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drawings/drawing5.xml" ContentType="application/vnd.openxmlformats-officedocument.drawingml.chartshapes+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drawings/drawing9.xml" ContentType="application/vnd.openxmlformats-officedocument.drawingml.chartshapes+xml"/>
  <Override PartName="/xl/charts/chart10.xml" ContentType="application/vnd.openxmlformats-officedocument.drawingml.chart+xml"/>
  <Override PartName="/xl/drawings/drawing10.xml" ContentType="application/vnd.openxmlformats-officedocument.drawingml.chartshapes+xml"/>
  <Override PartName="/xl/charts/chart11.xml" ContentType="application/vnd.openxmlformats-officedocument.drawingml.chart+xml"/>
  <Override PartName="/xl/drawings/drawing11.xml" ContentType="application/vnd.openxmlformats-officedocument.drawingml.chartshapes+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drawings/drawing14.xml" ContentType="application/vnd.openxmlformats-officedocument.drawingml.chartshapes+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omments2.xml" ContentType="application/vnd.openxmlformats-officedocument.spreadsheetml.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7.xml" ContentType="application/vnd.openxmlformats-officedocument.drawingml.chartshapes+xml"/>
  <Override PartName="/xl/charts/chart20.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omments3.xml" ContentType="application/vnd.openxmlformats-officedocument.spreadsheetml.comments+xml"/>
  <Override PartName="/xl/charts/chart2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filterPrivacy="1" showInkAnnotation="0" autoCompressPictures="0"/>
  <bookViews>
    <workbookView xWindow="0" yWindow="0" windowWidth="28800" windowHeight="16280" tabRatio="795"/>
  </bookViews>
  <sheets>
    <sheet name="README" sheetId="1" r:id="rId1"/>
    <sheet name="Portfolio" sheetId="2" r:id="rId2"/>
    <sheet name="Compare_Portfolios" sheetId="3" r:id="rId3"/>
    <sheet name="Lazy_Portfolios_85" sheetId="4" r:id="rId4"/>
    <sheet name="Data_Sources" sheetId="5" r:id="rId5"/>
    <sheet name="Returns_All" sheetId="11" r:id="rId6"/>
    <sheet name="Returns_72_15" sheetId="6" r:id="rId7"/>
    <sheet name="Returns_85_15" sheetId="7" r:id="rId8"/>
    <sheet name="Data_All" sheetId="10" r:id="rId9"/>
    <sheet name="Data_72_15" sheetId="8" r:id="rId10"/>
    <sheet name="Data_85_15" sheetId="9" r:id="rId11"/>
  </sheets>
  <definedNames>
    <definedName name="Allocation_O">Portfolio!$T$3:$U$79</definedName>
    <definedName name="Allocation72">Portfolio!$B$3:$C$39</definedName>
    <definedName name="Allocation85">Portfolio!$K$3:$L$52</definedName>
    <definedName name="Compare_LazyPortfolios_85">Lazy_Portfolios_85!$C$99:$AA$113</definedName>
    <definedName name="Compare_MAR_O_Nominal">Compare_Portfolios!$T$92</definedName>
    <definedName name="Compare_MAR_O_Real">Compare_Portfolios!$T$93</definedName>
    <definedName name="Compare_MAR72_Nominal">Compare_Portfolios!$B$92</definedName>
    <definedName name="Compare_MAR72_Real">Compare_Portfolios!$B$93</definedName>
    <definedName name="Compare_MAR85_Nominal">Compare_Portfolios!$K$92</definedName>
    <definedName name="Compare_MAR85_Real">Compare_Portfolios!$K$93</definedName>
    <definedName name="Compare_O_Inflation1">OFFSET(Data_All!$CA$8,Compare_Portfolios!$U$91,0,Compare_Portfolios!$U$90,1)</definedName>
    <definedName name="Compare_O_Inflation2">OFFSET(Data_All!$CA$8,Compare_Portfolios!$V$91,0,Compare_Portfolios!$V$90,1)</definedName>
    <definedName name="Compare_O_Inflation3">OFFSET(Data_All!$CA$8,Compare_Portfolios!$W$91,0,Compare_Portfolios!$W$90,1)</definedName>
    <definedName name="Compare_O_Inflation4">OFFSET(Data_All!$CA$8,Compare_Portfolios!$X$91,0,Compare_Portfolios!$X$90,1)</definedName>
    <definedName name="Compare_O_Inflation5">OFFSET(Data_All!$CA$8,Compare_Portfolios!$Y$91,0,Compare_Portfolios!$Y$90,1)</definedName>
    <definedName name="Compare_O_P1">OFFSET(Compare_Portfolios!$U$165,Compare_Portfolios!$U$91,0,Compare_Portfolios!$U$90,1)</definedName>
    <definedName name="Compare_O_P2">OFFSET(Compare_Portfolios!$V$165,Compare_Portfolios!$V$91,0,Compare_Portfolios!$V$90,1)</definedName>
    <definedName name="Compare_O_P3">OFFSET(Compare_Portfolios!$W$165,Compare_Portfolios!$W$91,0,Compare_Portfolios!$W$90,1)</definedName>
    <definedName name="Compare_O_P4">OFFSET(Compare_Portfolios!$X$165,Compare_Portfolios!$X$91,0,Compare_Portfolios!$X$90,1)</definedName>
    <definedName name="Compare_O_P5">OFFSET(Compare_Portfolios!$Y$165,Compare_Portfolios!$Y$91,0,Compare_Portfolios!$Y$90,1)</definedName>
    <definedName name="Compare72_Inflation1">OFFSET(Data_72_15!$AM$8,Compare_Portfolios!$C$91,0,Compare_Portfolios!$C$90,1)</definedName>
    <definedName name="Compare72_Inflation2">OFFSET(Data_72_15!$AM$8,Compare_Portfolios!$D$91,0,Compare_Portfolios!$D$90,1)</definedName>
    <definedName name="Compare72_Inflation3">OFFSET(Data_72_15!$AM$8,Compare_Portfolios!$E$91,0,Compare_Portfolios!$E$90,1)</definedName>
    <definedName name="Compare72_Inflation4">OFFSET(Data_72_15!$AM$8,Compare_Portfolios!$F$91,0,Compare_Portfolios!$F$90,1)</definedName>
    <definedName name="Compare72_Inflation5">OFFSET(Data_72_15!$AM$8,Compare_Portfolios!$G$91,0,Compare_Portfolios!$G$90,1)</definedName>
    <definedName name="Compare72_P1">OFFSET(Compare_Portfolios!$C$165,Compare_Portfolios!$C$91,0,Compare_Portfolios!$C$90,1)</definedName>
    <definedName name="Compare72_P2">OFFSET(Compare_Portfolios!$D$165,Compare_Portfolios!$D$91,0,Compare_Portfolios!$D$90,1)</definedName>
    <definedName name="Compare72_P3">OFFSET(Compare_Portfolios!$E$165,Compare_Portfolios!$E$91,0,Compare_Portfolios!$E$90,1)</definedName>
    <definedName name="Compare72_P4">OFFSET(Compare_Portfolios!$F$165,Compare_Portfolios!$F$91,0,Compare_Portfolios!$F$90,1)</definedName>
    <definedName name="Compare72_P5">OFFSET(Compare_Portfolios!$G$165,Compare_Portfolios!$G$91,0,Compare_Portfolios!$G$90,1)</definedName>
    <definedName name="Compare85_Inflation1">OFFSET(Data_85_15!$AZ$8,Compare_Portfolios!$L$91,0,Compare_Portfolios!$L$90,1)</definedName>
    <definedName name="Compare85_Inflation2">OFFSET(Data_85_15!$AZ$8,Compare_Portfolios!$M$91,0,Compare_Portfolios!$M$90,1)</definedName>
    <definedName name="Compare85_Inflation3">OFFSET(Data_85_15!$AZ$8,Compare_Portfolios!$N$91,0,Compare_Portfolios!$N$90,1)</definedName>
    <definedName name="Compare85_Inflation4">OFFSET(Data_85_15!$AZ$8,Compare_Portfolios!$O$91,0,Compare_Portfolios!$O$90,1)</definedName>
    <definedName name="Compare85_Inflation5">OFFSET(Data_85_15!$AZ$8,Compare_Portfolios!$P$91,0,Compare_Portfolios!$P$90,1)</definedName>
    <definedName name="Compare85_P1">OFFSET(Compare_Portfolios!$L$178,Compare_Portfolios!$L$91,0,Compare_Portfolios!$L$90,1)</definedName>
    <definedName name="Compare85_P2">OFFSET(Compare_Portfolios!$M$178,Compare_Portfolios!$M$91,0,Compare_Portfolios!$M$90,1)</definedName>
    <definedName name="Compare85_P3">OFFSET(Compare_Portfolios!$N$178,Compare_Portfolios!$N$91,0,Compare_Portfolios!$N$90,1)</definedName>
    <definedName name="Compare85_P4">OFFSET(Compare_Portfolios!$O$178,Compare_Portfolios!$O$91,0,Compare_Portfolios!$O$90,1)</definedName>
    <definedName name="Compare85_P5">OFFSET(Compare_Portfolios!$P$178,Compare_Portfolios!$P$91,0,Compare_Portfolios!$P$90,1)</definedName>
    <definedName name="COUNT_O">Portfolio!$T$85</definedName>
    <definedName name="COUNT72">Portfolio!$B$85</definedName>
    <definedName name="COUNT85">Portfolio!$K$85</definedName>
    <definedName name="Data72" localSheetId="8">Data_All!$E$8:$CA$153</definedName>
    <definedName name="EYear_O">Portfolio!$T$87</definedName>
    <definedName name="EYear72">Portfolio!$B$87</definedName>
    <definedName name="EYear85">Portfolio!$K$87</definedName>
    <definedName name="Inflation72" localSheetId="8">Data_All!$CA$8:$CA$153</definedName>
    <definedName name="MAR_O_Nominal">Portfolio!$T$89</definedName>
    <definedName name="MAR_O_Real">Portfolio!$T$90</definedName>
    <definedName name="MAR72_Nominal">Portfolio!$B$89</definedName>
    <definedName name="MAR72_Real">Portfolio!$B$90</definedName>
    <definedName name="Mar85_Lazy_Nominal">Lazy_Portfolios_85!$E$6</definedName>
    <definedName name="MAR85_Nominal">Portfolio!$K$89</definedName>
    <definedName name="MAR85_Real">Portfolio!$K$90</definedName>
    <definedName name="Rebal_C64_NominalReturns_O">OFFSET(Returns_All!$I$339,Returns_All!$A$489,0,Returns_All!$C$489,1)</definedName>
    <definedName name="Rebal_C64_RealReturns_O">OFFSET(Returns_All!$K$339,Returns_All!$A$489,0,Returns_All!$C$489,1)</definedName>
    <definedName name="Rebal_C64_ReturnsTable_O">Returns_All!$A$339:$L$484</definedName>
    <definedName name="Rebal_CHP_NominalReturns72">OFFSET(Returns_72_15!$I$137,Returns_72_15!$A$186,0,Returns_72_15!$C$186,1)</definedName>
    <definedName name="Rebal_CHP_NominalReturns85">OFFSET(Returns_85_15!$I$114,Returns_85_15!$A$150,0,Returns_85_15!$C$150,1)</definedName>
    <definedName name="Rebal_CHP_RealReturns72">OFFSET(Returns_72_15!$K$137,Returns_72_15!$A$186,0,Returns_72_15!$C$186,1)</definedName>
    <definedName name="Rebal_CHP_RealReturns85">OFFSET(Returns_85_15!$K$114,Returns_85_15!$A$150,0,Returns_85_15!$C$150,1)</definedName>
    <definedName name="Rebal_CHP_ReturnsTable72">Returns_72_15!$A$137:$L$181</definedName>
    <definedName name="Rebal_CHP_ReturnsTable85">Returns_85_15!$A$114:$L$144</definedName>
    <definedName name="Rebal_NominalReturns_O">OFFSET(Returns_All!$CA$7,Returns_All!$A$157,0,Returns_All!$C$157,1)</definedName>
    <definedName name="Rebal_NominalReturns72">OFFSET(Returns_72_15!$AM$7,Returns_72_15!$A$56,0,Returns_72_15!$C$56,1)</definedName>
    <definedName name="Rebal_NominalReturns85">OFFSET(Returns_85_15!$AZ$7,Returns_85_15!$A$43,0,Returns_85_15!$C$43,1)</definedName>
    <definedName name="Rebal_NominalTotal_O">OFFSET(Returns_All!$CB$7,Returns_All!$A$157,0,Returns_All!$C$157,1)</definedName>
    <definedName name="Rebal_NominalTotal72">OFFSET(Returns_72_15!$AN$7,Returns_72_15!$A$56,0,Returns_72_15!$C$56,1)</definedName>
    <definedName name="Rebal_NominalTotal85">OFFSET(Returns_85_15!$BA$7,Returns_85_15!$A$43,0,Returns_85_15!$C$43,1)</definedName>
    <definedName name="Rebal_RealReturns_O">OFFSET(Returns_All!$CC$7,Returns_All!$A$157,0,Returns_All!$C$157,1)</definedName>
    <definedName name="Rebal_RealReturns72">OFFSET(Returns_72_15!$AO$7,Returns_72_15!$A$56,0,Returns_72_15!$C$56,1)</definedName>
    <definedName name="Rebal_RealReturns85">OFFSET(Returns_85_15!$BB$7,Returns_85_15!$A$43,0,Returns_85_15!$C$43,1)</definedName>
    <definedName name="Rebal_RealTotal_O">OFFSET(Returns_All!$CD$7,Returns_All!$A$157,0,Returns_All!$C$157,1)</definedName>
    <definedName name="Rebal_RealTotal72">OFFSET(Returns_72_15!$AP$7,Returns_72_15!$A$56,0,Returns_72_15!$C$56,1)</definedName>
    <definedName name="Rebal_RealTotal85">OFFSET(Returns_85_15!$BC$7,Returns_85_15!$A$43,0,Returns_85_15!$C$43,1)</definedName>
    <definedName name="Rebal_ReturnsTable_O">Returns_All!$A$7:$CD$152</definedName>
    <definedName name="Rebal_ReturnsTable72">Returns_72_15!$A$7:$AP$51</definedName>
    <definedName name="Rebal_ReturnsTable85">Returns_85_15!$A$7:$BC$38</definedName>
    <definedName name="Sharpe_O_RiskFree_Nominal">Data_All!$J$155</definedName>
    <definedName name="Sharpe72_RiskFree_Nominal" localSheetId="8">Data_All!#REF!</definedName>
    <definedName name="Sharpe72_RiskFree_Nominal">Data_72_15!$V$54</definedName>
    <definedName name="Sharpe85_RiskFree_Nominal">Data_85_15!$V$42</definedName>
    <definedName name="START_FF">Data_All!$K$225</definedName>
    <definedName name="SYear_O">Portfolio!$T$86</definedName>
    <definedName name="SYear72">Portfolio!$B$86</definedName>
    <definedName name="SYear85">Portfolio!$K$86</definedName>
    <definedName name="TBill_O">Returns_All!$CI$7:$CI$153</definedName>
    <definedName name="TBill_O_Real">OFFSET(Returns_All!$CK$7,Returns_All!$A$157,0,Returns_All!$C$157,1)</definedName>
    <definedName name="TBill72">Returns_72_15!$AU$7:$AU$51</definedName>
    <definedName name="TBill72_Real">OFFSET(Returns_72_15!$AW$7,Returns_72_15!$A$56,0,Returns_72_15!$C$56,1)</definedName>
    <definedName name="TBill85">Returns_85_15!$BI$7:$BI$38</definedName>
    <definedName name="TBill85_Real">OFFSET(Returns_85_15!$BK$7,Returns_85_15!$A$43,0,Returns_85_15!$C$43,1)</definedName>
    <definedName name="Unrebal_NominalReturns_O">OFFSET(Returns_All!$CA$169,Returns_All!$A$157,0,Returns_All!$C$157,1)</definedName>
    <definedName name="Unrebal_NominalReturns72">OFFSET(Returns_72_15!$AM$68,Returns_72_15!$A$56,0,Returns_72_15!$C$56,1)</definedName>
    <definedName name="Unrebal_NominalReturns85">OFFSET(Returns_85_15!$AZ$57,Returns_85_15!$A$43,0,Returns_85_15!$C$43,1)</definedName>
    <definedName name="Unrebal_NominalTotal_O">OFFSET(Returns_All!$CB$169,Returns_All!$A$157,0,Returns_All!$C$157,1)</definedName>
    <definedName name="Unrebal_NominalTotal72">OFFSET(Returns_72_15!$AN$68,Returns_72_15!$A$56,0,Returns_72_15!$C$56,1)</definedName>
    <definedName name="Unrebal_NominalTotal85">OFFSET(Returns_85_15!$BA$57,Returns_85_15!$A$43,0,Returns_85_15!$C$43,1)</definedName>
    <definedName name="Unrebal_RealReturns_O">OFFSET(Returns_All!$CC$169,Returns_All!$A$157,0,Returns_All!$C$157,1)</definedName>
    <definedName name="Unrebal_RealReturns72">OFFSET(Returns_72_15!$AO$68,Returns_72_15!$A$56,0,Returns_72_15!$C$56,1)</definedName>
    <definedName name="Unrebal_RealReturns85">OFFSET(Returns_85_15!$BB$57,Returns_85_15!$A$43,0,Returns_85_15!$C$43,1)</definedName>
    <definedName name="Unrebal_RealTotal_O">OFFSET(Returns_All!$CD$169,Returns_All!$A$157,0,Returns_All!$C$157,1)</definedName>
    <definedName name="Unrebal_RealTotal72">OFFSET(Returns_72_15!$AP$68,Returns_72_15!$A$56,0,Returns_72_15!$C$56,1)</definedName>
    <definedName name="Unrebal_RealTotal85">OFFSET(Returns_85_15!$BC$57,Returns_85_15!$A$43,0,Returns_85_15!$C$43,1)</definedName>
    <definedName name="Unrebal_ReturnsTable_O">Returns_All!$A$169:$CD$314</definedName>
    <definedName name="Unrebal_ReturnsTable72">Returns_72_15!$A$68:$AP$112</definedName>
    <definedName name="Unrebal_ReturnsTable85">Returns_85_15!$A$57:$BC$88</definedName>
  </definedNames>
  <calcPr calcId="140001" calcMode="autoNoTable" concurrentCalc="0"/>
  <extLst>
    <ext xmlns:mx="http://schemas.microsoft.com/office/mac/excel/2008/main" uri="{7523E5D3-25F3-A5E0-1632-64F254C22452}">
      <mx:ArchID Flags="2"/>
    </ext>
  </extLst>
</workbook>
</file>

<file path=xl/calcChain.xml><?xml version="1.0" encoding="utf-8"?>
<calcChain xmlns="http://schemas.openxmlformats.org/spreadsheetml/2006/main">
  <c r="O166" i="7" l="1"/>
  <c r="P166" i="7"/>
  <c r="O167" i="7"/>
  <c r="O168" i="7"/>
  <c r="Q166" i="7"/>
  <c r="O169" i="7"/>
  <c r="O170" i="7"/>
  <c r="R166" i="7"/>
  <c r="O171" i="7"/>
  <c r="O172" i="7"/>
  <c r="O173" i="7"/>
  <c r="O174" i="7"/>
  <c r="O175" i="7"/>
  <c r="S166" i="7"/>
  <c r="O176" i="7"/>
  <c r="O177" i="7"/>
  <c r="O178" i="7"/>
  <c r="O179" i="7"/>
  <c r="O180" i="7"/>
  <c r="T166" i="7"/>
  <c r="P167" i="7"/>
  <c r="Q167" i="7"/>
  <c r="R167" i="7"/>
  <c r="S167" i="7"/>
  <c r="O181" i="7"/>
  <c r="T167" i="7"/>
  <c r="P168" i="7"/>
  <c r="Q168" i="7"/>
  <c r="R168" i="7"/>
  <c r="S168" i="7"/>
  <c r="O182" i="7"/>
  <c r="T168" i="7"/>
  <c r="P169" i="7"/>
  <c r="Q169" i="7"/>
  <c r="R169" i="7"/>
  <c r="S169" i="7"/>
  <c r="O183" i="7"/>
  <c r="T169" i="7"/>
  <c r="P170" i="7"/>
  <c r="Q170" i="7"/>
  <c r="R170" i="7"/>
  <c r="S170" i="7"/>
  <c r="O184" i="7"/>
  <c r="T170" i="7"/>
  <c r="P171" i="7"/>
  <c r="Q171" i="7"/>
  <c r="R171" i="7"/>
  <c r="S171" i="7"/>
  <c r="O185" i="7"/>
  <c r="T171" i="7"/>
  <c r="P172" i="7"/>
  <c r="Q172" i="7"/>
  <c r="R172" i="7"/>
  <c r="S172" i="7"/>
  <c r="O186" i="7"/>
  <c r="T172" i="7"/>
  <c r="P173" i="7"/>
  <c r="Q173" i="7"/>
  <c r="R173" i="7"/>
  <c r="S173" i="7"/>
  <c r="O187" i="7"/>
  <c r="T173" i="7"/>
  <c r="P174" i="7"/>
  <c r="Q174" i="7"/>
  <c r="R174" i="7"/>
  <c r="S174" i="7"/>
  <c r="O188" i="7"/>
  <c r="T174" i="7"/>
  <c r="P175" i="7"/>
  <c r="Q175" i="7"/>
  <c r="R175" i="7"/>
  <c r="S175" i="7"/>
  <c r="O189" i="7"/>
  <c r="T175" i="7"/>
  <c r="P176" i="7"/>
  <c r="Q176" i="7"/>
  <c r="R176" i="7"/>
  <c r="S176" i="7"/>
  <c r="O190" i="7"/>
  <c r="T176" i="7"/>
  <c r="P177" i="7"/>
  <c r="Q177" i="7"/>
  <c r="R177" i="7"/>
  <c r="S177" i="7"/>
  <c r="O191" i="7"/>
  <c r="T177" i="7"/>
  <c r="P178" i="7"/>
  <c r="Q178" i="7"/>
  <c r="R178" i="7"/>
  <c r="S178" i="7"/>
  <c r="O192" i="7"/>
  <c r="T178" i="7"/>
  <c r="P179" i="7"/>
  <c r="Q179" i="7"/>
  <c r="R179" i="7"/>
  <c r="S179" i="7"/>
  <c r="O193" i="7"/>
  <c r="T179" i="7"/>
  <c r="P180" i="7"/>
  <c r="Q180" i="7"/>
  <c r="R180" i="7"/>
  <c r="S180" i="7"/>
  <c r="O194" i="7"/>
  <c r="T180" i="7"/>
  <c r="P181" i="7"/>
  <c r="Q181" i="7"/>
  <c r="R181" i="7"/>
  <c r="S181" i="7"/>
  <c r="O195" i="7"/>
  <c r="T181" i="7"/>
  <c r="P182" i="7"/>
  <c r="Q182" i="7"/>
  <c r="R182" i="7"/>
  <c r="S182" i="7"/>
  <c r="P183" i="7"/>
  <c r="Q183" i="7"/>
  <c r="R183" i="7"/>
  <c r="S183" i="7"/>
  <c r="P184" i="7"/>
  <c r="Q184" i="7"/>
  <c r="R184" i="7"/>
  <c r="S184" i="7"/>
  <c r="P185" i="7"/>
  <c r="Q185" i="7"/>
  <c r="R185" i="7"/>
  <c r="S185" i="7"/>
  <c r="P186" i="7"/>
  <c r="Q186" i="7"/>
  <c r="R186" i="7"/>
  <c r="S186" i="7"/>
  <c r="P187" i="7"/>
  <c r="Q187" i="7"/>
  <c r="R187" i="7"/>
  <c r="P188" i="7"/>
  <c r="Q188" i="7"/>
  <c r="R188" i="7"/>
  <c r="P189" i="7"/>
  <c r="Q189" i="7"/>
  <c r="R189" i="7"/>
  <c r="P190" i="7"/>
  <c r="Q190" i="7"/>
  <c r="R190" i="7"/>
  <c r="P191" i="7"/>
  <c r="Q191" i="7"/>
  <c r="R191" i="7"/>
  <c r="P192" i="7"/>
  <c r="Q192" i="7"/>
  <c r="P193" i="7"/>
  <c r="Q193" i="7"/>
  <c r="P194" i="7"/>
  <c r="P195" i="7"/>
  <c r="C166" i="7"/>
  <c r="D166" i="7"/>
  <c r="C168" i="7"/>
  <c r="E166" i="7"/>
  <c r="C170" i="7"/>
  <c r="F166" i="7"/>
  <c r="C175" i="7"/>
  <c r="G166" i="7"/>
  <c r="C180" i="7"/>
  <c r="H166" i="7"/>
  <c r="C167" i="7"/>
  <c r="D167" i="7"/>
  <c r="C169" i="7"/>
  <c r="E167" i="7"/>
  <c r="C171" i="7"/>
  <c r="F167" i="7"/>
  <c r="C176" i="7"/>
  <c r="G167" i="7"/>
  <c r="C181" i="7"/>
  <c r="H167" i="7"/>
  <c r="D168" i="7"/>
  <c r="E168" i="7"/>
  <c r="C172" i="7"/>
  <c r="F168" i="7"/>
  <c r="C177" i="7"/>
  <c r="G168" i="7"/>
  <c r="C182" i="7"/>
  <c r="H168" i="7"/>
  <c r="D169" i="7"/>
  <c r="E169" i="7"/>
  <c r="C173" i="7"/>
  <c r="F169" i="7"/>
  <c r="C178" i="7"/>
  <c r="G169" i="7"/>
  <c r="C183" i="7"/>
  <c r="H169" i="7"/>
  <c r="D170" i="7"/>
  <c r="E170" i="7"/>
  <c r="C174" i="7"/>
  <c r="F170" i="7"/>
  <c r="C179" i="7"/>
  <c r="G170" i="7"/>
  <c r="C184" i="7"/>
  <c r="H170" i="7"/>
  <c r="D171" i="7"/>
  <c r="E171" i="7"/>
  <c r="F171" i="7"/>
  <c r="G171" i="7"/>
  <c r="C185" i="7"/>
  <c r="H171" i="7"/>
  <c r="D172" i="7"/>
  <c r="E172" i="7"/>
  <c r="F172" i="7"/>
  <c r="G172" i="7"/>
  <c r="C186" i="7"/>
  <c r="H172" i="7"/>
  <c r="D173" i="7"/>
  <c r="E173" i="7"/>
  <c r="F173" i="7"/>
  <c r="G173" i="7"/>
  <c r="C187" i="7"/>
  <c r="H173" i="7"/>
  <c r="D174" i="7"/>
  <c r="E174" i="7"/>
  <c r="F174" i="7"/>
  <c r="G174" i="7"/>
  <c r="C188" i="7"/>
  <c r="H174" i="7"/>
  <c r="D175" i="7"/>
  <c r="E175" i="7"/>
  <c r="F175" i="7"/>
  <c r="G175" i="7"/>
  <c r="C189" i="7"/>
  <c r="H175" i="7"/>
  <c r="D176" i="7"/>
  <c r="E176" i="7"/>
  <c r="F176" i="7"/>
  <c r="G176" i="7"/>
  <c r="C190" i="7"/>
  <c r="H176" i="7"/>
  <c r="D177" i="7"/>
  <c r="E177" i="7"/>
  <c r="F177" i="7"/>
  <c r="G177" i="7"/>
  <c r="C191" i="7"/>
  <c r="H177" i="7"/>
  <c r="D178" i="7"/>
  <c r="E178" i="7"/>
  <c r="F178" i="7"/>
  <c r="G178" i="7"/>
  <c r="C192" i="7"/>
  <c r="H178" i="7"/>
  <c r="D179" i="7"/>
  <c r="E179" i="7"/>
  <c r="F179" i="7"/>
  <c r="G179" i="7"/>
  <c r="C193" i="7"/>
  <c r="H179" i="7"/>
  <c r="D180" i="7"/>
  <c r="E180" i="7"/>
  <c r="F180" i="7"/>
  <c r="G180" i="7"/>
  <c r="C194" i="7"/>
  <c r="H180" i="7"/>
  <c r="D181" i="7"/>
  <c r="E181" i="7"/>
  <c r="F181" i="7"/>
  <c r="G181" i="7"/>
  <c r="C195" i="7"/>
  <c r="H181" i="7"/>
  <c r="D182" i="7"/>
  <c r="E182" i="7"/>
  <c r="F182" i="7"/>
  <c r="G182" i="7"/>
  <c r="D183" i="7"/>
  <c r="E183" i="7"/>
  <c r="F183" i="7"/>
  <c r="G183" i="7"/>
  <c r="D184" i="7"/>
  <c r="E184" i="7"/>
  <c r="F184" i="7"/>
  <c r="G184" i="7"/>
  <c r="D185" i="7"/>
  <c r="E185" i="7"/>
  <c r="F185" i="7"/>
  <c r="G185" i="7"/>
  <c r="D186" i="7"/>
  <c r="E186" i="7"/>
  <c r="F186" i="7"/>
  <c r="G186" i="7"/>
  <c r="D187" i="7"/>
  <c r="E187" i="7"/>
  <c r="F187" i="7"/>
  <c r="D188" i="7"/>
  <c r="E188" i="7"/>
  <c r="F188" i="7"/>
  <c r="D189" i="7"/>
  <c r="E189" i="7"/>
  <c r="F189" i="7"/>
  <c r="D190" i="7"/>
  <c r="E190" i="7"/>
  <c r="F190" i="7"/>
  <c r="D191" i="7"/>
  <c r="E191" i="7"/>
  <c r="F191" i="7"/>
  <c r="D192" i="7"/>
  <c r="E192" i="7"/>
  <c r="D193" i="7"/>
  <c r="E193" i="7"/>
  <c r="D194" i="7"/>
  <c r="D195" i="7"/>
  <c r="D24" i="4"/>
  <c r="T8" i="9"/>
  <c r="T9" i="9"/>
  <c r="T10" i="9"/>
  <c r="T11" i="9"/>
  <c r="T12" i="9"/>
  <c r="T13" i="9"/>
  <c r="T14" i="9"/>
  <c r="L95" i="3"/>
  <c r="L213" i="3"/>
  <c r="C95" i="3"/>
  <c r="C213" i="3"/>
  <c r="Y95" i="3"/>
  <c r="X95" i="3"/>
  <c r="W95" i="3"/>
  <c r="V95" i="3"/>
  <c r="U95" i="3"/>
  <c r="P95" i="3"/>
  <c r="O95" i="3"/>
  <c r="N95" i="3"/>
  <c r="M95" i="3"/>
  <c r="D95" i="3"/>
  <c r="E95" i="3"/>
  <c r="F95" i="3"/>
  <c r="G95" i="3"/>
  <c r="V89" i="3"/>
  <c r="W89" i="3"/>
  <c r="X89" i="3"/>
  <c r="Y89" i="3"/>
  <c r="V88" i="3"/>
  <c r="W88" i="3"/>
  <c r="X88" i="3"/>
  <c r="Y88" i="3"/>
  <c r="V87" i="3"/>
  <c r="W87" i="3"/>
  <c r="X87" i="3"/>
  <c r="Y87" i="3"/>
  <c r="M89" i="3"/>
  <c r="N89" i="3"/>
  <c r="O89" i="3"/>
  <c r="P89" i="3"/>
  <c r="M88" i="3"/>
  <c r="N88" i="3"/>
  <c r="O88" i="3"/>
  <c r="P88" i="3"/>
  <c r="M87" i="3"/>
  <c r="N87" i="3"/>
  <c r="O87" i="3"/>
  <c r="P87" i="3"/>
  <c r="K246" i="3"/>
  <c r="L246" i="3" a="1"/>
  <c r="L246" i="3"/>
  <c r="M246" i="3" a="1"/>
  <c r="M246" i="3"/>
  <c r="N246" i="3" a="1"/>
  <c r="N246" i="3"/>
  <c r="O246" i="3" a="1"/>
  <c r="O246" i="3"/>
  <c r="P246" i="3" a="1"/>
  <c r="P246" i="3"/>
  <c r="L178" i="3" a="1"/>
  <c r="L178" i="3"/>
  <c r="L215" i="3" a="1"/>
  <c r="L215" i="3"/>
  <c r="L179" i="3" a="1"/>
  <c r="L179" i="3"/>
  <c r="L216" i="3" a="1"/>
  <c r="L216" i="3"/>
  <c r="L180" i="3" a="1"/>
  <c r="L180" i="3"/>
  <c r="L217" i="3" a="1"/>
  <c r="L217" i="3"/>
  <c r="L181" i="3" a="1"/>
  <c r="L181" i="3"/>
  <c r="L218" i="3" a="1"/>
  <c r="L218" i="3"/>
  <c r="L182" i="3" a="1"/>
  <c r="L182" i="3"/>
  <c r="L219" i="3" a="1"/>
  <c r="L219" i="3"/>
  <c r="L183" i="3" a="1"/>
  <c r="L183" i="3"/>
  <c r="L220" i="3" a="1"/>
  <c r="L220" i="3"/>
  <c r="L184" i="3" a="1"/>
  <c r="L184" i="3"/>
  <c r="L221" i="3" a="1"/>
  <c r="L221" i="3"/>
  <c r="L185" i="3" a="1"/>
  <c r="L185" i="3"/>
  <c r="L222" i="3" a="1"/>
  <c r="L222" i="3"/>
  <c r="L186" i="3" a="1"/>
  <c r="L186" i="3"/>
  <c r="L223" i="3" a="1"/>
  <c r="L223" i="3"/>
  <c r="L187" i="3" a="1"/>
  <c r="L187" i="3"/>
  <c r="L224" i="3" a="1"/>
  <c r="L224" i="3"/>
  <c r="L188" i="3" a="1"/>
  <c r="L188" i="3"/>
  <c r="L225" i="3" a="1"/>
  <c r="L225" i="3"/>
  <c r="L189" i="3" a="1"/>
  <c r="L189" i="3"/>
  <c r="L226" i="3" a="1"/>
  <c r="L226" i="3"/>
  <c r="L190" i="3" a="1"/>
  <c r="L190" i="3"/>
  <c r="L227" i="3" a="1"/>
  <c r="L227" i="3"/>
  <c r="L191" i="3" a="1"/>
  <c r="L191" i="3"/>
  <c r="L228" i="3" a="1"/>
  <c r="L228" i="3"/>
  <c r="L192" i="3" a="1"/>
  <c r="L192" i="3"/>
  <c r="L229" i="3" a="1"/>
  <c r="L229" i="3"/>
  <c r="L193" i="3" a="1"/>
  <c r="L193" i="3"/>
  <c r="L230" i="3" a="1"/>
  <c r="L230" i="3"/>
  <c r="L194" i="3" a="1"/>
  <c r="L194" i="3"/>
  <c r="L231" i="3" a="1"/>
  <c r="L231" i="3"/>
  <c r="L195" i="3" a="1"/>
  <c r="L195" i="3"/>
  <c r="L232" i="3" a="1"/>
  <c r="L232" i="3"/>
  <c r="L196" i="3" a="1"/>
  <c r="L196" i="3"/>
  <c r="L233" i="3" a="1"/>
  <c r="L233" i="3"/>
  <c r="L197" i="3" a="1"/>
  <c r="L197" i="3"/>
  <c r="L234" i="3" a="1"/>
  <c r="L234" i="3"/>
  <c r="L198" i="3" a="1"/>
  <c r="L198" i="3"/>
  <c r="L235" i="3" a="1"/>
  <c r="L235" i="3"/>
  <c r="L199" i="3" a="1"/>
  <c r="L199" i="3"/>
  <c r="L236" i="3" a="1"/>
  <c r="L236" i="3"/>
  <c r="L200" i="3" a="1"/>
  <c r="L200" i="3"/>
  <c r="L237" i="3" a="1"/>
  <c r="L237" i="3"/>
  <c r="L201" i="3" a="1"/>
  <c r="L201" i="3"/>
  <c r="L238" i="3" a="1"/>
  <c r="L238" i="3"/>
  <c r="L202" i="3" a="1"/>
  <c r="L202" i="3"/>
  <c r="L239" i="3" a="1"/>
  <c r="L239" i="3"/>
  <c r="L203" i="3" a="1"/>
  <c r="L203" i="3"/>
  <c r="L240" i="3" a="1"/>
  <c r="L240" i="3"/>
  <c r="L204" i="3" a="1"/>
  <c r="L204" i="3"/>
  <c r="L241" i="3" a="1"/>
  <c r="L241" i="3"/>
  <c r="L205" i="3" a="1"/>
  <c r="L205" i="3"/>
  <c r="L242" i="3" a="1"/>
  <c r="L242" i="3"/>
  <c r="L206" i="3" a="1"/>
  <c r="L206" i="3"/>
  <c r="L243" i="3" a="1"/>
  <c r="L243" i="3"/>
  <c r="L207" i="3" a="1"/>
  <c r="L207" i="3"/>
  <c r="L244" i="3" a="1"/>
  <c r="L244" i="3"/>
  <c r="L208" i="3" a="1"/>
  <c r="L208" i="3"/>
  <c r="L245" i="3" a="1"/>
  <c r="L245" i="3"/>
  <c r="C90" i="3"/>
  <c r="B214" i="3"/>
  <c r="B215" i="3"/>
  <c r="B213" i="3"/>
  <c r="T21" i="8"/>
  <c r="S21" i="8"/>
  <c r="C178" i="3" a="1"/>
  <c r="C178" i="3"/>
  <c r="T8" i="8"/>
  <c r="S8" i="8"/>
  <c r="C165" i="3" a="1"/>
  <c r="C165" i="3"/>
  <c r="C215" i="3" a="1"/>
  <c r="C215" i="3"/>
  <c r="B216" i="3"/>
  <c r="T22" i="8"/>
  <c r="S22" i="8"/>
  <c r="C179" i="3" a="1"/>
  <c r="C179" i="3"/>
  <c r="T9" i="8"/>
  <c r="S9" i="8"/>
  <c r="C166" i="3" a="1"/>
  <c r="C166" i="3"/>
  <c r="C216" i="3" a="1"/>
  <c r="C216" i="3"/>
  <c r="B217" i="3"/>
  <c r="T23" i="8"/>
  <c r="S23" i="8"/>
  <c r="C180" i="3" a="1"/>
  <c r="C180" i="3"/>
  <c r="T10" i="8"/>
  <c r="S10" i="8"/>
  <c r="C167" i="3" a="1"/>
  <c r="C167" i="3"/>
  <c r="C217" i="3" a="1"/>
  <c r="C217" i="3"/>
  <c r="B218" i="3"/>
  <c r="T24" i="8"/>
  <c r="C181" i="3" a="1"/>
  <c r="C181" i="3"/>
  <c r="T11" i="8"/>
  <c r="S11" i="8"/>
  <c r="C168" i="3" a="1"/>
  <c r="C168" i="3"/>
  <c r="C218" i="3" a="1"/>
  <c r="C218" i="3"/>
  <c r="B219" i="3"/>
  <c r="T25" i="8"/>
  <c r="C182" i="3" a="1"/>
  <c r="C182" i="3"/>
  <c r="T12" i="8"/>
  <c r="S12" i="8"/>
  <c r="C169" i="3" a="1"/>
  <c r="C169" i="3"/>
  <c r="C219" i="3" a="1"/>
  <c r="C219" i="3"/>
  <c r="B220" i="3"/>
  <c r="T26" i="8"/>
  <c r="C183" i="3" a="1"/>
  <c r="C183" i="3"/>
  <c r="T13" i="8"/>
  <c r="S13" i="8"/>
  <c r="C170" i="3" a="1"/>
  <c r="C170" i="3"/>
  <c r="C220" i="3" a="1"/>
  <c r="C220" i="3"/>
  <c r="B221" i="3"/>
  <c r="T27" i="8"/>
  <c r="C184" i="3" a="1"/>
  <c r="C184" i="3"/>
  <c r="T14" i="8"/>
  <c r="S14" i="8"/>
  <c r="C171" i="3" a="1"/>
  <c r="C171" i="3"/>
  <c r="C221" i="3" a="1"/>
  <c r="C221" i="3"/>
  <c r="B222" i="3"/>
  <c r="C185" i="3" a="1"/>
  <c r="C185" i="3"/>
  <c r="T15" i="8"/>
  <c r="S15" i="8"/>
  <c r="C172" i="3" a="1"/>
  <c r="C172" i="3"/>
  <c r="C222" i="3" a="1"/>
  <c r="C222" i="3"/>
  <c r="B223" i="3"/>
  <c r="C186" i="3" a="1"/>
  <c r="C186" i="3"/>
  <c r="T16" i="8"/>
  <c r="S16" i="8"/>
  <c r="C173" i="3" a="1"/>
  <c r="C173" i="3"/>
  <c r="C223" i="3" a="1"/>
  <c r="C223" i="3"/>
  <c r="B224" i="3"/>
  <c r="C187" i="3" a="1"/>
  <c r="C187" i="3"/>
  <c r="T17" i="8"/>
  <c r="S17" i="8"/>
  <c r="C174" i="3" a="1"/>
  <c r="C174" i="3"/>
  <c r="C224" i="3" a="1"/>
  <c r="C224" i="3"/>
  <c r="B225" i="3"/>
  <c r="C188" i="3" a="1"/>
  <c r="C188" i="3"/>
  <c r="T18" i="8"/>
  <c r="S18" i="8"/>
  <c r="C175" i="3" a="1"/>
  <c r="C175" i="3"/>
  <c r="C225" i="3" a="1"/>
  <c r="C225" i="3"/>
  <c r="B226" i="3"/>
  <c r="C189" i="3" a="1"/>
  <c r="C189" i="3"/>
  <c r="T19" i="8"/>
  <c r="S19" i="8"/>
  <c r="C176" i="3" a="1"/>
  <c r="C176" i="3"/>
  <c r="C226" i="3" a="1"/>
  <c r="C226" i="3"/>
  <c r="B227" i="3"/>
  <c r="C190" i="3" a="1"/>
  <c r="C190" i="3"/>
  <c r="T20" i="8"/>
  <c r="S20" i="8"/>
  <c r="C177" i="3" a="1"/>
  <c r="C177" i="3"/>
  <c r="C227" i="3" a="1"/>
  <c r="C227" i="3"/>
  <c r="B228" i="3"/>
  <c r="C191" i="3" a="1"/>
  <c r="C191" i="3"/>
  <c r="C228" i="3" a="1"/>
  <c r="C228" i="3"/>
  <c r="B229" i="3"/>
  <c r="C192" i="3" a="1"/>
  <c r="C192" i="3"/>
  <c r="C229" i="3" a="1"/>
  <c r="C229" i="3"/>
  <c r="B230" i="3"/>
  <c r="C193" i="3" a="1"/>
  <c r="C193" i="3"/>
  <c r="C230" i="3" a="1"/>
  <c r="C230" i="3"/>
  <c r="B231" i="3"/>
  <c r="C194" i="3" a="1"/>
  <c r="C194" i="3"/>
  <c r="C231" i="3" a="1"/>
  <c r="C231" i="3"/>
  <c r="B232" i="3"/>
  <c r="C195" i="3" a="1"/>
  <c r="C195" i="3"/>
  <c r="C232" i="3" a="1"/>
  <c r="C232" i="3"/>
  <c r="B233" i="3"/>
  <c r="C196" i="3" a="1"/>
  <c r="C196" i="3"/>
  <c r="C233" i="3" a="1"/>
  <c r="C233" i="3"/>
  <c r="B234" i="3"/>
  <c r="C197" i="3" a="1"/>
  <c r="C197" i="3"/>
  <c r="C234" i="3" a="1"/>
  <c r="C234" i="3"/>
  <c r="B235" i="3"/>
  <c r="C198" i="3" a="1"/>
  <c r="C198" i="3"/>
  <c r="C235" i="3" a="1"/>
  <c r="C235" i="3"/>
  <c r="B236" i="3"/>
  <c r="C199" i="3" a="1"/>
  <c r="C199" i="3"/>
  <c r="C236" i="3" a="1"/>
  <c r="C236" i="3"/>
  <c r="B237" i="3"/>
  <c r="C200" i="3" a="1"/>
  <c r="C200" i="3"/>
  <c r="C237" i="3" a="1"/>
  <c r="C237" i="3"/>
  <c r="B238" i="3"/>
  <c r="C201" i="3" a="1"/>
  <c r="C201" i="3"/>
  <c r="C238" i="3" a="1"/>
  <c r="C238" i="3"/>
  <c r="B239" i="3"/>
  <c r="C202" i="3" a="1"/>
  <c r="C202" i="3"/>
  <c r="C239" i="3" a="1"/>
  <c r="C239" i="3"/>
  <c r="B240" i="3"/>
  <c r="C203" i="3" a="1"/>
  <c r="C203" i="3"/>
  <c r="C240" i="3" a="1"/>
  <c r="C240" i="3"/>
  <c r="B241" i="3"/>
  <c r="C204" i="3" a="1"/>
  <c r="C204" i="3"/>
  <c r="C241" i="3" a="1"/>
  <c r="C241" i="3"/>
  <c r="B242" i="3"/>
  <c r="C205" i="3" a="1"/>
  <c r="C205" i="3"/>
  <c r="C242" i="3" a="1"/>
  <c r="C242" i="3"/>
  <c r="B243" i="3"/>
  <c r="C206" i="3" a="1"/>
  <c r="C206" i="3"/>
  <c r="C243" i="3" a="1"/>
  <c r="C243" i="3"/>
  <c r="B244" i="3"/>
  <c r="C207" i="3" a="1"/>
  <c r="C207" i="3"/>
  <c r="C244" i="3" a="1"/>
  <c r="C244" i="3"/>
  <c r="B245" i="3"/>
  <c r="C208" i="3" a="1"/>
  <c r="C208" i="3"/>
  <c r="C245" i="3" a="1"/>
  <c r="C245" i="3"/>
  <c r="B246" i="3"/>
  <c r="C246" i="3" a="1"/>
  <c r="C246" i="3"/>
  <c r="B247" i="3"/>
  <c r="C247" i="3" a="1"/>
  <c r="C247" i="3"/>
  <c r="B248" i="3"/>
  <c r="C248" i="3" a="1"/>
  <c r="C248" i="3"/>
  <c r="B249" i="3"/>
  <c r="C249" i="3" a="1"/>
  <c r="C249" i="3"/>
  <c r="B250" i="3"/>
  <c r="C250" i="3" a="1"/>
  <c r="C250" i="3"/>
  <c r="B251" i="3"/>
  <c r="C251" i="3" a="1"/>
  <c r="C251" i="3"/>
  <c r="B252" i="3"/>
  <c r="C252" i="3" a="1"/>
  <c r="C252" i="3"/>
  <c r="B253" i="3"/>
  <c r="C253" i="3" a="1"/>
  <c r="C253" i="3"/>
  <c r="B254" i="3"/>
  <c r="C254" i="3" a="1"/>
  <c r="C254" i="3"/>
  <c r="B255" i="3"/>
  <c r="C255" i="3" a="1"/>
  <c r="C255" i="3"/>
  <c r="B256" i="3"/>
  <c r="C256" i="3" a="1"/>
  <c r="C256" i="3"/>
  <c r="B257" i="3"/>
  <c r="C257" i="3" a="1"/>
  <c r="C257" i="3"/>
  <c r="B258" i="3"/>
  <c r="C258" i="3" a="1"/>
  <c r="C258" i="3"/>
  <c r="B259" i="3"/>
  <c r="C259" i="3" a="1"/>
  <c r="C259" i="3"/>
  <c r="N178" i="3" a="1"/>
  <c r="N178" i="3"/>
  <c r="N215" i="3" a="1"/>
  <c r="N215" i="3"/>
  <c r="O178" i="3" a="1"/>
  <c r="O178" i="3"/>
  <c r="O215" i="3" a="1"/>
  <c r="O215" i="3"/>
  <c r="P178" i="3" a="1"/>
  <c r="P178" i="3"/>
  <c r="P215" i="3" a="1"/>
  <c r="P215" i="3"/>
  <c r="N179" i="3" a="1"/>
  <c r="N179" i="3"/>
  <c r="N216" i="3" a="1"/>
  <c r="N216" i="3"/>
  <c r="O179" i="3" a="1"/>
  <c r="O179" i="3"/>
  <c r="O216" i="3" a="1"/>
  <c r="O216" i="3"/>
  <c r="P179" i="3" a="1"/>
  <c r="P179" i="3"/>
  <c r="P216" i="3" a="1"/>
  <c r="P216" i="3"/>
  <c r="N180" i="3" a="1"/>
  <c r="N180" i="3"/>
  <c r="N217" i="3" a="1"/>
  <c r="N217" i="3"/>
  <c r="O180" i="3" a="1"/>
  <c r="O180" i="3"/>
  <c r="O217" i="3" a="1"/>
  <c r="O217" i="3"/>
  <c r="P180" i="3" a="1"/>
  <c r="P180" i="3"/>
  <c r="P217" i="3" a="1"/>
  <c r="P217" i="3"/>
  <c r="N181" i="3" a="1"/>
  <c r="N181" i="3"/>
  <c r="N218" i="3" a="1"/>
  <c r="N218" i="3"/>
  <c r="O181" i="3" a="1"/>
  <c r="O181" i="3"/>
  <c r="O218" i="3" a="1"/>
  <c r="O218" i="3"/>
  <c r="P181" i="3" a="1"/>
  <c r="P181" i="3"/>
  <c r="P218" i="3" a="1"/>
  <c r="P218" i="3"/>
  <c r="N182" i="3" a="1"/>
  <c r="N182" i="3"/>
  <c r="N219" i="3" a="1"/>
  <c r="N219" i="3"/>
  <c r="O182" i="3" a="1"/>
  <c r="O182" i="3"/>
  <c r="O219" i="3" a="1"/>
  <c r="O219" i="3"/>
  <c r="P182" i="3" a="1"/>
  <c r="P182" i="3"/>
  <c r="P219" i="3" a="1"/>
  <c r="P219" i="3"/>
  <c r="N183" i="3" a="1"/>
  <c r="N183" i="3"/>
  <c r="N220" i="3" a="1"/>
  <c r="N220" i="3"/>
  <c r="O183" i="3" a="1"/>
  <c r="O183" i="3"/>
  <c r="O220" i="3" a="1"/>
  <c r="O220" i="3"/>
  <c r="P183" i="3" a="1"/>
  <c r="P183" i="3"/>
  <c r="P220" i="3" a="1"/>
  <c r="P220" i="3"/>
  <c r="N184" i="3" a="1"/>
  <c r="N184" i="3"/>
  <c r="N221" i="3" a="1"/>
  <c r="N221" i="3"/>
  <c r="O184" i="3" a="1"/>
  <c r="O184" i="3"/>
  <c r="O221" i="3" a="1"/>
  <c r="O221" i="3"/>
  <c r="P184" i="3" a="1"/>
  <c r="P184" i="3"/>
  <c r="P221" i="3" a="1"/>
  <c r="P221" i="3"/>
  <c r="N185" i="3" a="1"/>
  <c r="N185" i="3"/>
  <c r="N222" i="3" a="1"/>
  <c r="N222" i="3"/>
  <c r="O185" i="3" a="1"/>
  <c r="O185" i="3"/>
  <c r="O222" i="3" a="1"/>
  <c r="O222" i="3"/>
  <c r="P185" i="3" a="1"/>
  <c r="P185" i="3"/>
  <c r="P222" i="3" a="1"/>
  <c r="P222" i="3"/>
  <c r="N186" i="3" a="1"/>
  <c r="N186" i="3"/>
  <c r="N223" i="3" a="1"/>
  <c r="N223" i="3"/>
  <c r="O186" i="3" a="1"/>
  <c r="O186" i="3"/>
  <c r="O223" i="3" a="1"/>
  <c r="O223" i="3"/>
  <c r="P186" i="3" a="1"/>
  <c r="P186" i="3"/>
  <c r="P223" i="3" a="1"/>
  <c r="P223" i="3"/>
  <c r="N187" i="3" a="1"/>
  <c r="N187" i="3"/>
  <c r="N224" i="3" a="1"/>
  <c r="N224" i="3"/>
  <c r="O187" i="3" a="1"/>
  <c r="O187" i="3"/>
  <c r="O224" i="3" a="1"/>
  <c r="O224" i="3"/>
  <c r="P187" i="3" a="1"/>
  <c r="P187" i="3"/>
  <c r="P224" i="3" a="1"/>
  <c r="P224" i="3"/>
  <c r="N188" i="3" a="1"/>
  <c r="N188" i="3"/>
  <c r="N225" i="3" a="1"/>
  <c r="N225" i="3"/>
  <c r="O188" i="3" a="1"/>
  <c r="O188" i="3"/>
  <c r="O225" i="3" a="1"/>
  <c r="O225" i="3"/>
  <c r="P188" i="3" a="1"/>
  <c r="P188" i="3"/>
  <c r="P225" i="3" a="1"/>
  <c r="P225" i="3"/>
  <c r="N189" i="3" a="1"/>
  <c r="N189" i="3"/>
  <c r="N226" i="3" a="1"/>
  <c r="N226" i="3"/>
  <c r="O189" i="3" a="1"/>
  <c r="O189" i="3"/>
  <c r="O226" i="3" a="1"/>
  <c r="O226" i="3"/>
  <c r="P189" i="3" a="1"/>
  <c r="P189" i="3"/>
  <c r="P226" i="3" a="1"/>
  <c r="P226" i="3"/>
  <c r="N190" i="3" a="1"/>
  <c r="N190" i="3"/>
  <c r="N227" i="3" a="1"/>
  <c r="N227" i="3"/>
  <c r="O190" i="3" a="1"/>
  <c r="O190" i="3"/>
  <c r="O227" i="3" a="1"/>
  <c r="O227" i="3"/>
  <c r="P190" i="3" a="1"/>
  <c r="P190" i="3"/>
  <c r="P227" i="3" a="1"/>
  <c r="P227" i="3"/>
  <c r="N191" i="3" a="1"/>
  <c r="N191" i="3"/>
  <c r="N228" i="3" a="1"/>
  <c r="N228" i="3"/>
  <c r="O191" i="3" a="1"/>
  <c r="O191" i="3"/>
  <c r="O228" i="3" a="1"/>
  <c r="O228" i="3"/>
  <c r="P191" i="3" a="1"/>
  <c r="P191" i="3"/>
  <c r="P228" i="3" a="1"/>
  <c r="P228" i="3"/>
  <c r="N192" i="3" a="1"/>
  <c r="N192" i="3"/>
  <c r="N229" i="3" a="1"/>
  <c r="N229" i="3"/>
  <c r="O192" i="3" a="1"/>
  <c r="O192" i="3"/>
  <c r="O229" i="3" a="1"/>
  <c r="O229" i="3"/>
  <c r="P192" i="3" a="1"/>
  <c r="P192" i="3"/>
  <c r="P229" i="3" a="1"/>
  <c r="P229" i="3"/>
  <c r="N193" i="3" a="1"/>
  <c r="N193" i="3"/>
  <c r="N230" i="3" a="1"/>
  <c r="N230" i="3"/>
  <c r="O193" i="3" a="1"/>
  <c r="O193" i="3"/>
  <c r="O230" i="3" a="1"/>
  <c r="O230" i="3"/>
  <c r="P193" i="3" a="1"/>
  <c r="P193" i="3"/>
  <c r="P230" i="3" a="1"/>
  <c r="P230" i="3"/>
  <c r="N194" i="3" a="1"/>
  <c r="N194" i="3"/>
  <c r="N231" i="3" a="1"/>
  <c r="N231" i="3"/>
  <c r="O194" i="3" a="1"/>
  <c r="O194" i="3"/>
  <c r="O231" i="3" a="1"/>
  <c r="O231" i="3"/>
  <c r="P194" i="3" a="1"/>
  <c r="P194" i="3"/>
  <c r="P231" i="3" a="1"/>
  <c r="P231" i="3"/>
  <c r="N195" i="3" a="1"/>
  <c r="N195" i="3"/>
  <c r="N232" i="3" a="1"/>
  <c r="N232" i="3"/>
  <c r="O195" i="3" a="1"/>
  <c r="O195" i="3"/>
  <c r="O232" i="3" a="1"/>
  <c r="O232" i="3"/>
  <c r="P195" i="3" a="1"/>
  <c r="P195" i="3"/>
  <c r="P232" i="3" a="1"/>
  <c r="P232" i="3"/>
  <c r="N196" i="3" a="1"/>
  <c r="N196" i="3"/>
  <c r="N233" i="3" a="1"/>
  <c r="N233" i="3"/>
  <c r="O196" i="3" a="1"/>
  <c r="O196" i="3"/>
  <c r="O233" i="3" a="1"/>
  <c r="O233" i="3"/>
  <c r="P196" i="3" a="1"/>
  <c r="P196" i="3"/>
  <c r="P233" i="3" a="1"/>
  <c r="P233" i="3"/>
  <c r="N197" i="3" a="1"/>
  <c r="N197" i="3"/>
  <c r="N234" i="3" a="1"/>
  <c r="N234" i="3"/>
  <c r="O197" i="3" a="1"/>
  <c r="O197" i="3"/>
  <c r="O234" i="3" a="1"/>
  <c r="O234" i="3"/>
  <c r="P197" i="3" a="1"/>
  <c r="P197" i="3"/>
  <c r="P234" i="3" a="1"/>
  <c r="P234" i="3"/>
  <c r="N198" i="3" a="1"/>
  <c r="N198" i="3"/>
  <c r="N235" i="3" a="1"/>
  <c r="N235" i="3"/>
  <c r="O198" i="3" a="1"/>
  <c r="O198" i="3"/>
  <c r="O235" i="3" a="1"/>
  <c r="O235" i="3"/>
  <c r="P198" i="3" a="1"/>
  <c r="P198" i="3"/>
  <c r="P235" i="3" a="1"/>
  <c r="P235" i="3"/>
  <c r="N199" i="3" a="1"/>
  <c r="N199" i="3"/>
  <c r="N236" i="3" a="1"/>
  <c r="N236" i="3"/>
  <c r="O199" i="3" a="1"/>
  <c r="O199" i="3"/>
  <c r="O236" i="3" a="1"/>
  <c r="O236" i="3"/>
  <c r="P199" i="3" a="1"/>
  <c r="P199" i="3"/>
  <c r="P236" i="3" a="1"/>
  <c r="P236" i="3"/>
  <c r="N200" i="3" a="1"/>
  <c r="N200" i="3"/>
  <c r="N237" i="3" a="1"/>
  <c r="N237" i="3"/>
  <c r="O200" i="3" a="1"/>
  <c r="O200" i="3"/>
  <c r="O237" i="3" a="1"/>
  <c r="O237" i="3"/>
  <c r="P200" i="3" a="1"/>
  <c r="P200" i="3"/>
  <c r="P237" i="3" a="1"/>
  <c r="P237" i="3"/>
  <c r="N201" i="3" a="1"/>
  <c r="N201" i="3"/>
  <c r="N238" i="3" a="1"/>
  <c r="N238" i="3"/>
  <c r="O201" i="3" a="1"/>
  <c r="O201" i="3"/>
  <c r="O238" i="3" a="1"/>
  <c r="O238" i="3"/>
  <c r="P201" i="3" a="1"/>
  <c r="P201" i="3"/>
  <c r="P238" i="3" a="1"/>
  <c r="P238" i="3"/>
  <c r="N202" i="3" a="1"/>
  <c r="N202" i="3"/>
  <c r="N239" i="3" a="1"/>
  <c r="N239" i="3"/>
  <c r="O202" i="3" a="1"/>
  <c r="O202" i="3"/>
  <c r="O239" i="3" a="1"/>
  <c r="O239" i="3"/>
  <c r="P202" i="3" a="1"/>
  <c r="P202" i="3"/>
  <c r="P239" i="3" a="1"/>
  <c r="P239" i="3"/>
  <c r="N203" i="3" a="1"/>
  <c r="N203" i="3"/>
  <c r="N240" i="3" a="1"/>
  <c r="N240" i="3"/>
  <c r="O203" i="3" a="1"/>
  <c r="O203" i="3"/>
  <c r="O240" i="3" a="1"/>
  <c r="O240" i="3"/>
  <c r="P203" i="3" a="1"/>
  <c r="P203" i="3"/>
  <c r="P240" i="3" a="1"/>
  <c r="P240" i="3"/>
  <c r="N204" i="3" a="1"/>
  <c r="N204" i="3"/>
  <c r="N241" i="3" a="1"/>
  <c r="N241" i="3"/>
  <c r="O204" i="3" a="1"/>
  <c r="O204" i="3"/>
  <c r="O241" i="3" a="1"/>
  <c r="O241" i="3"/>
  <c r="P204" i="3" a="1"/>
  <c r="P204" i="3"/>
  <c r="P241" i="3" a="1"/>
  <c r="P241" i="3"/>
  <c r="N205" i="3" a="1"/>
  <c r="N205" i="3"/>
  <c r="N242" i="3" a="1"/>
  <c r="N242" i="3"/>
  <c r="O205" i="3" a="1"/>
  <c r="O205" i="3"/>
  <c r="O242" i="3" a="1"/>
  <c r="O242" i="3"/>
  <c r="P205" i="3" a="1"/>
  <c r="P205" i="3"/>
  <c r="P242" i="3" a="1"/>
  <c r="P242" i="3"/>
  <c r="N206" i="3" a="1"/>
  <c r="N206" i="3"/>
  <c r="N243" i="3" a="1"/>
  <c r="N243" i="3"/>
  <c r="O206" i="3" a="1"/>
  <c r="O206" i="3"/>
  <c r="O243" i="3" a="1"/>
  <c r="O243" i="3"/>
  <c r="P206" i="3" a="1"/>
  <c r="P206" i="3"/>
  <c r="P243" i="3" a="1"/>
  <c r="P243" i="3"/>
  <c r="N207" i="3" a="1"/>
  <c r="N207" i="3"/>
  <c r="N244" i="3" a="1"/>
  <c r="N244" i="3"/>
  <c r="O207" i="3" a="1"/>
  <c r="O207" i="3"/>
  <c r="O244" i="3" a="1"/>
  <c r="O244" i="3"/>
  <c r="P207" i="3" a="1"/>
  <c r="P207" i="3"/>
  <c r="P244" i="3" a="1"/>
  <c r="P244" i="3"/>
  <c r="N208" i="3" a="1"/>
  <c r="N208" i="3"/>
  <c r="N245" i="3" a="1"/>
  <c r="N245" i="3"/>
  <c r="O208" i="3" a="1"/>
  <c r="O208" i="3"/>
  <c r="O245" i="3" a="1"/>
  <c r="O245" i="3"/>
  <c r="P208" i="3" a="1"/>
  <c r="P208" i="3"/>
  <c r="P245" i="3" a="1"/>
  <c r="P245" i="3"/>
  <c r="M178" i="3" a="1"/>
  <c r="M178" i="3"/>
  <c r="M215" i="3" a="1"/>
  <c r="M215" i="3"/>
  <c r="K213" i="3"/>
  <c r="K243" i="3"/>
  <c r="K244" i="3"/>
  <c r="K24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15" i="3"/>
  <c r="K214" i="3"/>
  <c r="D88" i="3"/>
  <c r="E88" i="3"/>
  <c r="E89" i="3"/>
  <c r="E165" i="3" a="1"/>
  <c r="E165" i="3"/>
  <c r="E178" i="3" a="1"/>
  <c r="E178" i="3"/>
  <c r="E215" i="3" a="1"/>
  <c r="E215" i="3"/>
  <c r="F88" i="3"/>
  <c r="F89" i="3"/>
  <c r="F165" i="3" a="1"/>
  <c r="F165" i="3"/>
  <c r="F178" i="3" a="1"/>
  <c r="F178" i="3"/>
  <c r="F215" i="3" a="1"/>
  <c r="F215" i="3"/>
  <c r="G88" i="3"/>
  <c r="G89" i="3"/>
  <c r="G165" i="3" a="1"/>
  <c r="G165" i="3"/>
  <c r="G178" i="3" a="1"/>
  <c r="G178" i="3"/>
  <c r="G215" i="3" a="1"/>
  <c r="G215" i="3"/>
  <c r="E166" i="3" a="1"/>
  <c r="E166" i="3"/>
  <c r="E179" i="3" a="1"/>
  <c r="E179" i="3"/>
  <c r="E216" i="3" a="1"/>
  <c r="E216" i="3"/>
  <c r="F166" i="3" a="1"/>
  <c r="F166" i="3"/>
  <c r="F179" i="3" a="1"/>
  <c r="F179" i="3"/>
  <c r="F216" i="3" a="1"/>
  <c r="F216" i="3"/>
  <c r="G166" i="3" a="1"/>
  <c r="G166" i="3"/>
  <c r="G179" i="3" a="1"/>
  <c r="G179" i="3"/>
  <c r="G216" i="3" a="1"/>
  <c r="G216" i="3"/>
  <c r="E167" i="3" a="1"/>
  <c r="E167" i="3"/>
  <c r="E180" i="3" a="1"/>
  <c r="E180" i="3"/>
  <c r="E217" i="3" a="1"/>
  <c r="E217" i="3"/>
  <c r="F167" i="3" a="1"/>
  <c r="F167" i="3"/>
  <c r="F180" i="3" a="1"/>
  <c r="F180" i="3"/>
  <c r="F217" i="3" a="1"/>
  <c r="F217" i="3"/>
  <c r="G167" i="3" a="1"/>
  <c r="G167" i="3"/>
  <c r="G180" i="3" a="1"/>
  <c r="G180" i="3"/>
  <c r="G217" i="3" a="1"/>
  <c r="G217" i="3"/>
  <c r="E168" i="3" a="1"/>
  <c r="E168" i="3"/>
  <c r="E181" i="3" a="1"/>
  <c r="E181" i="3"/>
  <c r="E218" i="3" a="1"/>
  <c r="E218" i="3"/>
  <c r="F168" i="3" a="1"/>
  <c r="F168" i="3"/>
  <c r="F181" i="3" a="1"/>
  <c r="F181" i="3"/>
  <c r="F218" i="3" a="1"/>
  <c r="F218" i="3"/>
  <c r="G168" i="3" a="1"/>
  <c r="G168" i="3"/>
  <c r="G181" i="3" a="1"/>
  <c r="G181" i="3"/>
  <c r="G218" i="3" a="1"/>
  <c r="G218" i="3"/>
  <c r="E169" i="3" a="1"/>
  <c r="E169" i="3"/>
  <c r="E182" i="3" a="1"/>
  <c r="E182" i="3"/>
  <c r="E219" i="3" a="1"/>
  <c r="E219" i="3"/>
  <c r="F169" i="3" a="1"/>
  <c r="F169" i="3"/>
  <c r="F182" i="3" a="1"/>
  <c r="F182" i="3"/>
  <c r="F219" i="3" a="1"/>
  <c r="F219" i="3"/>
  <c r="G169" i="3" a="1"/>
  <c r="G169" i="3"/>
  <c r="G182" i="3" a="1"/>
  <c r="G182" i="3"/>
  <c r="G219" i="3" a="1"/>
  <c r="G219" i="3"/>
  <c r="E170" i="3" a="1"/>
  <c r="E170" i="3"/>
  <c r="E183" i="3" a="1"/>
  <c r="E183" i="3"/>
  <c r="E220" i="3" a="1"/>
  <c r="E220" i="3"/>
  <c r="F170" i="3" a="1"/>
  <c r="F170" i="3"/>
  <c r="F183" i="3" a="1"/>
  <c r="F183" i="3"/>
  <c r="F220" i="3" a="1"/>
  <c r="F220" i="3"/>
  <c r="G170" i="3" a="1"/>
  <c r="G170" i="3"/>
  <c r="G183" i="3" a="1"/>
  <c r="G183" i="3"/>
  <c r="G220" i="3" a="1"/>
  <c r="G220" i="3"/>
  <c r="E171" i="3" a="1"/>
  <c r="E171" i="3"/>
  <c r="E184" i="3" a="1"/>
  <c r="E184" i="3"/>
  <c r="E221" i="3" a="1"/>
  <c r="E221" i="3"/>
  <c r="F171" i="3" a="1"/>
  <c r="F171" i="3"/>
  <c r="F184" i="3" a="1"/>
  <c r="F184" i="3"/>
  <c r="F221" i="3" a="1"/>
  <c r="F221" i="3"/>
  <c r="G171" i="3" a="1"/>
  <c r="G171" i="3"/>
  <c r="G184" i="3" a="1"/>
  <c r="G184" i="3"/>
  <c r="G221" i="3" a="1"/>
  <c r="G221" i="3"/>
  <c r="E172" i="3" a="1"/>
  <c r="E172" i="3"/>
  <c r="E185" i="3" a="1"/>
  <c r="E185" i="3"/>
  <c r="E222" i="3" a="1"/>
  <c r="E222" i="3"/>
  <c r="F172" i="3" a="1"/>
  <c r="F172" i="3"/>
  <c r="F185" i="3" a="1"/>
  <c r="F185" i="3"/>
  <c r="F222" i="3" a="1"/>
  <c r="F222" i="3"/>
  <c r="G172" i="3" a="1"/>
  <c r="G172" i="3"/>
  <c r="G185" i="3" a="1"/>
  <c r="G185" i="3"/>
  <c r="G222" i="3" a="1"/>
  <c r="G222" i="3"/>
  <c r="E173" i="3" a="1"/>
  <c r="E173" i="3"/>
  <c r="E186" i="3" a="1"/>
  <c r="E186" i="3"/>
  <c r="E223" i="3" a="1"/>
  <c r="E223" i="3"/>
  <c r="F173" i="3" a="1"/>
  <c r="F173" i="3"/>
  <c r="F186" i="3" a="1"/>
  <c r="F186" i="3"/>
  <c r="F223" i="3" a="1"/>
  <c r="F223" i="3"/>
  <c r="G173" i="3" a="1"/>
  <c r="G173" i="3"/>
  <c r="G186" i="3" a="1"/>
  <c r="G186" i="3"/>
  <c r="G223" i="3" a="1"/>
  <c r="G223" i="3"/>
  <c r="E174" i="3" a="1"/>
  <c r="E174" i="3"/>
  <c r="E187" i="3" a="1"/>
  <c r="E187" i="3"/>
  <c r="E224" i="3" a="1"/>
  <c r="E224" i="3"/>
  <c r="F174" i="3" a="1"/>
  <c r="F174" i="3"/>
  <c r="F187" i="3" a="1"/>
  <c r="F187" i="3"/>
  <c r="F224" i="3" a="1"/>
  <c r="F224" i="3"/>
  <c r="G174" i="3" a="1"/>
  <c r="G174" i="3"/>
  <c r="G187" i="3" a="1"/>
  <c r="G187" i="3"/>
  <c r="G224" i="3" a="1"/>
  <c r="G224" i="3"/>
  <c r="E175" i="3" a="1"/>
  <c r="E175" i="3"/>
  <c r="E188" i="3" a="1"/>
  <c r="E188" i="3"/>
  <c r="E225" i="3" a="1"/>
  <c r="E225" i="3"/>
  <c r="F175" i="3" a="1"/>
  <c r="F175" i="3"/>
  <c r="F188" i="3" a="1"/>
  <c r="F188" i="3"/>
  <c r="F225" i="3" a="1"/>
  <c r="F225" i="3"/>
  <c r="G175" i="3" a="1"/>
  <c r="G175" i="3"/>
  <c r="G188" i="3" a="1"/>
  <c r="G188" i="3"/>
  <c r="G225" i="3" a="1"/>
  <c r="G225" i="3"/>
  <c r="E176" i="3" a="1"/>
  <c r="E176" i="3"/>
  <c r="E189" i="3" a="1"/>
  <c r="E189" i="3"/>
  <c r="E226" i="3" a="1"/>
  <c r="E226" i="3"/>
  <c r="F176" i="3" a="1"/>
  <c r="F176" i="3"/>
  <c r="F189" i="3" a="1"/>
  <c r="F189" i="3"/>
  <c r="F226" i="3" a="1"/>
  <c r="F226" i="3"/>
  <c r="G176" i="3" a="1"/>
  <c r="G176" i="3"/>
  <c r="G189" i="3" a="1"/>
  <c r="G189" i="3"/>
  <c r="G226" i="3" a="1"/>
  <c r="G226" i="3"/>
  <c r="E177" i="3" a="1"/>
  <c r="E177" i="3"/>
  <c r="E190" i="3" a="1"/>
  <c r="E190" i="3"/>
  <c r="E227" i="3" a="1"/>
  <c r="E227" i="3"/>
  <c r="F177" i="3" a="1"/>
  <c r="F177" i="3"/>
  <c r="F190" i="3" a="1"/>
  <c r="F190" i="3"/>
  <c r="F227" i="3" a="1"/>
  <c r="F227" i="3"/>
  <c r="G177" i="3" a="1"/>
  <c r="G177" i="3"/>
  <c r="G190" i="3" a="1"/>
  <c r="G190" i="3"/>
  <c r="G227" i="3" a="1"/>
  <c r="G227" i="3"/>
  <c r="E191" i="3" a="1"/>
  <c r="E191" i="3"/>
  <c r="E228" i="3" a="1"/>
  <c r="E228" i="3"/>
  <c r="F191" i="3" a="1"/>
  <c r="F191" i="3"/>
  <c r="F228" i="3" a="1"/>
  <c r="F228" i="3"/>
  <c r="G191" i="3" a="1"/>
  <c r="G191" i="3"/>
  <c r="G228" i="3" a="1"/>
  <c r="G228" i="3"/>
  <c r="E192" i="3" a="1"/>
  <c r="E192" i="3"/>
  <c r="E229" i="3" a="1"/>
  <c r="E229" i="3"/>
  <c r="F192" i="3" a="1"/>
  <c r="F192" i="3"/>
  <c r="F229" i="3" a="1"/>
  <c r="F229" i="3"/>
  <c r="G192" i="3" a="1"/>
  <c r="G192" i="3"/>
  <c r="G229" i="3" a="1"/>
  <c r="G229" i="3"/>
  <c r="E193" i="3" a="1"/>
  <c r="E193" i="3"/>
  <c r="E230" i="3" a="1"/>
  <c r="E230" i="3"/>
  <c r="F193" i="3" a="1"/>
  <c r="F193" i="3"/>
  <c r="F230" i="3" a="1"/>
  <c r="F230" i="3"/>
  <c r="G193" i="3" a="1"/>
  <c r="G193" i="3"/>
  <c r="G230" i="3" a="1"/>
  <c r="G230" i="3"/>
  <c r="E194" i="3" a="1"/>
  <c r="E194" i="3"/>
  <c r="E231" i="3" a="1"/>
  <c r="E231" i="3"/>
  <c r="F194" i="3" a="1"/>
  <c r="F194" i="3"/>
  <c r="F231" i="3" a="1"/>
  <c r="F231" i="3"/>
  <c r="G194" i="3" a="1"/>
  <c r="G194" i="3"/>
  <c r="G231" i="3" a="1"/>
  <c r="G231" i="3"/>
  <c r="E195" i="3" a="1"/>
  <c r="E195" i="3"/>
  <c r="E232" i="3" a="1"/>
  <c r="E232" i="3"/>
  <c r="F195" i="3" a="1"/>
  <c r="F195" i="3"/>
  <c r="F232" i="3" a="1"/>
  <c r="F232" i="3"/>
  <c r="G195" i="3" a="1"/>
  <c r="G195" i="3"/>
  <c r="G232" i="3" a="1"/>
  <c r="G232" i="3"/>
  <c r="E196" i="3" a="1"/>
  <c r="E196" i="3"/>
  <c r="E233" i="3" a="1"/>
  <c r="E233" i="3"/>
  <c r="F196" i="3" a="1"/>
  <c r="F196" i="3"/>
  <c r="F233" i="3" a="1"/>
  <c r="F233" i="3"/>
  <c r="G196" i="3" a="1"/>
  <c r="G196" i="3"/>
  <c r="G233" i="3" a="1"/>
  <c r="G233" i="3"/>
  <c r="E197" i="3" a="1"/>
  <c r="E197" i="3"/>
  <c r="E234" i="3" a="1"/>
  <c r="E234" i="3"/>
  <c r="F197" i="3" a="1"/>
  <c r="F197" i="3"/>
  <c r="F234" i="3" a="1"/>
  <c r="F234" i="3"/>
  <c r="G197" i="3" a="1"/>
  <c r="G197" i="3"/>
  <c r="G234" i="3" a="1"/>
  <c r="G234" i="3"/>
  <c r="E198" i="3" a="1"/>
  <c r="E198" i="3"/>
  <c r="E235" i="3" a="1"/>
  <c r="E235" i="3"/>
  <c r="F198" i="3" a="1"/>
  <c r="F198" i="3"/>
  <c r="F235" i="3" a="1"/>
  <c r="F235" i="3"/>
  <c r="G198" i="3" a="1"/>
  <c r="G198" i="3"/>
  <c r="G235" i="3" a="1"/>
  <c r="G235" i="3"/>
  <c r="E199" i="3" a="1"/>
  <c r="E199" i="3"/>
  <c r="E236" i="3" a="1"/>
  <c r="E236" i="3"/>
  <c r="F199" i="3" a="1"/>
  <c r="F199" i="3"/>
  <c r="F236" i="3" a="1"/>
  <c r="F236" i="3"/>
  <c r="G199" i="3" a="1"/>
  <c r="G199" i="3"/>
  <c r="G236" i="3" a="1"/>
  <c r="G236" i="3"/>
  <c r="E200" i="3" a="1"/>
  <c r="E200" i="3"/>
  <c r="E237" i="3" a="1"/>
  <c r="E237" i="3"/>
  <c r="F200" i="3" a="1"/>
  <c r="F200" i="3"/>
  <c r="F237" i="3" a="1"/>
  <c r="F237" i="3"/>
  <c r="G200" i="3" a="1"/>
  <c r="G200" i="3"/>
  <c r="G237" i="3" a="1"/>
  <c r="G237" i="3"/>
  <c r="E201" i="3" a="1"/>
  <c r="E201" i="3"/>
  <c r="E238" i="3" a="1"/>
  <c r="E238" i="3"/>
  <c r="F201" i="3" a="1"/>
  <c r="F201" i="3"/>
  <c r="F238" i="3" a="1"/>
  <c r="F238" i="3"/>
  <c r="G201" i="3" a="1"/>
  <c r="G201" i="3"/>
  <c r="G238" i="3" a="1"/>
  <c r="G238" i="3"/>
  <c r="E202" i="3" a="1"/>
  <c r="E202" i="3"/>
  <c r="E239" i="3" a="1"/>
  <c r="E239" i="3"/>
  <c r="F202" i="3" a="1"/>
  <c r="F202" i="3"/>
  <c r="F239" i="3" a="1"/>
  <c r="F239" i="3"/>
  <c r="G202" i="3" a="1"/>
  <c r="G202" i="3"/>
  <c r="G239" i="3" a="1"/>
  <c r="G239" i="3"/>
  <c r="E203" i="3" a="1"/>
  <c r="E203" i="3"/>
  <c r="E240" i="3" a="1"/>
  <c r="E240" i="3"/>
  <c r="F203" i="3" a="1"/>
  <c r="F203" i="3"/>
  <c r="F240" i="3" a="1"/>
  <c r="F240" i="3"/>
  <c r="G203" i="3" a="1"/>
  <c r="G203" i="3"/>
  <c r="G240" i="3" a="1"/>
  <c r="G240" i="3"/>
  <c r="E204" i="3" a="1"/>
  <c r="E204" i="3"/>
  <c r="E241" i="3" a="1"/>
  <c r="E241" i="3"/>
  <c r="F204" i="3" a="1"/>
  <c r="F204" i="3"/>
  <c r="F241" i="3" a="1"/>
  <c r="F241" i="3"/>
  <c r="G204" i="3" a="1"/>
  <c r="G204" i="3"/>
  <c r="G241" i="3" a="1"/>
  <c r="G241" i="3"/>
  <c r="E205" i="3" a="1"/>
  <c r="E205" i="3"/>
  <c r="E242" i="3" a="1"/>
  <c r="E242" i="3"/>
  <c r="F205" i="3" a="1"/>
  <c r="F205" i="3"/>
  <c r="F242" i="3" a="1"/>
  <c r="F242" i="3"/>
  <c r="G205" i="3" a="1"/>
  <c r="G205" i="3"/>
  <c r="G242" i="3" a="1"/>
  <c r="G242" i="3"/>
  <c r="E206" i="3" a="1"/>
  <c r="E206" i="3"/>
  <c r="E243" i="3" a="1"/>
  <c r="E243" i="3"/>
  <c r="F206" i="3" a="1"/>
  <c r="F206" i="3"/>
  <c r="F243" i="3" a="1"/>
  <c r="F243" i="3"/>
  <c r="G206" i="3" a="1"/>
  <c r="G206" i="3"/>
  <c r="G243" i="3" a="1"/>
  <c r="G243" i="3"/>
  <c r="E207" i="3" a="1"/>
  <c r="E207" i="3"/>
  <c r="E244" i="3" a="1"/>
  <c r="E244" i="3"/>
  <c r="F207" i="3" a="1"/>
  <c r="F207" i="3"/>
  <c r="F244" i="3" a="1"/>
  <c r="F244" i="3"/>
  <c r="G207" i="3" a="1"/>
  <c r="G207" i="3"/>
  <c r="G244" i="3" a="1"/>
  <c r="G244" i="3"/>
  <c r="E208" i="3" a="1"/>
  <c r="E208" i="3"/>
  <c r="E245" i="3" a="1"/>
  <c r="E245" i="3"/>
  <c r="F208" i="3" a="1"/>
  <c r="F208" i="3"/>
  <c r="F245" i="3" a="1"/>
  <c r="F245" i="3"/>
  <c r="G208" i="3" a="1"/>
  <c r="G208" i="3"/>
  <c r="G245" i="3" a="1"/>
  <c r="G245" i="3"/>
  <c r="E246" i="3" a="1"/>
  <c r="E246" i="3"/>
  <c r="F246" i="3" a="1"/>
  <c r="F246" i="3"/>
  <c r="G246" i="3" a="1"/>
  <c r="G246" i="3"/>
  <c r="E247" i="3" a="1"/>
  <c r="E247" i="3"/>
  <c r="F247" i="3" a="1"/>
  <c r="F247" i="3"/>
  <c r="G247" i="3" a="1"/>
  <c r="G247" i="3"/>
  <c r="E248" i="3" a="1"/>
  <c r="E248" i="3"/>
  <c r="F248" i="3" a="1"/>
  <c r="F248" i="3"/>
  <c r="G248" i="3" a="1"/>
  <c r="G248" i="3"/>
  <c r="E249" i="3" a="1"/>
  <c r="E249" i="3"/>
  <c r="F249" i="3" a="1"/>
  <c r="F249" i="3"/>
  <c r="G249" i="3" a="1"/>
  <c r="G249" i="3"/>
  <c r="E250" i="3" a="1"/>
  <c r="E250" i="3"/>
  <c r="F250" i="3" a="1"/>
  <c r="F250" i="3"/>
  <c r="G250" i="3" a="1"/>
  <c r="G250" i="3"/>
  <c r="E251" i="3" a="1"/>
  <c r="E251" i="3"/>
  <c r="F251" i="3" a="1"/>
  <c r="F251" i="3"/>
  <c r="G251" i="3" a="1"/>
  <c r="G251" i="3"/>
  <c r="E252" i="3" a="1"/>
  <c r="E252" i="3"/>
  <c r="F252" i="3" a="1"/>
  <c r="F252" i="3"/>
  <c r="G252" i="3" a="1"/>
  <c r="G252" i="3"/>
  <c r="E253" i="3" a="1"/>
  <c r="E253" i="3"/>
  <c r="F253" i="3" a="1"/>
  <c r="F253" i="3"/>
  <c r="G253" i="3" a="1"/>
  <c r="G253" i="3"/>
  <c r="E254" i="3" a="1"/>
  <c r="E254" i="3"/>
  <c r="F254" i="3" a="1"/>
  <c r="F254" i="3"/>
  <c r="G254" i="3" a="1"/>
  <c r="G254" i="3"/>
  <c r="E255" i="3" a="1"/>
  <c r="E255" i="3"/>
  <c r="F255" i="3" a="1"/>
  <c r="F255" i="3"/>
  <c r="G255" i="3" a="1"/>
  <c r="G255" i="3"/>
  <c r="E256" i="3" a="1"/>
  <c r="E256" i="3"/>
  <c r="F256" i="3" a="1"/>
  <c r="F256" i="3"/>
  <c r="G256" i="3" a="1"/>
  <c r="G256" i="3"/>
  <c r="E257" i="3" a="1"/>
  <c r="E257" i="3"/>
  <c r="F257" i="3" a="1"/>
  <c r="F257" i="3"/>
  <c r="G257" i="3" a="1"/>
  <c r="G257" i="3"/>
  <c r="E258" i="3" a="1"/>
  <c r="E258" i="3"/>
  <c r="F258" i="3" a="1"/>
  <c r="F258" i="3"/>
  <c r="G258" i="3" a="1"/>
  <c r="G258" i="3"/>
  <c r="E259" i="3" a="1"/>
  <c r="E259" i="3"/>
  <c r="F259" i="3" a="1"/>
  <c r="F259" i="3"/>
  <c r="G259" i="3" a="1"/>
  <c r="G259" i="3"/>
  <c r="D259" i="3" a="1"/>
  <c r="D259" i="3"/>
  <c r="D165" i="3" a="1"/>
  <c r="D165" i="3"/>
  <c r="D178" i="3" a="1"/>
  <c r="D178" i="3"/>
  <c r="D215" i="3" a="1"/>
  <c r="D215" i="3"/>
  <c r="D89" i="3"/>
  <c r="D173" i="3" a="1"/>
  <c r="D173" i="3"/>
  <c r="D174" i="3" a="1"/>
  <c r="D174" i="3"/>
  <c r="D166" i="3" a="1"/>
  <c r="D166" i="3"/>
  <c r="D175" i="3" a="1"/>
  <c r="D175" i="3"/>
  <c r="D167" i="3" a="1"/>
  <c r="D167" i="3"/>
  <c r="D176" i="3" a="1"/>
  <c r="D176" i="3"/>
  <c r="D168" i="3" a="1"/>
  <c r="D168" i="3"/>
  <c r="D177" i="3" a="1"/>
  <c r="D177" i="3"/>
  <c r="D169" i="3" a="1"/>
  <c r="D169" i="3"/>
  <c r="D170" i="3" a="1"/>
  <c r="D170" i="3"/>
  <c r="D179" i="3" a="1"/>
  <c r="D179" i="3"/>
  <c r="D171" i="3" a="1"/>
  <c r="D171" i="3"/>
  <c r="D180" i="3" a="1"/>
  <c r="D180" i="3"/>
  <c r="D172" i="3" a="1"/>
  <c r="D172" i="3"/>
  <c r="D181" i="3" a="1"/>
  <c r="D181" i="3"/>
  <c r="D182" i="3" a="1"/>
  <c r="D182" i="3"/>
  <c r="D183" i="3" a="1"/>
  <c r="D183" i="3"/>
  <c r="D184" i="3" a="1"/>
  <c r="D184" i="3"/>
  <c r="D185" i="3" a="1"/>
  <c r="D185" i="3"/>
  <c r="D186" i="3" a="1"/>
  <c r="D186" i="3"/>
  <c r="D187" i="3" a="1"/>
  <c r="D187" i="3"/>
  <c r="D188" i="3" a="1"/>
  <c r="D188" i="3"/>
  <c r="D189" i="3" a="1"/>
  <c r="D189" i="3"/>
  <c r="D190" i="3" a="1"/>
  <c r="D190" i="3"/>
  <c r="D191" i="3" a="1"/>
  <c r="D191" i="3"/>
  <c r="D192" i="3" a="1"/>
  <c r="D192" i="3"/>
  <c r="D193" i="3" a="1"/>
  <c r="D193" i="3"/>
  <c r="D194" i="3" a="1"/>
  <c r="D194" i="3"/>
  <c r="D195" i="3" a="1"/>
  <c r="D195" i="3"/>
  <c r="D196" i="3" a="1"/>
  <c r="D196" i="3"/>
  <c r="D197" i="3" a="1"/>
  <c r="D197" i="3"/>
  <c r="D198" i="3" a="1"/>
  <c r="D198" i="3"/>
  <c r="D199" i="3" a="1"/>
  <c r="D199" i="3"/>
  <c r="D200" i="3" a="1"/>
  <c r="D200" i="3"/>
  <c r="D201" i="3" a="1"/>
  <c r="D201" i="3"/>
  <c r="D202" i="3" a="1"/>
  <c r="D202" i="3"/>
  <c r="D203" i="3" a="1"/>
  <c r="D203" i="3"/>
  <c r="D204" i="3" a="1"/>
  <c r="D204" i="3"/>
  <c r="D205" i="3" a="1"/>
  <c r="D205" i="3"/>
  <c r="D206" i="3" a="1"/>
  <c r="D206" i="3"/>
  <c r="D207" i="3" a="1"/>
  <c r="D207" i="3"/>
  <c r="D208" i="3" a="1"/>
  <c r="D208"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D87" i="3"/>
  <c r="E87" i="3"/>
  <c r="F87" i="3"/>
  <c r="G87" i="3"/>
  <c r="AJ30" i="9"/>
  <c r="AJ31" i="9"/>
  <c r="AJ32" i="9"/>
  <c r="AL144" i="10"/>
  <c r="AL145" i="10"/>
  <c r="AA5" i="3" a="1"/>
  <c r="AA6" i="3"/>
  <c r="AB6" i="3"/>
  <c r="AA7" i="3"/>
  <c r="AB7" i="3"/>
  <c r="AA8" i="3"/>
  <c r="AB8" i="3"/>
  <c r="AA9" i="3"/>
  <c r="AB9" i="3"/>
  <c r="AA10" i="3"/>
  <c r="AB10" i="3"/>
  <c r="AA11" i="3"/>
  <c r="AB11" i="3"/>
  <c r="AA12" i="3"/>
  <c r="AB12" i="3"/>
  <c r="AA13" i="3"/>
  <c r="AB13" i="3"/>
  <c r="AA14" i="3"/>
  <c r="AB14" i="3"/>
  <c r="AA15" i="3"/>
  <c r="AB15" i="3"/>
  <c r="AA16" i="3"/>
  <c r="AB16" i="3"/>
  <c r="AA17" i="3"/>
  <c r="AB17" i="3"/>
  <c r="AA18" i="3"/>
  <c r="AB18" i="3"/>
  <c r="AA19" i="3"/>
  <c r="AB19" i="3"/>
  <c r="AA20" i="3"/>
  <c r="AB20" i="3"/>
  <c r="AA21" i="3"/>
  <c r="AB21" i="3"/>
  <c r="AA22" i="3"/>
  <c r="AB22" i="3"/>
  <c r="AA23" i="3"/>
  <c r="AB23" i="3"/>
  <c r="AA24" i="3"/>
  <c r="AB24" i="3"/>
  <c r="AA25" i="3"/>
  <c r="AB25" i="3"/>
  <c r="AA26" i="3"/>
  <c r="AB26" i="3"/>
  <c r="AA27" i="3"/>
  <c r="AB27" i="3"/>
  <c r="AA28" i="3"/>
  <c r="AB28" i="3"/>
  <c r="AA29" i="3"/>
  <c r="AB29" i="3"/>
  <c r="AA30" i="3"/>
  <c r="AB30" i="3"/>
  <c r="AA31" i="3"/>
  <c r="AB31" i="3"/>
  <c r="AA32" i="3"/>
  <c r="AB32" i="3"/>
  <c r="AA33" i="3"/>
  <c r="AB33" i="3"/>
  <c r="AA34" i="3"/>
  <c r="AB34" i="3"/>
  <c r="AA35" i="3"/>
  <c r="AB35" i="3"/>
  <c r="AA36" i="3"/>
  <c r="AB36" i="3"/>
  <c r="AA37" i="3"/>
  <c r="AB37" i="3"/>
  <c r="AA38" i="3"/>
  <c r="AB38" i="3"/>
  <c r="AA39" i="3"/>
  <c r="AB39" i="3"/>
  <c r="AA40" i="3"/>
  <c r="AB40" i="3"/>
  <c r="AA41" i="3"/>
  <c r="AB41" i="3"/>
  <c r="AA42" i="3"/>
  <c r="AB42" i="3"/>
  <c r="AA43" i="3"/>
  <c r="AB43" i="3"/>
  <c r="AA44" i="3"/>
  <c r="AB44" i="3"/>
  <c r="AA45" i="3"/>
  <c r="AB45" i="3"/>
  <c r="AA46" i="3"/>
  <c r="AB46" i="3"/>
  <c r="AA47" i="3"/>
  <c r="AB47" i="3"/>
  <c r="AA48" i="3"/>
  <c r="AB48" i="3"/>
  <c r="AA49" i="3"/>
  <c r="AB49" i="3"/>
  <c r="AA50" i="3"/>
  <c r="AB50" i="3"/>
  <c r="AA51" i="3"/>
  <c r="AB51" i="3"/>
  <c r="AA52" i="3"/>
  <c r="AB52" i="3"/>
  <c r="AA53" i="3"/>
  <c r="AB53" i="3"/>
  <c r="AA54" i="3"/>
  <c r="AB54" i="3"/>
  <c r="AA55" i="3"/>
  <c r="AB55" i="3"/>
  <c r="AA56" i="3"/>
  <c r="AB56" i="3"/>
  <c r="AA57" i="3"/>
  <c r="AB57" i="3"/>
  <c r="AA58" i="3"/>
  <c r="AB58" i="3"/>
  <c r="AA59" i="3"/>
  <c r="AB59" i="3"/>
  <c r="AA60" i="3"/>
  <c r="AB60" i="3"/>
  <c r="AA61" i="3"/>
  <c r="AB61" i="3"/>
  <c r="AA62" i="3"/>
  <c r="AB62" i="3"/>
  <c r="AA63" i="3"/>
  <c r="AB63" i="3"/>
  <c r="AA64" i="3"/>
  <c r="AB64" i="3"/>
  <c r="AA65" i="3"/>
  <c r="AB65" i="3"/>
  <c r="AA66" i="3"/>
  <c r="AB66" i="3"/>
  <c r="AA67" i="3"/>
  <c r="AB67" i="3"/>
  <c r="AA68" i="3"/>
  <c r="AB68" i="3"/>
  <c r="AA69" i="3"/>
  <c r="AB69" i="3"/>
  <c r="AA70" i="3"/>
  <c r="AB70" i="3"/>
  <c r="AA71" i="3"/>
  <c r="AB71" i="3"/>
  <c r="AA72" i="3"/>
  <c r="AB72" i="3"/>
  <c r="AA73" i="3"/>
  <c r="AB73" i="3"/>
  <c r="AA74" i="3"/>
  <c r="AB74" i="3"/>
  <c r="AA75" i="3"/>
  <c r="AB75" i="3"/>
  <c r="AA76" i="3"/>
  <c r="AB76" i="3"/>
  <c r="AA77" i="3"/>
  <c r="AB77" i="3"/>
  <c r="AA78" i="3"/>
  <c r="AB78" i="3"/>
  <c r="AA79" i="3"/>
  <c r="AB79" i="3"/>
  <c r="AA80" i="3"/>
  <c r="AB80" i="3"/>
  <c r="AA81" i="3"/>
  <c r="AB81" i="3"/>
  <c r="AA5" i="3"/>
  <c r="AB5" i="3"/>
  <c r="A443" i="11"/>
  <c r="B443" i="11"/>
  <c r="D112" i="10"/>
  <c r="C443" i="11"/>
  <c r="D443" i="11"/>
  <c r="U112" i="10"/>
  <c r="E443" i="11"/>
  <c r="F443" i="11"/>
  <c r="G443" i="11"/>
  <c r="H443" i="11"/>
  <c r="I443" i="11"/>
  <c r="D109" i="10"/>
  <c r="C440" i="11"/>
  <c r="B440" i="11"/>
  <c r="D440" i="11"/>
  <c r="U109" i="10"/>
  <c r="E440" i="11"/>
  <c r="F440" i="11"/>
  <c r="G440" i="11"/>
  <c r="H440" i="11"/>
  <c r="I440" i="11"/>
  <c r="B339" i="11"/>
  <c r="D8" i="10"/>
  <c r="C339" i="11"/>
  <c r="D339" i="11"/>
  <c r="U169" i="10"/>
  <c r="U8" i="10"/>
  <c r="E339" i="11"/>
  <c r="F339" i="11"/>
  <c r="G339" i="11"/>
  <c r="H339" i="11"/>
  <c r="I339" i="11"/>
  <c r="J339" i="11"/>
  <c r="B340" i="11"/>
  <c r="D9" i="10"/>
  <c r="C340" i="11"/>
  <c r="D340" i="11"/>
  <c r="U170" i="10"/>
  <c r="U9" i="10"/>
  <c r="E340" i="11"/>
  <c r="F340" i="11"/>
  <c r="G340" i="11"/>
  <c r="H340" i="11"/>
  <c r="I340" i="11"/>
  <c r="J340" i="11"/>
  <c r="B341" i="11"/>
  <c r="D10" i="10"/>
  <c r="C341" i="11"/>
  <c r="D341" i="11"/>
  <c r="U171" i="10"/>
  <c r="U10" i="10"/>
  <c r="E341" i="11"/>
  <c r="F341" i="11"/>
  <c r="G341" i="11"/>
  <c r="H341" i="11"/>
  <c r="I341" i="11"/>
  <c r="J341" i="11"/>
  <c r="B342" i="11"/>
  <c r="D11" i="10"/>
  <c r="C342" i="11"/>
  <c r="D342" i="11"/>
  <c r="U172" i="10"/>
  <c r="U11" i="10"/>
  <c r="E342" i="11"/>
  <c r="F342" i="11"/>
  <c r="G342" i="11"/>
  <c r="H342" i="11"/>
  <c r="I342" i="11"/>
  <c r="J342" i="11"/>
  <c r="B343" i="11"/>
  <c r="D12" i="10"/>
  <c r="C343" i="11"/>
  <c r="D343" i="11"/>
  <c r="U173" i="10"/>
  <c r="U12" i="10"/>
  <c r="E343" i="11"/>
  <c r="F343" i="11"/>
  <c r="G343" i="11"/>
  <c r="H343" i="11"/>
  <c r="I343" i="11"/>
  <c r="J343" i="11"/>
  <c r="B344" i="11"/>
  <c r="D13" i="10"/>
  <c r="C344" i="11"/>
  <c r="D344" i="11"/>
  <c r="U174" i="10"/>
  <c r="U13" i="10"/>
  <c r="E344" i="11"/>
  <c r="F344" i="11"/>
  <c r="G344" i="11"/>
  <c r="H344" i="11"/>
  <c r="I344" i="11"/>
  <c r="J344" i="11"/>
  <c r="B345" i="11"/>
  <c r="D14" i="10"/>
  <c r="C345" i="11"/>
  <c r="D345" i="11"/>
  <c r="U175" i="10"/>
  <c r="U14" i="10"/>
  <c r="E345" i="11"/>
  <c r="F345" i="11"/>
  <c r="G345" i="11"/>
  <c r="H345" i="11"/>
  <c r="I345" i="11"/>
  <c r="J345" i="11"/>
  <c r="B346" i="11"/>
  <c r="D15" i="10"/>
  <c r="C346" i="11"/>
  <c r="D346" i="11"/>
  <c r="U176" i="10"/>
  <c r="U15" i="10"/>
  <c r="E346" i="11"/>
  <c r="F346" i="11"/>
  <c r="G346" i="11"/>
  <c r="H346" i="11"/>
  <c r="I346" i="11"/>
  <c r="J346" i="11"/>
  <c r="B347" i="11"/>
  <c r="D16" i="10"/>
  <c r="C347" i="11"/>
  <c r="D347" i="11"/>
  <c r="U177" i="10"/>
  <c r="U16" i="10"/>
  <c r="E347" i="11"/>
  <c r="F347" i="11"/>
  <c r="G347" i="11"/>
  <c r="H347" i="11"/>
  <c r="I347" i="11"/>
  <c r="J347" i="11"/>
  <c r="B348" i="11"/>
  <c r="D17" i="10"/>
  <c r="C348" i="11"/>
  <c r="D348" i="11"/>
  <c r="U178" i="10"/>
  <c r="U17" i="10"/>
  <c r="E348" i="11"/>
  <c r="F348" i="11"/>
  <c r="G348" i="11"/>
  <c r="H348" i="11"/>
  <c r="I348" i="11"/>
  <c r="J348" i="11"/>
  <c r="B349" i="11"/>
  <c r="D18" i="10"/>
  <c r="C349" i="11"/>
  <c r="D349" i="11"/>
  <c r="U179" i="10"/>
  <c r="U18" i="10"/>
  <c r="E349" i="11"/>
  <c r="F349" i="11"/>
  <c r="G349" i="11"/>
  <c r="H349" i="11"/>
  <c r="I349" i="11"/>
  <c r="J349" i="11"/>
  <c r="B350" i="11"/>
  <c r="D19" i="10"/>
  <c r="C350" i="11"/>
  <c r="D350" i="11"/>
  <c r="U180" i="10"/>
  <c r="U19" i="10"/>
  <c r="E350" i="11"/>
  <c r="F350" i="11"/>
  <c r="G350" i="11"/>
  <c r="H350" i="11"/>
  <c r="I350" i="11"/>
  <c r="J350" i="11"/>
  <c r="B351" i="11"/>
  <c r="D20" i="10"/>
  <c r="C351" i="11"/>
  <c r="D351" i="11"/>
  <c r="U181" i="10"/>
  <c r="U20" i="10"/>
  <c r="E351" i="11"/>
  <c r="F351" i="11"/>
  <c r="G351" i="11"/>
  <c r="H351" i="11"/>
  <c r="I351" i="11"/>
  <c r="J351" i="11"/>
  <c r="B352" i="11"/>
  <c r="D21" i="10"/>
  <c r="C352" i="11"/>
  <c r="D352" i="11"/>
  <c r="U182" i="10"/>
  <c r="U21" i="10"/>
  <c r="E352" i="11"/>
  <c r="F352" i="11"/>
  <c r="G352" i="11"/>
  <c r="H352" i="11"/>
  <c r="I352" i="11"/>
  <c r="J352" i="11"/>
  <c r="B353" i="11"/>
  <c r="D22" i="10"/>
  <c r="C353" i="11"/>
  <c r="D353" i="11"/>
  <c r="U183" i="10"/>
  <c r="U22" i="10"/>
  <c r="E353" i="11"/>
  <c r="F353" i="11"/>
  <c r="G353" i="11"/>
  <c r="H353" i="11"/>
  <c r="I353" i="11"/>
  <c r="J353" i="11"/>
  <c r="B354" i="11"/>
  <c r="D23" i="10"/>
  <c r="C354" i="11"/>
  <c r="D354" i="11"/>
  <c r="U184" i="10"/>
  <c r="U23" i="10"/>
  <c r="E354" i="11"/>
  <c r="F354" i="11"/>
  <c r="G354" i="11"/>
  <c r="H354" i="11"/>
  <c r="I354" i="11"/>
  <c r="J354" i="11"/>
  <c r="B355" i="11"/>
  <c r="D24" i="10"/>
  <c r="C355" i="11"/>
  <c r="D355" i="11"/>
  <c r="U185" i="10"/>
  <c r="U24" i="10"/>
  <c r="E355" i="11"/>
  <c r="F355" i="11"/>
  <c r="G355" i="11"/>
  <c r="H355" i="11"/>
  <c r="I355" i="11"/>
  <c r="J355" i="11"/>
  <c r="B356" i="11"/>
  <c r="D25" i="10"/>
  <c r="C356" i="11"/>
  <c r="D356" i="11"/>
  <c r="U186" i="10"/>
  <c r="U25" i="10"/>
  <c r="E356" i="11"/>
  <c r="F356" i="11"/>
  <c r="G356" i="11"/>
  <c r="H356" i="11"/>
  <c r="I356" i="11"/>
  <c r="J356" i="11"/>
  <c r="B357" i="11"/>
  <c r="D26" i="10"/>
  <c r="C357" i="11"/>
  <c r="D357" i="11"/>
  <c r="U187" i="10"/>
  <c r="U26" i="10"/>
  <c r="E357" i="11"/>
  <c r="F357" i="11"/>
  <c r="G357" i="11"/>
  <c r="H357" i="11"/>
  <c r="I357" i="11"/>
  <c r="J357" i="11"/>
  <c r="B358" i="11"/>
  <c r="D27" i="10"/>
  <c r="C358" i="11"/>
  <c r="D358" i="11"/>
  <c r="U188" i="10"/>
  <c r="U27" i="10"/>
  <c r="E358" i="11"/>
  <c r="F358" i="11"/>
  <c r="G358" i="11"/>
  <c r="H358" i="11"/>
  <c r="I358" i="11"/>
  <c r="J358" i="11"/>
  <c r="B359" i="11"/>
  <c r="D28" i="10"/>
  <c r="C359" i="11"/>
  <c r="D359" i="11"/>
  <c r="U189" i="10"/>
  <c r="U28" i="10"/>
  <c r="E359" i="11"/>
  <c r="F359" i="11"/>
  <c r="G359" i="11"/>
  <c r="H359" i="11"/>
  <c r="I359" i="11"/>
  <c r="J359" i="11"/>
  <c r="B360" i="11"/>
  <c r="D29" i="10"/>
  <c r="C360" i="11"/>
  <c r="D360" i="11"/>
  <c r="U190" i="10"/>
  <c r="U29" i="10"/>
  <c r="E360" i="11"/>
  <c r="F360" i="11"/>
  <c r="G360" i="11"/>
  <c r="H360" i="11"/>
  <c r="I360" i="11"/>
  <c r="J360" i="11"/>
  <c r="B361" i="11"/>
  <c r="D30" i="10"/>
  <c r="C361" i="11"/>
  <c r="D361" i="11"/>
  <c r="U191" i="10"/>
  <c r="U30" i="10"/>
  <c r="E361" i="11"/>
  <c r="F361" i="11"/>
  <c r="G361" i="11"/>
  <c r="H361" i="11"/>
  <c r="I361" i="11"/>
  <c r="J361" i="11"/>
  <c r="B362" i="11"/>
  <c r="D31" i="10"/>
  <c r="C362" i="11"/>
  <c r="D362" i="11"/>
  <c r="U192" i="10"/>
  <c r="U31" i="10"/>
  <c r="E362" i="11"/>
  <c r="F362" i="11"/>
  <c r="G362" i="11"/>
  <c r="H362" i="11"/>
  <c r="I362" i="11"/>
  <c r="J362" i="11"/>
  <c r="B363" i="11"/>
  <c r="D32" i="10"/>
  <c r="C363" i="11"/>
  <c r="D363" i="11"/>
  <c r="U193" i="10"/>
  <c r="U32" i="10"/>
  <c r="E363" i="11"/>
  <c r="F363" i="11"/>
  <c r="G363" i="11"/>
  <c r="H363" i="11"/>
  <c r="I363" i="11"/>
  <c r="J363" i="11"/>
  <c r="B364" i="11"/>
  <c r="D33" i="10"/>
  <c r="C364" i="11"/>
  <c r="D364" i="11"/>
  <c r="U194" i="10"/>
  <c r="U33" i="10"/>
  <c r="E364" i="11"/>
  <c r="F364" i="11"/>
  <c r="G364" i="11"/>
  <c r="H364" i="11"/>
  <c r="I364" i="11"/>
  <c r="J364" i="11"/>
  <c r="B365" i="11"/>
  <c r="D34" i="10"/>
  <c r="C365" i="11"/>
  <c r="D365" i="11"/>
  <c r="U195" i="10"/>
  <c r="U34" i="10"/>
  <c r="E365" i="11"/>
  <c r="F365" i="11"/>
  <c r="G365" i="11"/>
  <c r="H365" i="11"/>
  <c r="I365" i="11"/>
  <c r="J365" i="11"/>
  <c r="B366" i="11"/>
  <c r="D35" i="10"/>
  <c r="C366" i="11"/>
  <c r="D366" i="11"/>
  <c r="U196" i="10"/>
  <c r="U35" i="10"/>
  <c r="E366" i="11"/>
  <c r="F366" i="11"/>
  <c r="G366" i="11"/>
  <c r="H366" i="11"/>
  <c r="I366" i="11"/>
  <c r="J366" i="11"/>
  <c r="B367" i="11"/>
  <c r="D36" i="10"/>
  <c r="C367" i="11"/>
  <c r="D367" i="11"/>
  <c r="U197" i="10"/>
  <c r="U36" i="10"/>
  <c r="E367" i="11"/>
  <c r="F367" i="11"/>
  <c r="G367" i="11"/>
  <c r="H367" i="11"/>
  <c r="I367" i="11"/>
  <c r="J367" i="11"/>
  <c r="B368" i="11"/>
  <c r="D37" i="10"/>
  <c r="C368" i="11"/>
  <c r="D368" i="11"/>
  <c r="U198" i="10"/>
  <c r="U37" i="10"/>
  <c r="E368" i="11"/>
  <c r="F368" i="11"/>
  <c r="G368" i="11"/>
  <c r="H368" i="11"/>
  <c r="I368" i="11"/>
  <c r="J368" i="11"/>
  <c r="B369" i="11"/>
  <c r="D38" i="10"/>
  <c r="C369" i="11"/>
  <c r="D369" i="11"/>
  <c r="U199" i="10"/>
  <c r="U38" i="10"/>
  <c r="E369" i="11"/>
  <c r="F369" i="11"/>
  <c r="G369" i="11"/>
  <c r="H369" i="11"/>
  <c r="I369" i="11"/>
  <c r="J369" i="11"/>
  <c r="B370" i="11"/>
  <c r="D39" i="10"/>
  <c r="C370" i="11"/>
  <c r="D370" i="11"/>
  <c r="U200" i="10"/>
  <c r="U39" i="10"/>
  <c r="E370" i="11"/>
  <c r="F370" i="11"/>
  <c r="G370" i="11"/>
  <c r="H370" i="11"/>
  <c r="I370" i="11"/>
  <c r="J370" i="11"/>
  <c r="B371" i="11"/>
  <c r="D40" i="10"/>
  <c r="C371" i="11"/>
  <c r="D371" i="11"/>
  <c r="U201" i="10"/>
  <c r="U40" i="10"/>
  <c r="E371" i="11"/>
  <c r="F371" i="11"/>
  <c r="G371" i="11"/>
  <c r="H371" i="11"/>
  <c r="I371" i="11"/>
  <c r="J371" i="11"/>
  <c r="B372" i="11"/>
  <c r="D41" i="10"/>
  <c r="C372" i="11"/>
  <c r="D372" i="11"/>
  <c r="U202" i="10"/>
  <c r="U41" i="10"/>
  <c r="E372" i="11"/>
  <c r="F372" i="11"/>
  <c r="G372" i="11"/>
  <c r="H372" i="11"/>
  <c r="I372" i="11"/>
  <c r="J372" i="11"/>
  <c r="B373" i="11"/>
  <c r="D42" i="10"/>
  <c r="C373" i="11"/>
  <c r="D373" i="11"/>
  <c r="U203" i="10"/>
  <c r="U42" i="10"/>
  <c r="E373" i="11"/>
  <c r="F373" i="11"/>
  <c r="G373" i="11"/>
  <c r="H373" i="11"/>
  <c r="I373" i="11"/>
  <c r="J373" i="11"/>
  <c r="B374" i="11"/>
  <c r="D43" i="10"/>
  <c r="C374" i="11"/>
  <c r="D374" i="11"/>
  <c r="U204" i="10"/>
  <c r="U43" i="10"/>
  <c r="E374" i="11"/>
  <c r="F374" i="11"/>
  <c r="G374" i="11"/>
  <c r="H374" i="11"/>
  <c r="I374" i="11"/>
  <c r="J374" i="11"/>
  <c r="B375" i="11"/>
  <c r="D44" i="10"/>
  <c r="C375" i="11"/>
  <c r="D375" i="11"/>
  <c r="U205" i="10"/>
  <c r="U44" i="10"/>
  <c r="E375" i="11"/>
  <c r="F375" i="11"/>
  <c r="G375" i="11"/>
  <c r="H375" i="11"/>
  <c r="I375" i="11"/>
  <c r="J375" i="11"/>
  <c r="B376" i="11"/>
  <c r="D45" i="10"/>
  <c r="C376" i="11"/>
  <c r="D376" i="11"/>
  <c r="U206" i="10"/>
  <c r="U45" i="10"/>
  <c r="E376" i="11"/>
  <c r="F376" i="11"/>
  <c r="G376" i="11"/>
  <c r="H376" i="11"/>
  <c r="I376" i="11"/>
  <c r="J376" i="11"/>
  <c r="B377" i="11"/>
  <c r="D46" i="10"/>
  <c r="C377" i="11"/>
  <c r="D377" i="11"/>
  <c r="U207" i="10"/>
  <c r="U46" i="10"/>
  <c r="E377" i="11"/>
  <c r="F377" i="11"/>
  <c r="G377" i="11"/>
  <c r="H377" i="11"/>
  <c r="I377" i="11"/>
  <c r="J377" i="11"/>
  <c r="B378" i="11"/>
  <c r="D47" i="10"/>
  <c r="C378" i="11"/>
  <c r="D378" i="11"/>
  <c r="U208" i="10"/>
  <c r="U47" i="10"/>
  <c r="E378" i="11"/>
  <c r="F378" i="11"/>
  <c r="G378" i="11"/>
  <c r="H378" i="11"/>
  <c r="I378" i="11"/>
  <c r="J378" i="11"/>
  <c r="B379" i="11"/>
  <c r="D48" i="10"/>
  <c r="C379" i="11"/>
  <c r="D379" i="11"/>
  <c r="U209" i="10"/>
  <c r="U48" i="10"/>
  <c r="E379" i="11"/>
  <c r="F379" i="11"/>
  <c r="G379" i="11"/>
  <c r="H379" i="11"/>
  <c r="I379" i="11"/>
  <c r="J379" i="11"/>
  <c r="B380" i="11"/>
  <c r="D49" i="10"/>
  <c r="C380" i="11"/>
  <c r="D380" i="11"/>
  <c r="U210" i="10"/>
  <c r="U49" i="10"/>
  <c r="E380" i="11"/>
  <c r="F380" i="11"/>
  <c r="G380" i="11"/>
  <c r="H380" i="11"/>
  <c r="I380" i="11"/>
  <c r="J380" i="11"/>
  <c r="B381" i="11"/>
  <c r="D50" i="10"/>
  <c r="C381" i="11"/>
  <c r="D381" i="11"/>
  <c r="U211" i="10"/>
  <c r="U50" i="10"/>
  <c r="E381" i="11"/>
  <c r="F381" i="11"/>
  <c r="G381" i="11"/>
  <c r="H381" i="11"/>
  <c r="I381" i="11"/>
  <c r="J381" i="11"/>
  <c r="B382" i="11"/>
  <c r="D51" i="10"/>
  <c r="C382" i="11"/>
  <c r="D382" i="11"/>
  <c r="U212" i="10"/>
  <c r="U51" i="10"/>
  <c r="E382" i="11"/>
  <c r="F382" i="11"/>
  <c r="G382" i="11"/>
  <c r="H382" i="11"/>
  <c r="I382" i="11"/>
  <c r="J382" i="11"/>
  <c r="B383" i="11"/>
  <c r="D52" i="10"/>
  <c r="C383" i="11"/>
  <c r="D383" i="11"/>
  <c r="U213" i="10"/>
  <c r="U52" i="10"/>
  <c r="E383" i="11"/>
  <c r="F383" i="11"/>
  <c r="G383" i="11"/>
  <c r="H383" i="11"/>
  <c r="I383" i="11"/>
  <c r="J383" i="11"/>
  <c r="B384" i="11"/>
  <c r="D53" i="10"/>
  <c r="C384" i="11"/>
  <c r="D384" i="11"/>
  <c r="U214" i="10"/>
  <c r="U53" i="10"/>
  <c r="E384" i="11"/>
  <c r="F384" i="11"/>
  <c r="G384" i="11"/>
  <c r="H384" i="11"/>
  <c r="I384" i="11"/>
  <c r="J384" i="11"/>
  <c r="B385" i="11"/>
  <c r="D54" i="10"/>
  <c r="C385" i="11"/>
  <c r="D385" i="11"/>
  <c r="U215" i="10"/>
  <c r="U54" i="10"/>
  <c r="E385" i="11"/>
  <c r="F385" i="11"/>
  <c r="G385" i="11"/>
  <c r="H385" i="11"/>
  <c r="I385" i="11"/>
  <c r="J385" i="11"/>
  <c r="B386" i="11"/>
  <c r="D55" i="10"/>
  <c r="C386" i="11"/>
  <c r="D386" i="11"/>
  <c r="U216" i="10"/>
  <c r="U55" i="10"/>
  <c r="E386" i="11"/>
  <c r="F386" i="11"/>
  <c r="G386" i="11"/>
  <c r="H386" i="11"/>
  <c r="I386" i="11"/>
  <c r="J386" i="11"/>
  <c r="B387" i="11"/>
  <c r="D56" i="10"/>
  <c r="C387" i="11"/>
  <c r="D387" i="11"/>
  <c r="U217" i="10"/>
  <c r="U56" i="10"/>
  <c r="E387" i="11"/>
  <c r="F387" i="11"/>
  <c r="G387" i="11"/>
  <c r="H387" i="11"/>
  <c r="I387" i="11"/>
  <c r="J387" i="11"/>
  <c r="B388" i="11"/>
  <c r="D57" i="10"/>
  <c r="C388" i="11"/>
  <c r="D388" i="11"/>
  <c r="U218" i="10"/>
  <c r="U57" i="10"/>
  <c r="E388" i="11"/>
  <c r="F388" i="11"/>
  <c r="G388" i="11"/>
  <c r="H388" i="11"/>
  <c r="I388" i="11"/>
  <c r="J388" i="11"/>
  <c r="B389" i="11"/>
  <c r="D58" i="10"/>
  <c r="C389" i="11"/>
  <c r="D389" i="11"/>
  <c r="U219" i="10"/>
  <c r="U58" i="10"/>
  <c r="E389" i="11"/>
  <c r="F389" i="11"/>
  <c r="G389" i="11"/>
  <c r="H389" i="11"/>
  <c r="I389" i="11"/>
  <c r="J389" i="11"/>
  <c r="B390" i="11"/>
  <c r="D59" i="10"/>
  <c r="C390" i="11"/>
  <c r="D390" i="11"/>
  <c r="U220" i="10"/>
  <c r="U59" i="10"/>
  <c r="E390" i="11"/>
  <c r="F390" i="11"/>
  <c r="G390" i="11"/>
  <c r="H390" i="11"/>
  <c r="I390" i="11"/>
  <c r="J390" i="11"/>
  <c r="B391" i="11"/>
  <c r="D60" i="10"/>
  <c r="C391" i="11"/>
  <c r="D391" i="11"/>
  <c r="U221" i="10"/>
  <c r="U60" i="10"/>
  <c r="E391" i="11"/>
  <c r="F391" i="11"/>
  <c r="G391" i="11"/>
  <c r="H391" i="11"/>
  <c r="I391" i="11"/>
  <c r="J391" i="11"/>
  <c r="B392" i="11"/>
  <c r="D61" i="10"/>
  <c r="C392" i="11"/>
  <c r="D392" i="11"/>
  <c r="U222" i="10"/>
  <c r="U61" i="10"/>
  <c r="E392" i="11"/>
  <c r="F392" i="11"/>
  <c r="G392" i="11"/>
  <c r="H392" i="11"/>
  <c r="I392" i="11"/>
  <c r="J392" i="11"/>
  <c r="B393" i="11"/>
  <c r="D62" i="10"/>
  <c r="C393" i="11"/>
  <c r="D393" i="11"/>
  <c r="U223" i="10"/>
  <c r="U62" i="10"/>
  <c r="E393" i="11"/>
  <c r="F393" i="11"/>
  <c r="G393" i="11"/>
  <c r="H393" i="11"/>
  <c r="I393" i="11"/>
  <c r="J393" i="11"/>
  <c r="B394" i="11"/>
  <c r="D63" i="10"/>
  <c r="C394" i="11"/>
  <c r="D394" i="11"/>
  <c r="U224" i="10"/>
  <c r="U63" i="10"/>
  <c r="E394" i="11"/>
  <c r="F394" i="11"/>
  <c r="G394" i="11"/>
  <c r="H394" i="11"/>
  <c r="I394" i="11"/>
  <c r="J394" i="11"/>
  <c r="B395" i="11"/>
  <c r="D64" i="10"/>
  <c r="C395" i="11"/>
  <c r="D395" i="11"/>
  <c r="U225" i="10"/>
  <c r="U64" i="10"/>
  <c r="E395" i="11"/>
  <c r="F395" i="11"/>
  <c r="G395" i="11"/>
  <c r="H395" i="11"/>
  <c r="I395" i="11"/>
  <c r="J395" i="11"/>
  <c r="B396" i="11"/>
  <c r="D65" i="10"/>
  <c r="C396" i="11"/>
  <c r="D396" i="11"/>
  <c r="U226" i="10"/>
  <c r="U65" i="10"/>
  <c r="E396" i="11"/>
  <c r="F396" i="11"/>
  <c r="G396" i="11"/>
  <c r="H396" i="11"/>
  <c r="I396" i="11"/>
  <c r="J396" i="11"/>
  <c r="B397" i="11"/>
  <c r="D66" i="10"/>
  <c r="C397" i="11"/>
  <c r="D397" i="11"/>
  <c r="U227" i="10"/>
  <c r="U66" i="10"/>
  <c r="E397" i="11"/>
  <c r="F397" i="11"/>
  <c r="G397" i="11"/>
  <c r="H397" i="11"/>
  <c r="I397" i="11"/>
  <c r="J397" i="11"/>
  <c r="B398" i="11"/>
  <c r="D67" i="10"/>
  <c r="C398" i="11"/>
  <c r="D398" i="11"/>
  <c r="U228" i="10"/>
  <c r="U67" i="10"/>
  <c r="E398" i="11"/>
  <c r="F398" i="11"/>
  <c r="G398" i="11"/>
  <c r="H398" i="11"/>
  <c r="I398" i="11"/>
  <c r="J398" i="11"/>
  <c r="B399" i="11"/>
  <c r="D68" i="10"/>
  <c r="C399" i="11"/>
  <c r="D399" i="11"/>
  <c r="U229" i="10"/>
  <c r="U68" i="10"/>
  <c r="E399" i="11"/>
  <c r="F399" i="11"/>
  <c r="G399" i="11"/>
  <c r="H399" i="11"/>
  <c r="I399" i="11"/>
  <c r="J399" i="11"/>
  <c r="B400" i="11"/>
  <c r="D69" i="10"/>
  <c r="C400" i="11"/>
  <c r="D400" i="11"/>
  <c r="U230" i="10"/>
  <c r="U69" i="10"/>
  <c r="E400" i="11"/>
  <c r="F400" i="11"/>
  <c r="G400" i="11"/>
  <c r="H400" i="11"/>
  <c r="I400" i="11"/>
  <c r="J400" i="11"/>
  <c r="B401" i="11"/>
  <c r="D70" i="10"/>
  <c r="C401" i="11"/>
  <c r="D401" i="11"/>
  <c r="U231" i="10"/>
  <c r="U70" i="10"/>
  <c r="E401" i="11"/>
  <c r="F401" i="11"/>
  <c r="G401" i="11"/>
  <c r="H401" i="11"/>
  <c r="I401" i="11"/>
  <c r="J401" i="11"/>
  <c r="B402" i="11"/>
  <c r="D71" i="10"/>
  <c r="C402" i="11"/>
  <c r="D402" i="11"/>
  <c r="U232" i="10"/>
  <c r="U71" i="10"/>
  <c r="E402" i="11"/>
  <c r="F402" i="11"/>
  <c r="G402" i="11"/>
  <c r="H402" i="11"/>
  <c r="I402" i="11"/>
  <c r="J402" i="11"/>
  <c r="B403" i="11"/>
  <c r="D72" i="10"/>
  <c r="C403" i="11"/>
  <c r="D403" i="11"/>
  <c r="U233" i="10"/>
  <c r="U72" i="10"/>
  <c r="E403" i="11"/>
  <c r="F403" i="11"/>
  <c r="G403" i="11"/>
  <c r="H403" i="11"/>
  <c r="I403" i="11"/>
  <c r="J403" i="11"/>
  <c r="B404" i="11"/>
  <c r="D73" i="10"/>
  <c r="C404" i="11"/>
  <c r="D404" i="11"/>
  <c r="U234" i="10"/>
  <c r="U73" i="10"/>
  <c r="E404" i="11"/>
  <c r="F404" i="11"/>
  <c r="G404" i="11"/>
  <c r="H404" i="11"/>
  <c r="I404" i="11"/>
  <c r="J404" i="11"/>
  <c r="B405" i="11"/>
  <c r="D74" i="10"/>
  <c r="C405" i="11"/>
  <c r="D405" i="11"/>
  <c r="U235" i="10"/>
  <c r="U74" i="10"/>
  <c r="E405" i="11"/>
  <c r="F405" i="11"/>
  <c r="G405" i="11"/>
  <c r="H405" i="11"/>
  <c r="I405" i="11"/>
  <c r="J405" i="11"/>
  <c r="B406" i="11"/>
  <c r="D75" i="10"/>
  <c r="C406" i="11"/>
  <c r="D406" i="11"/>
  <c r="U236" i="10"/>
  <c r="U75" i="10"/>
  <c r="E406" i="11"/>
  <c r="F406" i="11"/>
  <c r="G406" i="11"/>
  <c r="H406" i="11"/>
  <c r="I406" i="11"/>
  <c r="J406" i="11"/>
  <c r="B407" i="11"/>
  <c r="D76" i="10"/>
  <c r="C407" i="11"/>
  <c r="D407" i="11"/>
  <c r="U237" i="10"/>
  <c r="U76" i="10"/>
  <c r="E407" i="11"/>
  <c r="F407" i="11"/>
  <c r="G407" i="11"/>
  <c r="H407" i="11"/>
  <c r="I407" i="11"/>
  <c r="J407" i="11"/>
  <c r="B408" i="11"/>
  <c r="D77" i="10"/>
  <c r="C408" i="11"/>
  <c r="D408" i="11"/>
  <c r="U238" i="10"/>
  <c r="U77" i="10"/>
  <c r="E408" i="11"/>
  <c r="F408" i="11"/>
  <c r="G408" i="11"/>
  <c r="H408" i="11"/>
  <c r="I408" i="11"/>
  <c r="J408" i="11"/>
  <c r="B409" i="11"/>
  <c r="D78" i="10"/>
  <c r="C409" i="11"/>
  <c r="D409" i="11"/>
  <c r="U239" i="10"/>
  <c r="U78" i="10"/>
  <c r="E409" i="11"/>
  <c r="F409" i="11"/>
  <c r="G409" i="11"/>
  <c r="H409" i="11"/>
  <c r="I409" i="11"/>
  <c r="J409" i="11"/>
  <c r="B410" i="11"/>
  <c r="D79" i="10"/>
  <c r="C410" i="11"/>
  <c r="D410" i="11"/>
  <c r="U240" i="10"/>
  <c r="U79" i="10"/>
  <c r="E410" i="11"/>
  <c r="F410" i="11"/>
  <c r="G410" i="11"/>
  <c r="H410" i="11"/>
  <c r="I410" i="11"/>
  <c r="J410" i="11"/>
  <c r="B411" i="11"/>
  <c r="D80" i="10"/>
  <c r="C411" i="11"/>
  <c r="D411" i="11"/>
  <c r="U241" i="10"/>
  <c r="U80" i="10"/>
  <c r="E411" i="11"/>
  <c r="F411" i="11"/>
  <c r="G411" i="11"/>
  <c r="H411" i="11"/>
  <c r="I411" i="11"/>
  <c r="J411" i="11"/>
  <c r="B412" i="11"/>
  <c r="D81" i="10"/>
  <c r="C412" i="11"/>
  <c r="D412" i="11"/>
  <c r="U242" i="10"/>
  <c r="U81" i="10"/>
  <c r="E412" i="11"/>
  <c r="F412" i="11"/>
  <c r="G412" i="11"/>
  <c r="H412" i="11"/>
  <c r="I412" i="11"/>
  <c r="J412" i="11"/>
  <c r="B413" i="11"/>
  <c r="D82" i="10"/>
  <c r="C413" i="11"/>
  <c r="D413" i="11"/>
  <c r="U243" i="10"/>
  <c r="U82" i="10"/>
  <c r="E413" i="11"/>
  <c r="F413" i="11"/>
  <c r="G413" i="11"/>
  <c r="H413" i="11"/>
  <c r="I413" i="11"/>
  <c r="J413" i="11"/>
  <c r="B414" i="11"/>
  <c r="D83" i="10"/>
  <c r="C414" i="11"/>
  <c r="D414" i="11"/>
  <c r="U244" i="10"/>
  <c r="U83" i="10"/>
  <c r="E414" i="11"/>
  <c r="F414" i="11"/>
  <c r="G414" i="11"/>
  <c r="H414" i="11"/>
  <c r="I414" i="11"/>
  <c r="J414" i="11"/>
  <c r="B415" i="11"/>
  <c r="D84" i="10"/>
  <c r="C415" i="11"/>
  <c r="D415" i="11"/>
  <c r="U245" i="10"/>
  <c r="U84" i="10"/>
  <c r="E415" i="11"/>
  <c r="F415" i="11"/>
  <c r="G415" i="11"/>
  <c r="H415" i="11"/>
  <c r="I415" i="11"/>
  <c r="J415" i="11"/>
  <c r="B416" i="11"/>
  <c r="D85" i="10"/>
  <c r="C416" i="11"/>
  <c r="D416" i="11"/>
  <c r="U246" i="10"/>
  <c r="U85" i="10"/>
  <c r="E416" i="11"/>
  <c r="F416" i="11"/>
  <c r="G416" i="11"/>
  <c r="H416" i="11"/>
  <c r="I416" i="11"/>
  <c r="J416" i="11"/>
  <c r="B417" i="11"/>
  <c r="D86" i="10"/>
  <c r="C417" i="11"/>
  <c r="D417" i="11"/>
  <c r="U247" i="10"/>
  <c r="U86" i="10"/>
  <c r="E417" i="11"/>
  <c r="F417" i="11"/>
  <c r="G417" i="11"/>
  <c r="H417" i="11"/>
  <c r="I417" i="11"/>
  <c r="J417" i="11"/>
  <c r="B418" i="11"/>
  <c r="D87" i="10"/>
  <c r="C418" i="11"/>
  <c r="D418" i="11"/>
  <c r="U248" i="10"/>
  <c r="U87" i="10"/>
  <c r="E418" i="11"/>
  <c r="F418" i="11"/>
  <c r="G418" i="11"/>
  <c r="H418" i="11"/>
  <c r="I418" i="11"/>
  <c r="J418" i="11"/>
  <c r="B419" i="11"/>
  <c r="D88" i="10"/>
  <c r="C419" i="11"/>
  <c r="D419" i="11"/>
  <c r="U249" i="10"/>
  <c r="U88" i="10"/>
  <c r="E419" i="11"/>
  <c r="F419" i="11"/>
  <c r="G419" i="11"/>
  <c r="H419" i="11"/>
  <c r="I419" i="11"/>
  <c r="J419" i="11"/>
  <c r="B420" i="11"/>
  <c r="D89" i="10"/>
  <c r="C420" i="11"/>
  <c r="D420" i="11"/>
  <c r="U250" i="10"/>
  <c r="U89" i="10"/>
  <c r="E420" i="11"/>
  <c r="F420" i="11"/>
  <c r="G420" i="11"/>
  <c r="H420" i="11"/>
  <c r="I420" i="11"/>
  <c r="J420" i="11"/>
  <c r="B421" i="11"/>
  <c r="D90" i="10"/>
  <c r="C421" i="11"/>
  <c r="D421" i="11"/>
  <c r="U251" i="10"/>
  <c r="U90" i="10"/>
  <c r="E421" i="11"/>
  <c r="F421" i="11"/>
  <c r="G421" i="11"/>
  <c r="H421" i="11"/>
  <c r="I421" i="11"/>
  <c r="J421" i="11"/>
  <c r="B422" i="11"/>
  <c r="D91" i="10"/>
  <c r="C422" i="11"/>
  <c r="D422" i="11"/>
  <c r="U252" i="10"/>
  <c r="U91" i="10"/>
  <c r="E422" i="11"/>
  <c r="F422" i="11"/>
  <c r="G422" i="11"/>
  <c r="H422" i="11"/>
  <c r="I422" i="11"/>
  <c r="J422" i="11"/>
  <c r="B423" i="11"/>
  <c r="D92" i="10"/>
  <c r="C423" i="11"/>
  <c r="D423" i="11"/>
  <c r="U253" i="10"/>
  <c r="U92" i="10"/>
  <c r="E423" i="11"/>
  <c r="F423" i="11"/>
  <c r="G423" i="11"/>
  <c r="H423" i="11"/>
  <c r="I423" i="11"/>
  <c r="J423" i="11"/>
  <c r="B424" i="11"/>
  <c r="D93" i="10"/>
  <c r="C424" i="11"/>
  <c r="D424" i="11"/>
  <c r="U254" i="10"/>
  <c r="U93" i="10"/>
  <c r="E424" i="11"/>
  <c r="F424" i="11"/>
  <c r="G424" i="11"/>
  <c r="H424" i="11"/>
  <c r="I424" i="11"/>
  <c r="J424" i="11"/>
  <c r="B425" i="11"/>
  <c r="D94" i="10"/>
  <c r="C425" i="11"/>
  <c r="D425" i="11"/>
  <c r="U255" i="10"/>
  <c r="U94" i="10"/>
  <c r="E425" i="11"/>
  <c r="F425" i="11"/>
  <c r="G425" i="11"/>
  <c r="H425" i="11"/>
  <c r="I425" i="11"/>
  <c r="J425" i="11"/>
  <c r="B426" i="11"/>
  <c r="D95" i="10"/>
  <c r="C426" i="11"/>
  <c r="D426" i="11"/>
  <c r="U256" i="10"/>
  <c r="U95" i="10"/>
  <c r="E426" i="11"/>
  <c r="F426" i="11"/>
  <c r="G426" i="11"/>
  <c r="H426" i="11"/>
  <c r="I426" i="11"/>
  <c r="J426" i="11"/>
  <c r="B427" i="11"/>
  <c r="D96" i="10"/>
  <c r="C427" i="11"/>
  <c r="D427" i="11"/>
  <c r="U257" i="10"/>
  <c r="U96" i="10"/>
  <c r="E427" i="11"/>
  <c r="F427" i="11"/>
  <c r="G427" i="11"/>
  <c r="H427" i="11"/>
  <c r="I427" i="11"/>
  <c r="J427" i="11"/>
  <c r="B428" i="11"/>
  <c r="D97" i="10"/>
  <c r="C428" i="11"/>
  <c r="D428" i="11"/>
  <c r="U258" i="10"/>
  <c r="U97" i="10"/>
  <c r="E428" i="11"/>
  <c r="F428" i="11"/>
  <c r="G428" i="11"/>
  <c r="H428" i="11"/>
  <c r="I428" i="11"/>
  <c r="J428" i="11"/>
  <c r="B429" i="11"/>
  <c r="D98" i="10"/>
  <c r="C429" i="11"/>
  <c r="D429" i="11"/>
  <c r="U259" i="10"/>
  <c r="U98" i="10"/>
  <c r="E429" i="11"/>
  <c r="F429" i="11"/>
  <c r="G429" i="11"/>
  <c r="H429" i="11"/>
  <c r="I429" i="11"/>
  <c r="J429" i="11"/>
  <c r="B430" i="11"/>
  <c r="D99" i="10"/>
  <c r="C430" i="11"/>
  <c r="D430" i="11"/>
  <c r="U260" i="10"/>
  <c r="U99" i="10"/>
  <c r="E430" i="11"/>
  <c r="F430" i="11"/>
  <c r="G430" i="11"/>
  <c r="H430" i="11"/>
  <c r="I430" i="11"/>
  <c r="J430" i="11"/>
  <c r="B431" i="11"/>
  <c r="D100" i="10"/>
  <c r="C431" i="11"/>
  <c r="D431" i="11"/>
  <c r="U261" i="10"/>
  <c r="U100" i="10"/>
  <c r="E431" i="11"/>
  <c r="F431" i="11"/>
  <c r="G431" i="11"/>
  <c r="H431" i="11"/>
  <c r="I431" i="11"/>
  <c r="J431" i="11"/>
  <c r="B432" i="11"/>
  <c r="D101" i="10"/>
  <c r="C432" i="11"/>
  <c r="D432" i="11"/>
  <c r="U262" i="10"/>
  <c r="U101" i="10"/>
  <c r="E432" i="11"/>
  <c r="F432" i="11"/>
  <c r="G432" i="11"/>
  <c r="H432" i="11"/>
  <c r="I432" i="11"/>
  <c r="J432" i="11"/>
  <c r="B433" i="11"/>
  <c r="D102" i="10"/>
  <c r="C433" i="11"/>
  <c r="D433" i="11"/>
  <c r="U263" i="10"/>
  <c r="U102" i="10"/>
  <c r="E433" i="11"/>
  <c r="F433" i="11"/>
  <c r="G433" i="11"/>
  <c r="H433" i="11"/>
  <c r="I433" i="11"/>
  <c r="J433" i="11"/>
  <c r="B434" i="11"/>
  <c r="D103" i="10"/>
  <c r="C434" i="11"/>
  <c r="D434" i="11"/>
  <c r="U264" i="10"/>
  <c r="U103" i="10"/>
  <c r="E434" i="11"/>
  <c r="F434" i="11"/>
  <c r="G434" i="11"/>
  <c r="H434" i="11"/>
  <c r="I434" i="11"/>
  <c r="J434" i="11"/>
  <c r="B435" i="11"/>
  <c r="D104" i="10"/>
  <c r="C435" i="11"/>
  <c r="D435" i="11"/>
  <c r="U265" i="10"/>
  <c r="U104" i="10"/>
  <c r="E435" i="11"/>
  <c r="F435" i="11"/>
  <c r="G435" i="11"/>
  <c r="H435" i="11"/>
  <c r="I435" i="11"/>
  <c r="J435" i="11"/>
  <c r="B436" i="11"/>
  <c r="D105" i="10"/>
  <c r="C436" i="11"/>
  <c r="D436" i="11"/>
  <c r="U266" i="10"/>
  <c r="U105" i="10"/>
  <c r="E436" i="11"/>
  <c r="F436" i="11"/>
  <c r="G436" i="11"/>
  <c r="H436" i="11"/>
  <c r="I436" i="11"/>
  <c r="J436" i="11"/>
  <c r="B437" i="11"/>
  <c r="D106" i="10"/>
  <c r="C437" i="11"/>
  <c r="D437" i="11"/>
  <c r="U267" i="10"/>
  <c r="U106" i="10"/>
  <c r="E437" i="11"/>
  <c r="F437" i="11"/>
  <c r="G437" i="11"/>
  <c r="H437" i="11"/>
  <c r="I437" i="11"/>
  <c r="J437" i="11"/>
  <c r="B438" i="11"/>
  <c r="D107" i="10"/>
  <c r="C438" i="11"/>
  <c r="D438" i="11"/>
  <c r="U268" i="10"/>
  <c r="U107" i="10"/>
  <c r="E438" i="11"/>
  <c r="F438" i="11"/>
  <c r="G438" i="11"/>
  <c r="H438" i="11"/>
  <c r="I438" i="11"/>
  <c r="J438" i="11"/>
  <c r="B439" i="11"/>
  <c r="D108" i="10"/>
  <c r="C439" i="11"/>
  <c r="D439" i="11"/>
  <c r="U269" i="10"/>
  <c r="U108" i="10"/>
  <c r="E439" i="11"/>
  <c r="F439" i="11"/>
  <c r="G439" i="11"/>
  <c r="H439" i="11"/>
  <c r="I439" i="11"/>
  <c r="J439" i="11"/>
  <c r="J440" i="11"/>
  <c r="D110" i="10"/>
  <c r="C441" i="11"/>
  <c r="B441" i="11"/>
  <c r="D441" i="11"/>
  <c r="U110" i="10"/>
  <c r="E441" i="11"/>
  <c r="F441" i="11"/>
  <c r="G441" i="11"/>
  <c r="H441" i="11"/>
  <c r="I441" i="11"/>
  <c r="J441" i="11"/>
  <c r="D111" i="10"/>
  <c r="C442" i="11"/>
  <c r="B442" i="11"/>
  <c r="D442" i="11"/>
  <c r="U111" i="10"/>
  <c r="E442" i="11"/>
  <c r="F442" i="11"/>
  <c r="G442" i="11"/>
  <c r="H442" i="11"/>
  <c r="I442" i="11"/>
  <c r="J442" i="11"/>
  <c r="J443" i="11"/>
  <c r="CA112" i="10"/>
  <c r="K443" i="11"/>
  <c r="CA109" i="10"/>
  <c r="K440" i="11"/>
  <c r="K339" i="11"/>
  <c r="L339" i="11"/>
  <c r="K340" i="11"/>
  <c r="L340" i="11"/>
  <c r="K341" i="11"/>
  <c r="L341" i="11"/>
  <c r="K342" i="11"/>
  <c r="L342" i="11"/>
  <c r="K343" i="11"/>
  <c r="L343" i="11"/>
  <c r="K344" i="11"/>
  <c r="L344" i="11"/>
  <c r="K345" i="11"/>
  <c r="L345" i="11"/>
  <c r="K346" i="11"/>
  <c r="L346" i="11"/>
  <c r="K347" i="11"/>
  <c r="L347" i="11"/>
  <c r="K348" i="11"/>
  <c r="L348" i="11"/>
  <c r="K349" i="11"/>
  <c r="L349" i="11"/>
  <c r="K350" i="11"/>
  <c r="L350" i="11"/>
  <c r="K351" i="11"/>
  <c r="L351" i="11"/>
  <c r="K352" i="11"/>
  <c r="L352" i="11"/>
  <c r="K353" i="11"/>
  <c r="L353" i="11"/>
  <c r="K354" i="11"/>
  <c r="L354" i="11"/>
  <c r="K355" i="11"/>
  <c r="L355" i="11"/>
  <c r="K356" i="11"/>
  <c r="L356" i="11"/>
  <c r="K357" i="11"/>
  <c r="L357" i="11"/>
  <c r="K358" i="11"/>
  <c r="L358" i="11"/>
  <c r="K359" i="11"/>
  <c r="L359" i="11"/>
  <c r="K360" i="11"/>
  <c r="L360" i="11"/>
  <c r="K361" i="11"/>
  <c r="L361" i="11"/>
  <c r="K362" i="11"/>
  <c r="L362" i="11"/>
  <c r="K363" i="11"/>
  <c r="L363" i="11"/>
  <c r="K364" i="11"/>
  <c r="L364" i="11"/>
  <c r="K365" i="11"/>
  <c r="L365" i="11"/>
  <c r="K366" i="11"/>
  <c r="L366" i="11"/>
  <c r="K367" i="11"/>
  <c r="L367" i="11"/>
  <c r="K368" i="11"/>
  <c r="L368" i="11"/>
  <c r="K369" i="11"/>
  <c r="L369" i="11"/>
  <c r="K370" i="11"/>
  <c r="L370" i="11"/>
  <c r="K371" i="11"/>
  <c r="L371" i="11"/>
  <c r="K372" i="11"/>
  <c r="L372" i="11"/>
  <c r="K373" i="11"/>
  <c r="L373" i="11"/>
  <c r="K374" i="11"/>
  <c r="L374" i="11"/>
  <c r="K375" i="11"/>
  <c r="L375" i="11"/>
  <c r="K376" i="11"/>
  <c r="L376" i="11"/>
  <c r="K377" i="11"/>
  <c r="L377" i="11"/>
  <c r="K378" i="11"/>
  <c r="L378" i="11"/>
  <c r="K379" i="11"/>
  <c r="L379" i="11"/>
  <c r="K380" i="11"/>
  <c r="L380" i="11"/>
  <c r="K381" i="11"/>
  <c r="L381" i="11"/>
  <c r="CA51" i="10"/>
  <c r="K382" i="11"/>
  <c r="L382" i="11"/>
  <c r="CA52" i="10"/>
  <c r="K383" i="11"/>
  <c r="L383" i="11"/>
  <c r="CA53" i="10"/>
  <c r="K384" i="11"/>
  <c r="L384" i="11"/>
  <c r="CA54" i="10"/>
  <c r="K385" i="11"/>
  <c r="L385" i="11"/>
  <c r="CA55" i="10"/>
  <c r="K386" i="11"/>
  <c r="L386" i="11"/>
  <c r="CA56" i="10"/>
  <c r="K387" i="11"/>
  <c r="L387" i="11"/>
  <c r="CA57" i="10"/>
  <c r="K388" i="11"/>
  <c r="L388" i="11"/>
  <c r="CA58" i="10"/>
  <c r="K389" i="11"/>
  <c r="L389" i="11"/>
  <c r="CA59" i="10"/>
  <c r="K390" i="11"/>
  <c r="L390" i="11"/>
  <c r="CA60" i="10"/>
  <c r="K391" i="11"/>
  <c r="L391" i="11"/>
  <c r="CA61" i="10"/>
  <c r="K392" i="11"/>
  <c r="L392" i="11"/>
  <c r="CA62" i="10"/>
  <c r="K393" i="11"/>
  <c r="L393" i="11"/>
  <c r="CA63" i="10"/>
  <c r="K394" i="11"/>
  <c r="L394" i="11"/>
  <c r="CA64" i="10"/>
  <c r="K395" i="11"/>
  <c r="L395" i="11"/>
  <c r="CA65" i="10"/>
  <c r="K396" i="11"/>
  <c r="L396" i="11"/>
  <c r="CA66" i="10"/>
  <c r="K397" i="11"/>
  <c r="L397" i="11"/>
  <c r="CA67" i="10"/>
  <c r="K398" i="11"/>
  <c r="L398" i="11"/>
  <c r="CA68" i="10"/>
  <c r="K399" i="11"/>
  <c r="L399" i="11"/>
  <c r="CA69" i="10"/>
  <c r="K400" i="11"/>
  <c r="L400" i="11"/>
  <c r="CA70" i="10"/>
  <c r="K401" i="11"/>
  <c r="L401" i="11"/>
  <c r="CA71" i="10"/>
  <c r="K402" i="11"/>
  <c r="L402" i="11"/>
  <c r="CA72" i="10"/>
  <c r="K403" i="11"/>
  <c r="L403" i="11"/>
  <c r="CA73" i="10"/>
  <c r="K404" i="11"/>
  <c r="L404" i="11"/>
  <c r="CA74" i="10"/>
  <c r="K405" i="11"/>
  <c r="L405" i="11"/>
  <c r="CA75" i="10"/>
  <c r="K406" i="11"/>
  <c r="L406" i="11"/>
  <c r="CA76" i="10"/>
  <c r="K407" i="11"/>
  <c r="L407" i="11"/>
  <c r="CA77" i="10"/>
  <c r="K408" i="11"/>
  <c r="L408" i="11"/>
  <c r="CA78" i="10"/>
  <c r="K409" i="11"/>
  <c r="L409" i="11"/>
  <c r="CA79" i="10"/>
  <c r="K410" i="11"/>
  <c r="L410" i="11"/>
  <c r="CA80" i="10"/>
  <c r="K411" i="11"/>
  <c r="L411" i="11"/>
  <c r="CA81" i="10"/>
  <c r="K412" i="11"/>
  <c r="L412" i="11"/>
  <c r="CA82" i="10"/>
  <c r="K413" i="11"/>
  <c r="L413" i="11"/>
  <c r="CA83" i="10"/>
  <c r="K414" i="11"/>
  <c r="L414" i="11"/>
  <c r="CA84" i="10"/>
  <c r="K415" i="11"/>
  <c r="L415" i="11"/>
  <c r="CA85" i="10"/>
  <c r="K416" i="11"/>
  <c r="L416" i="11"/>
  <c r="CA86" i="10"/>
  <c r="K417" i="11"/>
  <c r="L417" i="11"/>
  <c r="CA87" i="10"/>
  <c r="K418" i="11"/>
  <c r="L418" i="11"/>
  <c r="CA88" i="10"/>
  <c r="K419" i="11"/>
  <c r="L419" i="11"/>
  <c r="CA89" i="10"/>
  <c r="K420" i="11"/>
  <c r="L420" i="11"/>
  <c r="CA90" i="10"/>
  <c r="K421" i="11"/>
  <c r="L421" i="11"/>
  <c r="CA91" i="10"/>
  <c r="K422" i="11"/>
  <c r="L422" i="11"/>
  <c r="CA92" i="10"/>
  <c r="K423" i="11"/>
  <c r="L423" i="11"/>
  <c r="CA93" i="10"/>
  <c r="K424" i="11"/>
  <c r="L424" i="11"/>
  <c r="CA94" i="10"/>
  <c r="K425" i="11"/>
  <c r="L425" i="11"/>
  <c r="CA95" i="10"/>
  <c r="K426" i="11"/>
  <c r="L426" i="11"/>
  <c r="CA96" i="10"/>
  <c r="K427" i="11"/>
  <c r="L427" i="11"/>
  <c r="CA97" i="10"/>
  <c r="K428" i="11"/>
  <c r="L428" i="11"/>
  <c r="CA98" i="10"/>
  <c r="K429" i="11"/>
  <c r="L429" i="11"/>
  <c r="CA99" i="10"/>
  <c r="K430" i="11"/>
  <c r="L430" i="11"/>
  <c r="CA100" i="10"/>
  <c r="K431" i="11"/>
  <c r="L431" i="11"/>
  <c r="CA101" i="10"/>
  <c r="K432" i="11"/>
  <c r="L432" i="11"/>
  <c r="CA102" i="10"/>
  <c r="K433" i="11"/>
  <c r="L433" i="11"/>
  <c r="CA103" i="10"/>
  <c r="K434" i="11"/>
  <c r="L434" i="11"/>
  <c r="CA104" i="10"/>
  <c r="K435" i="11"/>
  <c r="L435" i="11"/>
  <c r="CA105" i="10"/>
  <c r="K436" i="11"/>
  <c r="L436" i="11"/>
  <c r="CA106" i="10"/>
  <c r="K437" i="11"/>
  <c r="L437" i="11"/>
  <c r="CA107" i="10"/>
  <c r="K438" i="11"/>
  <c r="L438" i="11"/>
  <c r="CA108" i="10"/>
  <c r="K439" i="11"/>
  <c r="L439" i="11"/>
  <c r="L440" i="11"/>
  <c r="CA110" i="10"/>
  <c r="K441" i="11"/>
  <c r="L441" i="11"/>
  <c r="CA111" i="10"/>
  <c r="K442" i="11"/>
  <c r="L442" i="11"/>
  <c r="L443" i="11"/>
  <c r="P443" i="11"/>
  <c r="S337" i="11"/>
  <c r="Q337" i="11"/>
  <c r="B3" i="11"/>
  <c r="B7" i="11"/>
  <c r="C3" i="11"/>
  <c r="C7" i="11"/>
  <c r="D3" i="11"/>
  <c r="D7" i="11"/>
  <c r="E3" i="11"/>
  <c r="E7" i="11"/>
  <c r="F3" i="11"/>
  <c r="F7" i="11"/>
  <c r="G3" i="11"/>
  <c r="G7" i="11"/>
  <c r="H3" i="11"/>
  <c r="H7" i="11"/>
  <c r="I3" i="11"/>
  <c r="I7" i="11"/>
  <c r="J3" i="11"/>
  <c r="J7" i="11"/>
  <c r="K3" i="11"/>
  <c r="K7" i="11"/>
  <c r="L3" i="11"/>
  <c r="L7" i="11"/>
  <c r="M3" i="11"/>
  <c r="M7" i="11"/>
  <c r="N3" i="11"/>
  <c r="N7" i="11"/>
  <c r="O3" i="11"/>
  <c r="O7" i="11"/>
  <c r="P3" i="11"/>
  <c r="P7" i="11"/>
  <c r="Q3" i="11"/>
  <c r="Q7" i="11"/>
  <c r="R3" i="11"/>
  <c r="R7" i="11"/>
  <c r="S3" i="11"/>
  <c r="S7" i="11"/>
  <c r="T3" i="11"/>
  <c r="T7" i="11"/>
  <c r="U3" i="11"/>
  <c r="U7" i="11"/>
  <c r="V3" i="11"/>
  <c r="V7" i="11"/>
  <c r="W3" i="11"/>
  <c r="W7" i="11"/>
  <c r="X3" i="11"/>
  <c r="X7" i="11"/>
  <c r="Y3" i="11"/>
  <c r="Y7" i="11"/>
  <c r="Z3" i="11"/>
  <c r="Z7" i="11"/>
  <c r="AA3" i="11"/>
  <c r="AA7" i="11"/>
  <c r="AB3" i="11"/>
  <c r="AB7" i="11"/>
  <c r="AC3" i="11"/>
  <c r="AC7" i="11"/>
  <c r="AD3" i="11"/>
  <c r="AD7" i="11"/>
  <c r="AE3" i="11"/>
  <c r="AE7" i="11"/>
  <c r="AF3" i="11"/>
  <c r="AF7" i="11"/>
  <c r="AG3" i="11"/>
  <c r="AG7" i="11"/>
  <c r="AH3" i="11"/>
  <c r="AH7" i="11"/>
  <c r="AI3" i="11"/>
  <c r="AI7" i="11"/>
  <c r="AJ3" i="11"/>
  <c r="AJ7" i="11"/>
  <c r="AK3" i="11"/>
  <c r="AK7" i="11"/>
  <c r="AL3" i="11"/>
  <c r="AL7" i="11"/>
  <c r="AM3" i="11"/>
  <c r="AM7" i="11"/>
  <c r="AN3" i="11"/>
  <c r="AN7" i="11"/>
  <c r="AO3" i="11"/>
  <c r="AO7" i="11"/>
  <c r="AP3" i="11"/>
  <c r="AP7" i="11"/>
  <c r="AQ3" i="11"/>
  <c r="AQ7" i="11"/>
  <c r="AR3" i="11"/>
  <c r="AR7" i="11"/>
  <c r="AS3" i="11"/>
  <c r="AS7" i="11"/>
  <c r="AT3" i="11"/>
  <c r="AT7" i="11"/>
  <c r="AU3" i="11"/>
  <c r="AU7" i="11"/>
  <c r="AV3" i="11"/>
  <c r="AV7" i="11"/>
  <c r="AW3" i="11"/>
  <c r="AW7" i="11"/>
  <c r="AX3" i="11"/>
  <c r="AX7" i="11"/>
  <c r="AY3" i="11"/>
  <c r="AY7" i="11"/>
  <c r="AZ3" i="11"/>
  <c r="AZ7" i="11"/>
  <c r="BA3" i="11"/>
  <c r="BA7" i="11"/>
  <c r="BB3" i="11"/>
  <c r="BB7" i="11"/>
  <c r="BC3" i="11"/>
  <c r="BC7" i="11"/>
  <c r="BD3" i="11"/>
  <c r="BD7" i="11"/>
  <c r="BE3" i="11"/>
  <c r="BE7" i="11"/>
  <c r="BF3" i="11"/>
  <c r="BF7" i="11"/>
  <c r="BG3" i="11"/>
  <c r="BG7" i="11"/>
  <c r="BH3" i="11"/>
  <c r="BH7" i="11"/>
  <c r="BI3" i="11"/>
  <c r="BI7" i="11"/>
  <c r="BJ3" i="11"/>
  <c r="BJ7" i="11"/>
  <c r="BK3" i="11"/>
  <c r="BK7" i="11"/>
  <c r="BL3" i="11"/>
  <c r="BL7" i="11"/>
  <c r="BM3" i="11"/>
  <c r="BM7" i="11"/>
  <c r="BN3" i="11"/>
  <c r="BN7" i="11"/>
  <c r="BO3" i="11"/>
  <c r="BO7" i="11"/>
  <c r="BP3" i="11"/>
  <c r="BP7" i="11"/>
  <c r="BQ3" i="11"/>
  <c r="BQ7" i="11"/>
  <c r="BR3" i="11"/>
  <c r="BR7" i="11"/>
  <c r="BS3" i="11"/>
  <c r="BS7" i="11"/>
  <c r="BT3" i="11"/>
  <c r="BT7" i="11"/>
  <c r="BU3" i="11"/>
  <c r="BU7" i="11"/>
  <c r="BV3" i="11"/>
  <c r="BV7" i="11"/>
  <c r="BW3" i="11"/>
  <c r="BW7" i="11"/>
  <c r="BX8" i="10"/>
  <c r="BX3" i="11"/>
  <c r="BX7" i="11"/>
  <c r="BY8" i="10"/>
  <c r="BY3" i="11"/>
  <c r="BY7" i="11"/>
  <c r="BZ3" i="11"/>
  <c r="BZ7" i="11"/>
  <c r="CA7" i="11"/>
  <c r="CB7" i="11"/>
  <c r="B8"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O8" i="11"/>
  <c r="AP8" i="11"/>
  <c r="AQ8" i="11"/>
  <c r="AR8" i="11"/>
  <c r="AS8" i="11"/>
  <c r="AT8" i="11"/>
  <c r="AU8" i="11"/>
  <c r="AV8" i="11"/>
  <c r="AW8" i="11"/>
  <c r="AX8" i="11"/>
  <c r="AY8" i="11"/>
  <c r="AZ8" i="11"/>
  <c r="BA8" i="11"/>
  <c r="BB8" i="11"/>
  <c r="BC8" i="11"/>
  <c r="BD8" i="11"/>
  <c r="BE8" i="11"/>
  <c r="BF8" i="11"/>
  <c r="BG8" i="11"/>
  <c r="BH8" i="11"/>
  <c r="BI8" i="11"/>
  <c r="BJ8" i="11"/>
  <c r="BK8" i="11"/>
  <c r="BL8" i="11"/>
  <c r="BM8" i="11"/>
  <c r="BN8" i="11"/>
  <c r="BO8" i="11"/>
  <c r="BP8" i="11"/>
  <c r="BQ8" i="11"/>
  <c r="BR8" i="11"/>
  <c r="BS8" i="11"/>
  <c r="BT8" i="11"/>
  <c r="BU8" i="11"/>
  <c r="BV8" i="11"/>
  <c r="BW8" i="11"/>
  <c r="BX9" i="10"/>
  <c r="BX8" i="11"/>
  <c r="BY9" i="10"/>
  <c r="BY8" i="11"/>
  <c r="BZ8" i="11"/>
  <c r="CA8" i="11"/>
  <c r="CB8" i="11"/>
  <c r="B9"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O9" i="11"/>
  <c r="AP9" i="11"/>
  <c r="AQ9" i="11"/>
  <c r="AR9" i="11"/>
  <c r="AS9" i="11"/>
  <c r="AT9" i="11"/>
  <c r="AU9" i="11"/>
  <c r="AV9" i="11"/>
  <c r="AW9" i="11"/>
  <c r="AX9" i="11"/>
  <c r="AY9" i="11"/>
  <c r="AZ9" i="11"/>
  <c r="BA9" i="11"/>
  <c r="BB9" i="11"/>
  <c r="BC9" i="11"/>
  <c r="BD9" i="11"/>
  <c r="BE9" i="11"/>
  <c r="BF9" i="11"/>
  <c r="BG9" i="11"/>
  <c r="BH9" i="11"/>
  <c r="BI9" i="11"/>
  <c r="BJ9" i="11"/>
  <c r="BK9" i="11"/>
  <c r="BL9" i="11"/>
  <c r="BM9" i="11"/>
  <c r="BN9" i="11"/>
  <c r="BO9" i="11"/>
  <c r="BP9" i="11"/>
  <c r="BQ9" i="11"/>
  <c r="BR9" i="11"/>
  <c r="BS9" i="11"/>
  <c r="BT9" i="11"/>
  <c r="BU9" i="11"/>
  <c r="BV9" i="11"/>
  <c r="BW9" i="11"/>
  <c r="BX10" i="10"/>
  <c r="BX9" i="11"/>
  <c r="BY10" i="10"/>
  <c r="BY9" i="11"/>
  <c r="BZ9" i="11"/>
  <c r="CA9" i="11"/>
  <c r="CB9" i="11"/>
  <c r="B10"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O10" i="11"/>
  <c r="AP10" i="11"/>
  <c r="AQ10" i="11"/>
  <c r="AR10" i="11"/>
  <c r="AS10" i="11"/>
  <c r="AT10" i="11"/>
  <c r="AU10" i="11"/>
  <c r="AV10" i="11"/>
  <c r="AW10" i="11"/>
  <c r="AX10" i="11"/>
  <c r="AY10" i="11"/>
  <c r="AZ10" i="11"/>
  <c r="BA10" i="11"/>
  <c r="BB10" i="11"/>
  <c r="BC10" i="11"/>
  <c r="BD10" i="11"/>
  <c r="BE10" i="11"/>
  <c r="BF10" i="11"/>
  <c r="BG10" i="11"/>
  <c r="BH10" i="11"/>
  <c r="BI10" i="11"/>
  <c r="BJ10" i="11"/>
  <c r="BK10" i="11"/>
  <c r="BL10" i="11"/>
  <c r="BM10" i="11"/>
  <c r="BN10" i="11"/>
  <c r="BO10" i="11"/>
  <c r="BP10" i="11"/>
  <c r="BQ10" i="11"/>
  <c r="BR10" i="11"/>
  <c r="BS10" i="11"/>
  <c r="BT10" i="11"/>
  <c r="BU10" i="11"/>
  <c r="BV10" i="11"/>
  <c r="BW10" i="11"/>
  <c r="BX11" i="10"/>
  <c r="BX10" i="11"/>
  <c r="BY11" i="10"/>
  <c r="BY10" i="11"/>
  <c r="BZ10" i="11"/>
  <c r="CA10" i="11"/>
  <c r="CB10" i="11"/>
  <c r="B11"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O11" i="11"/>
  <c r="AP11" i="11"/>
  <c r="AQ11" i="11"/>
  <c r="AR11" i="11"/>
  <c r="AS11" i="11"/>
  <c r="AT11" i="11"/>
  <c r="AU11" i="11"/>
  <c r="AV11" i="11"/>
  <c r="AW11" i="11"/>
  <c r="AX11" i="11"/>
  <c r="AY11" i="11"/>
  <c r="AZ11" i="11"/>
  <c r="BA11" i="11"/>
  <c r="BB11" i="11"/>
  <c r="BC11" i="11"/>
  <c r="BD11" i="11"/>
  <c r="BE11" i="11"/>
  <c r="BF11" i="11"/>
  <c r="BG11" i="11"/>
  <c r="BH11" i="11"/>
  <c r="BI11" i="11"/>
  <c r="BJ11" i="11"/>
  <c r="BK11" i="11"/>
  <c r="BL11" i="11"/>
  <c r="BM11" i="11"/>
  <c r="BN11" i="11"/>
  <c r="BO11" i="11"/>
  <c r="BP11" i="11"/>
  <c r="BQ11" i="11"/>
  <c r="BR11" i="11"/>
  <c r="BS11" i="11"/>
  <c r="BT11" i="11"/>
  <c r="BU11" i="11"/>
  <c r="BV11" i="11"/>
  <c r="BW11" i="11"/>
  <c r="BX12" i="10"/>
  <c r="BX11" i="11"/>
  <c r="BY12" i="10"/>
  <c r="BY11" i="11"/>
  <c r="BZ11" i="11"/>
  <c r="CA11" i="11"/>
  <c r="CB11" i="11"/>
  <c r="B12"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O12" i="11"/>
  <c r="AP12" i="11"/>
  <c r="AQ12" i="11"/>
  <c r="AR12" i="11"/>
  <c r="AS12" i="11"/>
  <c r="AT12" i="11"/>
  <c r="AU12" i="11"/>
  <c r="AV12" i="11"/>
  <c r="AW12" i="11"/>
  <c r="AX12" i="11"/>
  <c r="AY12" i="11"/>
  <c r="AZ12" i="11"/>
  <c r="BA12" i="11"/>
  <c r="BB12" i="11"/>
  <c r="BC12" i="11"/>
  <c r="BD12" i="11"/>
  <c r="BE12" i="11"/>
  <c r="BF12" i="11"/>
  <c r="BG12" i="11"/>
  <c r="BH12" i="11"/>
  <c r="BI12" i="11"/>
  <c r="BJ12" i="11"/>
  <c r="BK12" i="11"/>
  <c r="BL12" i="11"/>
  <c r="BM12" i="11"/>
  <c r="BN12" i="11"/>
  <c r="BO12" i="11"/>
  <c r="BP12" i="11"/>
  <c r="BQ12" i="11"/>
  <c r="BR12" i="11"/>
  <c r="BS12" i="11"/>
  <c r="BT12" i="11"/>
  <c r="BU12" i="11"/>
  <c r="BV12" i="11"/>
  <c r="BW12" i="11"/>
  <c r="BX13" i="10"/>
  <c r="BX12" i="11"/>
  <c r="BY13" i="10"/>
  <c r="BY12" i="11"/>
  <c r="BZ12" i="11"/>
  <c r="CA12" i="11"/>
  <c r="CB12" i="11"/>
  <c r="B13"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O13" i="11"/>
  <c r="AP13" i="11"/>
  <c r="AQ13" i="11"/>
  <c r="AR13" i="11"/>
  <c r="AS13" i="11"/>
  <c r="AT13" i="11"/>
  <c r="AU13" i="11"/>
  <c r="AV13" i="11"/>
  <c r="AW13" i="11"/>
  <c r="AX13" i="11"/>
  <c r="AY13" i="11"/>
  <c r="AZ13" i="11"/>
  <c r="BA13" i="11"/>
  <c r="BB13" i="11"/>
  <c r="BC13" i="11"/>
  <c r="BD13" i="11"/>
  <c r="BE13" i="11"/>
  <c r="BF13" i="11"/>
  <c r="BG13" i="11"/>
  <c r="BH13" i="11"/>
  <c r="BI13" i="11"/>
  <c r="BJ13" i="11"/>
  <c r="BK13" i="11"/>
  <c r="BL13" i="11"/>
  <c r="BM13" i="11"/>
  <c r="BN13" i="11"/>
  <c r="BO13" i="11"/>
  <c r="BP13" i="11"/>
  <c r="BQ13" i="11"/>
  <c r="BR13" i="11"/>
  <c r="BS13" i="11"/>
  <c r="BT13" i="11"/>
  <c r="BU13" i="11"/>
  <c r="BV13" i="11"/>
  <c r="BW13" i="11"/>
  <c r="BX14" i="10"/>
  <c r="BX13" i="11"/>
  <c r="BY14" i="10"/>
  <c r="BY13" i="11"/>
  <c r="BZ13" i="11"/>
  <c r="CA13" i="11"/>
  <c r="CB13" i="11"/>
  <c r="B14"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AR14" i="11"/>
  <c r="AS14" i="11"/>
  <c r="AT14" i="11"/>
  <c r="AU14" i="11"/>
  <c r="AV14" i="11"/>
  <c r="AW14" i="11"/>
  <c r="AX14" i="11"/>
  <c r="AY14" i="11"/>
  <c r="AZ14" i="11"/>
  <c r="BA14" i="11"/>
  <c r="BB14" i="11"/>
  <c r="BC14" i="11"/>
  <c r="BD14" i="11"/>
  <c r="BE14" i="11"/>
  <c r="BF14" i="11"/>
  <c r="BG14" i="11"/>
  <c r="BH14" i="11"/>
  <c r="BI14" i="11"/>
  <c r="BJ14" i="11"/>
  <c r="BK14" i="11"/>
  <c r="BL14" i="11"/>
  <c r="BM14" i="11"/>
  <c r="BN14" i="11"/>
  <c r="BO14" i="11"/>
  <c r="BP14" i="11"/>
  <c r="BQ14" i="11"/>
  <c r="BR14" i="11"/>
  <c r="BS14" i="11"/>
  <c r="BT14" i="11"/>
  <c r="BU14" i="11"/>
  <c r="BV14" i="11"/>
  <c r="BW14" i="11"/>
  <c r="BX15" i="10"/>
  <c r="BX14" i="11"/>
  <c r="BY15" i="10"/>
  <c r="BY14" i="11"/>
  <c r="BZ14" i="11"/>
  <c r="CA14" i="11"/>
  <c r="CB14" i="11"/>
  <c r="B15"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O15" i="11"/>
  <c r="AP15" i="11"/>
  <c r="AQ15" i="11"/>
  <c r="AR15" i="11"/>
  <c r="AS15" i="11"/>
  <c r="AT15" i="11"/>
  <c r="AU15" i="11"/>
  <c r="AV15" i="11"/>
  <c r="AW15" i="11"/>
  <c r="AX15" i="11"/>
  <c r="AY15" i="11"/>
  <c r="AZ15" i="11"/>
  <c r="BA15" i="11"/>
  <c r="BB15" i="11"/>
  <c r="BC15" i="11"/>
  <c r="BD15" i="11"/>
  <c r="BE15" i="11"/>
  <c r="BF15" i="11"/>
  <c r="BG15" i="11"/>
  <c r="BH15" i="11"/>
  <c r="BI15" i="11"/>
  <c r="BJ15" i="11"/>
  <c r="BK15" i="11"/>
  <c r="BL15" i="11"/>
  <c r="BM15" i="11"/>
  <c r="BN15" i="11"/>
  <c r="BO15" i="11"/>
  <c r="BP15" i="11"/>
  <c r="BQ15" i="11"/>
  <c r="BR15" i="11"/>
  <c r="BS15" i="11"/>
  <c r="BT15" i="11"/>
  <c r="BU15" i="11"/>
  <c r="BV15" i="11"/>
  <c r="BW15" i="11"/>
  <c r="BX16" i="10"/>
  <c r="BX15" i="11"/>
  <c r="BY16" i="10"/>
  <c r="BY15" i="11"/>
  <c r="BZ15" i="11"/>
  <c r="CA15" i="11"/>
  <c r="CB15" i="11"/>
  <c r="B16"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O16" i="11"/>
  <c r="AP16" i="11"/>
  <c r="AQ16" i="11"/>
  <c r="AR16" i="11"/>
  <c r="AS16" i="11"/>
  <c r="AT16" i="11"/>
  <c r="AU16" i="11"/>
  <c r="AV16" i="11"/>
  <c r="AW16" i="11"/>
  <c r="AX16" i="11"/>
  <c r="AY16" i="11"/>
  <c r="AZ16" i="11"/>
  <c r="BA16" i="11"/>
  <c r="BB16" i="11"/>
  <c r="BC16" i="11"/>
  <c r="BD16" i="11"/>
  <c r="BE16" i="11"/>
  <c r="BF16" i="11"/>
  <c r="BG16" i="11"/>
  <c r="BH16" i="11"/>
  <c r="BI16" i="11"/>
  <c r="BJ16" i="11"/>
  <c r="BK16" i="11"/>
  <c r="BL16" i="11"/>
  <c r="BM16" i="11"/>
  <c r="BN16" i="11"/>
  <c r="BO16" i="11"/>
  <c r="BP16" i="11"/>
  <c r="BQ16" i="11"/>
  <c r="BR16" i="11"/>
  <c r="BS16" i="11"/>
  <c r="BT16" i="11"/>
  <c r="BU16" i="11"/>
  <c r="BV16" i="11"/>
  <c r="BW16" i="11"/>
  <c r="BX17" i="10"/>
  <c r="BX16" i="11"/>
  <c r="BY17" i="10"/>
  <c r="BY16" i="11"/>
  <c r="BZ16" i="11"/>
  <c r="CA16" i="11"/>
  <c r="CB16" i="11"/>
  <c r="B17"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O17" i="11"/>
  <c r="AP17" i="11"/>
  <c r="AQ17" i="11"/>
  <c r="AR17" i="11"/>
  <c r="AS17" i="11"/>
  <c r="AT17" i="11"/>
  <c r="AU17" i="11"/>
  <c r="AV17" i="11"/>
  <c r="AW17" i="11"/>
  <c r="AX17" i="11"/>
  <c r="AY17" i="11"/>
  <c r="AZ17" i="11"/>
  <c r="BA17" i="11"/>
  <c r="BB17" i="11"/>
  <c r="BC17" i="11"/>
  <c r="BD17" i="11"/>
  <c r="BE17" i="11"/>
  <c r="BF17" i="11"/>
  <c r="BG17" i="11"/>
  <c r="BH17" i="11"/>
  <c r="BI17" i="11"/>
  <c r="BJ17" i="11"/>
  <c r="BK17" i="11"/>
  <c r="BL17" i="11"/>
  <c r="BM17" i="11"/>
  <c r="BN17" i="11"/>
  <c r="BO17" i="11"/>
  <c r="BP17" i="11"/>
  <c r="BQ17" i="11"/>
  <c r="BR17" i="11"/>
  <c r="BS17" i="11"/>
  <c r="BT17" i="11"/>
  <c r="BU17" i="11"/>
  <c r="BV17" i="11"/>
  <c r="BW17" i="11"/>
  <c r="BX18" i="10"/>
  <c r="BX17" i="11"/>
  <c r="BY18" i="10"/>
  <c r="BY17" i="11"/>
  <c r="BZ17" i="11"/>
  <c r="CA17" i="11"/>
  <c r="CB17" i="11"/>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AR18" i="11"/>
  <c r="AS18" i="11"/>
  <c r="AT18" i="11"/>
  <c r="AU18" i="11"/>
  <c r="AV18" i="11"/>
  <c r="AW18" i="11"/>
  <c r="AX18" i="11"/>
  <c r="AY18" i="11"/>
  <c r="AZ18" i="11"/>
  <c r="BA18" i="11"/>
  <c r="BB18" i="11"/>
  <c r="BC18" i="11"/>
  <c r="BD18" i="11"/>
  <c r="BE18" i="11"/>
  <c r="BF18" i="11"/>
  <c r="BG18" i="11"/>
  <c r="BH18" i="11"/>
  <c r="BI18" i="11"/>
  <c r="BJ18" i="11"/>
  <c r="BK18" i="11"/>
  <c r="BL18" i="11"/>
  <c r="BM18" i="11"/>
  <c r="BN18" i="11"/>
  <c r="BO18" i="11"/>
  <c r="BP18" i="11"/>
  <c r="BQ18" i="11"/>
  <c r="BR18" i="11"/>
  <c r="BS18" i="11"/>
  <c r="BT18" i="11"/>
  <c r="BU18" i="11"/>
  <c r="BV18" i="11"/>
  <c r="BW18" i="11"/>
  <c r="BX19" i="10"/>
  <c r="BX18" i="11"/>
  <c r="BY19" i="10"/>
  <c r="BY18" i="11"/>
  <c r="BZ18" i="11"/>
  <c r="CA18" i="11"/>
  <c r="CB18"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AR19" i="11"/>
  <c r="AS19" i="11"/>
  <c r="AT19" i="11"/>
  <c r="AU19" i="11"/>
  <c r="AV19" i="11"/>
  <c r="AW19" i="11"/>
  <c r="AX19" i="11"/>
  <c r="AY19" i="11"/>
  <c r="AZ19" i="11"/>
  <c r="BA19" i="11"/>
  <c r="BB19" i="11"/>
  <c r="BC19" i="11"/>
  <c r="BD19" i="11"/>
  <c r="BE19" i="11"/>
  <c r="BF19" i="11"/>
  <c r="BG19" i="11"/>
  <c r="BH19" i="11"/>
  <c r="BI19" i="11"/>
  <c r="BJ19" i="11"/>
  <c r="BK19" i="11"/>
  <c r="BL19" i="11"/>
  <c r="BM19" i="11"/>
  <c r="BN19" i="11"/>
  <c r="BO19" i="11"/>
  <c r="BP19" i="11"/>
  <c r="BQ19" i="11"/>
  <c r="BR19" i="11"/>
  <c r="BS19" i="11"/>
  <c r="BT19" i="11"/>
  <c r="BU19" i="11"/>
  <c r="BV19" i="11"/>
  <c r="BW19" i="11"/>
  <c r="BX20" i="10"/>
  <c r="BX19" i="11"/>
  <c r="BY20" i="10"/>
  <c r="BY19" i="11"/>
  <c r="BZ19" i="11"/>
  <c r="CA19" i="11"/>
  <c r="CB19"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AR20" i="11"/>
  <c r="AS20" i="11"/>
  <c r="AT20" i="11"/>
  <c r="AU20" i="11"/>
  <c r="AV20" i="11"/>
  <c r="AW20" i="11"/>
  <c r="AX20" i="11"/>
  <c r="AY20" i="11"/>
  <c r="AZ20" i="11"/>
  <c r="BA20" i="11"/>
  <c r="BB20" i="11"/>
  <c r="BC20" i="11"/>
  <c r="BD20" i="11"/>
  <c r="BE20" i="11"/>
  <c r="BF20" i="11"/>
  <c r="BG20" i="11"/>
  <c r="BH20" i="11"/>
  <c r="BI20" i="11"/>
  <c r="BJ20" i="11"/>
  <c r="BK20" i="11"/>
  <c r="BL20" i="11"/>
  <c r="BM20" i="11"/>
  <c r="BN20" i="11"/>
  <c r="BO20" i="11"/>
  <c r="BP20" i="11"/>
  <c r="BQ20" i="11"/>
  <c r="BR20" i="11"/>
  <c r="BS20" i="11"/>
  <c r="BT20" i="11"/>
  <c r="BU20" i="11"/>
  <c r="BV20" i="11"/>
  <c r="BW20" i="11"/>
  <c r="BX21" i="10"/>
  <c r="BX20" i="11"/>
  <c r="BY21" i="10"/>
  <c r="BY20" i="11"/>
  <c r="BZ20" i="11"/>
  <c r="CA20" i="11"/>
  <c r="CB20"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AR21" i="11"/>
  <c r="AS21" i="11"/>
  <c r="AT21" i="11"/>
  <c r="AU21" i="11"/>
  <c r="AV21" i="11"/>
  <c r="AW21" i="11"/>
  <c r="AX21" i="11"/>
  <c r="AY21" i="11"/>
  <c r="AZ21" i="11"/>
  <c r="BA21" i="11"/>
  <c r="BB21" i="11"/>
  <c r="BC21" i="11"/>
  <c r="BD21" i="11"/>
  <c r="BE21" i="11"/>
  <c r="BF21" i="11"/>
  <c r="BG21" i="11"/>
  <c r="BH21" i="11"/>
  <c r="BI21" i="11"/>
  <c r="BJ21" i="11"/>
  <c r="BK21" i="11"/>
  <c r="BL21" i="11"/>
  <c r="BM21" i="11"/>
  <c r="BN21" i="11"/>
  <c r="BO21" i="11"/>
  <c r="BP21" i="11"/>
  <c r="BQ21" i="11"/>
  <c r="BR21" i="11"/>
  <c r="BS21" i="11"/>
  <c r="BT21" i="11"/>
  <c r="BU21" i="11"/>
  <c r="BV21" i="11"/>
  <c r="BW21" i="11"/>
  <c r="BX22" i="10"/>
  <c r="BX21" i="11"/>
  <c r="BY22" i="10"/>
  <c r="BY21" i="11"/>
  <c r="BZ21" i="11"/>
  <c r="CA21" i="11"/>
  <c r="CB21"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AR22" i="11"/>
  <c r="AS22" i="11"/>
  <c r="AT22" i="11"/>
  <c r="AU22" i="11"/>
  <c r="AV22" i="11"/>
  <c r="AW22" i="11"/>
  <c r="AX22" i="11"/>
  <c r="AY22" i="11"/>
  <c r="AZ22" i="11"/>
  <c r="BA22" i="11"/>
  <c r="BB22" i="11"/>
  <c r="BC22" i="11"/>
  <c r="BD22" i="11"/>
  <c r="BE22" i="11"/>
  <c r="BF22" i="11"/>
  <c r="BG22" i="11"/>
  <c r="BH22" i="11"/>
  <c r="BI22" i="11"/>
  <c r="BJ22" i="11"/>
  <c r="BK22" i="11"/>
  <c r="BL22" i="11"/>
  <c r="BM22" i="11"/>
  <c r="BN22" i="11"/>
  <c r="BO22" i="11"/>
  <c r="BP22" i="11"/>
  <c r="BQ22" i="11"/>
  <c r="BR22" i="11"/>
  <c r="BS22" i="11"/>
  <c r="BT22" i="11"/>
  <c r="BU22" i="11"/>
  <c r="BV22" i="11"/>
  <c r="BW22" i="11"/>
  <c r="BX23" i="10"/>
  <c r="BX22" i="11"/>
  <c r="BY23" i="10"/>
  <c r="BY22" i="11"/>
  <c r="BZ22" i="11"/>
  <c r="CA22" i="11"/>
  <c r="CB22"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AR23" i="11"/>
  <c r="AS23" i="11"/>
  <c r="AT23" i="11"/>
  <c r="AU23" i="11"/>
  <c r="AV23" i="11"/>
  <c r="AW23" i="11"/>
  <c r="AX23" i="11"/>
  <c r="AY23" i="11"/>
  <c r="AZ23" i="11"/>
  <c r="BA23" i="11"/>
  <c r="BB23" i="11"/>
  <c r="BC23" i="11"/>
  <c r="BD23" i="11"/>
  <c r="BE23" i="11"/>
  <c r="BF23" i="11"/>
  <c r="BG23" i="11"/>
  <c r="BH23" i="11"/>
  <c r="BI23" i="11"/>
  <c r="BJ23" i="11"/>
  <c r="BK23" i="11"/>
  <c r="BL23" i="11"/>
  <c r="BM23" i="11"/>
  <c r="BN23" i="11"/>
  <c r="BO23" i="11"/>
  <c r="BP23" i="11"/>
  <c r="BQ23" i="11"/>
  <c r="BR23" i="11"/>
  <c r="BS23" i="11"/>
  <c r="BT23" i="11"/>
  <c r="BU23" i="11"/>
  <c r="BV23" i="11"/>
  <c r="BW23" i="11"/>
  <c r="BX24" i="10"/>
  <c r="BX23" i="11"/>
  <c r="BY24" i="10"/>
  <c r="BY23" i="11"/>
  <c r="BZ23" i="11"/>
  <c r="CA23" i="11"/>
  <c r="CB23"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AR24" i="11"/>
  <c r="AS24" i="11"/>
  <c r="AT24" i="11"/>
  <c r="AU24" i="11"/>
  <c r="AV24" i="11"/>
  <c r="AW24" i="11"/>
  <c r="AX24" i="11"/>
  <c r="AY24" i="11"/>
  <c r="AZ24" i="11"/>
  <c r="BA24" i="11"/>
  <c r="BB24" i="11"/>
  <c r="BC24" i="11"/>
  <c r="BD24" i="11"/>
  <c r="BE24" i="11"/>
  <c r="BF24" i="11"/>
  <c r="BG24" i="11"/>
  <c r="BH24" i="11"/>
  <c r="BI24" i="11"/>
  <c r="BJ24" i="11"/>
  <c r="BK24" i="11"/>
  <c r="BL24" i="11"/>
  <c r="BM24" i="11"/>
  <c r="BN24" i="11"/>
  <c r="BO24" i="11"/>
  <c r="BP24" i="11"/>
  <c r="BQ24" i="11"/>
  <c r="BR24" i="11"/>
  <c r="BS24" i="11"/>
  <c r="BT24" i="11"/>
  <c r="BU24" i="11"/>
  <c r="BV24" i="11"/>
  <c r="BW24" i="11"/>
  <c r="BX25" i="10"/>
  <c r="BX24" i="11"/>
  <c r="BY25" i="10"/>
  <c r="BY24" i="11"/>
  <c r="BZ24" i="11"/>
  <c r="CA24" i="11"/>
  <c r="CB24"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AR25" i="11"/>
  <c r="AS25" i="11"/>
  <c r="AT25" i="11"/>
  <c r="AU25" i="11"/>
  <c r="AV25" i="11"/>
  <c r="AW25" i="11"/>
  <c r="AX25" i="11"/>
  <c r="AY25" i="11"/>
  <c r="AZ25" i="11"/>
  <c r="BA25" i="11"/>
  <c r="BB25" i="11"/>
  <c r="BC25" i="11"/>
  <c r="BD25" i="11"/>
  <c r="BE25" i="11"/>
  <c r="BF25" i="11"/>
  <c r="BG25" i="11"/>
  <c r="BH25" i="11"/>
  <c r="BI25" i="11"/>
  <c r="BJ25" i="11"/>
  <c r="BK25" i="11"/>
  <c r="BL25" i="11"/>
  <c r="BM25" i="11"/>
  <c r="BN25" i="11"/>
  <c r="BO25" i="11"/>
  <c r="BP25" i="11"/>
  <c r="BQ25" i="11"/>
  <c r="BR25" i="11"/>
  <c r="BS25" i="11"/>
  <c r="BT25" i="11"/>
  <c r="BU25" i="11"/>
  <c r="BV25" i="11"/>
  <c r="BW25" i="11"/>
  <c r="BX26" i="10"/>
  <c r="BX25" i="11"/>
  <c r="BY26" i="10"/>
  <c r="BY25" i="11"/>
  <c r="BZ25" i="11"/>
  <c r="CA25" i="11"/>
  <c r="CB25"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AR26" i="11"/>
  <c r="AS26" i="11"/>
  <c r="AT26" i="11"/>
  <c r="AU26" i="11"/>
  <c r="AV26" i="11"/>
  <c r="AW26" i="11"/>
  <c r="AX26" i="11"/>
  <c r="AY26" i="11"/>
  <c r="AZ26" i="11"/>
  <c r="BA26" i="11"/>
  <c r="BB26" i="11"/>
  <c r="BC26" i="11"/>
  <c r="BD26" i="11"/>
  <c r="BE26" i="11"/>
  <c r="BF26" i="11"/>
  <c r="BG26" i="11"/>
  <c r="BH26" i="11"/>
  <c r="BI26" i="11"/>
  <c r="BJ26" i="11"/>
  <c r="BK26" i="11"/>
  <c r="BL26" i="11"/>
  <c r="BM26" i="11"/>
  <c r="BN26" i="11"/>
  <c r="BO26" i="11"/>
  <c r="BP26" i="11"/>
  <c r="BQ26" i="11"/>
  <c r="BR26" i="11"/>
  <c r="BS26" i="11"/>
  <c r="BT26" i="11"/>
  <c r="BU26" i="11"/>
  <c r="BV26" i="11"/>
  <c r="BW26" i="11"/>
  <c r="BX27" i="10"/>
  <c r="BX26" i="11"/>
  <c r="BY27" i="10"/>
  <c r="BY26" i="11"/>
  <c r="BZ26" i="11"/>
  <c r="CA26" i="11"/>
  <c r="CB26"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AR27" i="11"/>
  <c r="AS27" i="11"/>
  <c r="AT27" i="11"/>
  <c r="AU27" i="11"/>
  <c r="AV27" i="11"/>
  <c r="AW27" i="11"/>
  <c r="AX27" i="11"/>
  <c r="AY27" i="11"/>
  <c r="AZ27" i="11"/>
  <c r="BA27" i="11"/>
  <c r="BB27" i="11"/>
  <c r="BC27" i="11"/>
  <c r="BD27" i="11"/>
  <c r="BE27" i="11"/>
  <c r="BF27" i="11"/>
  <c r="BG27" i="11"/>
  <c r="BH27" i="11"/>
  <c r="BI27" i="11"/>
  <c r="BJ27" i="11"/>
  <c r="BK27" i="11"/>
  <c r="BL27" i="11"/>
  <c r="BM27" i="11"/>
  <c r="BN27" i="11"/>
  <c r="BO27" i="11"/>
  <c r="BP27" i="11"/>
  <c r="BQ27" i="11"/>
  <c r="BR27" i="11"/>
  <c r="BS27" i="11"/>
  <c r="BT27" i="11"/>
  <c r="BU27" i="11"/>
  <c r="BV27" i="11"/>
  <c r="BW27" i="11"/>
  <c r="BX28" i="10"/>
  <c r="BX27" i="11"/>
  <c r="BY28" i="10"/>
  <c r="BY27" i="11"/>
  <c r="BZ27" i="11"/>
  <c r="CA27" i="11"/>
  <c r="CB27"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AR28" i="11"/>
  <c r="AS28" i="11"/>
  <c r="AT28" i="11"/>
  <c r="AU28" i="11"/>
  <c r="AV28" i="11"/>
  <c r="AW28" i="11"/>
  <c r="AX28" i="11"/>
  <c r="AY28" i="11"/>
  <c r="AZ28" i="11"/>
  <c r="BA28" i="11"/>
  <c r="BB28" i="11"/>
  <c r="BC28" i="11"/>
  <c r="BD28" i="11"/>
  <c r="BE28" i="11"/>
  <c r="BF28" i="11"/>
  <c r="BG28" i="11"/>
  <c r="BH28" i="11"/>
  <c r="BI28" i="11"/>
  <c r="BJ28" i="11"/>
  <c r="BK28" i="11"/>
  <c r="BL28" i="11"/>
  <c r="BM28" i="11"/>
  <c r="BN28" i="11"/>
  <c r="BO28" i="11"/>
  <c r="BP28" i="11"/>
  <c r="BQ28" i="11"/>
  <c r="BR28" i="11"/>
  <c r="BS28" i="11"/>
  <c r="BT28" i="11"/>
  <c r="BU28" i="11"/>
  <c r="BV28" i="11"/>
  <c r="BW28" i="11"/>
  <c r="BX29" i="10"/>
  <c r="BX28" i="11"/>
  <c r="BY29" i="10"/>
  <c r="BY28" i="11"/>
  <c r="BZ28" i="11"/>
  <c r="CA28" i="11"/>
  <c r="CB28" i="11"/>
  <c r="B29"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O29" i="11"/>
  <c r="AP29" i="11"/>
  <c r="AQ29" i="11"/>
  <c r="AR29" i="11"/>
  <c r="AS29" i="11"/>
  <c r="AT29" i="11"/>
  <c r="AU29" i="11"/>
  <c r="AV29" i="11"/>
  <c r="AW29" i="11"/>
  <c r="AX29" i="11"/>
  <c r="AY29" i="11"/>
  <c r="AZ29" i="11"/>
  <c r="BA29" i="11"/>
  <c r="BB29" i="11"/>
  <c r="BC29" i="11"/>
  <c r="BD29" i="11"/>
  <c r="BE29" i="11"/>
  <c r="BF29" i="11"/>
  <c r="BG29" i="11"/>
  <c r="BH29" i="11"/>
  <c r="BI29" i="11"/>
  <c r="BJ29" i="11"/>
  <c r="BK29" i="11"/>
  <c r="BL29" i="11"/>
  <c r="BM29" i="11"/>
  <c r="BN29" i="11"/>
  <c r="BO29" i="11"/>
  <c r="BP29" i="11"/>
  <c r="BQ29" i="11"/>
  <c r="BR29" i="11"/>
  <c r="BS29" i="11"/>
  <c r="BT29" i="11"/>
  <c r="BU29" i="11"/>
  <c r="BV29" i="11"/>
  <c r="BW29" i="11"/>
  <c r="BX30" i="10"/>
  <c r="BX29" i="11"/>
  <c r="BY30" i="10"/>
  <c r="BY29" i="11"/>
  <c r="BZ29" i="11"/>
  <c r="CA29" i="11"/>
  <c r="CB29" i="11"/>
  <c r="B30"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O30" i="11"/>
  <c r="AP30" i="11"/>
  <c r="AQ30" i="11"/>
  <c r="AR30" i="11"/>
  <c r="AS30" i="11"/>
  <c r="AT30" i="11"/>
  <c r="AU30" i="11"/>
  <c r="AV30" i="11"/>
  <c r="AW30" i="11"/>
  <c r="AX30" i="11"/>
  <c r="AY30" i="11"/>
  <c r="AZ30" i="11"/>
  <c r="BA30" i="11"/>
  <c r="BB30" i="11"/>
  <c r="BC30" i="11"/>
  <c r="BD30" i="11"/>
  <c r="BE30" i="11"/>
  <c r="BF30" i="11"/>
  <c r="BG30" i="11"/>
  <c r="BH30" i="11"/>
  <c r="BI30" i="11"/>
  <c r="BJ30" i="11"/>
  <c r="BK30" i="11"/>
  <c r="BL30" i="11"/>
  <c r="BM30" i="11"/>
  <c r="BN30" i="11"/>
  <c r="BO30" i="11"/>
  <c r="BP30" i="11"/>
  <c r="BQ30" i="11"/>
  <c r="BR30" i="11"/>
  <c r="BS30" i="11"/>
  <c r="BT30" i="11"/>
  <c r="BU30" i="11"/>
  <c r="BV30" i="11"/>
  <c r="BW30" i="11"/>
  <c r="BX31" i="10"/>
  <c r="BX30" i="11"/>
  <c r="BY31" i="10"/>
  <c r="BY30" i="11"/>
  <c r="BZ30" i="11"/>
  <c r="CA30" i="11"/>
  <c r="CB30" i="11"/>
  <c r="B31"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O31" i="11"/>
  <c r="AP31" i="11"/>
  <c r="AQ31" i="11"/>
  <c r="AR31" i="11"/>
  <c r="AS31" i="11"/>
  <c r="AT31" i="11"/>
  <c r="AU31" i="11"/>
  <c r="AV31" i="11"/>
  <c r="AW31" i="11"/>
  <c r="AX31" i="11"/>
  <c r="AY31" i="11"/>
  <c r="AZ31" i="11"/>
  <c r="BA31" i="11"/>
  <c r="BB31" i="11"/>
  <c r="BC31" i="11"/>
  <c r="BD31" i="11"/>
  <c r="BE31" i="11"/>
  <c r="BF31" i="11"/>
  <c r="BG31" i="11"/>
  <c r="BH31" i="11"/>
  <c r="BI31" i="11"/>
  <c r="BJ31" i="11"/>
  <c r="BK31" i="11"/>
  <c r="BL31" i="11"/>
  <c r="BM31" i="11"/>
  <c r="BN31" i="11"/>
  <c r="BO31" i="11"/>
  <c r="BP31" i="11"/>
  <c r="BQ31" i="11"/>
  <c r="BR31" i="11"/>
  <c r="BS31" i="11"/>
  <c r="BT31" i="11"/>
  <c r="BU31" i="11"/>
  <c r="BV31" i="11"/>
  <c r="BW31" i="11"/>
  <c r="BX32" i="10"/>
  <c r="BX31" i="11"/>
  <c r="BY32" i="10"/>
  <c r="BY31" i="11"/>
  <c r="BZ31" i="11"/>
  <c r="CA31" i="11"/>
  <c r="CB31" i="11"/>
  <c r="B32"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O32" i="11"/>
  <c r="AP32" i="11"/>
  <c r="AQ32" i="11"/>
  <c r="AR32" i="11"/>
  <c r="AS32" i="11"/>
  <c r="AT32" i="11"/>
  <c r="AU32" i="11"/>
  <c r="AV32" i="11"/>
  <c r="AW32" i="11"/>
  <c r="AX32" i="11"/>
  <c r="AY32" i="11"/>
  <c r="AZ32" i="11"/>
  <c r="BA32" i="11"/>
  <c r="BB32" i="11"/>
  <c r="BC32" i="11"/>
  <c r="BD32" i="11"/>
  <c r="BE32" i="11"/>
  <c r="BF32" i="11"/>
  <c r="BG32" i="11"/>
  <c r="BH32" i="11"/>
  <c r="BI32" i="11"/>
  <c r="BJ32" i="11"/>
  <c r="BK32" i="11"/>
  <c r="BL32" i="11"/>
  <c r="BM32" i="11"/>
  <c r="BN32" i="11"/>
  <c r="BO32" i="11"/>
  <c r="BP32" i="11"/>
  <c r="BQ32" i="11"/>
  <c r="BR32" i="11"/>
  <c r="BS32" i="11"/>
  <c r="BT32" i="11"/>
  <c r="BU32" i="11"/>
  <c r="BV32" i="11"/>
  <c r="BW32" i="11"/>
  <c r="BX33" i="10"/>
  <c r="BX32" i="11"/>
  <c r="BY33" i="10"/>
  <c r="BY32" i="11"/>
  <c r="BZ32" i="11"/>
  <c r="CA32" i="11"/>
  <c r="CB32" i="11"/>
  <c r="B33"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O33" i="11"/>
  <c r="AP33" i="11"/>
  <c r="AQ33" i="11"/>
  <c r="AR33" i="11"/>
  <c r="AS33" i="11"/>
  <c r="AT33" i="11"/>
  <c r="AU33" i="11"/>
  <c r="AV33" i="11"/>
  <c r="AW33" i="11"/>
  <c r="AX33" i="11"/>
  <c r="AY33" i="11"/>
  <c r="AZ33" i="11"/>
  <c r="BA33" i="11"/>
  <c r="BB33" i="11"/>
  <c r="BC33" i="11"/>
  <c r="BD33" i="11"/>
  <c r="BE33" i="11"/>
  <c r="BF33" i="11"/>
  <c r="BG33" i="11"/>
  <c r="BH33" i="11"/>
  <c r="BI33" i="11"/>
  <c r="BJ33" i="11"/>
  <c r="BK33" i="11"/>
  <c r="BL33" i="11"/>
  <c r="BM33" i="11"/>
  <c r="BN33" i="11"/>
  <c r="BO33" i="11"/>
  <c r="BP33" i="11"/>
  <c r="BQ33" i="11"/>
  <c r="BR33" i="11"/>
  <c r="BS33" i="11"/>
  <c r="BT33" i="11"/>
  <c r="BU33" i="11"/>
  <c r="BV33" i="11"/>
  <c r="BW33" i="11"/>
  <c r="BX34" i="10"/>
  <c r="BX33" i="11"/>
  <c r="BY34" i="10"/>
  <c r="BY33" i="11"/>
  <c r="BZ33" i="11"/>
  <c r="CA33" i="11"/>
  <c r="CB33" i="11"/>
  <c r="B34"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O34" i="11"/>
  <c r="AP34" i="11"/>
  <c r="AQ34" i="11"/>
  <c r="AR34" i="11"/>
  <c r="AS34" i="11"/>
  <c r="AT34" i="11"/>
  <c r="AU34" i="11"/>
  <c r="AV34" i="11"/>
  <c r="AW34" i="11"/>
  <c r="AX34" i="11"/>
  <c r="AY34" i="11"/>
  <c r="AZ34" i="11"/>
  <c r="BA34" i="11"/>
  <c r="BB34" i="11"/>
  <c r="BC34" i="11"/>
  <c r="BD34" i="11"/>
  <c r="BE34" i="11"/>
  <c r="BF34" i="11"/>
  <c r="BG34" i="11"/>
  <c r="BH34" i="11"/>
  <c r="BI34" i="11"/>
  <c r="BJ34" i="11"/>
  <c r="BK34" i="11"/>
  <c r="BL34" i="11"/>
  <c r="BM34" i="11"/>
  <c r="BN34" i="11"/>
  <c r="BO34" i="11"/>
  <c r="BP34" i="11"/>
  <c r="BQ34" i="11"/>
  <c r="BR34" i="11"/>
  <c r="BS34" i="11"/>
  <c r="BT34" i="11"/>
  <c r="BU34" i="11"/>
  <c r="BV34" i="11"/>
  <c r="BW34" i="11"/>
  <c r="BX35" i="10"/>
  <c r="BX34" i="11"/>
  <c r="BY35" i="10"/>
  <c r="BY34" i="11"/>
  <c r="BZ34" i="11"/>
  <c r="CA34" i="11"/>
  <c r="CB34" i="11"/>
  <c r="B35"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O35" i="11"/>
  <c r="AP35" i="11"/>
  <c r="AQ35" i="11"/>
  <c r="AR35" i="11"/>
  <c r="AS35" i="11"/>
  <c r="AT35" i="11"/>
  <c r="AU35" i="11"/>
  <c r="AV35" i="11"/>
  <c r="AW35" i="11"/>
  <c r="AX35" i="11"/>
  <c r="AY35" i="11"/>
  <c r="AZ35" i="11"/>
  <c r="BA35" i="11"/>
  <c r="BB35" i="11"/>
  <c r="BC35" i="11"/>
  <c r="BD35" i="11"/>
  <c r="BE35" i="11"/>
  <c r="BF35" i="11"/>
  <c r="BG35" i="11"/>
  <c r="BH35" i="11"/>
  <c r="BI35" i="11"/>
  <c r="BJ35" i="11"/>
  <c r="BK35" i="11"/>
  <c r="BL35" i="11"/>
  <c r="BM35" i="11"/>
  <c r="BN35" i="11"/>
  <c r="BO35" i="11"/>
  <c r="BP35" i="11"/>
  <c r="BQ35" i="11"/>
  <c r="BR35" i="11"/>
  <c r="BS35" i="11"/>
  <c r="BT35" i="11"/>
  <c r="BU35" i="11"/>
  <c r="BV35" i="11"/>
  <c r="BW35" i="11"/>
  <c r="BX36" i="10"/>
  <c r="BX35" i="11"/>
  <c r="BY36" i="10"/>
  <c r="BY35" i="11"/>
  <c r="BZ35" i="11"/>
  <c r="CA35" i="11"/>
  <c r="CB35" i="11"/>
  <c r="B36"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O36" i="11"/>
  <c r="AP36" i="11"/>
  <c r="AQ36" i="11"/>
  <c r="AR36" i="11"/>
  <c r="AS36" i="11"/>
  <c r="AT36" i="11"/>
  <c r="AU36" i="11"/>
  <c r="AV36" i="11"/>
  <c r="AW36" i="11"/>
  <c r="AX36" i="11"/>
  <c r="AY36" i="11"/>
  <c r="AZ36" i="11"/>
  <c r="BA36" i="11"/>
  <c r="BB36" i="11"/>
  <c r="BC36" i="11"/>
  <c r="BD36" i="11"/>
  <c r="BE36" i="11"/>
  <c r="BF36" i="11"/>
  <c r="BG36" i="11"/>
  <c r="BH36" i="11"/>
  <c r="BI36" i="11"/>
  <c r="BJ36" i="11"/>
  <c r="BK36" i="11"/>
  <c r="BL36" i="11"/>
  <c r="BM36" i="11"/>
  <c r="BN36" i="11"/>
  <c r="BO36" i="11"/>
  <c r="BP36" i="11"/>
  <c r="BQ36" i="11"/>
  <c r="BR36" i="11"/>
  <c r="BS36" i="11"/>
  <c r="BT36" i="11"/>
  <c r="BU36" i="11"/>
  <c r="BV36" i="11"/>
  <c r="BW36" i="11"/>
  <c r="BX37" i="10"/>
  <c r="BX36" i="11"/>
  <c r="BY37" i="10"/>
  <c r="BY36" i="11"/>
  <c r="BZ36" i="11"/>
  <c r="CA36" i="11"/>
  <c r="CB36" i="11"/>
  <c r="B37"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O37" i="11"/>
  <c r="AP37" i="11"/>
  <c r="AQ37" i="11"/>
  <c r="AR37" i="11"/>
  <c r="AS37" i="11"/>
  <c r="AT37" i="11"/>
  <c r="AU37" i="11"/>
  <c r="AV37" i="11"/>
  <c r="AW37" i="11"/>
  <c r="AX37" i="11"/>
  <c r="AY37" i="11"/>
  <c r="AZ37" i="11"/>
  <c r="BA37" i="11"/>
  <c r="BB37" i="11"/>
  <c r="BC37" i="11"/>
  <c r="BD37" i="11"/>
  <c r="BE37" i="11"/>
  <c r="BF37" i="11"/>
  <c r="BG37" i="11"/>
  <c r="BH37" i="11"/>
  <c r="BI37" i="11"/>
  <c r="BJ37" i="11"/>
  <c r="BK37" i="11"/>
  <c r="BL37" i="11"/>
  <c r="BM37" i="11"/>
  <c r="BN37" i="11"/>
  <c r="BO37" i="11"/>
  <c r="BP37" i="11"/>
  <c r="BQ37" i="11"/>
  <c r="BR37" i="11"/>
  <c r="BS37" i="11"/>
  <c r="BT37" i="11"/>
  <c r="BU37" i="11"/>
  <c r="BV37" i="11"/>
  <c r="BW37" i="11"/>
  <c r="BX38" i="10"/>
  <c r="BX37" i="11"/>
  <c r="BY38" i="10"/>
  <c r="BY37" i="11"/>
  <c r="BZ37" i="11"/>
  <c r="CA37" i="11"/>
  <c r="CB37" i="11"/>
  <c r="B38"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O38" i="11"/>
  <c r="AP38" i="11"/>
  <c r="AQ38" i="11"/>
  <c r="AR38" i="11"/>
  <c r="AS38" i="11"/>
  <c r="AT38" i="11"/>
  <c r="AU38" i="11"/>
  <c r="AV38" i="11"/>
  <c r="AW38" i="11"/>
  <c r="AX38" i="11"/>
  <c r="AY38" i="11"/>
  <c r="AZ38" i="11"/>
  <c r="BA38" i="11"/>
  <c r="BB38" i="11"/>
  <c r="BC38" i="11"/>
  <c r="BD38" i="11"/>
  <c r="BE38" i="11"/>
  <c r="BF38" i="11"/>
  <c r="BG38" i="11"/>
  <c r="BH38" i="11"/>
  <c r="BI38" i="11"/>
  <c r="BJ38" i="11"/>
  <c r="BK38" i="11"/>
  <c r="BL38" i="11"/>
  <c r="BM38" i="11"/>
  <c r="BN38" i="11"/>
  <c r="BO38" i="11"/>
  <c r="BP38" i="11"/>
  <c r="BQ38" i="11"/>
  <c r="BR38" i="11"/>
  <c r="BS38" i="11"/>
  <c r="BT38" i="11"/>
  <c r="BU38" i="11"/>
  <c r="BV38" i="11"/>
  <c r="BW38" i="11"/>
  <c r="BX39" i="10"/>
  <c r="BX38" i="11"/>
  <c r="BY39" i="10"/>
  <c r="BY38" i="11"/>
  <c r="BZ38" i="11"/>
  <c r="CA38" i="11"/>
  <c r="CB38" i="11"/>
  <c r="B39"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O39" i="11"/>
  <c r="AP39" i="11"/>
  <c r="AQ39" i="11"/>
  <c r="AR39" i="11"/>
  <c r="AS39" i="11"/>
  <c r="AT39" i="11"/>
  <c r="AU39" i="11"/>
  <c r="AV39" i="11"/>
  <c r="AW39" i="11"/>
  <c r="AX39" i="11"/>
  <c r="AY39" i="11"/>
  <c r="AZ39" i="11"/>
  <c r="BA39" i="11"/>
  <c r="BB39" i="11"/>
  <c r="BC39" i="11"/>
  <c r="BD39" i="11"/>
  <c r="BE39" i="11"/>
  <c r="BF39" i="11"/>
  <c r="BG39" i="11"/>
  <c r="BH39" i="11"/>
  <c r="BI39" i="11"/>
  <c r="BJ39" i="11"/>
  <c r="BK39" i="11"/>
  <c r="BL39" i="11"/>
  <c r="BM39" i="11"/>
  <c r="BN39" i="11"/>
  <c r="BO39" i="11"/>
  <c r="BP39" i="11"/>
  <c r="BQ39" i="11"/>
  <c r="BR39" i="11"/>
  <c r="BS39" i="11"/>
  <c r="BT39" i="11"/>
  <c r="BU39" i="11"/>
  <c r="BV39" i="11"/>
  <c r="BW39" i="11"/>
  <c r="BX40" i="10"/>
  <c r="BX39" i="11"/>
  <c r="BY40" i="10"/>
  <c r="BY39" i="11"/>
  <c r="BZ39" i="11"/>
  <c r="CA39" i="11"/>
  <c r="CB39" i="11"/>
  <c r="B40"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O40" i="11"/>
  <c r="AP40" i="11"/>
  <c r="AQ40" i="11"/>
  <c r="AR40" i="11"/>
  <c r="AS40" i="11"/>
  <c r="AT40" i="11"/>
  <c r="AU40" i="11"/>
  <c r="AV40" i="11"/>
  <c r="AW40" i="11"/>
  <c r="AX40" i="11"/>
  <c r="AY40" i="11"/>
  <c r="AZ40" i="11"/>
  <c r="BA40" i="11"/>
  <c r="BB40" i="11"/>
  <c r="BC40" i="11"/>
  <c r="BD40" i="11"/>
  <c r="BE40" i="11"/>
  <c r="BF40" i="11"/>
  <c r="BG40" i="11"/>
  <c r="BH40" i="11"/>
  <c r="BI40" i="11"/>
  <c r="BJ40" i="11"/>
  <c r="BK40" i="11"/>
  <c r="BL40" i="11"/>
  <c r="BM40" i="11"/>
  <c r="BN40" i="11"/>
  <c r="BO40" i="11"/>
  <c r="BP40" i="11"/>
  <c r="BQ40" i="11"/>
  <c r="BR40" i="11"/>
  <c r="BS40" i="11"/>
  <c r="BT40" i="11"/>
  <c r="BU40" i="11"/>
  <c r="BV40" i="11"/>
  <c r="BW40" i="11"/>
  <c r="BX41" i="10"/>
  <c r="BX40" i="11"/>
  <c r="BY41" i="10"/>
  <c r="BY40" i="11"/>
  <c r="BZ40" i="11"/>
  <c r="CA40" i="11"/>
  <c r="CB40" i="11"/>
  <c r="B41"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O41" i="11"/>
  <c r="AP41" i="11"/>
  <c r="AQ41" i="11"/>
  <c r="AR41" i="11"/>
  <c r="AS41" i="11"/>
  <c r="AT41" i="11"/>
  <c r="AU41" i="11"/>
  <c r="AV41" i="11"/>
  <c r="AW41" i="11"/>
  <c r="AX41" i="11"/>
  <c r="AY41" i="11"/>
  <c r="AZ41" i="11"/>
  <c r="BA41" i="11"/>
  <c r="BB41" i="11"/>
  <c r="BC41" i="11"/>
  <c r="BD41" i="11"/>
  <c r="BE41" i="11"/>
  <c r="BF41" i="11"/>
  <c r="BG41" i="11"/>
  <c r="BH41" i="11"/>
  <c r="BI41" i="11"/>
  <c r="BJ41" i="11"/>
  <c r="BK41" i="11"/>
  <c r="BL41" i="11"/>
  <c r="BM41" i="11"/>
  <c r="BN41" i="11"/>
  <c r="BO41" i="11"/>
  <c r="BP41" i="11"/>
  <c r="BQ41" i="11"/>
  <c r="BR41" i="11"/>
  <c r="BS41" i="11"/>
  <c r="BT41" i="11"/>
  <c r="BU41" i="11"/>
  <c r="BV41" i="11"/>
  <c r="BW41" i="11"/>
  <c r="BX42" i="10"/>
  <c r="BX41" i="11"/>
  <c r="BY42" i="10"/>
  <c r="BY41" i="11"/>
  <c r="BZ41" i="11"/>
  <c r="CA41" i="11"/>
  <c r="CB41" i="11"/>
  <c r="B42"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O42" i="11"/>
  <c r="AP42" i="11"/>
  <c r="AQ42" i="11"/>
  <c r="AR42" i="11"/>
  <c r="AS42" i="11"/>
  <c r="AT42" i="11"/>
  <c r="AU42" i="11"/>
  <c r="AV42" i="11"/>
  <c r="AW42" i="11"/>
  <c r="AX42" i="11"/>
  <c r="AY42" i="11"/>
  <c r="AZ42" i="11"/>
  <c r="BA42" i="11"/>
  <c r="BB42" i="11"/>
  <c r="BC42" i="11"/>
  <c r="BD42" i="11"/>
  <c r="BE42" i="11"/>
  <c r="BF42" i="11"/>
  <c r="BG42" i="11"/>
  <c r="BH42" i="11"/>
  <c r="BI42" i="11"/>
  <c r="BJ42" i="11"/>
  <c r="BK42" i="11"/>
  <c r="BL42" i="11"/>
  <c r="BM42" i="11"/>
  <c r="BN42" i="11"/>
  <c r="BO42" i="11"/>
  <c r="BP42" i="11"/>
  <c r="BQ42" i="11"/>
  <c r="BR42" i="11"/>
  <c r="BS42" i="11"/>
  <c r="BT42" i="11"/>
  <c r="BU42" i="11"/>
  <c r="BV42" i="11"/>
  <c r="BW42" i="11"/>
  <c r="BX43" i="10"/>
  <c r="BX42" i="11"/>
  <c r="BY43" i="10"/>
  <c r="BY42" i="11"/>
  <c r="BZ42" i="11"/>
  <c r="CA42" i="11"/>
  <c r="CB42" i="11"/>
  <c r="B43"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O43" i="11"/>
  <c r="AP43" i="11"/>
  <c r="AQ43" i="11"/>
  <c r="AR43" i="11"/>
  <c r="AS43" i="11"/>
  <c r="AT43" i="11"/>
  <c r="AU43" i="11"/>
  <c r="AV43" i="11"/>
  <c r="AW43" i="11"/>
  <c r="AX43" i="11"/>
  <c r="AY43" i="11"/>
  <c r="AZ43" i="11"/>
  <c r="BA43" i="11"/>
  <c r="BB43" i="11"/>
  <c r="BC43" i="11"/>
  <c r="BD43" i="11"/>
  <c r="BE43" i="11"/>
  <c r="BF43" i="11"/>
  <c r="BG43" i="11"/>
  <c r="BH43" i="11"/>
  <c r="BI43" i="11"/>
  <c r="BJ43" i="11"/>
  <c r="BK43" i="11"/>
  <c r="BL43" i="11"/>
  <c r="BM43" i="11"/>
  <c r="BN43" i="11"/>
  <c r="BO43" i="11"/>
  <c r="BP43" i="11"/>
  <c r="BQ43" i="11"/>
  <c r="BR43" i="11"/>
  <c r="BS43" i="11"/>
  <c r="BT43" i="11"/>
  <c r="BU43" i="11"/>
  <c r="BV43" i="11"/>
  <c r="BW43" i="11"/>
  <c r="BX44" i="10"/>
  <c r="BX43" i="11"/>
  <c r="BY44" i="10"/>
  <c r="BY43" i="11"/>
  <c r="BZ43" i="11"/>
  <c r="CA43" i="11"/>
  <c r="CB43" i="11"/>
  <c r="B44"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O44" i="11"/>
  <c r="AP44" i="11"/>
  <c r="AQ44" i="11"/>
  <c r="AR44" i="11"/>
  <c r="AS44" i="11"/>
  <c r="AT44" i="11"/>
  <c r="AU44" i="11"/>
  <c r="AV44" i="11"/>
  <c r="AW44" i="11"/>
  <c r="AX44" i="11"/>
  <c r="AY44" i="11"/>
  <c r="AZ44" i="11"/>
  <c r="BA44" i="11"/>
  <c r="BB44" i="11"/>
  <c r="BC44" i="11"/>
  <c r="BD44" i="11"/>
  <c r="BE44" i="11"/>
  <c r="BF44" i="11"/>
  <c r="BG44" i="11"/>
  <c r="BH44" i="11"/>
  <c r="BI44" i="11"/>
  <c r="BJ44" i="11"/>
  <c r="BK44" i="11"/>
  <c r="BL44" i="11"/>
  <c r="BM44" i="11"/>
  <c r="BN44" i="11"/>
  <c r="BO44" i="11"/>
  <c r="BP44" i="11"/>
  <c r="BQ44" i="11"/>
  <c r="BR44" i="11"/>
  <c r="BS44" i="11"/>
  <c r="BT44" i="11"/>
  <c r="BU44" i="11"/>
  <c r="BV44" i="11"/>
  <c r="BW44" i="11"/>
  <c r="BX45" i="10"/>
  <c r="BX44" i="11"/>
  <c r="BY45" i="10"/>
  <c r="BY44" i="11"/>
  <c r="BZ44" i="11"/>
  <c r="CA44" i="11"/>
  <c r="CB44" i="11"/>
  <c r="B45"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O45" i="11"/>
  <c r="AP45" i="11"/>
  <c r="AQ45" i="11"/>
  <c r="AR45" i="11"/>
  <c r="AS45" i="11"/>
  <c r="AT45" i="11"/>
  <c r="AU45" i="11"/>
  <c r="AV45" i="11"/>
  <c r="AW45" i="11"/>
  <c r="AX45" i="11"/>
  <c r="AY45" i="11"/>
  <c r="AZ45" i="11"/>
  <c r="BA45" i="11"/>
  <c r="BB45" i="11"/>
  <c r="BC45" i="11"/>
  <c r="BD45" i="11"/>
  <c r="BE45" i="11"/>
  <c r="BF45" i="11"/>
  <c r="BG45" i="11"/>
  <c r="BH45" i="11"/>
  <c r="BI45" i="11"/>
  <c r="BJ45" i="11"/>
  <c r="BK45" i="11"/>
  <c r="BL45" i="11"/>
  <c r="BM45" i="11"/>
  <c r="BN45" i="11"/>
  <c r="BO45" i="11"/>
  <c r="BP45" i="11"/>
  <c r="BQ45" i="11"/>
  <c r="BR45" i="11"/>
  <c r="BS45" i="11"/>
  <c r="BT45" i="11"/>
  <c r="BU45" i="11"/>
  <c r="BV45" i="11"/>
  <c r="BW45" i="11"/>
  <c r="BX46" i="10"/>
  <c r="BX45" i="11"/>
  <c r="BY46" i="10"/>
  <c r="BY45" i="11"/>
  <c r="BZ45" i="11"/>
  <c r="CA45" i="11"/>
  <c r="CB45" i="11"/>
  <c r="B46"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O46" i="11"/>
  <c r="AP46" i="11"/>
  <c r="AQ46" i="11"/>
  <c r="AR46" i="11"/>
  <c r="AS46" i="11"/>
  <c r="AT46" i="11"/>
  <c r="AU46" i="11"/>
  <c r="AV46" i="11"/>
  <c r="AW46" i="11"/>
  <c r="AX46" i="11"/>
  <c r="AY46" i="11"/>
  <c r="AZ46" i="11"/>
  <c r="BA46" i="11"/>
  <c r="BB46" i="11"/>
  <c r="BC46" i="11"/>
  <c r="BD46" i="11"/>
  <c r="BE46" i="11"/>
  <c r="BF46" i="11"/>
  <c r="BG46" i="11"/>
  <c r="BH46" i="11"/>
  <c r="BI46" i="11"/>
  <c r="BJ46" i="11"/>
  <c r="BK46" i="11"/>
  <c r="BL46" i="11"/>
  <c r="BM46" i="11"/>
  <c r="BN46" i="11"/>
  <c r="BO46" i="11"/>
  <c r="BP46" i="11"/>
  <c r="BQ46" i="11"/>
  <c r="BR46" i="11"/>
  <c r="BS46" i="11"/>
  <c r="BT46" i="11"/>
  <c r="BU46" i="11"/>
  <c r="BV46" i="11"/>
  <c r="BW46" i="11"/>
  <c r="BX47" i="10"/>
  <c r="BX46" i="11"/>
  <c r="BY47" i="10"/>
  <c r="BY46" i="11"/>
  <c r="BZ46" i="11"/>
  <c r="CA46" i="11"/>
  <c r="CB46" i="11"/>
  <c r="B47"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O47" i="11"/>
  <c r="AP47" i="11"/>
  <c r="AQ47" i="11"/>
  <c r="AR47" i="11"/>
  <c r="AS47" i="11"/>
  <c r="AT47" i="11"/>
  <c r="AU47" i="11"/>
  <c r="AV47" i="11"/>
  <c r="AW47" i="11"/>
  <c r="AX47" i="11"/>
  <c r="AY47" i="11"/>
  <c r="AZ47" i="11"/>
  <c r="BA47" i="11"/>
  <c r="BB47" i="11"/>
  <c r="BC47" i="11"/>
  <c r="BD47" i="11"/>
  <c r="BE47" i="11"/>
  <c r="BF47" i="11"/>
  <c r="BG47" i="11"/>
  <c r="BH47" i="11"/>
  <c r="BI47" i="11"/>
  <c r="BJ47" i="11"/>
  <c r="BK47" i="11"/>
  <c r="BL47" i="11"/>
  <c r="BM47" i="11"/>
  <c r="BN47" i="11"/>
  <c r="BO47" i="11"/>
  <c r="BP47" i="11"/>
  <c r="BQ47" i="11"/>
  <c r="BR47" i="11"/>
  <c r="BS47" i="11"/>
  <c r="BT47" i="11"/>
  <c r="BU47" i="11"/>
  <c r="BV47" i="11"/>
  <c r="BW47" i="11"/>
  <c r="BX48" i="10"/>
  <c r="BX47" i="11"/>
  <c r="BY48" i="10"/>
  <c r="BY47" i="11"/>
  <c r="BZ47" i="11"/>
  <c r="CA47" i="11"/>
  <c r="CB47" i="11"/>
  <c r="B48"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O48" i="11"/>
  <c r="AP48" i="11"/>
  <c r="AQ48" i="11"/>
  <c r="AR48" i="11"/>
  <c r="AS48" i="11"/>
  <c r="AT48" i="11"/>
  <c r="AU48" i="11"/>
  <c r="AV48" i="11"/>
  <c r="AW48" i="11"/>
  <c r="AX48" i="11"/>
  <c r="AY48" i="11"/>
  <c r="AZ48" i="11"/>
  <c r="BA48" i="11"/>
  <c r="BB48" i="11"/>
  <c r="BC48" i="11"/>
  <c r="BD48" i="11"/>
  <c r="BE48" i="11"/>
  <c r="BF48" i="11"/>
  <c r="BG48" i="11"/>
  <c r="BH48" i="11"/>
  <c r="BI48" i="11"/>
  <c r="BJ48" i="11"/>
  <c r="BK48" i="11"/>
  <c r="BL48" i="11"/>
  <c r="BM48" i="11"/>
  <c r="BN48" i="11"/>
  <c r="BO48" i="11"/>
  <c r="BP48" i="11"/>
  <c r="BQ48" i="11"/>
  <c r="BR48" i="11"/>
  <c r="BS48" i="11"/>
  <c r="BT48" i="11"/>
  <c r="BU48" i="11"/>
  <c r="BV48" i="11"/>
  <c r="BW48" i="11"/>
  <c r="BX49" i="10"/>
  <c r="BX48" i="11"/>
  <c r="BY49" i="10"/>
  <c r="BY48" i="11"/>
  <c r="BZ48" i="11"/>
  <c r="CA48" i="11"/>
  <c r="CB48" i="11"/>
  <c r="B49"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O49" i="11"/>
  <c r="AP49" i="11"/>
  <c r="AQ49" i="11"/>
  <c r="AR49" i="11"/>
  <c r="AS49" i="11"/>
  <c r="AT49" i="11"/>
  <c r="AU49" i="11"/>
  <c r="AV49" i="11"/>
  <c r="AW49" i="11"/>
  <c r="AX49" i="11"/>
  <c r="AY49" i="11"/>
  <c r="AZ49" i="11"/>
  <c r="BA49" i="11"/>
  <c r="BB49" i="11"/>
  <c r="BC49" i="11"/>
  <c r="BD49" i="11"/>
  <c r="BE49" i="11"/>
  <c r="BF49" i="11"/>
  <c r="BG49" i="11"/>
  <c r="BH49" i="11"/>
  <c r="BI49" i="11"/>
  <c r="BJ49" i="11"/>
  <c r="BK49" i="11"/>
  <c r="BL49" i="11"/>
  <c r="BM49" i="11"/>
  <c r="BN49" i="11"/>
  <c r="BO49" i="11"/>
  <c r="BP49" i="11"/>
  <c r="BQ49" i="11"/>
  <c r="BR49" i="11"/>
  <c r="BS49" i="11"/>
  <c r="BT49" i="11"/>
  <c r="BU49" i="11"/>
  <c r="BV49" i="11"/>
  <c r="BW49" i="11"/>
  <c r="BX50" i="10"/>
  <c r="BX49" i="11"/>
  <c r="BY50" i="10"/>
  <c r="BY49" i="11"/>
  <c r="BZ49" i="11"/>
  <c r="CA49" i="11"/>
  <c r="CB49" i="11"/>
  <c r="B50"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O50" i="11"/>
  <c r="AP50" i="11"/>
  <c r="AQ50" i="11"/>
  <c r="AR50" i="11"/>
  <c r="AS50" i="11"/>
  <c r="AT50" i="11"/>
  <c r="AU50" i="11"/>
  <c r="AV50" i="11"/>
  <c r="AW50" i="11"/>
  <c r="AX50" i="11"/>
  <c r="AY50" i="11"/>
  <c r="AZ50" i="11"/>
  <c r="BA50" i="11"/>
  <c r="BB50" i="11"/>
  <c r="BC50" i="11"/>
  <c r="BD50" i="11"/>
  <c r="BE50" i="11"/>
  <c r="BF50" i="11"/>
  <c r="BG50" i="11"/>
  <c r="BH50" i="11"/>
  <c r="BI50" i="11"/>
  <c r="BJ50" i="11"/>
  <c r="BK50" i="11"/>
  <c r="BL50" i="11"/>
  <c r="BM50" i="11"/>
  <c r="BN50" i="11"/>
  <c r="BO50" i="11"/>
  <c r="BP50" i="11"/>
  <c r="BQ50" i="11"/>
  <c r="BR50" i="11"/>
  <c r="BS50" i="11"/>
  <c r="BT50" i="11"/>
  <c r="BU50" i="11"/>
  <c r="BV50" i="11"/>
  <c r="BW50" i="11"/>
  <c r="BX51" i="10"/>
  <c r="BX50" i="11"/>
  <c r="BY51" i="10"/>
  <c r="BY50" i="11"/>
  <c r="BZ50" i="11"/>
  <c r="CA50" i="11"/>
  <c r="CB50" i="11"/>
  <c r="B51"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O51" i="11"/>
  <c r="AP51" i="11"/>
  <c r="AQ51" i="11"/>
  <c r="AR51" i="11"/>
  <c r="AS51" i="11"/>
  <c r="AT51" i="11"/>
  <c r="AU51" i="11"/>
  <c r="AV51" i="11"/>
  <c r="AW51" i="11"/>
  <c r="AX51" i="11"/>
  <c r="AY51" i="11"/>
  <c r="AZ51" i="11"/>
  <c r="BA51" i="11"/>
  <c r="BB51" i="11"/>
  <c r="BC51" i="11"/>
  <c r="BD51" i="11"/>
  <c r="BE51" i="11"/>
  <c r="BF51" i="11"/>
  <c r="BG51" i="11"/>
  <c r="BH51" i="11"/>
  <c r="BI51" i="11"/>
  <c r="BJ51" i="11"/>
  <c r="BK51" i="11"/>
  <c r="BL51" i="11"/>
  <c r="BM51" i="11"/>
  <c r="BN51" i="11"/>
  <c r="BO51" i="11"/>
  <c r="BP51" i="11"/>
  <c r="BQ51" i="11"/>
  <c r="BR51" i="11"/>
  <c r="BS51" i="11"/>
  <c r="BT51" i="11"/>
  <c r="BU51" i="11"/>
  <c r="BV51" i="11"/>
  <c r="BW51" i="11"/>
  <c r="BX52" i="10"/>
  <c r="BX51" i="11"/>
  <c r="BY52" i="10"/>
  <c r="BY51" i="11"/>
  <c r="BZ51" i="11"/>
  <c r="CA51" i="11"/>
  <c r="CB51" i="11"/>
  <c r="B52"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BE52" i="11"/>
  <c r="BF52" i="11"/>
  <c r="BG52" i="11"/>
  <c r="BH52" i="11"/>
  <c r="BI52" i="11"/>
  <c r="BJ52" i="11"/>
  <c r="BK52" i="11"/>
  <c r="BL52" i="11"/>
  <c r="BM52" i="11"/>
  <c r="BN52" i="11"/>
  <c r="BO52" i="11"/>
  <c r="BP52" i="11"/>
  <c r="BQ52" i="11"/>
  <c r="BR52" i="11"/>
  <c r="BS52" i="11"/>
  <c r="BT52" i="11"/>
  <c r="BU52" i="11"/>
  <c r="BV52" i="11"/>
  <c r="BW52" i="11"/>
  <c r="BX53" i="10"/>
  <c r="BX52" i="11"/>
  <c r="BY53" i="10"/>
  <c r="BY52" i="11"/>
  <c r="BZ52" i="11"/>
  <c r="CA52" i="11"/>
  <c r="CB52" i="11"/>
  <c r="B53"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O53" i="11"/>
  <c r="AP53" i="11"/>
  <c r="AQ53" i="11"/>
  <c r="AR53" i="11"/>
  <c r="AS53" i="11"/>
  <c r="AT53" i="11"/>
  <c r="AU53" i="11"/>
  <c r="AV53" i="11"/>
  <c r="AW53" i="11"/>
  <c r="AX53" i="11"/>
  <c r="AY53" i="11"/>
  <c r="AZ53" i="11"/>
  <c r="BA53" i="11"/>
  <c r="BB53" i="11"/>
  <c r="BC53" i="11"/>
  <c r="BD53" i="11"/>
  <c r="BE53" i="11"/>
  <c r="BF53" i="11"/>
  <c r="BG53" i="11"/>
  <c r="BH53" i="11"/>
  <c r="BI53" i="11"/>
  <c r="BJ53" i="11"/>
  <c r="BK53" i="11"/>
  <c r="BL53" i="11"/>
  <c r="BM53" i="11"/>
  <c r="BN53" i="11"/>
  <c r="BO53" i="11"/>
  <c r="BP53" i="11"/>
  <c r="BQ53" i="11"/>
  <c r="BR53" i="11"/>
  <c r="BS53" i="11"/>
  <c r="BT53" i="11"/>
  <c r="BU53" i="11"/>
  <c r="BV53" i="11"/>
  <c r="BW53" i="11"/>
  <c r="BX54" i="10"/>
  <c r="BX53" i="11"/>
  <c r="BY54" i="10"/>
  <c r="BY53" i="11"/>
  <c r="BZ53" i="11"/>
  <c r="CA53" i="11"/>
  <c r="CB53" i="11"/>
  <c r="B54"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O54" i="11"/>
  <c r="AP54" i="11"/>
  <c r="AQ54" i="11"/>
  <c r="AR54" i="11"/>
  <c r="AS54" i="11"/>
  <c r="AT54" i="11"/>
  <c r="AU54" i="11"/>
  <c r="AV54" i="11"/>
  <c r="AW54" i="11"/>
  <c r="AX54" i="11"/>
  <c r="AY54" i="11"/>
  <c r="AZ54" i="11"/>
  <c r="BA54" i="11"/>
  <c r="BB54" i="11"/>
  <c r="BC54" i="11"/>
  <c r="BD54" i="11"/>
  <c r="BE54" i="11"/>
  <c r="BF54" i="11"/>
  <c r="BG54" i="11"/>
  <c r="BH54" i="11"/>
  <c r="BI54" i="11"/>
  <c r="BJ54" i="11"/>
  <c r="BK54" i="11"/>
  <c r="BL54" i="11"/>
  <c r="BM54" i="11"/>
  <c r="BN54" i="11"/>
  <c r="BO54" i="11"/>
  <c r="BP54" i="11"/>
  <c r="BQ54" i="11"/>
  <c r="BR54" i="11"/>
  <c r="BS54" i="11"/>
  <c r="BT54" i="11"/>
  <c r="BU54" i="11"/>
  <c r="BV54" i="11"/>
  <c r="BW54" i="11"/>
  <c r="BX55" i="10"/>
  <c r="BX54" i="11"/>
  <c r="BY55" i="10"/>
  <c r="BY54" i="11"/>
  <c r="BZ54" i="11"/>
  <c r="CA54" i="11"/>
  <c r="CB54" i="11"/>
  <c r="B55"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O55" i="11"/>
  <c r="AP55" i="11"/>
  <c r="AQ55" i="11"/>
  <c r="AR55" i="11"/>
  <c r="AS55" i="11"/>
  <c r="AT55" i="11"/>
  <c r="AU55" i="11"/>
  <c r="AV55" i="11"/>
  <c r="AW55" i="11"/>
  <c r="AX55" i="11"/>
  <c r="AY55" i="11"/>
  <c r="AZ55" i="11"/>
  <c r="BA55" i="11"/>
  <c r="BB55" i="11"/>
  <c r="BC55" i="11"/>
  <c r="BD55" i="11"/>
  <c r="BE55" i="11"/>
  <c r="BF55" i="11"/>
  <c r="BG55" i="11"/>
  <c r="BH55" i="11"/>
  <c r="BI55" i="11"/>
  <c r="BJ55" i="11"/>
  <c r="BK55" i="11"/>
  <c r="BL55" i="11"/>
  <c r="BM55" i="11"/>
  <c r="BN55" i="11"/>
  <c r="BO55" i="11"/>
  <c r="BP55" i="11"/>
  <c r="BQ55" i="11"/>
  <c r="BR55" i="11"/>
  <c r="BS55" i="11"/>
  <c r="BT55" i="11"/>
  <c r="BU55" i="11"/>
  <c r="BV55" i="11"/>
  <c r="BW55" i="11"/>
  <c r="BX56" i="10"/>
  <c r="BX55" i="11"/>
  <c r="BY56" i="10"/>
  <c r="BY55" i="11"/>
  <c r="BZ55" i="11"/>
  <c r="CA55" i="11"/>
  <c r="CB55" i="11"/>
  <c r="B56"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O56" i="11"/>
  <c r="AP56" i="11"/>
  <c r="AQ56" i="11"/>
  <c r="AR56" i="11"/>
  <c r="AS56" i="11"/>
  <c r="AT56" i="11"/>
  <c r="AU56" i="11"/>
  <c r="AV56" i="11"/>
  <c r="AW56" i="11"/>
  <c r="AX56" i="11"/>
  <c r="AY56" i="11"/>
  <c r="AZ56" i="11"/>
  <c r="BA56" i="11"/>
  <c r="BB56" i="11"/>
  <c r="BC56" i="11"/>
  <c r="BD56" i="11"/>
  <c r="BE56" i="11"/>
  <c r="BF56" i="11"/>
  <c r="BG56" i="11"/>
  <c r="BH56" i="11"/>
  <c r="BI56" i="11"/>
  <c r="BJ56" i="11"/>
  <c r="BK56" i="11"/>
  <c r="BL56" i="11"/>
  <c r="BM56" i="11"/>
  <c r="BN56" i="11"/>
  <c r="BO56" i="11"/>
  <c r="BP56" i="11"/>
  <c r="BQ56" i="11"/>
  <c r="BR56" i="11"/>
  <c r="BS56" i="11"/>
  <c r="BT56" i="11"/>
  <c r="BU56" i="11"/>
  <c r="BV56" i="11"/>
  <c r="BW56" i="11"/>
  <c r="BX57" i="10"/>
  <c r="BX56" i="11"/>
  <c r="BY57" i="10"/>
  <c r="BY56" i="11"/>
  <c r="BZ56" i="11"/>
  <c r="CA56" i="11"/>
  <c r="CB56" i="11"/>
  <c r="B57"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O57" i="11"/>
  <c r="AP57" i="11"/>
  <c r="AQ57" i="11"/>
  <c r="AR57" i="11"/>
  <c r="AS57" i="11"/>
  <c r="AT57" i="11"/>
  <c r="AU57" i="11"/>
  <c r="AV57" i="11"/>
  <c r="AW57" i="11"/>
  <c r="AX57" i="11"/>
  <c r="AY57" i="11"/>
  <c r="AZ57" i="11"/>
  <c r="BA57" i="11"/>
  <c r="BB57" i="11"/>
  <c r="BC57" i="11"/>
  <c r="BD57" i="11"/>
  <c r="BE57" i="11"/>
  <c r="BF57" i="11"/>
  <c r="BG57" i="11"/>
  <c r="BH57" i="11"/>
  <c r="BI57" i="11"/>
  <c r="BJ57" i="11"/>
  <c r="BK57" i="11"/>
  <c r="BL57" i="11"/>
  <c r="BM57" i="11"/>
  <c r="BN57" i="11"/>
  <c r="BO57" i="11"/>
  <c r="BP57" i="11"/>
  <c r="BQ57" i="11"/>
  <c r="BR57" i="11"/>
  <c r="BS57" i="11"/>
  <c r="BT57" i="11"/>
  <c r="BU57" i="11"/>
  <c r="BV57" i="11"/>
  <c r="BW57" i="11"/>
  <c r="BX58" i="10"/>
  <c r="BX57" i="11"/>
  <c r="BY58" i="10"/>
  <c r="BY57" i="11"/>
  <c r="BZ57" i="11"/>
  <c r="CA57" i="11"/>
  <c r="CB57" i="11"/>
  <c r="B58"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O58" i="11"/>
  <c r="AP58" i="11"/>
  <c r="AQ58" i="11"/>
  <c r="AR58" i="11"/>
  <c r="AS58" i="11"/>
  <c r="AT58" i="11"/>
  <c r="AU58" i="11"/>
  <c r="AV58" i="11"/>
  <c r="AW58" i="11"/>
  <c r="AX58" i="11"/>
  <c r="AY58" i="11"/>
  <c r="AZ58" i="11"/>
  <c r="BA58" i="11"/>
  <c r="BB58" i="11"/>
  <c r="BC58" i="11"/>
  <c r="BD58" i="11"/>
  <c r="BE58" i="11"/>
  <c r="BF58" i="11"/>
  <c r="BG58" i="11"/>
  <c r="BH58" i="11"/>
  <c r="BI58" i="11"/>
  <c r="BJ58" i="11"/>
  <c r="BK58" i="11"/>
  <c r="BL58" i="11"/>
  <c r="BM58" i="11"/>
  <c r="BN58" i="11"/>
  <c r="BO58" i="11"/>
  <c r="BP58" i="11"/>
  <c r="BQ58" i="11"/>
  <c r="BR58" i="11"/>
  <c r="BS58" i="11"/>
  <c r="BT58" i="11"/>
  <c r="BU58" i="11"/>
  <c r="BV58" i="11"/>
  <c r="BW58" i="11"/>
  <c r="BX59" i="10"/>
  <c r="BX58" i="11"/>
  <c r="BY59" i="10"/>
  <c r="BY58" i="11"/>
  <c r="BZ58" i="11"/>
  <c r="CA58" i="11"/>
  <c r="CB58" i="11"/>
  <c r="B59"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O59" i="11"/>
  <c r="AP59" i="11"/>
  <c r="AQ59" i="11"/>
  <c r="AR59" i="11"/>
  <c r="AS59" i="11"/>
  <c r="AT59" i="11"/>
  <c r="AU59" i="11"/>
  <c r="AV59" i="11"/>
  <c r="AW59" i="11"/>
  <c r="AX59" i="11"/>
  <c r="AY59" i="11"/>
  <c r="AZ59" i="11"/>
  <c r="BA59" i="11"/>
  <c r="BB59" i="11"/>
  <c r="BC59" i="11"/>
  <c r="BD59" i="11"/>
  <c r="BE59" i="11"/>
  <c r="BF59" i="11"/>
  <c r="BG59" i="11"/>
  <c r="BH59" i="11"/>
  <c r="BI59" i="11"/>
  <c r="BJ59" i="11"/>
  <c r="BK59" i="11"/>
  <c r="BL59" i="11"/>
  <c r="BM59" i="11"/>
  <c r="BN59" i="11"/>
  <c r="BO59" i="11"/>
  <c r="BP59" i="11"/>
  <c r="BQ59" i="11"/>
  <c r="BR59" i="11"/>
  <c r="BS59" i="11"/>
  <c r="BT59" i="11"/>
  <c r="BU59" i="11"/>
  <c r="BV59" i="11"/>
  <c r="BW59" i="11"/>
  <c r="BX60" i="10"/>
  <c r="BX59" i="11"/>
  <c r="BY60" i="10"/>
  <c r="BY59" i="11"/>
  <c r="BZ59" i="11"/>
  <c r="CA59" i="11"/>
  <c r="CB59" i="11"/>
  <c r="B60"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O60" i="11"/>
  <c r="AP60" i="11"/>
  <c r="AQ60" i="11"/>
  <c r="AR60" i="11"/>
  <c r="AS60" i="11"/>
  <c r="AT60" i="11"/>
  <c r="AU60" i="11"/>
  <c r="AV60" i="11"/>
  <c r="AW60" i="11"/>
  <c r="AX60" i="11"/>
  <c r="AY60" i="11"/>
  <c r="AZ60" i="11"/>
  <c r="BA60" i="11"/>
  <c r="BB60" i="11"/>
  <c r="BC60" i="11"/>
  <c r="BD60" i="11"/>
  <c r="BE60" i="11"/>
  <c r="BF60" i="11"/>
  <c r="BG60" i="11"/>
  <c r="BH60" i="11"/>
  <c r="BI60" i="11"/>
  <c r="BJ60" i="11"/>
  <c r="BK60" i="11"/>
  <c r="BL60" i="11"/>
  <c r="BM60" i="11"/>
  <c r="BN60" i="11"/>
  <c r="BO60" i="11"/>
  <c r="BP60" i="11"/>
  <c r="BQ60" i="11"/>
  <c r="BR60" i="11"/>
  <c r="BS60" i="11"/>
  <c r="BT60" i="11"/>
  <c r="BU60" i="11"/>
  <c r="BV60" i="11"/>
  <c r="BW60" i="11"/>
  <c r="BX61" i="10"/>
  <c r="BX60" i="11"/>
  <c r="BY61" i="10"/>
  <c r="BY60" i="11"/>
  <c r="BZ60" i="11"/>
  <c r="CA60" i="11"/>
  <c r="CB60" i="11"/>
  <c r="B61"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O61" i="11"/>
  <c r="AP61" i="11"/>
  <c r="AQ61" i="11"/>
  <c r="AR61" i="11"/>
  <c r="AS61" i="11"/>
  <c r="AT61" i="11"/>
  <c r="AU61" i="11"/>
  <c r="AV61" i="11"/>
  <c r="AW61" i="11"/>
  <c r="AX61" i="11"/>
  <c r="AY61" i="11"/>
  <c r="AZ61" i="11"/>
  <c r="BA61" i="11"/>
  <c r="BB61" i="11"/>
  <c r="BC61" i="11"/>
  <c r="BD61" i="11"/>
  <c r="BE61" i="11"/>
  <c r="BF61" i="11"/>
  <c r="BG61" i="11"/>
  <c r="BH61" i="11"/>
  <c r="BI61" i="11"/>
  <c r="BJ61" i="11"/>
  <c r="BK61" i="11"/>
  <c r="BL61" i="11"/>
  <c r="BM61" i="11"/>
  <c r="BN61" i="11"/>
  <c r="BO61" i="11"/>
  <c r="BP61" i="11"/>
  <c r="BQ61" i="11"/>
  <c r="BR61" i="11"/>
  <c r="BS61" i="11"/>
  <c r="BT61" i="11"/>
  <c r="BU61" i="11"/>
  <c r="BV61" i="11"/>
  <c r="BW61" i="11"/>
  <c r="BX62" i="10"/>
  <c r="BX61" i="11"/>
  <c r="BY62" i="10"/>
  <c r="BY61" i="11"/>
  <c r="BZ61" i="11"/>
  <c r="CA61" i="11"/>
  <c r="CB61" i="11"/>
  <c r="B62"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O62" i="11"/>
  <c r="AP62" i="11"/>
  <c r="AQ62" i="11"/>
  <c r="AR62" i="11"/>
  <c r="AS62" i="11"/>
  <c r="AT62" i="11"/>
  <c r="AU62" i="11"/>
  <c r="AV62" i="11"/>
  <c r="AW62" i="11"/>
  <c r="AX62" i="11"/>
  <c r="AY62" i="11"/>
  <c r="AZ62" i="11"/>
  <c r="BA62" i="11"/>
  <c r="BB62" i="11"/>
  <c r="BC62" i="11"/>
  <c r="BD62" i="11"/>
  <c r="BE62" i="11"/>
  <c r="BF62" i="11"/>
  <c r="BG62" i="11"/>
  <c r="BH62" i="11"/>
  <c r="BI62" i="11"/>
  <c r="BJ62" i="11"/>
  <c r="BK62" i="11"/>
  <c r="BL62" i="11"/>
  <c r="BM62" i="11"/>
  <c r="BN62" i="11"/>
  <c r="BO62" i="11"/>
  <c r="BP62" i="11"/>
  <c r="BQ62" i="11"/>
  <c r="BR62" i="11"/>
  <c r="BS62" i="11"/>
  <c r="BT62" i="11"/>
  <c r="BU62" i="11"/>
  <c r="BV62" i="11"/>
  <c r="BW62" i="11"/>
  <c r="BX63" i="10"/>
  <c r="BX62" i="11"/>
  <c r="BY63" i="10"/>
  <c r="BY62" i="11"/>
  <c r="BZ62" i="11"/>
  <c r="CA62" i="11"/>
  <c r="CB62" i="11"/>
  <c r="B63"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O63" i="11"/>
  <c r="AP63" i="11"/>
  <c r="AQ63" i="11"/>
  <c r="AR63" i="11"/>
  <c r="AS63" i="11"/>
  <c r="AT63" i="11"/>
  <c r="AU63" i="11"/>
  <c r="AV63" i="11"/>
  <c r="AW63" i="11"/>
  <c r="AX63" i="11"/>
  <c r="AY63" i="11"/>
  <c r="AZ63" i="11"/>
  <c r="BA63" i="11"/>
  <c r="BB63" i="11"/>
  <c r="BC63" i="11"/>
  <c r="BD63" i="11"/>
  <c r="BE63" i="11"/>
  <c r="BF63" i="11"/>
  <c r="BG63" i="11"/>
  <c r="BH63" i="11"/>
  <c r="BI63" i="11"/>
  <c r="BJ63" i="11"/>
  <c r="BK63" i="11"/>
  <c r="BL63" i="11"/>
  <c r="BM63" i="11"/>
  <c r="BN63" i="11"/>
  <c r="BO63" i="11"/>
  <c r="BP63" i="11"/>
  <c r="BQ63" i="11"/>
  <c r="BR63" i="11"/>
  <c r="BS63" i="11"/>
  <c r="BT63" i="11"/>
  <c r="BU63" i="11"/>
  <c r="BV63" i="11"/>
  <c r="BW63" i="11"/>
  <c r="BX64" i="10"/>
  <c r="BX63" i="11"/>
  <c r="BY64" i="10"/>
  <c r="BY63" i="11"/>
  <c r="BZ63" i="11"/>
  <c r="CA63" i="11"/>
  <c r="CB63" i="11"/>
  <c r="B64"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O64" i="11"/>
  <c r="AP64" i="11"/>
  <c r="AQ64" i="11"/>
  <c r="AR64" i="11"/>
  <c r="AS64" i="11"/>
  <c r="AT64" i="11"/>
  <c r="AU64" i="11"/>
  <c r="AV64" i="11"/>
  <c r="AW64" i="11"/>
  <c r="AX64" i="11"/>
  <c r="AY64" i="11"/>
  <c r="AZ64" i="11"/>
  <c r="BA64" i="11"/>
  <c r="BB64" i="11"/>
  <c r="BC64" i="11"/>
  <c r="BD64" i="11"/>
  <c r="BE64" i="11"/>
  <c r="BF64" i="11"/>
  <c r="BG64" i="11"/>
  <c r="BH64" i="11"/>
  <c r="BI64" i="11"/>
  <c r="BJ64" i="11"/>
  <c r="BK64" i="11"/>
  <c r="BL64" i="11"/>
  <c r="BM64" i="11"/>
  <c r="BN64" i="11"/>
  <c r="BO64" i="11"/>
  <c r="BP64" i="11"/>
  <c r="BQ64" i="11"/>
  <c r="BR64" i="11"/>
  <c r="BS64" i="11"/>
  <c r="BT64" i="11"/>
  <c r="BU64" i="11"/>
  <c r="BV64" i="11"/>
  <c r="BW64" i="11"/>
  <c r="BX65" i="10"/>
  <c r="BX64" i="11"/>
  <c r="BY65" i="10"/>
  <c r="BY64" i="11"/>
  <c r="BZ64" i="11"/>
  <c r="CA64" i="11"/>
  <c r="CB64" i="11"/>
  <c r="B65"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O65" i="11"/>
  <c r="AP65" i="11"/>
  <c r="AQ65" i="11"/>
  <c r="AR65" i="11"/>
  <c r="AS65" i="11"/>
  <c r="AT65" i="11"/>
  <c r="AU65" i="11"/>
  <c r="AV65" i="11"/>
  <c r="AW65" i="11"/>
  <c r="AX65" i="11"/>
  <c r="AY65" i="11"/>
  <c r="AZ65" i="11"/>
  <c r="BA65" i="11"/>
  <c r="BB65" i="11"/>
  <c r="BC65" i="11"/>
  <c r="BD65" i="11"/>
  <c r="BE65" i="11"/>
  <c r="BF65" i="11"/>
  <c r="BG65" i="11"/>
  <c r="BH65" i="11"/>
  <c r="BI65" i="11"/>
  <c r="BJ65" i="11"/>
  <c r="BK65" i="11"/>
  <c r="BL65" i="11"/>
  <c r="BM65" i="11"/>
  <c r="BN65" i="11"/>
  <c r="BO65" i="11"/>
  <c r="BP65" i="11"/>
  <c r="BQ65" i="11"/>
  <c r="BR65" i="11"/>
  <c r="BS65" i="11"/>
  <c r="BT65" i="11"/>
  <c r="BU65" i="11"/>
  <c r="BV65" i="11"/>
  <c r="BW65" i="11"/>
  <c r="BX66" i="10"/>
  <c r="BX65" i="11"/>
  <c r="BY66" i="10"/>
  <c r="BY65" i="11"/>
  <c r="BZ65" i="11"/>
  <c r="CA65" i="11"/>
  <c r="CB65" i="11"/>
  <c r="B66"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O66" i="11"/>
  <c r="AP66" i="11"/>
  <c r="AQ66" i="11"/>
  <c r="AR66" i="11"/>
  <c r="AS66" i="11"/>
  <c r="AT66" i="11"/>
  <c r="AU66" i="11"/>
  <c r="AV66" i="11"/>
  <c r="AW66" i="11"/>
  <c r="AX66" i="11"/>
  <c r="AY66" i="11"/>
  <c r="AZ66" i="11"/>
  <c r="BA66" i="11"/>
  <c r="BB66" i="11"/>
  <c r="BC66" i="11"/>
  <c r="BD66" i="11"/>
  <c r="BE66" i="11"/>
  <c r="BF66" i="11"/>
  <c r="BG66" i="11"/>
  <c r="BH66" i="11"/>
  <c r="BI66" i="11"/>
  <c r="BJ66" i="11"/>
  <c r="BK66" i="11"/>
  <c r="BL66" i="11"/>
  <c r="BM66" i="11"/>
  <c r="BN66" i="11"/>
  <c r="BO66" i="11"/>
  <c r="BP66" i="11"/>
  <c r="BQ66" i="11"/>
  <c r="BR66" i="11"/>
  <c r="BS66" i="11"/>
  <c r="BT66" i="11"/>
  <c r="BU66" i="11"/>
  <c r="BV66" i="11"/>
  <c r="BW66" i="11"/>
  <c r="BX67" i="10"/>
  <c r="BX66" i="11"/>
  <c r="BY67" i="10"/>
  <c r="BY66" i="11"/>
  <c r="BZ66" i="11"/>
  <c r="CA66" i="11"/>
  <c r="CB66" i="11"/>
  <c r="B67"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O67" i="11"/>
  <c r="AP67" i="11"/>
  <c r="AQ67" i="11"/>
  <c r="AR67" i="11"/>
  <c r="AS67" i="11"/>
  <c r="AT67" i="11"/>
  <c r="AU67" i="11"/>
  <c r="AV67" i="11"/>
  <c r="AW67" i="11"/>
  <c r="AX67" i="11"/>
  <c r="AY67" i="11"/>
  <c r="AZ67" i="11"/>
  <c r="BA67" i="11"/>
  <c r="BB67" i="11"/>
  <c r="BC67" i="11"/>
  <c r="BD67" i="11"/>
  <c r="BE67" i="11"/>
  <c r="BF67" i="11"/>
  <c r="BG67" i="11"/>
  <c r="BH67" i="11"/>
  <c r="BI67" i="11"/>
  <c r="BJ67" i="11"/>
  <c r="BK67" i="11"/>
  <c r="BL67" i="11"/>
  <c r="BM67" i="11"/>
  <c r="BN67" i="11"/>
  <c r="BO67" i="11"/>
  <c r="BP67" i="11"/>
  <c r="BQ67" i="11"/>
  <c r="BR67" i="11"/>
  <c r="BS67" i="11"/>
  <c r="BT67" i="11"/>
  <c r="BU67" i="11"/>
  <c r="BV67" i="11"/>
  <c r="BW67" i="11"/>
  <c r="BX68" i="10"/>
  <c r="BX67" i="11"/>
  <c r="BY68" i="10"/>
  <c r="BY67" i="11"/>
  <c r="BZ67" i="11"/>
  <c r="CA67" i="11"/>
  <c r="CB67" i="11"/>
  <c r="B68"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O68" i="11"/>
  <c r="AP68" i="11"/>
  <c r="AQ68" i="11"/>
  <c r="AR68" i="11"/>
  <c r="AS68" i="11"/>
  <c r="AT68" i="11"/>
  <c r="AU68" i="11"/>
  <c r="AV68" i="11"/>
  <c r="AW68" i="11"/>
  <c r="AX68" i="11"/>
  <c r="AY68" i="11"/>
  <c r="AZ68" i="11"/>
  <c r="BA68" i="11"/>
  <c r="BB68" i="11"/>
  <c r="BC68" i="11"/>
  <c r="BD68" i="11"/>
  <c r="BE68" i="11"/>
  <c r="BF68" i="11"/>
  <c r="BG68" i="11"/>
  <c r="BH68" i="11"/>
  <c r="BI68" i="11"/>
  <c r="BJ68" i="11"/>
  <c r="BK68" i="11"/>
  <c r="BL68" i="11"/>
  <c r="BM68" i="11"/>
  <c r="BN68" i="11"/>
  <c r="BO68" i="11"/>
  <c r="BP68" i="11"/>
  <c r="BQ68" i="11"/>
  <c r="BR68" i="11"/>
  <c r="BS68" i="11"/>
  <c r="BT68" i="11"/>
  <c r="BU68" i="11"/>
  <c r="BV68" i="11"/>
  <c r="BW68" i="11"/>
  <c r="BX69" i="10"/>
  <c r="BX68" i="11"/>
  <c r="BY69" i="10"/>
  <c r="BY68" i="11"/>
  <c r="BZ68" i="11"/>
  <c r="CA68" i="11"/>
  <c r="CB68" i="11"/>
  <c r="B69"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O69" i="11"/>
  <c r="AP69" i="11"/>
  <c r="AQ69" i="11"/>
  <c r="AR69" i="11"/>
  <c r="AS69" i="11"/>
  <c r="AT69" i="11"/>
  <c r="AU69" i="11"/>
  <c r="AV69" i="11"/>
  <c r="AW69" i="11"/>
  <c r="AX69" i="11"/>
  <c r="AY69" i="11"/>
  <c r="AZ69" i="11"/>
  <c r="BA69" i="11"/>
  <c r="BB69" i="11"/>
  <c r="BC69" i="11"/>
  <c r="BD69" i="11"/>
  <c r="BE69" i="11"/>
  <c r="BF69" i="11"/>
  <c r="BG69" i="11"/>
  <c r="BH69" i="11"/>
  <c r="BI69" i="11"/>
  <c r="BJ69" i="11"/>
  <c r="BK69" i="11"/>
  <c r="BL69" i="11"/>
  <c r="BM69" i="11"/>
  <c r="BN69" i="11"/>
  <c r="BO69" i="11"/>
  <c r="BP69" i="11"/>
  <c r="BQ69" i="11"/>
  <c r="BR69" i="11"/>
  <c r="BS69" i="11"/>
  <c r="BT69" i="11"/>
  <c r="BU69" i="11"/>
  <c r="BV69" i="11"/>
  <c r="BW69" i="11"/>
  <c r="BX70" i="10"/>
  <c r="BX69" i="11"/>
  <c r="BY70" i="10"/>
  <c r="BY69" i="11"/>
  <c r="BZ69" i="11"/>
  <c r="CA69" i="11"/>
  <c r="CB69" i="11"/>
  <c r="B70"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O70" i="11"/>
  <c r="AP70" i="11"/>
  <c r="AQ70" i="11"/>
  <c r="AR70" i="11"/>
  <c r="AS70" i="11"/>
  <c r="AT70" i="11"/>
  <c r="AU70" i="11"/>
  <c r="AV70" i="11"/>
  <c r="AW70" i="11"/>
  <c r="AX70" i="11"/>
  <c r="AY70" i="11"/>
  <c r="AZ70" i="11"/>
  <c r="BA70" i="11"/>
  <c r="BB70" i="11"/>
  <c r="BC70" i="11"/>
  <c r="BD70" i="11"/>
  <c r="BE70" i="11"/>
  <c r="BF70" i="11"/>
  <c r="BG70" i="11"/>
  <c r="BH70" i="11"/>
  <c r="BI70" i="11"/>
  <c r="BJ70" i="11"/>
  <c r="BK70" i="11"/>
  <c r="BL70" i="11"/>
  <c r="BM70" i="11"/>
  <c r="BN70" i="11"/>
  <c r="BO70" i="11"/>
  <c r="BP70" i="11"/>
  <c r="BQ70" i="11"/>
  <c r="BR70" i="11"/>
  <c r="BS70" i="11"/>
  <c r="BT70" i="11"/>
  <c r="BU70" i="11"/>
  <c r="BV70" i="11"/>
  <c r="BW70" i="11"/>
  <c r="BX71" i="10"/>
  <c r="BX70" i="11"/>
  <c r="BY71" i="10"/>
  <c r="BY70" i="11"/>
  <c r="BZ70" i="11"/>
  <c r="CA70" i="11"/>
  <c r="CB70" i="11"/>
  <c r="B71"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O71" i="11"/>
  <c r="AP71" i="11"/>
  <c r="AQ71" i="11"/>
  <c r="AR71" i="11"/>
  <c r="AS71" i="11"/>
  <c r="AT71" i="11"/>
  <c r="AU71" i="11"/>
  <c r="AV71" i="11"/>
  <c r="AW71" i="11"/>
  <c r="AX71" i="11"/>
  <c r="AY71" i="11"/>
  <c r="AZ71" i="11"/>
  <c r="BA71" i="11"/>
  <c r="BB71" i="11"/>
  <c r="BC71" i="11"/>
  <c r="BD71" i="11"/>
  <c r="BE71" i="11"/>
  <c r="BF71" i="11"/>
  <c r="BG71" i="11"/>
  <c r="BH71" i="11"/>
  <c r="BI71" i="11"/>
  <c r="BJ71" i="11"/>
  <c r="BK71" i="11"/>
  <c r="BL71" i="11"/>
  <c r="BM71" i="11"/>
  <c r="BN71" i="11"/>
  <c r="BO71" i="11"/>
  <c r="BP71" i="11"/>
  <c r="BQ71" i="11"/>
  <c r="BR71" i="11"/>
  <c r="BS71" i="11"/>
  <c r="BT71" i="11"/>
  <c r="BU71" i="11"/>
  <c r="BV71" i="11"/>
  <c r="BW71" i="11"/>
  <c r="BX72" i="10"/>
  <c r="BX71" i="11"/>
  <c r="BY72" i="10"/>
  <c r="BY71" i="11"/>
  <c r="BZ71" i="11"/>
  <c r="CA71" i="11"/>
  <c r="CB71" i="11"/>
  <c r="B72"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O72" i="11"/>
  <c r="AP72" i="11"/>
  <c r="AQ72" i="11"/>
  <c r="AR72" i="11"/>
  <c r="AS72" i="11"/>
  <c r="AT72" i="11"/>
  <c r="AU72" i="11"/>
  <c r="AV72" i="11"/>
  <c r="AW72" i="11"/>
  <c r="AX72" i="11"/>
  <c r="AY72" i="11"/>
  <c r="AZ72" i="11"/>
  <c r="BA72" i="11"/>
  <c r="BB72" i="11"/>
  <c r="BC72" i="11"/>
  <c r="BD72" i="11"/>
  <c r="BE72" i="11"/>
  <c r="BF72" i="11"/>
  <c r="BG72" i="11"/>
  <c r="BH72" i="11"/>
  <c r="BI72" i="11"/>
  <c r="BJ72" i="11"/>
  <c r="BK72" i="11"/>
  <c r="BL72" i="11"/>
  <c r="BM72" i="11"/>
  <c r="BN72" i="11"/>
  <c r="BO72" i="11"/>
  <c r="BP72" i="11"/>
  <c r="BQ72" i="11"/>
  <c r="BR72" i="11"/>
  <c r="BS72" i="11"/>
  <c r="BT72" i="11"/>
  <c r="BU72" i="11"/>
  <c r="BV72" i="11"/>
  <c r="BW72" i="11"/>
  <c r="BX73" i="10"/>
  <c r="BX72" i="11"/>
  <c r="BY73" i="10"/>
  <c r="BY72" i="11"/>
  <c r="BZ72" i="11"/>
  <c r="CA72" i="11"/>
  <c r="CB72" i="11"/>
  <c r="B73"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O73" i="11"/>
  <c r="AP73" i="11"/>
  <c r="AQ73" i="11"/>
  <c r="AR73" i="11"/>
  <c r="AS73" i="11"/>
  <c r="AT73" i="11"/>
  <c r="AU73" i="11"/>
  <c r="AV73" i="11"/>
  <c r="AW73" i="11"/>
  <c r="AX73" i="11"/>
  <c r="AY73" i="11"/>
  <c r="AZ73" i="11"/>
  <c r="BA73" i="11"/>
  <c r="BB73" i="11"/>
  <c r="BC73" i="11"/>
  <c r="BD73" i="11"/>
  <c r="BE73" i="11"/>
  <c r="BF73" i="11"/>
  <c r="BG73" i="11"/>
  <c r="BH73" i="11"/>
  <c r="BI73" i="11"/>
  <c r="BJ73" i="11"/>
  <c r="BK73" i="11"/>
  <c r="BL73" i="11"/>
  <c r="BM73" i="11"/>
  <c r="BN73" i="11"/>
  <c r="BO73" i="11"/>
  <c r="BP73" i="11"/>
  <c r="BQ73" i="11"/>
  <c r="BR73" i="11"/>
  <c r="BS73" i="11"/>
  <c r="BT73" i="11"/>
  <c r="BU73" i="11"/>
  <c r="BV73" i="11"/>
  <c r="BW73" i="11"/>
  <c r="BX74" i="10"/>
  <c r="BX73" i="11"/>
  <c r="BY74" i="10"/>
  <c r="BY73" i="11"/>
  <c r="BZ73" i="11"/>
  <c r="CA73" i="11"/>
  <c r="CB73" i="11"/>
  <c r="B74"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O74" i="11"/>
  <c r="AP74" i="11"/>
  <c r="AQ74" i="11"/>
  <c r="AR74" i="11"/>
  <c r="AS74" i="11"/>
  <c r="AT74" i="11"/>
  <c r="AU74" i="11"/>
  <c r="AV74" i="11"/>
  <c r="AW74" i="11"/>
  <c r="AX74" i="11"/>
  <c r="AY74" i="11"/>
  <c r="AZ74" i="11"/>
  <c r="BA74" i="11"/>
  <c r="BB74" i="11"/>
  <c r="BC74" i="11"/>
  <c r="BD74" i="11"/>
  <c r="BE74" i="11"/>
  <c r="BF74" i="11"/>
  <c r="BG74" i="11"/>
  <c r="BH74" i="11"/>
  <c r="BI74" i="11"/>
  <c r="BJ74" i="11"/>
  <c r="BK74" i="11"/>
  <c r="BL74" i="11"/>
  <c r="BM74" i="11"/>
  <c r="BN74" i="11"/>
  <c r="BO74" i="11"/>
  <c r="BP74" i="11"/>
  <c r="BQ74" i="11"/>
  <c r="BR74" i="11"/>
  <c r="BS74" i="11"/>
  <c r="BT74" i="11"/>
  <c r="BU74" i="11"/>
  <c r="BV74" i="11"/>
  <c r="BW74" i="11"/>
  <c r="BX75" i="10"/>
  <c r="BX74" i="11"/>
  <c r="BY75" i="10"/>
  <c r="BY74" i="11"/>
  <c r="BZ74" i="11"/>
  <c r="CA74" i="11"/>
  <c r="CB74" i="11"/>
  <c r="B75"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O75" i="11"/>
  <c r="AP75" i="11"/>
  <c r="AQ75" i="11"/>
  <c r="AR75" i="11"/>
  <c r="AS75" i="11"/>
  <c r="AT75" i="11"/>
  <c r="AU75" i="11"/>
  <c r="AV75" i="11"/>
  <c r="AW75" i="11"/>
  <c r="AX75" i="11"/>
  <c r="AY75" i="11"/>
  <c r="AZ75" i="11"/>
  <c r="BA75" i="11"/>
  <c r="BB75" i="11"/>
  <c r="BC75" i="11"/>
  <c r="BD75" i="11"/>
  <c r="BE75" i="11"/>
  <c r="BF75" i="11"/>
  <c r="BG75" i="11"/>
  <c r="BH75" i="11"/>
  <c r="BI75" i="11"/>
  <c r="BJ75" i="11"/>
  <c r="BK75" i="11"/>
  <c r="BL75" i="11"/>
  <c r="BM75" i="11"/>
  <c r="BN75" i="11"/>
  <c r="BO75" i="11"/>
  <c r="BP75" i="11"/>
  <c r="BQ75" i="11"/>
  <c r="BR75" i="11"/>
  <c r="BS75" i="11"/>
  <c r="BT75" i="11"/>
  <c r="BU75" i="11"/>
  <c r="BV75" i="11"/>
  <c r="BW75" i="11"/>
  <c r="BX76" i="10"/>
  <c r="BX75" i="11"/>
  <c r="BY76" i="10"/>
  <c r="BY75" i="11"/>
  <c r="BZ75" i="11"/>
  <c r="CA75" i="11"/>
  <c r="CB75" i="11"/>
  <c r="B76"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O76" i="11"/>
  <c r="AP76" i="11"/>
  <c r="AQ76" i="11"/>
  <c r="AR76" i="11"/>
  <c r="AS76" i="11"/>
  <c r="AT76" i="11"/>
  <c r="AU76" i="11"/>
  <c r="AV76" i="11"/>
  <c r="AW76" i="11"/>
  <c r="AX76" i="11"/>
  <c r="AY76" i="11"/>
  <c r="AZ76" i="11"/>
  <c r="BA76" i="11"/>
  <c r="BB76" i="11"/>
  <c r="BC76" i="11"/>
  <c r="BD76" i="11"/>
  <c r="BE76" i="11"/>
  <c r="BF76" i="11"/>
  <c r="BG76" i="11"/>
  <c r="BH76" i="11"/>
  <c r="BI76" i="11"/>
  <c r="BJ76" i="11"/>
  <c r="BK76" i="11"/>
  <c r="BL76" i="11"/>
  <c r="BM76" i="11"/>
  <c r="BN76" i="11"/>
  <c r="BO76" i="11"/>
  <c r="BP76" i="11"/>
  <c r="BQ76" i="11"/>
  <c r="BR76" i="11"/>
  <c r="BS76" i="11"/>
  <c r="BT76" i="11"/>
  <c r="BU76" i="11"/>
  <c r="BV76" i="11"/>
  <c r="BW76" i="11"/>
  <c r="BX77" i="10"/>
  <c r="BX76" i="11"/>
  <c r="BY77" i="10"/>
  <c r="BY76" i="11"/>
  <c r="BZ76" i="11"/>
  <c r="CA76" i="11"/>
  <c r="CB76" i="11"/>
  <c r="B77"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O77" i="11"/>
  <c r="AP77" i="11"/>
  <c r="AQ77" i="11"/>
  <c r="AR77" i="11"/>
  <c r="AS77" i="11"/>
  <c r="AT77" i="11"/>
  <c r="AU77" i="11"/>
  <c r="AV77" i="11"/>
  <c r="AW77" i="11"/>
  <c r="AX77" i="11"/>
  <c r="AY77" i="11"/>
  <c r="AZ77" i="11"/>
  <c r="BA77" i="11"/>
  <c r="BB77" i="11"/>
  <c r="BC77" i="11"/>
  <c r="BD77" i="11"/>
  <c r="BE77" i="11"/>
  <c r="BF77" i="11"/>
  <c r="BG77" i="11"/>
  <c r="BH77" i="11"/>
  <c r="BI77" i="11"/>
  <c r="BJ77" i="11"/>
  <c r="BK77" i="11"/>
  <c r="BL77" i="11"/>
  <c r="BM77" i="11"/>
  <c r="BN77" i="11"/>
  <c r="BO77" i="11"/>
  <c r="BP77" i="11"/>
  <c r="BQ77" i="11"/>
  <c r="BR77" i="11"/>
  <c r="BS77" i="11"/>
  <c r="BT77" i="11"/>
  <c r="BU77" i="11"/>
  <c r="BV77" i="11"/>
  <c r="BW77" i="11"/>
  <c r="BX78" i="10"/>
  <c r="BX77" i="11"/>
  <c r="BY78" i="10"/>
  <c r="BY77" i="11"/>
  <c r="BZ77" i="11"/>
  <c r="CA77" i="11"/>
  <c r="CB77" i="11"/>
  <c r="B78"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O78" i="11"/>
  <c r="AP78" i="11"/>
  <c r="AQ78" i="11"/>
  <c r="AR78" i="11"/>
  <c r="AS78" i="11"/>
  <c r="AT78" i="11"/>
  <c r="AU78" i="11"/>
  <c r="AV78" i="11"/>
  <c r="AW78" i="11"/>
  <c r="AX78" i="11"/>
  <c r="AY78" i="11"/>
  <c r="AZ78" i="11"/>
  <c r="BA78" i="11"/>
  <c r="BB78" i="11"/>
  <c r="BC78" i="11"/>
  <c r="BD78" i="11"/>
  <c r="BE78" i="11"/>
  <c r="BF78" i="11"/>
  <c r="BG78" i="11"/>
  <c r="BH78" i="11"/>
  <c r="BI78" i="11"/>
  <c r="BJ78" i="11"/>
  <c r="BK78" i="11"/>
  <c r="BL78" i="11"/>
  <c r="BM78" i="11"/>
  <c r="BN78" i="11"/>
  <c r="BO78" i="11"/>
  <c r="BP78" i="11"/>
  <c r="BQ78" i="11"/>
  <c r="BR78" i="11"/>
  <c r="BS78" i="11"/>
  <c r="BT78" i="11"/>
  <c r="BU78" i="11"/>
  <c r="BV78" i="11"/>
  <c r="BW78" i="11"/>
  <c r="BX79" i="10"/>
  <c r="BX78" i="11"/>
  <c r="BY79" i="10"/>
  <c r="BY78" i="11"/>
  <c r="BZ78" i="11"/>
  <c r="CA78" i="11"/>
  <c r="CB78" i="11"/>
  <c r="B79"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O79" i="11"/>
  <c r="AP79" i="11"/>
  <c r="AQ79" i="11"/>
  <c r="AR79" i="11"/>
  <c r="AS79" i="11"/>
  <c r="AT79" i="11"/>
  <c r="AU79" i="11"/>
  <c r="AV79" i="11"/>
  <c r="AW79" i="11"/>
  <c r="AX79" i="11"/>
  <c r="AY79" i="11"/>
  <c r="AZ79" i="11"/>
  <c r="BA79" i="11"/>
  <c r="BB79" i="11"/>
  <c r="BC79" i="11"/>
  <c r="BD79" i="11"/>
  <c r="BE79" i="11"/>
  <c r="BF79" i="11"/>
  <c r="BG79" i="11"/>
  <c r="BH79" i="11"/>
  <c r="BI79" i="11"/>
  <c r="BJ79" i="11"/>
  <c r="BK79" i="11"/>
  <c r="BL79" i="11"/>
  <c r="BM79" i="11"/>
  <c r="BN79" i="11"/>
  <c r="BO79" i="11"/>
  <c r="BP79" i="11"/>
  <c r="BQ79" i="11"/>
  <c r="BR79" i="11"/>
  <c r="BS79" i="11"/>
  <c r="BT79" i="11"/>
  <c r="BU79" i="11"/>
  <c r="BV79" i="11"/>
  <c r="BW79" i="11"/>
  <c r="BX80" i="10"/>
  <c r="BX79" i="11"/>
  <c r="BY80" i="10"/>
  <c r="BY79" i="11"/>
  <c r="BZ79" i="11"/>
  <c r="CA79" i="11"/>
  <c r="CB79" i="11"/>
  <c r="B80"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O80" i="11"/>
  <c r="AP80" i="11"/>
  <c r="AQ80" i="11"/>
  <c r="AR80" i="11"/>
  <c r="AS80" i="11"/>
  <c r="AT80" i="11"/>
  <c r="AU80" i="11"/>
  <c r="AV80" i="11"/>
  <c r="AW80" i="11"/>
  <c r="AX80" i="11"/>
  <c r="AY80" i="11"/>
  <c r="AZ80" i="11"/>
  <c r="BA80" i="11"/>
  <c r="BB80" i="11"/>
  <c r="BC80" i="11"/>
  <c r="BD80" i="11"/>
  <c r="BE80" i="11"/>
  <c r="BF80" i="11"/>
  <c r="BG80" i="11"/>
  <c r="BH80" i="11"/>
  <c r="BI80" i="11"/>
  <c r="BJ80" i="11"/>
  <c r="BK80" i="11"/>
  <c r="BL80" i="11"/>
  <c r="BM80" i="11"/>
  <c r="BN80" i="11"/>
  <c r="BO80" i="11"/>
  <c r="BP80" i="11"/>
  <c r="BQ80" i="11"/>
  <c r="BR80" i="11"/>
  <c r="BS80" i="11"/>
  <c r="BT80" i="11"/>
  <c r="BU80" i="11"/>
  <c r="BV80" i="11"/>
  <c r="BW80" i="11"/>
  <c r="BX81" i="10"/>
  <c r="BX80" i="11"/>
  <c r="BY81" i="10"/>
  <c r="BY80" i="11"/>
  <c r="BZ80" i="11"/>
  <c r="CA80" i="11"/>
  <c r="CB80" i="11"/>
  <c r="B81"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O81" i="11"/>
  <c r="AP81" i="11"/>
  <c r="AQ81" i="11"/>
  <c r="AR81" i="11"/>
  <c r="AS81" i="11"/>
  <c r="AT81" i="11"/>
  <c r="AU81" i="11"/>
  <c r="AV81" i="11"/>
  <c r="AW81" i="11"/>
  <c r="AX81" i="11"/>
  <c r="AY81" i="11"/>
  <c r="AZ81" i="11"/>
  <c r="BA81" i="11"/>
  <c r="BB81" i="11"/>
  <c r="BC81" i="11"/>
  <c r="BD81" i="11"/>
  <c r="BE81" i="11"/>
  <c r="BF81" i="11"/>
  <c r="BG81" i="11"/>
  <c r="BH81" i="11"/>
  <c r="BI81" i="11"/>
  <c r="BJ81" i="11"/>
  <c r="BK81" i="11"/>
  <c r="BL81" i="11"/>
  <c r="BM81" i="11"/>
  <c r="BN81" i="11"/>
  <c r="BO81" i="11"/>
  <c r="BP81" i="11"/>
  <c r="BQ81" i="11"/>
  <c r="BR81" i="11"/>
  <c r="BS81" i="11"/>
  <c r="BT81" i="11"/>
  <c r="BU81" i="11"/>
  <c r="BV81" i="11"/>
  <c r="BW81" i="11"/>
  <c r="BX82" i="10"/>
  <c r="BX81" i="11"/>
  <c r="BY82" i="10"/>
  <c r="BY81" i="11"/>
  <c r="BZ81" i="11"/>
  <c r="CA81" i="11"/>
  <c r="CB81" i="11"/>
  <c r="B82"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O82" i="11"/>
  <c r="AP82" i="11"/>
  <c r="AQ82" i="11"/>
  <c r="AR82" i="11"/>
  <c r="AS82" i="11"/>
  <c r="AT82" i="11"/>
  <c r="AU82" i="11"/>
  <c r="AV82" i="11"/>
  <c r="AW82" i="11"/>
  <c r="AX82" i="11"/>
  <c r="AY82" i="11"/>
  <c r="AZ82" i="11"/>
  <c r="BA82" i="11"/>
  <c r="BB82" i="11"/>
  <c r="BC82" i="11"/>
  <c r="BD82" i="11"/>
  <c r="BE82" i="11"/>
  <c r="BF82" i="11"/>
  <c r="BG82" i="11"/>
  <c r="BH82" i="11"/>
  <c r="BI82" i="11"/>
  <c r="BJ82" i="11"/>
  <c r="BK82" i="11"/>
  <c r="BL82" i="11"/>
  <c r="BM82" i="11"/>
  <c r="BN82" i="11"/>
  <c r="BO82" i="11"/>
  <c r="BP82" i="11"/>
  <c r="BQ82" i="11"/>
  <c r="BR82" i="11"/>
  <c r="BS82" i="11"/>
  <c r="BT82" i="11"/>
  <c r="BU82" i="11"/>
  <c r="BV82" i="11"/>
  <c r="BW82" i="11"/>
  <c r="BX83" i="10"/>
  <c r="BX82" i="11"/>
  <c r="BY83" i="10"/>
  <c r="BY82" i="11"/>
  <c r="BZ82" i="11"/>
  <c r="CA82" i="11"/>
  <c r="CB82" i="11"/>
  <c r="B83"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O83" i="11"/>
  <c r="AP83" i="11"/>
  <c r="AQ83" i="11"/>
  <c r="AR83" i="11"/>
  <c r="AS83" i="11"/>
  <c r="AT83" i="11"/>
  <c r="AU83" i="11"/>
  <c r="AV83" i="11"/>
  <c r="AW83" i="11"/>
  <c r="AX83" i="11"/>
  <c r="AY83" i="11"/>
  <c r="AZ83" i="11"/>
  <c r="BA83" i="11"/>
  <c r="BB83" i="11"/>
  <c r="BC83" i="11"/>
  <c r="BD83" i="11"/>
  <c r="BE83" i="11"/>
  <c r="BF83" i="11"/>
  <c r="BG83" i="11"/>
  <c r="BH83" i="11"/>
  <c r="BI83" i="11"/>
  <c r="BJ83" i="11"/>
  <c r="BK83" i="11"/>
  <c r="BL83" i="11"/>
  <c r="BM83" i="11"/>
  <c r="BN83" i="11"/>
  <c r="BO83" i="11"/>
  <c r="BP83" i="11"/>
  <c r="BQ83" i="11"/>
  <c r="BR83" i="11"/>
  <c r="BS83" i="11"/>
  <c r="BT83" i="11"/>
  <c r="BU83" i="11"/>
  <c r="BV83" i="11"/>
  <c r="BW83" i="11"/>
  <c r="BX84" i="10"/>
  <c r="BX83" i="11"/>
  <c r="BY84" i="10"/>
  <c r="BY83" i="11"/>
  <c r="BZ83" i="11"/>
  <c r="CA83" i="11"/>
  <c r="CB83" i="11"/>
  <c r="B84"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O84" i="11"/>
  <c r="AP84" i="11"/>
  <c r="AQ84" i="11"/>
  <c r="AR84" i="11"/>
  <c r="AS84" i="11"/>
  <c r="AT84" i="11"/>
  <c r="AU84" i="11"/>
  <c r="AV84" i="11"/>
  <c r="AW84" i="11"/>
  <c r="AX84" i="11"/>
  <c r="AY84" i="11"/>
  <c r="AZ84" i="11"/>
  <c r="BA84" i="11"/>
  <c r="BB84" i="11"/>
  <c r="BC84" i="11"/>
  <c r="BD84" i="11"/>
  <c r="BE84" i="11"/>
  <c r="BF84" i="11"/>
  <c r="BG84" i="11"/>
  <c r="BH84" i="11"/>
  <c r="BI84" i="11"/>
  <c r="BJ84" i="11"/>
  <c r="BK84" i="11"/>
  <c r="BL84" i="11"/>
  <c r="BM84" i="11"/>
  <c r="BN84" i="11"/>
  <c r="BO84" i="11"/>
  <c r="BP84" i="11"/>
  <c r="BQ84" i="11"/>
  <c r="BR84" i="11"/>
  <c r="BS84" i="11"/>
  <c r="BT84" i="11"/>
  <c r="BU84" i="11"/>
  <c r="BV84" i="11"/>
  <c r="BW84" i="11"/>
  <c r="BX85" i="10"/>
  <c r="BX84" i="11"/>
  <c r="BY85" i="10"/>
  <c r="BY84" i="11"/>
  <c r="BZ84" i="11"/>
  <c r="CA84" i="11"/>
  <c r="CB84" i="11"/>
  <c r="B85"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O85" i="11"/>
  <c r="AP85" i="11"/>
  <c r="AQ85" i="11"/>
  <c r="AR85" i="11"/>
  <c r="AS85" i="11"/>
  <c r="AT85" i="11"/>
  <c r="AU85" i="11"/>
  <c r="AV85" i="11"/>
  <c r="AW85" i="11"/>
  <c r="AX85" i="11"/>
  <c r="AY85" i="11"/>
  <c r="AZ85" i="11"/>
  <c r="BA85" i="11"/>
  <c r="BB85" i="11"/>
  <c r="BC85" i="11"/>
  <c r="BD85" i="11"/>
  <c r="BE85" i="11"/>
  <c r="BF85" i="11"/>
  <c r="BG85" i="11"/>
  <c r="BH85" i="11"/>
  <c r="BI85" i="11"/>
  <c r="BJ85" i="11"/>
  <c r="BK85" i="11"/>
  <c r="BL85" i="11"/>
  <c r="BM85" i="11"/>
  <c r="BN85" i="11"/>
  <c r="BO85" i="11"/>
  <c r="BP85" i="11"/>
  <c r="BQ85" i="11"/>
  <c r="BR85" i="11"/>
  <c r="BS85" i="11"/>
  <c r="BT85" i="11"/>
  <c r="BU85" i="11"/>
  <c r="BV85" i="11"/>
  <c r="BW85" i="11"/>
  <c r="BX86" i="10"/>
  <c r="BX85" i="11"/>
  <c r="BY86" i="10"/>
  <c r="BY85" i="11"/>
  <c r="BZ85" i="11"/>
  <c r="CA85" i="11"/>
  <c r="CB85" i="11"/>
  <c r="B86"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O86" i="11"/>
  <c r="AP86" i="11"/>
  <c r="AQ86" i="11"/>
  <c r="AR86" i="11"/>
  <c r="AS86" i="11"/>
  <c r="AT86" i="11"/>
  <c r="AU86" i="11"/>
  <c r="AV86" i="11"/>
  <c r="AW86" i="11"/>
  <c r="AX86" i="11"/>
  <c r="AY86" i="11"/>
  <c r="AZ86" i="11"/>
  <c r="BA86" i="11"/>
  <c r="BB86" i="11"/>
  <c r="BC86" i="11"/>
  <c r="BD86" i="11"/>
  <c r="BE86" i="11"/>
  <c r="BF86" i="11"/>
  <c r="BG86" i="11"/>
  <c r="BH86" i="11"/>
  <c r="BI86" i="11"/>
  <c r="BJ86" i="11"/>
  <c r="BK86" i="11"/>
  <c r="BL86" i="11"/>
  <c r="BM86" i="11"/>
  <c r="BN86" i="11"/>
  <c r="BO86" i="11"/>
  <c r="BP86" i="11"/>
  <c r="BQ86" i="11"/>
  <c r="BR86" i="11"/>
  <c r="BS86" i="11"/>
  <c r="BT86" i="11"/>
  <c r="BU86" i="11"/>
  <c r="BV86" i="11"/>
  <c r="BW86" i="11"/>
  <c r="BX87" i="10"/>
  <c r="BX86" i="11"/>
  <c r="BY87" i="10"/>
  <c r="BY86" i="11"/>
  <c r="BZ86" i="11"/>
  <c r="CA86" i="11"/>
  <c r="CB86" i="11"/>
  <c r="B87"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O87" i="11"/>
  <c r="AP87" i="11"/>
  <c r="AQ87" i="11"/>
  <c r="AR87" i="11"/>
  <c r="AS87" i="11"/>
  <c r="AT87" i="11"/>
  <c r="AU87" i="11"/>
  <c r="AV87" i="11"/>
  <c r="AW87" i="11"/>
  <c r="AX87" i="11"/>
  <c r="AY87" i="11"/>
  <c r="AZ87" i="11"/>
  <c r="BA87" i="11"/>
  <c r="BB87" i="11"/>
  <c r="BC87" i="11"/>
  <c r="BD87" i="11"/>
  <c r="BE87" i="11"/>
  <c r="BF87" i="11"/>
  <c r="BG87" i="11"/>
  <c r="BH87" i="11"/>
  <c r="BI87" i="11"/>
  <c r="BJ87" i="11"/>
  <c r="BK87" i="11"/>
  <c r="BL87" i="11"/>
  <c r="BM87" i="11"/>
  <c r="BN87" i="11"/>
  <c r="BO87" i="11"/>
  <c r="BP87" i="11"/>
  <c r="BQ87" i="11"/>
  <c r="BR87" i="11"/>
  <c r="BS87" i="11"/>
  <c r="BT87" i="11"/>
  <c r="BU87" i="11"/>
  <c r="BV87" i="11"/>
  <c r="BW87" i="11"/>
  <c r="BX88" i="10"/>
  <c r="BX87" i="11"/>
  <c r="BY88" i="10"/>
  <c r="BY87" i="11"/>
  <c r="BZ87" i="11"/>
  <c r="CA87" i="11"/>
  <c r="CB87" i="11"/>
  <c r="B88"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O88" i="11"/>
  <c r="AP88" i="11"/>
  <c r="AQ88" i="11"/>
  <c r="AR88" i="11"/>
  <c r="AS88" i="11"/>
  <c r="AT88" i="11"/>
  <c r="AU88" i="11"/>
  <c r="AV88" i="11"/>
  <c r="AW88" i="11"/>
  <c r="AX88" i="11"/>
  <c r="AY88" i="11"/>
  <c r="AZ88" i="11"/>
  <c r="BA88" i="11"/>
  <c r="BB88" i="11"/>
  <c r="BC88" i="11"/>
  <c r="BD88" i="11"/>
  <c r="BE88" i="11"/>
  <c r="BF88" i="11"/>
  <c r="BG88" i="11"/>
  <c r="BH88" i="11"/>
  <c r="BI88" i="11"/>
  <c r="BJ88" i="11"/>
  <c r="BK88" i="11"/>
  <c r="BL88" i="11"/>
  <c r="BM88" i="11"/>
  <c r="BN88" i="11"/>
  <c r="BO88" i="11"/>
  <c r="BP88" i="11"/>
  <c r="BQ88" i="11"/>
  <c r="BR88" i="11"/>
  <c r="BS88" i="11"/>
  <c r="BT88" i="11"/>
  <c r="BU88" i="11"/>
  <c r="BV88" i="11"/>
  <c r="BW88" i="11"/>
  <c r="BX89" i="10"/>
  <c r="BX88" i="11"/>
  <c r="BY89" i="10"/>
  <c r="BY88" i="11"/>
  <c r="BZ88" i="11"/>
  <c r="CA88" i="11"/>
  <c r="CB88" i="11"/>
  <c r="B89"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O89" i="11"/>
  <c r="AP89" i="11"/>
  <c r="AQ89" i="11"/>
  <c r="AR89" i="11"/>
  <c r="AS89" i="11"/>
  <c r="AT89" i="11"/>
  <c r="AU89" i="11"/>
  <c r="AV89" i="11"/>
  <c r="AW89" i="11"/>
  <c r="AX89" i="11"/>
  <c r="AY89" i="11"/>
  <c r="AZ89" i="11"/>
  <c r="BA89" i="11"/>
  <c r="BB89" i="11"/>
  <c r="BC89" i="11"/>
  <c r="BD89" i="11"/>
  <c r="BE89" i="11"/>
  <c r="BF89" i="11"/>
  <c r="BG89" i="11"/>
  <c r="BH89" i="11"/>
  <c r="BI89" i="11"/>
  <c r="BJ89" i="11"/>
  <c r="BK89" i="11"/>
  <c r="BL89" i="11"/>
  <c r="BM89" i="11"/>
  <c r="BN89" i="11"/>
  <c r="BO89" i="11"/>
  <c r="BP89" i="11"/>
  <c r="BQ89" i="11"/>
  <c r="BR89" i="11"/>
  <c r="BS89" i="11"/>
  <c r="BT89" i="11"/>
  <c r="BU89" i="11"/>
  <c r="BV89" i="11"/>
  <c r="BW89" i="11"/>
  <c r="BX90" i="10"/>
  <c r="BX89" i="11"/>
  <c r="BY90" i="10"/>
  <c r="BY89" i="11"/>
  <c r="BZ89" i="11"/>
  <c r="CA89" i="11"/>
  <c r="CB89" i="11"/>
  <c r="B90"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O90" i="11"/>
  <c r="AP90" i="11"/>
  <c r="AQ90" i="11"/>
  <c r="AR90" i="11"/>
  <c r="AS90" i="11"/>
  <c r="AT90" i="11"/>
  <c r="AU90" i="11"/>
  <c r="AV90" i="11"/>
  <c r="AW90" i="11"/>
  <c r="AX90" i="11"/>
  <c r="AY90" i="11"/>
  <c r="AZ90" i="11"/>
  <c r="BA90" i="11"/>
  <c r="BB90" i="11"/>
  <c r="BC90" i="11"/>
  <c r="BD90" i="11"/>
  <c r="BE90" i="11"/>
  <c r="BF90" i="11"/>
  <c r="BG90" i="11"/>
  <c r="BH90" i="11"/>
  <c r="BI90" i="11"/>
  <c r="BJ90" i="11"/>
  <c r="BK90" i="11"/>
  <c r="BL90" i="11"/>
  <c r="BM90" i="11"/>
  <c r="BN90" i="11"/>
  <c r="BO90" i="11"/>
  <c r="BP90" i="11"/>
  <c r="BQ90" i="11"/>
  <c r="BR90" i="11"/>
  <c r="BS90" i="11"/>
  <c r="BT90" i="11"/>
  <c r="BU90" i="11"/>
  <c r="BV90" i="11"/>
  <c r="BW90" i="11"/>
  <c r="BX91" i="10"/>
  <c r="BX90" i="11"/>
  <c r="BY91" i="10"/>
  <c r="BY90" i="11"/>
  <c r="BZ90" i="11"/>
  <c r="CA90" i="11"/>
  <c r="CB90" i="11"/>
  <c r="B91"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O91" i="11"/>
  <c r="AP91" i="11"/>
  <c r="AQ91" i="11"/>
  <c r="AR91" i="11"/>
  <c r="AS91" i="11"/>
  <c r="AT91" i="11"/>
  <c r="AU91" i="11"/>
  <c r="AV91" i="11"/>
  <c r="AW91" i="11"/>
  <c r="AX91" i="11"/>
  <c r="AY91" i="11"/>
  <c r="AZ91" i="11"/>
  <c r="BA91" i="11"/>
  <c r="BB91" i="11"/>
  <c r="BC91" i="11"/>
  <c r="BD91" i="11"/>
  <c r="BE91" i="11"/>
  <c r="BF91" i="11"/>
  <c r="BG91" i="11"/>
  <c r="BH91" i="11"/>
  <c r="BI91" i="11"/>
  <c r="BJ91" i="11"/>
  <c r="BK91" i="11"/>
  <c r="BL91" i="11"/>
  <c r="BM91" i="11"/>
  <c r="BN91" i="11"/>
  <c r="BO91" i="11"/>
  <c r="BP91" i="11"/>
  <c r="BQ91" i="11"/>
  <c r="BR91" i="11"/>
  <c r="BS91" i="11"/>
  <c r="BT91" i="11"/>
  <c r="BU91" i="11"/>
  <c r="BV91" i="11"/>
  <c r="BW91" i="11"/>
  <c r="BX92" i="10"/>
  <c r="BX91" i="11"/>
  <c r="BY92" i="10"/>
  <c r="BY91" i="11"/>
  <c r="BZ91" i="11"/>
  <c r="CA91" i="11"/>
  <c r="CB91" i="11"/>
  <c r="B92"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O92" i="11"/>
  <c r="AP92" i="11"/>
  <c r="AQ92" i="11"/>
  <c r="AR92" i="11"/>
  <c r="AS92" i="11"/>
  <c r="AT92" i="11"/>
  <c r="AU92" i="11"/>
  <c r="AV92" i="11"/>
  <c r="AW92" i="11"/>
  <c r="AX92" i="11"/>
  <c r="AY92" i="11"/>
  <c r="AZ92" i="11"/>
  <c r="BA92" i="11"/>
  <c r="BB92" i="11"/>
  <c r="BC92" i="11"/>
  <c r="BD92" i="11"/>
  <c r="BE92" i="11"/>
  <c r="BF92" i="11"/>
  <c r="BG92" i="11"/>
  <c r="BH92" i="11"/>
  <c r="BI92" i="11"/>
  <c r="BJ92" i="11"/>
  <c r="BK92" i="11"/>
  <c r="BL92" i="11"/>
  <c r="BM92" i="11"/>
  <c r="BN92" i="11"/>
  <c r="BO92" i="11"/>
  <c r="BP92" i="11"/>
  <c r="BQ92" i="11"/>
  <c r="BR92" i="11"/>
  <c r="BS92" i="11"/>
  <c r="BT92" i="11"/>
  <c r="BU92" i="11"/>
  <c r="BV92" i="11"/>
  <c r="BW92" i="11"/>
  <c r="BX93" i="10"/>
  <c r="BX92" i="11"/>
  <c r="BY93" i="10"/>
  <c r="BY92" i="11"/>
  <c r="BZ92" i="11"/>
  <c r="CA92" i="11"/>
  <c r="CB92" i="11"/>
  <c r="B93"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O93" i="11"/>
  <c r="AP93" i="11"/>
  <c r="AQ93" i="11"/>
  <c r="AR93" i="11"/>
  <c r="AS93" i="11"/>
  <c r="AT93" i="11"/>
  <c r="AU93" i="11"/>
  <c r="AV93" i="11"/>
  <c r="AW93" i="11"/>
  <c r="AX93" i="11"/>
  <c r="AY93" i="11"/>
  <c r="AZ93" i="11"/>
  <c r="BA93" i="11"/>
  <c r="BB93" i="11"/>
  <c r="BC93" i="11"/>
  <c r="BD93" i="11"/>
  <c r="BE93" i="11"/>
  <c r="BF93" i="11"/>
  <c r="BG93" i="11"/>
  <c r="BH93" i="11"/>
  <c r="BI93" i="11"/>
  <c r="BJ93" i="11"/>
  <c r="BK93" i="11"/>
  <c r="BL93" i="11"/>
  <c r="BM93" i="11"/>
  <c r="BN93" i="11"/>
  <c r="BO93" i="11"/>
  <c r="BP93" i="11"/>
  <c r="BQ93" i="11"/>
  <c r="BR93" i="11"/>
  <c r="BS93" i="11"/>
  <c r="BT93" i="11"/>
  <c r="BU93" i="11"/>
  <c r="BV93" i="11"/>
  <c r="BW93" i="11"/>
  <c r="BX94" i="10"/>
  <c r="BX93" i="11"/>
  <c r="BY94" i="10"/>
  <c r="BY93" i="11"/>
  <c r="BZ93" i="11"/>
  <c r="CA93" i="11"/>
  <c r="CB93" i="11"/>
  <c r="B94"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O94" i="11"/>
  <c r="AP94" i="11"/>
  <c r="AQ94" i="11"/>
  <c r="AR94" i="11"/>
  <c r="AS94" i="11"/>
  <c r="AT94" i="11"/>
  <c r="AU94" i="11"/>
  <c r="AV94" i="11"/>
  <c r="AW94" i="11"/>
  <c r="AX94" i="11"/>
  <c r="AY94" i="11"/>
  <c r="AZ94" i="11"/>
  <c r="BA94" i="11"/>
  <c r="BB94" i="11"/>
  <c r="BC94" i="11"/>
  <c r="BD94" i="11"/>
  <c r="BE94" i="11"/>
  <c r="BF94" i="11"/>
  <c r="BG94" i="11"/>
  <c r="BH94" i="11"/>
  <c r="BI94" i="11"/>
  <c r="BJ94" i="11"/>
  <c r="BK94" i="11"/>
  <c r="BL94" i="11"/>
  <c r="BM94" i="11"/>
  <c r="BN94" i="11"/>
  <c r="BO94" i="11"/>
  <c r="BP94" i="11"/>
  <c r="BQ94" i="11"/>
  <c r="BR94" i="11"/>
  <c r="BS94" i="11"/>
  <c r="BT94" i="11"/>
  <c r="BU94" i="11"/>
  <c r="BV94" i="11"/>
  <c r="BW94" i="11"/>
  <c r="BX95" i="10"/>
  <c r="BX94" i="11"/>
  <c r="BY95" i="10"/>
  <c r="BY94" i="11"/>
  <c r="BZ94" i="11"/>
  <c r="CA94" i="11"/>
  <c r="CB94" i="11"/>
  <c r="B95"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O95" i="11"/>
  <c r="AP95" i="11"/>
  <c r="AQ95" i="11"/>
  <c r="AR95" i="11"/>
  <c r="AS95" i="11"/>
  <c r="AT95" i="11"/>
  <c r="AU95" i="11"/>
  <c r="AV95" i="11"/>
  <c r="AW95" i="11"/>
  <c r="AX95" i="11"/>
  <c r="AY95" i="11"/>
  <c r="AZ95" i="11"/>
  <c r="BA95" i="11"/>
  <c r="BB95" i="11"/>
  <c r="BC95" i="11"/>
  <c r="BD95" i="11"/>
  <c r="BE95" i="11"/>
  <c r="BF95" i="11"/>
  <c r="BG95" i="11"/>
  <c r="BH95" i="11"/>
  <c r="BI95" i="11"/>
  <c r="BJ95" i="11"/>
  <c r="BK95" i="11"/>
  <c r="BL95" i="11"/>
  <c r="BM95" i="11"/>
  <c r="BN95" i="11"/>
  <c r="BO95" i="11"/>
  <c r="BP95" i="11"/>
  <c r="BQ95" i="11"/>
  <c r="BR95" i="11"/>
  <c r="BS95" i="11"/>
  <c r="BT95" i="11"/>
  <c r="BU95" i="11"/>
  <c r="BV95" i="11"/>
  <c r="BW95" i="11"/>
  <c r="BX96" i="10"/>
  <c r="BX95" i="11"/>
  <c r="BY96" i="10"/>
  <c r="BY95" i="11"/>
  <c r="BZ95" i="11"/>
  <c r="CA95" i="11"/>
  <c r="CB95" i="11"/>
  <c r="B96"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O96" i="11"/>
  <c r="AP96" i="11"/>
  <c r="AQ96" i="11"/>
  <c r="AR96" i="11"/>
  <c r="AS96" i="11"/>
  <c r="AT96" i="11"/>
  <c r="AU96" i="11"/>
  <c r="AV96" i="11"/>
  <c r="AW96" i="11"/>
  <c r="AX96" i="11"/>
  <c r="AY96" i="11"/>
  <c r="AZ96" i="11"/>
  <c r="BA96" i="11"/>
  <c r="BB96" i="11"/>
  <c r="BC96" i="11"/>
  <c r="BD96" i="11"/>
  <c r="BE96" i="11"/>
  <c r="BF96" i="11"/>
  <c r="BG96" i="11"/>
  <c r="BH96" i="11"/>
  <c r="BI96" i="11"/>
  <c r="BJ96" i="11"/>
  <c r="BK96" i="11"/>
  <c r="BL96" i="11"/>
  <c r="BM96" i="11"/>
  <c r="BN96" i="11"/>
  <c r="BO96" i="11"/>
  <c r="BP96" i="11"/>
  <c r="BQ96" i="11"/>
  <c r="BR96" i="11"/>
  <c r="BS96" i="11"/>
  <c r="BT96" i="11"/>
  <c r="BU96" i="11"/>
  <c r="BV96" i="11"/>
  <c r="BW96" i="11"/>
  <c r="BX97" i="10"/>
  <c r="BX96" i="11"/>
  <c r="BY97" i="10"/>
  <c r="BY96" i="11"/>
  <c r="BZ96" i="11"/>
  <c r="CA96" i="11"/>
  <c r="CB96" i="11"/>
  <c r="B97"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O97" i="11"/>
  <c r="AP97" i="11"/>
  <c r="AQ97" i="11"/>
  <c r="AR97" i="11"/>
  <c r="AS97" i="11"/>
  <c r="AT97" i="11"/>
  <c r="AU97" i="11"/>
  <c r="AV97" i="11"/>
  <c r="AW97" i="11"/>
  <c r="AX97" i="11"/>
  <c r="AY97" i="11"/>
  <c r="AZ97" i="11"/>
  <c r="BA97" i="11"/>
  <c r="BB97" i="11"/>
  <c r="BC97" i="11"/>
  <c r="BD97" i="11"/>
  <c r="BE97" i="11"/>
  <c r="BF97" i="11"/>
  <c r="BG97" i="11"/>
  <c r="BH97" i="11"/>
  <c r="BI97" i="11"/>
  <c r="BJ97" i="11"/>
  <c r="BK97" i="11"/>
  <c r="BL97" i="11"/>
  <c r="BM97" i="11"/>
  <c r="BN97" i="11"/>
  <c r="BO97" i="11"/>
  <c r="BP97" i="11"/>
  <c r="BQ97" i="11"/>
  <c r="BR97" i="11"/>
  <c r="BS97" i="11"/>
  <c r="BT97" i="11"/>
  <c r="BU97" i="11"/>
  <c r="BV97" i="11"/>
  <c r="BW97" i="11"/>
  <c r="BX98" i="10"/>
  <c r="BX97" i="11"/>
  <c r="BY98" i="10"/>
  <c r="BY97" i="11"/>
  <c r="BZ97" i="11"/>
  <c r="CA97" i="11"/>
  <c r="CB97" i="11"/>
  <c r="B98"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O98" i="11"/>
  <c r="AP98" i="11"/>
  <c r="AQ98" i="11"/>
  <c r="AR98" i="11"/>
  <c r="AS98" i="11"/>
  <c r="AT98" i="11"/>
  <c r="AU98" i="11"/>
  <c r="AV98" i="11"/>
  <c r="AW98" i="11"/>
  <c r="AX98" i="11"/>
  <c r="AY98" i="11"/>
  <c r="AZ98" i="11"/>
  <c r="BA98" i="11"/>
  <c r="BB98" i="11"/>
  <c r="BC98" i="11"/>
  <c r="BD98" i="11"/>
  <c r="BE98" i="11"/>
  <c r="BF98" i="11"/>
  <c r="BG98" i="11"/>
  <c r="BH98" i="11"/>
  <c r="BI98" i="11"/>
  <c r="BJ98" i="11"/>
  <c r="BK98" i="11"/>
  <c r="BL98" i="11"/>
  <c r="BM98" i="11"/>
  <c r="BN98" i="11"/>
  <c r="BO98" i="11"/>
  <c r="BP98" i="11"/>
  <c r="BQ98" i="11"/>
  <c r="BR98" i="11"/>
  <c r="BS98" i="11"/>
  <c r="BT98" i="11"/>
  <c r="BU98" i="11"/>
  <c r="BV98" i="11"/>
  <c r="BW98" i="11"/>
  <c r="BX99" i="10"/>
  <c r="BX98" i="11"/>
  <c r="BY99" i="10"/>
  <c r="BY98" i="11"/>
  <c r="BZ98" i="11"/>
  <c r="CA98" i="11"/>
  <c r="CB98" i="11"/>
  <c r="B99"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O99" i="11"/>
  <c r="AP99" i="11"/>
  <c r="AQ99" i="11"/>
  <c r="AR99" i="11"/>
  <c r="AS99" i="11"/>
  <c r="AT99" i="11"/>
  <c r="AU99" i="11"/>
  <c r="AV99" i="11"/>
  <c r="AW99" i="11"/>
  <c r="AX99" i="11"/>
  <c r="AY99" i="11"/>
  <c r="AZ99" i="11"/>
  <c r="BA99" i="11"/>
  <c r="BB99" i="11"/>
  <c r="BC99" i="11"/>
  <c r="BD99" i="11"/>
  <c r="BE99" i="11"/>
  <c r="BF99" i="11"/>
  <c r="BG99" i="11"/>
  <c r="BH99" i="11"/>
  <c r="BI99" i="11"/>
  <c r="BJ99" i="11"/>
  <c r="BK99" i="11"/>
  <c r="BL99" i="11"/>
  <c r="BM99" i="11"/>
  <c r="BN99" i="11"/>
  <c r="BO99" i="11"/>
  <c r="BP99" i="11"/>
  <c r="BQ99" i="11"/>
  <c r="BR99" i="11"/>
  <c r="BS99" i="11"/>
  <c r="BT99" i="11"/>
  <c r="BU99" i="11"/>
  <c r="BV99" i="11"/>
  <c r="BW99" i="11"/>
  <c r="BX100" i="10"/>
  <c r="BX99" i="11"/>
  <c r="BY100" i="10"/>
  <c r="BY99" i="11"/>
  <c r="BZ99" i="11"/>
  <c r="CA99" i="11"/>
  <c r="CB99" i="11"/>
  <c r="B100"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O100" i="11"/>
  <c r="AP100" i="11"/>
  <c r="AQ100" i="11"/>
  <c r="AR100" i="11"/>
  <c r="AS100" i="11"/>
  <c r="AT100" i="11"/>
  <c r="AU100" i="11"/>
  <c r="AV100" i="11"/>
  <c r="AW100" i="11"/>
  <c r="AX100" i="11"/>
  <c r="AY100" i="11"/>
  <c r="AZ100" i="11"/>
  <c r="BA100" i="11"/>
  <c r="BB100" i="11"/>
  <c r="BC100" i="11"/>
  <c r="BD100" i="11"/>
  <c r="BE100" i="11"/>
  <c r="BF100" i="11"/>
  <c r="BG100" i="11"/>
  <c r="BH100" i="11"/>
  <c r="BI100" i="11"/>
  <c r="BJ100" i="11"/>
  <c r="BK100" i="11"/>
  <c r="BL100" i="11"/>
  <c r="BM100" i="11"/>
  <c r="BN100" i="11"/>
  <c r="BO100" i="11"/>
  <c r="BP100" i="11"/>
  <c r="BQ100" i="11"/>
  <c r="BR100" i="11"/>
  <c r="BS100" i="11"/>
  <c r="BT100" i="11"/>
  <c r="BU100" i="11"/>
  <c r="BV100" i="11"/>
  <c r="BW100" i="11"/>
  <c r="BX101" i="10"/>
  <c r="BX100" i="11"/>
  <c r="BY101" i="10"/>
  <c r="BY100" i="11"/>
  <c r="BZ100" i="11"/>
  <c r="CA100" i="11"/>
  <c r="CB100" i="11"/>
  <c r="B101"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O101" i="11"/>
  <c r="AP101" i="11"/>
  <c r="AQ101" i="11"/>
  <c r="AR101" i="11"/>
  <c r="AS101" i="11"/>
  <c r="AT101" i="11"/>
  <c r="AU101" i="11"/>
  <c r="AV101" i="11"/>
  <c r="AW101" i="11"/>
  <c r="AX101" i="11"/>
  <c r="AY101" i="11"/>
  <c r="AZ101" i="11"/>
  <c r="BA101" i="11"/>
  <c r="BB101" i="11"/>
  <c r="BC101" i="11"/>
  <c r="BD101" i="11"/>
  <c r="BE101" i="11"/>
  <c r="BF101" i="11"/>
  <c r="BG101" i="11"/>
  <c r="BH101" i="11"/>
  <c r="BI101" i="11"/>
  <c r="BJ101" i="11"/>
  <c r="BK101" i="11"/>
  <c r="BL101" i="11"/>
  <c r="BM101" i="11"/>
  <c r="BN101" i="11"/>
  <c r="BO101" i="11"/>
  <c r="BP101" i="11"/>
  <c r="BQ101" i="11"/>
  <c r="BR101" i="11"/>
  <c r="BS101" i="11"/>
  <c r="BT101" i="11"/>
  <c r="BU101" i="11"/>
  <c r="BV101" i="11"/>
  <c r="BW101" i="11"/>
  <c r="BX102" i="10"/>
  <c r="BX101" i="11"/>
  <c r="BY102" i="10"/>
  <c r="BY101" i="11"/>
  <c r="BZ101" i="11"/>
  <c r="CA101" i="11"/>
  <c r="CB101" i="11"/>
  <c r="B102"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O102" i="11"/>
  <c r="AP102" i="11"/>
  <c r="AQ102" i="11"/>
  <c r="AR102" i="11"/>
  <c r="AS102" i="11"/>
  <c r="AT102" i="11"/>
  <c r="AU102" i="11"/>
  <c r="AV102" i="11"/>
  <c r="AW102" i="11"/>
  <c r="AX102" i="11"/>
  <c r="AY102" i="11"/>
  <c r="AZ102" i="11"/>
  <c r="BA102" i="11"/>
  <c r="BB102" i="11"/>
  <c r="BC102" i="11"/>
  <c r="BD102" i="11"/>
  <c r="BE102" i="11"/>
  <c r="BF102" i="11"/>
  <c r="BG102" i="11"/>
  <c r="BH102" i="11"/>
  <c r="BI102" i="11"/>
  <c r="BJ102" i="11"/>
  <c r="BK102" i="11"/>
  <c r="BL102" i="11"/>
  <c r="BM102" i="11"/>
  <c r="BN102" i="11"/>
  <c r="BO102" i="11"/>
  <c r="BP102" i="11"/>
  <c r="BQ102" i="11"/>
  <c r="BR102" i="11"/>
  <c r="BS102" i="11"/>
  <c r="BT102" i="11"/>
  <c r="BU102" i="11"/>
  <c r="BV102" i="11"/>
  <c r="BW102" i="11"/>
  <c r="BX103" i="10"/>
  <c r="BX102" i="11"/>
  <c r="BY103" i="10"/>
  <c r="BY102" i="11"/>
  <c r="BZ102" i="11"/>
  <c r="CA102" i="11"/>
  <c r="CB102" i="11"/>
  <c r="B103"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O103" i="11"/>
  <c r="AP103" i="11"/>
  <c r="AQ103" i="11"/>
  <c r="AR103" i="11"/>
  <c r="AS103" i="11"/>
  <c r="AT103" i="11"/>
  <c r="AU103" i="11"/>
  <c r="AV103" i="11"/>
  <c r="AW103" i="11"/>
  <c r="AX103" i="11"/>
  <c r="AY103" i="11"/>
  <c r="AZ103" i="11"/>
  <c r="BA103" i="11"/>
  <c r="BB103" i="11"/>
  <c r="BC103" i="11"/>
  <c r="BD103" i="11"/>
  <c r="BE103" i="11"/>
  <c r="BF103" i="11"/>
  <c r="BG103" i="11"/>
  <c r="BH103" i="11"/>
  <c r="BI103" i="11"/>
  <c r="BJ103" i="11"/>
  <c r="BK103" i="11"/>
  <c r="BL103" i="11"/>
  <c r="BM103" i="11"/>
  <c r="BN103" i="11"/>
  <c r="BO103" i="11"/>
  <c r="BP103" i="11"/>
  <c r="BQ103" i="11"/>
  <c r="BR103" i="11"/>
  <c r="BS103" i="11"/>
  <c r="BT103" i="11"/>
  <c r="BU103" i="11"/>
  <c r="BV103" i="11"/>
  <c r="BW103" i="11"/>
  <c r="BX104" i="10"/>
  <c r="BX103" i="11"/>
  <c r="BY104" i="10"/>
  <c r="BY103" i="11"/>
  <c r="BZ103" i="11"/>
  <c r="CA103" i="11"/>
  <c r="CB103" i="11"/>
  <c r="B104"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O104" i="11"/>
  <c r="AP104" i="11"/>
  <c r="AQ104" i="11"/>
  <c r="AR104" i="11"/>
  <c r="AS104" i="11"/>
  <c r="AT104" i="11"/>
  <c r="AU104" i="11"/>
  <c r="AV104" i="11"/>
  <c r="AW104" i="11"/>
  <c r="AX104" i="11"/>
  <c r="AY104" i="11"/>
  <c r="AZ104" i="11"/>
  <c r="BA104" i="11"/>
  <c r="BB104" i="11"/>
  <c r="BC104" i="11"/>
  <c r="BD104" i="11"/>
  <c r="BE104" i="11"/>
  <c r="BF104" i="11"/>
  <c r="BG104" i="11"/>
  <c r="BH104" i="11"/>
  <c r="BI104" i="11"/>
  <c r="BJ104" i="11"/>
  <c r="BK104" i="11"/>
  <c r="BL104" i="11"/>
  <c r="BM104" i="11"/>
  <c r="BN104" i="11"/>
  <c r="BO104" i="11"/>
  <c r="BP104" i="11"/>
  <c r="BQ104" i="11"/>
  <c r="BR104" i="11"/>
  <c r="BS104" i="11"/>
  <c r="BT104" i="11"/>
  <c r="BU104" i="11"/>
  <c r="BV104" i="11"/>
  <c r="BW104" i="11"/>
  <c r="BX105" i="10"/>
  <c r="BX104" i="11"/>
  <c r="BY105" i="10"/>
  <c r="BY104" i="11"/>
  <c r="BZ104" i="11"/>
  <c r="CA104" i="11"/>
  <c r="CB104" i="11"/>
  <c r="B105"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O105" i="11"/>
  <c r="AP105" i="11"/>
  <c r="AQ105" i="11"/>
  <c r="AR105" i="11"/>
  <c r="AS105" i="11"/>
  <c r="AT105" i="11"/>
  <c r="AU105" i="11"/>
  <c r="AV105" i="11"/>
  <c r="AW105" i="11"/>
  <c r="AX105" i="11"/>
  <c r="AY105" i="11"/>
  <c r="AZ105" i="11"/>
  <c r="BA105" i="11"/>
  <c r="BB105" i="11"/>
  <c r="BC105" i="11"/>
  <c r="BD105" i="11"/>
  <c r="BE105" i="11"/>
  <c r="BF105" i="11"/>
  <c r="BG105" i="11"/>
  <c r="BH105" i="11"/>
  <c r="BI105" i="11"/>
  <c r="BJ105" i="11"/>
  <c r="BK105" i="11"/>
  <c r="BL105" i="11"/>
  <c r="BM105" i="11"/>
  <c r="BN105" i="11"/>
  <c r="BO105" i="11"/>
  <c r="BP105" i="11"/>
  <c r="BQ105" i="11"/>
  <c r="BR105" i="11"/>
  <c r="BS105" i="11"/>
  <c r="BT105" i="11"/>
  <c r="BU105" i="11"/>
  <c r="BV105" i="11"/>
  <c r="BW105" i="11"/>
  <c r="BX106" i="10"/>
  <c r="BX105" i="11"/>
  <c r="BY106" i="10"/>
  <c r="BY105" i="11"/>
  <c r="BZ105" i="11"/>
  <c r="CA105" i="11"/>
  <c r="CB105" i="11"/>
  <c r="B106"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O106" i="11"/>
  <c r="AP106" i="11"/>
  <c r="AQ106" i="11"/>
  <c r="AR106" i="11"/>
  <c r="AS106" i="11"/>
  <c r="AT106" i="11"/>
  <c r="AU106" i="11"/>
  <c r="AV106" i="11"/>
  <c r="AW106" i="11"/>
  <c r="AX106" i="11"/>
  <c r="AY106" i="11"/>
  <c r="AZ106" i="11"/>
  <c r="BA106" i="11"/>
  <c r="BB106" i="11"/>
  <c r="BC106" i="11"/>
  <c r="BD106" i="11"/>
  <c r="BE106" i="11"/>
  <c r="BF106" i="11"/>
  <c r="BG106" i="11"/>
  <c r="BH106" i="11"/>
  <c r="BI106" i="11"/>
  <c r="BJ106" i="11"/>
  <c r="BK106" i="11"/>
  <c r="BL106" i="11"/>
  <c r="BM106" i="11"/>
  <c r="BN106" i="11"/>
  <c r="BO106" i="11"/>
  <c r="BP106" i="11"/>
  <c r="BQ106" i="11"/>
  <c r="BR106" i="11"/>
  <c r="BS106" i="11"/>
  <c r="BT106" i="11"/>
  <c r="BU106" i="11"/>
  <c r="BV106" i="11"/>
  <c r="BW106" i="11"/>
  <c r="BX107" i="10"/>
  <c r="BX106" i="11"/>
  <c r="BY107" i="10"/>
  <c r="BY106" i="11"/>
  <c r="BZ106" i="11"/>
  <c r="CA106" i="11"/>
  <c r="CB106" i="11"/>
  <c r="B107"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O107" i="11"/>
  <c r="AP107" i="11"/>
  <c r="AQ107" i="11"/>
  <c r="AR107" i="11"/>
  <c r="AS107" i="11"/>
  <c r="AT107" i="11"/>
  <c r="AU107" i="11"/>
  <c r="AV107" i="11"/>
  <c r="AW107" i="11"/>
  <c r="AX107" i="11"/>
  <c r="AY107" i="11"/>
  <c r="AZ107" i="11"/>
  <c r="BA107" i="11"/>
  <c r="BB107" i="11"/>
  <c r="BC107" i="11"/>
  <c r="BD107" i="11"/>
  <c r="BE107" i="11"/>
  <c r="BF107" i="11"/>
  <c r="BG107" i="11"/>
  <c r="BH107" i="11"/>
  <c r="BI107" i="11"/>
  <c r="BJ107" i="11"/>
  <c r="BK107" i="11"/>
  <c r="BL107" i="11"/>
  <c r="BM107" i="11"/>
  <c r="BN107" i="11"/>
  <c r="BO107" i="11"/>
  <c r="BP107" i="11"/>
  <c r="BQ107" i="11"/>
  <c r="BR107" i="11"/>
  <c r="BS107" i="11"/>
  <c r="BT107" i="11"/>
  <c r="BU107" i="11"/>
  <c r="BV107" i="11"/>
  <c r="BW107" i="11"/>
  <c r="BX108" i="10"/>
  <c r="BX107" i="11"/>
  <c r="BY108" i="10"/>
  <c r="BY107" i="11"/>
  <c r="BZ107" i="11"/>
  <c r="CA107" i="11"/>
  <c r="CB107" i="11"/>
  <c r="B108"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O108" i="11"/>
  <c r="AP108" i="11"/>
  <c r="AQ108" i="11"/>
  <c r="AR108" i="11"/>
  <c r="AS108" i="11"/>
  <c r="AT108" i="11"/>
  <c r="AU108" i="11"/>
  <c r="AV108" i="11"/>
  <c r="AW108" i="11"/>
  <c r="AX108" i="11"/>
  <c r="AY108" i="11"/>
  <c r="AZ108" i="11"/>
  <c r="BA108" i="11"/>
  <c r="BB108" i="11"/>
  <c r="BC108" i="11"/>
  <c r="BD108" i="11"/>
  <c r="BE108" i="11"/>
  <c r="BF108" i="11"/>
  <c r="BG108" i="11"/>
  <c r="BH108" i="11"/>
  <c r="BI108" i="11"/>
  <c r="BJ108" i="11"/>
  <c r="BK108" i="11"/>
  <c r="BL108" i="11"/>
  <c r="BM108" i="11"/>
  <c r="BN108" i="11"/>
  <c r="BO108" i="11"/>
  <c r="BP108" i="11"/>
  <c r="BQ108" i="11"/>
  <c r="BR108" i="11"/>
  <c r="BS108" i="11"/>
  <c r="BT108" i="11"/>
  <c r="BU108" i="11"/>
  <c r="BV108" i="11"/>
  <c r="BW108" i="11"/>
  <c r="BX109" i="10"/>
  <c r="BX108" i="11"/>
  <c r="BY109" i="10"/>
  <c r="BY108" i="11"/>
  <c r="BZ108" i="11"/>
  <c r="CA108" i="11"/>
  <c r="CB108" i="11"/>
  <c r="B109"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O109" i="11"/>
  <c r="AP109" i="11"/>
  <c r="AQ109" i="11"/>
  <c r="AR109" i="11"/>
  <c r="AS109" i="11"/>
  <c r="AT109" i="11"/>
  <c r="AU109" i="11"/>
  <c r="AV109" i="11"/>
  <c r="AW109" i="11"/>
  <c r="AX109" i="11"/>
  <c r="AY109" i="11"/>
  <c r="AZ109" i="11"/>
  <c r="BA109" i="11"/>
  <c r="BB109" i="11"/>
  <c r="BC109" i="11"/>
  <c r="BD109" i="11"/>
  <c r="BE109" i="11"/>
  <c r="BF109" i="11"/>
  <c r="BG109" i="11"/>
  <c r="BH109" i="11"/>
  <c r="BI109" i="11"/>
  <c r="BJ109" i="11"/>
  <c r="BK109" i="11"/>
  <c r="BL109" i="11"/>
  <c r="BM109" i="11"/>
  <c r="BN109" i="11"/>
  <c r="BO109" i="11"/>
  <c r="BP109" i="11"/>
  <c r="BQ109" i="11"/>
  <c r="BR109" i="11"/>
  <c r="BS109" i="11"/>
  <c r="BT109" i="11"/>
  <c r="BU109" i="11"/>
  <c r="BV109" i="11"/>
  <c r="BW109" i="11"/>
  <c r="BX110" i="10"/>
  <c r="BX109" i="11"/>
  <c r="BY110" i="10"/>
  <c r="BY109" i="11"/>
  <c r="BZ109" i="11"/>
  <c r="CA109" i="11"/>
  <c r="CB109" i="11"/>
  <c r="B110"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AR110" i="11"/>
  <c r="AS110" i="11"/>
  <c r="AT110" i="11"/>
  <c r="AU110" i="11"/>
  <c r="AV110" i="11"/>
  <c r="AW110" i="11"/>
  <c r="AX110" i="11"/>
  <c r="AY110" i="11"/>
  <c r="AZ110" i="11"/>
  <c r="BA110" i="11"/>
  <c r="BB110" i="11"/>
  <c r="BC110" i="11"/>
  <c r="BD110" i="11"/>
  <c r="BE110" i="11"/>
  <c r="BF110" i="11"/>
  <c r="BG110" i="11"/>
  <c r="BH110" i="11"/>
  <c r="BI110" i="11"/>
  <c r="BJ110" i="11"/>
  <c r="BK110" i="11"/>
  <c r="BL110" i="11"/>
  <c r="BM110" i="11"/>
  <c r="BN110" i="11"/>
  <c r="BO110" i="11"/>
  <c r="BP110" i="11"/>
  <c r="BQ110" i="11"/>
  <c r="BR110" i="11"/>
  <c r="BS110" i="11"/>
  <c r="BT110" i="11"/>
  <c r="BU110" i="11"/>
  <c r="BV110" i="11"/>
  <c r="BW110" i="11"/>
  <c r="BX111" i="10"/>
  <c r="BX110" i="11"/>
  <c r="BY111" i="10"/>
  <c r="BY110" i="11"/>
  <c r="BZ110" i="11"/>
  <c r="CA110" i="11"/>
  <c r="CB110" i="11"/>
  <c r="B111"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O111" i="11"/>
  <c r="AP111" i="11"/>
  <c r="AQ111" i="11"/>
  <c r="AR111" i="11"/>
  <c r="AS111" i="11"/>
  <c r="AT111" i="11"/>
  <c r="AU111" i="11"/>
  <c r="AV111" i="11"/>
  <c r="AW111" i="11"/>
  <c r="AX111" i="11"/>
  <c r="AY111" i="11"/>
  <c r="AZ111" i="11"/>
  <c r="BA111" i="11"/>
  <c r="BB111" i="11"/>
  <c r="BC111" i="11"/>
  <c r="BD111" i="11"/>
  <c r="BE111" i="11"/>
  <c r="BF111" i="11"/>
  <c r="BG111" i="11"/>
  <c r="BH111" i="11"/>
  <c r="BI111" i="11"/>
  <c r="BJ111" i="11"/>
  <c r="BK111" i="11"/>
  <c r="BL111" i="11"/>
  <c r="BM111" i="11"/>
  <c r="BN111" i="11"/>
  <c r="BO111" i="11"/>
  <c r="BP111" i="11"/>
  <c r="BQ111" i="11"/>
  <c r="BR111" i="11"/>
  <c r="BS111" i="11"/>
  <c r="BT111" i="11"/>
  <c r="BU111" i="11"/>
  <c r="BV111" i="11"/>
  <c r="BW111" i="11"/>
  <c r="BX112" i="10"/>
  <c r="BX111" i="11"/>
  <c r="BY112" i="10"/>
  <c r="BY111" i="11"/>
  <c r="BZ111" i="11"/>
  <c r="CA111" i="11"/>
  <c r="CB111" i="11"/>
  <c r="Q443" i="11"/>
  <c r="R443" i="11"/>
  <c r="S443" i="11"/>
  <c r="T337" i="11"/>
  <c r="T443" i="11"/>
  <c r="U337" i="11"/>
  <c r="C273" i="11"/>
  <c r="D273" i="11"/>
  <c r="E273" i="11"/>
  <c r="G273" i="11"/>
  <c r="H273" i="11"/>
  <c r="I273" i="11"/>
  <c r="B4"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F273" i="11"/>
  <c r="J273" i="11"/>
  <c r="K273" i="11"/>
  <c r="L273" i="11"/>
  <c r="M273" i="11"/>
  <c r="N273" i="11"/>
  <c r="O273" i="11"/>
  <c r="P273" i="11"/>
  <c r="Q273" i="11"/>
  <c r="R273" i="11"/>
  <c r="S273" i="11"/>
  <c r="T273" i="11"/>
  <c r="U273" i="11"/>
  <c r="V273" i="11"/>
  <c r="W273" i="11"/>
  <c r="X273" i="11"/>
  <c r="Y273" i="11"/>
  <c r="Z273" i="11"/>
  <c r="AA273" i="11"/>
  <c r="AB273" i="11"/>
  <c r="AC273" i="11"/>
  <c r="AD273" i="11"/>
  <c r="AE273" i="11"/>
  <c r="AF273" i="11"/>
  <c r="AG273" i="11"/>
  <c r="AH273" i="11"/>
  <c r="AI273" i="11"/>
  <c r="AJ273" i="11"/>
  <c r="AK273" i="11"/>
  <c r="AL273" i="11"/>
  <c r="AM273" i="11"/>
  <c r="AN273" i="11"/>
  <c r="AO273" i="11"/>
  <c r="AP273" i="11"/>
  <c r="AQ273" i="11"/>
  <c r="AR273" i="11"/>
  <c r="AS273" i="11"/>
  <c r="AT273" i="11"/>
  <c r="AU273" i="11"/>
  <c r="AV273" i="11"/>
  <c r="AW273" i="11"/>
  <c r="AX273" i="11"/>
  <c r="AY273" i="11"/>
  <c r="AZ273" i="11"/>
  <c r="BA273" i="11"/>
  <c r="BB273" i="11"/>
  <c r="BC273" i="11"/>
  <c r="BD273" i="11"/>
  <c r="BE273" i="11"/>
  <c r="BF273" i="11"/>
  <c r="BG273" i="11"/>
  <c r="BH273" i="11"/>
  <c r="BI273" i="11"/>
  <c r="BJ273" i="11"/>
  <c r="BK273" i="11"/>
  <c r="BL273" i="11"/>
  <c r="BM273" i="11"/>
  <c r="BN273" i="11"/>
  <c r="BO273" i="11"/>
  <c r="BP273" i="11"/>
  <c r="BQ273" i="11"/>
  <c r="BR273" i="11"/>
  <c r="BS273" i="11"/>
  <c r="BT273" i="11"/>
  <c r="BU273" i="11"/>
  <c r="BV273" i="11"/>
  <c r="BW273" i="11"/>
  <c r="BX4" i="11"/>
  <c r="BX168" i="11"/>
  <c r="BX169" i="11"/>
  <c r="BX170" i="11"/>
  <c r="BX171" i="11"/>
  <c r="BX172" i="11"/>
  <c r="BX173" i="11"/>
  <c r="BX174" i="11"/>
  <c r="BX175" i="11"/>
  <c r="BX176" i="11"/>
  <c r="BX177" i="11"/>
  <c r="BX178" i="11"/>
  <c r="BX179" i="11"/>
  <c r="BX180" i="11"/>
  <c r="BX181" i="11"/>
  <c r="BX182" i="11"/>
  <c r="BX183" i="11"/>
  <c r="BX184" i="11"/>
  <c r="BX185" i="11"/>
  <c r="BX186" i="11"/>
  <c r="BX187" i="11"/>
  <c r="BX188" i="11"/>
  <c r="BX189" i="11"/>
  <c r="BX190" i="11"/>
  <c r="BX191" i="11"/>
  <c r="BX192" i="11"/>
  <c r="BX193" i="11"/>
  <c r="BX194" i="11"/>
  <c r="BX195" i="11"/>
  <c r="BX196" i="11"/>
  <c r="BX197" i="11"/>
  <c r="BX198" i="11"/>
  <c r="BX199" i="11"/>
  <c r="BX200" i="11"/>
  <c r="BX201" i="11"/>
  <c r="BX202" i="11"/>
  <c r="BX203" i="11"/>
  <c r="BX204" i="11"/>
  <c r="BX205" i="11"/>
  <c r="BX206" i="11"/>
  <c r="BX207" i="11"/>
  <c r="BX208" i="11"/>
  <c r="BX209" i="11"/>
  <c r="BX210" i="11"/>
  <c r="BX211" i="11"/>
  <c r="BX212" i="11"/>
  <c r="BX213" i="11"/>
  <c r="BX214" i="11"/>
  <c r="BX215" i="11"/>
  <c r="BX216" i="11"/>
  <c r="BX217" i="11"/>
  <c r="BX218" i="11"/>
  <c r="BX219" i="11"/>
  <c r="BX220" i="11"/>
  <c r="BX221" i="11"/>
  <c r="BX222" i="11"/>
  <c r="BX223" i="11"/>
  <c r="BX224" i="11"/>
  <c r="BX225" i="11"/>
  <c r="BX226" i="11"/>
  <c r="BX227" i="11"/>
  <c r="BX228" i="11"/>
  <c r="BX229" i="11"/>
  <c r="BX230" i="11"/>
  <c r="BX231" i="11"/>
  <c r="BX232" i="11"/>
  <c r="BX233" i="11"/>
  <c r="BX234" i="11"/>
  <c r="BX235" i="11"/>
  <c r="BX236" i="11"/>
  <c r="BX237" i="11"/>
  <c r="BX238" i="11"/>
  <c r="BX239" i="11"/>
  <c r="BX240" i="11"/>
  <c r="BX241" i="11"/>
  <c r="BX242" i="11"/>
  <c r="BX243" i="11"/>
  <c r="BX244" i="11"/>
  <c r="BX245" i="11"/>
  <c r="BX246" i="11"/>
  <c r="BX247" i="11"/>
  <c r="BX248" i="11"/>
  <c r="BX249" i="11"/>
  <c r="BX250" i="11"/>
  <c r="BX251" i="11"/>
  <c r="BX252" i="11"/>
  <c r="BX253" i="11"/>
  <c r="BX254" i="11"/>
  <c r="BX255" i="11"/>
  <c r="BX256" i="11"/>
  <c r="BX257" i="11"/>
  <c r="BX258" i="11"/>
  <c r="BX259" i="11"/>
  <c r="BX260" i="11"/>
  <c r="BX261" i="11"/>
  <c r="BX262" i="11"/>
  <c r="BX263" i="11"/>
  <c r="BX264" i="11"/>
  <c r="BX265" i="11"/>
  <c r="BX266" i="11"/>
  <c r="BX267" i="11"/>
  <c r="BX268" i="11"/>
  <c r="BX269" i="11"/>
  <c r="BX270" i="11"/>
  <c r="BX271" i="11"/>
  <c r="BX272" i="11"/>
  <c r="BX273" i="11"/>
  <c r="BY4" i="11"/>
  <c r="BY168" i="11"/>
  <c r="BY169" i="11"/>
  <c r="BY170" i="11"/>
  <c r="BY171" i="11"/>
  <c r="BY172" i="11"/>
  <c r="BY173" i="11"/>
  <c r="BY174" i="11"/>
  <c r="BY175" i="11"/>
  <c r="BY176" i="11"/>
  <c r="BY177" i="11"/>
  <c r="BY178" i="11"/>
  <c r="BY179" i="11"/>
  <c r="BY180" i="11"/>
  <c r="BY181" i="11"/>
  <c r="BY182" i="11"/>
  <c r="BY183" i="11"/>
  <c r="BY184" i="11"/>
  <c r="BY185" i="11"/>
  <c r="BY186" i="11"/>
  <c r="BY187" i="11"/>
  <c r="BY188" i="11"/>
  <c r="BY189" i="11"/>
  <c r="BY190" i="11"/>
  <c r="BY191" i="11"/>
  <c r="BY192" i="11"/>
  <c r="BY193" i="11"/>
  <c r="BY194" i="11"/>
  <c r="BY195" i="11"/>
  <c r="BY196" i="11"/>
  <c r="BY197" i="11"/>
  <c r="BY198" i="11"/>
  <c r="BY199" i="11"/>
  <c r="BY200" i="11"/>
  <c r="BY201" i="11"/>
  <c r="BY202" i="11"/>
  <c r="BY203" i="11"/>
  <c r="BY204" i="11"/>
  <c r="BY205" i="11"/>
  <c r="BY206" i="11"/>
  <c r="BY207" i="11"/>
  <c r="BY208" i="11"/>
  <c r="BY209" i="11"/>
  <c r="BY210" i="11"/>
  <c r="BY211" i="11"/>
  <c r="BY212" i="11"/>
  <c r="BY213" i="11"/>
  <c r="BY214" i="11"/>
  <c r="BY215" i="11"/>
  <c r="BY216" i="11"/>
  <c r="BY217" i="11"/>
  <c r="BY218" i="11"/>
  <c r="BY219" i="11"/>
  <c r="BY220" i="11"/>
  <c r="BY221" i="11"/>
  <c r="BY222" i="11"/>
  <c r="BY223" i="11"/>
  <c r="BY224" i="11"/>
  <c r="BY225" i="11"/>
  <c r="BY226" i="11"/>
  <c r="BY227" i="11"/>
  <c r="BY228" i="11"/>
  <c r="BY229" i="11"/>
  <c r="BY230" i="11"/>
  <c r="BY231" i="11"/>
  <c r="BY232" i="11"/>
  <c r="BY233" i="11"/>
  <c r="BY234" i="11"/>
  <c r="BY235" i="11"/>
  <c r="BY236" i="11"/>
  <c r="BY237" i="11"/>
  <c r="BY238" i="11"/>
  <c r="BY239" i="11"/>
  <c r="BY240" i="11"/>
  <c r="BY241" i="11"/>
  <c r="BY242" i="11"/>
  <c r="BY243" i="11"/>
  <c r="BY244" i="11"/>
  <c r="BY245" i="11"/>
  <c r="BY246" i="11"/>
  <c r="BY247" i="11"/>
  <c r="BY248" i="11"/>
  <c r="BY249" i="11"/>
  <c r="BY250" i="11"/>
  <c r="BY251" i="11"/>
  <c r="BY252" i="11"/>
  <c r="BY253" i="11"/>
  <c r="BY254" i="11"/>
  <c r="BY255" i="11"/>
  <c r="BY256" i="11"/>
  <c r="BY257" i="11"/>
  <c r="BY258" i="11"/>
  <c r="BY259" i="11"/>
  <c r="BY260" i="11"/>
  <c r="BY261" i="11"/>
  <c r="BY262" i="11"/>
  <c r="BY263" i="11"/>
  <c r="BY264" i="11"/>
  <c r="BY265" i="11"/>
  <c r="BY266" i="11"/>
  <c r="BY267" i="11"/>
  <c r="BY268" i="11"/>
  <c r="BY269" i="11"/>
  <c r="BY270" i="11"/>
  <c r="BY271" i="11"/>
  <c r="BY272" i="11"/>
  <c r="BY273" i="11"/>
  <c r="BZ273" i="11"/>
  <c r="CB273" i="11"/>
  <c r="U443" i="11"/>
  <c r="V337" i="11"/>
  <c r="CC7" i="11"/>
  <c r="CD7" i="11"/>
  <c r="CC8" i="11"/>
  <c r="CD8" i="11"/>
  <c r="CC9" i="11"/>
  <c r="CD9" i="11"/>
  <c r="CC10" i="11"/>
  <c r="CD10" i="11"/>
  <c r="CC11" i="11"/>
  <c r="CD11" i="11"/>
  <c r="CC12" i="11"/>
  <c r="CD12" i="11"/>
  <c r="CC13" i="11"/>
  <c r="CD13" i="11"/>
  <c r="CC14" i="11"/>
  <c r="CD14" i="11"/>
  <c r="CC15" i="11"/>
  <c r="CD15" i="11"/>
  <c r="CC16" i="11"/>
  <c r="CD16" i="11"/>
  <c r="CC17" i="11"/>
  <c r="CD17" i="11"/>
  <c r="CC18" i="11"/>
  <c r="CD18" i="11"/>
  <c r="CC19" i="11"/>
  <c r="CD19" i="11"/>
  <c r="CC20" i="11"/>
  <c r="CD20" i="11"/>
  <c r="CC21" i="11"/>
  <c r="CD21" i="11"/>
  <c r="CC22" i="11"/>
  <c r="CD22" i="11"/>
  <c r="CC23" i="11"/>
  <c r="CD23" i="11"/>
  <c r="CC24" i="11"/>
  <c r="CD24" i="11"/>
  <c r="CC25" i="11"/>
  <c r="CD25" i="11"/>
  <c r="CC26" i="11"/>
  <c r="CD26" i="11"/>
  <c r="CC27" i="11"/>
  <c r="CD27" i="11"/>
  <c r="CC28" i="11"/>
  <c r="CD28" i="11"/>
  <c r="CC29" i="11"/>
  <c r="CD29" i="11"/>
  <c r="CC30" i="11"/>
  <c r="CD30" i="11"/>
  <c r="CC31" i="11"/>
  <c r="CD31" i="11"/>
  <c r="CC32" i="11"/>
  <c r="CD32" i="11"/>
  <c r="CC33" i="11"/>
  <c r="CD33" i="11"/>
  <c r="CC34" i="11"/>
  <c r="CD34" i="11"/>
  <c r="CC35" i="11"/>
  <c r="CD35" i="11"/>
  <c r="CC36" i="11"/>
  <c r="CD36" i="11"/>
  <c r="CC37" i="11"/>
  <c r="CD37" i="11"/>
  <c r="CC38" i="11"/>
  <c r="CD38" i="11"/>
  <c r="CC39" i="11"/>
  <c r="CD39" i="11"/>
  <c r="CC40" i="11"/>
  <c r="CD40" i="11"/>
  <c r="CC41" i="11"/>
  <c r="CD41" i="11"/>
  <c r="CC42" i="11"/>
  <c r="CD42" i="11"/>
  <c r="CC43" i="11"/>
  <c r="CD43" i="11"/>
  <c r="CC44" i="11"/>
  <c r="CD44" i="11"/>
  <c r="CC45" i="11"/>
  <c r="CD45" i="11"/>
  <c r="CC46" i="11"/>
  <c r="CD46" i="11"/>
  <c r="CC47" i="11"/>
  <c r="CD47" i="11"/>
  <c r="CC48" i="11"/>
  <c r="CD48" i="11"/>
  <c r="CC49" i="11"/>
  <c r="CD49" i="11"/>
  <c r="CC50" i="11"/>
  <c r="CD50" i="11"/>
  <c r="CC51" i="11"/>
  <c r="CD51" i="11"/>
  <c r="CC52" i="11"/>
  <c r="CD52" i="11"/>
  <c r="CC53" i="11"/>
  <c r="CD53" i="11"/>
  <c r="CC54" i="11"/>
  <c r="CD54" i="11"/>
  <c r="CC55" i="11"/>
  <c r="CD55" i="11"/>
  <c r="CC56" i="11"/>
  <c r="CD56" i="11"/>
  <c r="CC57" i="11"/>
  <c r="CD57" i="11"/>
  <c r="CC58" i="11"/>
  <c r="CD58" i="11"/>
  <c r="CC59" i="11"/>
  <c r="CD59" i="11"/>
  <c r="CC60" i="11"/>
  <c r="CD60" i="11"/>
  <c r="CC61" i="11"/>
  <c r="CD61" i="11"/>
  <c r="CC62" i="11"/>
  <c r="CD62" i="11"/>
  <c r="CC63" i="11"/>
  <c r="CD63" i="11"/>
  <c r="CC64" i="11"/>
  <c r="CD64" i="11"/>
  <c r="CC65" i="11"/>
  <c r="CD65" i="11"/>
  <c r="CC66" i="11"/>
  <c r="CD66" i="11"/>
  <c r="CC67" i="11"/>
  <c r="CD67" i="11"/>
  <c r="CC68" i="11"/>
  <c r="CD68" i="11"/>
  <c r="CC69" i="11"/>
  <c r="CD69" i="11"/>
  <c r="CC70" i="11"/>
  <c r="CD70" i="11"/>
  <c r="CC71" i="11"/>
  <c r="CD71" i="11"/>
  <c r="CC72" i="11"/>
  <c r="CD72" i="11"/>
  <c r="CC73" i="11"/>
  <c r="CD73" i="11"/>
  <c r="CC74" i="11"/>
  <c r="CD74" i="11"/>
  <c r="CC75" i="11"/>
  <c r="CD75" i="11"/>
  <c r="CC76" i="11"/>
  <c r="CD76" i="11"/>
  <c r="CC77" i="11"/>
  <c r="CD77" i="11"/>
  <c r="CC78" i="11"/>
  <c r="CD78" i="11"/>
  <c r="CC79" i="11"/>
  <c r="CD79" i="11"/>
  <c r="CC80" i="11"/>
  <c r="CD80" i="11"/>
  <c r="CC81" i="11"/>
  <c r="CD81" i="11"/>
  <c r="CC82" i="11"/>
  <c r="CD82" i="11"/>
  <c r="CC83" i="11"/>
  <c r="CD83" i="11"/>
  <c r="CC84" i="11"/>
  <c r="CD84" i="11"/>
  <c r="CC85" i="11"/>
  <c r="CD85" i="11"/>
  <c r="CC86" i="11"/>
  <c r="CD86" i="11"/>
  <c r="CC87" i="11"/>
  <c r="CD87" i="11"/>
  <c r="CC88" i="11"/>
  <c r="CD88" i="11"/>
  <c r="CC89" i="11"/>
  <c r="CD89" i="11"/>
  <c r="CC90" i="11"/>
  <c r="CD90" i="11"/>
  <c r="CC91" i="11"/>
  <c r="CD91" i="11"/>
  <c r="CC92" i="11"/>
  <c r="CD92" i="11"/>
  <c r="CC93" i="11"/>
  <c r="CD93" i="11"/>
  <c r="CC94" i="11"/>
  <c r="CD94" i="11"/>
  <c r="CC95" i="11"/>
  <c r="CD95" i="11"/>
  <c r="CC96" i="11"/>
  <c r="CD96" i="11"/>
  <c r="CC97" i="11"/>
  <c r="CD97" i="11"/>
  <c r="CC98" i="11"/>
  <c r="CD98" i="11"/>
  <c r="CC99" i="11"/>
  <c r="CD99" i="11"/>
  <c r="CC100" i="11"/>
  <c r="CD100" i="11"/>
  <c r="CC101" i="11"/>
  <c r="CD101" i="11"/>
  <c r="CC102" i="11"/>
  <c r="CD102" i="11"/>
  <c r="CC103" i="11"/>
  <c r="CD103" i="11"/>
  <c r="CC104" i="11"/>
  <c r="CD104" i="11"/>
  <c r="CC105" i="11"/>
  <c r="CD105" i="11"/>
  <c r="CC106" i="11"/>
  <c r="CD106" i="11"/>
  <c r="CC107" i="11"/>
  <c r="CD107" i="11"/>
  <c r="CC108" i="11"/>
  <c r="CD108" i="11"/>
  <c r="CC109" i="11"/>
  <c r="CD109" i="11"/>
  <c r="CC110" i="11"/>
  <c r="CD110" i="11"/>
  <c r="CC111" i="11"/>
  <c r="CD111" i="11"/>
  <c r="V443" i="11"/>
  <c r="W337" i="11"/>
  <c r="CE7" i="11"/>
  <c r="CE8" i="11"/>
  <c r="CE9" i="11"/>
  <c r="CE10" i="11"/>
  <c r="CE11" i="11"/>
  <c r="CE12" i="11"/>
  <c r="CE13" i="11"/>
  <c r="CE14" i="11"/>
  <c r="CE15" i="11"/>
  <c r="CE16" i="11"/>
  <c r="CE17" i="11"/>
  <c r="CE18" i="11"/>
  <c r="CE19" i="11"/>
  <c r="CE20" i="11"/>
  <c r="CE21" i="11"/>
  <c r="CE22" i="11"/>
  <c r="CE23" i="11"/>
  <c r="CE24" i="11"/>
  <c r="CE25" i="11"/>
  <c r="CE26" i="11"/>
  <c r="CE27" i="11"/>
  <c r="CE28" i="11"/>
  <c r="CE29" i="11"/>
  <c r="CE30" i="11"/>
  <c r="CE31" i="11"/>
  <c r="CE32" i="11"/>
  <c r="CE33" i="11"/>
  <c r="CE34" i="11"/>
  <c r="CE35" i="11"/>
  <c r="CE36" i="11"/>
  <c r="CE37" i="11"/>
  <c r="CE38" i="11"/>
  <c r="CE39" i="11"/>
  <c r="CE40" i="11"/>
  <c r="CE41" i="11"/>
  <c r="CE42" i="11"/>
  <c r="CE43" i="11"/>
  <c r="CE44" i="11"/>
  <c r="CE45" i="11"/>
  <c r="CE46" i="11"/>
  <c r="CE47" i="11"/>
  <c r="CE48" i="11"/>
  <c r="CE49" i="11"/>
  <c r="CE50" i="11"/>
  <c r="CE51" i="11"/>
  <c r="CE52" i="11"/>
  <c r="CE53" i="11"/>
  <c r="CE54" i="11"/>
  <c r="CE55" i="11"/>
  <c r="CE56" i="11"/>
  <c r="CE57" i="11"/>
  <c r="CE58" i="11"/>
  <c r="CE59" i="11"/>
  <c r="CE60" i="11"/>
  <c r="CE61" i="11"/>
  <c r="CE62" i="11"/>
  <c r="CE63" i="11"/>
  <c r="CE64" i="11"/>
  <c r="CE65" i="11"/>
  <c r="CE66" i="11"/>
  <c r="CE67" i="11"/>
  <c r="CE68" i="11"/>
  <c r="CE69" i="11"/>
  <c r="CE70" i="11"/>
  <c r="CE71" i="11"/>
  <c r="CE72" i="11"/>
  <c r="CE73" i="11"/>
  <c r="CE74" i="11"/>
  <c r="CE75" i="11"/>
  <c r="CE76" i="11"/>
  <c r="CE77" i="11"/>
  <c r="CE78" i="11"/>
  <c r="CE79" i="11"/>
  <c r="CE80" i="11"/>
  <c r="CE81" i="11"/>
  <c r="CE82" i="11"/>
  <c r="CE83" i="11"/>
  <c r="CE84" i="11"/>
  <c r="CE85" i="11"/>
  <c r="CE86" i="11"/>
  <c r="CE87" i="11"/>
  <c r="CE88" i="11"/>
  <c r="CE89" i="11"/>
  <c r="CE90" i="11"/>
  <c r="CE91" i="11"/>
  <c r="CE92" i="11"/>
  <c r="CE93" i="11"/>
  <c r="CE94" i="11"/>
  <c r="CE95" i="11"/>
  <c r="CE96" i="11"/>
  <c r="CE97" i="11"/>
  <c r="CE98" i="11"/>
  <c r="CE99" i="11"/>
  <c r="CE100" i="11"/>
  <c r="CE101" i="11"/>
  <c r="CE102" i="11"/>
  <c r="CE103" i="11"/>
  <c r="CE104" i="11"/>
  <c r="CE105" i="11"/>
  <c r="CE106" i="11"/>
  <c r="CE107" i="11"/>
  <c r="CE108" i="11"/>
  <c r="CE109" i="11"/>
  <c r="CE110" i="11"/>
  <c r="CE111" i="11"/>
  <c r="CF111" i="11"/>
  <c r="CG111" i="11"/>
  <c r="W443" i="11"/>
  <c r="X337" i="11"/>
  <c r="CE169"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O170" i="11"/>
  <c r="AP170" i="11"/>
  <c r="AQ170" i="11"/>
  <c r="AR170" i="11"/>
  <c r="AS170" i="11"/>
  <c r="AT170" i="11"/>
  <c r="AU170" i="11"/>
  <c r="AV170" i="11"/>
  <c r="AW170" i="11"/>
  <c r="AX170" i="11"/>
  <c r="AY170" i="11"/>
  <c r="AZ170" i="11"/>
  <c r="BA170" i="11"/>
  <c r="BB170" i="11"/>
  <c r="BC170" i="11"/>
  <c r="BD170" i="11"/>
  <c r="BE170" i="11"/>
  <c r="BF170" i="11"/>
  <c r="BG170" i="11"/>
  <c r="BH170" i="11"/>
  <c r="BI170" i="11"/>
  <c r="BJ170" i="11"/>
  <c r="BK170" i="11"/>
  <c r="BL170" i="11"/>
  <c r="BM170" i="11"/>
  <c r="BN170" i="11"/>
  <c r="BO170" i="11"/>
  <c r="BP170" i="11"/>
  <c r="BQ170" i="11"/>
  <c r="BR170" i="11"/>
  <c r="BS170" i="11"/>
  <c r="BT170" i="11"/>
  <c r="BU170" i="11"/>
  <c r="BV170" i="11"/>
  <c r="BW170" i="11"/>
  <c r="BZ170" i="11"/>
  <c r="CB170"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O169" i="11"/>
  <c r="AP169" i="11"/>
  <c r="AQ169" i="11"/>
  <c r="AR169" i="11"/>
  <c r="AS169" i="11"/>
  <c r="AT169" i="11"/>
  <c r="AU169" i="11"/>
  <c r="AV169" i="11"/>
  <c r="AW169" i="11"/>
  <c r="AX169" i="11"/>
  <c r="AY169" i="11"/>
  <c r="AZ169" i="11"/>
  <c r="BA169" i="11"/>
  <c r="BB169" i="11"/>
  <c r="BC169" i="11"/>
  <c r="BD169" i="11"/>
  <c r="BE169" i="11"/>
  <c r="BF169" i="11"/>
  <c r="BG169" i="11"/>
  <c r="BH169" i="11"/>
  <c r="BI169" i="11"/>
  <c r="BJ169" i="11"/>
  <c r="BK169" i="11"/>
  <c r="BL169" i="11"/>
  <c r="BM169" i="11"/>
  <c r="BN169" i="11"/>
  <c r="BO169" i="11"/>
  <c r="BP169" i="11"/>
  <c r="BQ169" i="11"/>
  <c r="BR169" i="11"/>
  <c r="BS169" i="11"/>
  <c r="BT169" i="11"/>
  <c r="BU169" i="11"/>
  <c r="BV169" i="11"/>
  <c r="BW169" i="11"/>
  <c r="BZ169" i="11"/>
  <c r="CB169" i="11"/>
  <c r="CA170" i="11"/>
  <c r="CE170"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O171" i="11"/>
  <c r="AP171" i="11"/>
  <c r="AQ171" i="11"/>
  <c r="AR171" i="11"/>
  <c r="AS171" i="11"/>
  <c r="AT171" i="11"/>
  <c r="AU171" i="11"/>
  <c r="AV171" i="11"/>
  <c r="AW171" i="11"/>
  <c r="AX171" i="11"/>
  <c r="AY171" i="11"/>
  <c r="AZ171" i="11"/>
  <c r="BA171" i="11"/>
  <c r="BB171" i="11"/>
  <c r="BC171" i="11"/>
  <c r="BD171" i="11"/>
  <c r="BE171" i="11"/>
  <c r="BF171" i="11"/>
  <c r="BG171" i="11"/>
  <c r="BH171" i="11"/>
  <c r="BI171" i="11"/>
  <c r="BJ171" i="11"/>
  <c r="BK171" i="11"/>
  <c r="BL171" i="11"/>
  <c r="BM171" i="11"/>
  <c r="BN171" i="11"/>
  <c r="BO171" i="11"/>
  <c r="BP171" i="11"/>
  <c r="BQ171" i="11"/>
  <c r="BR171" i="11"/>
  <c r="BS171" i="11"/>
  <c r="BT171" i="11"/>
  <c r="BU171" i="11"/>
  <c r="BV171" i="11"/>
  <c r="BW171" i="11"/>
  <c r="BZ171" i="11"/>
  <c r="CB171" i="11"/>
  <c r="CA171" i="11"/>
  <c r="CE171"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O172" i="11"/>
  <c r="AP172" i="11"/>
  <c r="AQ172" i="11"/>
  <c r="AR172" i="11"/>
  <c r="AS172" i="11"/>
  <c r="AT172" i="11"/>
  <c r="AU172" i="11"/>
  <c r="AV172" i="11"/>
  <c r="AW172" i="11"/>
  <c r="AX172" i="11"/>
  <c r="AY172" i="11"/>
  <c r="AZ172" i="11"/>
  <c r="BA172" i="11"/>
  <c r="BB172" i="11"/>
  <c r="BC172" i="11"/>
  <c r="BD172" i="11"/>
  <c r="BE172" i="11"/>
  <c r="BF172" i="11"/>
  <c r="BG172" i="11"/>
  <c r="BH172" i="11"/>
  <c r="BI172" i="11"/>
  <c r="BJ172" i="11"/>
  <c r="BK172" i="11"/>
  <c r="BL172" i="11"/>
  <c r="BM172" i="11"/>
  <c r="BN172" i="11"/>
  <c r="BO172" i="11"/>
  <c r="BP172" i="11"/>
  <c r="BQ172" i="11"/>
  <c r="BR172" i="11"/>
  <c r="BS172" i="11"/>
  <c r="BT172" i="11"/>
  <c r="BU172" i="11"/>
  <c r="BV172" i="11"/>
  <c r="BW172" i="11"/>
  <c r="BZ172" i="11"/>
  <c r="CB172" i="11"/>
  <c r="CA172" i="11"/>
  <c r="CE172"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O173" i="11"/>
  <c r="AP173" i="11"/>
  <c r="AQ173" i="11"/>
  <c r="AR173" i="11"/>
  <c r="AS173" i="11"/>
  <c r="AT173" i="11"/>
  <c r="AU173" i="11"/>
  <c r="AV173" i="11"/>
  <c r="AW173" i="11"/>
  <c r="AX173" i="11"/>
  <c r="AY173" i="11"/>
  <c r="AZ173" i="11"/>
  <c r="BA173" i="11"/>
  <c r="BB173" i="11"/>
  <c r="BC173" i="11"/>
  <c r="BD173" i="11"/>
  <c r="BE173" i="11"/>
  <c r="BF173" i="11"/>
  <c r="BG173" i="11"/>
  <c r="BH173" i="11"/>
  <c r="BI173" i="11"/>
  <c r="BJ173" i="11"/>
  <c r="BK173" i="11"/>
  <c r="BL173" i="11"/>
  <c r="BM173" i="11"/>
  <c r="BN173" i="11"/>
  <c r="BO173" i="11"/>
  <c r="BP173" i="11"/>
  <c r="BQ173" i="11"/>
  <c r="BR173" i="11"/>
  <c r="BS173" i="11"/>
  <c r="BT173" i="11"/>
  <c r="BU173" i="11"/>
  <c r="BV173" i="11"/>
  <c r="BW173" i="11"/>
  <c r="BZ173" i="11"/>
  <c r="CB173" i="11"/>
  <c r="CA173" i="11"/>
  <c r="CE173"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O174" i="11"/>
  <c r="AP174" i="11"/>
  <c r="AQ174" i="11"/>
  <c r="AR174" i="11"/>
  <c r="AS174" i="11"/>
  <c r="AT174" i="11"/>
  <c r="AU174" i="11"/>
  <c r="AV174" i="11"/>
  <c r="AW174" i="11"/>
  <c r="AX174" i="11"/>
  <c r="AY174" i="11"/>
  <c r="AZ174" i="11"/>
  <c r="BA174" i="11"/>
  <c r="BB174" i="11"/>
  <c r="BC174" i="11"/>
  <c r="BD174" i="11"/>
  <c r="BE174" i="11"/>
  <c r="BF174" i="11"/>
  <c r="BG174" i="11"/>
  <c r="BH174" i="11"/>
  <c r="BI174" i="11"/>
  <c r="BJ174" i="11"/>
  <c r="BK174" i="11"/>
  <c r="BL174" i="11"/>
  <c r="BM174" i="11"/>
  <c r="BN174" i="11"/>
  <c r="BO174" i="11"/>
  <c r="BP174" i="11"/>
  <c r="BQ174" i="11"/>
  <c r="BR174" i="11"/>
  <c r="BS174" i="11"/>
  <c r="BT174" i="11"/>
  <c r="BU174" i="11"/>
  <c r="BV174" i="11"/>
  <c r="BW174" i="11"/>
  <c r="BZ174" i="11"/>
  <c r="CB174" i="11"/>
  <c r="CA174" i="11"/>
  <c r="CE174"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O175" i="11"/>
  <c r="AP175" i="11"/>
  <c r="AQ175" i="11"/>
  <c r="AR175" i="11"/>
  <c r="AS175" i="11"/>
  <c r="AT175" i="11"/>
  <c r="AU175" i="11"/>
  <c r="AV175" i="11"/>
  <c r="AW175" i="11"/>
  <c r="AX175" i="11"/>
  <c r="AY175" i="11"/>
  <c r="AZ175" i="11"/>
  <c r="BA175" i="11"/>
  <c r="BB175" i="11"/>
  <c r="BC175" i="11"/>
  <c r="BD175" i="11"/>
  <c r="BE175" i="11"/>
  <c r="BF175" i="11"/>
  <c r="BG175" i="11"/>
  <c r="BH175" i="11"/>
  <c r="BI175" i="11"/>
  <c r="BJ175" i="11"/>
  <c r="BK175" i="11"/>
  <c r="BL175" i="11"/>
  <c r="BM175" i="11"/>
  <c r="BN175" i="11"/>
  <c r="BO175" i="11"/>
  <c r="BP175" i="11"/>
  <c r="BQ175" i="11"/>
  <c r="BR175" i="11"/>
  <c r="BS175" i="11"/>
  <c r="BT175" i="11"/>
  <c r="BU175" i="11"/>
  <c r="BV175" i="11"/>
  <c r="BW175" i="11"/>
  <c r="BZ175" i="11"/>
  <c r="CB175" i="11"/>
  <c r="CA175" i="11"/>
  <c r="CE175"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O176" i="11"/>
  <c r="AP176" i="11"/>
  <c r="AQ176" i="11"/>
  <c r="AR176" i="11"/>
  <c r="AS176" i="11"/>
  <c r="AT176" i="11"/>
  <c r="AU176" i="11"/>
  <c r="AV176" i="11"/>
  <c r="AW176" i="11"/>
  <c r="AX176" i="11"/>
  <c r="AY176" i="11"/>
  <c r="AZ176" i="11"/>
  <c r="BA176" i="11"/>
  <c r="BB176" i="11"/>
  <c r="BC176" i="11"/>
  <c r="BD176" i="11"/>
  <c r="BE176" i="11"/>
  <c r="BF176" i="11"/>
  <c r="BG176" i="11"/>
  <c r="BH176" i="11"/>
  <c r="BI176" i="11"/>
  <c r="BJ176" i="11"/>
  <c r="BK176" i="11"/>
  <c r="BL176" i="11"/>
  <c r="BM176" i="11"/>
  <c r="BN176" i="11"/>
  <c r="BO176" i="11"/>
  <c r="BP176" i="11"/>
  <c r="BQ176" i="11"/>
  <c r="BR176" i="11"/>
  <c r="BS176" i="11"/>
  <c r="BT176" i="11"/>
  <c r="BU176" i="11"/>
  <c r="BV176" i="11"/>
  <c r="BW176" i="11"/>
  <c r="BZ176" i="11"/>
  <c r="CB176" i="11"/>
  <c r="CA176" i="11"/>
  <c r="CE176"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O177" i="11"/>
  <c r="AP177" i="11"/>
  <c r="AQ177" i="11"/>
  <c r="AR177" i="11"/>
  <c r="AS177" i="11"/>
  <c r="AT177" i="11"/>
  <c r="AU177" i="11"/>
  <c r="AV177" i="11"/>
  <c r="AW177" i="11"/>
  <c r="AX177" i="11"/>
  <c r="AY177" i="11"/>
  <c r="AZ177" i="11"/>
  <c r="BA177" i="11"/>
  <c r="BB177" i="11"/>
  <c r="BC177" i="11"/>
  <c r="BD177" i="11"/>
  <c r="BE177" i="11"/>
  <c r="BF177" i="11"/>
  <c r="BG177" i="11"/>
  <c r="BH177" i="11"/>
  <c r="BI177" i="11"/>
  <c r="BJ177" i="11"/>
  <c r="BK177" i="11"/>
  <c r="BL177" i="11"/>
  <c r="BM177" i="11"/>
  <c r="BN177" i="11"/>
  <c r="BO177" i="11"/>
  <c r="BP177" i="11"/>
  <c r="BQ177" i="11"/>
  <c r="BR177" i="11"/>
  <c r="BS177" i="11"/>
  <c r="BT177" i="11"/>
  <c r="BU177" i="11"/>
  <c r="BV177" i="11"/>
  <c r="BW177" i="11"/>
  <c r="BZ177" i="11"/>
  <c r="CB177" i="11"/>
  <c r="CA177" i="11"/>
  <c r="CE177"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O178" i="11"/>
  <c r="AP178" i="11"/>
  <c r="AQ178" i="11"/>
  <c r="AR178" i="11"/>
  <c r="AS178" i="11"/>
  <c r="AT178" i="11"/>
  <c r="AU178" i="11"/>
  <c r="AV178" i="11"/>
  <c r="AW178" i="11"/>
  <c r="AX178" i="11"/>
  <c r="AY178" i="11"/>
  <c r="AZ178" i="11"/>
  <c r="BA178" i="11"/>
  <c r="BB178" i="11"/>
  <c r="BC178" i="11"/>
  <c r="BD178" i="11"/>
  <c r="BE178" i="11"/>
  <c r="BF178" i="11"/>
  <c r="BG178" i="11"/>
  <c r="BH178" i="11"/>
  <c r="BI178" i="11"/>
  <c r="BJ178" i="11"/>
  <c r="BK178" i="11"/>
  <c r="BL178" i="11"/>
  <c r="BM178" i="11"/>
  <c r="BN178" i="11"/>
  <c r="BO178" i="11"/>
  <c r="BP178" i="11"/>
  <c r="BQ178" i="11"/>
  <c r="BR178" i="11"/>
  <c r="BS178" i="11"/>
  <c r="BT178" i="11"/>
  <c r="BU178" i="11"/>
  <c r="BV178" i="11"/>
  <c r="BW178" i="11"/>
  <c r="BZ178" i="11"/>
  <c r="CB178" i="11"/>
  <c r="CA178" i="11"/>
  <c r="CE178"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O179" i="11"/>
  <c r="AP179" i="11"/>
  <c r="AQ179" i="11"/>
  <c r="AR179" i="11"/>
  <c r="AS179" i="11"/>
  <c r="AT179" i="11"/>
  <c r="AU179" i="11"/>
  <c r="AV179" i="11"/>
  <c r="AW179" i="11"/>
  <c r="AX179" i="11"/>
  <c r="AY179" i="11"/>
  <c r="AZ179" i="11"/>
  <c r="BA179" i="11"/>
  <c r="BB179" i="11"/>
  <c r="BC179" i="11"/>
  <c r="BD179" i="11"/>
  <c r="BE179" i="11"/>
  <c r="BF179" i="11"/>
  <c r="BG179" i="11"/>
  <c r="BH179" i="11"/>
  <c r="BI179" i="11"/>
  <c r="BJ179" i="11"/>
  <c r="BK179" i="11"/>
  <c r="BL179" i="11"/>
  <c r="BM179" i="11"/>
  <c r="BN179" i="11"/>
  <c r="BO179" i="11"/>
  <c r="BP179" i="11"/>
  <c r="BQ179" i="11"/>
  <c r="BR179" i="11"/>
  <c r="BS179" i="11"/>
  <c r="BT179" i="11"/>
  <c r="BU179" i="11"/>
  <c r="BV179" i="11"/>
  <c r="BW179" i="11"/>
  <c r="BZ179" i="11"/>
  <c r="CB179" i="11"/>
  <c r="CA179" i="11"/>
  <c r="CE179"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O180" i="11"/>
  <c r="AP180" i="11"/>
  <c r="AQ180" i="11"/>
  <c r="AR180" i="11"/>
  <c r="AS180" i="11"/>
  <c r="AT180" i="11"/>
  <c r="AU180" i="11"/>
  <c r="AV180" i="11"/>
  <c r="AW180" i="11"/>
  <c r="AX180" i="11"/>
  <c r="AY180" i="11"/>
  <c r="AZ180" i="11"/>
  <c r="BA180" i="11"/>
  <c r="BB180" i="11"/>
  <c r="BC180" i="11"/>
  <c r="BD180" i="11"/>
  <c r="BE180" i="11"/>
  <c r="BF180" i="11"/>
  <c r="BG180" i="11"/>
  <c r="BH180" i="11"/>
  <c r="BI180" i="11"/>
  <c r="BJ180" i="11"/>
  <c r="BK180" i="11"/>
  <c r="BL180" i="11"/>
  <c r="BM180" i="11"/>
  <c r="BN180" i="11"/>
  <c r="BO180" i="11"/>
  <c r="BP180" i="11"/>
  <c r="BQ180" i="11"/>
  <c r="BR180" i="11"/>
  <c r="BS180" i="11"/>
  <c r="BT180" i="11"/>
  <c r="BU180" i="11"/>
  <c r="BV180" i="11"/>
  <c r="BW180" i="11"/>
  <c r="BZ180" i="11"/>
  <c r="CB180" i="11"/>
  <c r="CA180" i="11"/>
  <c r="CE180"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O181" i="11"/>
  <c r="AP181" i="11"/>
  <c r="AQ181" i="11"/>
  <c r="AR181" i="11"/>
  <c r="AS181" i="11"/>
  <c r="AT181" i="11"/>
  <c r="AU181" i="11"/>
  <c r="AV181" i="11"/>
  <c r="AW181" i="11"/>
  <c r="AX181" i="11"/>
  <c r="AY181" i="11"/>
  <c r="AZ181" i="11"/>
  <c r="BA181" i="11"/>
  <c r="BB181" i="11"/>
  <c r="BC181" i="11"/>
  <c r="BD181" i="11"/>
  <c r="BE181" i="11"/>
  <c r="BF181" i="11"/>
  <c r="BG181" i="11"/>
  <c r="BH181" i="11"/>
  <c r="BI181" i="11"/>
  <c r="BJ181" i="11"/>
  <c r="BK181" i="11"/>
  <c r="BL181" i="11"/>
  <c r="BM181" i="11"/>
  <c r="BN181" i="11"/>
  <c r="BO181" i="11"/>
  <c r="BP181" i="11"/>
  <c r="BQ181" i="11"/>
  <c r="BR181" i="11"/>
  <c r="BS181" i="11"/>
  <c r="BT181" i="11"/>
  <c r="BU181" i="11"/>
  <c r="BV181" i="11"/>
  <c r="BW181" i="11"/>
  <c r="BZ181" i="11"/>
  <c r="CB181" i="11"/>
  <c r="CA181" i="11"/>
  <c r="CE181"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O182" i="11"/>
  <c r="AP182" i="11"/>
  <c r="AQ182" i="11"/>
  <c r="AR182" i="11"/>
  <c r="AS182" i="11"/>
  <c r="AT182" i="11"/>
  <c r="AU182" i="11"/>
  <c r="AV182" i="11"/>
  <c r="AW182" i="11"/>
  <c r="AX182" i="11"/>
  <c r="AY182" i="11"/>
  <c r="AZ182" i="11"/>
  <c r="BA182" i="11"/>
  <c r="BB182" i="11"/>
  <c r="BC182" i="11"/>
  <c r="BD182" i="11"/>
  <c r="BE182" i="11"/>
  <c r="BF182" i="11"/>
  <c r="BG182" i="11"/>
  <c r="BH182" i="11"/>
  <c r="BI182" i="11"/>
  <c r="BJ182" i="11"/>
  <c r="BK182" i="11"/>
  <c r="BL182" i="11"/>
  <c r="BM182" i="11"/>
  <c r="BN182" i="11"/>
  <c r="BO182" i="11"/>
  <c r="BP182" i="11"/>
  <c r="BQ182" i="11"/>
  <c r="BR182" i="11"/>
  <c r="BS182" i="11"/>
  <c r="BT182" i="11"/>
  <c r="BU182" i="11"/>
  <c r="BV182" i="11"/>
  <c r="BW182" i="11"/>
  <c r="BZ182" i="11"/>
  <c r="CB182" i="11"/>
  <c r="CA182" i="11"/>
  <c r="CE182"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O183" i="11"/>
  <c r="AP183" i="11"/>
  <c r="AQ183" i="11"/>
  <c r="AR183" i="11"/>
  <c r="AS183" i="11"/>
  <c r="AT183" i="11"/>
  <c r="AU183" i="11"/>
  <c r="AV183" i="11"/>
  <c r="AW183" i="11"/>
  <c r="AX183" i="11"/>
  <c r="AY183" i="11"/>
  <c r="AZ183" i="11"/>
  <c r="BA183" i="11"/>
  <c r="BB183" i="11"/>
  <c r="BC183" i="11"/>
  <c r="BD183" i="11"/>
  <c r="BE183" i="11"/>
  <c r="BF183" i="11"/>
  <c r="BG183" i="11"/>
  <c r="BH183" i="11"/>
  <c r="BI183" i="11"/>
  <c r="BJ183" i="11"/>
  <c r="BK183" i="11"/>
  <c r="BL183" i="11"/>
  <c r="BM183" i="11"/>
  <c r="BN183" i="11"/>
  <c r="BO183" i="11"/>
  <c r="BP183" i="11"/>
  <c r="BQ183" i="11"/>
  <c r="BR183" i="11"/>
  <c r="BS183" i="11"/>
  <c r="BT183" i="11"/>
  <c r="BU183" i="11"/>
  <c r="BV183" i="11"/>
  <c r="BW183" i="11"/>
  <c r="BZ183" i="11"/>
  <c r="CB183" i="11"/>
  <c r="CA183" i="11"/>
  <c r="CE183"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O184" i="11"/>
  <c r="AP184" i="11"/>
  <c r="AQ184" i="11"/>
  <c r="AR184" i="11"/>
  <c r="AS184" i="11"/>
  <c r="AT184" i="11"/>
  <c r="AU184" i="11"/>
  <c r="AV184" i="11"/>
  <c r="AW184" i="11"/>
  <c r="AX184" i="11"/>
  <c r="AY184" i="11"/>
  <c r="AZ184" i="11"/>
  <c r="BA184" i="11"/>
  <c r="BB184" i="11"/>
  <c r="BC184" i="11"/>
  <c r="BD184" i="11"/>
  <c r="BE184" i="11"/>
  <c r="BF184" i="11"/>
  <c r="BG184" i="11"/>
  <c r="BH184" i="11"/>
  <c r="BI184" i="11"/>
  <c r="BJ184" i="11"/>
  <c r="BK184" i="11"/>
  <c r="BL184" i="11"/>
  <c r="BM184" i="11"/>
  <c r="BN184" i="11"/>
  <c r="BO184" i="11"/>
  <c r="BP184" i="11"/>
  <c r="BQ184" i="11"/>
  <c r="BR184" i="11"/>
  <c r="BS184" i="11"/>
  <c r="BT184" i="11"/>
  <c r="BU184" i="11"/>
  <c r="BV184" i="11"/>
  <c r="BW184" i="11"/>
  <c r="BZ184" i="11"/>
  <c r="CB184" i="11"/>
  <c r="CA184" i="11"/>
  <c r="CE184"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O185" i="11"/>
  <c r="AP185" i="11"/>
  <c r="AQ185" i="11"/>
  <c r="AR185" i="11"/>
  <c r="AS185" i="11"/>
  <c r="AT185" i="11"/>
  <c r="AU185" i="11"/>
  <c r="AV185" i="11"/>
  <c r="AW185" i="11"/>
  <c r="AX185" i="11"/>
  <c r="AY185" i="11"/>
  <c r="AZ185" i="11"/>
  <c r="BA185" i="11"/>
  <c r="BB185" i="11"/>
  <c r="BC185" i="11"/>
  <c r="BD185" i="11"/>
  <c r="BE185" i="11"/>
  <c r="BF185" i="11"/>
  <c r="BG185" i="11"/>
  <c r="BH185" i="11"/>
  <c r="BI185" i="11"/>
  <c r="BJ185" i="11"/>
  <c r="BK185" i="11"/>
  <c r="BL185" i="11"/>
  <c r="BM185" i="11"/>
  <c r="BN185" i="11"/>
  <c r="BO185" i="11"/>
  <c r="BP185" i="11"/>
  <c r="BQ185" i="11"/>
  <c r="BR185" i="11"/>
  <c r="BS185" i="11"/>
  <c r="BT185" i="11"/>
  <c r="BU185" i="11"/>
  <c r="BV185" i="11"/>
  <c r="BW185" i="11"/>
  <c r="BZ185" i="11"/>
  <c r="CB185" i="11"/>
  <c r="CA185" i="11"/>
  <c r="CE185"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O186" i="11"/>
  <c r="AP186" i="11"/>
  <c r="AQ186" i="11"/>
  <c r="AR186" i="11"/>
  <c r="AS186" i="11"/>
  <c r="AT186" i="11"/>
  <c r="AU186" i="11"/>
  <c r="AV186" i="11"/>
  <c r="AW186" i="11"/>
  <c r="AX186" i="11"/>
  <c r="AY186" i="11"/>
  <c r="AZ186" i="11"/>
  <c r="BA186" i="11"/>
  <c r="BB186" i="11"/>
  <c r="BC186" i="11"/>
  <c r="BD186" i="11"/>
  <c r="BE186" i="11"/>
  <c r="BF186" i="11"/>
  <c r="BG186" i="11"/>
  <c r="BH186" i="11"/>
  <c r="BI186" i="11"/>
  <c r="BJ186" i="11"/>
  <c r="BK186" i="11"/>
  <c r="BL186" i="11"/>
  <c r="BM186" i="11"/>
  <c r="BN186" i="11"/>
  <c r="BO186" i="11"/>
  <c r="BP186" i="11"/>
  <c r="BQ186" i="11"/>
  <c r="BR186" i="11"/>
  <c r="BS186" i="11"/>
  <c r="BT186" i="11"/>
  <c r="BU186" i="11"/>
  <c r="BV186" i="11"/>
  <c r="BW186" i="11"/>
  <c r="BZ186" i="11"/>
  <c r="CB186" i="11"/>
  <c r="CA186" i="11"/>
  <c r="CE186"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O187" i="11"/>
  <c r="AP187" i="11"/>
  <c r="AQ187" i="11"/>
  <c r="AR187" i="11"/>
  <c r="AS187" i="11"/>
  <c r="AT187" i="11"/>
  <c r="AU187" i="11"/>
  <c r="AV187" i="11"/>
  <c r="AW187" i="11"/>
  <c r="AX187" i="11"/>
  <c r="AY187" i="11"/>
  <c r="AZ187" i="11"/>
  <c r="BA187" i="11"/>
  <c r="BB187" i="11"/>
  <c r="BC187" i="11"/>
  <c r="BD187" i="11"/>
  <c r="BE187" i="11"/>
  <c r="BF187" i="11"/>
  <c r="BG187" i="11"/>
  <c r="BH187" i="11"/>
  <c r="BI187" i="11"/>
  <c r="BJ187" i="11"/>
  <c r="BK187" i="11"/>
  <c r="BL187" i="11"/>
  <c r="BM187" i="11"/>
  <c r="BN187" i="11"/>
  <c r="BO187" i="11"/>
  <c r="BP187" i="11"/>
  <c r="BQ187" i="11"/>
  <c r="BR187" i="11"/>
  <c r="BS187" i="11"/>
  <c r="BT187" i="11"/>
  <c r="BU187" i="11"/>
  <c r="BV187" i="11"/>
  <c r="BW187" i="11"/>
  <c r="BZ187" i="11"/>
  <c r="CB187" i="11"/>
  <c r="CA187" i="11"/>
  <c r="CE187"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O188" i="11"/>
  <c r="AP188" i="11"/>
  <c r="AQ188" i="11"/>
  <c r="AR188" i="11"/>
  <c r="AS188" i="11"/>
  <c r="AT188" i="11"/>
  <c r="AU188" i="11"/>
  <c r="AV188" i="11"/>
  <c r="AW188" i="11"/>
  <c r="AX188" i="11"/>
  <c r="AY188" i="11"/>
  <c r="AZ188" i="11"/>
  <c r="BA188" i="11"/>
  <c r="BB188" i="11"/>
  <c r="BC188" i="11"/>
  <c r="BD188" i="11"/>
  <c r="BE188" i="11"/>
  <c r="BF188" i="11"/>
  <c r="BG188" i="11"/>
  <c r="BH188" i="11"/>
  <c r="BI188" i="11"/>
  <c r="BJ188" i="11"/>
  <c r="BK188" i="11"/>
  <c r="BL188" i="11"/>
  <c r="BM188" i="11"/>
  <c r="BN188" i="11"/>
  <c r="BO188" i="11"/>
  <c r="BP188" i="11"/>
  <c r="BQ188" i="11"/>
  <c r="BR188" i="11"/>
  <c r="BS188" i="11"/>
  <c r="BT188" i="11"/>
  <c r="BU188" i="11"/>
  <c r="BV188" i="11"/>
  <c r="BW188" i="11"/>
  <c r="BZ188" i="11"/>
  <c r="CB188" i="11"/>
  <c r="CA188" i="11"/>
  <c r="CE188"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O189" i="11"/>
  <c r="AP189" i="11"/>
  <c r="AQ189" i="11"/>
  <c r="AR189" i="11"/>
  <c r="AS189" i="11"/>
  <c r="AT189" i="11"/>
  <c r="AU189" i="11"/>
  <c r="AV189" i="11"/>
  <c r="AW189" i="11"/>
  <c r="AX189" i="11"/>
  <c r="AY189" i="11"/>
  <c r="AZ189" i="11"/>
  <c r="BA189" i="11"/>
  <c r="BB189" i="11"/>
  <c r="BC189" i="11"/>
  <c r="BD189" i="11"/>
  <c r="BE189" i="11"/>
  <c r="BF189" i="11"/>
  <c r="BG189" i="11"/>
  <c r="BH189" i="11"/>
  <c r="BI189" i="11"/>
  <c r="BJ189" i="11"/>
  <c r="BK189" i="11"/>
  <c r="BL189" i="11"/>
  <c r="BM189" i="11"/>
  <c r="BN189" i="11"/>
  <c r="BO189" i="11"/>
  <c r="BP189" i="11"/>
  <c r="BQ189" i="11"/>
  <c r="BR189" i="11"/>
  <c r="BS189" i="11"/>
  <c r="BT189" i="11"/>
  <c r="BU189" i="11"/>
  <c r="BV189" i="11"/>
  <c r="BW189" i="11"/>
  <c r="BZ189" i="11"/>
  <c r="CB189" i="11"/>
  <c r="CA189" i="11"/>
  <c r="CE189"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O190" i="11"/>
  <c r="AP190" i="11"/>
  <c r="AQ190" i="11"/>
  <c r="AR190" i="11"/>
  <c r="AS190" i="11"/>
  <c r="AT190" i="11"/>
  <c r="AU190" i="11"/>
  <c r="AV190" i="11"/>
  <c r="AW190" i="11"/>
  <c r="AX190" i="11"/>
  <c r="AY190" i="11"/>
  <c r="AZ190" i="11"/>
  <c r="BA190" i="11"/>
  <c r="BB190" i="11"/>
  <c r="BC190" i="11"/>
  <c r="BD190" i="11"/>
  <c r="BE190" i="11"/>
  <c r="BF190" i="11"/>
  <c r="BG190" i="11"/>
  <c r="BH190" i="11"/>
  <c r="BI190" i="11"/>
  <c r="BJ190" i="11"/>
  <c r="BK190" i="11"/>
  <c r="BL190" i="11"/>
  <c r="BM190" i="11"/>
  <c r="BN190" i="11"/>
  <c r="BO190" i="11"/>
  <c r="BP190" i="11"/>
  <c r="BQ190" i="11"/>
  <c r="BR190" i="11"/>
  <c r="BS190" i="11"/>
  <c r="BT190" i="11"/>
  <c r="BU190" i="11"/>
  <c r="BV190" i="11"/>
  <c r="BW190" i="11"/>
  <c r="BZ190" i="11"/>
  <c r="CB190" i="11"/>
  <c r="CA190" i="11"/>
  <c r="CE190"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O191" i="11"/>
  <c r="AP191" i="11"/>
  <c r="AQ191" i="11"/>
  <c r="AR191" i="11"/>
  <c r="AS191" i="11"/>
  <c r="AT191" i="11"/>
  <c r="AU191" i="11"/>
  <c r="AV191" i="11"/>
  <c r="AW191" i="11"/>
  <c r="AX191" i="11"/>
  <c r="AY191" i="11"/>
  <c r="AZ191" i="11"/>
  <c r="BA191" i="11"/>
  <c r="BB191" i="11"/>
  <c r="BC191" i="11"/>
  <c r="BD191" i="11"/>
  <c r="BE191" i="11"/>
  <c r="BF191" i="11"/>
  <c r="BG191" i="11"/>
  <c r="BH191" i="11"/>
  <c r="BI191" i="11"/>
  <c r="BJ191" i="11"/>
  <c r="BK191" i="11"/>
  <c r="BL191" i="11"/>
  <c r="BM191" i="11"/>
  <c r="BN191" i="11"/>
  <c r="BO191" i="11"/>
  <c r="BP191" i="11"/>
  <c r="BQ191" i="11"/>
  <c r="BR191" i="11"/>
  <c r="BS191" i="11"/>
  <c r="BT191" i="11"/>
  <c r="BU191" i="11"/>
  <c r="BV191" i="11"/>
  <c r="BW191" i="11"/>
  <c r="BZ191" i="11"/>
  <c r="CB191" i="11"/>
  <c r="CA191" i="11"/>
  <c r="CE191"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O192" i="11"/>
  <c r="AP192" i="11"/>
  <c r="AQ192" i="11"/>
  <c r="AR192" i="11"/>
  <c r="AS192" i="11"/>
  <c r="AT192" i="11"/>
  <c r="AU192" i="11"/>
  <c r="AV192" i="11"/>
  <c r="AW192" i="11"/>
  <c r="AX192" i="11"/>
  <c r="AY192" i="11"/>
  <c r="AZ192" i="11"/>
  <c r="BA192" i="11"/>
  <c r="BB192" i="11"/>
  <c r="BC192" i="11"/>
  <c r="BD192" i="11"/>
  <c r="BE192" i="11"/>
  <c r="BF192" i="11"/>
  <c r="BG192" i="11"/>
  <c r="BH192" i="11"/>
  <c r="BI192" i="11"/>
  <c r="BJ192" i="11"/>
  <c r="BK192" i="11"/>
  <c r="BL192" i="11"/>
  <c r="BM192" i="11"/>
  <c r="BN192" i="11"/>
  <c r="BO192" i="11"/>
  <c r="BP192" i="11"/>
  <c r="BQ192" i="11"/>
  <c r="BR192" i="11"/>
  <c r="BS192" i="11"/>
  <c r="BT192" i="11"/>
  <c r="BU192" i="11"/>
  <c r="BV192" i="11"/>
  <c r="BW192" i="11"/>
  <c r="BZ192" i="11"/>
  <c r="CB192" i="11"/>
  <c r="CA192" i="11"/>
  <c r="CE192"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O193" i="11"/>
  <c r="AP193" i="11"/>
  <c r="AQ193" i="11"/>
  <c r="AR193" i="11"/>
  <c r="AS193" i="11"/>
  <c r="AT193" i="11"/>
  <c r="AU193" i="11"/>
  <c r="AV193" i="11"/>
  <c r="AW193" i="11"/>
  <c r="AX193" i="11"/>
  <c r="AY193" i="11"/>
  <c r="AZ193" i="11"/>
  <c r="BA193" i="11"/>
  <c r="BB193" i="11"/>
  <c r="BC193" i="11"/>
  <c r="BD193" i="11"/>
  <c r="BE193" i="11"/>
  <c r="BF193" i="11"/>
  <c r="BG193" i="11"/>
  <c r="BH193" i="11"/>
  <c r="BI193" i="11"/>
  <c r="BJ193" i="11"/>
  <c r="BK193" i="11"/>
  <c r="BL193" i="11"/>
  <c r="BM193" i="11"/>
  <c r="BN193" i="11"/>
  <c r="BO193" i="11"/>
  <c r="BP193" i="11"/>
  <c r="BQ193" i="11"/>
  <c r="BR193" i="11"/>
  <c r="BS193" i="11"/>
  <c r="BT193" i="11"/>
  <c r="BU193" i="11"/>
  <c r="BV193" i="11"/>
  <c r="BW193" i="11"/>
  <c r="BZ193" i="11"/>
  <c r="CB193" i="11"/>
  <c r="CA193" i="11"/>
  <c r="CE193"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O194" i="11"/>
  <c r="AP194" i="11"/>
  <c r="AQ194" i="11"/>
  <c r="AR194" i="11"/>
  <c r="AS194" i="11"/>
  <c r="AT194" i="11"/>
  <c r="AU194" i="11"/>
  <c r="AV194" i="11"/>
  <c r="AW194" i="11"/>
  <c r="AX194" i="11"/>
  <c r="AY194" i="11"/>
  <c r="AZ194" i="11"/>
  <c r="BA194" i="11"/>
  <c r="BB194" i="11"/>
  <c r="BC194" i="11"/>
  <c r="BD194" i="11"/>
  <c r="BE194" i="11"/>
  <c r="BF194" i="11"/>
  <c r="BG194" i="11"/>
  <c r="BH194" i="11"/>
  <c r="BI194" i="11"/>
  <c r="BJ194" i="11"/>
  <c r="BK194" i="11"/>
  <c r="BL194" i="11"/>
  <c r="BM194" i="11"/>
  <c r="BN194" i="11"/>
  <c r="BO194" i="11"/>
  <c r="BP194" i="11"/>
  <c r="BQ194" i="11"/>
  <c r="BR194" i="11"/>
  <c r="BS194" i="11"/>
  <c r="BT194" i="11"/>
  <c r="BU194" i="11"/>
  <c r="BV194" i="11"/>
  <c r="BW194" i="11"/>
  <c r="BZ194" i="11"/>
  <c r="CB194" i="11"/>
  <c r="CA194" i="11"/>
  <c r="CE194"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O195" i="11"/>
  <c r="AP195" i="11"/>
  <c r="AQ195" i="11"/>
  <c r="AR195" i="11"/>
  <c r="AS195" i="11"/>
  <c r="AT195" i="11"/>
  <c r="AU195" i="11"/>
  <c r="AV195" i="11"/>
  <c r="AW195" i="11"/>
  <c r="AX195" i="11"/>
  <c r="AY195" i="11"/>
  <c r="AZ195" i="11"/>
  <c r="BA195" i="11"/>
  <c r="BB195" i="11"/>
  <c r="BC195" i="11"/>
  <c r="BD195" i="11"/>
  <c r="BE195" i="11"/>
  <c r="BF195" i="11"/>
  <c r="BG195" i="11"/>
  <c r="BH195" i="11"/>
  <c r="BI195" i="11"/>
  <c r="BJ195" i="11"/>
  <c r="BK195" i="11"/>
  <c r="BL195" i="11"/>
  <c r="BM195" i="11"/>
  <c r="BN195" i="11"/>
  <c r="BO195" i="11"/>
  <c r="BP195" i="11"/>
  <c r="BQ195" i="11"/>
  <c r="BR195" i="11"/>
  <c r="BS195" i="11"/>
  <c r="BT195" i="11"/>
  <c r="BU195" i="11"/>
  <c r="BV195" i="11"/>
  <c r="BW195" i="11"/>
  <c r="BZ195" i="11"/>
  <c r="CB195" i="11"/>
  <c r="CA195" i="11"/>
  <c r="CE195" i="11"/>
  <c r="C196" i="11"/>
  <c r="D196" i="11"/>
  <c r="E196" i="11"/>
  <c r="F196" i="11"/>
  <c r="G196" i="11"/>
  <c r="H196" i="11"/>
  <c r="I196" i="11"/>
  <c r="J196" i="11"/>
  <c r="K196" i="11"/>
  <c r="L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O196" i="11"/>
  <c r="AP196" i="11"/>
  <c r="AQ196" i="11"/>
  <c r="AR196" i="11"/>
  <c r="AS196" i="11"/>
  <c r="AT196" i="11"/>
  <c r="AU196" i="11"/>
  <c r="AV196" i="11"/>
  <c r="AW196" i="11"/>
  <c r="AX196" i="11"/>
  <c r="AY196" i="11"/>
  <c r="AZ196" i="11"/>
  <c r="BA196" i="11"/>
  <c r="BB196" i="11"/>
  <c r="BC196" i="11"/>
  <c r="BD196" i="11"/>
  <c r="BE196" i="11"/>
  <c r="BF196" i="11"/>
  <c r="BG196" i="11"/>
  <c r="BH196" i="11"/>
  <c r="BI196" i="11"/>
  <c r="BJ196" i="11"/>
  <c r="BK196" i="11"/>
  <c r="BL196" i="11"/>
  <c r="BM196" i="11"/>
  <c r="BN196" i="11"/>
  <c r="BO196" i="11"/>
  <c r="BP196" i="11"/>
  <c r="BQ196" i="11"/>
  <c r="BR196" i="11"/>
  <c r="BS196" i="11"/>
  <c r="BT196" i="11"/>
  <c r="BU196" i="11"/>
  <c r="BV196" i="11"/>
  <c r="BW196" i="11"/>
  <c r="BZ196" i="11"/>
  <c r="CB196" i="11"/>
  <c r="CA196" i="11"/>
  <c r="CE196" i="11"/>
  <c r="C197" i="11"/>
  <c r="D197" i="11"/>
  <c r="E197" i="11"/>
  <c r="F197" i="11"/>
  <c r="G197" i="11"/>
  <c r="H197" i="11"/>
  <c r="I197" i="11"/>
  <c r="J197" i="11"/>
  <c r="K197" i="11"/>
  <c r="L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O197" i="11"/>
  <c r="AP197" i="11"/>
  <c r="AQ197" i="11"/>
  <c r="AR197" i="11"/>
  <c r="AS197" i="11"/>
  <c r="AT197" i="11"/>
  <c r="AU197" i="11"/>
  <c r="AV197" i="11"/>
  <c r="AW197" i="11"/>
  <c r="AX197" i="11"/>
  <c r="AY197" i="11"/>
  <c r="AZ197" i="11"/>
  <c r="BA197" i="11"/>
  <c r="BB197" i="11"/>
  <c r="BC197" i="11"/>
  <c r="BD197" i="11"/>
  <c r="BE197" i="11"/>
  <c r="BF197" i="11"/>
  <c r="BG197" i="11"/>
  <c r="BH197" i="11"/>
  <c r="BI197" i="11"/>
  <c r="BJ197" i="11"/>
  <c r="BK197" i="11"/>
  <c r="BL197" i="11"/>
  <c r="BM197" i="11"/>
  <c r="BN197" i="11"/>
  <c r="BO197" i="11"/>
  <c r="BP197" i="11"/>
  <c r="BQ197" i="11"/>
  <c r="BR197" i="11"/>
  <c r="BS197" i="11"/>
  <c r="BT197" i="11"/>
  <c r="BU197" i="11"/>
  <c r="BV197" i="11"/>
  <c r="BW197" i="11"/>
  <c r="BZ197" i="11"/>
  <c r="CB197" i="11"/>
  <c r="CA197" i="11"/>
  <c r="CE197" i="11"/>
  <c r="C198" i="11"/>
  <c r="D198" i="11"/>
  <c r="E198" i="11"/>
  <c r="F198" i="11"/>
  <c r="G198" i="11"/>
  <c r="H198" i="11"/>
  <c r="I198" i="11"/>
  <c r="J198" i="11"/>
  <c r="K198" i="11"/>
  <c r="L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O198" i="11"/>
  <c r="AP198" i="11"/>
  <c r="AQ198" i="11"/>
  <c r="AR198" i="11"/>
  <c r="AS198" i="11"/>
  <c r="AT198" i="11"/>
  <c r="AU198" i="11"/>
  <c r="AV198" i="11"/>
  <c r="AW198" i="11"/>
  <c r="AX198" i="11"/>
  <c r="AY198" i="11"/>
  <c r="AZ198" i="11"/>
  <c r="BA198" i="11"/>
  <c r="BB198" i="11"/>
  <c r="BC198" i="11"/>
  <c r="BD198" i="11"/>
  <c r="BE198" i="11"/>
  <c r="BF198" i="11"/>
  <c r="BG198" i="11"/>
  <c r="BH198" i="11"/>
  <c r="BI198" i="11"/>
  <c r="BJ198" i="11"/>
  <c r="BK198" i="11"/>
  <c r="BL198" i="11"/>
  <c r="BM198" i="11"/>
  <c r="BN198" i="11"/>
  <c r="BO198" i="11"/>
  <c r="BP198" i="11"/>
  <c r="BQ198" i="11"/>
  <c r="BR198" i="11"/>
  <c r="BS198" i="11"/>
  <c r="BT198" i="11"/>
  <c r="BU198" i="11"/>
  <c r="BV198" i="11"/>
  <c r="BW198" i="11"/>
  <c r="BZ198" i="11"/>
  <c r="CB198" i="11"/>
  <c r="CA198" i="11"/>
  <c r="CE198" i="11"/>
  <c r="C199" i="11"/>
  <c r="D199" i="11"/>
  <c r="E199" i="11"/>
  <c r="F199" i="11"/>
  <c r="G199" i="11"/>
  <c r="H199" i="11"/>
  <c r="I199" i="11"/>
  <c r="J199" i="11"/>
  <c r="K199" i="11"/>
  <c r="L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O199" i="11"/>
  <c r="AP199" i="11"/>
  <c r="AQ199" i="11"/>
  <c r="AR199" i="11"/>
  <c r="AS199" i="11"/>
  <c r="AT199" i="11"/>
  <c r="AU199" i="11"/>
  <c r="AV199" i="11"/>
  <c r="AW199" i="11"/>
  <c r="AX199" i="11"/>
  <c r="AY199" i="11"/>
  <c r="AZ199" i="11"/>
  <c r="BA199" i="11"/>
  <c r="BB199" i="11"/>
  <c r="BC199" i="11"/>
  <c r="BD199" i="11"/>
  <c r="BE199" i="11"/>
  <c r="BF199" i="11"/>
  <c r="BG199" i="11"/>
  <c r="BH199" i="11"/>
  <c r="BI199" i="11"/>
  <c r="BJ199" i="11"/>
  <c r="BK199" i="11"/>
  <c r="BL199" i="11"/>
  <c r="BM199" i="11"/>
  <c r="BN199" i="11"/>
  <c r="BO199" i="11"/>
  <c r="BP199" i="11"/>
  <c r="BQ199" i="11"/>
  <c r="BR199" i="11"/>
  <c r="BS199" i="11"/>
  <c r="BT199" i="11"/>
  <c r="BU199" i="11"/>
  <c r="BV199" i="11"/>
  <c r="BW199" i="11"/>
  <c r="BZ199" i="11"/>
  <c r="CB199" i="11"/>
  <c r="CA199" i="11"/>
  <c r="CE199" i="11"/>
  <c r="C200" i="11"/>
  <c r="D200" i="11"/>
  <c r="E200" i="11"/>
  <c r="F200" i="11"/>
  <c r="G200" i="11"/>
  <c r="H200" i="11"/>
  <c r="I200" i="11"/>
  <c r="J200" i="11"/>
  <c r="K200" i="11"/>
  <c r="L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O200" i="11"/>
  <c r="AP200" i="11"/>
  <c r="AQ200" i="11"/>
  <c r="AR200" i="11"/>
  <c r="AS200" i="11"/>
  <c r="AT200" i="11"/>
  <c r="AU200" i="11"/>
  <c r="AV200" i="11"/>
  <c r="AW200" i="11"/>
  <c r="AX200" i="11"/>
  <c r="AY200" i="11"/>
  <c r="AZ200" i="11"/>
  <c r="BA200" i="11"/>
  <c r="BB200" i="11"/>
  <c r="BC200" i="11"/>
  <c r="BD200" i="11"/>
  <c r="BE200" i="11"/>
  <c r="BF200" i="11"/>
  <c r="BG200" i="11"/>
  <c r="BH200" i="11"/>
  <c r="BI200" i="11"/>
  <c r="BJ200" i="11"/>
  <c r="BK200" i="11"/>
  <c r="BL200" i="11"/>
  <c r="BM200" i="11"/>
  <c r="BN200" i="11"/>
  <c r="BO200" i="11"/>
  <c r="BP200" i="11"/>
  <c r="BQ200" i="11"/>
  <c r="BR200" i="11"/>
  <c r="BS200" i="11"/>
  <c r="BT200" i="11"/>
  <c r="BU200" i="11"/>
  <c r="BV200" i="11"/>
  <c r="BW200" i="11"/>
  <c r="BZ200" i="11"/>
  <c r="CB200" i="11"/>
  <c r="CA200" i="11"/>
  <c r="CE200" i="11"/>
  <c r="C201" i="11"/>
  <c r="D201" i="11"/>
  <c r="E201" i="11"/>
  <c r="F201" i="11"/>
  <c r="G201" i="11"/>
  <c r="H201" i="11"/>
  <c r="I201" i="11"/>
  <c r="J201" i="11"/>
  <c r="K201" i="11"/>
  <c r="L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O201" i="11"/>
  <c r="AP201" i="11"/>
  <c r="AQ201" i="11"/>
  <c r="AR201" i="11"/>
  <c r="AS201" i="11"/>
  <c r="AT201" i="11"/>
  <c r="AU201" i="11"/>
  <c r="AV201" i="11"/>
  <c r="AW201" i="11"/>
  <c r="AX201" i="11"/>
  <c r="AY201" i="11"/>
  <c r="AZ201" i="11"/>
  <c r="BA201" i="11"/>
  <c r="BB201" i="11"/>
  <c r="BC201" i="11"/>
  <c r="BD201" i="11"/>
  <c r="BE201" i="11"/>
  <c r="BF201" i="11"/>
  <c r="BG201" i="11"/>
  <c r="BH201" i="11"/>
  <c r="BI201" i="11"/>
  <c r="BJ201" i="11"/>
  <c r="BK201" i="11"/>
  <c r="BL201" i="11"/>
  <c r="BM201" i="11"/>
  <c r="BN201" i="11"/>
  <c r="BO201" i="11"/>
  <c r="BP201" i="11"/>
  <c r="BQ201" i="11"/>
  <c r="BR201" i="11"/>
  <c r="BS201" i="11"/>
  <c r="BT201" i="11"/>
  <c r="BU201" i="11"/>
  <c r="BV201" i="11"/>
  <c r="BW201" i="11"/>
  <c r="BZ201" i="11"/>
  <c r="CB201" i="11"/>
  <c r="CA201" i="11"/>
  <c r="CE201" i="11"/>
  <c r="C202" i="11"/>
  <c r="D202" i="11"/>
  <c r="E202" i="11"/>
  <c r="F202" i="11"/>
  <c r="G202" i="11"/>
  <c r="H202" i="11"/>
  <c r="I202" i="11"/>
  <c r="J202" i="11"/>
  <c r="K202" i="11"/>
  <c r="L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O202" i="11"/>
  <c r="AP202" i="11"/>
  <c r="AQ202" i="11"/>
  <c r="AR202" i="11"/>
  <c r="AS202" i="11"/>
  <c r="AT202" i="11"/>
  <c r="AU202" i="11"/>
  <c r="AV202" i="11"/>
  <c r="AW202" i="11"/>
  <c r="AX202" i="11"/>
  <c r="AY202" i="11"/>
  <c r="AZ202" i="11"/>
  <c r="BA202" i="11"/>
  <c r="BB202" i="11"/>
  <c r="BC202" i="11"/>
  <c r="BD202" i="11"/>
  <c r="BE202" i="11"/>
  <c r="BF202" i="11"/>
  <c r="BG202" i="11"/>
  <c r="BH202" i="11"/>
  <c r="BI202" i="11"/>
  <c r="BJ202" i="11"/>
  <c r="BK202" i="11"/>
  <c r="BL202" i="11"/>
  <c r="BM202" i="11"/>
  <c r="BN202" i="11"/>
  <c r="BO202" i="11"/>
  <c r="BP202" i="11"/>
  <c r="BQ202" i="11"/>
  <c r="BR202" i="11"/>
  <c r="BS202" i="11"/>
  <c r="BT202" i="11"/>
  <c r="BU202" i="11"/>
  <c r="BV202" i="11"/>
  <c r="BW202" i="11"/>
  <c r="BZ202" i="11"/>
  <c r="CB202" i="11"/>
  <c r="CA202" i="11"/>
  <c r="CE202" i="11"/>
  <c r="C203" i="11"/>
  <c r="D203" i="11"/>
  <c r="E203" i="11"/>
  <c r="F203" i="11"/>
  <c r="G203" i="11"/>
  <c r="H203" i="11"/>
  <c r="I203" i="11"/>
  <c r="J203" i="11"/>
  <c r="K203" i="11"/>
  <c r="L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O203" i="11"/>
  <c r="AP203" i="11"/>
  <c r="AQ203" i="11"/>
  <c r="AR203" i="11"/>
  <c r="AS203" i="11"/>
  <c r="AT203" i="11"/>
  <c r="AU203" i="11"/>
  <c r="AV203" i="11"/>
  <c r="AW203" i="11"/>
  <c r="AX203" i="11"/>
  <c r="AY203" i="11"/>
  <c r="AZ203" i="11"/>
  <c r="BA203" i="11"/>
  <c r="BB203" i="11"/>
  <c r="BC203" i="11"/>
  <c r="BD203" i="11"/>
  <c r="BE203" i="11"/>
  <c r="BF203" i="11"/>
  <c r="BG203" i="11"/>
  <c r="BH203" i="11"/>
  <c r="BI203" i="11"/>
  <c r="BJ203" i="11"/>
  <c r="BK203" i="11"/>
  <c r="BL203" i="11"/>
  <c r="BM203" i="11"/>
  <c r="BN203" i="11"/>
  <c r="BO203" i="11"/>
  <c r="BP203" i="11"/>
  <c r="BQ203" i="11"/>
  <c r="BR203" i="11"/>
  <c r="BS203" i="11"/>
  <c r="BT203" i="11"/>
  <c r="BU203" i="11"/>
  <c r="BV203" i="11"/>
  <c r="BW203" i="11"/>
  <c r="BZ203" i="11"/>
  <c r="CB203" i="11"/>
  <c r="CA203" i="11"/>
  <c r="CE203" i="11"/>
  <c r="C204" i="11"/>
  <c r="D204" i="11"/>
  <c r="E204" i="11"/>
  <c r="F204" i="11"/>
  <c r="G204" i="11"/>
  <c r="H204" i="11"/>
  <c r="I204" i="11"/>
  <c r="J204" i="11"/>
  <c r="K204" i="11"/>
  <c r="L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O204" i="11"/>
  <c r="AP204" i="11"/>
  <c r="AQ204" i="11"/>
  <c r="AR204" i="11"/>
  <c r="AS204" i="11"/>
  <c r="AT204" i="11"/>
  <c r="AU204" i="11"/>
  <c r="AV204" i="11"/>
  <c r="AW204" i="11"/>
  <c r="AX204" i="11"/>
  <c r="AY204" i="11"/>
  <c r="AZ204" i="11"/>
  <c r="BA204" i="11"/>
  <c r="BB204" i="11"/>
  <c r="BC204" i="11"/>
  <c r="BD204" i="11"/>
  <c r="BE204" i="11"/>
  <c r="BF204" i="11"/>
  <c r="BG204" i="11"/>
  <c r="BH204" i="11"/>
  <c r="BI204" i="11"/>
  <c r="BJ204" i="11"/>
  <c r="BK204" i="11"/>
  <c r="BL204" i="11"/>
  <c r="BM204" i="11"/>
  <c r="BN204" i="11"/>
  <c r="BO204" i="11"/>
  <c r="BP204" i="11"/>
  <c r="BQ204" i="11"/>
  <c r="BR204" i="11"/>
  <c r="BS204" i="11"/>
  <c r="BT204" i="11"/>
  <c r="BU204" i="11"/>
  <c r="BV204" i="11"/>
  <c r="BW204" i="11"/>
  <c r="BZ204" i="11"/>
  <c r="CB204" i="11"/>
  <c r="CA204" i="11"/>
  <c r="CE204" i="11"/>
  <c r="C205" i="11"/>
  <c r="D205" i="11"/>
  <c r="E205" i="11"/>
  <c r="F205" i="11"/>
  <c r="G205" i="11"/>
  <c r="H205" i="11"/>
  <c r="I205" i="11"/>
  <c r="J205" i="11"/>
  <c r="K205" i="11"/>
  <c r="L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O205" i="11"/>
  <c r="AP205" i="11"/>
  <c r="AQ205" i="11"/>
  <c r="AR205" i="11"/>
  <c r="AS205" i="11"/>
  <c r="AT205" i="11"/>
  <c r="AU205" i="11"/>
  <c r="AV205" i="11"/>
  <c r="AW205" i="11"/>
  <c r="AX205" i="11"/>
  <c r="AY205" i="11"/>
  <c r="AZ205" i="11"/>
  <c r="BA205" i="11"/>
  <c r="BB205" i="11"/>
  <c r="BC205" i="11"/>
  <c r="BD205" i="11"/>
  <c r="BE205" i="11"/>
  <c r="BF205" i="11"/>
  <c r="BG205" i="11"/>
  <c r="BH205" i="11"/>
  <c r="BI205" i="11"/>
  <c r="BJ205" i="11"/>
  <c r="BK205" i="11"/>
  <c r="BL205" i="11"/>
  <c r="BM205" i="11"/>
  <c r="BN205" i="11"/>
  <c r="BO205" i="11"/>
  <c r="BP205" i="11"/>
  <c r="BQ205" i="11"/>
  <c r="BR205" i="11"/>
  <c r="BS205" i="11"/>
  <c r="BT205" i="11"/>
  <c r="BU205" i="11"/>
  <c r="BV205" i="11"/>
  <c r="BW205" i="11"/>
  <c r="BZ205" i="11"/>
  <c r="CB205" i="11"/>
  <c r="CA205" i="11"/>
  <c r="CE205" i="11"/>
  <c r="C206" i="11"/>
  <c r="D206" i="11"/>
  <c r="E206" i="11"/>
  <c r="F206" i="11"/>
  <c r="G206" i="11"/>
  <c r="H206" i="11"/>
  <c r="I206" i="11"/>
  <c r="J206" i="11"/>
  <c r="K206" i="11"/>
  <c r="L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O206" i="11"/>
  <c r="AP206" i="11"/>
  <c r="AQ206" i="11"/>
  <c r="AR206" i="11"/>
  <c r="AS206" i="11"/>
  <c r="AT206" i="11"/>
  <c r="AU206" i="11"/>
  <c r="AV206" i="11"/>
  <c r="AW206" i="11"/>
  <c r="AX206" i="11"/>
  <c r="AY206" i="11"/>
  <c r="AZ206" i="11"/>
  <c r="BA206" i="11"/>
  <c r="BB206" i="11"/>
  <c r="BC206" i="11"/>
  <c r="BD206" i="11"/>
  <c r="BE206" i="11"/>
  <c r="BF206" i="11"/>
  <c r="BG206" i="11"/>
  <c r="BH206" i="11"/>
  <c r="BI206" i="11"/>
  <c r="BJ206" i="11"/>
  <c r="BK206" i="11"/>
  <c r="BL206" i="11"/>
  <c r="BM206" i="11"/>
  <c r="BN206" i="11"/>
  <c r="BO206" i="11"/>
  <c r="BP206" i="11"/>
  <c r="BQ206" i="11"/>
  <c r="BR206" i="11"/>
  <c r="BS206" i="11"/>
  <c r="BT206" i="11"/>
  <c r="BU206" i="11"/>
  <c r="BV206" i="11"/>
  <c r="BW206" i="11"/>
  <c r="BZ206" i="11"/>
  <c r="CB206" i="11"/>
  <c r="CA206" i="11"/>
  <c r="CE206" i="11"/>
  <c r="C207" i="11"/>
  <c r="D207" i="11"/>
  <c r="E207" i="11"/>
  <c r="F207" i="11"/>
  <c r="G207" i="11"/>
  <c r="H207" i="11"/>
  <c r="I207" i="11"/>
  <c r="J207" i="11"/>
  <c r="K207" i="11"/>
  <c r="L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O207" i="11"/>
  <c r="AP207" i="11"/>
  <c r="AQ207" i="11"/>
  <c r="AR207" i="11"/>
  <c r="AS207" i="11"/>
  <c r="AT207" i="11"/>
  <c r="AU207" i="11"/>
  <c r="AV207" i="11"/>
  <c r="AW207" i="11"/>
  <c r="AX207" i="11"/>
  <c r="AY207" i="11"/>
  <c r="AZ207" i="11"/>
  <c r="BA207" i="11"/>
  <c r="BB207" i="11"/>
  <c r="BC207" i="11"/>
  <c r="BD207" i="11"/>
  <c r="BE207" i="11"/>
  <c r="BF207" i="11"/>
  <c r="BG207" i="11"/>
  <c r="BH207" i="11"/>
  <c r="BI207" i="11"/>
  <c r="BJ207" i="11"/>
  <c r="BK207" i="11"/>
  <c r="BL207" i="11"/>
  <c r="BM207" i="11"/>
  <c r="BN207" i="11"/>
  <c r="BO207" i="11"/>
  <c r="BP207" i="11"/>
  <c r="BQ207" i="11"/>
  <c r="BR207" i="11"/>
  <c r="BS207" i="11"/>
  <c r="BT207" i="11"/>
  <c r="BU207" i="11"/>
  <c r="BV207" i="11"/>
  <c r="BW207" i="11"/>
  <c r="BZ207" i="11"/>
  <c r="CB207" i="11"/>
  <c r="CA207" i="11"/>
  <c r="CE207" i="11"/>
  <c r="C208" i="11"/>
  <c r="D208" i="11"/>
  <c r="E208" i="11"/>
  <c r="F208" i="11"/>
  <c r="G208" i="11"/>
  <c r="H208" i="11"/>
  <c r="I208" i="11"/>
  <c r="J208" i="11"/>
  <c r="K208" i="11"/>
  <c r="L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O208" i="11"/>
  <c r="AP208" i="11"/>
  <c r="AQ208" i="11"/>
  <c r="AR208" i="11"/>
  <c r="AS208" i="11"/>
  <c r="AT208" i="11"/>
  <c r="AU208" i="11"/>
  <c r="AV208" i="11"/>
  <c r="AW208" i="11"/>
  <c r="AX208" i="11"/>
  <c r="AY208" i="11"/>
  <c r="AZ208" i="11"/>
  <c r="BA208" i="11"/>
  <c r="BB208" i="11"/>
  <c r="BC208" i="11"/>
  <c r="BD208" i="11"/>
  <c r="BE208" i="11"/>
  <c r="BF208" i="11"/>
  <c r="BG208" i="11"/>
  <c r="BH208" i="11"/>
  <c r="BI208" i="11"/>
  <c r="BJ208" i="11"/>
  <c r="BK208" i="11"/>
  <c r="BL208" i="11"/>
  <c r="BM208" i="11"/>
  <c r="BN208" i="11"/>
  <c r="BO208" i="11"/>
  <c r="BP208" i="11"/>
  <c r="BQ208" i="11"/>
  <c r="BR208" i="11"/>
  <c r="BS208" i="11"/>
  <c r="BT208" i="11"/>
  <c r="BU208" i="11"/>
  <c r="BV208" i="11"/>
  <c r="BW208" i="11"/>
  <c r="BZ208" i="11"/>
  <c r="CB208" i="11"/>
  <c r="CA208" i="11"/>
  <c r="CE208" i="11"/>
  <c r="C209" i="11"/>
  <c r="D209" i="11"/>
  <c r="E209" i="11"/>
  <c r="F209" i="11"/>
  <c r="G209" i="11"/>
  <c r="H209" i="11"/>
  <c r="I209" i="11"/>
  <c r="J209" i="11"/>
  <c r="K209" i="11"/>
  <c r="L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O209" i="11"/>
  <c r="AP209" i="11"/>
  <c r="AQ209" i="11"/>
  <c r="AR209" i="11"/>
  <c r="AS209" i="11"/>
  <c r="AT209" i="11"/>
  <c r="AU209" i="11"/>
  <c r="AV209" i="11"/>
  <c r="AW209" i="11"/>
  <c r="AX209" i="11"/>
  <c r="AY209" i="11"/>
  <c r="AZ209" i="11"/>
  <c r="BA209" i="11"/>
  <c r="BB209" i="11"/>
  <c r="BC209" i="11"/>
  <c r="BD209" i="11"/>
  <c r="BE209" i="11"/>
  <c r="BF209" i="11"/>
  <c r="BG209" i="11"/>
  <c r="BH209" i="11"/>
  <c r="BI209" i="11"/>
  <c r="BJ209" i="11"/>
  <c r="BK209" i="11"/>
  <c r="BL209" i="11"/>
  <c r="BM209" i="11"/>
  <c r="BN209" i="11"/>
  <c r="BO209" i="11"/>
  <c r="BP209" i="11"/>
  <c r="BQ209" i="11"/>
  <c r="BR209" i="11"/>
  <c r="BS209" i="11"/>
  <c r="BT209" i="11"/>
  <c r="BU209" i="11"/>
  <c r="BV209" i="11"/>
  <c r="BW209" i="11"/>
  <c r="BZ209" i="11"/>
  <c r="CB209" i="11"/>
  <c r="CA209" i="11"/>
  <c r="CE209" i="11"/>
  <c r="C210" i="11"/>
  <c r="D210" i="11"/>
  <c r="E210" i="11"/>
  <c r="F210" i="11"/>
  <c r="G210" i="11"/>
  <c r="H210" i="11"/>
  <c r="I210" i="11"/>
  <c r="J210" i="11"/>
  <c r="K210" i="11"/>
  <c r="L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O210" i="11"/>
  <c r="AP210" i="11"/>
  <c r="AQ210" i="11"/>
  <c r="AR210" i="11"/>
  <c r="AS210" i="11"/>
  <c r="AT210" i="11"/>
  <c r="AU210" i="11"/>
  <c r="AV210" i="11"/>
  <c r="AW210" i="11"/>
  <c r="AX210" i="11"/>
  <c r="AY210" i="11"/>
  <c r="AZ210" i="11"/>
  <c r="BA210" i="11"/>
  <c r="BB210" i="11"/>
  <c r="BC210" i="11"/>
  <c r="BD210" i="11"/>
  <c r="BE210" i="11"/>
  <c r="BF210" i="11"/>
  <c r="BG210" i="11"/>
  <c r="BH210" i="11"/>
  <c r="BI210" i="11"/>
  <c r="BJ210" i="11"/>
  <c r="BK210" i="11"/>
  <c r="BL210" i="11"/>
  <c r="BM210" i="11"/>
  <c r="BN210" i="11"/>
  <c r="BO210" i="11"/>
  <c r="BP210" i="11"/>
  <c r="BQ210" i="11"/>
  <c r="BR210" i="11"/>
  <c r="BS210" i="11"/>
  <c r="BT210" i="11"/>
  <c r="BU210" i="11"/>
  <c r="BV210" i="11"/>
  <c r="BW210" i="11"/>
  <c r="BZ210" i="11"/>
  <c r="CB210" i="11"/>
  <c r="CA210" i="11"/>
  <c r="CE210" i="11"/>
  <c r="C211" i="11"/>
  <c r="D211" i="11"/>
  <c r="E211" i="11"/>
  <c r="F211" i="11"/>
  <c r="G211" i="11"/>
  <c r="H211" i="11"/>
  <c r="I211" i="11"/>
  <c r="J211" i="11"/>
  <c r="K211" i="11"/>
  <c r="L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O211" i="11"/>
  <c r="AP211" i="11"/>
  <c r="AQ211" i="11"/>
  <c r="AR211" i="11"/>
  <c r="AS211" i="11"/>
  <c r="AT211" i="11"/>
  <c r="AU211" i="11"/>
  <c r="AV211" i="11"/>
  <c r="AW211" i="11"/>
  <c r="AX211" i="11"/>
  <c r="AY211" i="11"/>
  <c r="AZ211" i="11"/>
  <c r="BA211" i="11"/>
  <c r="BB211" i="11"/>
  <c r="BC211" i="11"/>
  <c r="BD211" i="11"/>
  <c r="BE211" i="11"/>
  <c r="BF211" i="11"/>
  <c r="BG211" i="11"/>
  <c r="BH211" i="11"/>
  <c r="BI211" i="11"/>
  <c r="BJ211" i="11"/>
  <c r="BK211" i="11"/>
  <c r="BL211" i="11"/>
  <c r="BM211" i="11"/>
  <c r="BN211" i="11"/>
  <c r="BO211" i="11"/>
  <c r="BP211" i="11"/>
  <c r="BQ211" i="11"/>
  <c r="BR211" i="11"/>
  <c r="BS211" i="11"/>
  <c r="BT211" i="11"/>
  <c r="BU211" i="11"/>
  <c r="BV211" i="11"/>
  <c r="BW211" i="11"/>
  <c r="BZ211" i="11"/>
  <c r="CB211" i="11"/>
  <c r="CA211" i="11"/>
  <c r="CE211" i="11"/>
  <c r="C212" i="11"/>
  <c r="D212" i="11"/>
  <c r="E212" i="11"/>
  <c r="F212" i="11"/>
  <c r="G212" i="11"/>
  <c r="H212" i="11"/>
  <c r="I212" i="11"/>
  <c r="J212" i="11"/>
  <c r="K212" i="11"/>
  <c r="L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O212" i="11"/>
  <c r="AP212" i="11"/>
  <c r="AQ212" i="11"/>
  <c r="AR212" i="11"/>
  <c r="AS212" i="11"/>
  <c r="AT212" i="11"/>
  <c r="AU212" i="11"/>
  <c r="AV212" i="11"/>
  <c r="AW212" i="11"/>
  <c r="AX212" i="11"/>
  <c r="AY212" i="11"/>
  <c r="AZ212" i="11"/>
  <c r="BA212" i="11"/>
  <c r="BB212" i="11"/>
  <c r="BC212" i="11"/>
  <c r="BD212" i="11"/>
  <c r="BE212" i="11"/>
  <c r="BF212" i="11"/>
  <c r="BG212" i="11"/>
  <c r="BH212" i="11"/>
  <c r="BI212" i="11"/>
  <c r="BJ212" i="11"/>
  <c r="BK212" i="11"/>
  <c r="BL212" i="11"/>
  <c r="BM212" i="11"/>
  <c r="BN212" i="11"/>
  <c r="BO212" i="11"/>
  <c r="BP212" i="11"/>
  <c r="BQ212" i="11"/>
  <c r="BR212" i="11"/>
  <c r="BS212" i="11"/>
  <c r="BT212" i="11"/>
  <c r="BU212" i="11"/>
  <c r="BV212" i="11"/>
  <c r="BW212" i="11"/>
  <c r="BZ212" i="11"/>
  <c r="CB212" i="11"/>
  <c r="CA212" i="11"/>
  <c r="CE212" i="11"/>
  <c r="C213" i="11"/>
  <c r="D213" i="11"/>
  <c r="E213" i="11"/>
  <c r="F213" i="11"/>
  <c r="G213" i="11"/>
  <c r="H213" i="11"/>
  <c r="I213" i="11"/>
  <c r="J213" i="11"/>
  <c r="K213" i="11"/>
  <c r="L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O213" i="11"/>
  <c r="AP213" i="11"/>
  <c r="AQ213" i="11"/>
  <c r="AR213" i="11"/>
  <c r="AS213" i="11"/>
  <c r="AT213" i="11"/>
  <c r="AU213" i="11"/>
  <c r="AV213" i="11"/>
  <c r="AW213" i="11"/>
  <c r="AX213" i="11"/>
  <c r="AY213" i="11"/>
  <c r="AZ213" i="11"/>
  <c r="BA213" i="11"/>
  <c r="BB213" i="11"/>
  <c r="BC213" i="11"/>
  <c r="BD213" i="11"/>
  <c r="BE213" i="11"/>
  <c r="BF213" i="11"/>
  <c r="BG213" i="11"/>
  <c r="BH213" i="11"/>
  <c r="BI213" i="11"/>
  <c r="BJ213" i="11"/>
  <c r="BK213" i="11"/>
  <c r="BL213" i="11"/>
  <c r="BM213" i="11"/>
  <c r="BN213" i="11"/>
  <c r="BO213" i="11"/>
  <c r="BP213" i="11"/>
  <c r="BQ213" i="11"/>
  <c r="BR213" i="11"/>
  <c r="BS213" i="11"/>
  <c r="BT213" i="11"/>
  <c r="BU213" i="11"/>
  <c r="BV213" i="11"/>
  <c r="BW213" i="11"/>
  <c r="BZ213" i="11"/>
  <c r="CB213" i="11"/>
  <c r="CA213" i="11"/>
  <c r="CE213" i="11"/>
  <c r="C214" i="11"/>
  <c r="D214" i="11"/>
  <c r="E214" i="11"/>
  <c r="F214" i="11"/>
  <c r="G214" i="11"/>
  <c r="H214" i="11"/>
  <c r="I214" i="11"/>
  <c r="J214" i="11"/>
  <c r="K214" i="11"/>
  <c r="L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O214" i="11"/>
  <c r="AP214" i="11"/>
  <c r="AQ214" i="11"/>
  <c r="AR214" i="11"/>
  <c r="AS214" i="11"/>
  <c r="AT214" i="11"/>
  <c r="AU214" i="11"/>
  <c r="AV214" i="11"/>
  <c r="AW214" i="11"/>
  <c r="AX214" i="11"/>
  <c r="AY214" i="11"/>
  <c r="AZ214" i="11"/>
  <c r="BA214" i="11"/>
  <c r="BB214" i="11"/>
  <c r="BC214" i="11"/>
  <c r="BD214" i="11"/>
  <c r="BE214" i="11"/>
  <c r="BF214" i="11"/>
  <c r="BG214" i="11"/>
  <c r="BH214" i="11"/>
  <c r="BI214" i="11"/>
  <c r="BJ214" i="11"/>
  <c r="BK214" i="11"/>
  <c r="BL214" i="11"/>
  <c r="BM214" i="11"/>
  <c r="BN214" i="11"/>
  <c r="BO214" i="11"/>
  <c r="BP214" i="11"/>
  <c r="BQ214" i="11"/>
  <c r="BR214" i="11"/>
  <c r="BS214" i="11"/>
  <c r="BT214" i="11"/>
  <c r="BU214" i="11"/>
  <c r="BV214" i="11"/>
  <c r="BW214" i="11"/>
  <c r="BZ214" i="11"/>
  <c r="CB214" i="11"/>
  <c r="CA214" i="11"/>
  <c r="CE214" i="11"/>
  <c r="C215" i="11"/>
  <c r="D215" i="11"/>
  <c r="E215" i="11"/>
  <c r="F215" i="11"/>
  <c r="G215" i="11"/>
  <c r="H215" i="11"/>
  <c r="I215" i="11"/>
  <c r="J215" i="11"/>
  <c r="K215" i="11"/>
  <c r="L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O215" i="11"/>
  <c r="AP215" i="11"/>
  <c r="AQ215" i="11"/>
  <c r="AR215" i="11"/>
  <c r="AS215" i="11"/>
  <c r="AT215" i="11"/>
  <c r="AU215" i="11"/>
  <c r="AV215" i="11"/>
  <c r="AW215" i="11"/>
  <c r="AX215" i="11"/>
  <c r="AY215" i="11"/>
  <c r="AZ215" i="11"/>
  <c r="BA215" i="11"/>
  <c r="BB215" i="11"/>
  <c r="BC215" i="11"/>
  <c r="BD215" i="11"/>
  <c r="BE215" i="11"/>
  <c r="BF215" i="11"/>
  <c r="BG215" i="11"/>
  <c r="BH215" i="11"/>
  <c r="BI215" i="11"/>
  <c r="BJ215" i="11"/>
  <c r="BK215" i="11"/>
  <c r="BL215" i="11"/>
  <c r="BM215" i="11"/>
  <c r="BN215" i="11"/>
  <c r="BO215" i="11"/>
  <c r="BP215" i="11"/>
  <c r="BQ215" i="11"/>
  <c r="BR215" i="11"/>
  <c r="BS215" i="11"/>
  <c r="BT215" i="11"/>
  <c r="BU215" i="11"/>
  <c r="BV215" i="11"/>
  <c r="BW215" i="11"/>
  <c r="BZ215" i="11"/>
  <c r="CB215" i="11"/>
  <c r="CA215" i="11"/>
  <c r="CE215" i="11"/>
  <c r="C216" i="11"/>
  <c r="D216" i="11"/>
  <c r="E216" i="11"/>
  <c r="F216" i="11"/>
  <c r="G216" i="11"/>
  <c r="H216" i="11"/>
  <c r="I216" i="11"/>
  <c r="J216" i="11"/>
  <c r="K216" i="11"/>
  <c r="L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O216" i="11"/>
  <c r="AP216" i="11"/>
  <c r="AQ216" i="11"/>
  <c r="AR216" i="11"/>
  <c r="AS216" i="11"/>
  <c r="AT216" i="11"/>
  <c r="AU216" i="11"/>
  <c r="AV216" i="11"/>
  <c r="AW216" i="11"/>
  <c r="AX216" i="11"/>
  <c r="AY216" i="11"/>
  <c r="AZ216" i="11"/>
  <c r="BA216" i="11"/>
  <c r="BB216" i="11"/>
  <c r="BC216" i="11"/>
  <c r="BD216" i="11"/>
  <c r="BE216" i="11"/>
  <c r="BF216" i="11"/>
  <c r="BG216" i="11"/>
  <c r="BH216" i="11"/>
  <c r="BI216" i="11"/>
  <c r="BJ216" i="11"/>
  <c r="BK216" i="11"/>
  <c r="BL216" i="11"/>
  <c r="BM216" i="11"/>
  <c r="BN216" i="11"/>
  <c r="BO216" i="11"/>
  <c r="BP216" i="11"/>
  <c r="BQ216" i="11"/>
  <c r="BR216" i="11"/>
  <c r="BS216" i="11"/>
  <c r="BT216" i="11"/>
  <c r="BU216" i="11"/>
  <c r="BV216" i="11"/>
  <c r="BW216" i="11"/>
  <c r="BZ216" i="11"/>
  <c r="CB216" i="11"/>
  <c r="CA216" i="11"/>
  <c r="CE216" i="11"/>
  <c r="C217" i="11"/>
  <c r="D217" i="11"/>
  <c r="E217" i="11"/>
  <c r="F217" i="11"/>
  <c r="G217" i="11"/>
  <c r="H217" i="11"/>
  <c r="I217" i="11"/>
  <c r="J217" i="11"/>
  <c r="K217" i="11"/>
  <c r="L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O217" i="11"/>
  <c r="AP217" i="11"/>
  <c r="AQ217" i="11"/>
  <c r="AR217" i="11"/>
  <c r="AS217" i="11"/>
  <c r="AT217" i="11"/>
  <c r="AU217" i="11"/>
  <c r="AV217" i="11"/>
  <c r="AW217" i="11"/>
  <c r="AX217" i="11"/>
  <c r="AY217" i="11"/>
  <c r="AZ217" i="11"/>
  <c r="BA217" i="11"/>
  <c r="BB217" i="11"/>
  <c r="BC217" i="11"/>
  <c r="BD217" i="11"/>
  <c r="BE217" i="11"/>
  <c r="BF217" i="11"/>
  <c r="BG217" i="11"/>
  <c r="BH217" i="11"/>
  <c r="BI217" i="11"/>
  <c r="BJ217" i="11"/>
  <c r="BK217" i="11"/>
  <c r="BL217" i="11"/>
  <c r="BM217" i="11"/>
  <c r="BN217" i="11"/>
  <c r="BO217" i="11"/>
  <c r="BP217" i="11"/>
  <c r="BQ217" i="11"/>
  <c r="BR217" i="11"/>
  <c r="BS217" i="11"/>
  <c r="BT217" i="11"/>
  <c r="BU217" i="11"/>
  <c r="BV217" i="11"/>
  <c r="BW217" i="11"/>
  <c r="BZ217" i="11"/>
  <c r="CB217" i="11"/>
  <c r="CA217" i="11"/>
  <c r="CE217" i="11"/>
  <c r="C218" i="11"/>
  <c r="D218" i="11"/>
  <c r="E218" i="11"/>
  <c r="F218" i="11"/>
  <c r="G218" i="11"/>
  <c r="H218" i="11"/>
  <c r="I218" i="11"/>
  <c r="J218" i="11"/>
  <c r="K218" i="11"/>
  <c r="L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O218" i="11"/>
  <c r="AP218" i="11"/>
  <c r="AQ218" i="11"/>
  <c r="AR218" i="11"/>
  <c r="AS218" i="11"/>
  <c r="AT218" i="11"/>
  <c r="AU218" i="11"/>
  <c r="AV218" i="11"/>
  <c r="AW218" i="11"/>
  <c r="AX218" i="11"/>
  <c r="AY218" i="11"/>
  <c r="AZ218" i="11"/>
  <c r="BA218" i="11"/>
  <c r="BB218" i="11"/>
  <c r="BC218" i="11"/>
  <c r="BD218" i="11"/>
  <c r="BE218" i="11"/>
  <c r="BF218" i="11"/>
  <c r="BG218" i="11"/>
  <c r="BH218" i="11"/>
  <c r="BI218" i="11"/>
  <c r="BJ218" i="11"/>
  <c r="BK218" i="11"/>
  <c r="BL218" i="11"/>
  <c r="BM218" i="11"/>
  <c r="BN218" i="11"/>
  <c r="BO218" i="11"/>
  <c r="BP218" i="11"/>
  <c r="BQ218" i="11"/>
  <c r="BR218" i="11"/>
  <c r="BS218" i="11"/>
  <c r="BT218" i="11"/>
  <c r="BU218" i="11"/>
  <c r="BV218" i="11"/>
  <c r="BW218" i="11"/>
  <c r="BZ218" i="11"/>
  <c r="CB218" i="11"/>
  <c r="CA218" i="11"/>
  <c r="CE218" i="11"/>
  <c r="C219" i="11"/>
  <c r="D219" i="11"/>
  <c r="E219" i="11"/>
  <c r="F219" i="11"/>
  <c r="G219" i="11"/>
  <c r="H219" i="11"/>
  <c r="I219" i="11"/>
  <c r="J219" i="11"/>
  <c r="K219" i="11"/>
  <c r="L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O219" i="11"/>
  <c r="AP219" i="11"/>
  <c r="AQ219" i="11"/>
  <c r="AR219" i="11"/>
  <c r="AS219" i="11"/>
  <c r="AT219" i="11"/>
  <c r="AU219" i="11"/>
  <c r="AV219" i="11"/>
  <c r="AW219" i="11"/>
  <c r="AX219" i="11"/>
  <c r="AY219" i="11"/>
  <c r="AZ219" i="11"/>
  <c r="BA219" i="11"/>
  <c r="BB219" i="11"/>
  <c r="BC219" i="11"/>
  <c r="BD219" i="11"/>
  <c r="BE219" i="11"/>
  <c r="BF219" i="11"/>
  <c r="BG219" i="11"/>
  <c r="BH219" i="11"/>
  <c r="BI219" i="11"/>
  <c r="BJ219" i="11"/>
  <c r="BK219" i="11"/>
  <c r="BL219" i="11"/>
  <c r="BM219" i="11"/>
  <c r="BN219" i="11"/>
  <c r="BO219" i="11"/>
  <c r="BP219" i="11"/>
  <c r="BQ219" i="11"/>
  <c r="BR219" i="11"/>
  <c r="BS219" i="11"/>
  <c r="BT219" i="11"/>
  <c r="BU219" i="11"/>
  <c r="BV219" i="11"/>
  <c r="BW219" i="11"/>
  <c r="BZ219" i="11"/>
  <c r="CB219" i="11"/>
  <c r="CA219" i="11"/>
  <c r="CE219" i="11"/>
  <c r="C220" i="11"/>
  <c r="D220" i="11"/>
  <c r="E220" i="11"/>
  <c r="F220" i="11"/>
  <c r="G220" i="11"/>
  <c r="H220" i="11"/>
  <c r="I220" i="11"/>
  <c r="J220" i="11"/>
  <c r="K220" i="11"/>
  <c r="L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O220" i="11"/>
  <c r="AP220" i="11"/>
  <c r="AQ220" i="11"/>
  <c r="AR220" i="11"/>
  <c r="AS220" i="11"/>
  <c r="AT220" i="11"/>
  <c r="AU220" i="11"/>
  <c r="AV220" i="11"/>
  <c r="AW220" i="11"/>
  <c r="AX220" i="11"/>
  <c r="AY220" i="11"/>
  <c r="AZ220" i="11"/>
  <c r="BA220" i="11"/>
  <c r="BB220" i="11"/>
  <c r="BC220" i="11"/>
  <c r="BD220" i="11"/>
  <c r="BE220" i="11"/>
  <c r="BF220" i="11"/>
  <c r="BG220" i="11"/>
  <c r="BH220" i="11"/>
  <c r="BI220" i="11"/>
  <c r="BJ220" i="11"/>
  <c r="BK220" i="11"/>
  <c r="BL220" i="11"/>
  <c r="BM220" i="11"/>
  <c r="BN220" i="11"/>
  <c r="BO220" i="11"/>
  <c r="BP220" i="11"/>
  <c r="BQ220" i="11"/>
  <c r="BR220" i="11"/>
  <c r="BS220" i="11"/>
  <c r="BT220" i="11"/>
  <c r="BU220" i="11"/>
  <c r="BV220" i="11"/>
  <c r="BW220" i="11"/>
  <c r="BZ220" i="11"/>
  <c r="CB220" i="11"/>
  <c r="CA220" i="11"/>
  <c r="CE220" i="11"/>
  <c r="C221" i="11"/>
  <c r="D221" i="11"/>
  <c r="E221" i="11"/>
  <c r="F221" i="11"/>
  <c r="G221" i="11"/>
  <c r="H221" i="11"/>
  <c r="I221" i="11"/>
  <c r="J221" i="11"/>
  <c r="K221" i="11"/>
  <c r="L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O221" i="11"/>
  <c r="AP221" i="11"/>
  <c r="AQ221" i="11"/>
  <c r="AR221" i="11"/>
  <c r="AS221" i="11"/>
  <c r="AT221" i="11"/>
  <c r="AU221" i="11"/>
  <c r="AV221" i="11"/>
  <c r="AW221" i="11"/>
  <c r="AX221" i="11"/>
  <c r="AY221" i="11"/>
  <c r="AZ221" i="11"/>
  <c r="BA221" i="11"/>
  <c r="BB221" i="11"/>
  <c r="BC221" i="11"/>
  <c r="BD221" i="11"/>
  <c r="BE221" i="11"/>
  <c r="BF221" i="11"/>
  <c r="BG221" i="11"/>
  <c r="BH221" i="11"/>
  <c r="BI221" i="11"/>
  <c r="BJ221" i="11"/>
  <c r="BK221" i="11"/>
  <c r="BL221" i="11"/>
  <c r="BM221" i="11"/>
  <c r="BN221" i="11"/>
  <c r="BO221" i="11"/>
  <c r="BP221" i="11"/>
  <c r="BQ221" i="11"/>
  <c r="BR221" i="11"/>
  <c r="BS221" i="11"/>
  <c r="BT221" i="11"/>
  <c r="BU221" i="11"/>
  <c r="BV221" i="11"/>
  <c r="BW221" i="11"/>
  <c r="BZ221" i="11"/>
  <c r="CB221" i="11"/>
  <c r="CA221" i="11"/>
  <c r="CE221" i="11"/>
  <c r="C222" i="11"/>
  <c r="D222" i="11"/>
  <c r="E222" i="11"/>
  <c r="F222" i="11"/>
  <c r="G222" i="11"/>
  <c r="H222" i="11"/>
  <c r="I222" i="11"/>
  <c r="J222" i="11"/>
  <c r="K222" i="11"/>
  <c r="L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O222" i="11"/>
  <c r="AP222" i="11"/>
  <c r="AQ222" i="11"/>
  <c r="AR222" i="11"/>
  <c r="AS222" i="11"/>
  <c r="AT222" i="11"/>
  <c r="AU222" i="11"/>
  <c r="AV222" i="11"/>
  <c r="AW222" i="11"/>
  <c r="AX222" i="11"/>
  <c r="AY222" i="11"/>
  <c r="AZ222" i="11"/>
  <c r="BA222" i="11"/>
  <c r="BB222" i="11"/>
  <c r="BC222" i="11"/>
  <c r="BD222" i="11"/>
  <c r="BE222" i="11"/>
  <c r="BF222" i="11"/>
  <c r="BG222" i="11"/>
  <c r="BH222" i="11"/>
  <c r="BI222" i="11"/>
  <c r="BJ222" i="11"/>
  <c r="BK222" i="11"/>
  <c r="BL222" i="11"/>
  <c r="BM222" i="11"/>
  <c r="BN222" i="11"/>
  <c r="BO222" i="11"/>
  <c r="BP222" i="11"/>
  <c r="BQ222" i="11"/>
  <c r="BR222" i="11"/>
  <c r="BS222" i="11"/>
  <c r="BT222" i="11"/>
  <c r="BU222" i="11"/>
  <c r="BV222" i="11"/>
  <c r="BW222" i="11"/>
  <c r="BZ222" i="11"/>
  <c r="CB222" i="11"/>
  <c r="CA222" i="11"/>
  <c r="CE222" i="11"/>
  <c r="C223" i="11"/>
  <c r="D223" i="11"/>
  <c r="E223" i="11"/>
  <c r="F223" i="11"/>
  <c r="G223" i="11"/>
  <c r="H223" i="11"/>
  <c r="I223" i="11"/>
  <c r="J223" i="11"/>
  <c r="K223" i="11"/>
  <c r="L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O223" i="11"/>
  <c r="AP223" i="11"/>
  <c r="AQ223" i="11"/>
  <c r="AR223" i="11"/>
  <c r="AS223" i="11"/>
  <c r="AT223" i="11"/>
  <c r="AU223" i="11"/>
  <c r="AV223" i="11"/>
  <c r="AW223" i="11"/>
  <c r="AX223" i="11"/>
  <c r="AY223" i="11"/>
  <c r="AZ223" i="11"/>
  <c r="BA223" i="11"/>
  <c r="BB223" i="11"/>
  <c r="BC223" i="11"/>
  <c r="BD223" i="11"/>
  <c r="BE223" i="11"/>
  <c r="BF223" i="11"/>
  <c r="BG223" i="11"/>
  <c r="BH223" i="11"/>
  <c r="BI223" i="11"/>
  <c r="BJ223" i="11"/>
  <c r="BK223" i="11"/>
  <c r="BL223" i="11"/>
  <c r="BM223" i="11"/>
  <c r="BN223" i="11"/>
  <c r="BO223" i="11"/>
  <c r="BP223" i="11"/>
  <c r="BQ223" i="11"/>
  <c r="BR223" i="11"/>
  <c r="BS223" i="11"/>
  <c r="BT223" i="11"/>
  <c r="BU223" i="11"/>
  <c r="BV223" i="11"/>
  <c r="BW223" i="11"/>
  <c r="BZ223" i="11"/>
  <c r="CB223" i="11"/>
  <c r="CA223" i="11"/>
  <c r="CE223" i="11"/>
  <c r="C224" i="11"/>
  <c r="D224" i="11"/>
  <c r="E224" i="11"/>
  <c r="F224" i="11"/>
  <c r="G224" i="11"/>
  <c r="H224" i="11"/>
  <c r="I224" i="11"/>
  <c r="J224" i="11"/>
  <c r="K224" i="11"/>
  <c r="L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O224" i="11"/>
  <c r="AP224" i="11"/>
  <c r="AQ224" i="11"/>
  <c r="AR224" i="11"/>
  <c r="AS224" i="11"/>
  <c r="AT224" i="11"/>
  <c r="AU224" i="11"/>
  <c r="AV224" i="11"/>
  <c r="AW224" i="11"/>
  <c r="AX224" i="11"/>
  <c r="AY224" i="11"/>
  <c r="AZ224" i="11"/>
  <c r="BA224" i="11"/>
  <c r="BB224" i="11"/>
  <c r="BC224" i="11"/>
  <c r="BD224" i="11"/>
  <c r="BE224" i="11"/>
  <c r="BF224" i="11"/>
  <c r="BG224" i="11"/>
  <c r="BH224" i="11"/>
  <c r="BI224" i="11"/>
  <c r="BJ224" i="11"/>
  <c r="BK224" i="11"/>
  <c r="BL224" i="11"/>
  <c r="BM224" i="11"/>
  <c r="BN224" i="11"/>
  <c r="BO224" i="11"/>
  <c r="BP224" i="11"/>
  <c r="BQ224" i="11"/>
  <c r="BR224" i="11"/>
  <c r="BS224" i="11"/>
  <c r="BT224" i="11"/>
  <c r="BU224" i="11"/>
  <c r="BV224" i="11"/>
  <c r="BW224" i="11"/>
  <c r="BZ224" i="11"/>
  <c r="CB224" i="11"/>
  <c r="CA224" i="11"/>
  <c r="CE224" i="11"/>
  <c r="C225" i="11"/>
  <c r="D225" i="11"/>
  <c r="E225" i="11"/>
  <c r="F225" i="11"/>
  <c r="G225" i="11"/>
  <c r="H225" i="11"/>
  <c r="I225" i="11"/>
  <c r="J225" i="11"/>
  <c r="K225" i="11"/>
  <c r="L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O225" i="11"/>
  <c r="AP225" i="11"/>
  <c r="AQ225" i="11"/>
  <c r="AR225" i="11"/>
  <c r="AS225" i="11"/>
  <c r="AT225" i="11"/>
  <c r="AU225" i="11"/>
  <c r="AV225" i="11"/>
  <c r="AW225" i="11"/>
  <c r="AX225" i="11"/>
  <c r="AY225" i="11"/>
  <c r="AZ225" i="11"/>
  <c r="BA225" i="11"/>
  <c r="BB225" i="11"/>
  <c r="BC225" i="11"/>
  <c r="BD225" i="11"/>
  <c r="BE225" i="11"/>
  <c r="BF225" i="11"/>
  <c r="BG225" i="11"/>
  <c r="BH225" i="11"/>
  <c r="BI225" i="11"/>
  <c r="BJ225" i="11"/>
  <c r="BK225" i="11"/>
  <c r="BL225" i="11"/>
  <c r="BM225" i="11"/>
  <c r="BN225" i="11"/>
  <c r="BO225" i="11"/>
  <c r="BP225" i="11"/>
  <c r="BQ225" i="11"/>
  <c r="BR225" i="11"/>
  <c r="BS225" i="11"/>
  <c r="BT225" i="11"/>
  <c r="BU225" i="11"/>
  <c r="BV225" i="11"/>
  <c r="BW225" i="11"/>
  <c r="BZ225" i="11"/>
  <c r="CB225" i="11"/>
  <c r="CA225" i="11"/>
  <c r="CE225" i="11"/>
  <c r="C226" i="11"/>
  <c r="D226" i="11"/>
  <c r="E226" i="11"/>
  <c r="F226" i="11"/>
  <c r="G226" i="11"/>
  <c r="H226" i="11"/>
  <c r="I226" i="11"/>
  <c r="J226" i="11"/>
  <c r="K226" i="11"/>
  <c r="L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O226" i="11"/>
  <c r="AP226" i="11"/>
  <c r="AQ226" i="11"/>
  <c r="AR226" i="11"/>
  <c r="AS226" i="11"/>
  <c r="AT226" i="11"/>
  <c r="AU226" i="11"/>
  <c r="AV226" i="11"/>
  <c r="AW226" i="11"/>
  <c r="AX226" i="11"/>
  <c r="AY226" i="11"/>
  <c r="AZ226" i="11"/>
  <c r="BA226" i="11"/>
  <c r="BB226" i="11"/>
  <c r="BC226" i="11"/>
  <c r="BD226" i="11"/>
  <c r="BE226" i="11"/>
  <c r="BF226" i="11"/>
  <c r="BG226" i="11"/>
  <c r="BH226" i="11"/>
  <c r="BI226" i="11"/>
  <c r="BJ226" i="11"/>
  <c r="BK226" i="11"/>
  <c r="BL226" i="11"/>
  <c r="BM226" i="11"/>
  <c r="BN226" i="11"/>
  <c r="BO226" i="11"/>
  <c r="BP226" i="11"/>
  <c r="BQ226" i="11"/>
  <c r="BR226" i="11"/>
  <c r="BS226" i="11"/>
  <c r="BT226" i="11"/>
  <c r="BU226" i="11"/>
  <c r="BV226" i="11"/>
  <c r="BW226" i="11"/>
  <c r="BZ226" i="11"/>
  <c r="CB226" i="11"/>
  <c r="CA226" i="11"/>
  <c r="CE226" i="11"/>
  <c r="C227" i="11"/>
  <c r="D227" i="11"/>
  <c r="E227" i="11"/>
  <c r="F227" i="11"/>
  <c r="G227" i="11"/>
  <c r="H227" i="11"/>
  <c r="I227" i="11"/>
  <c r="J227" i="11"/>
  <c r="K227" i="11"/>
  <c r="L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O227" i="11"/>
  <c r="AP227" i="11"/>
  <c r="AQ227" i="11"/>
  <c r="AR227" i="11"/>
  <c r="AS227" i="11"/>
  <c r="AT227" i="11"/>
  <c r="AU227" i="11"/>
  <c r="AV227" i="11"/>
  <c r="AW227" i="11"/>
  <c r="AX227" i="11"/>
  <c r="AY227" i="11"/>
  <c r="AZ227" i="11"/>
  <c r="BA227" i="11"/>
  <c r="BB227" i="11"/>
  <c r="BC227" i="11"/>
  <c r="BD227" i="11"/>
  <c r="BE227" i="11"/>
  <c r="BF227" i="11"/>
  <c r="BG227" i="11"/>
  <c r="BH227" i="11"/>
  <c r="BI227" i="11"/>
  <c r="BJ227" i="11"/>
  <c r="BK227" i="11"/>
  <c r="BL227" i="11"/>
  <c r="BM227" i="11"/>
  <c r="BN227" i="11"/>
  <c r="BO227" i="11"/>
  <c r="BP227" i="11"/>
  <c r="BQ227" i="11"/>
  <c r="BR227" i="11"/>
  <c r="BS227" i="11"/>
  <c r="BT227" i="11"/>
  <c r="BU227" i="11"/>
  <c r="BV227" i="11"/>
  <c r="BW227" i="11"/>
  <c r="BZ227" i="11"/>
  <c r="CB227" i="11"/>
  <c r="CA227" i="11"/>
  <c r="CE227" i="11"/>
  <c r="C228" i="11"/>
  <c r="D228" i="11"/>
  <c r="E228" i="11"/>
  <c r="F228" i="11"/>
  <c r="G228" i="11"/>
  <c r="H228" i="11"/>
  <c r="I228" i="11"/>
  <c r="J228" i="11"/>
  <c r="K228" i="11"/>
  <c r="L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O228" i="11"/>
  <c r="AP228" i="11"/>
  <c r="AQ228" i="11"/>
  <c r="AR228" i="11"/>
  <c r="AS228" i="11"/>
  <c r="AT228" i="11"/>
  <c r="AU228" i="11"/>
  <c r="AV228" i="11"/>
  <c r="AW228" i="11"/>
  <c r="AX228" i="11"/>
  <c r="AY228" i="11"/>
  <c r="AZ228" i="11"/>
  <c r="BA228" i="11"/>
  <c r="BB228" i="11"/>
  <c r="BC228" i="11"/>
  <c r="BD228" i="11"/>
  <c r="BE228" i="11"/>
  <c r="BF228" i="11"/>
  <c r="BG228" i="11"/>
  <c r="BH228" i="11"/>
  <c r="BI228" i="11"/>
  <c r="BJ228" i="11"/>
  <c r="BK228" i="11"/>
  <c r="BL228" i="11"/>
  <c r="BM228" i="11"/>
  <c r="BN228" i="11"/>
  <c r="BO228" i="11"/>
  <c r="BP228" i="11"/>
  <c r="BQ228" i="11"/>
  <c r="BR228" i="11"/>
  <c r="BS228" i="11"/>
  <c r="BT228" i="11"/>
  <c r="BU228" i="11"/>
  <c r="BV228" i="11"/>
  <c r="BW228" i="11"/>
  <c r="BZ228" i="11"/>
  <c r="CB228" i="11"/>
  <c r="CA228" i="11"/>
  <c r="CE228" i="11"/>
  <c r="C229" i="11"/>
  <c r="D229" i="11"/>
  <c r="E229" i="11"/>
  <c r="F229" i="11"/>
  <c r="G229" i="11"/>
  <c r="H229" i="11"/>
  <c r="I229" i="11"/>
  <c r="J229" i="11"/>
  <c r="K229" i="11"/>
  <c r="L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O229" i="11"/>
  <c r="AP229" i="11"/>
  <c r="AQ229" i="11"/>
  <c r="AR229" i="11"/>
  <c r="AS229" i="11"/>
  <c r="AT229" i="11"/>
  <c r="AU229" i="11"/>
  <c r="AV229" i="11"/>
  <c r="AW229" i="11"/>
  <c r="AX229" i="11"/>
  <c r="AY229" i="11"/>
  <c r="AZ229" i="11"/>
  <c r="BA229" i="11"/>
  <c r="BB229" i="11"/>
  <c r="BC229" i="11"/>
  <c r="BD229" i="11"/>
  <c r="BE229" i="11"/>
  <c r="BF229" i="11"/>
  <c r="BG229" i="11"/>
  <c r="BH229" i="11"/>
  <c r="BI229" i="11"/>
  <c r="BJ229" i="11"/>
  <c r="BK229" i="11"/>
  <c r="BL229" i="11"/>
  <c r="BM229" i="11"/>
  <c r="BN229" i="11"/>
  <c r="BO229" i="11"/>
  <c r="BP229" i="11"/>
  <c r="BQ229" i="11"/>
  <c r="BR229" i="11"/>
  <c r="BS229" i="11"/>
  <c r="BT229" i="11"/>
  <c r="BU229" i="11"/>
  <c r="BV229" i="11"/>
  <c r="BW229" i="11"/>
  <c r="BZ229" i="11"/>
  <c r="CB229" i="11"/>
  <c r="CA229" i="11"/>
  <c r="CE229" i="11"/>
  <c r="C230" i="11"/>
  <c r="D230" i="11"/>
  <c r="E230" i="11"/>
  <c r="F230" i="11"/>
  <c r="G230" i="11"/>
  <c r="H230" i="11"/>
  <c r="I230" i="11"/>
  <c r="J230" i="11"/>
  <c r="K230" i="11"/>
  <c r="L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O230" i="11"/>
  <c r="AP230" i="11"/>
  <c r="AQ230" i="11"/>
  <c r="AR230" i="11"/>
  <c r="AS230" i="11"/>
  <c r="AT230" i="11"/>
  <c r="AU230" i="11"/>
  <c r="AV230" i="11"/>
  <c r="AW230" i="11"/>
  <c r="AX230" i="11"/>
  <c r="AY230" i="11"/>
  <c r="AZ230" i="11"/>
  <c r="BA230" i="11"/>
  <c r="BB230" i="11"/>
  <c r="BC230" i="11"/>
  <c r="BD230" i="11"/>
  <c r="BE230" i="11"/>
  <c r="BF230" i="11"/>
  <c r="BG230" i="11"/>
  <c r="BH230" i="11"/>
  <c r="BI230" i="11"/>
  <c r="BJ230" i="11"/>
  <c r="BK230" i="11"/>
  <c r="BL230" i="11"/>
  <c r="BM230" i="11"/>
  <c r="BN230" i="11"/>
  <c r="BO230" i="11"/>
  <c r="BP230" i="11"/>
  <c r="BQ230" i="11"/>
  <c r="BR230" i="11"/>
  <c r="BS230" i="11"/>
  <c r="BT230" i="11"/>
  <c r="BU230" i="11"/>
  <c r="BV230" i="11"/>
  <c r="BW230" i="11"/>
  <c r="BZ230" i="11"/>
  <c r="CB230" i="11"/>
  <c r="CA230" i="11"/>
  <c r="CE230" i="11"/>
  <c r="C231" i="11"/>
  <c r="D231" i="11"/>
  <c r="E231" i="11"/>
  <c r="F231" i="11"/>
  <c r="G231" i="11"/>
  <c r="H231" i="11"/>
  <c r="I231" i="11"/>
  <c r="J231" i="11"/>
  <c r="K231" i="11"/>
  <c r="L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O231" i="11"/>
  <c r="AP231" i="11"/>
  <c r="AQ231" i="11"/>
  <c r="AR231" i="11"/>
  <c r="AS231" i="11"/>
  <c r="AT231" i="11"/>
  <c r="AU231" i="11"/>
  <c r="AV231" i="11"/>
  <c r="AW231" i="11"/>
  <c r="AX231" i="11"/>
  <c r="AY231" i="11"/>
  <c r="AZ231" i="11"/>
  <c r="BA231" i="11"/>
  <c r="BB231" i="11"/>
  <c r="BC231" i="11"/>
  <c r="BD231" i="11"/>
  <c r="BE231" i="11"/>
  <c r="BF231" i="11"/>
  <c r="BG231" i="11"/>
  <c r="BH231" i="11"/>
  <c r="BI231" i="11"/>
  <c r="BJ231" i="11"/>
  <c r="BK231" i="11"/>
  <c r="BL231" i="11"/>
  <c r="BM231" i="11"/>
  <c r="BN231" i="11"/>
  <c r="BO231" i="11"/>
  <c r="BP231" i="11"/>
  <c r="BQ231" i="11"/>
  <c r="BR231" i="11"/>
  <c r="BS231" i="11"/>
  <c r="BT231" i="11"/>
  <c r="BU231" i="11"/>
  <c r="BV231" i="11"/>
  <c r="BW231" i="11"/>
  <c r="BZ231" i="11"/>
  <c r="CB231" i="11"/>
  <c r="CA231" i="11"/>
  <c r="CE231" i="11"/>
  <c r="C232" i="11"/>
  <c r="D232" i="11"/>
  <c r="E232" i="11"/>
  <c r="F232" i="11"/>
  <c r="G232" i="11"/>
  <c r="H232" i="11"/>
  <c r="I232" i="11"/>
  <c r="J232" i="11"/>
  <c r="K232" i="11"/>
  <c r="L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O232" i="11"/>
  <c r="AP232" i="11"/>
  <c r="AQ232" i="11"/>
  <c r="AR232" i="11"/>
  <c r="AS232" i="11"/>
  <c r="AT232" i="11"/>
  <c r="AU232" i="11"/>
  <c r="AV232" i="11"/>
  <c r="AW232" i="11"/>
  <c r="AX232" i="11"/>
  <c r="AY232" i="11"/>
  <c r="AZ232" i="11"/>
  <c r="BA232" i="11"/>
  <c r="BB232" i="11"/>
  <c r="BC232" i="11"/>
  <c r="BD232" i="11"/>
  <c r="BE232" i="11"/>
  <c r="BF232" i="11"/>
  <c r="BG232" i="11"/>
  <c r="BH232" i="11"/>
  <c r="BI232" i="11"/>
  <c r="BJ232" i="11"/>
  <c r="BK232" i="11"/>
  <c r="BL232" i="11"/>
  <c r="BM232" i="11"/>
  <c r="BN232" i="11"/>
  <c r="BO232" i="11"/>
  <c r="BP232" i="11"/>
  <c r="BQ232" i="11"/>
  <c r="BR232" i="11"/>
  <c r="BS232" i="11"/>
  <c r="BT232" i="11"/>
  <c r="BU232" i="11"/>
  <c r="BV232" i="11"/>
  <c r="BW232" i="11"/>
  <c r="BZ232" i="11"/>
  <c r="CB232" i="11"/>
  <c r="CA232" i="11"/>
  <c r="CE232" i="11"/>
  <c r="C233" i="11"/>
  <c r="D233" i="11"/>
  <c r="E233" i="11"/>
  <c r="F233" i="11"/>
  <c r="G233" i="11"/>
  <c r="H233" i="11"/>
  <c r="I233" i="11"/>
  <c r="J233" i="11"/>
  <c r="K233" i="11"/>
  <c r="L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O233" i="11"/>
  <c r="AP233" i="11"/>
  <c r="AQ233" i="11"/>
  <c r="AR233" i="11"/>
  <c r="AS233" i="11"/>
  <c r="AT233" i="11"/>
  <c r="AU233" i="11"/>
  <c r="AV233" i="11"/>
  <c r="AW233" i="11"/>
  <c r="AX233" i="11"/>
  <c r="AY233" i="11"/>
  <c r="AZ233" i="11"/>
  <c r="BA233" i="11"/>
  <c r="BB233" i="11"/>
  <c r="BC233" i="11"/>
  <c r="BD233" i="11"/>
  <c r="BE233" i="11"/>
  <c r="BF233" i="11"/>
  <c r="BG233" i="11"/>
  <c r="BH233" i="11"/>
  <c r="BI233" i="11"/>
  <c r="BJ233" i="11"/>
  <c r="BK233" i="11"/>
  <c r="BL233" i="11"/>
  <c r="BM233" i="11"/>
  <c r="BN233" i="11"/>
  <c r="BO233" i="11"/>
  <c r="BP233" i="11"/>
  <c r="BQ233" i="11"/>
  <c r="BR233" i="11"/>
  <c r="BS233" i="11"/>
  <c r="BT233" i="11"/>
  <c r="BU233" i="11"/>
  <c r="BV233" i="11"/>
  <c r="BW233" i="11"/>
  <c r="BZ233" i="11"/>
  <c r="CB233" i="11"/>
  <c r="CA233" i="11"/>
  <c r="CE233" i="11"/>
  <c r="C234" i="11"/>
  <c r="D234" i="11"/>
  <c r="E234" i="11"/>
  <c r="F234" i="11"/>
  <c r="G234" i="11"/>
  <c r="H234" i="11"/>
  <c r="I234" i="11"/>
  <c r="J234" i="11"/>
  <c r="K234" i="11"/>
  <c r="L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O234" i="11"/>
  <c r="AP234" i="11"/>
  <c r="AQ234" i="11"/>
  <c r="AR234" i="11"/>
  <c r="AS234" i="11"/>
  <c r="AT234" i="11"/>
  <c r="AU234" i="11"/>
  <c r="AV234" i="11"/>
  <c r="AW234" i="11"/>
  <c r="AX234" i="11"/>
  <c r="AY234" i="11"/>
  <c r="AZ234" i="11"/>
  <c r="BA234" i="11"/>
  <c r="BB234" i="11"/>
  <c r="BC234" i="11"/>
  <c r="BD234" i="11"/>
  <c r="BE234" i="11"/>
  <c r="BF234" i="11"/>
  <c r="BG234" i="11"/>
  <c r="BH234" i="11"/>
  <c r="BI234" i="11"/>
  <c r="BJ234" i="11"/>
  <c r="BK234" i="11"/>
  <c r="BL234" i="11"/>
  <c r="BM234" i="11"/>
  <c r="BN234" i="11"/>
  <c r="BO234" i="11"/>
  <c r="BP234" i="11"/>
  <c r="BQ234" i="11"/>
  <c r="BR234" i="11"/>
  <c r="BS234" i="11"/>
  <c r="BT234" i="11"/>
  <c r="BU234" i="11"/>
  <c r="BV234" i="11"/>
  <c r="BW234" i="11"/>
  <c r="BZ234" i="11"/>
  <c r="CB234" i="11"/>
  <c r="CA234" i="11"/>
  <c r="CE234" i="11"/>
  <c r="C235" i="11"/>
  <c r="D235" i="11"/>
  <c r="E235" i="11"/>
  <c r="F235" i="11"/>
  <c r="G235" i="11"/>
  <c r="H235" i="11"/>
  <c r="I235" i="11"/>
  <c r="J235" i="11"/>
  <c r="K235" i="11"/>
  <c r="L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O235" i="11"/>
  <c r="AP235" i="11"/>
  <c r="AQ235" i="11"/>
  <c r="AR235" i="11"/>
  <c r="AS235" i="11"/>
  <c r="AT235" i="11"/>
  <c r="AU235" i="11"/>
  <c r="AV235" i="11"/>
  <c r="AW235" i="11"/>
  <c r="AX235" i="11"/>
  <c r="AY235" i="11"/>
  <c r="AZ235" i="11"/>
  <c r="BA235" i="11"/>
  <c r="BB235" i="11"/>
  <c r="BC235" i="11"/>
  <c r="BD235" i="11"/>
  <c r="BE235" i="11"/>
  <c r="BF235" i="11"/>
  <c r="BG235" i="11"/>
  <c r="BH235" i="11"/>
  <c r="BI235" i="11"/>
  <c r="BJ235" i="11"/>
  <c r="BK235" i="11"/>
  <c r="BL235" i="11"/>
  <c r="BM235" i="11"/>
  <c r="BN235" i="11"/>
  <c r="BO235" i="11"/>
  <c r="BP235" i="11"/>
  <c r="BQ235" i="11"/>
  <c r="BR235" i="11"/>
  <c r="BS235" i="11"/>
  <c r="BT235" i="11"/>
  <c r="BU235" i="11"/>
  <c r="BV235" i="11"/>
  <c r="BW235" i="11"/>
  <c r="BZ235" i="11"/>
  <c r="CB235" i="11"/>
  <c r="CA235" i="11"/>
  <c r="CE235" i="11"/>
  <c r="C236" i="11"/>
  <c r="D236" i="11"/>
  <c r="E236" i="11"/>
  <c r="F236" i="11"/>
  <c r="G236" i="11"/>
  <c r="H236" i="11"/>
  <c r="I236" i="11"/>
  <c r="J236" i="11"/>
  <c r="K236" i="11"/>
  <c r="L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O236" i="11"/>
  <c r="AP236" i="11"/>
  <c r="AQ236" i="11"/>
  <c r="AR236" i="11"/>
  <c r="AS236" i="11"/>
  <c r="AT236" i="11"/>
  <c r="AU236" i="11"/>
  <c r="AV236" i="11"/>
  <c r="AW236" i="11"/>
  <c r="AX236" i="11"/>
  <c r="AY236" i="11"/>
  <c r="AZ236" i="11"/>
  <c r="BA236" i="11"/>
  <c r="BB236" i="11"/>
  <c r="BC236" i="11"/>
  <c r="BD236" i="11"/>
  <c r="BE236" i="11"/>
  <c r="BF236" i="11"/>
  <c r="BG236" i="11"/>
  <c r="BH236" i="11"/>
  <c r="BI236" i="11"/>
  <c r="BJ236" i="11"/>
  <c r="BK236" i="11"/>
  <c r="BL236" i="11"/>
  <c r="BM236" i="11"/>
  <c r="BN236" i="11"/>
  <c r="BO236" i="11"/>
  <c r="BP236" i="11"/>
  <c r="BQ236" i="11"/>
  <c r="BR236" i="11"/>
  <c r="BS236" i="11"/>
  <c r="BT236" i="11"/>
  <c r="BU236" i="11"/>
  <c r="BV236" i="11"/>
  <c r="BW236" i="11"/>
  <c r="BZ236" i="11"/>
  <c r="CB236" i="11"/>
  <c r="CA236" i="11"/>
  <c r="CE236" i="11"/>
  <c r="C237" i="11"/>
  <c r="D237" i="11"/>
  <c r="E237" i="11"/>
  <c r="F237" i="11"/>
  <c r="G237" i="11"/>
  <c r="H237" i="11"/>
  <c r="I237" i="11"/>
  <c r="J237" i="11"/>
  <c r="K237" i="11"/>
  <c r="L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O237" i="11"/>
  <c r="AP237" i="11"/>
  <c r="AQ237" i="11"/>
  <c r="AR237" i="11"/>
  <c r="AS237" i="11"/>
  <c r="AT237" i="11"/>
  <c r="AU237" i="11"/>
  <c r="AV237" i="11"/>
  <c r="AW237" i="11"/>
  <c r="AX237" i="11"/>
  <c r="AY237" i="11"/>
  <c r="AZ237" i="11"/>
  <c r="BA237" i="11"/>
  <c r="BB237" i="11"/>
  <c r="BC237" i="11"/>
  <c r="BD237" i="11"/>
  <c r="BE237" i="11"/>
  <c r="BF237" i="11"/>
  <c r="BG237" i="11"/>
  <c r="BH237" i="11"/>
  <c r="BI237" i="11"/>
  <c r="BJ237" i="11"/>
  <c r="BK237" i="11"/>
  <c r="BL237" i="11"/>
  <c r="BM237" i="11"/>
  <c r="BN237" i="11"/>
  <c r="BO237" i="11"/>
  <c r="BP237" i="11"/>
  <c r="BQ237" i="11"/>
  <c r="BR237" i="11"/>
  <c r="BS237" i="11"/>
  <c r="BT237" i="11"/>
  <c r="BU237" i="11"/>
  <c r="BV237" i="11"/>
  <c r="BW237" i="11"/>
  <c r="BZ237" i="11"/>
  <c r="CB237" i="11"/>
  <c r="CA237" i="11"/>
  <c r="CE237" i="11"/>
  <c r="C238" i="11"/>
  <c r="D238" i="11"/>
  <c r="E238" i="11"/>
  <c r="F238" i="11"/>
  <c r="G238" i="11"/>
  <c r="H238" i="11"/>
  <c r="I238" i="11"/>
  <c r="J238" i="11"/>
  <c r="K238" i="11"/>
  <c r="L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O238" i="11"/>
  <c r="AP238" i="11"/>
  <c r="AQ238" i="11"/>
  <c r="AR238" i="11"/>
  <c r="AS238" i="11"/>
  <c r="AT238" i="11"/>
  <c r="AU238" i="11"/>
  <c r="AV238" i="11"/>
  <c r="AW238" i="11"/>
  <c r="AX238" i="11"/>
  <c r="AY238" i="11"/>
  <c r="AZ238" i="11"/>
  <c r="BA238" i="11"/>
  <c r="BB238" i="11"/>
  <c r="BC238" i="11"/>
  <c r="BD238" i="11"/>
  <c r="BE238" i="11"/>
  <c r="BF238" i="11"/>
  <c r="BG238" i="11"/>
  <c r="BH238" i="11"/>
  <c r="BI238" i="11"/>
  <c r="BJ238" i="11"/>
  <c r="BK238" i="11"/>
  <c r="BL238" i="11"/>
  <c r="BM238" i="11"/>
  <c r="BN238" i="11"/>
  <c r="BO238" i="11"/>
  <c r="BP238" i="11"/>
  <c r="BQ238" i="11"/>
  <c r="BR238" i="11"/>
  <c r="BS238" i="11"/>
  <c r="BT238" i="11"/>
  <c r="BU238" i="11"/>
  <c r="BV238" i="11"/>
  <c r="BW238" i="11"/>
  <c r="BZ238" i="11"/>
  <c r="CB238" i="11"/>
  <c r="CA238" i="11"/>
  <c r="CE238" i="11"/>
  <c r="C239" i="11"/>
  <c r="D239" i="11"/>
  <c r="E239" i="11"/>
  <c r="F239" i="11"/>
  <c r="G239" i="11"/>
  <c r="H239" i="11"/>
  <c r="I239" i="11"/>
  <c r="J239" i="11"/>
  <c r="K239" i="11"/>
  <c r="L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O239" i="11"/>
  <c r="AP239" i="11"/>
  <c r="AQ239" i="11"/>
  <c r="AR239" i="11"/>
  <c r="AS239" i="11"/>
  <c r="AT239" i="11"/>
  <c r="AU239" i="11"/>
  <c r="AV239" i="11"/>
  <c r="AW239" i="11"/>
  <c r="AX239" i="11"/>
  <c r="AY239" i="11"/>
  <c r="AZ239" i="11"/>
  <c r="BA239" i="11"/>
  <c r="BB239" i="11"/>
  <c r="BC239" i="11"/>
  <c r="BD239" i="11"/>
  <c r="BE239" i="11"/>
  <c r="BF239" i="11"/>
  <c r="BG239" i="11"/>
  <c r="BH239" i="11"/>
  <c r="BI239" i="11"/>
  <c r="BJ239" i="11"/>
  <c r="BK239" i="11"/>
  <c r="BL239" i="11"/>
  <c r="BM239" i="11"/>
  <c r="BN239" i="11"/>
  <c r="BO239" i="11"/>
  <c r="BP239" i="11"/>
  <c r="BQ239" i="11"/>
  <c r="BR239" i="11"/>
  <c r="BS239" i="11"/>
  <c r="BT239" i="11"/>
  <c r="BU239" i="11"/>
  <c r="BV239" i="11"/>
  <c r="BW239" i="11"/>
  <c r="BZ239" i="11"/>
  <c r="CB239" i="11"/>
  <c r="CA239" i="11"/>
  <c r="CE239" i="11"/>
  <c r="C240" i="11"/>
  <c r="D240" i="11"/>
  <c r="E240" i="11"/>
  <c r="F240" i="11"/>
  <c r="G240" i="11"/>
  <c r="H240" i="11"/>
  <c r="I240" i="11"/>
  <c r="J240" i="11"/>
  <c r="K240" i="11"/>
  <c r="L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O240" i="11"/>
  <c r="AP240" i="11"/>
  <c r="AQ240" i="11"/>
  <c r="AR240" i="11"/>
  <c r="AS240" i="11"/>
  <c r="AT240" i="11"/>
  <c r="AU240" i="11"/>
  <c r="AV240" i="11"/>
  <c r="AW240" i="11"/>
  <c r="AX240" i="11"/>
  <c r="AY240" i="11"/>
  <c r="AZ240" i="11"/>
  <c r="BA240" i="11"/>
  <c r="BB240" i="11"/>
  <c r="BC240" i="11"/>
  <c r="BD240" i="11"/>
  <c r="BE240" i="11"/>
  <c r="BF240" i="11"/>
  <c r="BG240" i="11"/>
  <c r="BH240" i="11"/>
  <c r="BI240" i="11"/>
  <c r="BJ240" i="11"/>
  <c r="BK240" i="11"/>
  <c r="BL240" i="11"/>
  <c r="BM240" i="11"/>
  <c r="BN240" i="11"/>
  <c r="BO240" i="11"/>
  <c r="BP240" i="11"/>
  <c r="BQ240" i="11"/>
  <c r="BR240" i="11"/>
  <c r="BS240" i="11"/>
  <c r="BT240" i="11"/>
  <c r="BU240" i="11"/>
  <c r="BV240" i="11"/>
  <c r="BW240" i="11"/>
  <c r="BZ240" i="11"/>
  <c r="CB240" i="11"/>
  <c r="CA240" i="11"/>
  <c r="CE240" i="11"/>
  <c r="C241" i="11"/>
  <c r="D241" i="11"/>
  <c r="E241" i="11"/>
  <c r="F241" i="11"/>
  <c r="G241" i="11"/>
  <c r="H241" i="11"/>
  <c r="I241" i="11"/>
  <c r="J241" i="11"/>
  <c r="K241" i="11"/>
  <c r="L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O241" i="11"/>
  <c r="AP241" i="11"/>
  <c r="AQ241" i="11"/>
  <c r="AR241" i="11"/>
  <c r="AS241" i="11"/>
  <c r="AT241" i="11"/>
  <c r="AU241" i="11"/>
  <c r="AV241" i="11"/>
  <c r="AW241" i="11"/>
  <c r="AX241" i="11"/>
  <c r="AY241" i="11"/>
  <c r="AZ241" i="11"/>
  <c r="BA241" i="11"/>
  <c r="BB241" i="11"/>
  <c r="BC241" i="11"/>
  <c r="BD241" i="11"/>
  <c r="BE241" i="11"/>
  <c r="BF241" i="11"/>
  <c r="BG241" i="11"/>
  <c r="BH241" i="11"/>
  <c r="BI241" i="11"/>
  <c r="BJ241" i="11"/>
  <c r="BK241" i="11"/>
  <c r="BL241" i="11"/>
  <c r="BM241" i="11"/>
  <c r="BN241" i="11"/>
  <c r="BO241" i="11"/>
  <c r="BP241" i="11"/>
  <c r="BQ241" i="11"/>
  <c r="BR241" i="11"/>
  <c r="BS241" i="11"/>
  <c r="BT241" i="11"/>
  <c r="BU241" i="11"/>
  <c r="BV241" i="11"/>
  <c r="BW241" i="11"/>
  <c r="BZ241" i="11"/>
  <c r="CB241" i="11"/>
  <c r="CA241" i="11"/>
  <c r="CE241" i="11"/>
  <c r="C242" i="11"/>
  <c r="D242" i="11"/>
  <c r="E242" i="11"/>
  <c r="F242" i="11"/>
  <c r="G242" i="11"/>
  <c r="H242" i="11"/>
  <c r="I242" i="11"/>
  <c r="J242" i="11"/>
  <c r="K242" i="11"/>
  <c r="L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O242" i="11"/>
  <c r="AP242" i="11"/>
  <c r="AQ242" i="11"/>
  <c r="AR242" i="11"/>
  <c r="AS242" i="11"/>
  <c r="AT242" i="11"/>
  <c r="AU242" i="11"/>
  <c r="AV242" i="11"/>
  <c r="AW242" i="11"/>
  <c r="AX242" i="11"/>
  <c r="AY242" i="11"/>
  <c r="AZ242" i="11"/>
  <c r="BA242" i="11"/>
  <c r="BB242" i="11"/>
  <c r="BC242" i="11"/>
  <c r="BD242" i="11"/>
  <c r="BE242" i="11"/>
  <c r="BF242" i="11"/>
  <c r="BG242" i="11"/>
  <c r="BH242" i="11"/>
  <c r="BI242" i="11"/>
  <c r="BJ242" i="11"/>
  <c r="BK242" i="11"/>
  <c r="BL242" i="11"/>
  <c r="BM242" i="11"/>
  <c r="BN242" i="11"/>
  <c r="BO242" i="11"/>
  <c r="BP242" i="11"/>
  <c r="BQ242" i="11"/>
  <c r="BR242" i="11"/>
  <c r="BS242" i="11"/>
  <c r="BT242" i="11"/>
  <c r="BU242" i="11"/>
  <c r="BV242" i="11"/>
  <c r="BW242" i="11"/>
  <c r="BZ242" i="11"/>
  <c r="CB242" i="11"/>
  <c r="CA242" i="11"/>
  <c r="CE242" i="11"/>
  <c r="C243" i="11"/>
  <c r="D243" i="11"/>
  <c r="E243" i="11"/>
  <c r="F243" i="11"/>
  <c r="G243" i="11"/>
  <c r="H243" i="11"/>
  <c r="I243" i="11"/>
  <c r="J243" i="11"/>
  <c r="K243" i="11"/>
  <c r="L243" i="11"/>
  <c r="M243" i="11"/>
  <c r="N243" i="11"/>
  <c r="O243" i="11"/>
  <c r="P243" i="11"/>
  <c r="Q243" i="11"/>
  <c r="R243" i="11"/>
  <c r="S243" i="11"/>
  <c r="T243" i="11"/>
  <c r="U243" i="11"/>
  <c r="V243" i="11"/>
  <c r="W243" i="11"/>
  <c r="X243" i="11"/>
  <c r="Y243" i="11"/>
  <c r="Z243" i="11"/>
  <c r="AA243" i="11"/>
  <c r="AB243" i="11"/>
  <c r="AC243" i="11"/>
  <c r="AD243" i="11"/>
  <c r="AE243" i="11"/>
  <c r="AF243" i="11"/>
  <c r="AG243" i="11"/>
  <c r="AH243" i="11"/>
  <c r="AI243" i="11"/>
  <c r="AJ243" i="11"/>
  <c r="AK243" i="11"/>
  <c r="AL243" i="11"/>
  <c r="AM243" i="11"/>
  <c r="AN243" i="11"/>
  <c r="AO243" i="11"/>
  <c r="AP243" i="11"/>
  <c r="AQ243" i="11"/>
  <c r="AR243" i="11"/>
  <c r="AS243" i="11"/>
  <c r="AT243" i="11"/>
  <c r="AU243" i="11"/>
  <c r="AV243" i="11"/>
  <c r="AW243" i="11"/>
  <c r="AX243" i="11"/>
  <c r="AY243" i="11"/>
  <c r="AZ243" i="11"/>
  <c r="BA243" i="11"/>
  <c r="BB243" i="11"/>
  <c r="BC243" i="11"/>
  <c r="BD243" i="11"/>
  <c r="BE243" i="11"/>
  <c r="BF243" i="11"/>
  <c r="BG243" i="11"/>
  <c r="BH243" i="11"/>
  <c r="BI243" i="11"/>
  <c r="BJ243" i="11"/>
  <c r="BK243" i="11"/>
  <c r="BL243" i="11"/>
  <c r="BM243" i="11"/>
  <c r="BN243" i="11"/>
  <c r="BO243" i="11"/>
  <c r="BP243" i="11"/>
  <c r="BQ243" i="11"/>
  <c r="BR243" i="11"/>
  <c r="BS243" i="11"/>
  <c r="BT243" i="11"/>
  <c r="BU243" i="11"/>
  <c r="BV243" i="11"/>
  <c r="BW243" i="11"/>
  <c r="BZ243" i="11"/>
  <c r="CB243" i="11"/>
  <c r="CA243" i="11"/>
  <c r="CE243" i="11"/>
  <c r="C244" i="11"/>
  <c r="D244" i="11"/>
  <c r="E244" i="11"/>
  <c r="F244" i="11"/>
  <c r="G244" i="11"/>
  <c r="H244" i="11"/>
  <c r="I244" i="11"/>
  <c r="J244" i="11"/>
  <c r="K244" i="11"/>
  <c r="L244" i="11"/>
  <c r="M244" i="11"/>
  <c r="N244" i="11"/>
  <c r="O244" i="11"/>
  <c r="P244" i="11"/>
  <c r="Q244" i="11"/>
  <c r="R244" i="11"/>
  <c r="S244" i="11"/>
  <c r="T244" i="11"/>
  <c r="U244" i="11"/>
  <c r="V244" i="11"/>
  <c r="W244" i="11"/>
  <c r="X244" i="11"/>
  <c r="Y244" i="11"/>
  <c r="Z244" i="11"/>
  <c r="AA244" i="11"/>
  <c r="AB244" i="11"/>
  <c r="AC244" i="11"/>
  <c r="AD244" i="11"/>
  <c r="AE244" i="11"/>
  <c r="AF244" i="11"/>
  <c r="AG244" i="11"/>
  <c r="AH244" i="11"/>
  <c r="AI244" i="11"/>
  <c r="AJ244" i="11"/>
  <c r="AK244" i="11"/>
  <c r="AL244" i="11"/>
  <c r="AM244" i="11"/>
  <c r="AN244" i="11"/>
  <c r="AO244" i="11"/>
  <c r="AP244" i="11"/>
  <c r="AQ244" i="11"/>
  <c r="AR244" i="11"/>
  <c r="AS244" i="11"/>
  <c r="AT244" i="11"/>
  <c r="AU244" i="11"/>
  <c r="AV244" i="11"/>
  <c r="AW244" i="11"/>
  <c r="AX244" i="11"/>
  <c r="AY244" i="11"/>
  <c r="AZ244" i="11"/>
  <c r="BA244" i="11"/>
  <c r="BB244" i="11"/>
  <c r="BC244" i="11"/>
  <c r="BD244" i="11"/>
  <c r="BE244" i="11"/>
  <c r="BF244" i="11"/>
  <c r="BG244" i="11"/>
  <c r="BH244" i="11"/>
  <c r="BI244" i="11"/>
  <c r="BJ244" i="11"/>
  <c r="BK244" i="11"/>
  <c r="BL244" i="11"/>
  <c r="BM244" i="11"/>
  <c r="BN244" i="11"/>
  <c r="BO244" i="11"/>
  <c r="BP244" i="11"/>
  <c r="BQ244" i="11"/>
  <c r="BR244" i="11"/>
  <c r="BS244" i="11"/>
  <c r="BT244" i="11"/>
  <c r="BU244" i="11"/>
  <c r="BV244" i="11"/>
  <c r="BW244" i="11"/>
  <c r="BZ244" i="11"/>
  <c r="CB244" i="11"/>
  <c r="CA244" i="11"/>
  <c r="CE244" i="11"/>
  <c r="C245" i="11"/>
  <c r="D245" i="11"/>
  <c r="E245" i="11"/>
  <c r="F245" i="11"/>
  <c r="G245" i="11"/>
  <c r="H245" i="11"/>
  <c r="I245" i="11"/>
  <c r="J245" i="11"/>
  <c r="K245" i="11"/>
  <c r="L245" i="11"/>
  <c r="M245" i="11"/>
  <c r="N245" i="11"/>
  <c r="O245" i="11"/>
  <c r="P245" i="11"/>
  <c r="Q245" i="11"/>
  <c r="R245" i="11"/>
  <c r="S245" i="11"/>
  <c r="T245" i="11"/>
  <c r="U245" i="11"/>
  <c r="V245" i="11"/>
  <c r="W245" i="11"/>
  <c r="X245" i="11"/>
  <c r="Y245" i="11"/>
  <c r="Z245" i="11"/>
  <c r="AA245" i="11"/>
  <c r="AB245" i="11"/>
  <c r="AC245" i="11"/>
  <c r="AD245" i="11"/>
  <c r="AE245" i="11"/>
  <c r="AF245" i="11"/>
  <c r="AG245" i="11"/>
  <c r="AH245" i="11"/>
  <c r="AI245" i="11"/>
  <c r="AJ245" i="11"/>
  <c r="AK245" i="11"/>
  <c r="AL245" i="11"/>
  <c r="AM245" i="11"/>
  <c r="AN245" i="11"/>
  <c r="AO245" i="11"/>
  <c r="AP245" i="11"/>
  <c r="AQ245" i="11"/>
  <c r="AR245" i="11"/>
  <c r="AS245" i="11"/>
  <c r="AT245" i="11"/>
  <c r="AU245" i="11"/>
  <c r="AV245" i="11"/>
  <c r="AW245" i="11"/>
  <c r="AX245" i="11"/>
  <c r="AY245" i="11"/>
  <c r="AZ245" i="11"/>
  <c r="BA245" i="11"/>
  <c r="BB245" i="11"/>
  <c r="BC245" i="11"/>
  <c r="BD245" i="11"/>
  <c r="BE245" i="11"/>
  <c r="BF245" i="11"/>
  <c r="BG245" i="11"/>
  <c r="BH245" i="11"/>
  <c r="BI245" i="11"/>
  <c r="BJ245" i="11"/>
  <c r="BK245" i="11"/>
  <c r="BL245" i="11"/>
  <c r="BM245" i="11"/>
  <c r="BN245" i="11"/>
  <c r="BO245" i="11"/>
  <c r="BP245" i="11"/>
  <c r="BQ245" i="11"/>
  <c r="BR245" i="11"/>
  <c r="BS245" i="11"/>
  <c r="BT245" i="11"/>
  <c r="BU245" i="11"/>
  <c r="BV245" i="11"/>
  <c r="BW245" i="11"/>
  <c r="BZ245" i="11"/>
  <c r="CB245" i="11"/>
  <c r="CA245" i="11"/>
  <c r="CE245" i="11"/>
  <c r="C246" i="11"/>
  <c r="D246" i="11"/>
  <c r="E246" i="11"/>
  <c r="F246" i="11"/>
  <c r="G246" i="11"/>
  <c r="H246" i="11"/>
  <c r="I246" i="11"/>
  <c r="J246" i="11"/>
  <c r="K246" i="11"/>
  <c r="L246" i="11"/>
  <c r="M246" i="11"/>
  <c r="N246" i="11"/>
  <c r="O246" i="11"/>
  <c r="P246" i="11"/>
  <c r="Q246" i="11"/>
  <c r="R246" i="11"/>
  <c r="S246" i="11"/>
  <c r="T246" i="11"/>
  <c r="U246" i="11"/>
  <c r="V246" i="11"/>
  <c r="W246" i="11"/>
  <c r="X246" i="11"/>
  <c r="Y246" i="11"/>
  <c r="Z246" i="11"/>
  <c r="AA246" i="11"/>
  <c r="AB246" i="11"/>
  <c r="AC246" i="11"/>
  <c r="AD246" i="11"/>
  <c r="AE246" i="11"/>
  <c r="AF246" i="11"/>
  <c r="AG246" i="11"/>
  <c r="AH246" i="11"/>
  <c r="AI246" i="11"/>
  <c r="AJ246" i="11"/>
  <c r="AK246" i="11"/>
  <c r="AL246" i="11"/>
  <c r="AM246" i="11"/>
  <c r="AN246" i="11"/>
  <c r="AO246" i="11"/>
  <c r="AP246" i="11"/>
  <c r="AQ246" i="11"/>
  <c r="AR246" i="11"/>
  <c r="AS246" i="11"/>
  <c r="AT246" i="11"/>
  <c r="AU246" i="11"/>
  <c r="AV246" i="11"/>
  <c r="AW246" i="11"/>
  <c r="AX246" i="11"/>
  <c r="AY246" i="11"/>
  <c r="AZ246" i="11"/>
  <c r="BA246" i="11"/>
  <c r="BB246" i="11"/>
  <c r="BC246" i="11"/>
  <c r="BD246" i="11"/>
  <c r="BE246" i="11"/>
  <c r="BF246" i="11"/>
  <c r="BG246" i="11"/>
  <c r="BH246" i="11"/>
  <c r="BI246" i="11"/>
  <c r="BJ246" i="11"/>
  <c r="BK246" i="11"/>
  <c r="BL246" i="11"/>
  <c r="BM246" i="11"/>
  <c r="BN246" i="11"/>
  <c r="BO246" i="11"/>
  <c r="BP246" i="11"/>
  <c r="BQ246" i="11"/>
  <c r="BR246" i="11"/>
  <c r="BS246" i="11"/>
  <c r="BT246" i="11"/>
  <c r="BU246" i="11"/>
  <c r="BV246" i="11"/>
  <c r="BW246" i="11"/>
  <c r="BZ246" i="11"/>
  <c r="CB246" i="11"/>
  <c r="CA246" i="11"/>
  <c r="CE246" i="11"/>
  <c r="C247" i="11"/>
  <c r="D247" i="11"/>
  <c r="E247" i="11"/>
  <c r="F247" i="11"/>
  <c r="G247" i="11"/>
  <c r="H247" i="11"/>
  <c r="I247" i="11"/>
  <c r="J247" i="11"/>
  <c r="K247" i="11"/>
  <c r="L247" i="11"/>
  <c r="M247" i="11"/>
  <c r="N247" i="11"/>
  <c r="O247" i="11"/>
  <c r="P247" i="11"/>
  <c r="Q247" i="11"/>
  <c r="R247" i="11"/>
  <c r="S247" i="11"/>
  <c r="T247" i="11"/>
  <c r="U247" i="11"/>
  <c r="V247" i="11"/>
  <c r="W247" i="11"/>
  <c r="X247" i="11"/>
  <c r="Y247" i="11"/>
  <c r="Z247" i="11"/>
  <c r="AA247" i="11"/>
  <c r="AB247" i="11"/>
  <c r="AC247" i="11"/>
  <c r="AD247" i="11"/>
  <c r="AE247" i="11"/>
  <c r="AF247" i="11"/>
  <c r="AG247" i="11"/>
  <c r="AH247" i="11"/>
  <c r="AI247" i="11"/>
  <c r="AJ247" i="11"/>
  <c r="AK247" i="11"/>
  <c r="AL247" i="11"/>
  <c r="AM247" i="11"/>
  <c r="AN247" i="11"/>
  <c r="AO247" i="11"/>
  <c r="AP247" i="11"/>
  <c r="AQ247" i="11"/>
  <c r="AR247" i="11"/>
  <c r="AS247" i="11"/>
  <c r="AT247" i="11"/>
  <c r="AU247" i="11"/>
  <c r="AV247" i="11"/>
  <c r="AW247" i="11"/>
  <c r="AX247" i="11"/>
  <c r="AY247" i="11"/>
  <c r="AZ247" i="11"/>
  <c r="BA247" i="11"/>
  <c r="BB247" i="11"/>
  <c r="BC247" i="11"/>
  <c r="BD247" i="11"/>
  <c r="BE247" i="11"/>
  <c r="BF247" i="11"/>
  <c r="BG247" i="11"/>
  <c r="BH247" i="11"/>
  <c r="BI247" i="11"/>
  <c r="BJ247" i="11"/>
  <c r="BK247" i="11"/>
  <c r="BL247" i="11"/>
  <c r="BM247" i="11"/>
  <c r="BN247" i="11"/>
  <c r="BO247" i="11"/>
  <c r="BP247" i="11"/>
  <c r="BQ247" i="11"/>
  <c r="BR247" i="11"/>
  <c r="BS247" i="11"/>
  <c r="BT247" i="11"/>
  <c r="BU247" i="11"/>
  <c r="BV247" i="11"/>
  <c r="BW247" i="11"/>
  <c r="BZ247" i="11"/>
  <c r="CB247" i="11"/>
  <c r="CA247" i="11"/>
  <c r="CE247" i="11"/>
  <c r="C248" i="11"/>
  <c r="D248" i="11"/>
  <c r="E248" i="11"/>
  <c r="F248" i="11"/>
  <c r="G248" i="11"/>
  <c r="H248" i="11"/>
  <c r="I248" i="11"/>
  <c r="J248" i="11"/>
  <c r="K248" i="11"/>
  <c r="L248" i="11"/>
  <c r="M248" i="11"/>
  <c r="N248" i="11"/>
  <c r="O248" i="11"/>
  <c r="P248" i="11"/>
  <c r="Q248" i="11"/>
  <c r="R248" i="11"/>
  <c r="S248" i="11"/>
  <c r="T248" i="11"/>
  <c r="U248" i="11"/>
  <c r="V248" i="11"/>
  <c r="W248" i="11"/>
  <c r="X248" i="11"/>
  <c r="Y248" i="11"/>
  <c r="Z248" i="11"/>
  <c r="AA248" i="11"/>
  <c r="AB248" i="11"/>
  <c r="AC248" i="11"/>
  <c r="AD248" i="11"/>
  <c r="AE248" i="11"/>
  <c r="AF248" i="11"/>
  <c r="AG248" i="11"/>
  <c r="AH248" i="11"/>
  <c r="AI248" i="11"/>
  <c r="AJ248" i="11"/>
  <c r="AK248" i="11"/>
  <c r="AL248" i="11"/>
  <c r="AM248" i="11"/>
  <c r="AN248" i="11"/>
  <c r="AO248" i="11"/>
  <c r="AP248" i="11"/>
  <c r="AQ248" i="11"/>
  <c r="AR248" i="11"/>
  <c r="AS248" i="11"/>
  <c r="AT248" i="11"/>
  <c r="AU248" i="11"/>
  <c r="AV248" i="11"/>
  <c r="AW248" i="11"/>
  <c r="AX248" i="11"/>
  <c r="AY248" i="11"/>
  <c r="AZ248" i="11"/>
  <c r="BA248" i="11"/>
  <c r="BB248" i="11"/>
  <c r="BC248" i="11"/>
  <c r="BD248" i="11"/>
  <c r="BE248" i="11"/>
  <c r="BF248" i="11"/>
  <c r="BG248" i="11"/>
  <c r="BH248" i="11"/>
  <c r="BI248" i="11"/>
  <c r="BJ248" i="11"/>
  <c r="BK248" i="11"/>
  <c r="BL248" i="11"/>
  <c r="BM248" i="11"/>
  <c r="BN248" i="11"/>
  <c r="BO248" i="11"/>
  <c r="BP248" i="11"/>
  <c r="BQ248" i="11"/>
  <c r="BR248" i="11"/>
  <c r="BS248" i="11"/>
  <c r="BT248" i="11"/>
  <c r="BU248" i="11"/>
  <c r="BV248" i="11"/>
  <c r="BW248" i="11"/>
  <c r="BZ248" i="11"/>
  <c r="CB248" i="11"/>
  <c r="CA248" i="11"/>
  <c r="CE248" i="11"/>
  <c r="C249" i="11"/>
  <c r="D249" i="11"/>
  <c r="E249" i="11"/>
  <c r="F249" i="11"/>
  <c r="G249" i="11"/>
  <c r="H249" i="11"/>
  <c r="I249" i="11"/>
  <c r="J249" i="11"/>
  <c r="K249" i="11"/>
  <c r="L249" i="11"/>
  <c r="M249" i="11"/>
  <c r="N249" i="11"/>
  <c r="O249" i="11"/>
  <c r="P249" i="11"/>
  <c r="Q249" i="11"/>
  <c r="R249" i="11"/>
  <c r="S249" i="11"/>
  <c r="T249" i="11"/>
  <c r="U249" i="11"/>
  <c r="V249" i="11"/>
  <c r="W249" i="11"/>
  <c r="X249" i="11"/>
  <c r="Y249" i="11"/>
  <c r="Z249" i="11"/>
  <c r="AA249" i="11"/>
  <c r="AB249" i="11"/>
  <c r="AC249" i="11"/>
  <c r="AD249" i="11"/>
  <c r="AE249" i="11"/>
  <c r="AF249" i="11"/>
  <c r="AG249" i="11"/>
  <c r="AH249" i="11"/>
  <c r="AI249" i="11"/>
  <c r="AJ249" i="11"/>
  <c r="AK249" i="11"/>
  <c r="AL249" i="11"/>
  <c r="AM249" i="11"/>
  <c r="AN249" i="11"/>
  <c r="AO249" i="11"/>
  <c r="AP249" i="11"/>
  <c r="AQ249" i="11"/>
  <c r="AR249" i="11"/>
  <c r="AS249" i="11"/>
  <c r="AT249" i="11"/>
  <c r="AU249" i="11"/>
  <c r="AV249" i="11"/>
  <c r="AW249" i="11"/>
  <c r="AX249" i="11"/>
  <c r="AY249" i="11"/>
  <c r="AZ249" i="11"/>
  <c r="BA249" i="11"/>
  <c r="BB249" i="11"/>
  <c r="BC249" i="11"/>
  <c r="BD249" i="11"/>
  <c r="BE249" i="11"/>
  <c r="BF249" i="11"/>
  <c r="BG249" i="11"/>
  <c r="BH249" i="11"/>
  <c r="BI249" i="11"/>
  <c r="BJ249" i="11"/>
  <c r="BK249" i="11"/>
  <c r="BL249" i="11"/>
  <c r="BM249" i="11"/>
  <c r="BN249" i="11"/>
  <c r="BO249" i="11"/>
  <c r="BP249" i="11"/>
  <c r="BQ249" i="11"/>
  <c r="BR249" i="11"/>
  <c r="BS249" i="11"/>
  <c r="BT249" i="11"/>
  <c r="BU249" i="11"/>
  <c r="BV249" i="11"/>
  <c r="BW249" i="11"/>
  <c r="BZ249" i="11"/>
  <c r="CB249" i="11"/>
  <c r="CA249" i="11"/>
  <c r="CE249" i="11"/>
  <c r="C250" i="11"/>
  <c r="D250" i="11"/>
  <c r="E250" i="11"/>
  <c r="F250" i="11"/>
  <c r="G250" i="11"/>
  <c r="H250" i="11"/>
  <c r="I250" i="11"/>
  <c r="J250" i="11"/>
  <c r="K250" i="11"/>
  <c r="L250" i="11"/>
  <c r="M250" i="11"/>
  <c r="N250" i="11"/>
  <c r="O250" i="11"/>
  <c r="P250" i="11"/>
  <c r="Q250" i="11"/>
  <c r="R250" i="11"/>
  <c r="S250" i="11"/>
  <c r="T250" i="11"/>
  <c r="U250" i="11"/>
  <c r="V250" i="11"/>
  <c r="W250" i="11"/>
  <c r="X250" i="11"/>
  <c r="Y250" i="11"/>
  <c r="Z250" i="11"/>
  <c r="AA250" i="11"/>
  <c r="AB250" i="11"/>
  <c r="AC250" i="11"/>
  <c r="AD250" i="11"/>
  <c r="AE250" i="11"/>
  <c r="AF250" i="11"/>
  <c r="AG250" i="11"/>
  <c r="AH250" i="11"/>
  <c r="AI250" i="11"/>
  <c r="AJ250" i="11"/>
  <c r="AK250" i="11"/>
  <c r="AL250" i="11"/>
  <c r="AM250" i="11"/>
  <c r="AN250" i="11"/>
  <c r="AO250" i="11"/>
  <c r="AP250" i="11"/>
  <c r="AQ250" i="11"/>
  <c r="AR250" i="11"/>
  <c r="AS250" i="11"/>
  <c r="AT250" i="11"/>
  <c r="AU250" i="11"/>
  <c r="AV250" i="11"/>
  <c r="AW250" i="11"/>
  <c r="AX250" i="11"/>
  <c r="AY250" i="11"/>
  <c r="AZ250" i="11"/>
  <c r="BA250" i="11"/>
  <c r="BB250" i="11"/>
  <c r="BC250" i="11"/>
  <c r="BD250" i="11"/>
  <c r="BE250" i="11"/>
  <c r="BF250" i="11"/>
  <c r="BG250" i="11"/>
  <c r="BH250" i="11"/>
  <c r="BI250" i="11"/>
  <c r="BJ250" i="11"/>
  <c r="BK250" i="11"/>
  <c r="BL250" i="11"/>
  <c r="BM250" i="11"/>
  <c r="BN250" i="11"/>
  <c r="BO250" i="11"/>
  <c r="BP250" i="11"/>
  <c r="BQ250" i="11"/>
  <c r="BR250" i="11"/>
  <c r="BS250" i="11"/>
  <c r="BT250" i="11"/>
  <c r="BU250" i="11"/>
  <c r="BV250" i="11"/>
  <c r="BW250" i="11"/>
  <c r="BZ250" i="11"/>
  <c r="CB250" i="11"/>
  <c r="CA250" i="11"/>
  <c r="CE250" i="11"/>
  <c r="C251" i="11"/>
  <c r="D251" i="11"/>
  <c r="E251" i="11"/>
  <c r="F251" i="11"/>
  <c r="G251" i="11"/>
  <c r="H251" i="11"/>
  <c r="I251" i="11"/>
  <c r="J251" i="11"/>
  <c r="K251" i="11"/>
  <c r="L251" i="11"/>
  <c r="M251" i="11"/>
  <c r="N251" i="11"/>
  <c r="O251" i="11"/>
  <c r="P251" i="11"/>
  <c r="Q251" i="11"/>
  <c r="R251" i="11"/>
  <c r="S251" i="11"/>
  <c r="T251" i="11"/>
  <c r="U251" i="11"/>
  <c r="V251" i="11"/>
  <c r="W251" i="11"/>
  <c r="X251" i="11"/>
  <c r="Y251" i="11"/>
  <c r="Z251" i="11"/>
  <c r="AA251" i="11"/>
  <c r="AB251" i="11"/>
  <c r="AC251" i="11"/>
  <c r="AD251" i="11"/>
  <c r="AE251" i="11"/>
  <c r="AF251" i="11"/>
  <c r="AG251" i="11"/>
  <c r="AH251" i="11"/>
  <c r="AI251" i="11"/>
  <c r="AJ251" i="11"/>
  <c r="AK251" i="11"/>
  <c r="AL251" i="11"/>
  <c r="AM251" i="11"/>
  <c r="AN251" i="11"/>
  <c r="AO251" i="11"/>
  <c r="AP251" i="11"/>
  <c r="AQ251" i="11"/>
  <c r="AR251" i="11"/>
  <c r="AS251" i="11"/>
  <c r="AT251" i="11"/>
  <c r="AU251" i="11"/>
  <c r="AV251" i="11"/>
  <c r="AW251" i="11"/>
  <c r="AX251" i="11"/>
  <c r="AY251" i="11"/>
  <c r="AZ251" i="11"/>
  <c r="BA251" i="11"/>
  <c r="BB251" i="11"/>
  <c r="BC251" i="11"/>
  <c r="BD251" i="11"/>
  <c r="BE251" i="11"/>
  <c r="BF251" i="11"/>
  <c r="BG251" i="11"/>
  <c r="BH251" i="11"/>
  <c r="BI251" i="11"/>
  <c r="BJ251" i="11"/>
  <c r="BK251" i="11"/>
  <c r="BL251" i="11"/>
  <c r="BM251" i="11"/>
  <c r="BN251" i="11"/>
  <c r="BO251" i="11"/>
  <c r="BP251" i="11"/>
  <c r="BQ251" i="11"/>
  <c r="BR251" i="11"/>
  <c r="BS251" i="11"/>
  <c r="BT251" i="11"/>
  <c r="BU251" i="11"/>
  <c r="BV251" i="11"/>
  <c r="BW251" i="11"/>
  <c r="BZ251" i="11"/>
  <c r="CB251" i="11"/>
  <c r="CA251" i="11"/>
  <c r="CE251" i="11"/>
  <c r="C252" i="11"/>
  <c r="D252" i="11"/>
  <c r="E252" i="11"/>
  <c r="F252" i="11"/>
  <c r="G252" i="11"/>
  <c r="H252" i="11"/>
  <c r="I252" i="11"/>
  <c r="J252" i="11"/>
  <c r="K252" i="11"/>
  <c r="L252" i="11"/>
  <c r="M252" i="11"/>
  <c r="N252" i="11"/>
  <c r="O252" i="11"/>
  <c r="P252" i="11"/>
  <c r="Q252" i="11"/>
  <c r="R252" i="11"/>
  <c r="S252" i="11"/>
  <c r="T252" i="11"/>
  <c r="U252" i="11"/>
  <c r="V252" i="11"/>
  <c r="W252" i="11"/>
  <c r="X252" i="11"/>
  <c r="Y252" i="11"/>
  <c r="Z252" i="11"/>
  <c r="AA252" i="11"/>
  <c r="AB252" i="11"/>
  <c r="AC252" i="11"/>
  <c r="AD252" i="11"/>
  <c r="AE252" i="11"/>
  <c r="AF252" i="11"/>
  <c r="AG252" i="11"/>
  <c r="AH252" i="11"/>
  <c r="AI252" i="11"/>
  <c r="AJ252" i="11"/>
  <c r="AK252" i="11"/>
  <c r="AL252" i="11"/>
  <c r="AM252" i="11"/>
  <c r="AN252" i="11"/>
  <c r="AO252" i="11"/>
  <c r="AP252" i="11"/>
  <c r="AQ252" i="11"/>
  <c r="AR252" i="11"/>
  <c r="AS252" i="11"/>
  <c r="AT252" i="11"/>
  <c r="AU252" i="11"/>
  <c r="AV252" i="11"/>
  <c r="AW252" i="11"/>
  <c r="AX252" i="11"/>
  <c r="AY252" i="11"/>
  <c r="AZ252" i="11"/>
  <c r="BA252" i="11"/>
  <c r="BB252" i="11"/>
  <c r="BC252" i="11"/>
  <c r="BD252" i="11"/>
  <c r="BE252" i="11"/>
  <c r="BF252" i="11"/>
  <c r="BG252" i="11"/>
  <c r="BH252" i="11"/>
  <c r="BI252" i="11"/>
  <c r="BJ252" i="11"/>
  <c r="BK252" i="11"/>
  <c r="BL252" i="11"/>
  <c r="BM252" i="11"/>
  <c r="BN252" i="11"/>
  <c r="BO252" i="11"/>
  <c r="BP252" i="11"/>
  <c r="BQ252" i="11"/>
  <c r="BR252" i="11"/>
  <c r="BS252" i="11"/>
  <c r="BT252" i="11"/>
  <c r="BU252" i="11"/>
  <c r="BV252" i="11"/>
  <c r="BW252" i="11"/>
  <c r="BZ252" i="11"/>
  <c r="CB252" i="11"/>
  <c r="CA252" i="11"/>
  <c r="CE252" i="11"/>
  <c r="C253" i="11"/>
  <c r="D253" i="11"/>
  <c r="E253" i="11"/>
  <c r="F253" i="11"/>
  <c r="G253" i="11"/>
  <c r="H253" i="11"/>
  <c r="I253" i="11"/>
  <c r="J253" i="11"/>
  <c r="K253" i="11"/>
  <c r="L253" i="11"/>
  <c r="M253" i="11"/>
  <c r="N253" i="11"/>
  <c r="O253" i="11"/>
  <c r="P253" i="11"/>
  <c r="Q253" i="11"/>
  <c r="R253" i="11"/>
  <c r="S253" i="11"/>
  <c r="T253" i="11"/>
  <c r="U253" i="11"/>
  <c r="V253" i="11"/>
  <c r="W253" i="11"/>
  <c r="X253" i="11"/>
  <c r="Y253" i="11"/>
  <c r="Z253" i="11"/>
  <c r="AA253" i="11"/>
  <c r="AB253" i="11"/>
  <c r="AC253" i="11"/>
  <c r="AD253" i="11"/>
  <c r="AE253" i="11"/>
  <c r="AF253" i="11"/>
  <c r="AG253" i="11"/>
  <c r="AH253" i="11"/>
  <c r="AI253" i="11"/>
  <c r="AJ253" i="11"/>
  <c r="AK253" i="11"/>
  <c r="AL253" i="11"/>
  <c r="AM253" i="11"/>
  <c r="AN253" i="11"/>
  <c r="AO253" i="11"/>
  <c r="AP253" i="11"/>
  <c r="AQ253" i="11"/>
  <c r="AR253" i="11"/>
  <c r="AS253" i="11"/>
  <c r="AT253" i="11"/>
  <c r="AU253" i="11"/>
  <c r="AV253" i="11"/>
  <c r="AW253" i="11"/>
  <c r="AX253" i="11"/>
  <c r="AY253" i="11"/>
  <c r="AZ253" i="11"/>
  <c r="BA253" i="11"/>
  <c r="BB253" i="11"/>
  <c r="BC253" i="11"/>
  <c r="BD253" i="11"/>
  <c r="BE253" i="11"/>
  <c r="BF253" i="11"/>
  <c r="BG253" i="11"/>
  <c r="BH253" i="11"/>
  <c r="BI253" i="11"/>
  <c r="BJ253" i="11"/>
  <c r="BK253" i="11"/>
  <c r="BL253" i="11"/>
  <c r="BM253" i="11"/>
  <c r="BN253" i="11"/>
  <c r="BO253" i="11"/>
  <c r="BP253" i="11"/>
  <c r="BQ253" i="11"/>
  <c r="BR253" i="11"/>
  <c r="BS253" i="11"/>
  <c r="BT253" i="11"/>
  <c r="BU253" i="11"/>
  <c r="BV253" i="11"/>
  <c r="BW253" i="11"/>
  <c r="BZ253" i="11"/>
  <c r="CB253" i="11"/>
  <c r="CA253" i="11"/>
  <c r="CE253" i="11"/>
  <c r="C254" i="11"/>
  <c r="D254" i="11"/>
  <c r="E254" i="11"/>
  <c r="F254" i="11"/>
  <c r="G254" i="11"/>
  <c r="H254" i="11"/>
  <c r="I254" i="11"/>
  <c r="J254" i="11"/>
  <c r="K254" i="11"/>
  <c r="L254" i="11"/>
  <c r="M254" i="11"/>
  <c r="N254" i="11"/>
  <c r="O254" i="11"/>
  <c r="P254" i="11"/>
  <c r="Q254" i="11"/>
  <c r="R254" i="11"/>
  <c r="S254" i="11"/>
  <c r="T254" i="11"/>
  <c r="U254" i="11"/>
  <c r="V254" i="11"/>
  <c r="W254" i="11"/>
  <c r="X254" i="11"/>
  <c r="Y254" i="11"/>
  <c r="Z254" i="11"/>
  <c r="AA254" i="11"/>
  <c r="AB254" i="11"/>
  <c r="AC254" i="11"/>
  <c r="AD254" i="11"/>
  <c r="AE254" i="11"/>
  <c r="AF254" i="11"/>
  <c r="AG254" i="11"/>
  <c r="AH254" i="11"/>
  <c r="AI254" i="11"/>
  <c r="AJ254" i="11"/>
  <c r="AK254" i="11"/>
  <c r="AL254" i="11"/>
  <c r="AM254" i="11"/>
  <c r="AN254" i="11"/>
  <c r="AO254" i="11"/>
  <c r="AP254" i="11"/>
  <c r="AQ254" i="11"/>
  <c r="AR254" i="11"/>
  <c r="AS254" i="11"/>
  <c r="AT254" i="11"/>
  <c r="AU254" i="11"/>
  <c r="AV254" i="11"/>
  <c r="AW254" i="11"/>
  <c r="AX254" i="11"/>
  <c r="AY254" i="11"/>
  <c r="AZ254" i="11"/>
  <c r="BA254" i="11"/>
  <c r="BB254" i="11"/>
  <c r="BC254" i="11"/>
  <c r="BD254" i="11"/>
  <c r="BE254" i="11"/>
  <c r="BF254" i="11"/>
  <c r="BG254" i="11"/>
  <c r="BH254" i="11"/>
  <c r="BI254" i="11"/>
  <c r="BJ254" i="11"/>
  <c r="BK254" i="11"/>
  <c r="BL254" i="11"/>
  <c r="BM254" i="11"/>
  <c r="BN254" i="11"/>
  <c r="BO254" i="11"/>
  <c r="BP254" i="11"/>
  <c r="BQ254" i="11"/>
  <c r="BR254" i="11"/>
  <c r="BS254" i="11"/>
  <c r="BT254" i="11"/>
  <c r="BU254" i="11"/>
  <c r="BV254" i="11"/>
  <c r="BW254" i="11"/>
  <c r="BZ254" i="11"/>
  <c r="CB254" i="11"/>
  <c r="CA254" i="11"/>
  <c r="CE254" i="11"/>
  <c r="C255" i="11"/>
  <c r="D255" i="11"/>
  <c r="E255" i="11"/>
  <c r="F255" i="11"/>
  <c r="G255" i="11"/>
  <c r="H255" i="11"/>
  <c r="I255" i="11"/>
  <c r="J255" i="11"/>
  <c r="K255" i="11"/>
  <c r="L255" i="11"/>
  <c r="M255" i="11"/>
  <c r="N255" i="11"/>
  <c r="O255" i="11"/>
  <c r="P255" i="11"/>
  <c r="Q255" i="11"/>
  <c r="R255" i="11"/>
  <c r="S255" i="11"/>
  <c r="T255" i="11"/>
  <c r="U255" i="11"/>
  <c r="V255" i="11"/>
  <c r="W255" i="11"/>
  <c r="X255" i="11"/>
  <c r="Y255" i="11"/>
  <c r="Z255" i="11"/>
  <c r="AA255" i="11"/>
  <c r="AB255" i="11"/>
  <c r="AC255" i="11"/>
  <c r="AD255" i="11"/>
  <c r="AE255" i="11"/>
  <c r="AF255" i="11"/>
  <c r="AG255" i="11"/>
  <c r="AH255" i="11"/>
  <c r="AI255" i="11"/>
  <c r="AJ255" i="11"/>
  <c r="AK255" i="11"/>
  <c r="AL255" i="11"/>
  <c r="AM255" i="11"/>
  <c r="AN255" i="11"/>
  <c r="AO255" i="11"/>
  <c r="AP255" i="11"/>
  <c r="AQ255" i="11"/>
  <c r="AR255" i="11"/>
  <c r="AS255" i="11"/>
  <c r="AT255" i="11"/>
  <c r="AU255" i="11"/>
  <c r="AV255" i="11"/>
  <c r="AW255" i="11"/>
  <c r="AX255" i="11"/>
  <c r="AY255" i="11"/>
  <c r="AZ255" i="11"/>
  <c r="BA255" i="11"/>
  <c r="BB255" i="11"/>
  <c r="BC255" i="11"/>
  <c r="BD255" i="11"/>
  <c r="BE255" i="11"/>
  <c r="BF255" i="11"/>
  <c r="BG255" i="11"/>
  <c r="BH255" i="11"/>
  <c r="BI255" i="11"/>
  <c r="BJ255" i="11"/>
  <c r="BK255" i="11"/>
  <c r="BL255" i="11"/>
  <c r="BM255" i="11"/>
  <c r="BN255" i="11"/>
  <c r="BO255" i="11"/>
  <c r="BP255" i="11"/>
  <c r="BQ255" i="11"/>
  <c r="BR255" i="11"/>
  <c r="BS255" i="11"/>
  <c r="BT255" i="11"/>
  <c r="BU255" i="11"/>
  <c r="BV255" i="11"/>
  <c r="BW255" i="11"/>
  <c r="BZ255" i="11"/>
  <c r="CB255" i="11"/>
  <c r="CA255" i="11"/>
  <c r="CE255" i="11"/>
  <c r="C256" i="11"/>
  <c r="D256" i="11"/>
  <c r="E256" i="11"/>
  <c r="F256" i="11"/>
  <c r="G256" i="11"/>
  <c r="H256" i="11"/>
  <c r="I256" i="11"/>
  <c r="J256" i="11"/>
  <c r="K256" i="11"/>
  <c r="L256" i="11"/>
  <c r="M256" i="11"/>
  <c r="N256" i="11"/>
  <c r="O256" i="11"/>
  <c r="P256" i="11"/>
  <c r="Q256" i="11"/>
  <c r="R256" i="11"/>
  <c r="S256" i="11"/>
  <c r="T256" i="11"/>
  <c r="U256" i="11"/>
  <c r="V256" i="11"/>
  <c r="W256" i="11"/>
  <c r="X256" i="11"/>
  <c r="Y256" i="11"/>
  <c r="Z256" i="11"/>
  <c r="AA256" i="11"/>
  <c r="AB256" i="11"/>
  <c r="AC256" i="11"/>
  <c r="AD256" i="11"/>
  <c r="AE256" i="11"/>
  <c r="AF256" i="11"/>
  <c r="AG256" i="11"/>
  <c r="AH256" i="11"/>
  <c r="AI256" i="11"/>
  <c r="AJ256" i="11"/>
  <c r="AK256" i="11"/>
  <c r="AL256" i="11"/>
  <c r="AM256" i="11"/>
  <c r="AN256" i="11"/>
  <c r="AO256" i="11"/>
  <c r="AP256" i="11"/>
  <c r="AQ256" i="11"/>
  <c r="AR256" i="11"/>
  <c r="AS256" i="11"/>
  <c r="AT256" i="11"/>
  <c r="AU256" i="11"/>
  <c r="AV256" i="11"/>
  <c r="AW256" i="11"/>
  <c r="AX256" i="11"/>
  <c r="AY256" i="11"/>
  <c r="AZ256" i="11"/>
  <c r="BA256" i="11"/>
  <c r="BB256" i="11"/>
  <c r="BC256" i="11"/>
  <c r="BD256" i="11"/>
  <c r="BE256" i="11"/>
  <c r="BF256" i="11"/>
  <c r="BG256" i="11"/>
  <c r="BH256" i="11"/>
  <c r="BI256" i="11"/>
  <c r="BJ256" i="11"/>
  <c r="BK256" i="11"/>
  <c r="BL256" i="11"/>
  <c r="BM256" i="11"/>
  <c r="BN256" i="11"/>
  <c r="BO256" i="11"/>
  <c r="BP256" i="11"/>
  <c r="BQ256" i="11"/>
  <c r="BR256" i="11"/>
  <c r="BS256" i="11"/>
  <c r="BT256" i="11"/>
  <c r="BU256" i="11"/>
  <c r="BV256" i="11"/>
  <c r="BW256" i="11"/>
  <c r="BZ256" i="11"/>
  <c r="CB256" i="11"/>
  <c r="CA256" i="11"/>
  <c r="CE256" i="11"/>
  <c r="C257" i="11"/>
  <c r="D257" i="11"/>
  <c r="E257" i="11"/>
  <c r="F257" i="11"/>
  <c r="G257" i="11"/>
  <c r="H257" i="11"/>
  <c r="I257" i="11"/>
  <c r="J257" i="11"/>
  <c r="K257" i="11"/>
  <c r="L257" i="11"/>
  <c r="M257" i="11"/>
  <c r="N257" i="11"/>
  <c r="O257" i="11"/>
  <c r="P257" i="11"/>
  <c r="Q257" i="11"/>
  <c r="R257" i="11"/>
  <c r="S257" i="11"/>
  <c r="T257" i="11"/>
  <c r="U257" i="11"/>
  <c r="V257" i="11"/>
  <c r="W257" i="11"/>
  <c r="X257" i="11"/>
  <c r="Y257" i="11"/>
  <c r="Z257" i="11"/>
  <c r="AA257" i="11"/>
  <c r="AB257" i="11"/>
  <c r="AC257" i="11"/>
  <c r="AD257" i="11"/>
  <c r="AE257" i="11"/>
  <c r="AF257" i="11"/>
  <c r="AG257" i="11"/>
  <c r="AH257" i="11"/>
  <c r="AI257" i="11"/>
  <c r="AJ257" i="11"/>
  <c r="AK257" i="11"/>
  <c r="AL257" i="11"/>
  <c r="AM257" i="11"/>
  <c r="AN257" i="11"/>
  <c r="AO257" i="11"/>
  <c r="AP257" i="11"/>
  <c r="AQ257" i="11"/>
  <c r="AR257" i="11"/>
  <c r="AS257" i="11"/>
  <c r="AT257" i="11"/>
  <c r="AU257" i="11"/>
  <c r="AV257" i="11"/>
  <c r="AW257" i="11"/>
  <c r="AX257" i="11"/>
  <c r="AY257" i="11"/>
  <c r="AZ257" i="11"/>
  <c r="BA257" i="11"/>
  <c r="BB257" i="11"/>
  <c r="BC257" i="11"/>
  <c r="BD257" i="11"/>
  <c r="BE257" i="11"/>
  <c r="BF257" i="11"/>
  <c r="BG257" i="11"/>
  <c r="BH257" i="11"/>
  <c r="BI257" i="11"/>
  <c r="BJ257" i="11"/>
  <c r="BK257" i="11"/>
  <c r="BL257" i="11"/>
  <c r="BM257" i="11"/>
  <c r="BN257" i="11"/>
  <c r="BO257" i="11"/>
  <c r="BP257" i="11"/>
  <c r="BQ257" i="11"/>
  <c r="BR257" i="11"/>
  <c r="BS257" i="11"/>
  <c r="BT257" i="11"/>
  <c r="BU257" i="11"/>
  <c r="BV257" i="11"/>
  <c r="BW257" i="11"/>
  <c r="BZ257" i="11"/>
  <c r="CB257" i="11"/>
  <c r="CA257" i="11"/>
  <c r="CE257" i="11"/>
  <c r="C258" i="11"/>
  <c r="D258" i="11"/>
  <c r="E258" i="11"/>
  <c r="F258" i="11"/>
  <c r="G258" i="11"/>
  <c r="H258" i="11"/>
  <c r="I258" i="11"/>
  <c r="J258" i="11"/>
  <c r="K258" i="11"/>
  <c r="L258" i="11"/>
  <c r="M258" i="11"/>
  <c r="N258" i="11"/>
  <c r="O258" i="11"/>
  <c r="P258" i="11"/>
  <c r="Q258" i="11"/>
  <c r="R258" i="11"/>
  <c r="S258" i="11"/>
  <c r="T258" i="11"/>
  <c r="U258" i="11"/>
  <c r="V258" i="11"/>
  <c r="W258" i="11"/>
  <c r="X258" i="11"/>
  <c r="Y258" i="11"/>
  <c r="Z258" i="11"/>
  <c r="AA258" i="11"/>
  <c r="AB258" i="11"/>
  <c r="AC258" i="11"/>
  <c r="AD258" i="11"/>
  <c r="AE258" i="11"/>
  <c r="AF258" i="11"/>
  <c r="AG258" i="11"/>
  <c r="AH258" i="11"/>
  <c r="AI258" i="11"/>
  <c r="AJ258" i="11"/>
  <c r="AK258" i="11"/>
  <c r="AL258" i="11"/>
  <c r="AM258" i="11"/>
  <c r="AN258" i="11"/>
  <c r="AO258" i="11"/>
  <c r="AP258" i="11"/>
  <c r="AQ258" i="11"/>
  <c r="AR258" i="11"/>
  <c r="AS258" i="11"/>
  <c r="AT258" i="11"/>
  <c r="AU258" i="11"/>
  <c r="AV258" i="11"/>
  <c r="AW258" i="11"/>
  <c r="AX258" i="11"/>
  <c r="AY258" i="11"/>
  <c r="AZ258" i="11"/>
  <c r="BA258" i="11"/>
  <c r="BB258" i="11"/>
  <c r="BC258" i="11"/>
  <c r="BD258" i="11"/>
  <c r="BE258" i="11"/>
  <c r="BF258" i="11"/>
  <c r="BG258" i="11"/>
  <c r="BH258" i="11"/>
  <c r="BI258" i="11"/>
  <c r="BJ258" i="11"/>
  <c r="BK258" i="11"/>
  <c r="BL258" i="11"/>
  <c r="BM258" i="11"/>
  <c r="BN258" i="11"/>
  <c r="BO258" i="11"/>
  <c r="BP258" i="11"/>
  <c r="BQ258" i="11"/>
  <c r="BR258" i="11"/>
  <c r="BS258" i="11"/>
  <c r="BT258" i="11"/>
  <c r="BU258" i="11"/>
  <c r="BV258" i="11"/>
  <c r="BW258" i="11"/>
  <c r="BZ258" i="11"/>
  <c r="CB258" i="11"/>
  <c r="CA258" i="11"/>
  <c r="CE258" i="11"/>
  <c r="C259" i="11"/>
  <c r="D259" i="11"/>
  <c r="E259" i="11"/>
  <c r="F259" i="11"/>
  <c r="G259" i="11"/>
  <c r="H259" i="11"/>
  <c r="I259" i="11"/>
  <c r="J259" i="11"/>
  <c r="K259" i="11"/>
  <c r="L259" i="11"/>
  <c r="M259" i="11"/>
  <c r="N259" i="11"/>
  <c r="O259" i="11"/>
  <c r="P259" i="11"/>
  <c r="Q259" i="11"/>
  <c r="R259" i="11"/>
  <c r="S259" i="11"/>
  <c r="T259" i="11"/>
  <c r="U259" i="11"/>
  <c r="V259" i="11"/>
  <c r="W259" i="11"/>
  <c r="X259" i="11"/>
  <c r="Y259" i="11"/>
  <c r="Z259" i="11"/>
  <c r="AA259" i="11"/>
  <c r="AB259" i="11"/>
  <c r="AC259" i="11"/>
  <c r="AD259" i="11"/>
  <c r="AE259" i="11"/>
  <c r="AF259" i="11"/>
  <c r="AG259" i="11"/>
  <c r="AH259" i="11"/>
  <c r="AI259" i="11"/>
  <c r="AJ259" i="11"/>
  <c r="AK259" i="11"/>
  <c r="AL259" i="11"/>
  <c r="AM259" i="11"/>
  <c r="AN259" i="11"/>
  <c r="AO259" i="11"/>
  <c r="AP259" i="11"/>
  <c r="AQ259" i="11"/>
  <c r="AR259" i="11"/>
  <c r="AS259" i="11"/>
  <c r="AT259" i="11"/>
  <c r="AU259" i="11"/>
  <c r="AV259" i="11"/>
  <c r="AW259" i="11"/>
  <c r="AX259" i="11"/>
  <c r="AY259" i="11"/>
  <c r="AZ259" i="11"/>
  <c r="BA259" i="11"/>
  <c r="BB259" i="11"/>
  <c r="BC259" i="11"/>
  <c r="BD259" i="11"/>
  <c r="BE259" i="11"/>
  <c r="BF259" i="11"/>
  <c r="BG259" i="11"/>
  <c r="BH259" i="11"/>
  <c r="BI259" i="11"/>
  <c r="BJ259" i="11"/>
  <c r="BK259" i="11"/>
  <c r="BL259" i="11"/>
  <c r="BM259" i="11"/>
  <c r="BN259" i="11"/>
  <c r="BO259" i="11"/>
  <c r="BP259" i="11"/>
  <c r="BQ259" i="11"/>
  <c r="BR259" i="11"/>
  <c r="BS259" i="11"/>
  <c r="BT259" i="11"/>
  <c r="BU259" i="11"/>
  <c r="BV259" i="11"/>
  <c r="BW259" i="11"/>
  <c r="BZ259" i="11"/>
  <c r="CB259" i="11"/>
  <c r="CA259" i="11"/>
  <c r="CE259" i="11"/>
  <c r="C260" i="11"/>
  <c r="D260" i="11"/>
  <c r="E260" i="11"/>
  <c r="F260" i="11"/>
  <c r="G260" i="11"/>
  <c r="H260" i="11"/>
  <c r="I260" i="11"/>
  <c r="J260" i="11"/>
  <c r="K260" i="11"/>
  <c r="L260" i="11"/>
  <c r="M260" i="11"/>
  <c r="N260" i="11"/>
  <c r="O260" i="11"/>
  <c r="P260" i="11"/>
  <c r="Q260" i="11"/>
  <c r="R260" i="11"/>
  <c r="S260" i="11"/>
  <c r="T260" i="11"/>
  <c r="U260" i="11"/>
  <c r="V260" i="11"/>
  <c r="W260" i="11"/>
  <c r="X260" i="11"/>
  <c r="Y260" i="11"/>
  <c r="Z260" i="11"/>
  <c r="AA260" i="11"/>
  <c r="AB260" i="11"/>
  <c r="AC260" i="11"/>
  <c r="AD260" i="11"/>
  <c r="AE260" i="11"/>
  <c r="AF260" i="11"/>
  <c r="AG260" i="11"/>
  <c r="AH260" i="11"/>
  <c r="AI260" i="11"/>
  <c r="AJ260" i="11"/>
  <c r="AK260" i="11"/>
  <c r="AL260" i="11"/>
  <c r="AM260" i="11"/>
  <c r="AN260" i="11"/>
  <c r="AO260" i="11"/>
  <c r="AP260" i="11"/>
  <c r="AQ260" i="11"/>
  <c r="AR260" i="11"/>
  <c r="AS260" i="11"/>
  <c r="AT260" i="11"/>
  <c r="AU260" i="11"/>
  <c r="AV260" i="11"/>
  <c r="AW260" i="11"/>
  <c r="AX260" i="11"/>
  <c r="AY260" i="11"/>
  <c r="AZ260" i="11"/>
  <c r="BA260" i="11"/>
  <c r="BB260" i="11"/>
  <c r="BC260" i="11"/>
  <c r="BD260" i="11"/>
  <c r="BE260" i="11"/>
  <c r="BF260" i="11"/>
  <c r="BG260" i="11"/>
  <c r="BH260" i="11"/>
  <c r="BI260" i="11"/>
  <c r="BJ260" i="11"/>
  <c r="BK260" i="11"/>
  <c r="BL260" i="11"/>
  <c r="BM260" i="11"/>
  <c r="BN260" i="11"/>
  <c r="BO260" i="11"/>
  <c r="BP260" i="11"/>
  <c r="BQ260" i="11"/>
  <c r="BR260" i="11"/>
  <c r="BS260" i="11"/>
  <c r="BT260" i="11"/>
  <c r="BU260" i="11"/>
  <c r="BV260" i="11"/>
  <c r="BW260" i="11"/>
  <c r="BZ260" i="11"/>
  <c r="CB260" i="11"/>
  <c r="CA260" i="11"/>
  <c r="CE260" i="11"/>
  <c r="C261" i="11"/>
  <c r="D261" i="11"/>
  <c r="E261" i="11"/>
  <c r="F261" i="11"/>
  <c r="G261" i="11"/>
  <c r="H261" i="11"/>
  <c r="I261" i="11"/>
  <c r="J261" i="11"/>
  <c r="K261" i="11"/>
  <c r="L261" i="11"/>
  <c r="M261" i="11"/>
  <c r="N261" i="11"/>
  <c r="O261" i="11"/>
  <c r="P261" i="11"/>
  <c r="Q261" i="11"/>
  <c r="R261" i="11"/>
  <c r="S261" i="11"/>
  <c r="T261" i="11"/>
  <c r="U261" i="11"/>
  <c r="V261" i="11"/>
  <c r="W261" i="11"/>
  <c r="X261" i="11"/>
  <c r="Y261" i="11"/>
  <c r="Z261" i="11"/>
  <c r="AA261" i="11"/>
  <c r="AB261" i="11"/>
  <c r="AC261" i="11"/>
  <c r="AD261" i="11"/>
  <c r="AE261" i="11"/>
  <c r="AF261" i="11"/>
  <c r="AG261" i="11"/>
  <c r="AH261" i="11"/>
  <c r="AI261" i="11"/>
  <c r="AJ261" i="11"/>
  <c r="AK261" i="11"/>
  <c r="AL261" i="11"/>
  <c r="AM261" i="11"/>
  <c r="AN261" i="11"/>
  <c r="AO261" i="11"/>
  <c r="AP261" i="11"/>
  <c r="AQ261" i="11"/>
  <c r="AR261" i="11"/>
  <c r="AS261" i="11"/>
  <c r="AT261" i="11"/>
  <c r="AU261" i="11"/>
  <c r="AV261" i="11"/>
  <c r="AW261" i="11"/>
  <c r="AX261" i="11"/>
  <c r="AY261" i="11"/>
  <c r="AZ261" i="11"/>
  <c r="BA261" i="11"/>
  <c r="BB261" i="11"/>
  <c r="BC261" i="11"/>
  <c r="BD261" i="11"/>
  <c r="BE261" i="11"/>
  <c r="BF261" i="11"/>
  <c r="BG261" i="11"/>
  <c r="BH261" i="11"/>
  <c r="BI261" i="11"/>
  <c r="BJ261" i="11"/>
  <c r="BK261" i="11"/>
  <c r="BL261" i="11"/>
  <c r="BM261" i="11"/>
  <c r="BN261" i="11"/>
  <c r="BO261" i="11"/>
  <c r="BP261" i="11"/>
  <c r="BQ261" i="11"/>
  <c r="BR261" i="11"/>
  <c r="BS261" i="11"/>
  <c r="BT261" i="11"/>
  <c r="BU261" i="11"/>
  <c r="BV261" i="11"/>
  <c r="BW261" i="11"/>
  <c r="BZ261" i="11"/>
  <c r="CB261" i="11"/>
  <c r="CA261" i="11"/>
  <c r="CE261" i="11"/>
  <c r="C262" i="11"/>
  <c r="D262" i="11"/>
  <c r="E262" i="11"/>
  <c r="F262" i="11"/>
  <c r="G262" i="11"/>
  <c r="H262" i="11"/>
  <c r="I262" i="11"/>
  <c r="J262" i="11"/>
  <c r="K262" i="11"/>
  <c r="L262" i="11"/>
  <c r="M262" i="11"/>
  <c r="N262" i="11"/>
  <c r="O262" i="11"/>
  <c r="P262" i="11"/>
  <c r="Q262" i="11"/>
  <c r="R262" i="11"/>
  <c r="S262" i="11"/>
  <c r="T262" i="11"/>
  <c r="U262" i="11"/>
  <c r="V262" i="11"/>
  <c r="W262" i="11"/>
  <c r="X262" i="11"/>
  <c r="Y262" i="11"/>
  <c r="Z262" i="11"/>
  <c r="AA262" i="11"/>
  <c r="AB262" i="11"/>
  <c r="AC262" i="11"/>
  <c r="AD262" i="11"/>
  <c r="AE262" i="11"/>
  <c r="AF262" i="11"/>
  <c r="AG262" i="11"/>
  <c r="AH262" i="11"/>
  <c r="AI262" i="11"/>
  <c r="AJ262" i="11"/>
  <c r="AK262" i="11"/>
  <c r="AL262" i="11"/>
  <c r="AM262" i="11"/>
  <c r="AN262" i="11"/>
  <c r="AO262" i="11"/>
  <c r="AP262" i="11"/>
  <c r="AQ262" i="11"/>
  <c r="AR262" i="11"/>
  <c r="AS262" i="11"/>
  <c r="AT262" i="11"/>
  <c r="AU262" i="11"/>
  <c r="AV262" i="11"/>
  <c r="AW262" i="11"/>
  <c r="AX262" i="11"/>
  <c r="AY262" i="11"/>
  <c r="AZ262" i="11"/>
  <c r="BA262" i="11"/>
  <c r="BB262" i="11"/>
  <c r="BC262" i="11"/>
  <c r="BD262" i="11"/>
  <c r="BE262" i="11"/>
  <c r="BF262" i="11"/>
  <c r="BG262" i="11"/>
  <c r="BH262" i="11"/>
  <c r="BI262" i="11"/>
  <c r="BJ262" i="11"/>
  <c r="BK262" i="11"/>
  <c r="BL262" i="11"/>
  <c r="BM262" i="11"/>
  <c r="BN262" i="11"/>
  <c r="BO262" i="11"/>
  <c r="BP262" i="11"/>
  <c r="BQ262" i="11"/>
  <c r="BR262" i="11"/>
  <c r="BS262" i="11"/>
  <c r="BT262" i="11"/>
  <c r="BU262" i="11"/>
  <c r="BV262" i="11"/>
  <c r="BW262" i="11"/>
  <c r="BZ262" i="11"/>
  <c r="CB262" i="11"/>
  <c r="CA262" i="11"/>
  <c r="CE262" i="11"/>
  <c r="C263" i="11"/>
  <c r="D263" i="11"/>
  <c r="E263" i="11"/>
  <c r="F263" i="11"/>
  <c r="G263" i="11"/>
  <c r="H263" i="11"/>
  <c r="I263" i="11"/>
  <c r="J263" i="11"/>
  <c r="K263" i="11"/>
  <c r="L263" i="11"/>
  <c r="M263" i="11"/>
  <c r="N263" i="11"/>
  <c r="O263" i="11"/>
  <c r="P263" i="11"/>
  <c r="Q263" i="11"/>
  <c r="R263" i="11"/>
  <c r="S263" i="11"/>
  <c r="T263" i="11"/>
  <c r="U263" i="11"/>
  <c r="V263" i="11"/>
  <c r="W263" i="11"/>
  <c r="X263" i="11"/>
  <c r="Y263" i="11"/>
  <c r="Z263" i="11"/>
  <c r="AA263" i="11"/>
  <c r="AB263" i="11"/>
  <c r="AC263" i="11"/>
  <c r="AD263" i="11"/>
  <c r="AE263" i="11"/>
  <c r="AF263" i="11"/>
  <c r="AG263" i="11"/>
  <c r="AH263" i="11"/>
  <c r="AI263" i="11"/>
  <c r="AJ263" i="11"/>
  <c r="AK263" i="11"/>
  <c r="AL263" i="11"/>
  <c r="AM263" i="11"/>
  <c r="AN263" i="11"/>
  <c r="AO263" i="11"/>
  <c r="AP263" i="11"/>
  <c r="AQ263" i="11"/>
  <c r="AR263" i="11"/>
  <c r="AS263" i="11"/>
  <c r="AT263" i="11"/>
  <c r="AU263" i="11"/>
  <c r="AV263" i="11"/>
  <c r="AW263" i="11"/>
  <c r="AX263" i="11"/>
  <c r="AY263" i="11"/>
  <c r="AZ263" i="11"/>
  <c r="BA263" i="11"/>
  <c r="BB263" i="11"/>
  <c r="BC263" i="11"/>
  <c r="BD263" i="11"/>
  <c r="BE263" i="11"/>
  <c r="BF263" i="11"/>
  <c r="BG263" i="11"/>
  <c r="BH263" i="11"/>
  <c r="BI263" i="11"/>
  <c r="BJ263" i="11"/>
  <c r="BK263" i="11"/>
  <c r="BL263" i="11"/>
  <c r="BM263" i="11"/>
  <c r="BN263" i="11"/>
  <c r="BO263" i="11"/>
  <c r="BP263" i="11"/>
  <c r="BQ263" i="11"/>
  <c r="BR263" i="11"/>
  <c r="BS263" i="11"/>
  <c r="BT263" i="11"/>
  <c r="BU263" i="11"/>
  <c r="BV263" i="11"/>
  <c r="BW263" i="11"/>
  <c r="BZ263" i="11"/>
  <c r="CB263" i="11"/>
  <c r="CA263" i="11"/>
  <c r="CE263" i="11"/>
  <c r="C264" i="11"/>
  <c r="D264" i="11"/>
  <c r="E264" i="11"/>
  <c r="F264" i="11"/>
  <c r="G264" i="11"/>
  <c r="H264" i="11"/>
  <c r="I264" i="11"/>
  <c r="J264" i="11"/>
  <c r="K264" i="11"/>
  <c r="L264" i="11"/>
  <c r="M264" i="11"/>
  <c r="N264" i="11"/>
  <c r="O264" i="11"/>
  <c r="P264" i="11"/>
  <c r="Q264" i="11"/>
  <c r="R264" i="11"/>
  <c r="S264" i="11"/>
  <c r="T264" i="11"/>
  <c r="U264" i="11"/>
  <c r="V264" i="11"/>
  <c r="W264" i="11"/>
  <c r="X264" i="11"/>
  <c r="Y264" i="11"/>
  <c r="Z264" i="11"/>
  <c r="AA264" i="11"/>
  <c r="AB264" i="11"/>
  <c r="AC264" i="11"/>
  <c r="AD264" i="11"/>
  <c r="AE264" i="11"/>
  <c r="AF264" i="11"/>
  <c r="AG264" i="11"/>
  <c r="AH264" i="11"/>
  <c r="AI264" i="11"/>
  <c r="AJ264" i="11"/>
  <c r="AK264" i="11"/>
  <c r="AL264" i="11"/>
  <c r="AM264" i="11"/>
  <c r="AN264" i="11"/>
  <c r="AO264" i="11"/>
  <c r="AP264" i="11"/>
  <c r="AQ264" i="11"/>
  <c r="AR264" i="11"/>
  <c r="AS264" i="11"/>
  <c r="AT264" i="11"/>
  <c r="AU264" i="11"/>
  <c r="AV264" i="11"/>
  <c r="AW264" i="11"/>
  <c r="AX264" i="11"/>
  <c r="AY264" i="11"/>
  <c r="AZ264" i="11"/>
  <c r="BA264" i="11"/>
  <c r="BB264" i="11"/>
  <c r="BC264" i="11"/>
  <c r="BD264" i="11"/>
  <c r="BE264" i="11"/>
  <c r="BF264" i="11"/>
  <c r="BG264" i="11"/>
  <c r="BH264" i="11"/>
  <c r="BI264" i="11"/>
  <c r="BJ264" i="11"/>
  <c r="BK264" i="11"/>
  <c r="BL264" i="11"/>
  <c r="BM264" i="11"/>
  <c r="BN264" i="11"/>
  <c r="BO264" i="11"/>
  <c r="BP264" i="11"/>
  <c r="BQ264" i="11"/>
  <c r="BR264" i="11"/>
  <c r="BS264" i="11"/>
  <c r="BT264" i="11"/>
  <c r="BU264" i="11"/>
  <c r="BV264" i="11"/>
  <c r="BW264" i="11"/>
  <c r="BZ264" i="11"/>
  <c r="CB264" i="11"/>
  <c r="CA264" i="11"/>
  <c r="CE264" i="11"/>
  <c r="C265" i="11"/>
  <c r="D265" i="11"/>
  <c r="E265" i="11"/>
  <c r="F265" i="11"/>
  <c r="G265" i="11"/>
  <c r="H265" i="11"/>
  <c r="I265" i="11"/>
  <c r="J265" i="11"/>
  <c r="K265" i="11"/>
  <c r="L265" i="11"/>
  <c r="M265" i="11"/>
  <c r="N265" i="11"/>
  <c r="O265" i="11"/>
  <c r="P265" i="11"/>
  <c r="Q265" i="11"/>
  <c r="R265" i="11"/>
  <c r="S265" i="11"/>
  <c r="T265" i="11"/>
  <c r="U265" i="11"/>
  <c r="V265" i="11"/>
  <c r="W265" i="11"/>
  <c r="X265" i="11"/>
  <c r="Y265" i="11"/>
  <c r="Z265" i="11"/>
  <c r="AA265" i="11"/>
  <c r="AB265" i="11"/>
  <c r="AC265" i="11"/>
  <c r="AD265" i="11"/>
  <c r="AE265" i="11"/>
  <c r="AF265" i="11"/>
  <c r="AG265" i="11"/>
  <c r="AH265" i="11"/>
  <c r="AI265" i="11"/>
  <c r="AJ265" i="11"/>
  <c r="AK265" i="11"/>
  <c r="AL265" i="11"/>
  <c r="AM265" i="11"/>
  <c r="AN265" i="11"/>
  <c r="AO265" i="11"/>
  <c r="AP265" i="11"/>
  <c r="AQ265" i="11"/>
  <c r="AR265" i="11"/>
  <c r="AS265" i="11"/>
  <c r="AT265" i="11"/>
  <c r="AU265" i="11"/>
  <c r="AV265" i="11"/>
  <c r="AW265" i="11"/>
  <c r="AX265" i="11"/>
  <c r="AY265" i="11"/>
  <c r="AZ265" i="11"/>
  <c r="BA265" i="11"/>
  <c r="BB265" i="11"/>
  <c r="BC265" i="11"/>
  <c r="BD265" i="11"/>
  <c r="BE265" i="11"/>
  <c r="BF265" i="11"/>
  <c r="BG265" i="11"/>
  <c r="BH265" i="11"/>
  <c r="BI265" i="11"/>
  <c r="BJ265" i="11"/>
  <c r="BK265" i="11"/>
  <c r="BL265" i="11"/>
  <c r="BM265" i="11"/>
  <c r="BN265" i="11"/>
  <c r="BO265" i="11"/>
  <c r="BP265" i="11"/>
  <c r="BQ265" i="11"/>
  <c r="BR265" i="11"/>
  <c r="BS265" i="11"/>
  <c r="BT265" i="11"/>
  <c r="BU265" i="11"/>
  <c r="BV265" i="11"/>
  <c r="BW265" i="11"/>
  <c r="BZ265" i="11"/>
  <c r="CB265" i="11"/>
  <c r="CA265" i="11"/>
  <c r="CE265" i="11"/>
  <c r="C266" i="11"/>
  <c r="D266" i="11"/>
  <c r="E266" i="11"/>
  <c r="F266" i="11"/>
  <c r="G266" i="11"/>
  <c r="H266" i="11"/>
  <c r="I266" i="11"/>
  <c r="J266" i="11"/>
  <c r="K266" i="11"/>
  <c r="L266" i="11"/>
  <c r="M266" i="11"/>
  <c r="N266" i="11"/>
  <c r="O266" i="11"/>
  <c r="P266" i="11"/>
  <c r="Q266" i="11"/>
  <c r="R266" i="11"/>
  <c r="S266" i="11"/>
  <c r="T266" i="11"/>
  <c r="U266" i="11"/>
  <c r="V266" i="11"/>
  <c r="W266" i="11"/>
  <c r="X266" i="11"/>
  <c r="Y266" i="11"/>
  <c r="Z266" i="11"/>
  <c r="AA266" i="11"/>
  <c r="AB266" i="11"/>
  <c r="AC266" i="11"/>
  <c r="AD266" i="11"/>
  <c r="AE266" i="11"/>
  <c r="AF266" i="11"/>
  <c r="AG266" i="11"/>
  <c r="AH266" i="11"/>
  <c r="AI266" i="11"/>
  <c r="AJ266" i="11"/>
  <c r="AK266" i="11"/>
  <c r="AL266" i="11"/>
  <c r="AM266" i="11"/>
  <c r="AN266" i="11"/>
  <c r="AO266" i="11"/>
  <c r="AP266" i="11"/>
  <c r="AQ266" i="11"/>
  <c r="AR266" i="11"/>
  <c r="AS266" i="11"/>
  <c r="AT266" i="11"/>
  <c r="AU266" i="11"/>
  <c r="AV266" i="11"/>
  <c r="AW266" i="11"/>
  <c r="AX266" i="11"/>
  <c r="AY266" i="11"/>
  <c r="AZ266" i="11"/>
  <c r="BA266" i="11"/>
  <c r="BB266" i="11"/>
  <c r="BC266" i="11"/>
  <c r="BD266" i="11"/>
  <c r="BE266" i="11"/>
  <c r="BF266" i="11"/>
  <c r="BG266" i="11"/>
  <c r="BH266" i="11"/>
  <c r="BI266" i="11"/>
  <c r="BJ266" i="11"/>
  <c r="BK266" i="11"/>
  <c r="BL266" i="11"/>
  <c r="BM266" i="11"/>
  <c r="BN266" i="11"/>
  <c r="BO266" i="11"/>
  <c r="BP266" i="11"/>
  <c r="BQ266" i="11"/>
  <c r="BR266" i="11"/>
  <c r="BS266" i="11"/>
  <c r="BT266" i="11"/>
  <c r="BU266" i="11"/>
  <c r="BV266" i="11"/>
  <c r="BW266" i="11"/>
  <c r="BZ266" i="11"/>
  <c r="CB266" i="11"/>
  <c r="CA266" i="11"/>
  <c r="CE266" i="11"/>
  <c r="C267" i="11"/>
  <c r="D267" i="11"/>
  <c r="E267" i="11"/>
  <c r="F267" i="11"/>
  <c r="G267" i="11"/>
  <c r="H267" i="11"/>
  <c r="I267" i="11"/>
  <c r="J267" i="11"/>
  <c r="K267" i="11"/>
  <c r="L267" i="11"/>
  <c r="M267" i="11"/>
  <c r="N267" i="11"/>
  <c r="O267" i="11"/>
  <c r="P267" i="11"/>
  <c r="Q267" i="11"/>
  <c r="R267" i="11"/>
  <c r="S267" i="11"/>
  <c r="T267" i="11"/>
  <c r="U267" i="11"/>
  <c r="V267" i="11"/>
  <c r="W267" i="11"/>
  <c r="X267" i="11"/>
  <c r="Y267" i="11"/>
  <c r="Z267" i="11"/>
  <c r="AA267" i="11"/>
  <c r="AB267" i="11"/>
  <c r="AC267" i="11"/>
  <c r="AD267" i="11"/>
  <c r="AE267" i="11"/>
  <c r="AF267" i="11"/>
  <c r="AG267" i="11"/>
  <c r="AH267" i="11"/>
  <c r="AI267" i="11"/>
  <c r="AJ267" i="11"/>
  <c r="AK267" i="11"/>
  <c r="AL267" i="11"/>
  <c r="AM267" i="11"/>
  <c r="AN267" i="11"/>
  <c r="AO267" i="11"/>
  <c r="AP267" i="11"/>
  <c r="AQ267" i="11"/>
  <c r="AR267" i="11"/>
  <c r="AS267" i="11"/>
  <c r="AT267" i="11"/>
  <c r="AU267" i="11"/>
  <c r="AV267" i="11"/>
  <c r="AW267" i="11"/>
  <c r="AX267" i="11"/>
  <c r="AY267" i="11"/>
  <c r="AZ267" i="11"/>
  <c r="BA267" i="11"/>
  <c r="BB267" i="11"/>
  <c r="BC267" i="11"/>
  <c r="BD267" i="11"/>
  <c r="BE267" i="11"/>
  <c r="BF267" i="11"/>
  <c r="BG267" i="11"/>
  <c r="BH267" i="11"/>
  <c r="BI267" i="11"/>
  <c r="BJ267" i="11"/>
  <c r="BK267" i="11"/>
  <c r="BL267" i="11"/>
  <c r="BM267" i="11"/>
  <c r="BN267" i="11"/>
  <c r="BO267" i="11"/>
  <c r="BP267" i="11"/>
  <c r="BQ267" i="11"/>
  <c r="BR267" i="11"/>
  <c r="BS267" i="11"/>
  <c r="BT267" i="11"/>
  <c r="BU267" i="11"/>
  <c r="BV267" i="11"/>
  <c r="BW267" i="11"/>
  <c r="BZ267" i="11"/>
  <c r="CB267" i="11"/>
  <c r="CA267" i="11"/>
  <c r="CE267" i="11"/>
  <c r="C268" i="11"/>
  <c r="D268" i="11"/>
  <c r="E268" i="11"/>
  <c r="F268" i="11"/>
  <c r="G268" i="11"/>
  <c r="H268" i="11"/>
  <c r="I268" i="11"/>
  <c r="J268" i="11"/>
  <c r="K268" i="11"/>
  <c r="L268" i="11"/>
  <c r="M268" i="11"/>
  <c r="N268" i="11"/>
  <c r="O268" i="11"/>
  <c r="P268" i="11"/>
  <c r="Q268" i="11"/>
  <c r="R268" i="11"/>
  <c r="S268" i="11"/>
  <c r="T268" i="11"/>
  <c r="U268" i="11"/>
  <c r="V268" i="11"/>
  <c r="W268" i="11"/>
  <c r="X268" i="11"/>
  <c r="Y268" i="11"/>
  <c r="Z268" i="11"/>
  <c r="AA268" i="11"/>
  <c r="AB268" i="11"/>
  <c r="AC268" i="11"/>
  <c r="AD268" i="11"/>
  <c r="AE268" i="11"/>
  <c r="AF268" i="11"/>
  <c r="AG268" i="11"/>
  <c r="AH268" i="11"/>
  <c r="AI268" i="11"/>
  <c r="AJ268" i="11"/>
  <c r="AK268" i="11"/>
  <c r="AL268" i="11"/>
  <c r="AM268" i="11"/>
  <c r="AN268" i="11"/>
  <c r="AO268" i="11"/>
  <c r="AP268" i="11"/>
  <c r="AQ268" i="11"/>
  <c r="AR268" i="11"/>
  <c r="AS268" i="11"/>
  <c r="AT268" i="11"/>
  <c r="AU268" i="11"/>
  <c r="AV268" i="11"/>
  <c r="AW268" i="11"/>
  <c r="AX268" i="11"/>
  <c r="AY268" i="11"/>
  <c r="AZ268" i="11"/>
  <c r="BA268" i="11"/>
  <c r="BB268" i="11"/>
  <c r="BC268" i="11"/>
  <c r="BD268" i="11"/>
  <c r="BE268" i="11"/>
  <c r="BF268" i="11"/>
  <c r="BG268" i="11"/>
  <c r="BH268" i="11"/>
  <c r="BI268" i="11"/>
  <c r="BJ268" i="11"/>
  <c r="BK268" i="11"/>
  <c r="BL268" i="11"/>
  <c r="BM268" i="11"/>
  <c r="BN268" i="11"/>
  <c r="BO268" i="11"/>
  <c r="BP268" i="11"/>
  <c r="BQ268" i="11"/>
  <c r="BR268" i="11"/>
  <c r="BS268" i="11"/>
  <c r="BT268" i="11"/>
  <c r="BU268" i="11"/>
  <c r="BV268" i="11"/>
  <c r="BW268" i="11"/>
  <c r="BZ268" i="11"/>
  <c r="CB268" i="11"/>
  <c r="CA268" i="11"/>
  <c r="CE268" i="11"/>
  <c r="C269" i="11"/>
  <c r="D269" i="11"/>
  <c r="E269" i="11"/>
  <c r="F269" i="11"/>
  <c r="G269" i="11"/>
  <c r="H269" i="11"/>
  <c r="I269" i="11"/>
  <c r="J269" i="11"/>
  <c r="K269" i="11"/>
  <c r="L269" i="11"/>
  <c r="M269" i="11"/>
  <c r="N269" i="11"/>
  <c r="O269" i="11"/>
  <c r="P269" i="11"/>
  <c r="Q269" i="11"/>
  <c r="R269" i="11"/>
  <c r="S269" i="11"/>
  <c r="T269" i="11"/>
  <c r="U269" i="11"/>
  <c r="V269" i="11"/>
  <c r="W269" i="11"/>
  <c r="X269" i="11"/>
  <c r="Y269" i="11"/>
  <c r="Z269" i="11"/>
  <c r="AA269" i="11"/>
  <c r="AB269" i="11"/>
  <c r="AC269" i="11"/>
  <c r="AD269" i="11"/>
  <c r="AE269" i="11"/>
  <c r="AF269" i="11"/>
  <c r="AG269" i="11"/>
  <c r="AH269" i="11"/>
  <c r="AI269" i="11"/>
  <c r="AJ269" i="11"/>
  <c r="AK269" i="11"/>
  <c r="AL269" i="11"/>
  <c r="AM269" i="11"/>
  <c r="AN269" i="11"/>
  <c r="AO269" i="11"/>
  <c r="AP269" i="11"/>
  <c r="AQ269" i="11"/>
  <c r="AR269" i="11"/>
  <c r="AS269" i="11"/>
  <c r="AT269" i="11"/>
  <c r="AU269" i="11"/>
  <c r="AV269" i="11"/>
  <c r="AW269" i="11"/>
  <c r="AX269" i="11"/>
  <c r="AY269" i="11"/>
  <c r="AZ269" i="11"/>
  <c r="BA269" i="11"/>
  <c r="BB269" i="11"/>
  <c r="BC269" i="11"/>
  <c r="BD269" i="11"/>
  <c r="BE269" i="11"/>
  <c r="BF269" i="11"/>
  <c r="BG269" i="11"/>
  <c r="BH269" i="11"/>
  <c r="BI269" i="11"/>
  <c r="BJ269" i="11"/>
  <c r="BK269" i="11"/>
  <c r="BL269" i="11"/>
  <c r="BM269" i="11"/>
  <c r="BN269" i="11"/>
  <c r="BO269" i="11"/>
  <c r="BP269" i="11"/>
  <c r="BQ269" i="11"/>
  <c r="BR269" i="11"/>
  <c r="BS269" i="11"/>
  <c r="BT269" i="11"/>
  <c r="BU269" i="11"/>
  <c r="BV269" i="11"/>
  <c r="BW269" i="11"/>
  <c r="BZ269" i="11"/>
  <c r="CB269" i="11"/>
  <c r="CA269" i="11"/>
  <c r="CE269" i="11"/>
  <c r="C270" i="11"/>
  <c r="D270" i="11"/>
  <c r="E270" i="11"/>
  <c r="G270" i="11"/>
  <c r="H270" i="11"/>
  <c r="I270" i="11"/>
  <c r="F270" i="11"/>
  <c r="J270" i="11"/>
  <c r="K270" i="11"/>
  <c r="L270" i="11"/>
  <c r="M270" i="11"/>
  <c r="N270" i="11"/>
  <c r="O270" i="11"/>
  <c r="P270" i="11"/>
  <c r="Q270" i="11"/>
  <c r="R270" i="11"/>
  <c r="S270" i="11"/>
  <c r="T270" i="11"/>
  <c r="U270" i="11"/>
  <c r="V270" i="11"/>
  <c r="W270" i="11"/>
  <c r="X270" i="11"/>
  <c r="Y270" i="11"/>
  <c r="Z270" i="11"/>
  <c r="AA270" i="11"/>
  <c r="AB270" i="11"/>
  <c r="AC270" i="11"/>
  <c r="AD270" i="11"/>
  <c r="AE270" i="11"/>
  <c r="AF270" i="11"/>
  <c r="AG270" i="11"/>
  <c r="AH270" i="11"/>
  <c r="AI270" i="11"/>
  <c r="AJ270" i="11"/>
  <c r="AK270" i="11"/>
  <c r="AL270" i="11"/>
  <c r="AM270" i="11"/>
  <c r="AN270" i="11"/>
  <c r="AO270" i="11"/>
  <c r="AP270" i="11"/>
  <c r="AQ270" i="11"/>
  <c r="AR270" i="11"/>
  <c r="AS270" i="11"/>
  <c r="AT270" i="11"/>
  <c r="AU270" i="11"/>
  <c r="AV270" i="11"/>
  <c r="AW270" i="11"/>
  <c r="AX270" i="11"/>
  <c r="AY270" i="11"/>
  <c r="AZ270" i="11"/>
  <c r="BA270" i="11"/>
  <c r="BB270" i="11"/>
  <c r="BC270" i="11"/>
  <c r="BD270" i="11"/>
  <c r="BE270" i="11"/>
  <c r="BF270" i="11"/>
  <c r="BG270" i="11"/>
  <c r="BH270" i="11"/>
  <c r="BI270" i="11"/>
  <c r="BJ270" i="11"/>
  <c r="BK270" i="11"/>
  <c r="BL270" i="11"/>
  <c r="BM270" i="11"/>
  <c r="BN270" i="11"/>
  <c r="BO270" i="11"/>
  <c r="BP270" i="11"/>
  <c r="BQ270" i="11"/>
  <c r="BR270" i="11"/>
  <c r="BS270" i="11"/>
  <c r="BT270" i="11"/>
  <c r="BU270" i="11"/>
  <c r="BV270" i="11"/>
  <c r="BW270" i="11"/>
  <c r="BZ270" i="11"/>
  <c r="CB270" i="11"/>
  <c r="CA270" i="11"/>
  <c r="CE270" i="11"/>
  <c r="C271" i="11"/>
  <c r="D271" i="11"/>
  <c r="E271" i="11"/>
  <c r="G271" i="11"/>
  <c r="H271" i="11"/>
  <c r="I271" i="11"/>
  <c r="F271" i="11"/>
  <c r="J271" i="11"/>
  <c r="K271" i="11"/>
  <c r="L271" i="11"/>
  <c r="M271" i="11"/>
  <c r="N271" i="11"/>
  <c r="O271" i="11"/>
  <c r="P271" i="11"/>
  <c r="Q271" i="11"/>
  <c r="R271" i="11"/>
  <c r="S271" i="11"/>
  <c r="T271" i="11"/>
  <c r="U271" i="11"/>
  <c r="V271" i="11"/>
  <c r="W271" i="11"/>
  <c r="X271" i="11"/>
  <c r="Y271" i="11"/>
  <c r="Z271" i="11"/>
  <c r="AA271" i="11"/>
  <c r="AB271" i="11"/>
  <c r="AC271" i="11"/>
  <c r="AD271" i="11"/>
  <c r="AE271" i="11"/>
  <c r="AF271" i="11"/>
  <c r="AG271" i="11"/>
  <c r="AH271" i="11"/>
  <c r="AI271" i="11"/>
  <c r="AJ271" i="11"/>
  <c r="AK271" i="11"/>
  <c r="AL271" i="11"/>
  <c r="AM271" i="11"/>
  <c r="AN271" i="11"/>
  <c r="AO271" i="11"/>
  <c r="AP271" i="11"/>
  <c r="AQ271" i="11"/>
  <c r="AR271" i="11"/>
  <c r="AS271" i="11"/>
  <c r="AT271" i="11"/>
  <c r="AU271" i="11"/>
  <c r="AV271" i="11"/>
  <c r="AW271" i="11"/>
  <c r="AX271" i="11"/>
  <c r="AY271" i="11"/>
  <c r="AZ271" i="11"/>
  <c r="BA271" i="11"/>
  <c r="BB271" i="11"/>
  <c r="BC271" i="11"/>
  <c r="BD271" i="11"/>
  <c r="BE271" i="11"/>
  <c r="BF271" i="11"/>
  <c r="BG271" i="11"/>
  <c r="BH271" i="11"/>
  <c r="BI271" i="11"/>
  <c r="BJ271" i="11"/>
  <c r="BK271" i="11"/>
  <c r="BL271" i="11"/>
  <c r="BM271" i="11"/>
  <c r="BN271" i="11"/>
  <c r="BO271" i="11"/>
  <c r="BP271" i="11"/>
  <c r="BQ271" i="11"/>
  <c r="BR271" i="11"/>
  <c r="BS271" i="11"/>
  <c r="BT271" i="11"/>
  <c r="BU271" i="11"/>
  <c r="BV271" i="11"/>
  <c r="BW271" i="11"/>
  <c r="BZ271" i="11"/>
  <c r="CB271" i="11"/>
  <c r="CA271" i="11"/>
  <c r="CE271" i="11"/>
  <c r="C272" i="11"/>
  <c r="D272" i="11"/>
  <c r="E272" i="11"/>
  <c r="G272" i="11"/>
  <c r="H272" i="11"/>
  <c r="I272" i="11"/>
  <c r="F272" i="11"/>
  <c r="J272" i="11"/>
  <c r="K272" i="11"/>
  <c r="L272" i="11"/>
  <c r="M272" i="11"/>
  <c r="N272" i="11"/>
  <c r="O272" i="11"/>
  <c r="P272" i="11"/>
  <c r="Q272" i="11"/>
  <c r="R272" i="11"/>
  <c r="S272" i="11"/>
  <c r="T272" i="11"/>
  <c r="U272" i="11"/>
  <c r="V272" i="11"/>
  <c r="W272" i="11"/>
  <c r="X272" i="11"/>
  <c r="Y272" i="11"/>
  <c r="Z272" i="11"/>
  <c r="AA272" i="11"/>
  <c r="AB272" i="11"/>
  <c r="AC272" i="11"/>
  <c r="AD272" i="11"/>
  <c r="AE272" i="11"/>
  <c r="AF272" i="11"/>
  <c r="AG272" i="11"/>
  <c r="AH272" i="11"/>
  <c r="AI272" i="11"/>
  <c r="AJ272" i="11"/>
  <c r="AK272" i="11"/>
  <c r="AL272" i="11"/>
  <c r="AM272" i="11"/>
  <c r="AN272" i="11"/>
  <c r="AO272" i="11"/>
  <c r="AP272" i="11"/>
  <c r="AQ272" i="11"/>
  <c r="AR272" i="11"/>
  <c r="AS272" i="11"/>
  <c r="AT272" i="11"/>
  <c r="AU272" i="11"/>
  <c r="AV272" i="11"/>
  <c r="AW272" i="11"/>
  <c r="AX272" i="11"/>
  <c r="AY272" i="11"/>
  <c r="AZ272" i="11"/>
  <c r="BA272" i="11"/>
  <c r="BB272" i="11"/>
  <c r="BC272" i="11"/>
  <c r="BD272" i="11"/>
  <c r="BE272" i="11"/>
  <c r="BF272" i="11"/>
  <c r="BG272" i="11"/>
  <c r="BH272" i="11"/>
  <c r="BI272" i="11"/>
  <c r="BJ272" i="11"/>
  <c r="BK272" i="11"/>
  <c r="BL272" i="11"/>
  <c r="BM272" i="11"/>
  <c r="BN272" i="11"/>
  <c r="BO272" i="11"/>
  <c r="BP272" i="11"/>
  <c r="BQ272" i="11"/>
  <c r="BR272" i="11"/>
  <c r="BS272" i="11"/>
  <c r="BT272" i="11"/>
  <c r="BU272" i="11"/>
  <c r="BV272" i="11"/>
  <c r="BW272" i="11"/>
  <c r="BZ272" i="11"/>
  <c r="CB272" i="11"/>
  <c r="CA272" i="11"/>
  <c r="CE272" i="11"/>
  <c r="CA273" i="11"/>
  <c r="CE273" i="11"/>
  <c r="CF273" i="11"/>
  <c r="CG273" i="11"/>
  <c r="X443" i="11"/>
  <c r="Y337" i="11"/>
  <c r="Y443" i="11"/>
  <c r="Z337" i="11"/>
  <c r="CC270" i="11"/>
  <c r="C4" i="11"/>
  <c r="C168" i="11"/>
  <c r="D4" i="11"/>
  <c r="D168" i="11"/>
  <c r="E4" i="11"/>
  <c r="E168" i="11"/>
  <c r="F4" i="11"/>
  <c r="F168" i="11"/>
  <c r="G4" i="11"/>
  <c r="G168" i="11"/>
  <c r="H4" i="11"/>
  <c r="H168" i="11"/>
  <c r="I4" i="11"/>
  <c r="I168" i="11"/>
  <c r="J4" i="11"/>
  <c r="J168" i="11"/>
  <c r="K4" i="11"/>
  <c r="K168" i="11"/>
  <c r="L4" i="11"/>
  <c r="L168" i="11"/>
  <c r="M4" i="11"/>
  <c r="M168" i="11"/>
  <c r="N4" i="11"/>
  <c r="N168" i="11"/>
  <c r="O4" i="11"/>
  <c r="O168" i="11"/>
  <c r="P4" i="11"/>
  <c r="P168" i="11"/>
  <c r="Q4" i="11"/>
  <c r="Q168" i="11"/>
  <c r="R4" i="11"/>
  <c r="R168" i="11"/>
  <c r="S4" i="11"/>
  <c r="S168" i="11"/>
  <c r="T4" i="11"/>
  <c r="T168" i="11"/>
  <c r="U4" i="11"/>
  <c r="U168" i="11"/>
  <c r="V4" i="11"/>
  <c r="V168" i="11"/>
  <c r="W4" i="11"/>
  <c r="W168" i="11"/>
  <c r="X4" i="11"/>
  <c r="X168" i="11"/>
  <c r="Y4" i="11"/>
  <c r="Y168" i="11"/>
  <c r="Z4" i="11"/>
  <c r="Z168" i="11"/>
  <c r="AA4" i="11"/>
  <c r="AA168" i="11"/>
  <c r="AB4" i="11"/>
  <c r="AB168" i="11"/>
  <c r="AC4" i="11"/>
  <c r="AC168" i="11"/>
  <c r="AD4" i="11"/>
  <c r="AD168" i="11"/>
  <c r="AE4" i="11"/>
  <c r="AE168" i="11"/>
  <c r="AF4" i="11"/>
  <c r="AF168" i="11"/>
  <c r="AG4" i="11"/>
  <c r="AG168" i="11"/>
  <c r="AH4" i="11"/>
  <c r="AH168" i="11"/>
  <c r="AI4" i="11"/>
  <c r="AI168" i="11"/>
  <c r="AJ4" i="11"/>
  <c r="AJ168" i="11"/>
  <c r="AK4" i="11"/>
  <c r="AK168" i="11"/>
  <c r="AL4" i="11"/>
  <c r="AL168" i="11"/>
  <c r="AM4" i="11"/>
  <c r="AM168" i="11"/>
  <c r="AN4" i="11"/>
  <c r="AN168" i="11"/>
  <c r="AO4" i="11"/>
  <c r="AO168" i="11"/>
  <c r="AP4" i="11"/>
  <c r="AP168" i="11"/>
  <c r="AQ4" i="11"/>
  <c r="AQ168" i="11"/>
  <c r="AR4" i="11"/>
  <c r="AR168" i="11"/>
  <c r="AS4" i="11"/>
  <c r="AS168" i="11"/>
  <c r="AT4" i="11"/>
  <c r="AT168" i="11"/>
  <c r="AU4" i="11"/>
  <c r="AU168" i="11"/>
  <c r="AV4" i="11"/>
  <c r="AV168" i="11"/>
  <c r="AW4" i="11"/>
  <c r="AW168" i="11"/>
  <c r="AX4" i="11"/>
  <c r="AX168" i="11"/>
  <c r="AY4" i="11"/>
  <c r="AY168" i="11"/>
  <c r="AZ4" i="11"/>
  <c r="AZ168" i="11"/>
  <c r="BA4" i="11"/>
  <c r="BA168" i="11"/>
  <c r="BB4" i="11"/>
  <c r="BB168" i="11"/>
  <c r="BC4" i="11"/>
  <c r="BC168" i="11"/>
  <c r="BD4" i="11"/>
  <c r="BD168" i="11"/>
  <c r="BE4" i="11"/>
  <c r="BE168" i="11"/>
  <c r="BF4" i="11"/>
  <c r="BF168" i="11"/>
  <c r="BG4" i="11"/>
  <c r="BG168" i="11"/>
  <c r="BH4" i="11"/>
  <c r="BH168" i="11"/>
  <c r="BI4" i="11"/>
  <c r="BI168" i="11"/>
  <c r="BJ4" i="11"/>
  <c r="BJ168" i="11"/>
  <c r="BK4" i="11"/>
  <c r="BK168" i="11"/>
  <c r="BL4" i="11"/>
  <c r="BL168" i="11"/>
  <c r="BM4" i="11"/>
  <c r="BM168" i="11"/>
  <c r="BN4" i="11"/>
  <c r="BN168" i="11"/>
  <c r="BO4" i="11"/>
  <c r="BO168" i="11"/>
  <c r="BP4" i="11"/>
  <c r="BP168" i="11"/>
  <c r="BQ4" i="11"/>
  <c r="BQ168" i="11"/>
  <c r="BR4" i="11"/>
  <c r="BR168" i="11"/>
  <c r="BS4" i="11"/>
  <c r="BS168" i="11"/>
  <c r="BT4" i="11"/>
  <c r="BT168" i="11"/>
  <c r="BU4" i="11"/>
  <c r="BU168" i="11"/>
  <c r="BV4" i="11"/>
  <c r="BV168" i="11"/>
  <c r="BW4" i="11"/>
  <c r="BW168" i="11"/>
  <c r="BZ4" i="11"/>
  <c r="BZ168" i="11"/>
  <c r="CB168" i="11"/>
  <c r="CA169" i="11"/>
  <c r="CC169" i="11"/>
  <c r="CD169" i="11"/>
  <c r="CC170" i="11"/>
  <c r="CD170" i="11"/>
  <c r="CC171" i="11"/>
  <c r="CD171" i="11"/>
  <c r="CC172" i="11"/>
  <c r="CD172" i="11"/>
  <c r="CC173" i="11"/>
  <c r="CD173" i="11"/>
  <c r="CC174" i="11"/>
  <c r="CD174" i="11"/>
  <c r="CC175" i="11"/>
  <c r="CD175" i="11"/>
  <c r="CC176" i="11"/>
  <c r="CD176" i="11"/>
  <c r="CC177" i="11"/>
  <c r="CD177" i="11"/>
  <c r="CC178" i="11"/>
  <c r="CD178" i="11"/>
  <c r="CC179" i="11"/>
  <c r="CD179" i="11"/>
  <c r="CC180" i="11"/>
  <c r="CD180" i="11"/>
  <c r="CC181" i="11"/>
  <c r="CD181" i="11"/>
  <c r="CC182" i="11"/>
  <c r="CD182" i="11"/>
  <c r="CC183" i="11"/>
  <c r="CD183" i="11"/>
  <c r="CC184" i="11"/>
  <c r="CD184" i="11"/>
  <c r="CC185" i="11"/>
  <c r="CD185" i="11"/>
  <c r="CC186" i="11"/>
  <c r="CD186" i="11"/>
  <c r="CC187" i="11"/>
  <c r="CD187" i="11"/>
  <c r="CC188" i="11"/>
  <c r="CD188" i="11"/>
  <c r="CC189" i="11"/>
  <c r="CD189" i="11"/>
  <c r="CC190" i="11"/>
  <c r="CD190" i="11"/>
  <c r="CC191" i="11"/>
  <c r="CD191" i="11"/>
  <c r="CC192" i="11"/>
  <c r="CD192" i="11"/>
  <c r="CC193" i="11"/>
  <c r="CD193" i="11"/>
  <c r="CC194" i="11"/>
  <c r="CD194" i="11"/>
  <c r="CC195" i="11"/>
  <c r="CD195" i="11"/>
  <c r="CC196" i="11"/>
  <c r="CD196" i="11"/>
  <c r="CC197" i="11"/>
  <c r="CD197" i="11"/>
  <c r="CC198" i="11"/>
  <c r="CD198" i="11"/>
  <c r="CC199" i="11"/>
  <c r="CD199" i="11"/>
  <c r="CC200" i="11"/>
  <c r="CD200" i="11"/>
  <c r="CC201" i="11"/>
  <c r="CD201" i="11"/>
  <c r="CC202" i="11"/>
  <c r="CD202" i="11"/>
  <c r="CC203" i="11"/>
  <c r="CD203" i="11"/>
  <c r="CC204" i="11"/>
  <c r="CD204" i="11"/>
  <c r="CC205" i="11"/>
  <c r="CD205" i="11"/>
  <c r="CC206" i="11"/>
  <c r="CD206" i="11"/>
  <c r="CC207" i="11"/>
  <c r="CD207" i="11"/>
  <c r="CC208" i="11"/>
  <c r="CD208" i="11"/>
  <c r="CC209" i="11"/>
  <c r="CD209" i="11"/>
  <c r="CC210" i="11"/>
  <c r="CD210" i="11"/>
  <c r="CC211" i="11"/>
  <c r="CD211" i="11"/>
  <c r="CC212" i="11"/>
  <c r="CD212" i="11"/>
  <c r="CC213" i="11"/>
  <c r="CD213" i="11"/>
  <c r="CC214" i="11"/>
  <c r="CD214" i="11"/>
  <c r="CC215" i="11"/>
  <c r="CD215" i="11"/>
  <c r="CC216" i="11"/>
  <c r="CD216" i="11"/>
  <c r="CC217" i="11"/>
  <c r="CD217" i="11"/>
  <c r="CC218" i="11"/>
  <c r="CD218" i="11"/>
  <c r="CC219" i="11"/>
  <c r="CD219" i="11"/>
  <c r="CC220" i="11"/>
  <c r="CD220" i="11"/>
  <c r="CC221" i="11"/>
  <c r="CD221" i="11"/>
  <c r="CC222" i="11"/>
  <c r="CD222" i="11"/>
  <c r="CC223" i="11"/>
  <c r="CD223" i="11"/>
  <c r="CC224" i="11"/>
  <c r="CD224" i="11"/>
  <c r="CC225" i="11"/>
  <c r="CD225" i="11"/>
  <c r="CC226" i="11"/>
  <c r="CD226" i="11"/>
  <c r="CC227" i="11"/>
  <c r="CD227" i="11"/>
  <c r="CC228" i="11"/>
  <c r="CD228" i="11"/>
  <c r="CC229" i="11"/>
  <c r="CD229" i="11"/>
  <c r="CC230" i="11"/>
  <c r="CD230" i="11"/>
  <c r="CC231" i="11"/>
  <c r="CD231" i="11"/>
  <c r="CC232" i="11"/>
  <c r="CD232" i="11"/>
  <c r="CC233" i="11"/>
  <c r="CD233" i="11"/>
  <c r="CC234" i="11"/>
  <c r="CD234" i="11"/>
  <c r="CC235" i="11"/>
  <c r="CD235" i="11"/>
  <c r="CC236" i="11"/>
  <c r="CD236" i="11"/>
  <c r="CC237" i="11"/>
  <c r="CD237" i="11"/>
  <c r="CC238" i="11"/>
  <c r="CD238" i="11"/>
  <c r="CC239" i="11"/>
  <c r="CD239" i="11"/>
  <c r="CC240" i="11"/>
  <c r="CD240" i="11"/>
  <c r="CC241" i="11"/>
  <c r="CD241" i="11"/>
  <c r="CC242" i="11"/>
  <c r="CD242" i="11"/>
  <c r="CC243" i="11"/>
  <c r="CD243" i="11"/>
  <c r="CC244" i="11"/>
  <c r="CD244" i="11"/>
  <c r="CC245" i="11"/>
  <c r="CD245" i="11"/>
  <c r="CC246" i="11"/>
  <c r="CD246" i="11"/>
  <c r="CC247" i="11"/>
  <c r="CD247" i="11"/>
  <c r="CC248" i="11"/>
  <c r="CD248" i="11"/>
  <c r="CC249" i="11"/>
  <c r="CD249" i="11"/>
  <c r="CC250" i="11"/>
  <c r="CD250" i="11"/>
  <c r="CC251" i="11"/>
  <c r="CD251" i="11"/>
  <c r="CC252" i="11"/>
  <c r="CD252" i="11"/>
  <c r="CC253" i="11"/>
  <c r="CD253" i="11"/>
  <c r="CC254" i="11"/>
  <c r="CD254" i="11"/>
  <c r="CC255" i="11"/>
  <c r="CD255" i="11"/>
  <c r="CC256" i="11"/>
  <c r="CD256" i="11"/>
  <c r="CC257" i="11"/>
  <c r="CD257" i="11"/>
  <c r="CC258" i="11"/>
  <c r="CD258" i="11"/>
  <c r="CC259" i="11"/>
  <c r="CD259" i="11"/>
  <c r="CC260" i="11"/>
  <c r="CD260" i="11"/>
  <c r="CC261" i="11"/>
  <c r="CD261" i="11"/>
  <c r="CC262" i="11"/>
  <c r="CD262" i="11"/>
  <c r="CC263" i="11"/>
  <c r="CD263" i="11"/>
  <c r="CC264" i="11"/>
  <c r="CD264" i="11"/>
  <c r="CC265" i="11"/>
  <c r="CD265" i="11"/>
  <c r="CC266" i="11"/>
  <c r="CD266" i="11"/>
  <c r="CC267" i="11"/>
  <c r="CD267" i="11"/>
  <c r="CC268" i="11"/>
  <c r="CD268" i="11"/>
  <c r="CC269" i="11"/>
  <c r="CD269" i="11"/>
  <c r="CD270" i="11"/>
  <c r="CC271" i="11"/>
  <c r="CD271" i="11"/>
  <c r="CC272" i="11"/>
  <c r="CD272" i="11"/>
  <c r="CC273" i="11"/>
  <c r="CD273" i="11"/>
  <c r="Z443" i="11"/>
  <c r="AA337" i="11"/>
  <c r="B112"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O112" i="11"/>
  <c r="AP112" i="11"/>
  <c r="AQ112" i="11"/>
  <c r="AR112" i="11"/>
  <c r="AS112" i="11"/>
  <c r="AT112" i="11"/>
  <c r="AU112" i="11"/>
  <c r="AV112" i="11"/>
  <c r="AW112" i="11"/>
  <c r="AX112" i="11"/>
  <c r="AY112" i="11"/>
  <c r="AZ112" i="11"/>
  <c r="BA112" i="11"/>
  <c r="BB112" i="11"/>
  <c r="BC112" i="11"/>
  <c r="BD112" i="11"/>
  <c r="BE112" i="11"/>
  <c r="BF112" i="11"/>
  <c r="BG112" i="11"/>
  <c r="BH112" i="11"/>
  <c r="BI112" i="11"/>
  <c r="BJ112" i="11"/>
  <c r="BK112" i="11"/>
  <c r="BL112" i="11"/>
  <c r="BM112" i="11"/>
  <c r="BN112" i="11"/>
  <c r="BO112" i="11"/>
  <c r="BP112" i="11"/>
  <c r="BQ112" i="11"/>
  <c r="BR112" i="11"/>
  <c r="BS112" i="11"/>
  <c r="BT112" i="11"/>
  <c r="BU112" i="11"/>
  <c r="BV112" i="11"/>
  <c r="BW112" i="11"/>
  <c r="BX113" i="10"/>
  <c r="BX112" i="11"/>
  <c r="BY113" i="10"/>
  <c r="BY112" i="11"/>
  <c r="BZ112" i="11"/>
  <c r="CA112" i="11"/>
  <c r="CB112" i="11"/>
  <c r="B113"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O113" i="11"/>
  <c r="AP113" i="11"/>
  <c r="AQ113" i="11"/>
  <c r="AR113" i="11"/>
  <c r="AS113" i="11"/>
  <c r="AT113" i="11"/>
  <c r="AU113" i="11"/>
  <c r="AV113" i="11"/>
  <c r="AW113" i="11"/>
  <c r="AX113" i="11"/>
  <c r="AY113" i="11"/>
  <c r="AZ113" i="11"/>
  <c r="BA113" i="11"/>
  <c r="BB113" i="11"/>
  <c r="BC113" i="11"/>
  <c r="BD113" i="11"/>
  <c r="BE113" i="11"/>
  <c r="BF113" i="11"/>
  <c r="BG113" i="11"/>
  <c r="BH113" i="11"/>
  <c r="BI113" i="11"/>
  <c r="BJ113" i="11"/>
  <c r="BK113" i="11"/>
  <c r="BL113" i="11"/>
  <c r="BM113" i="11"/>
  <c r="BN113" i="11"/>
  <c r="BO113" i="11"/>
  <c r="BP113" i="11"/>
  <c r="BQ113" i="11"/>
  <c r="BR113" i="11"/>
  <c r="BS113" i="11"/>
  <c r="BT113" i="11"/>
  <c r="BU113" i="11"/>
  <c r="BV113" i="11"/>
  <c r="BW113" i="11"/>
  <c r="BX114" i="10"/>
  <c r="BX113" i="11"/>
  <c r="BY114" i="10"/>
  <c r="BY113" i="11"/>
  <c r="BZ113" i="11"/>
  <c r="CA113" i="11"/>
  <c r="CB113" i="11"/>
  <c r="CO111" i="11"/>
  <c r="AA443" i="11"/>
  <c r="AB337" i="11"/>
  <c r="B114"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O114" i="11"/>
  <c r="AP114" i="11"/>
  <c r="AQ114" i="11"/>
  <c r="AR114" i="11"/>
  <c r="AS114" i="11"/>
  <c r="AT114" i="11"/>
  <c r="AU114" i="11"/>
  <c r="AV114" i="11"/>
  <c r="AW114" i="11"/>
  <c r="AX114" i="11"/>
  <c r="AY114" i="11"/>
  <c r="AZ114" i="11"/>
  <c r="BA114" i="11"/>
  <c r="BB114" i="11"/>
  <c r="BC114" i="11"/>
  <c r="BD114" i="11"/>
  <c r="BE114" i="11"/>
  <c r="BF114" i="11"/>
  <c r="BG114" i="11"/>
  <c r="BH114" i="11"/>
  <c r="BI114" i="11"/>
  <c r="BJ114" i="11"/>
  <c r="BK114" i="11"/>
  <c r="BL114" i="11"/>
  <c r="BM114" i="11"/>
  <c r="BN114" i="11"/>
  <c r="BO114" i="11"/>
  <c r="BP114" i="11"/>
  <c r="BQ114" i="11"/>
  <c r="BR114" i="11"/>
  <c r="BS114" i="11"/>
  <c r="BT114" i="11"/>
  <c r="BU114" i="11"/>
  <c r="BV114" i="11"/>
  <c r="BW114" i="11"/>
  <c r="BX115" i="10"/>
  <c r="BX114" i="11"/>
  <c r="BY115" i="10"/>
  <c r="BY114" i="11"/>
  <c r="BZ114" i="11"/>
  <c r="CA114" i="11"/>
  <c r="CB114" i="11"/>
  <c r="B115"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O115" i="11"/>
  <c r="AP115" i="11"/>
  <c r="AQ115" i="11"/>
  <c r="AR115" i="11"/>
  <c r="AS115" i="11"/>
  <c r="AT115" i="11"/>
  <c r="AU115" i="11"/>
  <c r="AV115" i="11"/>
  <c r="AW115" i="11"/>
  <c r="AX115" i="11"/>
  <c r="AY115" i="11"/>
  <c r="AZ115" i="11"/>
  <c r="BA115" i="11"/>
  <c r="BB115" i="11"/>
  <c r="BC115" i="11"/>
  <c r="BD115" i="11"/>
  <c r="BE115" i="11"/>
  <c r="BF115" i="11"/>
  <c r="BG115" i="11"/>
  <c r="BH115" i="11"/>
  <c r="BI115" i="11"/>
  <c r="BJ115" i="11"/>
  <c r="BK115" i="11"/>
  <c r="BL115" i="11"/>
  <c r="BM115" i="11"/>
  <c r="BN115" i="11"/>
  <c r="BO115" i="11"/>
  <c r="BP115" i="11"/>
  <c r="BQ115" i="11"/>
  <c r="BR115" i="11"/>
  <c r="BS115" i="11"/>
  <c r="BT115" i="11"/>
  <c r="BU115" i="11"/>
  <c r="BV115" i="11"/>
  <c r="BW115" i="11"/>
  <c r="BX116" i="10"/>
  <c r="BX115" i="11"/>
  <c r="BY116" i="10"/>
  <c r="BY115" i="11"/>
  <c r="BZ115" i="11"/>
  <c r="CA115" i="11"/>
  <c r="CB115" i="11"/>
  <c r="CP111" i="11"/>
  <c r="AB443" i="11"/>
  <c r="AC337" i="11"/>
  <c r="B116"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O116" i="11"/>
  <c r="AP116" i="11"/>
  <c r="AQ116" i="11"/>
  <c r="AR116" i="11"/>
  <c r="AS116" i="11"/>
  <c r="AT116" i="11"/>
  <c r="AU116" i="11"/>
  <c r="AV116" i="11"/>
  <c r="AW116" i="11"/>
  <c r="AX116" i="11"/>
  <c r="AY116" i="11"/>
  <c r="AZ116" i="11"/>
  <c r="BA116" i="11"/>
  <c r="BB116" i="11"/>
  <c r="BC116" i="11"/>
  <c r="BD116" i="11"/>
  <c r="BE116" i="11"/>
  <c r="BF116" i="11"/>
  <c r="BG116" i="11"/>
  <c r="BH116" i="11"/>
  <c r="BI116" i="11"/>
  <c r="BJ116" i="11"/>
  <c r="BK116" i="11"/>
  <c r="BL116" i="11"/>
  <c r="BM116" i="11"/>
  <c r="BN116" i="11"/>
  <c r="BO116" i="11"/>
  <c r="BP116" i="11"/>
  <c r="BQ116" i="11"/>
  <c r="BR116" i="11"/>
  <c r="BS116" i="11"/>
  <c r="BT116" i="11"/>
  <c r="BU116" i="11"/>
  <c r="BV116" i="11"/>
  <c r="BW116" i="11"/>
  <c r="BX117" i="10"/>
  <c r="BX116" i="11"/>
  <c r="BY117" i="10"/>
  <c r="BY116" i="11"/>
  <c r="BZ116" i="11"/>
  <c r="CA116" i="11"/>
  <c r="CB116" i="11"/>
  <c r="B117"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O117" i="11"/>
  <c r="AP117" i="11"/>
  <c r="AQ117" i="11"/>
  <c r="AR117" i="11"/>
  <c r="AS117" i="11"/>
  <c r="AT117" i="11"/>
  <c r="AU117" i="11"/>
  <c r="AV117" i="11"/>
  <c r="AW117" i="11"/>
  <c r="AX117" i="11"/>
  <c r="AY117" i="11"/>
  <c r="AZ117" i="11"/>
  <c r="BA117" i="11"/>
  <c r="BB117" i="11"/>
  <c r="BC117" i="11"/>
  <c r="BD117" i="11"/>
  <c r="BE117" i="11"/>
  <c r="BF117" i="11"/>
  <c r="BG117" i="11"/>
  <c r="BH117" i="11"/>
  <c r="BI117" i="11"/>
  <c r="BJ117" i="11"/>
  <c r="BK117" i="11"/>
  <c r="BL117" i="11"/>
  <c r="BM117" i="11"/>
  <c r="BN117" i="11"/>
  <c r="BO117" i="11"/>
  <c r="BP117" i="11"/>
  <c r="BQ117" i="11"/>
  <c r="BR117" i="11"/>
  <c r="BS117" i="11"/>
  <c r="BT117" i="11"/>
  <c r="BU117" i="11"/>
  <c r="BV117" i="11"/>
  <c r="BW117" i="11"/>
  <c r="BX118" i="10"/>
  <c r="BX117" i="11"/>
  <c r="BY118" i="10"/>
  <c r="BY117" i="11"/>
  <c r="BZ117" i="11"/>
  <c r="CA117" i="11"/>
  <c r="CB117" i="11"/>
  <c r="B118"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O118" i="11"/>
  <c r="AP118" i="11"/>
  <c r="AQ118" i="11"/>
  <c r="AR118" i="11"/>
  <c r="AS118" i="11"/>
  <c r="AT118" i="11"/>
  <c r="AU118" i="11"/>
  <c r="AV118" i="11"/>
  <c r="AW118" i="11"/>
  <c r="AX118" i="11"/>
  <c r="AY118" i="11"/>
  <c r="AZ118" i="11"/>
  <c r="BA118" i="11"/>
  <c r="BB118" i="11"/>
  <c r="BC118" i="11"/>
  <c r="BD118" i="11"/>
  <c r="BE118" i="11"/>
  <c r="BF118" i="11"/>
  <c r="BG118" i="11"/>
  <c r="BH118" i="11"/>
  <c r="BI118" i="11"/>
  <c r="BJ118" i="11"/>
  <c r="BK118" i="11"/>
  <c r="BL118" i="11"/>
  <c r="BM118" i="11"/>
  <c r="BN118" i="11"/>
  <c r="BO118" i="11"/>
  <c r="BP118" i="11"/>
  <c r="BQ118" i="11"/>
  <c r="BR118" i="11"/>
  <c r="BS118" i="11"/>
  <c r="BT118" i="11"/>
  <c r="BU118" i="11"/>
  <c r="BV118" i="11"/>
  <c r="BW118" i="11"/>
  <c r="BX119" i="10"/>
  <c r="BX118" i="11"/>
  <c r="BY119" i="10"/>
  <c r="BY118" i="11"/>
  <c r="BZ118" i="11"/>
  <c r="CA118" i="11"/>
  <c r="CB118" i="11"/>
  <c r="B119"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O119" i="11"/>
  <c r="AP119" i="11"/>
  <c r="AQ119" i="11"/>
  <c r="AR119" i="11"/>
  <c r="AS119" i="11"/>
  <c r="AT119" i="11"/>
  <c r="AU119" i="11"/>
  <c r="AV119" i="11"/>
  <c r="AW119" i="11"/>
  <c r="AX119" i="11"/>
  <c r="AY119" i="11"/>
  <c r="AZ119" i="11"/>
  <c r="BA119" i="11"/>
  <c r="BB119" i="11"/>
  <c r="BC119" i="11"/>
  <c r="BD119" i="11"/>
  <c r="BE119" i="11"/>
  <c r="BF119" i="11"/>
  <c r="BG119" i="11"/>
  <c r="BH119" i="11"/>
  <c r="BI119" i="11"/>
  <c r="BJ119" i="11"/>
  <c r="BK119" i="11"/>
  <c r="BL119" i="11"/>
  <c r="BM119" i="11"/>
  <c r="BN119" i="11"/>
  <c r="BO119" i="11"/>
  <c r="BP119" i="11"/>
  <c r="BQ119" i="11"/>
  <c r="BR119" i="11"/>
  <c r="BS119" i="11"/>
  <c r="BT119" i="11"/>
  <c r="BU119" i="11"/>
  <c r="BV119" i="11"/>
  <c r="BW119" i="11"/>
  <c r="BX120" i="10"/>
  <c r="BX119" i="11"/>
  <c r="BY120" i="10"/>
  <c r="BY119" i="11"/>
  <c r="BZ119" i="11"/>
  <c r="CA119" i="11"/>
  <c r="CB119" i="11"/>
  <c r="B120"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O120" i="11"/>
  <c r="AP120" i="11"/>
  <c r="AQ120" i="11"/>
  <c r="AR120" i="11"/>
  <c r="AS120" i="11"/>
  <c r="AT120" i="11"/>
  <c r="AU120" i="11"/>
  <c r="AV120" i="11"/>
  <c r="AW120" i="11"/>
  <c r="AX120" i="11"/>
  <c r="AY120" i="11"/>
  <c r="AZ120" i="11"/>
  <c r="BA120" i="11"/>
  <c r="BB120" i="11"/>
  <c r="BC120" i="11"/>
  <c r="BD120" i="11"/>
  <c r="BE120" i="11"/>
  <c r="BF120" i="11"/>
  <c r="BG120" i="11"/>
  <c r="BH120" i="11"/>
  <c r="BI120" i="11"/>
  <c r="BJ120" i="11"/>
  <c r="BK120" i="11"/>
  <c r="BL120" i="11"/>
  <c r="BM120" i="11"/>
  <c r="BN120" i="11"/>
  <c r="BO120" i="11"/>
  <c r="BP120" i="11"/>
  <c r="BQ120" i="11"/>
  <c r="BR120" i="11"/>
  <c r="BS120" i="11"/>
  <c r="BT120" i="11"/>
  <c r="BU120" i="11"/>
  <c r="BV120" i="11"/>
  <c r="BW120" i="11"/>
  <c r="BX121" i="10"/>
  <c r="BX120" i="11"/>
  <c r="BY121" i="10"/>
  <c r="BY120" i="11"/>
  <c r="BZ120" i="11"/>
  <c r="CA120" i="11"/>
  <c r="CB120" i="11"/>
  <c r="CQ111" i="11"/>
  <c r="AC443" i="11"/>
  <c r="AD337" i="11"/>
  <c r="B121"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O121" i="11"/>
  <c r="AP121" i="11"/>
  <c r="AQ121" i="11"/>
  <c r="AR121" i="11"/>
  <c r="AS121" i="11"/>
  <c r="AT121" i="11"/>
  <c r="AU121" i="11"/>
  <c r="AV121" i="11"/>
  <c r="AW121" i="11"/>
  <c r="AX121" i="11"/>
  <c r="AY121" i="11"/>
  <c r="AZ121" i="11"/>
  <c r="BA121" i="11"/>
  <c r="BB121" i="11"/>
  <c r="BC121" i="11"/>
  <c r="BD121" i="11"/>
  <c r="BE121" i="11"/>
  <c r="BF121" i="11"/>
  <c r="BG121" i="11"/>
  <c r="BH121" i="11"/>
  <c r="BI121" i="11"/>
  <c r="BJ121" i="11"/>
  <c r="BK121" i="11"/>
  <c r="BL121" i="11"/>
  <c r="BM121" i="11"/>
  <c r="BN121" i="11"/>
  <c r="BO121" i="11"/>
  <c r="BP121" i="11"/>
  <c r="BQ121" i="11"/>
  <c r="BR121" i="11"/>
  <c r="BS121" i="11"/>
  <c r="BT121" i="11"/>
  <c r="BU121" i="11"/>
  <c r="BV121" i="11"/>
  <c r="BW121" i="11"/>
  <c r="BX122" i="10"/>
  <c r="BX121" i="11"/>
  <c r="BY122" i="10"/>
  <c r="BY121" i="11"/>
  <c r="BZ121" i="11"/>
  <c r="CA121" i="11"/>
  <c r="CB121" i="11"/>
  <c r="B122"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O122" i="11"/>
  <c r="AP122" i="11"/>
  <c r="AQ122" i="11"/>
  <c r="AR122" i="11"/>
  <c r="AS122" i="11"/>
  <c r="AT122" i="11"/>
  <c r="AU122" i="11"/>
  <c r="AV122" i="11"/>
  <c r="AW122" i="11"/>
  <c r="AX122" i="11"/>
  <c r="AY122" i="11"/>
  <c r="AZ122" i="11"/>
  <c r="BA122" i="11"/>
  <c r="BB122" i="11"/>
  <c r="BC122" i="11"/>
  <c r="BD122" i="11"/>
  <c r="BE122" i="11"/>
  <c r="BF122" i="11"/>
  <c r="BG122" i="11"/>
  <c r="BH122" i="11"/>
  <c r="BI122" i="11"/>
  <c r="BJ122" i="11"/>
  <c r="BK122" i="11"/>
  <c r="BL122" i="11"/>
  <c r="BM122" i="11"/>
  <c r="BN122" i="11"/>
  <c r="BO122" i="11"/>
  <c r="BP122" i="11"/>
  <c r="BQ122" i="11"/>
  <c r="BR122" i="11"/>
  <c r="BS122" i="11"/>
  <c r="BT122" i="11"/>
  <c r="BU122" i="11"/>
  <c r="BV122" i="11"/>
  <c r="BW122" i="11"/>
  <c r="BX123" i="10"/>
  <c r="BX122" i="11"/>
  <c r="BY123" i="10"/>
  <c r="BY122" i="11"/>
  <c r="BZ122" i="11"/>
  <c r="CA122" i="11"/>
  <c r="CB122" i="11"/>
  <c r="B123"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O123" i="11"/>
  <c r="AP123" i="11"/>
  <c r="AQ123" i="11"/>
  <c r="AR123" i="11"/>
  <c r="AS123" i="11"/>
  <c r="AT123" i="11"/>
  <c r="AU123" i="11"/>
  <c r="AV123" i="11"/>
  <c r="AW123" i="11"/>
  <c r="AX123" i="11"/>
  <c r="AY123" i="11"/>
  <c r="AZ123" i="11"/>
  <c r="BA123" i="11"/>
  <c r="BB123" i="11"/>
  <c r="BC123" i="11"/>
  <c r="BD123" i="11"/>
  <c r="BE123" i="11"/>
  <c r="BF123" i="11"/>
  <c r="BG123" i="11"/>
  <c r="BH123" i="11"/>
  <c r="BI123" i="11"/>
  <c r="BJ123" i="11"/>
  <c r="BK123" i="11"/>
  <c r="BL123" i="11"/>
  <c r="BM123" i="11"/>
  <c r="BN123" i="11"/>
  <c r="BO123" i="11"/>
  <c r="BP123" i="11"/>
  <c r="BQ123" i="11"/>
  <c r="BR123" i="11"/>
  <c r="BS123" i="11"/>
  <c r="BT123" i="11"/>
  <c r="BU123" i="11"/>
  <c r="BV123" i="11"/>
  <c r="BW123" i="11"/>
  <c r="BX124" i="10"/>
  <c r="BX123" i="11"/>
  <c r="BY124" i="10"/>
  <c r="BY123" i="11"/>
  <c r="BZ123" i="11"/>
  <c r="CA123" i="11"/>
  <c r="CB123" i="11"/>
  <c r="B124"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O124" i="11"/>
  <c r="AP124" i="11"/>
  <c r="AQ124" i="11"/>
  <c r="AR124" i="11"/>
  <c r="AS124" i="11"/>
  <c r="AT124" i="11"/>
  <c r="AU124" i="11"/>
  <c r="AV124" i="11"/>
  <c r="AW124" i="11"/>
  <c r="AX124" i="11"/>
  <c r="AY124" i="11"/>
  <c r="AZ124" i="11"/>
  <c r="BA124" i="11"/>
  <c r="BB124" i="11"/>
  <c r="BC124" i="11"/>
  <c r="BD124" i="11"/>
  <c r="BE124" i="11"/>
  <c r="BF124" i="11"/>
  <c r="BG124" i="11"/>
  <c r="BH124" i="11"/>
  <c r="BI124" i="11"/>
  <c r="BJ124" i="11"/>
  <c r="BK124" i="11"/>
  <c r="BL124" i="11"/>
  <c r="BM124" i="11"/>
  <c r="BN124" i="11"/>
  <c r="BO124" i="11"/>
  <c r="BP124" i="11"/>
  <c r="BQ124" i="11"/>
  <c r="BR124" i="11"/>
  <c r="BS124" i="11"/>
  <c r="BT124" i="11"/>
  <c r="BU124" i="11"/>
  <c r="BV124" i="11"/>
  <c r="BW124" i="11"/>
  <c r="BX125" i="10"/>
  <c r="BX124" i="11"/>
  <c r="BY125" i="10"/>
  <c r="BY124" i="11"/>
  <c r="BZ124" i="11"/>
  <c r="CA124" i="11"/>
  <c r="CB124" i="11"/>
  <c r="B125"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O125" i="11"/>
  <c r="AP125" i="11"/>
  <c r="AQ125" i="11"/>
  <c r="AR125" i="11"/>
  <c r="AS125" i="11"/>
  <c r="AT125" i="11"/>
  <c r="AU125" i="11"/>
  <c r="AV125" i="11"/>
  <c r="AW125" i="11"/>
  <c r="AX125" i="11"/>
  <c r="AY125" i="11"/>
  <c r="AZ125" i="11"/>
  <c r="BA125" i="11"/>
  <c r="BB125" i="11"/>
  <c r="BC125" i="11"/>
  <c r="BD125" i="11"/>
  <c r="BE125" i="11"/>
  <c r="BF125" i="11"/>
  <c r="BG125" i="11"/>
  <c r="BH125" i="11"/>
  <c r="BI125" i="11"/>
  <c r="BJ125" i="11"/>
  <c r="BK125" i="11"/>
  <c r="BL125" i="11"/>
  <c r="BM125" i="11"/>
  <c r="BN125" i="11"/>
  <c r="BO125" i="11"/>
  <c r="BP125" i="11"/>
  <c r="BQ125" i="11"/>
  <c r="BR125" i="11"/>
  <c r="BS125" i="11"/>
  <c r="BT125" i="11"/>
  <c r="BU125" i="11"/>
  <c r="BV125" i="11"/>
  <c r="BW125" i="11"/>
  <c r="BX126" i="10"/>
  <c r="BX125" i="11"/>
  <c r="BY126" i="10"/>
  <c r="BY125" i="11"/>
  <c r="BZ125" i="11"/>
  <c r="CA125" i="11"/>
  <c r="CB125" i="11"/>
  <c r="CR111" i="11"/>
  <c r="AD443" i="11"/>
  <c r="AE337" i="11"/>
  <c r="CA113" i="10"/>
  <c r="CC112" i="11"/>
  <c r="CD112" i="11"/>
  <c r="CA114" i="10"/>
  <c r="CC113" i="11"/>
  <c r="CD113" i="11"/>
  <c r="CV111" i="11"/>
  <c r="AE336" i="11"/>
  <c r="AE443" i="11"/>
  <c r="AF337" i="11"/>
  <c r="CA115" i="10"/>
  <c r="CC114" i="11"/>
  <c r="CD114" i="11"/>
  <c r="CA116" i="10"/>
  <c r="CC115" i="11"/>
  <c r="CD115" i="11"/>
  <c r="CW111" i="11"/>
  <c r="AF443" i="11"/>
  <c r="AG337" i="11"/>
  <c r="CA117" i="10"/>
  <c r="CC116" i="11"/>
  <c r="CD116" i="11"/>
  <c r="CA118" i="10"/>
  <c r="CC117" i="11"/>
  <c r="CD117" i="11"/>
  <c r="CA119" i="10"/>
  <c r="CC118" i="11"/>
  <c r="CD118" i="11"/>
  <c r="CA120" i="10"/>
  <c r="CC119" i="11"/>
  <c r="CD119" i="11"/>
  <c r="CA121" i="10"/>
  <c r="CC120" i="11"/>
  <c r="CD120" i="11"/>
  <c r="CX111" i="11"/>
  <c r="AG443" i="11"/>
  <c r="AH337" i="11"/>
  <c r="CA122" i="10"/>
  <c r="CC121" i="11"/>
  <c r="CD121" i="11"/>
  <c r="CA123" i="10"/>
  <c r="CC122" i="11"/>
  <c r="CD122" i="11"/>
  <c r="CA124" i="10"/>
  <c r="CC123" i="11"/>
  <c r="CD123" i="11"/>
  <c r="CA125" i="10"/>
  <c r="CC124" i="11"/>
  <c r="CD124" i="11"/>
  <c r="CA126" i="10"/>
  <c r="CC125" i="11"/>
  <c r="CD125" i="11"/>
  <c r="CY111" i="11"/>
  <c r="AH443" i="11"/>
  <c r="A444" i="11"/>
  <c r="B444" i="11"/>
  <c r="D113" i="10"/>
  <c r="C444" i="11"/>
  <c r="D444" i="11"/>
  <c r="U113" i="10"/>
  <c r="E444" i="11"/>
  <c r="F444" i="11"/>
  <c r="G444" i="11"/>
  <c r="H444" i="11"/>
  <c r="I444" i="11"/>
  <c r="J444" i="11"/>
  <c r="K444" i="11"/>
  <c r="L444" i="11"/>
  <c r="P444" i="11"/>
  <c r="Q444" i="11"/>
  <c r="R444" i="11"/>
  <c r="S444" i="11"/>
  <c r="T444" i="11"/>
  <c r="C274" i="11"/>
  <c r="D274" i="11"/>
  <c r="E274" i="11"/>
  <c r="G274" i="11"/>
  <c r="H274" i="11"/>
  <c r="I274" i="11"/>
  <c r="B274" i="11"/>
  <c r="F274" i="11"/>
  <c r="J274" i="11"/>
  <c r="K274" i="11"/>
  <c r="L274" i="11"/>
  <c r="M274" i="11"/>
  <c r="N274" i="11"/>
  <c r="O274" i="11"/>
  <c r="P274" i="11"/>
  <c r="Q274" i="11"/>
  <c r="R274" i="11"/>
  <c r="S274" i="11"/>
  <c r="T274" i="11"/>
  <c r="U274" i="11"/>
  <c r="V274" i="11"/>
  <c r="W274" i="11"/>
  <c r="X274" i="11"/>
  <c r="Y274" i="11"/>
  <c r="Z274" i="11"/>
  <c r="AA274" i="11"/>
  <c r="AB274" i="11"/>
  <c r="AC274" i="11"/>
  <c r="AD274" i="11"/>
  <c r="AE274" i="11"/>
  <c r="AF274" i="11"/>
  <c r="AG274" i="11"/>
  <c r="AH274" i="11"/>
  <c r="AI274" i="11"/>
  <c r="AJ274" i="11"/>
  <c r="AK274" i="11"/>
  <c r="AL274" i="11"/>
  <c r="AM274" i="11"/>
  <c r="AN274" i="11"/>
  <c r="AO274" i="11"/>
  <c r="AP274" i="11"/>
  <c r="AQ274" i="11"/>
  <c r="AR274" i="11"/>
  <c r="AS274" i="11"/>
  <c r="AT274" i="11"/>
  <c r="AU274" i="11"/>
  <c r="AV274" i="11"/>
  <c r="AW274" i="11"/>
  <c r="AX274" i="11"/>
  <c r="AY274" i="11"/>
  <c r="AZ274" i="11"/>
  <c r="BA274" i="11"/>
  <c r="BB274" i="11"/>
  <c r="BC274" i="11"/>
  <c r="BD274" i="11"/>
  <c r="BE274" i="11"/>
  <c r="BF274" i="11"/>
  <c r="BG274" i="11"/>
  <c r="BH274" i="11"/>
  <c r="BI274" i="11"/>
  <c r="BJ274" i="11"/>
  <c r="BK274" i="11"/>
  <c r="BL274" i="11"/>
  <c r="BM274" i="11"/>
  <c r="BN274" i="11"/>
  <c r="BO274" i="11"/>
  <c r="BP274" i="11"/>
  <c r="BQ274" i="11"/>
  <c r="BR274" i="11"/>
  <c r="BS274" i="11"/>
  <c r="BT274" i="11"/>
  <c r="BU274" i="11"/>
  <c r="BV274" i="11"/>
  <c r="BW274" i="11"/>
  <c r="BX274" i="11"/>
  <c r="BY274" i="11"/>
  <c r="BZ274" i="11"/>
  <c r="CB274" i="11"/>
  <c r="U444" i="11"/>
  <c r="V444" i="11"/>
  <c r="CE112" i="11"/>
  <c r="CF112" i="11"/>
  <c r="CG112" i="11"/>
  <c r="W444" i="11"/>
  <c r="CA274" i="11"/>
  <c r="CE274" i="11"/>
  <c r="CF274" i="11"/>
  <c r="CG274" i="11"/>
  <c r="X444" i="11"/>
  <c r="Y444" i="11"/>
  <c r="CC274" i="11"/>
  <c r="CD274" i="11"/>
  <c r="Z444" i="11"/>
  <c r="CO112" i="11"/>
  <c r="AA444" i="11"/>
  <c r="CP112" i="11"/>
  <c r="AB444" i="11"/>
  <c r="CQ112" i="11"/>
  <c r="AC444" i="11"/>
  <c r="B126"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O126" i="11"/>
  <c r="AP126" i="11"/>
  <c r="AQ126" i="11"/>
  <c r="AR126" i="11"/>
  <c r="AS126" i="11"/>
  <c r="AT126" i="11"/>
  <c r="AU126" i="11"/>
  <c r="AV126" i="11"/>
  <c r="AW126" i="11"/>
  <c r="AX126" i="11"/>
  <c r="AY126" i="11"/>
  <c r="AZ126" i="11"/>
  <c r="BA126" i="11"/>
  <c r="BB126" i="11"/>
  <c r="BC126" i="11"/>
  <c r="BD126" i="11"/>
  <c r="BE126" i="11"/>
  <c r="BF126" i="11"/>
  <c r="BG126" i="11"/>
  <c r="BH126" i="11"/>
  <c r="BI126" i="11"/>
  <c r="BJ126" i="11"/>
  <c r="BK126" i="11"/>
  <c r="BL126" i="11"/>
  <c r="BM126" i="11"/>
  <c r="BN126" i="11"/>
  <c r="BO126" i="11"/>
  <c r="BP126" i="11"/>
  <c r="BQ126" i="11"/>
  <c r="BR126" i="11"/>
  <c r="BS126" i="11"/>
  <c r="BT126" i="11"/>
  <c r="BU126" i="11"/>
  <c r="BV126" i="11"/>
  <c r="BW126" i="11"/>
  <c r="BX127" i="10"/>
  <c r="BX126" i="11"/>
  <c r="BY127" i="10"/>
  <c r="BY126" i="11"/>
  <c r="BZ126" i="11"/>
  <c r="CA126" i="11"/>
  <c r="CB126" i="11"/>
  <c r="CR112" i="11"/>
  <c r="AD444" i="11"/>
  <c r="CV112" i="11"/>
  <c r="AE444" i="11"/>
  <c r="CW112" i="11"/>
  <c r="AF444" i="11"/>
  <c r="CX112" i="11"/>
  <c r="AG444" i="11"/>
  <c r="CA127" i="10"/>
  <c r="CC126" i="11"/>
  <c r="CD126" i="11"/>
  <c r="CY112" i="11"/>
  <c r="AH444" i="11"/>
  <c r="A445" i="11"/>
  <c r="B445" i="11"/>
  <c r="D114" i="10"/>
  <c r="C445" i="11"/>
  <c r="D445" i="11"/>
  <c r="U114" i="10"/>
  <c r="E445" i="11"/>
  <c r="F445" i="11"/>
  <c r="G445" i="11"/>
  <c r="H445" i="11"/>
  <c r="I445" i="11"/>
  <c r="J445" i="11"/>
  <c r="K445" i="11"/>
  <c r="L445" i="11"/>
  <c r="P445" i="11"/>
  <c r="Q445" i="11"/>
  <c r="R445" i="11"/>
  <c r="S445" i="11"/>
  <c r="T445" i="11"/>
  <c r="C275" i="11"/>
  <c r="D275" i="11"/>
  <c r="E275" i="11"/>
  <c r="G275" i="11"/>
  <c r="H275" i="11"/>
  <c r="I275" i="11"/>
  <c r="B275" i="11"/>
  <c r="F275" i="11"/>
  <c r="J275" i="11"/>
  <c r="K275" i="11"/>
  <c r="L275" i="11"/>
  <c r="M275" i="11"/>
  <c r="N275" i="11"/>
  <c r="O275" i="11"/>
  <c r="P275" i="11"/>
  <c r="Q275" i="11"/>
  <c r="R275" i="11"/>
  <c r="S275" i="11"/>
  <c r="T275" i="11"/>
  <c r="U275" i="11"/>
  <c r="V275" i="11"/>
  <c r="W275" i="11"/>
  <c r="X275" i="11"/>
  <c r="Y275" i="11"/>
  <c r="Z275" i="11"/>
  <c r="AA275" i="11"/>
  <c r="AB275" i="11"/>
  <c r="AC275" i="11"/>
  <c r="AD275" i="11"/>
  <c r="AE275" i="11"/>
  <c r="AF275" i="11"/>
  <c r="AG275" i="11"/>
  <c r="AH275" i="11"/>
  <c r="AI275" i="11"/>
  <c r="AJ275" i="11"/>
  <c r="AK275" i="11"/>
  <c r="AL275" i="11"/>
  <c r="AM275" i="11"/>
  <c r="AN275" i="11"/>
  <c r="AO275" i="11"/>
  <c r="AP275" i="11"/>
  <c r="AQ275" i="11"/>
  <c r="AR275" i="11"/>
  <c r="AS275" i="11"/>
  <c r="AT275" i="11"/>
  <c r="AU275" i="11"/>
  <c r="AV275" i="11"/>
  <c r="AW275" i="11"/>
  <c r="AX275" i="11"/>
  <c r="AY275" i="11"/>
  <c r="AZ275" i="11"/>
  <c r="BA275" i="11"/>
  <c r="BB275" i="11"/>
  <c r="BC275" i="11"/>
  <c r="BD275" i="11"/>
  <c r="BE275" i="11"/>
  <c r="BF275" i="11"/>
  <c r="BG275" i="11"/>
  <c r="BH275" i="11"/>
  <c r="BI275" i="11"/>
  <c r="BJ275" i="11"/>
  <c r="BK275" i="11"/>
  <c r="BL275" i="11"/>
  <c r="BM275" i="11"/>
  <c r="BN275" i="11"/>
  <c r="BO275" i="11"/>
  <c r="BP275" i="11"/>
  <c r="BQ275" i="11"/>
  <c r="BR275" i="11"/>
  <c r="BS275" i="11"/>
  <c r="BT275" i="11"/>
  <c r="BU275" i="11"/>
  <c r="BV275" i="11"/>
  <c r="BW275" i="11"/>
  <c r="BX275" i="11"/>
  <c r="BY275" i="11"/>
  <c r="BZ275" i="11"/>
  <c r="CB275" i="11"/>
  <c r="U445" i="11"/>
  <c r="V445" i="11"/>
  <c r="CE113" i="11"/>
  <c r="CF113" i="11"/>
  <c r="CG113" i="11"/>
  <c r="W445" i="11"/>
  <c r="CA275" i="11"/>
  <c r="CE275" i="11"/>
  <c r="CF275" i="11"/>
  <c r="CG275" i="11"/>
  <c r="X445" i="11"/>
  <c r="Y445" i="11"/>
  <c r="CC275" i="11"/>
  <c r="CD275" i="11"/>
  <c r="Z445" i="11"/>
  <c r="CO113" i="11"/>
  <c r="AA445" i="11"/>
  <c r="CP113" i="11"/>
  <c r="AB445" i="11"/>
  <c r="CQ113" i="11"/>
  <c r="AC445" i="11"/>
  <c r="B127"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O127" i="11"/>
  <c r="AP127" i="11"/>
  <c r="AQ127" i="11"/>
  <c r="AR127" i="11"/>
  <c r="AS127" i="11"/>
  <c r="AT127" i="11"/>
  <c r="AU127" i="11"/>
  <c r="AV127" i="11"/>
  <c r="AW127" i="11"/>
  <c r="AX127" i="11"/>
  <c r="AY127" i="11"/>
  <c r="AZ127" i="11"/>
  <c r="BA127" i="11"/>
  <c r="BB127" i="11"/>
  <c r="BC127" i="11"/>
  <c r="BD127" i="11"/>
  <c r="BE127" i="11"/>
  <c r="BF127" i="11"/>
  <c r="BG127" i="11"/>
  <c r="BH127" i="11"/>
  <c r="BI127" i="11"/>
  <c r="BJ127" i="11"/>
  <c r="BK127" i="11"/>
  <c r="BL127" i="11"/>
  <c r="BM127" i="11"/>
  <c r="BN127" i="11"/>
  <c r="BO127" i="11"/>
  <c r="BP127" i="11"/>
  <c r="BQ127" i="11"/>
  <c r="BR127" i="11"/>
  <c r="BS127" i="11"/>
  <c r="BT127" i="11"/>
  <c r="BU127" i="11"/>
  <c r="BV127" i="11"/>
  <c r="BW127" i="11"/>
  <c r="BX128" i="10"/>
  <c r="BX127" i="11"/>
  <c r="BY128" i="10"/>
  <c r="BY127" i="11"/>
  <c r="BZ127" i="11"/>
  <c r="CA127" i="11"/>
  <c r="CB127" i="11"/>
  <c r="CR113" i="11"/>
  <c r="AD445" i="11"/>
  <c r="CV113" i="11"/>
  <c r="AE445" i="11"/>
  <c r="CW113" i="11"/>
  <c r="AF445" i="11"/>
  <c r="CX113" i="11"/>
  <c r="AG445" i="11"/>
  <c r="CA128" i="10"/>
  <c r="CC127" i="11"/>
  <c r="CD127" i="11"/>
  <c r="CY113" i="11"/>
  <c r="AH445" i="11"/>
  <c r="A446" i="11"/>
  <c r="B446" i="11"/>
  <c r="D115" i="10"/>
  <c r="C446" i="11"/>
  <c r="D446" i="11"/>
  <c r="U115" i="10"/>
  <c r="E446" i="11"/>
  <c r="F446" i="11"/>
  <c r="G446" i="11"/>
  <c r="H446" i="11"/>
  <c r="I446" i="11"/>
  <c r="J446" i="11"/>
  <c r="K446" i="11"/>
  <c r="L446" i="11"/>
  <c r="P446" i="11"/>
  <c r="Q446" i="11"/>
  <c r="R446" i="11"/>
  <c r="S446" i="11"/>
  <c r="T446" i="11"/>
  <c r="C276" i="11"/>
  <c r="D276" i="11"/>
  <c r="E276" i="11"/>
  <c r="G276" i="11"/>
  <c r="H276" i="11"/>
  <c r="I276" i="11"/>
  <c r="B276" i="11"/>
  <c r="F276" i="11"/>
  <c r="J276" i="11"/>
  <c r="K276" i="11"/>
  <c r="L276" i="11"/>
  <c r="M276" i="11"/>
  <c r="N276" i="11"/>
  <c r="O276" i="11"/>
  <c r="P276" i="11"/>
  <c r="Q276" i="11"/>
  <c r="R276" i="11"/>
  <c r="S276" i="11"/>
  <c r="T276" i="11"/>
  <c r="U276" i="11"/>
  <c r="V276" i="11"/>
  <c r="W276" i="11"/>
  <c r="X276" i="11"/>
  <c r="Y276" i="11"/>
  <c r="Z276" i="11"/>
  <c r="AA276" i="11"/>
  <c r="AB276" i="11"/>
  <c r="AC276" i="11"/>
  <c r="AD276" i="11"/>
  <c r="AE276" i="11"/>
  <c r="AF276" i="11"/>
  <c r="AG276" i="11"/>
  <c r="AH276" i="11"/>
  <c r="AI276" i="11"/>
  <c r="AJ276" i="11"/>
  <c r="AK276" i="11"/>
  <c r="AL276" i="11"/>
  <c r="AM276" i="11"/>
  <c r="AN276" i="11"/>
  <c r="AO276" i="11"/>
  <c r="AP276" i="11"/>
  <c r="AQ276" i="11"/>
  <c r="AR276" i="11"/>
  <c r="AS276" i="11"/>
  <c r="AT276" i="11"/>
  <c r="AU276" i="11"/>
  <c r="AV276" i="11"/>
  <c r="AW276" i="11"/>
  <c r="AX276" i="11"/>
  <c r="AY276" i="11"/>
  <c r="AZ276" i="11"/>
  <c r="BA276" i="11"/>
  <c r="BB276" i="11"/>
  <c r="BC276" i="11"/>
  <c r="BD276" i="11"/>
  <c r="BE276" i="11"/>
  <c r="BF276" i="11"/>
  <c r="BG276" i="11"/>
  <c r="BH276" i="11"/>
  <c r="BI276" i="11"/>
  <c r="BJ276" i="11"/>
  <c r="BK276" i="11"/>
  <c r="BL276" i="11"/>
  <c r="BM276" i="11"/>
  <c r="BN276" i="11"/>
  <c r="BO276" i="11"/>
  <c r="BP276" i="11"/>
  <c r="BQ276" i="11"/>
  <c r="BR276" i="11"/>
  <c r="BS276" i="11"/>
  <c r="BT276" i="11"/>
  <c r="BU276" i="11"/>
  <c r="BV276" i="11"/>
  <c r="BW276" i="11"/>
  <c r="BX276" i="11"/>
  <c r="BY276" i="11"/>
  <c r="BZ276" i="11"/>
  <c r="CB276" i="11"/>
  <c r="U446" i="11"/>
  <c r="V446" i="11"/>
  <c r="CE114" i="11"/>
  <c r="CF114" i="11"/>
  <c r="CG114" i="11"/>
  <c r="W446" i="11"/>
  <c r="CA276" i="11"/>
  <c r="CE276" i="11"/>
  <c r="CF276" i="11"/>
  <c r="CG276" i="11"/>
  <c r="X446" i="11"/>
  <c r="Y446" i="11"/>
  <c r="CC276" i="11"/>
  <c r="CD276" i="11"/>
  <c r="Z446" i="11"/>
  <c r="CO114" i="11"/>
  <c r="AA446" i="11"/>
  <c r="CP114" i="11"/>
  <c r="AB446" i="11"/>
  <c r="CQ114" i="11"/>
  <c r="AC446" i="11"/>
  <c r="B128"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O128" i="11"/>
  <c r="AP128" i="11"/>
  <c r="AQ128" i="11"/>
  <c r="AR128" i="11"/>
  <c r="AS128" i="11"/>
  <c r="AT128" i="11"/>
  <c r="AU128" i="11"/>
  <c r="AV128" i="11"/>
  <c r="AW128" i="11"/>
  <c r="AX128" i="11"/>
  <c r="AY128" i="11"/>
  <c r="AZ128" i="11"/>
  <c r="BA128" i="11"/>
  <c r="BB128" i="11"/>
  <c r="BC128" i="11"/>
  <c r="BD128" i="11"/>
  <c r="BE128" i="11"/>
  <c r="BF128" i="11"/>
  <c r="BG128" i="11"/>
  <c r="BH128" i="11"/>
  <c r="BI128" i="11"/>
  <c r="BJ128" i="11"/>
  <c r="BK128" i="11"/>
  <c r="BL128" i="11"/>
  <c r="BM128" i="11"/>
  <c r="BN128" i="11"/>
  <c r="BO128" i="11"/>
  <c r="BP128" i="11"/>
  <c r="BQ128" i="11"/>
  <c r="BR128" i="11"/>
  <c r="BS128" i="11"/>
  <c r="BT128" i="11"/>
  <c r="BU128" i="11"/>
  <c r="BV128" i="11"/>
  <c r="BW128" i="11"/>
  <c r="BX129" i="10"/>
  <c r="BX128" i="11"/>
  <c r="BY129" i="10"/>
  <c r="BY128" i="11"/>
  <c r="BZ128" i="11"/>
  <c r="CA128" i="11"/>
  <c r="CB128" i="11"/>
  <c r="CR114" i="11"/>
  <c r="AD446" i="11"/>
  <c r="CV114" i="11"/>
  <c r="AE446" i="11"/>
  <c r="CW114" i="11"/>
  <c r="AF446" i="11"/>
  <c r="CX114" i="11"/>
  <c r="AG446" i="11"/>
  <c r="CA129" i="10"/>
  <c r="CC128" i="11"/>
  <c r="CD128" i="11"/>
  <c r="CY114" i="11"/>
  <c r="AH446" i="11"/>
  <c r="A447" i="11"/>
  <c r="B447" i="11"/>
  <c r="D116" i="10"/>
  <c r="C447" i="11"/>
  <c r="D447" i="11"/>
  <c r="U116" i="10"/>
  <c r="E447" i="11"/>
  <c r="F447" i="11"/>
  <c r="G447" i="11"/>
  <c r="H447" i="11"/>
  <c r="I447" i="11"/>
  <c r="J447" i="11"/>
  <c r="K447" i="11"/>
  <c r="L447" i="11"/>
  <c r="P447" i="11"/>
  <c r="Q447" i="11"/>
  <c r="R447" i="11"/>
  <c r="S447" i="11"/>
  <c r="T447" i="11"/>
  <c r="C277" i="11"/>
  <c r="D277" i="11"/>
  <c r="E277" i="11"/>
  <c r="G277" i="11"/>
  <c r="H277" i="11"/>
  <c r="I277" i="11"/>
  <c r="B277" i="11"/>
  <c r="F277" i="11"/>
  <c r="J277" i="11"/>
  <c r="K277" i="11"/>
  <c r="L277" i="11"/>
  <c r="M277" i="11"/>
  <c r="N277" i="11"/>
  <c r="O277" i="11"/>
  <c r="P277" i="11"/>
  <c r="Q277" i="11"/>
  <c r="R277" i="11"/>
  <c r="S277" i="11"/>
  <c r="T277" i="11"/>
  <c r="U277" i="11"/>
  <c r="V277" i="11"/>
  <c r="W277" i="11"/>
  <c r="X277" i="11"/>
  <c r="Y277" i="11"/>
  <c r="Z277" i="11"/>
  <c r="AA277" i="11"/>
  <c r="AB277" i="11"/>
  <c r="AC277" i="11"/>
  <c r="AD277" i="11"/>
  <c r="AE277" i="11"/>
  <c r="AF277" i="11"/>
  <c r="AG277" i="11"/>
  <c r="AH277" i="11"/>
  <c r="AI277" i="11"/>
  <c r="AJ277" i="11"/>
  <c r="AK277" i="11"/>
  <c r="AL277" i="11"/>
  <c r="AM277" i="11"/>
  <c r="AN277" i="11"/>
  <c r="AO277" i="11"/>
  <c r="AP277" i="11"/>
  <c r="AQ277" i="11"/>
  <c r="AR277" i="11"/>
  <c r="AS277" i="11"/>
  <c r="AT277" i="11"/>
  <c r="AU277" i="11"/>
  <c r="AV277" i="11"/>
  <c r="AW277" i="11"/>
  <c r="AX277" i="11"/>
  <c r="AY277" i="11"/>
  <c r="AZ277" i="11"/>
  <c r="BA277" i="11"/>
  <c r="BB277" i="11"/>
  <c r="BC277" i="11"/>
  <c r="BD277" i="11"/>
  <c r="BE277" i="11"/>
  <c r="BF277" i="11"/>
  <c r="BG277" i="11"/>
  <c r="BH277" i="11"/>
  <c r="BI277" i="11"/>
  <c r="BJ277" i="11"/>
  <c r="BK277" i="11"/>
  <c r="BL277" i="11"/>
  <c r="BM277" i="11"/>
  <c r="BN277" i="11"/>
  <c r="BO277" i="11"/>
  <c r="BP277" i="11"/>
  <c r="BQ277" i="11"/>
  <c r="BR277" i="11"/>
  <c r="BS277" i="11"/>
  <c r="BT277" i="11"/>
  <c r="BU277" i="11"/>
  <c r="BV277" i="11"/>
  <c r="BW277" i="11"/>
  <c r="BX277" i="11"/>
  <c r="BY277" i="11"/>
  <c r="BZ277" i="11"/>
  <c r="CB277" i="11"/>
  <c r="U447" i="11"/>
  <c r="V447" i="11"/>
  <c r="CE115" i="11"/>
  <c r="CF115" i="11"/>
  <c r="CG115" i="11"/>
  <c r="W447" i="11"/>
  <c r="CA277" i="11"/>
  <c r="CE277" i="11"/>
  <c r="CF277" i="11"/>
  <c r="CG277" i="11"/>
  <c r="X447" i="11"/>
  <c r="Y447" i="11"/>
  <c r="CC277" i="11"/>
  <c r="CD277" i="11"/>
  <c r="Z447" i="11"/>
  <c r="CO115" i="11"/>
  <c r="AA447" i="11"/>
  <c r="CP115" i="11"/>
  <c r="AB447" i="11"/>
  <c r="CQ115" i="11"/>
  <c r="AC447" i="11"/>
  <c r="B129"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O129" i="11"/>
  <c r="AP129" i="11"/>
  <c r="AQ129" i="11"/>
  <c r="AR129" i="11"/>
  <c r="AS129" i="11"/>
  <c r="AT129" i="11"/>
  <c r="AU129" i="11"/>
  <c r="AV129" i="11"/>
  <c r="AW129" i="11"/>
  <c r="AX129" i="11"/>
  <c r="AY129" i="11"/>
  <c r="AZ129" i="11"/>
  <c r="BA129" i="11"/>
  <c r="BB129" i="11"/>
  <c r="BC129" i="11"/>
  <c r="BD129" i="11"/>
  <c r="BE129" i="11"/>
  <c r="BF129" i="11"/>
  <c r="BG129" i="11"/>
  <c r="BH129" i="11"/>
  <c r="BI129" i="11"/>
  <c r="BJ129" i="11"/>
  <c r="BK129" i="11"/>
  <c r="BL129" i="11"/>
  <c r="BM129" i="11"/>
  <c r="BN129" i="11"/>
  <c r="BO129" i="11"/>
  <c r="BP129" i="11"/>
  <c r="BQ129" i="11"/>
  <c r="BR129" i="11"/>
  <c r="BS129" i="11"/>
  <c r="BT129" i="11"/>
  <c r="BU129" i="11"/>
  <c r="BV129" i="11"/>
  <c r="BW129" i="11"/>
  <c r="BX130" i="10"/>
  <c r="BX129" i="11"/>
  <c r="BY130" i="10"/>
  <c r="BY129" i="11"/>
  <c r="BZ129" i="11"/>
  <c r="CA129" i="11"/>
  <c r="CB129" i="11"/>
  <c r="CR115" i="11"/>
  <c r="AD447" i="11"/>
  <c r="CV115" i="11"/>
  <c r="AE447" i="11"/>
  <c r="CW115" i="11"/>
  <c r="AF447" i="11"/>
  <c r="CX115" i="11"/>
  <c r="AG447" i="11"/>
  <c r="CA130" i="10"/>
  <c r="CC129" i="11"/>
  <c r="CD129" i="11"/>
  <c r="CY115" i="11"/>
  <c r="AH447" i="11"/>
  <c r="A448" i="11"/>
  <c r="B448" i="11"/>
  <c r="D117" i="10"/>
  <c r="C448" i="11"/>
  <c r="D448" i="11"/>
  <c r="U117" i="10"/>
  <c r="E448" i="11"/>
  <c r="F448" i="11"/>
  <c r="G448" i="11"/>
  <c r="H448" i="11"/>
  <c r="I448" i="11"/>
  <c r="J448" i="11"/>
  <c r="K448" i="11"/>
  <c r="L448" i="11"/>
  <c r="P448" i="11"/>
  <c r="Q448" i="11"/>
  <c r="R448" i="11"/>
  <c r="S448" i="11"/>
  <c r="T448" i="11"/>
  <c r="C278" i="11"/>
  <c r="D278" i="11"/>
  <c r="E278" i="11"/>
  <c r="G278" i="11"/>
  <c r="H278" i="11"/>
  <c r="I278" i="11"/>
  <c r="B278" i="11"/>
  <c r="F278" i="11"/>
  <c r="J278" i="11"/>
  <c r="K278" i="11"/>
  <c r="L278" i="11"/>
  <c r="M278" i="11"/>
  <c r="N278" i="11"/>
  <c r="O278" i="11"/>
  <c r="P278" i="11"/>
  <c r="Q278" i="11"/>
  <c r="R278" i="11"/>
  <c r="S278" i="11"/>
  <c r="T278" i="11"/>
  <c r="U278" i="11"/>
  <c r="V278" i="11"/>
  <c r="W278" i="11"/>
  <c r="X278" i="11"/>
  <c r="Y278" i="11"/>
  <c r="Z278" i="11"/>
  <c r="AA278" i="11"/>
  <c r="AB278" i="11"/>
  <c r="AC278" i="11"/>
  <c r="AD278" i="11"/>
  <c r="AE278" i="11"/>
  <c r="AF278" i="11"/>
  <c r="AG278" i="11"/>
  <c r="AH278" i="11"/>
  <c r="AI278" i="11"/>
  <c r="AJ278" i="11"/>
  <c r="AK278" i="11"/>
  <c r="AL278" i="11"/>
  <c r="AM278" i="11"/>
  <c r="AN278" i="11"/>
  <c r="AO278" i="11"/>
  <c r="AP278" i="11"/>
  <c r="AQ278" i="11"/>
  <c r="AR278" i="11"/>
  <c r="AS278" i="11"/>
  <c r="AT278" i="11"/>
  <c r="AU278" i="11"/>
  <c r="AV278" i="11"/>
  <c r="AW278" i="11"/>
  <c r="AX278" i="11"/>
  <c r="AY278" i="11"/>
  <c r="AZ278" i="11"/>
  <c r="BA278" i="11"/>
  <c r="BB278" i="11"/>
  <c r="BC278" i="11"/>
  <c r="BD278" i="11"/>
  <c r="BE278" i="11"/>
  <c r="BF278" i="11"/>
  <c r="BG278" i="11"/>
  <c r="BH278" i="11"/>
  <c r="BI278" i="11"/>
  <c r="BJ278" i="11"/>
  <c r="BK278" i="11"/>
  <c r="BL278" i="11"/>
  <c r="BM278" i="11"/>
  <c r="BN278" i="11"/>
  <c r="BO278" i="11"/>
  <c r="BP278" i="11"/>
  <c r="BQ278" i="11"/>
  <c r="BR278" i="11"/>
  <c r="BS278" i="11"/>
  <c r="BT278" i="11"/>
  <c r="BU278" i="11"/>
  <c r="BV278" i="11"/>
  <c r="BW278" i="11"/>
  <c r="BX278" i="11"/>
  <c r="BY278" i="11"/>
  <c r="BZ278" i="11"/>
  <c r="CB278" i="11"/>
  <c r="U448" i="11"/>
  <c r="V448" i="11"/>
  <c r="CE116" i="11"/>
  <c r="CF116" i="11"/>
  <c r="CG116" i="11"/>
  <c r="W448" i="11"/>
  <c r="CA278" i="11"/>
  <c r="CE278" i="11"/>
  <c r="CF278" i="11"/>
  <c r="CG278" i="11"/>
  <c r="X448" i="11"/>
  <c r="Y448" i="11"/>
  <c r="CC278" i="11"/>
  <c r="CD278" i="11"/>
  <c r="Z448" i="11"/>
  <c r="CO116" i="11"/>
  <c r="AA448" i="11"/>
  <c r="CP116" i="11"/>
  <c r="AB448" i="11"/>
  <c r="CQ116" i="11"/>
  <c r="AC448" i="11"/>
  <c r="B130"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O130" i="11"/>
  <c r="AP130" i="11"/>
  <c r="AQ130" i="11"/>
  <c r="AR130" i="11"/>
  <c r="AS130" i="11"/>
  <c r="AT130" i="11"/>
  <c r="AU130" i="11"/>
  <c r="AV130" i="11"/>
  <c r="AW130" i="11"/>
  <c r="AX130" i="11"/>
  <c r="AY130" i="11"/>
  <c r="AZ130" i="11"/>
  <c r="BA130" i="11"/>
  <c r="BB130" i="11"/>
  <c r="BC130" i="11"/>
  <c r="BD130" i="11"/>
  <c r="BE130" i="11"/>
  <c r="BF130" i="11"/>
  <c r="BG130" i="11"/>
  <c r="BH130" i="11"/>
  <c r="BI130" i="11"/>
  <c r="BJ130" i="11"/>
  <c r="BK130" i="11"/>
  <c r="BL130" i="11"/>
  <c r="BM130" i="11"/>
  <c r="BN130" i="11"/>
  <c r="BO130" i="11"/>
  <c r="BP130" i="11"/>
  <c r="BQ130" i="11"/>
  <c r="BR130" i="11"/>
  <c r="BS130" i="11"/>
  <c r="BT130" i="11"/>
  <c r="BU130" i="11"/>
  <c r="BV130" i="11"/>
  <c r="BW130" i="11"/>
  <c r="BX131" i="10"/>
  <c r="BX130" i="11"/>
  <c r="BY131" i="10"/>
  <c r="BY130" i="11"/>
  <c r="BZ130" i="11"/>
  <c r="CA130" i="11"/>
  <c r="CB130" i="11"/>
  <c r="CR116" i="11"/>
  <c r="AD448" i="11"/>
  <c r="CV116" i="11"/>
  <c r="AE448" i="11"/>
  <c r="CW116" i="11"/>
  <c r="AF448" i="11"/>
  <c r="CX116" i="11"/>
  <c r="AG448" i="11"/>
  <c r="CA131" i="10"/>
  <c r="CC130" i="11"/>
  <c r="CD130" i="11"/>
  <c r="CY116" i="11"/>
  <c r="AH448" i="11"/>
  <c r="A449" i="11"/>
  <c r="B449" i="11"/>
  <c r="D118" i="10"/>
  <c r="C449" i="11"/>
  <c r="D449" i="11"/>
  <c r="U118" i="10"/>
  <c r="E449" i="11"/>
  <c r="F449" i="11"/>
  <c r="G449" i="11"/>
  <c r="H449" i="11"/>
  <c r="I449" i="11"/>
  <c r="J449" i="11"/>
  <c r="K449" i="11"/>
  <c r="L449" i="11"/>
  <c r="P449" i="11"/>
  <c r="Q449" i="11"/>
  <c r="R449" i="11"/>
  <c r="S449" i="11"/>
  <c r="T449" i="11"/>
  <c r="C279" i="11"/>
  <c r="D279" i="11"/>
  <c r="E279" i="11"/>
  <c r="G279" i="11"/>
  <c r="H279" i="11"/>
  <c r="I279" i="11"/>
  <c r="B279" i="11"/>
  <c r="F279" i="11"/>
  <c r="J279" i="11"/>
  <c r="K279" i="11"/>
  <c r="L279" i="11"/>
  <c r="M279" i="11"/>
  <c r="N279" i="11"/>
  <c r="O279" i="11"/>
  <c r="P279" i="11"/>
  <c r="Q279" i="11"/>
  <c r="R279" i="11"/>
  <c r="S279" i="11"/>
  <c r="T279" i="11"/>
  <c r="U279" i="11"/>
  <c r="V279" i="11"/>
  <c r="W279" i="11"/>
  <c r="X279" i="11"/>
  <c r="Y279" i="11"/>
  <c r="Z279" i="11"/>
  <c r="AA279" i="11"/>
  <c r="AB279" i="11"/>
  <c r="AC279" i="11"/>
  <c r="AD279" i="11"/>
  <c r="AE279" i="11"/>
  <c r="AF279" i="11"/>
  <c r="AG279" i="11"/>
  <c r="AH279" i="11"/>
  <c r="AI279" i="11"/>
  <c r="AJ279" i="11"/>
  <c r="AK279" i="11"/>
  <c r="AL279" i="11"/>
  <c r="AM279" i="11"/>
  <c r="AN279" i="11"/>
  <c r="AO279" i="11"/>
  <c r="AP279" i="11"/>
  <c r="AQ279" i="11"/>
  <c r="AR279" i="11"/>
  <c r="AS279" i="11"/>
  <c r="AT279" i="11"/>
  <c r="AU279" i="11"/>
  <c r="AV279" i="11"/>
  <c r="AW279" i="11"/>
  <c r="AX279" i="11"/>
  <c r="AY279" i="11"/>
  <c r="AZ279" i="11"/>
  <c r="BA279" i="11"/>
  <c r="BB279" i="11"/>
  <c r="BC279" i="11"/>
  <c r="BD279" i="11"/>
  <c r="BE279" i="11"/>
  <c r="BF279" i="11"/>
  <c r="BG279" i="11"/>
  <c r="BH279" i="11"/>
  <c r="BI279" i="11"/>
  <c r="BJ279" i="11"/>
  <c r="BK279" i="11"/>
  <c r="BL279" i="11"/>
  <c r="BM279" i="11"/>
  <c r="BN279" i="11"/>
  <c r="BO279" i="11"/>
  <c r="BP279" i="11"/>
  <c r="BQ279" i="11"/>
  <c r="BR279" i="11"/>
  <c r="BS279" i="11"/>
  <c r="BT279" i="11"/>
  <c r="BU279" i="11"/>
  <c r="BV279" i="11"/>
  <c r="BW279" i="11"/>
  <c r="BX279" i="11"/>
  <c r="BY279" i="11"/>
  <c r="BZ279" i="11"/>
  <c r="CB279" i="11"/>
  <c r="U449" i="11"/>
  <c r="V449" i="11"/>
  <c r="CE117" i="11"/>
  <c r="CF117" i="11"/>
  <c r="CG117" i="11"/>
  <c r="W449" i="11"/>
  <c r="CA279" i="11"/>
  <c r="CE279" i="11"/>
  <c r="CF279" i="11"/>
  <c r="CG279" i="11"/>
  <c r="X449" i="11"/>
  <c r="Y449" i="11"/>
  <c r="CC279" i="11"/>
  <c r="CD279" i="11"/>
  <c r="Z449" i="11"/>
  <c r="CO117" i="11"/>
  <c r="AA449" i="11"/>
  <c r="CP117" i="11"/>
  <c r="AB449" i="11"/>
  <c r="CQ117" i="11"/>
  <c r="AC449" i="11"/>
  <c r="B131"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O131" i="11"/>
  <c r="AP131" i="11"/>
  <c r="AQ131" i="11"/>
  <c r="AR131" i="11"/>
  <c r="AS131" i="11"/>
  <c r="AT131" i="11"/>
  <c r="AU131" i="11"/>
  <c r="AV131" i="11"/>
  <c r="AW131" i="11"/>
  <c r="AX131" i="11"/>
  <c r="AY131" i="11"/>
  <c r="AZ131" i="11"/>
  <c r="BA131" i="11"/>
  <c r="BB131" i="11"/>
  <c r="BC131" i="11"/>
  <c r="BD131" i="11"/>
  <c r="BE131" i="11"/>
  <c r="BF131" i="11"/>
  <c r="BG131" i="11"/>
  <c r="BH131" i="11"/>
  <c r="BI131" i="11"/>
  <c r="BJ131" i="11"/>
  <c r="BK131" i="11"/>
  <c r="BL131" i="11"/>
  <c r="BM131" i="11"/>
  <c r="BN131" i="11"/>
  <c r="BO131" i="11"/>
  <c r="BP131" i="11"/>
  <c r="BQ131" i="11"/>
  <c r="BR131" i="11"/>
  <c r="BS131" i="11"/>
  <c r="BT131" i="11"/>
  <c r="BU131" i="11"/>
  <c r="BV131" i="11"/>
  <c r="BW131" i="11"/>
  <c r="BX132" i="10"/>
  <c r="BX131" i="11"/>
  <c r="BY132" i="10"/>
  <c r="BY131" i="11"/>
  <c r="BZ131" i="11"/>
  <c r="CA131" i="11"/>
  <c r="CB131" i="11"/>
  <c r="CR117" i="11"/>
  <c r="AD449" i="11"/>
  <c r="CV117" i="11"/>
  <c r="AE449" i="11"/>
  <c r="CW117" i="11"/>
  <c r="AF449" i="11"/>
  <c r="CX117" i="11"/>
  <c r="AG449" i="11"/>
  <c r="CA132" i="10"/>
  <c r="CC131" i="11"/>
  <c r="CD131" i="11"/>
  <c r="CY117" i="11"/>
  <c r="AH449" i="11"/>
  <c r="A450" i="11"/>
  <c r="B450" i="11"/>
  <c r="D119" i="10"/>
  <c r="C450" i="11"/>
  <c r="D450" i="11"/>
  <c r="U119" i="10"/>
  <c r="E450" i="11"/>
  <c r="F450" i="11"/>
  <c r="G450" i="11"/>
  <c r="H450" i="11"/>
  <c r="I450" i="11"/>
  <c r="J450" i="11"/>
  <c r="K450" i="11"/>
  <c r="L450" i="11"/>
  <c r="P450" i="11"/>
  <c r="Q450" i="11"/>
  <c r="R450" i="11"/>
  <c r="S450" i="11"/>
  <c r="T450" i="11"/>
  <c r="C280" i="11"/>
  <c r="D280" i="11"/>
  <c r="E280" i="11"/>
  <c r="G280" i="11"/>
  <c r="H280" i="11"/>
  <c r="I280" i="11"/>
  <c r="B280" i="11"/>
  <c r="F280" i="11"/>
  <c r="J280" i="11"/>
  <c r="K280" i="11"/>
  <c r="L280" i="11"/>
  <c r="M280" i="11"/>
  <c r="N280" i="11"/>
  <c r="O280" i="11"/>
  <c r="P280" i="11"/>
  <c r="Q280" i="11"/>
  <c r="R280" i="11"/>
  <c r="S280" i="11"/>
  <c r="T280" i="11"/>
  <c r="U280" i="11"/>
  <c r="V280" i="11"/>
  <c r="W280" i="11"/>
  <c r="X280" i="11"/>
  <c r="Y280" i="11"/>
  <c r="Z280" i="11"/>
  <c r="AA280" i="11"/>
  <c r="AB280" i="11"/>
  <c r="AC280" i="11"/>
  <c r="AD280" i="11"/>
  <c r="AE280" i="11"/>
  <c r="AF280" i="11"/>
  <c r="AG280" i="11"/>
  <c r="AH280" i="11"/>
  <c r="AI280" i="11"/>
  <c r="AJ280" i="11"/>
  <c r="AK280" i="11"/>
  <c r="AL280" i="11"/>
  <c r="AM280" i="11"/>
  <c r="AN280" i="11"/>
  <c r="AO280" i="11"/>
  <c r="AP280" i="11"/>
  <c r="AQ280" i="11"/>
  <c r="AR280" i="11"/>
  <c r="AS280" i="11"/>
  <c r="AT280" i="11"/>
  <c r="AU280" i="11"/>
  <c r="AV280" i="11"/>
  <c r="AW280" i="11"/>
  <c r="AX280" i="11"/>
  <c r="AY280" i="11"/>
  <c r="AZ280" i="11"/>
  <c r="BA280" i="11"/>
  <c r="BB280" i="11"/>
  <c r="BC280" i="11"/>
  <c r="BD280" i="11"/>
  <c r="BE280" i="11"/>
  <c r="BF280" i="11"/>
  <c r="BG280" i="11"/>
  <c r="BH280" i="11"/>
  <c r="BI280" i="11"/>
  <c r="BJ280" i="11"/>
  <c r="BK280" i="11"/>
  <c r="BL280" i="11"/>
  <c r="BM280" i="11"/>
  <c r="BN280" i="11"/>
  <c r="BO280" i="11"/>
  <c r="BP280" i="11"/>
  <c r="BQ280" i="11"/>
  <c r="BR280" i="11"/>
  <c r="BS280" i="11"/>
  <c r="BT280" i="11"/>
  <c r="BU280" i="11"/>
  <c r="BV280" i="11"/>
  <c r="BW280" i="11"/>
  <c r="BX280" i="11"/>
  <c r="BY280" i="11"/>
  <c r="BZ280" i="11"/>
  <c r="CB280" i="11"/>
  <c r="U450" i="11"/>
  <c r="V450" i="11"/>
  <c r="CE118" i="11"/>
  <c r="CF118" i="11"/>
  <c r="CG118" i="11"/>
  <c r="W450" i="11"/>
  <c r="CA280" i="11"/>
  <c r="CE280" i="11"/>
  <c r="CF280" i="11"/>
  <c r="CG280" i="11"/>
  <c r="X450" i="11"/>
  <c r="Y450" i="11"/>
  <c r="CC280" i="11"/>
  <c r="CD280" i="11"/>
  <c r="Z450" i="11"/>
  <c r="CO118" i="11"/>
  <c r="AA450" i="11"/>
  <c r="CP118" i="11"/>
  <c r="AB450" i="11"/>
  <c r="CQ118" i="11"/>
  <c r="AC450" i="11"/>
  <c r="B132"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O132" i="11"/>
  <c r="AP132" i="11"/>
  <c r="AQ132" i="11"/>
  <c r="AR132" i="11"/>
  <c r="AS132" i="11"/>
  <c r="AT132" i="11"/>
  <c r="AU132" i="11"/>
  <c r="AV132" i="11"/>
  <c r="AW132" i="11"/>
  <c r="AX132" i="11"/>
  <c r="AY132" i="11"/>
  <c r="AZ132" i="11"/>
  <c r="BA132" i="11"/>
  <c r="BB132" i="11"/>
  <c r="BC132" i="11"/>
  <c r="BD132" i="11"/>
  <c r="BE132" i="11"/>
  <c r="BF132" i="11"/>
  <c r="BG132" i="11"/>
  <c r="BH132" i="11"/>
  <c r="BI132" i="11"/>
  <c r="BJ132" i="11"/>
  <c r="BK132" i="11"/>
  <c r="BL132" i="11"/>
  <c r="BM132" i="11"/>
  <c r="BN132" i="11"/>
  <c r="BO132" i="11"/>
  <c r="BP132" i="11"/>
  <c r="BQ132" i="11"/>
  <c r="BR132" i="11"/>
  <c r="BS132" i="11"/>
  <c r="BT132" i="11"/>
  <c r="BU132" i="11"/>
  <c r="BV132" i="11"/>
  <c r="BW132" i="11"/>
  <c r="BX133" i="10"/>
  <c r="BX132" i="11"/>
  <c r="BY133" i="10"/>
  <c r="BY132" i="11"/>
  <c r="BZ132" i="11"/>
  <c r="CA132" i="11"/>
  <c r="CB132" i="11"/>
  <c r="CR118" i="11"/>
  <c r="AD450" i="11"/>
  <c r="CV118" i="11"/>
  <c r="AE450" i="11"/>
  <c r="CW118" i="11"/>
  <c r="AF450" i="11"/>
  <c r="CX118" i="11"/>
  <c r="AG450" i="11"/>
  <c r="CA133" i="10"/>
  <c r="CC132" i="11"/>
  <c r="CD132" i="11"/>
  <c r="CY118" i="11"/>
  <c r="AH450" i="11"/>
  <c r="A451" i="11"/>
  <c r="B451" i="11"/>
  <c r="D120" i="10"/>
  <c r="C451" i="11"/>
  <c r="D451" i="11"/>
  <c r="U120" i="10"/>
  <c r="E451" i="11"/>
  <c r="F451" i="11"/>
  <c r="G451" i="11"/>
  <c r="H451" i="11"/>
  <c r="I451" i="11"/>
  <c r="J451" i="11"/>
  <c r="K451" i="11"/>
  <c r="L451" i="11"/>
  <c r="P451" i="11"/>
  <c r="Q451" i="11"/>
  <c r="R451" i="11"/>
  <c r="S451" i="11"/>
  <c r="T451" i="11"/>
  <c r="C281" i="11"/>
  <c r="D281" i="11"/>
  <c r="E281" i="11"/>
  <c r="G281" i="11"/>
  <c r="H281" i="11"/>
  <c r="I281" i="11"/>
  <c r="B281" i="11"/>
  <c r="F281" i="11"/>
  <c r="J281" i="11"/>
  <c r="K281" i="11"/>
  <c r="L281" i="11"/>
  <c r="M281" i="11"/>
  <c r="N281" i="11"/>
  <c r="O281" i="11"/>
  <c r="P281" i="11"/>
  <c r="Q281" i="11"/>
  <c r="R281" i="11"/>
  <c r="S281" i="11"/>
  <c r="T281" i="11"/>
  <c r="U281" i="11"/>
  <c r="V281" i="11"/>
  <c r="W281" i="11"/>
  <c r="X281" i="11"/>
  <c r="Y281" i="11"/>
  <c r="Z281" i="11"/>
  <c r="AA281" i="11"/>
  <c r="AB281" i="11"/>
  <c r="AC281" i="11"/>
  <c r="AD281" i="11"/>
  <c r="AE281" i="11"/>
  <c r="AF281" i="11"/>
  <c r="AG281" i="11"/>
  <c r="AH281" i="11"/>
  <c r="AI281" i="11"/>
  <c r="AJ281" i="11"/>
  <c r="AK281" i="11"/>
  <c r="AL281" i="11"/>
  <c r="AM281" i="11"/>
  <c r="AN281" i="11"/>
  <c r="AO281" i="11"/>
  <c r="AP281" i="11"/>
  <c r="AQ281" i="11"/>
  <c r="AR281" i="11"/>
  <c r="AS281" i="11"/>
  <c r="AT281" i="11"/>
  <c r="AU281" i="11"/>
  <c r="AV281" i="11"/>
  <c r="AW281" i="11"/>
  <c r="AX281" i="11"/>
  <c r="AY281" i="11"/>
  <c r="AZ281" i="11"/>
  <c r="BA281" i="11"/>
  <c r="BB281" i="11"/>
  <c r="BC281" i="11"/>
  <c r="BD281" i="11"/>
  <c r="BE281" i="11"/>
  <c r="BF281" i="11"/>
  <c r="BG281" i="11"/>
  <c r="BH281" i="11"/>
  <c r="BI281" i="11"/>
  <c r="BJ281" i="11"/>
  <c r="BK281" i="11"/>
  <c r="BL281" i="11"/>
  <c r="BM281" i="11"/>
  <c r="BN281" i="11"/>
  <c r="BO281" i="11"/>
  <c r="BP281" i="11"/>
  <c r="BQ281" i="11"/>
  <c r="BR281" i="11"/>
  <c r="BS281" i="11"/>
  <c r="BT281" i="11"/>
  <c r="BU281" i="11"/>
  <c r="BV281" i="11"/>
  <c r="BW281" i="11"/>
  <c r="BX281" i="11"/>
  <c r="BY281" i="11"/>
  <c r="BZ281" i="11"/>
  <c r="CB281" i="11"/>
  <c r="U451" i="11"/>
  <c r="V451" i="11"/>
  <c r="CE119" i="11"/>
  <c r="CF119" i="11"/>
  <c r="CG119" i="11"/>
  <c r="W451" i="11"/>
  <c r="CA281" i="11"/>
  <c r="CE281" i="11"/>
  <c r="CF281" i="11"/>
  <c r="CG281" i="11"/>
  <c r="X451" i="11"/>
  <c r="Y451" i="11"/>
  <c r="CC281" i="11"/>
  <c r="CD281" i="11"/>
  <c r="Z451" i="11"/>
  <c r="CO119" i="11"/>
  <c r="AA451" i="11"/>
  <c r="CP119" i="11"/>
  <c r="AB451" i="11"/>
  <c r="CQ119" i="11"/>
  <c r="AC451" i="11"/>
  <c r="B133"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O133" i="11"/>
  <c r="AP133" i="11"/>
  <c r="AQ133" i="11"/>
  <c r="AR133" i="11"/>
  <c r="AS133" i="11"/>
  <c r="AT133" i="11"/>
  <c r="AU133" i="11"/>
  <c r="AV133" i="11"/>
  <c r="AW133" i="11"/>
  <c r="AX133" i="11"/>
  <c r="AY133" i="11"/>
  <c r="AZ133" i="11"/>
  <c r="BA133" i="11"/>
  <c r="BB133" i="11"/>
  <c r="BC133" i="11"/>
  <c r="BD133" i="11"/>
  <c r="BE133" i="11"/>
  <c r="BF133" i="11"/>
  <c r="BG133" i="11"/>
  <c r="BH133" i="11"/>
  <c r="BI133" i="11"/>
  <c r="BJ133" i="11"/>
  <c r="BK133" i="11"/>
  <c r="BL133" i="11"/>
  <c r="BM133" i="11"/>
  <c r="BN133" i="11"/>
  <c r="BO133" i="11"/>
  <c r="BP133" i="11"/>
  <c r="BQ133" i="11"/>
  <c r="BR133" i="11"/>
  <c r="BS133" i="11"/>
  <c r="BT133" i="11"/>
  <c r="BU133" i="11"/>
  <c r="BV133" i="11"/>
  <c r="BW133" i="11"/>
  <c r="BX134" i="10"/>
  <c r="BX133" i="11"/>
  <c r="BY134" i="10"/>
  <c r="BY133" i="11"/>
  <c r="BZ133" i="11"/>
  <c r="CA133" i="11"/>
  <c r="CB133" i="11"/>
  <c r="CR119" i="11"/>
  <c r="AD451" i="11"/>
  <c r="CV119" i="11"/>
  <c r="AE451" i="11"/>
  <c r="CW119" i="11"/>
  <c r="AF451" i="11"/>
  <c r="CX119" i="11"/>
  <c r="AG451" i="11"/>
  <c r="CA134" i="10"/>
  <c r="CC133" i="11"/>
  <c r="CD133" i="11"/>
  <c r="CY119" i="11"/>
  <c r="AH451" i="11"/>
  <c r="A452" i="11"/>
  <c r="B452" i="11"/>
  <c r="D121" i="10"/>
  <c r="C452" i="11"/>
  <c r="D452" i="11"/>
  <c r="U121" i="10"/>
  <c r="E452" i="11"/>
  <c r="F452" i="11"/>
  <c r="G452" i="11"/>
  <c r="H452" i="11"/>
  <c r="I452" i="11"/>
  <c r="J452" i="11"/>
  <c r="K452" i="11"/>
  <c r="L452" i="11"/>
  <c r="P452" i="11"/>
  <c r="Q452" i="11"/>
  <c r="R452" i="11"/>
  <c r="S452" i="11"/>
  <c r="T452" i="11"/>
  <c r="C282" i="11"/>
  <c r="D282" i="11"/>
  <c r="E282" i="11"/>
  <c r="G282" i="11"/>
  <c r="H282" i="11"/>
  <c r="I282" i="11"/>
  <c r="B282" i="11"/>
  <c r="F282" i="11"/>
  <c r="J282" i="11"/>
  <c r="K282" i="11"/>
  <c r="L282" i="11"/>
  <c r="M282" i="11"/>
  <c r="N282" i="11"/>
  <c r="O282" i="11"/>
  <c r="P282" i="11"/>
  <c r="Q282" i="11"/>
  <c r="R282" i="11"/>
  <c r="S282" i="11"/>
  <c r="T282" i="11"/>
  <c r="U282" i="11"/>
  <c r="V282" i="11"/>
  <c r="W282" i="11"/>
  <c r="X282" i="11"/>
  <c r="Y282" i="11"/>
  <c r="Z282" i="11"/>
  <c r="AA282" i="11"/>
  <c r="AB282" i="11"/>
  <c r="AC282" i="11"/>
  <c r="AD282" i="11"/>
  <c r="AE282" i="11"/>
  <c r="AF282" i="11"/>
  <c r="AG282" i="11"/>
  <c r="AH282" i="11"/>
  <c r="AI282" i="11"/>
  <c r="AJ282" i="11"/>
  <c r="AK282" i="11"/>
  <c r="AL282" i="11"/>
  <c r="AM282" i="11"/>
  <c r="AN282" i="11"/>
  <c r="AO282" i="11"/>
  <c r="AP282" i="11"/>
  <c r="AQ282" i="11"/>
  <c r="AR282" i="11"/>
  <c r="AS282" i="11"/>
  <c r="AT282" i="11"/>
  <c r="AU282" i="11"/>
  <c r="AV282" i="11"/>
  <c r="AW282" i="11"/>
  <c r="AX282" i="11"/>
  <c r="AY282" i="11"/>
  <c r="AZ282" i="11"/>
  <c r="BA282" i="11"/>
  <c r="BB282" i="11"/>
  <c r="BC282" i="11"/>
  <c r="BD282" i="11"/>
  <c r="BE282" i="11"/>
  <c r="BF282" i="11"/>
  <c r="BG282" i="11"/>
  <c r="BH282" i="11"/>
  <c r="BI282" i="11"/>
  <c r="BJ282" i="11"/>
  <c r="BK282" i="11"/>
  <c r="BL282" i="11"/>
  <c r="BM282" i="11"/>
  <c r="BN282" i="11"/>
  <c r="BO282" i="11"/>
  <c r="BP282" i="11"/>
  <c r="BQ282" i="11"/>
  <c r="BR282" i="11"/>
  <c r="BS282" i="11"/>
  <c r="BT282" i="11"/>
  <c r="BU282" i="11"/>
  <c r="BV282" i="11"/>
  <c r="BW282" i="11"/>
  <c r="BX282" i="11"/>
  <c r="BY282" i="11"/>
  <c r="BZ282" i="11"/>
  <c r="CB282" i="11"/>
  <c r="U452" i="11"/>
  <c r="V452" i="11"/>
  <c r="CE120" i="11"/>
  <c r="CF120" i="11"/>
  <c r="CG120" i="11"/>
  <c r="W452" i="11"/>
  <c r="CA282" i="11"/>
  <c r="CE282" i="11"/>
  <c r="CF282" i="11"/>
  <c r="CG282" i="11"/>
  <c r="X452" i="11"/>
  <c r="Y452" i="11"/>
  <c r="CC282" i="11"/>
  <c r="CD282" i="11"/>
  <c r="Z452" i="11"/>
  <c r="CO120" i="11"/>
  <c r="AA452" i="11"/>
  <c r="CP120" i="11"/>
  <c r="AB452" i="11"/>
  <c r="CQ120" i="11"/>
  <c r="AC452" i="11"/>
  <c r="B134"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O134" i="11"/>
  <c r="AP134" i="11"/>
  <c r="AQ134" i="11"/>
  <c r="AR134" i="11"/>
  <c r="AS134" i="11"/>
  <c r="AT134" i="11"/>
  <c r="AU134" i="11"/>
  <c r="AV134" i="11"/>
  <c r="AW134" i="11"/>
  <c r="AX134" i="11"/>
  <c r="AY134" i="11"/>
  <c r="AZ134" i="11"/>
  <c r="BA134" i="11"/>
  <c r="BB134" i="11"/>
  <c r="BC134" i="11"/>
  <c r="BD134" i="11"/>
  <c r="BE134" i="11"/>
  <c r="BF134" i="11"/>
  <c r="BG134" i="11"/>
  <c r="BH134" i="11"/>
  <c r="BI134" i="11"/>
  <c r="BJ134" i="11"/>
  <c r="BK134" i="11"/>
  <c r="BL134" i="11"/>
  <c r="BM134" i="11"/>
  <c r="BN134" i="11"/>
  <c r="BO134" i="11"/>
  <c r="BP134" i="11"/>
  <c r="BQ134" i="11"/>
  <c r="BR134" i="11"/>
  <c r="BS134" i="11"/>
  <c r="BT134" i="11"/>
  <c r="BU134" i="11"/>
  <c r="BV134" i="11"/>
  <c r="BW134" i="11"/>
  <c r="BX135" i="10"/>
  <c r="BX134" i="11"/>
  <c r="BY135" i="10"/>
  <c r="BY134" i="11"/>
  <c r="BZ134" i="11"/>
  <c r="CA134" i="11"/>
  <c r="CB134" i="11"/>
  <c r="CR120" i="11"/>
  <c r="AD452" i="11"/>
  <c r="CV120" i="11"/>
  <c r="AE452" i="11"/>
  <c r="CW120" i="11"/>
  <c r="AF452" i="11"/>
  <c r="CX120" i="11"/>
  <c r="AG452" i="11"/>
  <c r="CA135" i="10"/>
  <c r="CC134" i="11"/>
  <c r="CD134" i="11"/>
  <c r="CY120" i="11"/>
  <c r="AH452" i="11"/>
  <c r="A453" i="11"/>
  <c r="B453" i="11"/>
  <c r="D122" i="10"/>
  <c r="C453" i="11"/>
  <c r="D453" i="11"/>
  <c r="U122" i="10"/>
  <c r="E453" i="11"/>
  <c r="F453" i="11"/>
  <c r="G453" i="11"/>
  <c r="H453" i="11"/>
  <c r="I453" i="11"/>
  <c r="J453" i="11"/>
  <c r="K453" i="11"/>
  <c r="L453" i="11"/>
  <c r="P453" i="11"/>
  <c r="Q453" i="11"/>
  <c r="R453" i="11"/>
  <c r="S453" i="11"/>
  <c r="T453" i="11"/>
  <c r="C283" i="11"/>
  <c r="D283" i="11"/>
  <c r="E283" i="11"/>
  <c r="G283" i="11"/>
  <c r="H283" i="11"/>
  <c r="I283" i="11"/>
  <c r="B283" i="11"/>
  <c r="F283" i="11"/>
  <c r="J283" i="11"/>
  <c r="K283" i="11"/>
  <c r="L283" i="11"/>
  <c r="M283" i="11"/>
  <c r="N283" i="11"/>
  <c r="O283" i="11"/>
  <c r="P283" i="11"/>
  <c r="Q283" i="11"/>
  <c r="R283" i="11"/>
  <c r="S283" i="11"/>
  <c r="T283" i="11"/>
  <c r="U283" i="11"/>
  <c r="V283" i="11"/>
  <c r="W283" i="11"/>
  <c r="X283" i="11"/>
  <c r="Y283" i="11"/>
  <c r="Z283" i="11"/>
  <c r="AA283" i="11"/>
  <c r="AB283" i="11"/>
  <c r="AC283" i="11"/>
  <c r="AD283" i="11"/>
  <c r="AE283" i="11"/>
  <c r="AF283" i="11"/>
  <c r="AG283" i="11"/>
  <c r="AH283" i="11"/>
  <c r="AI283" i="11"/>
  <c r="AJ283" i="11"/>
  <c r="AK283" i="11"/>
  <c r="AL283" i="11"/>
  <c r="AM283" i="11"/>
  <c r="AN283" i="11"/>
  <c r="AO283" i="11"/>
  <c r="AP283" i="11"/>
  <c r="AQ283" i="11"/>
  <c r="AR283" i="11"/>
  <c r="AS283" i="11"/>
  <c r="AT283" i="11"/>
  <c r="AU283" i="11"/>
  <c r="AV283" i="11"/>
  <c r="AW283" i="11"/>
  <c r="AX283" i="11"/>
  <c r="AY283" i="11"/>
  <c r="AZ283" i="11"/>
  <c r="BA283" i="11"/>
  <c r="BB283" i="11"/>
  <c r="BC283" i="11"/>
  <c r="BD283" i="11"/>
  <c r="BE283" i="11"/>
  <c r="BF283" i="11"/>
  <c r="BG283" i="11"/>
  <c r="BH283" i="11"/>
  <c r="BI283" i="11"/>
  <c r="BJ283" i="11"/>
  <c r="BK283" i="11"/>
  <c r="BL283" i="11"/>
  <c r="BM283" i="11"/>
  <c r="BN283" i="11"/>
  <c r="BO283" i="11"/>
  <c r="BP283" i="11"/>
  <c r="BQ283" i="11"/>
  <c r="BR283" i="11"/>
  <c r="BS283" i="11"/>
  <c r="BT283" i="11"/>
  <c r="BU283" i="11"/>
  <c r="BV283" i="11"/>
  <c r="BW283" i="11"/>
  <c r="BX283" i="11"/>
  <c r="BY283" i="11"/>
  <c r="BZ283" i="11"/>
  <c r="CB283" i="11"/>
  <c r="U453" i="11"/>
  <c r="V453" i="11"/>
  <c r="CE121" i="11"/>
  <c r="CF121" i="11"/>
  <c r="CG121" i="11"/>
  <c r="W453" i="11"/>
  <c r="CA283" i="11"/>
  <c r="CE283" i="11"/>
  <c r="CF283" i="11"/>
  <c r="CG283" i="11"/>
  <c r="X453" i="11"/>
  <c r="Y453" i="11"/>
  <c r="CC283" i="11"/>
  <c r="CD283" i="11"/>
  <c r="Z453" i="11"/>
  <c r="CO121" i="11"/>
  <c r="AA453" i="11"/>
  <c r="CP121" i="11"/>
  <c r="AB453" i="11"/>
  <c r="CQ121" i="11"/>
  <c r="AC453" i="11"/>
  <c r="B135"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O135" i="11"/>
  <c r="AP135" i="11"/>
  <c r="AQ135" i="11"/>
  <c r="AR135" i="11"/>
  <c r="AS135" i="11"/>
  <c r="AT135" i="11"/>
  <c r="AU135" i="11"/>
  <c r="AV135" i="11"/>
  <c r="AW135" i="11"/>
  <c r="AX135" i="11"/>
  <c r="AY135" i="11"/>
  <c r="AZ135" i="11"/>
  <c r="BA135" i="11"/>
  <c r="BB135" i="11"/>
  <c r="BC135" i="11"/>
  <c r="BD135" i="11"/>
  <c r="BE135" i="11"/>
  <c r="BF135" i="11"/>
  <c r="BG135" i="11"/>
  <c r="BH135" i="11"/>
  <c r="BI135" i="11"/>
  <c r="BJ135" i="11"/>
  <c r="BK135" i="11"/>
  <c r="BL135" i="11"/>
  <c r="BM135" i="11"/>
  <c r="BN135" i="11"/>
  <c r="BO135" i="11"/>
  <c r="BP135" i="11"/>
  <c r="BQ135" i="11"/>
  <c r="BR135" i="11"/>
  <c r="BS135" i="11"/>
  <c r="BT135" i="11"/>
  <c r="BU135" i="11"/>
  <c r="BV135" i="11"/>
  <c r="BW135" i="11"/>
  <c r="BX136" i="10"/>
  <c r="BX135" i="11"/>
  <c r="BY136" i="10"/>
  <c r="BY135" i="11"/>
  <c r="BZ135" i="11"/>
  <c r="CA135" i="11"/>
  <c r="CB135" i="11"/>
  <c r="CR121" i="11"/>
  <c r="AD453" i="11"/>
  <c r="CV121" i="11"/>
  <c r="AE453" i="11"/>
  <c r="CW121" i="11"/>
  <c r="AF453" i="11"/>
  <c r="CX121" i="11"/>
  <c r="AG453" i="11"/>
  <c r="CA136" i="10"/>
  <c r="CC135" i="11"/>
  <c r="CD135" i="11"/>
  <c r="CY121" i="11"/>
  <c r="AH453" i="11"/>
  <c r="A454" i="11"/>
  <c r="B454" i="11"/>
  <c r="D123" i="10"/>
  <c r="C454" i="11"/>
  <c r="D454" i="11"/>
  <c r="U123" i="10"/>
  <c r="E454" i="11"/>
  <c r="F454" i="11"/>
  <c r="G454" i="11"/>
  <c r="H454" i="11"/>
  <c r="I454" i="11"/>
  <c r="J454" i="11"/>
  <c r="K454" i="11"/>
  <c r="L454" i="11"/>
  <c r="P454" i="11"/>
  <c r="Q454" i="11"/>
  <c r="R454" i="11"/>
  <c r="S454" i="11"/>
  <c r="T454" i="11"/>
  <c r="C284" i="11"/>
  <c r="D284" i="11"/>
  <c r="E284" i="11"/>
  <c r="G284" i="11"/>
  <c r="H284" i="11"/>
  <c r="I284" i="11"/>
  <c r="B284" i="11"/>
  <c r="F284" i="11"/>
  <c r="J284" i="11"/>
  <c r="K284" i="11"/>
  <c r="L284" i="11"/>
  <c r="M284" i="11"/>
  <c r="N284" i="11"/>
  <c r="O284" i="11"/>
  <c r="P284" i="11"/>
  <c r="Q284" i="11"/>
  <c r="R284" i="11"/>
  <c r="S284" i="11"/>
  <c r="T284" i="11"/>
  <c r="U284" i="11"/>
  <c r="V284" i="11"/>
  <c r="W284" i="11"/>
  <c r="X284" i="11"/>
  <c r="Y284" i="11"/>
  <c r="Z284" i="11"/>
  <c r="AA284" i="11"/>
  <c r="AB284" i="11"/>
  <c r="AC284" i="11"/>
  <c r="AD284" i="11"/>
  <c r="AE284" i="11"/>
  <c r="AF284" i="11"/>
  <c r="AG284" i="11"/>
  <c r="AH284" i="11"/>
  <c r="AI284" i="11"/>
  <c r="AJ284" i="11"/>
  <c r="AK284" i="11"/>
  <c r="AL284" i="11"/>
  <c r="AM284" i="11"/>
  <c r="AN284" i="11"/>
  <c r="AO284" i="11"/>
  <c r="AP284" i="11"/>
  <c r="AQ284" i="11"/>
  <c r="AR284" i="11"/>
  <c r="AS284" i="11"/>
  <c r="AT284" i="11"/>
  <c r="AU284" i="11"/>
  <c r="AV284" i="11"/>
  <c r="AW284" i="11"/>
  <c r="AX284" i="11"/>
  <c r="AY284" i="11"/>
  <c r="AZ284" i="11"/>
  <c r="BA284" i="11"/>
  <c r="BB284" i="11"/>
  <c r="BC284" i="11"/>
  <c r="BD284" i="11"/>
  <c r="BE284" i="11"/>
  <c r="BF284" i="11"/>
  <c r="BG284" i="11"/>
  <c r="BH284" i="11"/>
  <c r="BI284" i="11"/>
  <c r="BJ284" i="11"/>
  <c r="BK284" i="11"/>
  <c r="BL284" i="11"/>
  <c r="BM284" i="11"/>
  <c r="BN284" i="11"/>
  <c r="BO284" i="11"/>
  <c r="BP284" i="11"/>
  <c r="BQ284" i="11"/>
  <c r="BR284" i="11"/>
  <c r="BS284" i="11"/>
  <c r="BT284" i="11"/>
  <c r="BU284" i="11"/>
  <c r="BV284" i="11"/>
  <c r="BW284" i="11"/>
  <c r="BX284" i="11"/>
  <c r="BY284" i="11"/>
  <c r="BZ284" i="11"/>
  <c r="CB284" i="11"/>
  <c r="U454" i="11"/>
  <c r="V454" i="11"/>
  <c r="CE122" i="11"/>
  <c r="CF122" i="11"/>
  <c r="CG122" i="11"/>
  <c r="W454" i="11"/>
  <c r="CA284" i="11"/>
  <c r="CE284" i="11"/>
  <c r="CF284" i="11"/>
  <c r="CG284" i="11"/>
  <c r="X454" i="11"/>
  <c r="Y454" i="11"/>
  <c r="CC284" i="11"/>
  <c r="CD284" i="11"/>
  <c r="Z454" i="11"/>
  <c r="CO122" i="11"/>
  <c r="AA454" i="11"/>
  <c r="CP122" i="11"/>
  <c r="AB454" i="11"/>
  <c r="CQ122" i="11"/>
  <c r="AC454" i="11"/>
  <c r="B136"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O136" i="11"/>
  <c r="AP136" i="11"/>
  <c r="AQ136" i="11"/>
  <c r="AR136" i="11"/>
  <c r="AS136" i="11"/>
  <c r="AT136" i="11"/>
  <c r="AU136" i="11"/>
  <c r="AV136" i="11"/>
  <c r="AW136" i="11"/>
  <c r="AX136" i="11"/>
  <c r="AY136" i="11"/>
  <c r="AZ136" i="11"/>
  <c r="BA136" i="11"/>
  <c r="BB136" i="11"/>
  <c r="BC136" i="11"/>
  <c r="BD136" i="11"/>
  <c r="BE136" i="11"/>
  <c r="BF136" i="11"/>
  <c r="BG136" i="11"/>
  <c r="BH136" i="11"/>
  <c r="BI136" i="11"/>
  <c r="BJ136" i="11"/>
  <c r="BK136" i="11"/>
  <c r="BL136" i="11"/>
  <c r="BM136" i="11"/>
  <c r="BN136" i="11"/>
  <c r="BO136" i="11"/>
  <c r="BP136" i="11"/>
  <c r="BQ136" i="11"/>
  <c r="BR136" i="11"/>
  <c r="BS136" i="11"/>
  <c r="BT136" i="11"/>
  <c r="BU136" i="11"/>
  <c r="BV136" i="11"/>
  <c r="BW136" i="11"/>
  <c r="BX137" i="10"/>
  <c r="BX136" i="11"/>
  <c r="BY137" i="10"/>
  <c r="BY136" i="11"/>
  <c r="BZ136" i="11"/>
  <c r="CA136" i="11"/>
  <c r="CB136" i="11"/>
  <c r="CR122" i="11"/>
  <c r="AD454" i="11"/>
  <c r="CV122" i="11"/>
  <c r="AE454" i="11"/>
  <c r="CW122" i="11"/>
  <c r="AF454" i="11"/>
  <c r="CX122" i="11"/>
  <c r="AG454" i="11"/>
  <c r="CA137" i="10"/>
  <c r="CC136" i="11"/>
  <c r="CD136" i="11"/>
  <c r="CY122" i="11"/>
  <c r="AH454" i="11"/>
  <c r="A455" i="11"/>
  <c r="B455" i="11"/>
  <c r="D124" i="10"/>
  <c r="C455" i="11"/>
  <c r="D455" i="11"/>
  <c r="U124" i="10"/>
  <c r="E455" i="11"/>
  <c r="F455" i="11"/>
  <c r="G455" i="11"/>
  <c r="H455" i="11"/>
  <c r="I455" i="11"/>
  <c r="J455" i="11"/>
  <c r="K455" i="11"/>
  <c r="L455" i="11"/>
  <c r="P455" i="11"/>
  <c r="Q455" i="11"/>
  <c r="R455" i="11"/>
  <c r="S455" i="11"/>
  <c r="T455" i="11"/>
  <c r="C285" i="11"/>
  <c r="D285" i="11"/>
  <c r="E285" i="11"/>
  <c r="G285" i="11"/>
  <c r="H285" i="11"/>
  <c r="I285" i="11"/>
  <c r="B285" i="11"/>
  <c r="F285" i="11"/>
  <c r="J285" i="11"/>
  <c r="K285" i="11"/>
  <c r="L285" i="11"/>
  <c r="M285" i="11"/>
  <c r="N285" i="11"/>
  <c r="O285" i="11"/>
  <c r="P285" i="11"/>
  <c r="Q285" i="11"/>
  <c r="R285" i="11"/>
  <c r="S285" i="11"/>
  <c r="T285" i="11"/>
  <c r="U285" i="11"/>
  <c r="V285" i="11"/>
  <c r="W285" i="11"/>
  <c r="X285" i="11"/>
  <c r="Y285" i="11"/>
  <c r="Z285" i="11"/>
  <c r="AA285" i="11"/>
  <c r="AB285" i="11"/>
  <c r="AC285" i="11"/>
  <c r="AD285" i="11"/>
  <c r="AE285" i="11"/>
  <c r="AF285" i="11"/>
  <c r="AG285" i="11"/>
  <c r="AH285" i="11"/>
  <c r="AI285" i="11"/>
  <c r="AJ285" i="11"/>
  <c r="AK285" i="11"/>
  <c r="AL285" i="11"/>
  <c r="AM285" i="11"/>
  <c r="AN285" i="11"/>
  <c r="AO285" i="11"/>
  <c r="AP285" i="11"/>
  <c r="AQ285" i="11"/>
  <c r="AR285" i="11"/>
  <c r="AS285" i="11"/>
  <c r="AT285" i="11"/>
  <c r="AU285" i="11"/>
  <c r="AV285" i="11"/>
  <c r="AW285" i="11"/>
  <c r="AX285" i="11"/>
  <c r="AY285" i="11"/>
  <c r="AZ285" i="11"/>
  <c r="BA285" i="11"/>
  <c r="BB285" i="11"/>
  <c r="BC285" i="11"/>
  <c r="BD285" i="11"/>
  <c r="BE285" i="11"/>
  <c r="BF285" i="11"/>
  <c r="BG285" i="11"/>
  <c r="BH285" i="11"/>
  <c r="BI285" i="11"/>
  <c r="BJ285" i="11"/>
  <c r="BK285" i="11"/>
  <c r="BL285" i="11"/>
  <c r="BM285" i="11"/>
  <c r="BN285" i="11"/>
  <c r="BO285" i="11"/>
  <c r="BP285" i="11"/>
  <c r="BQ285" i="11"/>
  <c r="BR285" i="11"/>
  <c r="BS285" i="11"/>
  <c r="BT285" i="11"/>
  <c r="BU285" i="11"/>
  <c r="BV285" i="11"/>
  <c r="BW285" i="11"/>
  <c r="BX285" i="11"/>
  <c r="BY285" i="11"/>
  <c r="BZ285" i="11"/>
  <c r="CB285" i="11"/>
  <c r="U455" i="11"/>
  <c r="V455" i="11"/>
  <c r="CE123" i="11"/>
  <c r="CF123" i="11"/>
  <c r="CG123" i="11"/>
  <c r="W455" i="11"/>
  <c r="CA285" i="11"/>
  <c r="CE285" i="11"/>
  <c r="CF285" i="11"/>
  <c r="CG285" i="11"/>
  <c r="X455" i="11"/>
  <c r="Y455" i="11"/>
  <c r="CC285" i="11"/>
  <c r="CD285" i="11"/>
  <c r="Z455" i="11"/>
  <c r="CO123" i="11"/>
  <c r="AA455" i="11"/>
  <c r="CP123" i="11"/>
  <c r="AB455" i="11"/>
  <c r="CQ123" i="11"/>
  <c r="AC455" i="11"/>
  <c r="B137"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O137" i="11"/>
  <c r="AP137" i="11"/>
  <c r="AQ137" i="11"/>
  <c r="AR137" i="11"/>
  <c r="AS137" i="11"/>
  <c r="AT137" i="11"/>
  <c r="AU137" i="11"/>
  <c r="AV137" i="11"/>
  <c r="AW137" i="11"/>
  <c r="AX137" i="11"/>
  <c r="AY137" i="11"/>
  <c r="AZ137" i="11"/>
  <c r="BA137" i="11"/>
  <c r="BB137" i="11"/>
  <c r="BC137" i="11"/>
  <c r="BD137" i="11"/>
  <c r="BE137" i="11"/>
  <c r="BF137" i="11"/>
  <c r="BG137" i="11"/>
  <c r="BH137" i="11"/>
  <c r="BI137" i="11"/>
  <c r="BJ137" i="11"/>
  <c r="BK137" i="11"/>
  <c r="BL137" i="11"/>
  <c r="BM137" i="11"/>
  <c r="BN137" i="11"/>
  <c r="BO137" i="11"/>
  <c r="BP137" i="11"/>
  <c r="BQ137" i="11"/>
  <c r="BR137" i="11"/>
  <c r="BS137" i="11"/>
  <c r="BT137" i="11"/>
  <c r="BU137" i="11"/>
  <c r="BV137" i="11"/>
  <c r="BW137" i="11"/>
  <c r="BX138" i="10"/>
  <c r="BX137" i="11"/>
  <c r="BY138" i="10"/>
  <c r="BY137" i="11"/>
  <c r="BZ137" i="11"/>
  <c r="CA137" i="11"/>
  <c r="CB137" i="11"/>
  <c r="CR123" i="11"/>
  <c r="AD455" i="11"/>
  <c r="CV123" i="11"/>
  <c r="AE455" i="11"/>
  <c r="CW123" i="11"/>
  <c r="AF455" i="11"/>
  <c r="CX123" i="11"/>
  <c r="AG455" i="11"/>
  <c r="CA138" i="10"/>
  <c r="CC137" i="11"/>
  <c r="CD137" i="11"/>
  <c r="CY123" i="11"/>
  <c r="AH455" i="11"/>
  <c r="A456" i="11"/>
  <c r="B456" i="11"/>
  <c r="D125" i="10"/>
  <c r="C456" i="11"/>
  <c r="D456" i="11"/>
  <c r="U125" i="10"/>
  <c r="E456" i="11"/>
  <c r="F456" i="11"/>
  <c r="G456" i="11"/>
  <c r="H456" i="11"/>
  <c r="I456" i="11"/>
  <c r="J456" i="11"/>
  <c r="K456" i="11"/>
  <c r="L456" i="11"/>
  <c r="P456" i="11"/>
  <c r="Q456" i="11"/>
  <c r="R456" i="11"/>
  <c r="S456" i="11"/>
  <c r="T456" i="11"/>
  <c r="C286" i="11"/>
  <c r="D286" i="11"/>
  <c r="E286" i="11"/>
  <c r="G286" i="11"/>
  <c r="H286" i="11"/>
  <c r="I286" i="11"/>
  <c r="B286" i="11"/>
  <c r="F286" i="11"/>
  <c r="J286" i="11"/>
  <c r="K286" i="11"/>
  <c r="L286" i="11"/>
  <c r="M286" i="11"/>
  <c r="N286" i="11"/>
  <c r="O286" i="11"/>
  <c r="P286" i="11"/>
  <c r="Q286" i="11"/>
  <c r="R286" i="11"/>
  <c r="S286" i="11"/>
  <c r="T286" i="11"/>
  <c r="U286" i="11"/>
  <c r="V286" i="11"/>
  <c r="W286" i="11"/>
  <c r="X286" i="11"/>
  <c r="Y286" i="11"/>
  <c r="Z286" i="11"/>
  <c r="AA286" i="11"/>
  <c r="AB286" i="11"/>
  <c r="AC286" i="11"/>
  <c r="AD286" i="11"/>
  <c r="AE286" i="11"/>
  <c r="AF286" i="11"/>
  <c r="AG286" i="11"/>
  <c r="AH286" i="11"/>
  <c r="AI286" i="11"/>
  <c r="AJ286" i="11"/>
  <c r="AK286" i="11"/>
  <c r="AL286" i="11"/>
  <c r="AM286" i="11"/>
  <c r="AN286" i="11"/>
  <c r="AO286" i="11"/>
  <c r="AP286" i="11"/>
  <c r="AQ286" i="11"/>
  <c r="AR286" i="11"/>
  <c r="AS286" i="11"/>
  <c r="AT286" i="11"/>
  <c r="AU286" i="11"/>
  <c r="AV286" i="11"/>
  <c r="AW286" i="11"/>
  <c r="AX286" i="11"/>
  <c r="AY286" i="11"/>
  <c r="AZ286" i="11"/>
  <c r="BA286" i="11"/>
  <c r="BB286" i="11"/>
  <c r="BC286" i="11"/>
  <c r="BD286" i="11"/>
  <c r="BE286" i="11"/>
  <c r="BF286" i="11"/>
  <c r="BG286" i="11"/>
  <c r="BH286" i="11"/>
  <c r="BI286" i="11"/>
  <c r="BJ286" i="11"/>
  <c r="BK286" i="11"/>
  <c r="BL286" i="11"/>
  <c r="BM286" i="11"/>
  <c r="BN286" i="11"/>
  <c r="BO286" i="11"/>
  <c r="BP286" i="11"/>
  <c r="BQ286" i="11"/>
  <c r="BR286" i="11"/>
  <c r="BS286" i="11"/>
  <c r="BT286" i="11"/>
  <c r="BU286" i="11"/>
  <c r="BV286" i="11"/>
  <c r="BW286" i="11"/>
  <c r="BX286" i="11"/>
  <c r="BY286" i="11"/>
  <c r="BZ286" i="11"/>
  <c r="CB286" i="11"/>
  <c r="U456" i="11"/>
  <c r="V456" i="11"/>
  <c r="CE124" i="11"/>
  <c r="CF124" i="11"/>
  <c r="CG124" i="11"/>
  <c r="W456" i="11"/>
  <c r="CA286" i="11"/>
  <c r="CE286" i="11"/>
  <c r="CF286" i="11"/>
  <c r="CG286" i="11"/>
  <c r="X456" i="11"/>
  <c r="Y456" i="11"/>
  <c r="CC286" i="11"/>
  <c r="CD286" i="11"/>
  <c r="Z456" i="11"/>
  <c r="CO124" i="11"/>
  <c r="AA456" i="11"/>
  <c r="CP124" i="11"/>
  <c r="AB456" i="11"/>
  <c r="CQ124" i="11"/>
  <c r="AC456" i="11"/>
  <c r="B138"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O138" i="11"/>
  <c r="AP138" i="11"/>
  <c r="AQ138" i="11"/>
  <c r="AR138" i="11"/>
  <c r="AS138" i="11"/>
  <c r="AT138" i="11"/>
  <c r="AU138" i="11"/>
  <c r="AV138" i="11"/>
  <c r="AW138" i="11"/>
  <c r="AX138" i="11"/>
  <c r="AY138" i="11"/>
  <c r="AZ138" i="11"/>
  <c r="BA138" i="11"/>
  <c r="BB138" i="11"/>
  <c r="BC138" i="11"/>
  <c r="BD138" i="11"/>
  <c r="BE138" i="11"/>
  <c r="BF138" i="11"/>
  <c r="BG138" i="11"/>
  <c r="BH138" i="11"/>
  <c r="BI138" i="11"/>
  <c r="BJ138" i="11"/>
  <c r="BK138" i="11"/>
  <c r="BL138" i="11"/>
  <c r="BM138" i="11"/>
  <c r="BN138" i="11"/>
  <c r="BO138" i="11"/>
  <c r="BP138" i="11"/>
  <c r="BQ138" i="11"/>
  <c r="BR138" i="11"/>
  <c r="BS138" i="11"/>
  <c r="BT138" i="11"/>
  <c r="BU138" i="11"/>
  <c r="BV138" i="11"/>
  <c r="BW138" i="11"/>
  <c r="BX139" i="10"/>
  <c r="BX138" i="11"/>
  <c r="BY139" i="10"/>
  <c r="BY138" i="11"/>
  <c r="BZ138" i="11"/>
  <c r="CA138" i="11"/>
  <c r="CB138" i="11"/>
  <c r="CR124" i="11"/>
  <c r="AD456" i="11"/>
  <c r="CV124" i="11"/>
  <c r="AE456" i="11"/>
  <c r="CW124" i="11"/>
  <c r="AF456" i="11"/>
  <c r="CX124" i="11"/>
  <c r="AG456" i="11"/>
  <c r="CA139" i="10"/>
  <c r="CC138" i="11"/>
  <c r="CD138" i="11"/>
  <c r="CY124" i="11"/>
  <c r="AH456" i="11"/>
  <c r="A457" i="11"/>
  <c r="B457" i="11"/>
  <c r="D126" i="10"/>
  <c r="C457" i="11"/>
  <c r="D457" i="11"/>
  <c r="U126" i="10"/>
  <c r="E457" i="11"/>
  <c r="F457" i="11"/>
  <c r="G457" i="11"/>
  <c r="H457" i="11"/>
  <c r="I457" i="11"/>
  <c r="J457" i="11"/>
  <c r="K457" i="11"/>
  <c r="L457" i="11"/>
  <c r="P457" i="11"/>
  <c r="Q457" i="11"/>
  <c r="R457" i="11"/>
  <c r="S457" i="11"/>
  <c r="T457" i="11"/>
  <c r="C287" i="11"/>
  <c r="D287" i="11"/>
  <c r="E287" i="11"/>
  <c r="G287" i="11"/>
  <c r="H287" i="11"/>
  <c r="I287" i="11"/>
  <c r="B287" i="11"/>
  <c r="F287" i="11"/>
  <c r="J287" i="11"/>
  <c r="K287" i="11"/>
  <c r="L287" i="11"/>
  <c r="M287" i="11"/>
  <c r="N287" i="11"/>
  <c r="O287" i="11"/>
  <c r="P287" i="11"/>
  <c r="Q287" i="11"/>
  <c r="R287" i="11"/>
  <c r="S287" i="11"/>
  <c r="T287" i="11"/>
  <c r="U287" i="11"/>
  <c r="V287" i="11"/>
  <c r="W287" i="11"/>
  <c r="X287" i="11"/>
  <c r="Y287" i="11"/>
  <c r="Z287" i="11"/>
  <c r="AA287" i="11"/>
  <c r="AB287" i="11"/>
  <c r="AC287" i="11"/>
  <c r="AD287" i="11"/>
  <c r="AE287" i="11"/>
  <c r="AF287" i="11"/>
  <c r="AG287" i="11"/>
  <c r="AH287" i="11"/>
  <c r="AI287" i="11"/>
  <c r="AJ287" i="11"/>
  <c r="AK287" i="11"/>
  <c r="AL287" i="11"/>
  <c r="AM287" i="11"/>
  <c r="AN287" i="11"/>
  <c r="AO287" i="11"/>
  <c r="AP287" i="11"/>
  <c r="AQ287" i="11"/>
  <c r="AR287" i="11"/>
  <c r="AS287" i="11"/>
  <c r="AT287" i="11"/>
  <c r="AU287" i="11"/>
  <c r="AV287" i="11"/>
  <c r="AW287" i="11"/>
  <c r="AX287" i="11"/>
  <c r="AY287" i="11"/>
  <c r="AZ287" i="11"/>
  <c r="BA287" i="11"/>
  <c r="BB287" i="11"/>
  <c r="BC287" i="11"/>
  <c r="BD287" i="11"/>
  <c r="BE287" i="11"/>
  <c r="BF287" i="11"/>
  <c r="BG287" i="11"/>
  <c r="BH287" i="11"/>
  <c r="BI287" i="11"/>
  <c r="BJ287" i="11"/>
  <c r="BK287" i="11"/>
  <c r="BL287" i="11"/>
  <c r="BM287" i="11"/>
  <c r="BN287" i="11"/>
  <c r="BO287" i="11"/>
  <c r="BP287" i="11"/>
  <c r="BQ287" i="11"/>
  <c r="BR287" i="11"/>
  <c r="BS287" i="11"/>
  <c r="BT287" i="11"/>
  <c r="BU287" i="11"/>
  <c r="BV287" i="11"/>
  <c r="BW287" i="11"/>
  <c r="BX287" i="11"/>
  <c r="BY287" i="11"/>
  <c r="BZ287" i="11"/>
  <c r="CB287" i="11"/>
  <c r="U457" i="11"/>
  <c r="V457" i="11"/>
  <c r="CE125" i="11"/>
  <c r="CF125" i="11"/>
  <c r="CG125" i="11"/>
  <c r="W457" i="11"/>
  <c r="CA287" i="11"/>
  <c r="CE287" i="11"/>
  <c r="CF287" i="11"/>
  <c r="CG287" i="11"/>
  <c r="X457" i="11"/>
  <c r="Y457" i="11"/>
  <c r="CC287" i="11"/>
  <c r="CD287" i="11"/>
  <c r="Z457" i="11"/>
  <c r="CO125" i="11"/>
  <c r="AA457" i="11"/>
  <c r="CP125" i="11"/>
  <c r="AB457" i="11"/>
  <c r="CQ125" i="11"/>
  <c r="AC457" i="11"/>
  <c r="B139"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O139" i="11"/>
  <c r="AP139" i="11"/>
  <c r="AQ139" i="11"/>
  <c r="AR139" i="11"/>
  <c r="AS139" i="11"/>
  <c r="AT139" i="11"/>
  <c r="AU139" i="11"/>
  <c r="AV139" i="11"/>
  <c r="AW139" i="11"/>
  <c r="AX139" i="11"/>
  <c r="AY139" i="11"/>
  <c r="AZ139" i="11"/>
  <c r="BA139" i="11"/>
  <c r="BB139" i="11"/>
  <c r="BC139" i="11"/>
  <c r="BD139" i="11"/>
  <c r="BE139" i="11"/>
  <c r="BF139" i="11"/>
  <c r="BG139" i="11"/>
  <c r="BH139" i="11"/>
  <c r="BI139" i="11"/>
  <c r="BJ139" i="11"/>
  <c r="BK139" i="11"/>
  <c r="BL139" i="11"/>
  <c r="BM139" i="11"/>
  <c r="BN139" i="11"/>
  <c r="BO139" i="11"/>
  <c r="BP139" i="11"/>
  <c r="BQ139" i="11"/>
  <c r="BR139" i="11"/>
  <c r="BS139" i="11"/>
  <c r="BT139" i="11"/>
  <c r="BU139" i="11"/>
  <c r="BV139" i="11"/>
  <c r="BW139" i="11"/>
  <c r="BX140" i="10"/>
  <c r="BX139" i="11"/>
  <c r="BY140" i="10"/>
  <c r="BY139" i="11"/>
  <c r="BZ139" i="11"/>
  <c r="CA139" i="11"/>
  <c r="CB139" i="11"/>
  <c r="CR125" i="11"/>
  <c r="AD457" i="11"/>
  <c r="CV125" i="11"/>
  <c r="AE457" i="11"/>
  <c r="CW125" i="11"/>
  <c r="AF457" i="11"/>
  <c r="CX125" i="11"/>
  <c r="AG457" i="11"/>
  <c r="CA140" i="10"/>
  <c r="CC139" i="11"/>
  <c r="CD139" i="11"/>
  <c r="CY125" i="11"/>
  <c r="AH457" i="11"/>
  <c r="A458" i="11"/>
  <c r="B458" i="11"/>
  <c r="D127" i="10"/>
  <c r="C458" i="11"/>
  <c r="D458" i="11"/>
  <c r="U127" i="10"/>
  <c r="E458" i="11"/>
  <c r="F458" i="11"/>
  <c r="G458" i="11"/>
  <c r="H458" i="11"/>
  <c r="I458" i="11"/>
  <c r="J458" i="11"/>
  <c r="K458" i="11"/>
  <c r="L458" i="11"/>
  <c r="P458" i="11"/>
  <c r="Q458" i="11"/>
  <c r="R458" i="11"/>
  <c r="S458" i="11"/>
  <c r="T458" i="11"/>
  <c r="C288" i="11"/>
  <c r="D288" i="11"/>
  <c r="E288" i="11"/>
  <c r="G288" i="11"/>
  <c r="H288" i="11"/>
  <c r="I288" i="11"/>
  <c r="B288" i="11"/>
  <c r="F288" i="11"/>
  <c r="J288" i="11"/>
  <c r="K288" i="11"/>
  <c r="L288" i="11"/>
  <c r="M288" i="11"/>
  <c r="N288" i="11"/>
  <c r="O288" i="11"/>
  <c r="P288" i="11"/>
  <c r="Q288" i="11"/>
  <c r="R288" i="11"/>
  <c r="S288" i="11"/>
  <c r="T288" i="11"/>
  <c r="U288" i="11"/>
  <c r="V288" i="11"/>
  <c r="W288" i="11"/>
  <c r="X288" i="11"/>
  <c r="Y288" i="11"/>
  <c r="Z288" i="11"/>
  <c r="AA288" i="11"/>
  <c r="AB288" i="11"/>
  <c r="AC288" i="11"/>
  <c r="AD288" i="11"/>
  <c r="AE288" i="11"/>
  <c r="AF288" i="11"/>
  <c r="AG288" i="11"/>
  <c r="AH288" i="11"/>
  <c r="AI288" i="11"/>
  <c r="AJ288" i="11"/>
  <c r="AK288" i="11"/>
  <c r="AL288" i="11"/>
  <c r="AM288" i="11"/>
  <c r="AN288" i="11"/>
  <c r="AO288" i="11"/>
  <c r="AP288" i="11"/>
  <c r="AQ288" i="11"/>
  <c r="AR288" i="11"/>
  <c r="AS288" i="11"/>
  <c r="AT288" i="11"/>
  <c r="AU288" i="11"/>
  <c r="AV288" i="11"/>
  <c r="AW288" i="11"/>
  <c r="AX288" i="11"/>
  <c r="AY288" i="11"/>
  <c r="AZ288" i="11"/>
  <c r="BA288" i="11"/>
  <c r="BB288" i="11"/>
  <c r="BC288" i="11"/>
  <c r="BD288" i="11"/>
  <c r="BE288" i="11"/>
  <c r="BF288" i="11"/>
  <c r="BG288" i="11"/>
  <c r="BH288" i="11"/>
  <c r="BI288" i="11"/>
  <c r="BJ288" i="11"/>
  <c r="BK288" i="11"/>
  <c r="BL288" i="11"/>
  <c r="BM288" i="11"/>
  <c r="BN288" i="11"/>
  <c r="BO288" i="11"/>
  <c r="BP288" i="11"/>
  <c r="BQ288" i="11"/>
  <c r="BR288" i="11"/>
  <c r="BS288" i="11"/>
  <c r="BT288" i="11"/>
  <c r="BU288" i="11"/>
  <c r="BV288" i="11"/>
  <c r="BW288" i="11"/>
  <c r="BX288" i="11"/>
  <c r="BY288" i="11"/>
  <c r="BZ288" i="11"/>
  <c r="CB288" i="11"/>
  <c r="U458" i="11"/>
  <c r="V458" i="11"/>
  <c r="CE126" i="11"/>
  <c r="CF126" i="11"/>
  <c r="CG126" i="11"/>
  <c r="W458" i="11"/>
  <c r="CA288" i="11"/>
  <c r="CE288" i="11"/>
  <c r="CF288" i="11"/>
  <c r="CG288" i="11"/>
  <c r="X458" i="11"/>
  <c r="Y458" i="11"/>
  <c r="CC288" i="11"/>
  <c r="CD288" i="11"/>
  <c r="Z458" i="11"/>
  <c r="CO126" i="11"/>
  <c r="AA458" i="11"/>
  <c r="CP126" i="11"/>
  <c r="AB458" i="11"/>
  <c r="CQ126" i="11"/>
  <c r="AC458" i="11"/>
  <c r="B140"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O140" i="11"/>
  <c r="AP140" i="11"/>
  <c r="AQ140" i="11"/>
  <c r="AR140" i="11"/>
  <c r="AS140" i="11"/>
  <c r="AT140" i="11"/>
  <c r="AU140" i="11"/>
  <c r="AV140" i="11"/>
  <c r="AW140" i="11"/>
  <c r="AX140" i="11"/>
  <c r="AY140" i="11"/>
  <c r="AZ140" i="11"/>
  <c r="BA140" i="11"/>
  <c r="BB140" i="11"/>
  <c r="BC140" i="11"/>
  <c r="BD140" i="11"/>
  <c r="BE140" i="11"/>
  <c r="BF140" i="11"/>
  <c r="BG140" i="11"/>
  <c r="BH140" i="11"/>
  <c r="BI140" i="11"/>
  <c r="BJ140" i="11"/>
  <c r="BK140" i="11"/>
  <c r="BL140" i="11"/>
  <c r="BM140" i="11"/>
  <c r="BN140" i="11"/>
  <c r="BO140" i="11"/>
  <c r="BP140" i="11"/>
  <c r="BQ140" i="11"/>
  <c r="BR140" i="11"/>
  <c r="BS140" i="11"/>
  <c r="BT140" i="11"/>
  <c r="BU140" i="11"/>
  <c r="BV140" i="11"/>
  <c r="BW140" i="11"/>
  <c r="BX141" i="10"/>
  <c r="BX140" i="11"/>
  <c r="BY141" i="10"/>
  <c r="BY140" i="11"/>
  <c r="BZ140" i="11"/>
  <c r="CA140" i="11"/>
  <c r="CB140" i="11"/>
  <c r="CR126" i="11"/>
  <c r="AD458" i="11"/>
  <c r="CV126" i="11"/>
  <c r="AE458" i="11"/>
  <c r="CW126" i="11"/>
  <c r="AF458" i="11"/>
  <c r="CX126" i="11"/>
  <c r="AG458" i="11"/>
  <c r="CA141" i="10"/>
  <c r="CC140" i="11"/>
  <c r="CD140" i="11"/>
  <c r="CY126" i="11"/>
  <c r="AH458" i="11"/>
  <c r="A459" i="11"/>
  <c r="B459" i="11"/>
  <c r="D128" i="10"/>
  <c r="C459" i="11"/>
  <c r="D459" i="11"/>
  <c r="U128" i="10"/>
  <c r="E459" i="11"/>
  <c r="F459" i="11"/>
  <c r="G459" i="11"/>
  <c r="H459" i="11"/>
  <c r="I459" i="11"/>
  <c r="J459" i="11"/>
  <c r="K459" i="11"/>
  <c r="L459" i="11"/>
  <c r="P459" i="11"/>
  <c r="Q459" i="11"/>
  <c r="R459" i="11"/>
  <c r="S459" i="11"/>
  <c r="T459" i="11"/>
  <c r="C289" i="11"/>
  <c r="D289" i="11"/>
  <c r="E289" i="11"/>
  <c r="G289" i="11"/>
  <c r="H289" i="11"/>
  <c r="I289" i="11"/>
  <c r="B289" i="11"/>
  <c r="F289" i="11"/>
  <c r="J289" i="11"/>
  <c r="K289" i="11"/>
  <c r="L289" i="11"/>
  <c r="M289" i="11"/>
  <c r="N289" i="11"/>
  <c r="O289" i="11"/>
  <c r="P289" i="11"/>
  <c r="Q289" i="11"/>
  <c r="R289" i="11"/>
  <c r="S289" i="11"/>
  <c r="T289" i="11"/>
  <c r="U289" i="11"/>
  <c r="V289" i="11"/>
  <c r="W289" i="11"/>
  <c r="X289" i="11"/>
  <c r="Y289" i="11"/>
  <c r="Z289" i="11"/>
  <c r="AA289" i="11"/>
  <c r="AB289" i="11"/>
  <c r="AC289" i="11"/>
  <c r="AD289" i="11"/>
  <c r="AE289" i="11"/>
  <c r="AF289" i="11"/>
  <c r="AG289" i="11"/>
  <c r="AH289" i="11"/>
  <c r="AI289" i="11"/>
  <c r="AJ289" i="11"/>
  <c r="AK289" i="11"/>
  <c r="AL289" i="11"/>
  <c r="AM289" i="11"/>
  <c r="AN289" i="11"/>
  <c r="AO289" i="11"/>
  <c r="AP289" i="11"/>
  <c r="AQ289" i="11"/>
  <c r="AR289" i="11"/>
  <c r="AS289" i="11"/>
  <c r="AT289" i="11"/>
  <c r="AU289" i="11"/>
  <c r="AV289" i="11"/>
  <c r="AW289" i="11"/>
  <c r="AX289" i="11"/>
  <c r="AY289" i="11"/>
  <c r="AZ289" i="11"/>
  <c r="BA289" i="11"/>
  <c r="BB289" i="11"/>
  <c r="BC289" i="11"/>
  <c r="BD289" i="11"/>
  <c r="BE289" i="11"/>
  <c r="BF289" i="11"/>
  <c r="BG289" i="11"/>
  <c r="BH289" i="11"/>
  <c r="BI289" i="11"/>
  <c r="BJ289" i="11"/>
  <c r="BK289" i="11"/>
  <c r="BL289" i="11"/>
  <c r="BM289" i="11"/>
  <c r="BN289" i="11"/>
  <c r="BO289" i="11"/>
  <c r="BP289" i="11"/>
  <c r="BQ289" i="11"/>
  <c r="BR289" i="11"/>
  <c r="BS289" i="11"/>
  <c r="BT289" i="11"/>
  <c r="BU289" i="11"/>
  <c r="BV289" i="11"/>
  <c r="BW289" i="11"/>
  <c r="BX289" i="11"/>
  <c r="BY289" i="11"/>
  <c r="BZ289" i="11"/>
  <c r="CB289" i="11"/>
  <c r="U459" i="11"/>
  <c r="V459" i="11"/>
  <c r="CE127" i="11"/>
  <c r="CF127" i="11"/>
  <c r="CG127" i="11"/>
  <c r="W459" i="11"/>
  <c r="CA289" i="11"/>
  <c r="CE289" i="11"/>
  <c r="CF289" i="11"/>
  <c r="CG289" i="11"/>
  <c r="X459" i="11"/>
  <c r="Y459" i="11"/>
  <c r="CC289" i="11"/>
  <c r="CD289" i="11"/>
  <c r="Z459" i="11"/>
  <c r="CO127" i="11"/>
  <c r="AA459" i="11"/>
  <c r="CP127" i="11"/>
  <c r="AB459" i="11"/>
  <c r="CQ127" i="11"/>
  <c r="AC459" i="11"/>
  <c r="B141"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O141" i="11"/>
  <c r="AP141" i="11"/>
  <c r="AQ141" i="11"/>
  <c r="AR141" i="11"/>
  <c r="AS141" i="11"/>
  <c r="AT141" i="11"/>
  <c r="AU141" i="11"/>
  <c r="AV141" i="11"/>
  <c r="AW141" i="11"/>
  <c r="AX141" i="11"/>
  <c r="AY141" i="11"/>
  <c r="AZ141" i="11"/>
  <c r="BA141" i="11"/>
  <c r="BB141" i="11"/>
  <c r="BC141" i="11"/>
  <c r="BD141" i="11"/>
  <c r="BE141" i="11"/>
  <c r="BF141" i="11"/>
  <c r="BG141" i="11"/>
  <c r="BH141" i="11"/>
  <c r="BI141" i="11"/>
  <c r="BJ141" i="11"/>
  <c r="BK141" i="11"/>
  <c r="BL141" i="11"/>
  <c r="BM141" i="11"/>
  <c r="BN141" i="11"/>
  <c r="BO141" i="11"/>
  <c r="BP141" i="11"/>
  <c r="BQ141" i="11"/>
  <c r="BR141" i="11"/>
  <c r="BS141" i="11"/>
  <c r="BT141" i="11"/>
  <c r="BU141" i="11"/>
  <c r="BV141" i="11"/>
  <c r="BW141" i="11"/>
  <c r="BX142" i="10"/>
  <c r="BX141" i="11"/>
  <c r="BY142" i="10"/>
  <c r="BY141" i="11"/>
  <c r="BZ141" i="11"/>
  <c r="CA141" i="11"/>
  <c r="CB141" i="11"/>
  <c r="CR127" i="11"/>
  <c r="AD459" i="11"/>
  <c r="CV127" i="11"/>
  <c r="AE459" i="11"/>
  <c r="CW127" i="11"/>
  <c r="AF459" i="11"/>
  <c r="CX127" i="11"/>
  <c r="AG459" i="11"/>
  <c r="CA142" i="10"/>
  <c r="CC141" i="11"/>
  <c r="CD141" i="11"/>
  <c r="CY127" i="11"/>
  <c r="AH459" i="11"/>
  <c r="A460" i="11"/>
  <c r="B460" i="11"/>
  <c r="D129" i="10"/>
  <c r="C460" i="11"/>
  <c r="D460" i="11"/>
  <c r="U129" i="10"/>
  <c r="E460" i="11"/>
  <c r="F460" i="11"/>
  <c r="G460" i="11"/>
  <c r="H460" i="11"/>
  <c r="I460" i="11"/>
  <c r="J460" i="11"/>
  <c r="K460" i="11"/>
  <c r="L460" i="11"/>
  <c r="P460" i="11"/>
  <c r="Q460" i="11"/>
  <c r="R460" i="11"/>
  <c r="S460" i="11"/>
  <c r="T460" i="11"/>
  <c r="C290" i="11"/>
  <c r="D290" i="11"/>
  <c r="E290" i="11"/>
  <c r="G290" i="11"/>
  <c r="H290" i="11"/>
  <c r="I290" i="11"/>
  <c r="B290" i="11"/>
  <c r="F290" i="11"/>
  <c r="J290" i="11"/>
  <c r="K290" i="11"/>
  <c r="L290" i="11"/>
  <c r="M290" i="11"/>
  <c r="N290" i="11"/>
  <c r="O290" i="11"/>
  <c r="P290" i="11"/>
  <c r="Q290" i="11"/>
  <c r="R290" i="11"/>
  <c r="S290" i="11"/>
  <c r="T290" i="11"/>
  <c r="U290" i="11"/>
  <c r="V290" i="11"/>
  <c r="W290" i="11"/>
  <c r="X290" i="11"/>
  <c r="Y290" i="11"/>
  <c r="Z290" i="11"/>
  <c r="AA290" i="11"/>
  <c r="AB290" i="11"/>
  <c r="AC290" i="11"/>
  <c r="AD290" i="11"/>
  <c r="AE290" i="11"/>
  <c r="AF290" i="11"/>
  <c r="AG290" i="11"/>
  <c r="AH290" i="11"/>
  <c r="AI290" i="11"/>
  <c r="AJ290" i="11"/>
  <c r="AK290" i="11"/>
  <c r="AL290" i="11"/>
  <c r="AM290" i="11"/>
  <c r="AN290" i="11"/>
  <c r="AO290" i="11"/>
  <c r="AP290" i="11"/>
  <c r="AQ290" i="11"/>
  <c r="AR290" i="11"/>
  <c r="AS290" i="11"/>
  <c r="AT290" i="11"/>
  <c r="AU290" i="11"/>
  <c r="AV290" i="11"/>
  <c r="AW290" i="11"/>
  <c r="AX290" i="11"/>
  <c r="AY290" i="11"/>
  <c r="AZ290" i="11"/>
  <c r="BA290" i="11"/>
  <c r="BB290" i="11"/>
  <c r="BC290" i="11"/>
  <c r="BD290" i="11"/>
  <c r="BE290" i="11"/>
  <c r="BF290" i="11"/>
  <c r="BG290" i="11"/>
  <c r="BH290" i="11"/>
  <c r="BI290" i="11"/>
  <c r="BJ290" i="11"/>
  <c r="BK290" i="11"/>
  <c r="BL290" i="11"/>
  <c r="BM290" i="11"/>
  <c r="BN290" i="11"/>
  <c r="BO290" i="11"/>
  <c r="BP290" i="11"/>
  <c r="BQ290" i="11"/>
  <c r="BR290" i="11"/>
  <c r="BS290" i="11"/>
  <c r="BT290" i="11"/>
  <c r="BU290" i="11"/>
  <c r="BV290" i="11"/>
  <c r="BW290" i="11"/>
  <c r="BX290" i="11"/>
  <c r="BY290" i="11"/>
  <c r="BZ290" i="11"/>
  <c r="CB290" i="11"/>
  <c r="U460" i="11"/>
  <c r="V460" i="11"/>
  <c r="CE128" i="11"/>
  <c r="CF128" i="11"/>
  <c r="CG128" i="11"/>
  <c r="W460" i="11"/>
  <c r="CA290" i="11"/>
  <c r="CE290" i="11"/>
  <c r="CF290" i="11"/>
  <c r="CG290" i="11"/>
  <c r="X460" i="11"/>
  <c r="Y460" i="11"/>
  <c r="CC290" i="11"/>
  <c r="CD290" i="11"/>
  <c r="Z460" i="11"/>
  <c r="CO128" i="11"/>
  <c r="AA460" i="11"/>
  <c r="CP128" i="11"/>
  <c r="AB460" i="11"/>
  <c r="CQ128" i="11"/>
  <c r="AC460" i="11"/>
  <c r="B142"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O142" i="11"/>
  <c r="AP142" i="11"/>
  <c r="AQ142" i="11"/>
  <c r="AR142" i="11"/>
  <c r="AS142" i="11"/>
  <c r="AT142" i="11"/>
  <c r="AU142" i="11"/>
  <c r="AV142" i="11"/>
  <c r="AW142" i="11"/>
  <c r="AX142" i="11"/>
  <c r="AY142" i="11"/>
  <c r="AZ142" i="11"/>
  <c r="BA142" i="11"/>
  <c r="BB142" i="11"/>
  <c r="BC142" i="11"/>
  <c r="BD142" i="11"/>
  <c r="BE142" i="11"/>
  <c r="BF142" i="11"/>
  <c r="BG142" i="11"/>
  <c r="BH142" i="11"/>
  <c r="BI142" i="11"/>
  <c r="BJ142" i="11"/>
  <c r="BK142" i="11"/>
  <c r="BL142" i="11"/>
  <c r="BM142" i="11"/>
  <c r="BN142" i="11"/>
  <c r="BO142" i="11"/>
  <c r="BP142" i="11"/>
  <c r="BQ142" i="11"/>
  <c r="BR142" i="11"/>
  <c r="BS142" i="11"/>
  <c r="BT142" i="11"/>
  <c r="BU142" i="11"/>
  <c r="BV142" i="11"/>
  <c r="BW142" i="11"/>
  <c r="BX143" i="10"/>
  <c r="BX142" i="11"/>
  <c r="BY143" i="10"/>
  <c r="BY142" i="11"/>
  <c r="BZ142" i="11"/>
  <c r="CA142" i="11"/>
  <c r="CB142" i="11"/>
  <c r="CR128" i="11"/>
  <c r="AD460" i="11"/>
  <c r="CV128" i="11"/>
  <c r="AE460" i="11"/>
  <c r="CW128" i="11"/>
  <c r="AF460" i="11"/>
  <c r="CX128" i="11"/>
  <c r="AG460" i="11"/>
  <c r="CA143" i="10"/>
  <c r="CC142" i="11"/>
  <c r="CD142" i="11"/>
  <c r="CY128" i="11"/>
  <c r="AH460" i="11"/>
  <c r="A461" i="11"/>
  <c r="B461" i="11"/>
  <c r="D130" i="10"/>
  <c r="C461" i="11"/>
  <c r="D461" i="11"/>
  <c r="U130" i="10"/>
  <c r="E461" i="11"/>
  <c r="F461" i="11"/>
  <c r="G461" i="11"/>
  <c r="H461" i="11"/>
  <c r="I461" i="11"/>
  <c r="J461" i="11"/>
  <c r="K461" i="11"/>
  <c r="L461" i="11"/>
  <c r="P461" i="11"/>
  <c r="Q461" i="11"/>
  <c r="R461" i="11"/>
  <c r="S461" i="11"/>
  <c r="T461" i="11"/>
  <c r="C291" i="11"/>
  <c r="D291" i="11"/>
  <c r="E291" i="11"/>
  <c r="G291" i="11"/>
  <c r="H291" i="11"/>
  <c r="I291" i="11"/>
  <c r="B291" i="11"/>
  <c r="F291" i="11"/>
  <c r="J291" i="11"/>
  <c r="K291" i="11"/>
  <c r="L291" i="11"/>
  <c r="M291" i="11"/>
  <c r="N291" i="11"/>
  <c r="O291" i="11"/>
  <c r="P291" i="11"/>
  <c r="Q291" i="11"/>
  <c r="R291" i="11"/>
  <c r="S291" i="11"/>
  <c r="T291" i="11"/>
  <c r="U291" i="11"/>
  <c r="V291" i="11"/>
  <c r="W291" i="11"/>
  <c r="X291" i="11"/>
  <c r="Y291" i="11"/>
  <c r="Z291" i="11"/>
  <c r="AA291" i="11"/>
  <c r="AB291" i="11"/>
  <c r="AC291" i="11"/>
  <c r="AD291" i="11"/>
  <c r="AE291" i="11"/>
  <c r="AF291" i="11"/>
  <c r="AG291" i="11"/>
  <c r="AH291" i="11"/>
  <c r="AI291" i="11"/>
  <c r="AJ291" i="11"/>
  <c r="AK291" i="11"/>
  <c r="AL291" i="11"/>
  <c r="AM291" i="11"/>
  <c r="AN291" i="11"/>
  <c r="AO291" i="11"/>
  <c r="AP291" i="11"/>
  <c r="AQ291" i="11"/>
  <c r="AR291" i="11"/>
  <c r="AS291" i="11"/>
  <c r="AT291" i="11"/>
  <c r="AU291" i="11"/>
  <c r="AV291" i="11"/>
  <c r="AW291" i="11"/>
  <c r="AX291" i="11"/>
  <c r="AY291" i="11"/>
  <c r="AZ291" i="11"/>
  <c r="BA291" i="11"/>
  <c r="BB291" i="11"/>
  <c r="BC291" i="11"/>
  <c r="BD291" i="11"/>
  <c r="BE291" i="11"/>
  <c r="BF291" i="11"/>
  <c r="BG291" i="11"/>
  <c r="BH291" i="11"/>
  <c r="BI291" i="11"/>
  <c r="BJ291" i="11"/>
  <c r="BK291" i="11"/>
  <c r="BL291" i="11"/>
  <c r="BM291" i="11"/>
  <c r="BN291" i="11"/>
  <c r="BO291" i="11"/>
  <c r="BP291" i="11"/>
  <c r="BQ291" i="11"/>
  <c r="BR291" i="11"/>
  <c r="BS291" i="11"/>
  <c r="BT291" i="11"/>
  <c r="BU291" i="11"/>
  <c r="BV291" i="11"/>
  <c r="BW291" i="11"/>
  <c r="BX291" i="11"/>
  <c r="BY291" i="11"/>
  <c r="BZ291" i="11"/>
  <c r="CB291" i="11"/>
  <c r="U461" i="11"/>
  <c r="V461" i="11"/>
  <c r="CE129" i="11"/>
  <c r="CF129" i="11"/>
  <c r="CG129" i="11"/>
  <c r="W461" i="11"/>
  <c r="CA291" i="11"/>
  <c r="CE291" i="11"/>
  <c r="CF291" i="11"/>
  <c r="CG291" i="11"/>
  <c r="X461" i="11"/>
  <c r="Y461" i="11"/>
  <c r="CC291" i="11"/>
  <c r="CD291" i="11"/>
  <c r="Z461" i="11"/>
  <c r="CO129" i="11"/>
  <c r="AA461" i="11"/>
  <c r="CP129" i="11"/>
  <c r="AB461" i="11"/>
  <c r="CQ129" i="11"/>
  <c r="AC461" i="11"/>
  <c r="B143"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O143" i="11"/>
  <c r="AP143" i="11"/>
  <c r="AQ143" i="11"/>
  <c r="AR143" i="11"/>
  <c r="AS143" i="11"/>
  <c r="AT143" i="11"/>
  <c r="AU143" i="11"/>
  <c r="AV143" i="11"/>
  <c r="AW143" i="11"/>
  <c r="AX143" i="11"/>
  <c r="AY143" i="11"/>
  <c r="AZ143" i="11"/>
  <c r="BA143" i="11"/>
  <c r="BB143" i="11"/>
  <c r="BC143" i="11"/>
  <c r="BD143" i="11"/>
  <c r="BE143" i="11"/>
  <c r="BF143" i="11"/>
  <c r="BG143" i="11"/>
  <c r="BH143" i="11"/>
  <c r="BI143" i="11"/>
  <c r="BJ143" i="11"/>
  <c r="BK143" i="11"/>
  <c r="BL143" i="11"/>
  <c r="BM143" i="11"/>
  <c r="BN143" i="11"/>
  <c r="BO143" i="11"/>
  <c r="BP143" i="11"/>
  <c r="BQ143" i="11"/>
  <c r="BR143" i="11"/>
  <c r="BS143" i="11"/>
  <c r="BT143" i="11"/>
  <c r="BU143" i="11"/>
  <c r="BV143" i="11"/>
  <c r="BW143" i="11"/>
  <c r="BX144" i="10"/>
  <c r="BX143" i="11"/>
  <c r="BY144" i="10"/>
  <c r="BY143" i="11"/>
  <c r="BZ143" i="11"/>
  <c r="CA143" i="11"/>
  <c r="CB143" i="11"/>
  <c r="CR129" i="11"/>
  <c r="AD461" i="11"/>
  <c r="CV129" i="11"/>
  <c r="AE461" i="11"/>
  <c r="CW129" i="11"/>
  <c r="AF461" i="11"/>
  <c r="CX129" i="11"/>
  <c r="AG461" i="11"/>
  <c r="CA144" i="10"/>
  <c r="CC143" i="11"/>
  <c r="CD143" i="11"/>
  <c r="CY129" i="11"/>
  <c r="AH461" i="11"/>
  <c r="A462" i="11"/>
  <c r="B462" i="11"/>
  <c r="D131" i="10"/>
  <c r="C462" i="11"/>
  <c r="D462" i="11"/>
  <c r="U131" i="10"/>
  <c r="E462" i="11"/>
  <c r="F462" i="11"/>
  <c r="G462" i="11"/>
  <c r="H462" i="11"/>
  <c r="I462" i="11"/>
  <c r="J462" i="11"/>
  <c r="K462" i="11"/>
  <c r="L462" i="11"/>
  <c r="P462" i="11"/>
  <c r="Q462" i="11"/>
  <c r="R462" i="11"/>
  <c r="S462" i="11"/>
  <c r="T462" i="11"/>
  <c r="C292" i="11"/>
  <c r="D292" i="11"/>
  <c r="E292" i="11"/>
  <c r="G292" i="11"/>
  <c r="H292" i="11"/>
  <c r="I292" i="11"/>
  <c r="B292" i="11"/>
  <c r="F292" i="11"/>
  <c r="J292" i="11"/>
  <c r="K292" i="11"/>
  <c r="L292" i="11"/>
  <c r="M292" i="11"/>
  <c r="N292" i="11"/>
  <c r="O292" i="11"/>
  <c r="P292" i="11"/>
  <c r="Q292" i="11"/>
  <c r="R292" i="11"/>
  <c r="S292" i="11"/>
  <c r="T292" i="11"/>
  <c r="U292" i="11"/>
  <c r="V292" i="11"/>
  <c r="W292" i="11"/>
  <c r="X292" i="11"/>
  <c r="Y292" i="11"/>
  <c r="Z292" i="11"/>
  <c r="AA292" i="11"/>
  <c r="AB292" i="11"/>
  <c r="AC292" i="11"/>
  <c r="AD292" i="11"/>
  <c r="AE292" i="11"/>
  <c r="AF292" i="11"/>
  <c r="AG292" i="11"/>
  <c r="AH292" i="11"/>
  <c r="AI292" i="11"/>
  <c r="AJ292" i="11"/>
  <c r="AK292" i="11"/>
  <c r="AL292" i="11"/>
  <c r="AM292" i="11"/>
  <c r="AN292" i="11"/>
  <c r="AO292" i="11"/>
  <c r="AP292" i="11"/>
  <c r="AQ292" i="11"/>
  <c r="AR292" i="11"/>
  <c r="AS292" i="11"/>
  <c r="AT292" i="11"/>
  <c r="AU292" i="11"/>
  <c r="AV292" i="11"/>
  <c r="AW292" i="11"/>
  <c r="AX292" i="11"/>
  <c r="AY292" i="11"/>
  <c r="AZ292" i="11"/>
  <c r="BA292" i="11"/>
  <c r="BB292" i="11"/>
  <c r="BC292" i="11"/>
  <c r="BD292" i="11"/>
  <c r="BE292" i="11"/>
  <c r="BF292" i="11"/>
  <c r="BG292" i="11"/>
  <c r="BH292" i="11"/>
  <c r="BI292" i="11"/>
  <c r="BJ292" i="11"/>
  <c r="BK292" i="11"/>
  <c r="BL292" i="11"/>
  <c r="BM292" i="11"/>
  <c r="BN292" i="11"/>
  <c r="BO292" i="11"/>
  <c r="BP292" i="11"/>
  <c r="BQ292" i="11"/>
  <c r="BR292" i="11"/>
  <c r="BS292" i="11"/>
  <c r="BT292" i="11"/>
  <c r="BU292" i="11"/>
  <c r="BV292" i="11"/>
  <c r="BW292" i="11"/>
  <c r="BX292" i="11"/>
  <c r="BY292" i="11"/>
  <c r="BZ292" i="11"/>
  <c r="CB292" i="11"/>
  <c r="U462" i="11"/>
  <c r="V462" i="11"/>
  <c r="CE130" i="11"/>
  <c r="CF130" i="11"/>
  <c r="CG130" i="11"/>
  <c r="W462" i="11"/>
  <c r="CA292" i="11"/>
  <c r="CE292" i="11"/>
  <c r="CF292" i="11"/>
  <c r="CG292" i="11"/>
  <c r="X462" i="11"/>
  <c r="Y462" i="11"/>
  <c r="CC292" i="11"/>
  <c r="CD292" i="11"/>
  <c r="Z462" i="11"/>
  <c r="CO130" i="11"/>
  <c r="AA462" i="11"/>
  <c r="CP130" i="11"/>
  <c r="AB462" i="11"/>
  <c r="CQ130" i="11"/>
  <c r="AC462" i="11"/>
  <c r="B144"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AR144" i="11"/>
  <c r="AS144" i="11"/>
  <c r="AT144" i="11"/>
  <c r="AU144" i="11"/>
  <c r="AV144" i="11"/>
  <c r="AW144" i="11"/>
  <c r="AX144" i="11"/>
  <c r="AY144" i="11"/>
  <c r="AZ144" i="11"/>
  <c r="BA144" i="11"/>
  <c r="BB144" i="11"/>
  <c r="BC144" i="11"/>
  <c r="BD144" i="11"/>
  <c r="BE144" i="11"/>
  <c r="BF144" i="11"/>
  <c r="BG144" i="11"/>
  <c r="BH144" i="11"/>
  <c r="BI144" i="11"/>
  <c r="BJ144" i="11"/>
  <c r="BK144" i="11"/>
  <c r="BL144" i="11"/>
  <c r="BM144" i="11"/>
  <c r="BN144" i="11"/>
  <c r="BO144" i="11"/>
  <c r="BP144" i="11"/>
  <c r="BQ144" i="11"/>
  <c r="BR144" i="11"/>
  <c r="BS144" i="11"/>
  <c r="BT144" i="11"/>
  <c r="BU144" i="11"/>
  <c r="BV144" i="11"/>
  <c r="BW144" i="11"/>
  <c r="BX145" i="10"/>
  <c r="BX144" i="11"/>
  <c r="BY145" i="10"/>
  <c r="BY144" i="11"/>
  <c r="BZ144" i="11"/>
  <c r="CA144" i="11"/>
  <c r="CB144" i="11"/>
  <c r="CR130" i="11"/>
  <c r="AD462" i="11"/>
  <c r="CV130" i="11"/>
  <c r="AE462" i="11"/>
  <c r="CW130" i="11"/>
  <c r="AF462" i="11"/>
  <c r="CX130" i="11"/>
  <c r="AG462" i="11"/>
  <c r="CA145" i="10"/>
  <c r="CC144" i="11"/>
  <c r="CD144" i="11"/>
  <c r="CY130" i="11"/>
  <c r="AH462" i="11"/>
  <c r="A463" i="11"/>
  <c r="B463" i="11"/>
  <c r="D132" i="10"/>
  <c r="C463" i="11"/>
  <c r="D463" i="11"/>
  <c r="U132" i="10"/>
  <c r="E463" i="11"/>
  <c r="F463" i="11"/>
  <c r="G463" i="11"/>
  <c r="H463" i="11"/>
  <c r="I463" i="11"/>
  <c r="J463" i="11"/>
  <c r="K463" i="11"/>
  <c r="L463" i="11"/>
  <c r="P463" i="11"/>
  <c r="Q463" i="11"/>
  <c r="R463" i="11"/>
  <c r="S463" i="11"/>
  <c r="T463" i="11"/>
  <c r="C293" i="11"/>
  <c r="D293" i="11"/>
  <c r="E293" i="11"/>
  <c r="G293" i="11"/>
  <c r="H293" i="11"/>
  <c r="I293" i="11"/>
  <c r="B293" i="11"/>
  <c r="F293" i="11"/>
  <c r="J293" i="11"/>
  <c r="K293" i="11"/>
  <c r="L293" i="11"/>
  <c r="M293" i="11"/>
  <c r="N293" i="11"/>
  <c r="O293" i="11"/>
  <c r="P293" i="11"/>
  <c r="Q293" i="11"/>
  <c r="R293" i="11"/>
  <c r="S293" i="11"/>
  <c r="T293" i="11"/>
  <c r="U293" i="11"/>
  <c r="V293" i="11"/>
  <c r="W293" i="11"/>
  <c r="X293" i="11"/>
  <c r="Y293" i="11"/>
  <c r="Z293" i="11"/>
  <c r="AA293" i="11"/>
  <c r="AB293" i="11"/>
  <c r="AC293" i="11"/>
  <c r="AD293" i="11"/>
  <c r="AE293" i="11"/>
  <c r="AF293" i="11"/>
  <c r="AG293" i="11"/>
  <c r="AH293" i="11"/>
  <c r="AI293" i="11"/>
  <c r="AJ293" i="11"/>
  <c r="AK293" i="11"/>
  <c r="AL293" i="11"/>
  <c r="AM293" i="11"/>
  <c r="AN293" i="11"/>
  <c r="AO293" i="11"/>
  <c r="AP293" i="11"/>
  <c r="AQ293" i="11"/>
  <c r="AR293" i="11"/>
  <c r="AS293" i="11"/>
  <c r="AT293" i="11"/>
  <c r="AU293" i="11"/>
  <c r="AV293" i="11"/>
  <c r="AW293" i="11"/>
  <c r="AX293" i="11"/>
  <c r="AY293" i="11"/>
  <c r="AZ293" i="11"/>
  <c r="BA293" i="11"/>
  <c r="BB293" i="11"/>
  <c r="BC293" i="11"/>
  <c r="BD293" i="11"/>
  <c r="BE293" i="11"/>
  <c r="BF293" i="11"/>
  <c r="BG293" i="11"/>
  <c r="BH293" i="11"/>
  <c r="BI293" i="11"/>
  <c r="BJ293" i="11"/>
  <c r="BK293" i="11"/>
  <c r="BL293" i="11"/>
  <c r="BM293" i="11"/>
  <c r="BN293" i="11"/>
  <c r="BO293" i="11"/>
  <c r="BP293" i="11"/>
  <c r="BQ293" i="11"/>
  <c r="BR293" i="11"/>
  <c r="BS293" i="11"/>
  <c r="BT293" i="11"/>
  <c r="BU293" i="11"/>
  <c r="BV293" i="11"/>
  <c r="BW293" i="11"/>
  <c r="BX293" i="11"/>
  <c r="BY293" i="11"/>
  <c r="BZ293" i="11"/>
  <c r="CB293" i="11"/>
  <c r="U463" i="11"/>
  <c r="V463" i="11"/>
  <c r="CE131" i="11"/>
  <c r="CF131" i="11"/>
  <c r="CG131" i="11"/>
  <c r="W463" i="11"/>
  <c r="CA293" i="11"/>
  <c r="CE293" i="11"/>
  <c r="CF293" i="11"/>
  <c r="CG293" i="11"/>
  <c r="X463" i="11"/>
  <c r="Y463" i="11"/>
  <c r="CC293" i="11"/>
  <c r="CD293" i="11"/>
  <c r="Z463" i="11"/>
  <c r="CO131" i="11"/>
  <c r="AA463" i="11"/>
  <c r="CP131" i="11"/>
  <c r="AB463" i="11"/>
  <c r="CQ131" i="11"/>
  <c r="AC463" i="11"/>
  <c r="B145"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O145" i="11"/>
  <c r="AP145" i="11"/>
  <c r="AQ145" i="11"/>
  <c r="AR145" i="11"/>
  <c r="AS145" i="11"/>
  <c r="AT145" i="11"/>
  <c r="AU145" i="11"/>
  <c r="AV145" i="11"/>
  <c r="AW145" i="11"/>
  <c r="AX145" i="11"/>
  <c r="AY145" i="11"/>
  <c r="AZ145" i="11"/>
  <c r="BA145" i="11"/>
  <c r="BB145" i="11"/>
  <c r="BC145" i="11"/>
  <c r="BD145" i="11"/>
  <c r="BE145" i="11"/>
  <c r="BF145" i="11"/>
  <c r="BG145" i="11"/>
  <c r="BH145" i="11"/>
  <c r="BI145" i="11"/>
  <c r="BJ145" i="11"/>
  <c r="BK145" i="11"/>
  <c r="BL145" i="11"/>
  <c r="BM145" i="11"/>
  <c r="BN145" i="11"/>
  <c r="BO145" i="11"/>
  <c r="BP145" i="11"/>
  <c r="BQ145" i="11"/>
  <c r="BR145" i="11"/>
  <c r="BS145" i="11"/>
  <c r="BT145" i="11"/>
  <c r="BU145" i="11"/>
  <c r="BV145" i="11"/>
  <c r="BW145" i="11"/>
  <c r="BX146" i="10"/>
  <c r="BX145" i="11"/>
  <c r="BY146" i="10"/>
  <c r="BY145" i="11"/>
  <c r="BZ145" i="11"/>
  <c r="CA145" i="11"/>
  <c r="CB145" i="11"/>
  <c r="CR131" i="11"/>
  <c r="AD463" i="11"/>
  <c r="CV131" i="11"/>
  <c r="AE463" i="11"/>
  <c r="CW131" i="11"/>
  <c r="AF463" i="11"/>
  <c r="CX131" i="11"/>
  <c r="AG463" i="11"/>
  <c r="CA146" i="10"/>
  <c r="CC145" i="11"/>
  <c r="CD145" i="11"/>
  <c r="CY131" i="11"/>
  <c r="AH463" i="11"/>
  <c r="A464" i="11"/>
  <c r="B464" i="11"/>
  <c r="D133" i="10"/>
  <c r="C464" i="11"/>
  <c r="D464" i="11"/>
  <c r="U133" i="10"/>
  <c r="E464" i="11"/>
  <c r="F464" i="11"/>
  <c r="G464" i="11"/>
  <c r="H464" i="11"/>
  <c r="I464" i="11"/>
  <c r="J464" i="11"/>
  <c r="K464" i="11"/>
  <c r="L464" i="11"/>
  <c r="P464" i="11"/>
  <c r="Q464" i="11"/>
  <c r="R464" i="11"/>
  <c r="S464" i="11"/>
  <c r="T464" i="11"/>
  <c r="C294" i="11"/>
  <c r="D294" i="11"/>
  <c r="E294" i="11"/>
  <c r="G294" i="11"/>
  <c r="H294" i="11"/>
  <c r="I294" i="11"/>
  <c r="B294" i="11"/>
  <c r="F294" i="11"/>
  <c r="J294" i="11"/>
  <c r="K294" i="11"/>
  <c r="L294" i="11"/>
  <c r="M294" i="11"/>
  <c r="N294" i="11"/>
  <c r="O294" i="11"/>
  <c r="P294" i="11"/>
  <c r="Q294" i="11"/>
  <c r="R294" i="11"/>
  <c r="S294" i="11"/>
  <c r="T294" i="11"/>
  <c r="U294" i="11"/>
  <c r="V294" i="11"/>
  <c r="W294" i="11"/>
  <c r="X294" i="11"/>
  <c r="Y294" i="11"/>
  <c r="Z294" i="11"/>
  <c r="AA294" i="11"/>
  <c r="AB294" i="11"/>
  <c r="AC294" i="11"/>
  <c r="AD294" i="11"/>
  <c r="AE294" i="11"/>
  <c r="AF294" i="11"/>
  <c r="AG294" i="11"/>
  <c r="AH294" i="11"/>
  <c r="AI294" i="11"/>
  <c r="AJ294" i="11"/>
  <c r="AK294" i="11"/>
  <c r="AL294" i="11"/>
  <c r="AM294" i="11"/>
  <c r="AN294" i="11"/>
  <c r="AO294" i="11"/>
  <c r="AP294" i="11"/>
  <c r="AQ294" i="11"/>
  <c r="AR294" i="11"/>
  <c r="AS294" i="11"/>
  <c r="AT294" i="11"/>
  <c r="AU294" i="11"/>
  <c r="AV294" i="11"/>
  <c r="AW294" i="11"/>
  <c r="AX294" i="11"/>
  <c r="AY294" i="11"/>
  <c r="AZ294" i="11"/>
  <c r="BA294" i="11"/>
  <c r="BB294" i="11"/>
  <c r="BC294" i="11"/>
  <c r="BD294" i="11"/>
  <c r="BE294" i="11"/>
  <c r="BF294" i="11"/>
  <c r="BG294" i="11"/>
  <c r="BH294" i="11"/>
  <c r="BI294" i="11"/>
  <c r="BJ294" i="11"/>
  <c r="BK294" i="11"/>
  <c r="BL294" i="11"/>
  <c r="BM294" i="11"/>
  <c r="BN294" i="11"/>
  <c r="BO294" i="11"/>
  <c r="BP294" i="11"/>
  <c r="BQ294" i="11"/>
  <c r="BR294" i="11"/>
  <c r="BS294" i="11"/>
  <c r="BT294" i="11"/>
  <c r="BU294" i="11"/>
  <c r="BV294" i="11"/>
  <c r="BW294" i="11"/>
  <c r="BX294" i="11"/>
  <c r="BY294" i="11"/>
  <c r="BZ294" i="11"/>
  <c r="CB294" i="11"/>
  <c r="U464" i="11"/>
  <c r="V464" i="11"/>
  <c r="CE132" i="11"/>
  <c r="CF132" i="11"/>
  <c r="CG132" i="11"/>
  <c r="W464" i="11"/>
  <c r="CA294" i="11"/>
  <c r="CE294" i="11"/>
  <c r="CF294" i="11"/>
  <c r="CG294" i="11"/>
  <c r="X464" i="11"/>
  <c r="Y464" i="11"/>
  <c r="CC294" i="11"/>
  <c r="CD294" i="11"/>
  <c r="Z464" i="11"/>
  <c r="CO132" i="11"/>
  <c r="AA464" i="11"/>
  <c r="CP132" i="11"/>
  <c r="AB464" i="11"/>
  <c r="CQ132" i="11"/>
  <c r="AC464" i="11"/>
  <c r="B146"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O146" i="11"/>
  <c r="AP146" i="11"/>
  <c r="AQ146" i="11"/>
  <c r="AR146" i="11"/>
  <c r="AS146" i="11"/>
  <c r="AT146" i="11"/>
  <c r="AU146" i="11"/>
  <c r="AV146" i="11"/>
  <c r="AW146" i="11"/>
  <c r="AX146" i="11"/>
  <c r="AY146" i="11"/>
  <c r="AZ146" i="11"/>
  <c r="BA146" i="11"/>
  <c r="BB146" i="11"/>
  <c r="BC146" i="11"/>
  <c r="BD146" i="11"/>
  <c r="BE146" i="11"/>
  <c r="BF146" i="11"/>
  <c r="BG146" i="11"/>
  <c r="BH146" i="11"/>
  <c r="BI146" i="11"/>
  <c r="BJ146" i="11"/>
  <c r="BK146" i="11"/>
  <c r="BL146" i="11"/>
  <c r="BM146" i="11"/>
  <c r="BN146" i="11"/>
  <c r="BO146" i="11"/>
  <c r="BP146" i="11"/>
  <c r="BQ146" i="11"/>
  <c r="BR146" i="11"/>
  <c r="BS146" i="11"/>
  <c r="BT146" i="11"/>
  <c r="BU146" i="11"/>
  <c r="BV146" i="11"/>
  <c r="BW146" i="11"/>
  <c r="BX147" i="10"/>
  <c r="BX146" i="11"/>
  <c r="BY147" i="10"/>
  <c r="BY146" i="11"/>
  <c r="BZ146" i="11"/>
  <c r="CA146" i="11"/>
  <c r="CB146" i="11"/>
  <c r="CR132" i="11"/>
  <c r="AD464" i="11"/>
  <c r="CV132" i="11"/>
  <c r="AE464" i="11"/>
  <c r="CW132" i="11"/>
  <c r="AF464" i="11"/>
  <c r="CX132" i="11"/>
  <c r="AG464" i="11"/>
  <c r="CA147" i="10"/>
  <c r="CC146" i="11"/>
  <c r="CD146" i="11"/>
  <c r="CY132" i="11"/>
  <c r="AH464" i="11"/>
  <c r="A465" i="11"/>
  <c r="B465" i="11"/>
  <c r="D134" i="10"/>
  <c r="C465" i="11"/>
  <c r="D465" i="11"/>
  <c r="U134" i="10"/>
  <c r="E465" i="11"/>
  <c r="F465" i="11"/>
  <c r="G465" i="11"/>
  <c r="H465" i="11"/>
  <c r="I465" i="11"/>
  <c r="J465" i="11"/>
  <c r="K465" i="11"/>
  <c r="L465" i="11"/>
  <c r="P465" i="11"/>
  <c r="Q465" i="11"/>
  <c r="R465" i="11"/>
  <c r="S465" i="11"/>
  <c r="T465" i="11"/>
  <c r="C295" i="11"/>
  <c r="D295" i="11"/>
  <c r="E295" i="11"/>
  <c r="G295" i="11"/>
  <c r="H295" i="11"/>
  <c r="I295" i="11"/>
  <c r="B295" i="11"/>
  <c r="F295" i="11"/>
  <c r="J295" i="11"/>
  <c r="K295" i="11"/>
  <c r="L295" i="11"/>
  <c r="M295" i="11"/>
  <c r="N295" i="11"/>
  <c r="O295" i="11"/>
  <c r="P295" i="11"/>
  <c r="Q295" i="11"/>
  <c r="R295" i="11"/>
  <c r="S295" i="11"/>
  <c r="T295" i="11"/>
  <c r="U295" i="11"/>
  <c r="V295" i="11"/>
  <c r="W295" i="11"/>
  <c r="X295" i="11"/>
  <c r="Y295" i="11"/>
  <c r="Z295" i="11"/>
  <c r="AA295" i="11"/>
  <c r="AB295" i="11"/>
  <c r="AC295" i="11"/>
  <c r="AD295" i="11"/>
  <c r="AE295" i="11"/>
  <c r="AF295" i="11"/>
  <c r="AG295" i="11"/>
  <c r="AH295" i="11"/>
  <c r="AI295" i="11"/>
  <c r="AJ295" i="11"/>
  <c r="AK295" i="11"/>
  <c r="AL295" i="11"/>
  <c r="AM295" i="11"/>
  <c r="AN295" i="11"/>
  <c r="AO295" i="11"/>
  <c r="AP295" i="11"/>
  <c r="AQ295" i="11"/>
  <c r="AR295" i="11"/>
  <c r="AS295" i="11"/>
  <c r="AT295" i="11"/>
  <c r="AU295" i="11"/>
  <c r="AV295" i="11"/>
  <c r="AW295" i="11"/>
  <c r="AX295" i="11"/>
  <c r="AY295" i="11"/>
  <c r="AZ295" i="11"/>
  <c r="BA295" i="11"/>
  <c r="BB295" i="11"/>
  <c r="BC295" i="11"/>
  <c r="BD295" i="11"/>
  <c r="BE295" i="11"/>
  <c r="BF295" i="11"/>
  <c r="BG295" i="11"/>
  <c r="BH295" i="11"/>
  <c r="BI295" i="11"/>
  <c r="BJ295" i="11"/>
  <c r="BK295" i="11"/>
  <c r="BL295" i="11"/>
  <c r="BM295" i="11"/>
  <c r="BN295" i="11"/>
  <c r="BO295" i="11"/>
  <c r="BP295" i="11"/>
  <c r="BQ295" i="11"/>
  <c r="BR295" i="11"/>
  <c r="BS295" i="11"/>
  <c r="BT295" i="11"/>
  <c r="BU295" i="11"/>
  <c r="BV295" i="11"/>
  <c r="BW295" i="11"/>
  <c r="BX295" i="11"/>
  <c r="BY295" i="11"/>
  <c r="BZ295" i="11"/>
  <c r="CB295" i="11"/>
  <c r="U465" i="11"/>
  <c r="V465" i="11"/>
  <c r="CE133" i="11"/>
  <c r="CF133" i="11"/>
  <c r="CG133" i="11"/>
  <c r="W465" i="11"/>
  <c r="CA295" i="11"/>
  <c r="CE295" i="11"/>
  <c r="CF295" i="11"/>
  <c r="CG295" i="11"/>
  <c r="X465" i="11"/>
  <c r="Y465" i="11"/>
  <c r="CC295" i="11"/>
  <c r="CD295" i="11"/>
  <c r="Z465" i="11"/>
  <c r="CO133" i="11"/>
  <c r="AA465" i="11"/>
  <c r="CP133" i="11"/>
  <c r="AB465" i="11"/>
  <c r="CQ133" i="11"/>
  <c r="AC465" i="11"/>
  <c r="B147"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AR147" i="11"/>
  <c r="AS147" i="11"/>
  <c r="AT147" i="11"/>
  <c r="AU147" i="11"/>
  <c r="AV147" i="11"/>
  <c r="AW147" i="11"/>
  <c r="AX147" i="11"/>
  <c r="AY147" i="11"/>
  <c r="AZ147" i="11"/>
  <c r="BA147" i="11"/>
  <c r="BB147" i="11"/>
  <c r="BC147" i="11"/>
  <c r="BD147" i="11"/>
  <c r="BE147" i="11"/>
  <c r="BF147" i="11"/>
  <c r="BG147" i="11"/>
  <c r="BH147" i="11"/>
  <c r="BI147" i="11"/>
  <c r="BJ147" i="11"/>
  <c r="BK147" i="11"/>
  <c r="BL147" i="11"/>
  <c r="BM147" i="11"/>
  <c r="BN147" i="11"/>
  <c r="BO147" i="11"/>
  <c r="BP147" i="11"/>
  <c r="BQ147" i="11"/>
  <c r="BR147" i="11"/>
  <c r="BS147" i="11"/>
  <c r="BT147" i="11"/>
  <c r="BU147" i="11"/>
  <c r="BV147" i="11"/>
  <c r="BW147" i="11"/>
  <c r="BX148" i="10"/>
  <c r="BX147" i="11"/>
  <c r="BY148" i="10"/>
  <c r="BY147" i="11"/>
  <c r="BZ147" i="11"/>
  <c r="CA147" i="11"/>
  <c r="CB147" i="11"/>
  <c r="B148"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O148" i="11"/>
  <c r="AP148" i="11"/>
  <c r="AQ148" i="11"/>
  <c r="AR148" i="11"/>
  <c r="AS148" i="11"/>
  <c r="AT148" i="11"/>
  <c r="AU148" i="11"/>
  <c r="AV148" i="11"/>
  <c r="AW148" i="11"/>
  <c r="AX148" i="11"/>
  <c r="AY148" i="11"/>
  <c r="AZ148" i="11"/>
  <c r="BA148" i="11"/>
  <c r="BB148" i="11"/>
  <c r="BC148" i="11"/>
  <c r="BD148" i="11"/>
  <c r="BE148" i="11"/>
  <c r="BF148" i="11"/>
  <c r="BG148" i="11"/>
  <c r="BH148" i="11"/>
  <c r="BI148" i="11"/>
  <c r="BJ148" i="11"/>
  <c r="BK148" i="11"/>
  <c r="BL148" i="11"/>
  <c r="BM148" i="11"/>
  <c r="BN148" i="11"/>
  <c r="BO148" i="11"/>
  <c r="BP148" i="11"/>
  <c r="BQ148" i="11"/>
  <c r="BR148" i="11"/>
  <c r="BS148" i="11"/>
  <c r="BT148" i="11"/>
  <c r="BU148" i="11"/>
  <c r="BV148" i="11"/>
  <c r="BW148" i="11"/>
  <c r="BX149" i="10"/>
  <c r="BX148" i="11"/>
  <c r="BY149" i="10"/>
  <c r="BY148" i="11"/>
  <c r="BZ148" i="11"/>
  <c r="CA148" i="11"/>
  <c r="CB148" i="11"/>
  <c r="B149"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O149" i="11"/>
  <c r="AP149" i="11"/>
  <c r="AQ149" i="11"/>
  <c r="AR149" i="11"/>
  <c r="AS149" i="11"/>
  <c r="AT149" i="11"/>
  <c r="AU149" i="11"/>
  <c r="AV149" i="11"/>
  <c r="AW149" i="11"/>
  <c r="AX149" i="11"/>
  <c r="AY149" i="11"/>
  <c r="AZ149" i="11"/>
  <c r="BA149" i="11"/>
  <c r="BB149" i="11"/>
  <c r="BC149" i="11"/>
  <c r="BD149" i="11"/>
  <c r="BE149" i="11"/>
  <c r="BF149" i="11"/>
  <c r="BG149" i="11"/>
  <c r="BH149" i="11"/>
  <c r="BI149" i="11"/>
  <c r="BJ149" i="11"/>
  <c r="BK149" i="11"/>
  <c r="BL149" i="11"/>
  <c r="BM149" i="11"/>
  <c r="BN149" i="11"/>
  <c r="BO149" i="11"/>
  <c r="BP149" i="11"/>
  <c r="BQ149" i="11"/>
  <c r="BR149" i="11"/>
  <c r="BS149" i="11"/>
  <c r="BT149" i="11"/>
  <c r="BU149" i="11"/>
  <c r="BV149" i="11"/>
  <c r="BW149" i="11"/>
  <c r="BX150" i="10"/>
  <c r="BX149" i="11"/>
  <c r="BY150" i="10"/>
  <c r="BY149" i="11"/>
  <c r="BZ149" i="11"/>
  <c r="CA149" i="11"/>
  <c r="CB149" i="11"/>
  <c r="CR133" i="11"/>
  <c r="AD465" i="11"/>
  <c r="CV133" i="11"/>
  <c r="AE465" i="11"/>
  <c r="CW133" i="11"/>
  <c r="AF465" i="11"/>
  <c r="CX133" i="11"/>
  <c r="AG465" i="11"/>
  <c r="CA148" i="10"/>
  <c r="CC147" i="11"/>
  <c r="CD147" i="11"/>
  <c r="CA149" i="10"/>
  <c r="CC148" i="11"/>
  <c r="CD148" i="11"/>
  <c r="CA150" i="10"/>
  <c r="CC149" i="11"/>
  <c r="CD149" i="11"/>
  <c r="CY133" i="11"/>
  <c r="AH465" i="11"/>
  <c r="A466" i="11"/>
  <c r="B466" i="11"/>
  <c r="D135" i="10"/>
  <c r="C466" i="11"/>
  <c r="D466" i="11"/>
  <c r="U135" i="10"/>
  <c r="E466" i="11"/>
  <c r="F466" i="11"/>
  <c r="G466" i="11"/>
  <c r="H466" i="11"/>
  <c r="I466" i="11"/>
  <c r="J466" i="11"/>
  <c r="K466" i="11"/>
  <c r="L466" i="11"/>
  <c r="P466" i="11"/>
  <c r="Q466" i="11"/>
  <c r="R466" i="11"/>
  <c r="S466" i="11"/>
  <c r="T466" i="11"/>
  <c r="C296" i="11"/>
  <c r="D296" i="11"/>
  <c r="E296" i="11"/>
  <c r="G296" i="11"/>
  <c r="H296" i="11"/>
  <c r="I296" i="11"/>
  <c r="B296" i="11"/>
  <c r="F296" i="11"/>
  <c r="J296" i="11"/>
  <c r="K296" i="11"/>
  <c r="L296" i="11"/>
  <c r="M296" i="11"/>
  <c r="N296" i="11"/>
  <c r="O296" i="11"/>
  <c r="P296" i="11"/>
  <c r="Q296" i="11"/>
  <c r="R296" i="11"/>
  <c r="S296" i="11"/>
  <c r="T296" i="11"/>
  <c r="U296" i="11"/>
  <c r="V296" i="11"/>
  <c r="W296" i="11"/>
  <c r="X296" i="11"/>
  <c r="Y296" i="11"/>
  <c r="Z296" i="11"/>
  <c r="AA296" i="11"/>
  <c r="AB296" i="11"/>
  <c r="AC296" i="11"/>
  <c r="AD296" i="11"/>
  <c r="AE296" i="11"/>
  <c r="AF296" i="11"/>
  <c r="AG296" i="11"/>
  <c r="AH296" i="11"/>
  <c r="AI296" i="11"/>
  <c r="AJ296" i="11"/>
  <c r="AK296" i="11"/>
  <c r="AL296" i="11"/>
  <c r="AM296" i="11"/>
  <c r="AN296" i="11"/>
  <c r="AO296" i="11"/>
  <c r="AP296" i="11"/>
  <c r="AQ296" i="11"/>
  <c r="AR296" i="11"/>
  <c r="AS296" i="11"/>
  <c r="AT296" i="11"/>
  <c r="AU296" i="11"/>
  <c r="AV296" i="11"/>
  <c r="AW296" i="11"/>
  <c r="AX296" i="11"/>
  <c r="AY296" i="11"/>
  <c r="AZ296" i="11"/>
  <c r="BA296" i="11"/>
  <c r="BB296" i="11"/>
  <c r="BC296" i="11"/>
  <c r="BD296" i="11"/>
  <c r="BE296" i="11"/>
  <c r="BF296" i="11"/>
  <c r="BG296" i="11"/>
  <c r="BH296" i="11"/>
  <c r="BI296" i="11"/>
  <c r="BJ296" i="11"/>
  <c r="BK296" i="11"/>
  <c r="BL296" i="11"/>
  <c r="BM296" i="11"/>
  <c r="BN296" i="11"/>
  <c r="BO296" i="11"/>
  <c r="BP296" i="11"/>
  <c r="BQ296" i="11"/>
  <c r="BR296" i="11"/>
  <c r="BS296" i="11"/>
  <c r="BT296" i="11"/>
  <c r="BU296" i="11"/>
  <c r="BV296" i="11"/>
  <c r="BW296" i="11"/>
  <c r="BX296" i="11"/>
  <c r="BY296" i="11"/>
  <c r="BZ296" i="11"/>
  <c r="CB296" i="11"/>
  <c r="U466" i="11"/>
  <c r="V466" i="11"/>
  <c r="CE134" i="11"/>
  <c r="CF134" i="11"/>
  <c r="CG134" i="11"/>
  <c r="W466" i="11"/>
  <c r="CA296" i="11"/>
  <c r="CE296" i="11"/>
  <c r="CF296" i="11"/>
  <c r="CG296" i="11"/>
  <c r="X466" i="11"/>
  <c r="Y466" i="11"/>
  <c r="CC296" i="11"/>
  <c r="CD296" i="11"/>
  <c r="Z466" i="11"/>
  <c r="CO134" i="11"/>
  <c r="AA466" i="11"/>
  <c r="CP134" i="11"/>
  <c r="AB466" i="11"/>
  <c r="CQ134" i="11"/>
  <c r="AC466" i="11"/>
  <c r="B150"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O150" i="11"/>
  <c r="AP150" i="11"/>
  <c r="AQ150" i="11"/>
  <c r="AR150" i="11"/>
  <c r="AS150" i="11"/>
  <c r="AT150" i="11"/>
  <c r="AU150" i="11"/>
  <c r="AV150" i="11"/>
  <c r="AW150" i="11"/>
  <c r="AX150" i="11"/>
  <c r="AY150" i="11"/>
  <c r="AZ150" i="11"/>
  <c r="BA150" i="11"/>
  <c r="BB150" i="11"/>
  <c r="BC150" i="11"/>
  <c r="BD150" i="11"/>
  <c r="BE150" i="11"/>
  <c r="BF150" i="11"/>
  <c r="BG150" i="11"/>
  <c r="BH150" i="11"/>
  <c r="BI150" i="11"/>
  <c r="BJ150" i="11"/>
  <c r="BK150" i="11"/>
  <c r="BL150" i="11"/>
  <c r="BM150" i="11"/>
  <c r="BN150" i="11"/>
  <c r="BO150" i="11"/>
  <c r="BP150" i="11"/>
  <c r="BQ150" i="11"/>
  <c r="BR150" i="11"/>
  <c r="BS150" i="11"/>
  <c r="BT150" i="11"/>
  <c r="BU150" i="11"/>
  <c r="BV150" i="11"/>
  <c r="BW150" i="11"/>
  <c r="BX151" i="10"/>
  <c r="BX150" i="11"/>
  <c r="BY151" i="10"/>
  <c r="BY150" i="11"/>
  <c r="BZ150" i="11"/>
  <c r="CA150" i="11"/>
  <c r="CB150" i="11"/>
  <c r="CR134" i="11"/>
  <c r="AD466" i="11"/>
  <c r="CV134" i="11"/>
  <c r="AE466" i="11"/>
  <c r="CW134" i="11"/>
  <c r="AF466" i="11"/>
  <c r="CX134" i="11"/>
  <c r="AG466" i="11"/>
  <c r="CA151" i="10"/>
  <c r="CC150" i="11"/>
  <c r="CD150" i="11"/>
  <c r="CY134" i="11"/>
  <c r="AH466" i="11"/>
  <c r="A467" i="11"/>
  <c r="B467" i="11"/>
  <c r="D136" i="10"/>
  <c r="C467" i="11"/>
  <c r="D467" i="11"/>
  <c r="U136" i="10"/>
  <c r="E467" i="11"/>
  <c r="F467" i="11"/>
  <c r="G467" i="11"/>
  <c r="H467" i="11"/>
  <c r="I467" i="11"/>
  <c r="J467" i="11"/>
  <c r="K467" i="11"/>
  <c r="L467" i="11"/>
  <c r="P467" i="11"/>
  <c r="Q467" i="11"/>
  <c r="R467" i="11"/>
  <c r="S467" i="11"/>
  <c r="T467" i="11"/>
  <c r="C297" i="11"/>
  <c r="D297" i="11"/>
  <c r="E297" i="11"/>
  <c r="G297" i="11"/>
  <c r="H297" i="11"/>
  <c r="I297" i="11"/>
  <c r="B297" i="11"/>
  <c r="F297" i="11"/>
  <c r="J297" i="11"/>
  <c r="K297" i="11"/>
  <c r="L297" i="11"/>
  <c r="M297" i="11"/>
  <c r="N297" i="11"/>
  <c r="O297" i="11"/>
  <c r="P297" i="11"/>
  <c r="Q297" i="11"/>
  <c r="R297" i="11"/>
  <c r="S297" i="11"/>
  <c r="T297" i="11"/>
  <c r="U297" i="11"/>
  <c r="V297" i="11"/>
  <c r="W297" i="11"/>
  <c r="X297" i="11"/>
  <c r="Y297" i="11"/>
  <c r="Z297" i="11"/>
  <c r="AA297" i="11"/>
  <c r="AB297" i="11"/>
  <c r="AC297" i="11"/>
  <c r="AD297" i="11"/>
  <c r="AE297" i="11"/>
  <c r="AF297" i="11"/>
  <c r="AG297" i="11"/>
  <c r="AH297" i="11"/>
  <c r="AI297" i="11"/>
  <c r="AJ297" i="11"/>
  <c r="AK297" i="11"/>
  <c r="AL297" i="11"/>
  <c r="AM297" i="11"/>
  <c r="AN297" i="11"/>
  <c r="AO297" i="11"/>
  <c r="AP297" i="11"/>
  <c r="AQ297" i="11"/>
  <c r="AR297" i="11"/>
  <c r="AS297" i="11"/>
  <c r="AT297" i="11"/>
  <c r="AU297" i="11"/>
  <c r="AV297" i="11"/>
  <c r="AW297" i="11"/>
  <c r="AX297" i="11"/>
  <c r="AY297" i="11"/>
  <c r="AZ297" i="11"/>
  <c r="BA297" i="11"/>
  <c r="BB297" i="11"/>
  <c r="BC297" i="11"/>
  <c r="BD297" i="11"/>
  <c r="BE297" i="11"/>
  <c r="BF297" i="11"/>
  <c r="BG297" i="11"/>
  <c r="BH297" i="11"/>
  <c r="BI297" i="11"/>
  <c r="BJ297" i="11"/>
  <c r="BK297" i="11"/>
  <c r="BL297" i="11"/>
  <c r="BM297" i="11"/>
  <c r="BN297" i="11"/>
  <c r="BO297" i="11"/>
  <c r="BP297" i="11"/>
  <c r="BQ297" i="11"/>
  <c r="BR297" i="11"/>
  <c r="BS297" i="11"/>
  <c r="BT297" i="11"/>
  <c r="BU297" i="11"/>
  <c r="BV297" i="11"/>
  <c r="BW297" i="11"/>
  <c r="BX297" i="11"/>
  <c r="BY297" i="11"/>
  <c r="BZ297" i="11"/>
  <c r="CB297" i="11"/>
  <c r="U467" i="11"/>
  <c r="V467" i="11"/>
  <c r="CE135" i="11"/>
  <c r="CF135" i="11"/>
  <c r="CG135" i="11"/>
  <c r="W467" i="11"/>
  <c r="CA297" i="11"/>
  <c r="CE297" i="11"/>
  <c r="CF297" i="11"/>
  <c r="CG297" i="11"/>
  <c r="X467" i="11"/>
  <c r="Y467" i="11"/>
  <c r="CC297" i="11"/>
  <c r="CD297" i="11"/>
  <c r="Z467" i="11"/>
  <c r="CO135" i="11"/>
  <c r="AA467" i="11"/>
  <c r="CP135" i="11"/>
  <c r="AB467" i="11"/>
  <c r="CQ135" i="11"/>
  <c r="AC467" i="11"/>
  <c r="B151"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O151" i="11"/>
  <c r="AP151" i="11"/>
  <c r="AQ151" i="11"/>
  <c r="AR151" i="11"/>
  <c r="AS151" i="11"/>
  <c r="AT151" i="11"/>
  <c r="AU151" i="11"/>
  <c r="AV151" i="11"/>
  <c r="AW151" i="11"/>
  <c r="AX151" i="11"/>
  <c r="AY151" i="11"/>
  <c r="AZ151" i="11"/>
  <c r="BA151" i="11"/>
  <c r="BB151" i="11"/>
  <c r="BC151" i="11"/>
  <c r="BD151" i="11"/>
  <c r="BE151" i="11"/>
  <c r="BF151" i="11"/>
  <c r="BG151" i="11"/>
  <c r="BH151" i="11"/>
  <c r="BI151" i="11"/>
  <c r="BJ151" i="11"/>
  <c r="BK151" i="11"/>
  <c r="BL151" i="11"/>
  <c r="BM151" i="11"/>
  <c r="BN151" i="11"/>
  <c r="BO151" i="11"/>
  <c r="BP151" i="11"/>
  <c r="BQ151" i="11"/>
  <c r="BR151" i="11"/>
  <c r="BS151" i="11"/>
  <c r="BT151" i="11"/>
  <c r="BU151" i="11"/>
  <c r="BV151" i="11"/>
  <c r="BW151" i="11"/>
  <c r="BX152" i="10"/>
  <c r="BX151" i="11"/>
  <c r="BY152" i="10"/>
  <c r="BY151" i="11"/>
  <c r="BZ151" i="11"/>
  <c r="CA151" i="11"/>
  <c r="CB151" i="11"/>
  <c r="CR135" i="11"/>
  <c r="AD467" i="11"/>
  <c r="CV135" i="11"/>
  <c r="AE467" i="11"/>
  <c r="CW135" i="11"/>
  <c r="AF467" i="11"/>
  <c r="CX135" i="11"/>
  <c r="AG467" i="11"/>
  <c r="CA152" i="10"/>
  <c r="CC151" i="11"/>
  <c r="CD151" i="11"/>
  <c r="CY135" i="11"/>
  <c r="AH467" i="11"/>
  <c r="A468" i="11"/>
  <c r="B468" i="11"/>
  <c r="D137" i="10"/>
  <c r="C468" i="11"/>
  <c r="D468" i="11"/>
  <c r="U137" i="10"/>
  <c r="E468" i="11"/>
  <c r="F468" i="11"/>
  <c r="G468" i="11"/>
  <c r="H468" i="11"/>
  <c r="I468" i="11"/>
  <c r="J468" i="11"/>
  <c r="K468" i="11"/>
  <c r="L468" i="11"/>
  <c r="P468" i="11"/>
  <c r="Q468" i="11"/>
  <c r="R468" i="11"/>
  <c r="S468" i="11"/>
  <c r="T468" i="11"/>
  <c r="C298" i="11"/>
  <c r="D298" i="11"/>
  <c r="E298" i="11"/>
  <c r="L298" i="11"/>
  <c r="G298" i="11"/>
  <c r="H298" i="11"/>
  <c r="I298" i="11"/>
  <c r="B298" i="11"/>
  <c r="F298" i="11"/>
  <c r="J298" i="11"/>
  <c r="K298" i="11"/>
  <c r="M298" i="11"/>
  <c r="N298" i="11"/>
  <c r="O298" i="11"/>
  <c r="P298" i="11"/>
  <c r="Q298" i="11"/>
  <c r="R298" i="11"/>
  <c r="S298" i="11"/>
  <c r="T298" i="11"/>
  <c r="U298" i="11"/>
  <c r="V298" i="11"/>
  <c r="W298" i="11"/>
  <c r="X298" i="11"/>
  <c r="Y298" i="11"/>
  <c r="Z298" i="11"/>
  <c r="AA298" i="11"/>
  <c r="AB298" i="11"/>
  <c r="AC298" i="11"/>
  <c r="AD298" i="11"/>
  <c r="AE298" i="11"/>
  <c r="AF298" i="11"/>
  <c r="AG298" i="11"/>
  <c r="AH298" i="11"/>
  <c r="AI298" i="11"/>
  <c r="AJ298" i="11"/>
  <c r="AK298" i="11"/>
  <c r="AL298" i="11"/>
  <c r="AM298" i="11"/>
  <c r="AN298" i="11"/>
  <c r="AO298" i="11"/>
  <c r="AP298" i="11"/>
  <c r="AQ298" i="11"/>
  <c r="AR298" i="11"/>
  <c r="AS298" i="11"/>
  <c r="AT298" i="11"/>
  <c r="AU298" i="11"/>
  <c r="AV298" i="11"/>
  <c r="AW298" i="11"/>
  <c r="AX298" i="11"/>
  <c r="AY298" i="11"/>
  <c r="AZ298" i="11"/>
  <c r="BA298" i="11"/>
  <c r="BB298" i="11"/>
  <c r="BC298" i="11"/>
  <c r="BD298" i="11"/>
  <c r="BE298" i="11"/>
  <c r="BF298" i="11"/>
  <c r="BG298" i="11"/>
  <c r="BH298" i="11"/>
  <c r="BI298" i="11"/>
  <c r="BJ298" i="11"/>
  <c r="BK298" i="11"/>
  <c r="BL298" i="11"/>
  <c r="BM298" i="11"/>
  <c r="BN298" i="11"/>
  <c r="BO298" i="11"/>
  <c r="BP298" i="11"/>
  <c r="BQ298" i="11"/>
  <c r="BR298" i="11"/>
  <c r="BS298" i="11"/>
  <c r="BT298" i="11"/>
  <c r="BU298" i="11"/>
  <c r="BV298" i="11"/>
  <c r="BW298" i="11"/>
  <c r="BX298" i="11"/>
  <c r="BY298" i="11"/>
  <c r="BZ298" i="11"/>
  <c r="CB298" i="11"/>
  <c r="U468" i="11"/>
  <c r="V468" i="11"/>
  <c r="CE136" i="11"/>
  <c r="CF136" i="11"/>
  <c r="CG136" i="11"/>
  <c r="W468" i="11"/>
  <c r="CA298" i="11"/>
  <c r="CE298" i="11"/>
  <c r="CF298" i="11"/>
  <c r="CG298" i="11"/>
  <c r="X468" i="11"/>
  <c r="Y468" i="11"/>
  <c r="CC298" i="11"/>
  <c r="CD298" i="11"/>
  <c r="Z468" i="11"/>
  <c r="CO136" i="11"/>
  <c r="AA468" i="11"/>
  <c r="CP136" i="11"/>
  <c r="AB468" i="11"/>
  <c r="CQ136" i="11"/>
  <c r="AC468" i="11"/>
  <c r="AD468" i="11"/>
  <c r="CV136" i="11"/>
  <c r="AE468" i="11"/>
  <c r="CW136" i="11"/>
  <c r="AF468" i="11"/>
  <c r="CX136" i="11"/>
  <c r="AG468" i="11"/>
  <c r="AH468" i="11"/>
  <c r="A469" i="11"/>
  <c r="B469" i="11"/>
  <c r="D138" i="10"/>
  <c r="C469" i="11"/>
  <c r="D469" i="11"/>
  <c r="U138" i="10"/>
  <c r="E469" i="11"/>
  <c r="F469" i="11"/>
  <c r="G469" i="11"/>
  <c r="H469" i="11"/>
  <c r="I469" i="11"/>
  <c r="J469" i="11"/>
  <c r="K469" i="11"/>
  <c r="L469" i="11"/>
  <c r="P469" i="11"/>
  <c r="Q469" i="11"/>
  <c r="R469" i="11"/>
  <c r="S469" i="11"/>
  <c r="T469" i="11"/>
  <c r="C299" i="11"/>
  <c r="D299" i="11"/>
  <c r="E299" i="11"/>
  <c r="L299" i="11"/>
  <c r="G299" i="11"/>
  <c r="H299" i="11"/>
  <c r="I299" i="11"/>
  <c r="B299" i="11"/>
  <c r="F299" i="11"/>
  <c r="J299" i="11"/>
  <c r="K299" i="11"/>
  <c r="M299" i="11"/>
  <c r="N299" i="11"/>
  <c r="O299" i="11"/>
  <c r="P299" i="11"/>
  <c r="Q299" i="11"/>
  <c r="R299" i="11"/>
  <c r="S299" i="11"/>
  <c r="T299" i="11"/>
  <c r="U299" i="11"/>
  <c r="V299" i="11"/>
  <c r="W299" i="11"/>
  <c r="X299" i="11"/>
  <c r="Y299" i="11"/>
  <c r="Z299" i="11"/>
  <c r="AA299" i="11"/>
  <c r="AB299" i="11"/>
  <c r="AC299" i="11"/>
  <c r="AD299" i="11"/>
  <c r="AE299" i="11"/>
  <c r="AF299" i="11"/>
  <c r="AG299" i="11"/>
  <c r="AH299" i="11"/>
  <c r="AI299" i="11"/>
  <c r="AJ299" i="11"/>
  <c r="AK299" i="11"/>
  <c r="AL299" i="11"/>
  <c r="AM299" i="11"/>
  <c r="AN299" i="11"/>
  <c r="AO299" i="11"/>
  <c r="AP299" i="11"/>
  <c r="AQ299" i="11"/>
  <c r="AR299" i="11"/>
  <c r="AS299" i="11"/>
  <c r="AT299" i="11"/>
  <c r="AU299" i="11"/>
  <c r="AV299" i="11"/>
  <c r="AW299" i="11"/>
  <c r="AX299" i="11"/>
  <c r="AY299" i="11"/>
  <c r="AZ299" i="11"/>
  <c r="BA299" i="11"/>
  <c r="BB299" i="11"/>
  <c r="BC299" i="11"/>
  <c r="BD299" i="11"/>
  <c r="BE299" i="11"/>
  <c r="BF299" i="11"/>
  <c r="BG299" i="11"/>
  <c r="BH299" i="11"/>
  <c r="BI299" i="11"/>
  <c r="BJ299" i="11"/>
  <c r="BK299" i="11"/>
  <c r="BL299" i="11"/>
  <c r="BM299" i="11"/>
  <c r="BN299" i="11"/>
  <c r="BO299" i="11"/>
  <c r="BP299" i="11"/>
  <c r="BQ299" i="11"/>
  <c r="BR299" i="11"/>
  <c r="BS299" i="11"/>
  <c r="BT299" i="11"/>
  <c r="BU299" i="11"/>
  <c r="BV299" i="11"/>
  <c r="BW299" i="11"/>
  <c r="BX299" i="11"/>
  <c r="BY299" i="11"/>
  <c r="BZ299" i="11"/>
  <c r="CB299" i="11"/>
  <c r="U469" i="11"/>
  <c r="V469" i="11"/>
  <c r="CE137" i="11"/>
  <c r="CF137" i="11"/>
  <c r="CG137" i="11"/>
  <c r="W469" i="11"/>
  <c r="CA299" i="11"/>
  <c r="CE299" i="11"/>
  <c r="CF299" i="11"/>
  <c r="CG299" i="11"/>
  <c r="X469" i="11"/>
  <c r="Y469" i="11"/>
  <c r="CC299" i="11"/>
  <c r="CD299" i="11"/>
  <c r="Z469" i="11"/>
  <c r="CO137" i="11"/>
  <c r="AA469" i="11"/>
  <c r="CP137" i="11"/>
  <c r="AB469" i="11"/>
  <c r="CQ137" i="11"/>
  <c r="AC469" i="11"/>
  <c r="AD469" i="11"/>
  <c r="CV137" i="11"/>
  <c r="AE469" i="11"/>
  <c r="CW137" i="11"/>
  <c r="AF469" i="11"/>
  <c r="CX137" i="11"/>
  <c r="AG469" i="11"/>
  <c r="AH469" i="11"/>
  <c r="A470" i="11"/>
  <c r="B470" i="11"/>
  <c r="D139" i="10"/>
  <c r="C470" i="11"/>
  <c r="D470" i="11"/>
  <c r="U139" i="10"/>
  <c r="E470" i="11"/>
  <c r="F470" i="11"/>
  <c r="G470" i="11"/>
  <c r="H470" i="11"/>
  <c r="I470" i="11"/>
  <c r="J470" i="11"/>
  <c r="K470" i="11"/>
  <c r="L470" i="11"/>
  <c r="P470" i="11"/>
  <c r="Q470" i="11"/>
  <c r="R470" i="11"/>
  <c r="S470" i="11"/>
  <c r="T470" i="11"/>
  <c r="C300" i="11"/>
  <c r="D300" i="11"/>
  <c r="E300" i="11"/>
  <c r="L300" i="11"/>
  <c r="G300" i="11"/>
  <c r="H300" i="11"/>
  <c r="I300" i="11"/>
  <c r="B300" i="11"/>
  <c r="F300" i="11"/>
  <c r="J300" i="11"/>
  <c r="K300" i="11"/>
  <c r="M300" i="11"/>
  <c r="N300" i="11"/>
  <c r="O300" i="11"/>
  <c r="P300" i="11"/>
  <c r="Q300" i="11"/>
  <c r="R300" i="11"/>
  <c r="S300" i="11"/>
  <c r="T300" i="11"/>
  <c r="U300" i="11"/>
  <c r="V300" i="11"/>
  <c r="W300" i="11"/>
  <c r="X300" i="11"/>
  <c r="Y300" i="11"/>
  <c r="Z300" i="11"/>
  <c r="AA300" i="11"/>
  <c r="AB300" i="11"/>
  <c r="AC300" i="11"/>
  <c r="AD300" i="11"/>
  <c r="AE300" i="11"/>
  <c r="AF300" i="11"/>
  <c r="AG300" i="11"/>
  <c r="AH300" i="11"/>
  <c r="AI300" i="11"/>
  <c r="AJ300" i="11"/>
  <c r="AK300" i="11"/>
  <c r="AL300" i="11"/>
  <c r="AM300" i="11"/>
  <c r="AN300" i="11"/>
  <c r="AO300" i="11"/>
  <c r="AP300" i="11"/>
  <c r="AQ300" i="11"/>
  <c r="AR300" i="11"/>
  <c r="AS300" i="11"/>
  <c r="AT300" i="11"/>
  <c r="AU300" i="11"/>
  <c r="AV300" i="11"/>
  <c r="AW300" i="11"/>
  <c r="AX300" i="11"/>
  <c r="AY300" i="11"/>
  <c r="AZ300" i="11"/>
  <c r="BA300" i="11"/>
  <c r="BB300" i="11"/>
  <c r="BC300" i="11"/>
  <c r="BD300" i="11"/>
  <c r="BE300" i="11"/>
  <c r="BF300" i="11"/>
  <c r="BG300" i="11"/>
  <c r="BH300" i="11"/>
  <c r="BI300" i="11"/>
  <c r="BJ300" i="11"/>
  <c r="BK300" i="11"/>
  <c r="BL300" i="11"/>
  <c r="BM300" i="11"/>
  <c r="BN300" i="11"/>
  <c r="BO300" i="11"/>
  <c r="BP300" i="11"/>
  <c r="BQ300" i="11"/>
  <c r="BR300" i="11"/>
  <c r="BS300" i="11"/>
  <c r="BT300" i="11"/>
  <c r="BU300" i="11"/>
  <c r="BV300" i="11"/>
  <c r="BW300" i="11"/>
  <c r="BX300" i="11"/>
  <c r="BY300" i="11"/>
  <c r="BZ300" i="11"/>
  <c r="CB300" i="11"/>
  <c r="U470" i="11"/>
  <c r="V470" i="11"/>
  <c r="CE138" i="11"/>
  <c r="CF138" i="11"/>
  <c r="CG138" i="11"/>
  <c r="W470" i="11"/>
  <c r="CA300" i="11"/>
  <c r="CE300" i="11"/>
  <c r="CF300" i="11"/>
  <c r="CG300" i="11"/>
  <c r="X470" i="11"/>
  <c r="Y470" i="11"/>
  <c r="CC300" i="11"/>
  <c r="CD300" i="11"/>
  <c r="Z470" i="11"/>
  <c r="CO138" i="11"/>
  <c r="AA470" i="11"/>
  <c r="CP138" i="11"/>
  <c r="AB470" i="11"/>
  <c r="CQ138" i="11"/>
  <c r="AC470" i="11"/>
  <c r="AD470" i="11"/>
  <c r="CV138" i="11"/>
  <c r="AE470" i="11"/>
  <c r="CW138" i="11"/>
  <c r="AF470" i="11"/>
  <c r="CX138" i="11"/>
  <c r="AG470" i="11"/>
  <c r="AH470" i="11"/>
  <c r="A471" i="11"/>
  <c r="B471" i="11"/>
  <c r="D140" i="10"/>
  <c r="C471" i="11"/>
  <c r="D471" i="11"/>
  <c r="U140" i="10"/>
  <c r="E471" i="11"/>
  <c r="F471" i="11"/>
  <c r="G471" i="11"/>
  <c r="H471" i="11"/>
  <c r="I471" i="11"/>
  <c r="J471" i="11"/>
  <c r="K471" i="11"/>
  <c r="L471" i="11"/>
  <c r="P471" i="11"/>
  <c r="Q471" i="11"/>
  <c r="R471" i="11"/>
  <c r="S471" i="11"/>
  <c r="T471" i="11"/>
  <c r="C301" i="11"/>
  <c r="D301" i="11"/>
  <c r="E301" i="11"/>
  <c r="L301" i="11"/>
  <c r="G301" i="11"/>
  <c r="H301" i="11"/>
  <c r="I301" i="11"/>
  <c r="B301" i="11"/>
  <c r="F301" i="11"/>
  <c r="J301" i="11"/>
  <c r="K301" i="11"/>
  <c r="M301" i="11"/>
  <c r="N301" i="11"/>
  <c r="O301" i="11"/>
  <c r="P301" i="11"/>
  <c r="Q301" i="11"/>
  <c r="R301" i="11"/>
  <c r="S301" i="11"/>
  <c r="T301" i="11"/>
  <c r="U301" i="11"/>
  <c r="V301" i="11"/>
  <c r="W301" i="11"/>
  <c r="X301" i="11"/>
  <c r="Y301" i="11"/>
  <c r="Z301" i="11"/>
  <c r="AA301" i="11"/>
  <c r="AB301" i="11"/>
  <c r="AC301" i="11"/>
  <c r="AD301" i="11"/>
  <c r="AE301" i="11"/>
  <c r="AF301" i="11"/>
  <c r="AG301" i="11"/>
  <c r="AH301" i="11"/>
  <c r="AI301" i="11"/>
  <c r="AJ301" i="11"/>
  <c r="AK301" i="11"/>
  <c r="AL301" i="11"/>
  <c r="AM301" i="11"/>
  <c r="AN301" i="11"/>
  <c r="AO301" i="11"/>
  <c r="AP301" i="11"/>
  <c r="AQ301" i="11"/>
  <c r="AR301" i="11"/>
  <c r="AS301" i="11"/>
  <c r="AT301" i="11"/>
  <c r="AU301" i="11"/>
  <c r="AV301" i="11"/>
  <c r="AW301" i="11"/>
  <c r="AX301" i="11"/>
  <c r="AY301" i="11"/>
  <c r="AZ301" i="11"/>
  <c r="BA301" i="11"/>
  <c r="BB301" i="11"/>
  <c r="BC301" i="11"/>
  <c r="BD301" i="11"/>
  <c r="BE301" i="11"/>
  <c r="BF301" i="11"/>
  <c r="BG301" i="11"/>
  <c r="BH301" i="11"/>
  <c r="BI301" i="11"/>
  <c r="BJ301" i="11"/>
  <c r="BK301" i="11"/>
  <c r="BL301" i="11"/>
  <c r="BM301" i="11"/>
  <c r="BN301" i="11"/>
  <c r="BO301" i="11"/>
  <c r="BP301" i="11"/>
  <c r="BQ301" i="11"/>
  <c r="BR301" i="11"/>
  <c r="BS301" i="11"/>
  <c r="BT301" i="11"/>
  <c r="BU301" i="11"/>
  <c r="BV301" i="11"/>
  <c r="BW301" i="11"/>
  <c r="BX301" i="11"/>
  <c r="BY301" i="11"/>
  <c r="BZ301" i="11"/>
  <c r="CB301" i="11"/>
  <c r="U471" i="11"/>
  <c r="V471" i="11"/>
  <c r="CE139" i="11"/>
  <c r="CF139" i="11"/>
  <c r="CG139" i="11"/>
  <c r="W471" i="11"/>
  <c r="CA301" i="11"/>
  <c r="CE301" i="11"/>
  <c r="CF301" i="11"/>
  <c r="CG301" i="11"/>
  <c r="X471" i="11"/>
  <c r="Y471" i="11"/>
  <c r="CC301" i="11"/>
  <c r="CD301" i="11"/>
  <c r="Z471" i="11"/>
  <c r="CO139" i="11"/>
  <c r="AA471" i="11"/>
  <c r="CP139" i="11"/>
  <c r="AB471" i="11"/>
  <c r="CQ139" i="11"/>
  <c r="AC471" i="11"/>
  <c r="AD471" i="11"/>
  <c r="CV139" i="11"/>
  <c r="AE471" i="11"/>
  <c r="CW139" i="11"/>
  <c r="AF471" i="11"/>
  <c r="CX139" i="11"/>
  <c r="AG471" i="11"/>
  <c r="AH471" i="11"/>
  <c r="A472" i="11"/>
  <c r="B472" i="11"/>
  <c r="D141" i="10"/>
  <c r="C472" i="11"/>
  <c r="D472" i="11"/>
  <c r="U141" i="10"/>
  <c r="E472" i="11"/>
  <c r="F472" i="11"/>
  <c r="G472" i="11"/>
  <c r="H472" i="11"/>
  <c r="I472" i="11"/>
  <c r="J472" i="11"/>
  <c r="K472" i="11"/>
  <c r="L472" i="11"/>
  <c r="P472" i="11"/>
  <c r="Q472" i="11"/>
  <c r="R472" i="11"/>
  <c r="S472" i="11"/>
  <c r="T472" i="11"/>
  <c r="C302" i="11"/>
  <c r="D302" i="11"/>
  <c r="E302" i="11"/>
  <c r="L302" i="11"/>
  <c r="G302" i="11"/>
  <c r="H302" i="11"/>
  <c r="I302" i="11"/>
  <c r="B302" i="11"/>
  <c r="F302" i="11"/>
  <c r="J302" i="11"/>
  <c r="K302" i="11"/>
  <c r="M302" i="11"/>
  <c r="N302" i="11"/>
  <c r="O302" i="11"/>
  <c r="P302" i="11"/>
  <c r="Q302" i="11"/>
  <c r="R302" i="11"/>
  <c r="S302" i="11"/>
  <c r="T302" i="11"/>
  <c r="U302" i="11"/>
  <c r="V302" i="11"/>
  <c r="W302" i="11"/>
  <c r="X302" i="11"/>
  <c r="Y302" i="11"/>
  <c r="Z302" i="11"/>
  <c r="AA302" i="11"/>
  <c r="AB302" i="11"/>
  <c r="AC302" i="11"/>
  <c r="AD302" i="11"/>
  <c r="AE302" i="11"/>
  <c r="AF302" i="11"/>
  <c r="AG302" i="11"/>
  <c r="AH302" i="11"/>
  <c r="AI302" i="11"/>
  <c r="AJ302" i="11"/>
  <c r="AK302" i="11"/>
  <c r="AL302" i="11"/>
  <c r="AM302" i="11"/>
  <c r="AN302" i="11"/>
  <c r="AO302" i="11"/>
  <c r="AP302" i="11"/>
  <c r="AQ302" i="11"/>
  <c r="AR302" i="11"/>
  <c r="AS302" i="11"/>
  <c r="AT302" i="11"/>
  <c r="AU302" i="11"/>
  <c r="AV302" i="11"/>
  <c r="AW302" i="11"/>
  <c r="AX302" i="11"/>
  <c r="AY302" i="11"/>
  <c r="AZ302" i="11"/>
  <c r="BA302" i="11"/>
  <c r="BB302" i="11"/>
  <c r="BC302" i="11"/>
  <c r="BD302" i="11"/>
  <c r="BE302" i="11"/>
  <c r="BF302" i="11"/>
  <c r="BG302" i="11"/>
  <c r="BH302" i="11"/>
  <c r="BI302" i="11"/>
  <c r="BJ302" i="11"/>
  <c r="BK302" i="11"/>
  <c r="BL302" i="11"/>
  <c r="BM302" i="11"/>
  <c r="BN302" i="11"/>
  <c r="BO302" i="11"/>
  <c r="BP302" i="11"/>
  <c r="BQ302" i="11"/>
  <c r="BR302" i="11"/>
  <c r="BS302" i="11"/>
  <c r="BT302" i="11"/>
  <c r="BU302" i="11"/>
  <c r="BV302" i="11"/>
  <c r="BW302" i="11"/>
  <c r="BX302" i="11"/>
  <c r="BY302" i="11"/>
  <c r="BZ302" i="11"/>
  <c r="CB302" i="11"/>
  <c r="U472" i="11"/>
  <c r="V472" i="11"/>
  <c r="CE140" i="11"/>
  <c r="CF140" i="11"/>
  <c r="CG140" i="11"/>
  <c r="W472" i="11"/>
  <c r="CA302" i="11"/>
  <c r="CE302" i="11"/>
  <c r="CF302" i="11"/>
  <c r="CG302" i="11"/>
  <c r="X472" i="11"/>
  <c r="Y472" i="11"/>
  <c r="CC302" i="11"/>
  <c r="CD302" i="11"/>
  <c r="Z472" i="11"/>
  <c r="CO140" i="11"/>
  <c r="AA472" i="11"/>
  <c r="CP140" i="11"/>
  <c r="AB472" i="11"/>
  <c r="CQ140" i="11"/>
  <c r="AC472" i="11"/>
  <c r="AD472" i="11"/>
  <c r="CV140" i="11"/>
  <c r="AE472" i="11"/>
  <c r="CW140" i="11"/>
  <c r="AF472" i="11"/>
  <c r="CX140" i="11"/>
  <c r="AG472" i="11"/>
  <c r="AH472" i="11"/>
  <c r="A473" i="11"/>
  <c r="B473" i="11"/>
  <c r="D142" i="10"/>
  <c r="C473" i="11"/>
  <c r="D473" i="11"/>
  <c r="U142" i="10"/>
  <c r="E473" i="11"/>
  <c r="F473" i="11"/>
  <c r="G473" i="11"/>
  <c r="H473" i="11"/>
  <c r="I473" i="11"/>
  <c r="J473" i="11"/>
  <c r="K473" i="11"/>
  <c r="L473" i="11"/>
  <c r="P473" i="11"/>
  <c r="Q473" i="11"/>
  <c r="R473" i="11"/>
  <c r="S473" i="11"/>
  <c r="T473" i="11"/>
  <c r="C303" i="11"/>
  <c r="D303" i="11"/>
  <c r="E303" i="11"/>
  <c r="L303" i="11"/>
  <c r="G303" i="11"/>
  <c r="H303" i="11"/>
  <c r="I303" i="11"/>
  <c r="AB303" i="11"/>
  <c r="B303" i="11"/>
  <c r="F303" i="11"/>
  <c r="J303" i="11"/>
  <c r="K303" i="11"/>
  <c r="M303" i="11"/>
  <c r="N303" i="11"/>
  <c r="O303" i="11"/>
  <c r="P303" i="11"/>
  <c r="Q303" i="11"/>
  <c r="R303" i="11"/>
  <c r="S303" i="11"/>
  <c r="T303" i="11"/>
  <c r="U303" i="11"/>
  <c r="V303" i="11"/>
  <c r="W303" i="11"/>
  <c r="X303" i="11"/>
  <c r="Y303" i="11"/>
  <c r="Z303" i="11"/>
  <c r="AA303" i="11"/>
  <c r="AC303" i="11"/>
  <c r="AD303" i="11"/>
  <c r="AE303" i="11"/>
  <c r="AF303" i="11"/>
  <c r="AG303" i="11"/>
  <c r="AH303" i="11"/>
  <c r="AI303" i="11"/>
  <c r="AJ303" i="11"/>
  <c r="AK303" i="11"/>
  <c r="AL303" i="11"/>
  <c r="AM303" i="11"/>
  <c r="AN303" i="11"/>
  <c r="AO303" i="11"/>
  <c r="AP303" i="11"/>
  <c r="AQ303" i="11"/>
  <c r="AR303" i="11"/>
  <c r="AS303" i="11"/>
  <c r="AT303" i="11"/>
  <c r="AU303" i="11"/>
  <c r="AV303" i="11"/>
  <c r="AW303" i="11"/>
  <c r="AX303" i="11"/>
  <c r="AY303" i="11"/>
  <c r="AZ303" i="11"/>
  <c r="BA303" i="11"/>
  <c r="BB303" i="11"/>
  <c r="BC303" i="11"/>
  <c r="BD303" i="11"/>
  <c r="BE303" i="11"/>
  <c r="BF303" i="11"/>
  <c r="BG303" i="11"/>
  <c r="BH303" i="11"/>
  <c r="BI303" i="11"/>
  <c r="BJ303" i="11"/>
  <c r="BK303" i="11"/>
  <c r="BL303" i="11"/>
  <c r="BM303" i="11"/>
  <c r="BN303" i="11"/>
  <c r="BO303" i="11"/>
  <c r="BP303" i="11"/>
  <c r="BQ303" i="11"/>
  <c r="BR303" i="11"/>
  <c r="BS303" i="11"/>
  <c r="BT303" i="11"/>
  <c r="BU303" i="11"/>
  <c r="BV303" i="11"/>
  <c r="BW303" i="11"/>
  <c r="BX303" i="11"/>
  <c r="BY303" i="11"/>
  <c r="BZ303" i="11"/>
  <c r="CB303" i="11"/>
  <c r="U473" i="11"/>
  <c r="V473" i="11"/>
  <c r="CE141" i="11"/>
  <c r="CF141" i="11"/>
  <c r="CG141" i="11"/>
  <c r="W473" i="11"/>
  <c r="CA303" i="11"/>
  <c r="CE303" i="11"/>
  <c r="CF303" i="11"/>
  <c r="CG303" i="11"/>
  <c r="X473" i="11"/>
  <c r="Y473" i="11"/>
  <c r="CC303" i="11"/>
  <c r="CD303" i="11"/>
  <c r="Z473" i="11"/>
  <c r="CO141" i="11"/>
  <c r="AA473" i="11"/>
  <c r="CP141" i="11"/>
  <c r="AB473" i="11"/>
  <c r="CQ141" i="11"/>
  <c r="AC473" i="11"/>
  <c r="AD473" i="11"/>
  <c r="CV141" i="11"/>
  <c r="AE473" i="11"/>
  <c r="CW141" i="11"/>
  <c r="AF473" i="11"/>
  <c r="CX141" i="11"/>
  <c r="AG473" i="11"/>
  <c r="AH473" i="11"/>
  <c r="A474" i="11"/>
  <c r="B474" i="11"/>
  <c r="D143" i="10"/>
  <c r="C474" i="11"/>
  <c r="D474" i="11"/>
  <c r="U143" i="10"/>
  <c r="E474" i="11"/>
  <c r="F474" i="11"/>
  <c r="G474" i="11"/>
  <c r="H474" i="11"/>
  <c r="I474" i="11"/>
  <c r="J474" i="11"/>
  <c r="K474" i="11"/>
  <c r="L474" i="11"/>
  <c r="P474" i="11"/>
  <c r="Q474" i="11"/>
  <c r="R474" i="11"/>
  <c r="S474" i="11"/>
  <c r="T474" i="11"/>
  <c r="C304" i="11"/>
  <c r="D304" i="11"/>
  <c r="E304" i="11"/>
  <c r="L304" i="11"/>
  <c r="G304" i="11"/>
  <c r="H304" i="11"/>
  <c r="I304" i="11"/>
  <c r="AB304" i="11"/>
  <c r="B304" i="11"/>
  <c r="F304" i="11"/>
  <c r="J304" i="11"/>
  <c r="K304" i="11"/>
  <c r="M304" i="11"/>
  <c r="N304" i="11"/>
  <c r="O304" i="11"/>
  <c r="P304" i="11"/>
  <c r="Q304" i="11"/>
  <c r="R304" i="11"/>
  <c r="S304" i="11"/>
  <c r="T304" i="11"/>
  <c r="U304" i="11"/>
  <c r="V304" i="11"/>
  <c r="W304" i="11"/>
  <c r="X304" i="11"/>
  <c r="Y304" i="11"/>
  <c r="Z304" i="11"/>
  <c r="AA304" i="11"/>
  <c r="AC304" i="11"/>
  <c r="AD304" i="11"/>
  <c r="AE304" i="11"/>
  <c r="AF304" i="11"/>
  <c r="AG304" i="11"/>
  <c r="AH304" i="11"/>
  <c r="AI304" i="11"/>
  <c r="AJ304" i="11"/>
  <c r="AK304" i="11"/>
  <c r="AL304" i="11"/>
  <c r="AM304" i="11"/>
  <c r="AN304" i="11"/>
  <c r="AO304" i="11"/>
  <c r="AP304" i="11"/>
  <c r="AQ304" i="11"/>
  <c r="AR304" i="11"/>
  <c r="AS304" i="11"/>
  <c r="AT304" i="11"/>
  <c r="AU304" i="11"/>
  <c r="AV304" i="11"/>
  <c r="AW304" i="11"/>
  <c r="AX304" i="11"/>
  <c r="AY304" i="11"/>
  <c r="AZ304" i="11"/>
  <c r="BA304" i="11"/>
  <c r="BB304" i="11"/>
  <c r="BC304" i="11"/>
  <c r="BD304" i="11"/>
  <c r="BE304" i="11"/>
  <c r="BF304" i="11"/>
  <c r="BG304" i="11"/>
  <c r="BH304" i="11"/>
  <c r="BI304" i="11"/>
  <c r="BJ304" i="11"/>
  <c r="BK304" i="11"/>
  <c r="BL304" i="11"/>
  <c r="BM304" i="11"/>
  <c r="BN304" i="11"/>
  <c r="BO304" i="11"/>
  <c r="BP304" i="11"/>
  <c r="BQ304" i="11"/>
  <c r="BR304" i="11"/>
  <c r="BS304" i="11"/>
  <c r="BT304" i="11"/>
  <c r="BU304" i="11"/>
  <c r="BV304" i="11"/>
  <c r="BW304" i="11"/>
  <c r="BX304" i="11"/>
  <c r="BY304" i="11"/>
  <c r="BZ304" i="11"/>
  <c r="CB304" i="11"/>
  <c r="U474" i="11"/>
  <c r="V474" i="11"/>
  <c r="CE142" i="11"/>
  <c r="CF142" i="11"/>
  <c r="CG142" i="11"/>
  <c r="W474" i="11"/>
  <c r="CA304" i="11"/>
  <c r="CE304" i="11"/>
  <c r="CF304" i="11"/>
  <c r="CG304" i="11"/>
  <c r="X474" i="11"/>
  <c r="Y474" i="11"/>
  <c r="CC304" i="11"/>
  <c r="CD304" i="11"/>
  <c r="Z474" i="11"/>
  <c r="CO142" i="11"/>
  <c r="AA474" i="11"/>
  <c r="CP142" i="11"/>
  <c r="AB474" i="11"/>
  <c r="CQ142" i="11"/>
  <c r="AC474" i="11"/>
  <c r="AD474" i="11"/>
  <c r="CV142" i="11"/>
  <c r="AE474" i="11"/>
  <c r="CW142" i="11"/>
  <c r="AF474" i="11"/>
  <c r="CX142" i="11"/>
  <c r="AG474" i="11"/>
  <c r="AH474" i="11"/>
  <c r="A475" i="11"/>
  <c r="B475" i="11"/>
  <c r="D144" i="10"/>
  <c r="C475" i="11"/>
  <c r="D475" i="11"/>
  <c r="U144" i="10"/>
  <c r="E475" i="11"/>
  <c r="F475" i="11"/>
  <c r="G475" i="11"/>
  <c r="H475" i="11"/>
  <c r="I475" i="11"/>
  <c r="J475" i="11"/>
  <c r="K475" i="11"/>
  <c r="L475" i="11"/>
  <c r="P475" i="11"/>
  <c r="Q475" i="11"/>
  <c r="R475" i="11"/>
  <c r="S475" i="11"/>
  <c r="T475" i="11"/>
  <c r="C305" i="11"/>
  <c r="D305" i="11"/>
  <c r="E305" i="11"/>
  <c r="L305" i="11"/>
  <c r="G305" i="11"/>
  <c r="H305" i="11"/>
  <c r="I305" i="11"/>
  <c r="AB305" i="11"/>
  <c r="B305" i="11"/>
  <c r="F305" i="11"/>
  <c r="J305" i="11"/>
  <c r="K305" i="11"/>
  <c r="M305" i="11"/>
  <c r="N305" i="11"/>
  <c r="O305" i="11"/>
  <c r="P305" i="11"/>
  <c r="Q305" i="11"/>
  <c r="R305" i="11"/>
  <c r="S305" i="11"/>
  <c r="T305" i="11"/>
  <c r="U305" i="11"/>
  <c r="V305" i="11"/>
  <c r="W305" i="11"/>
  <c r="X305" i="11"/>
  <c r="Y305" i="11"/>
  <c r="Z305" i="11"/>
  <c r="AA305" i="11"/>
  <c r="AC305" i="11"/>
  <c r="AD305" i="11"/>
  <c r="AE305" i="11"/>
  <c r="AF305" i="11"/>
  <c r="AG305" i="11"/>
  <c r="AH305" i="11"/>
  <c r="AI305" i="11"/>
  <c r="AJ305" i="11"/>
  <c r="AK305" i="11"/>
  <c r="AL305" i="11"/>
  <c r="AM305" i="11"/>
  <c r="AN305" i="11"/>
  <c r="AO305" i="11"/>
  <c r="AP305" i="11"/>
  <c r="AQ305" i="11"/>
  <c r="AR305" i="11"/>
  <c r="AS305" i="11"/>
  <c r="AT305" i="11"/>
  <c r="AU305" i="11"/>
  <c r="AV305" i="11"/>
  <c r="AW305" i="11"/>
  <c r="AX305" i="11"/>
  <c r="AY305" i="11"/>
  <c r="AZ305" i="11"/>
  <c r="BA305" i="11"/>
  <c r="BB305" i="11"/>
  <c r="BC305" i="11"/>
  <c r="BD305" i="11"/>
  <c r="BE305" i="11"/>
  <c r="BF305" i="11"/>
  <c r="BG305" i="11"/>
  <c r="BH305" i="11"/>
  <c r="BI305" i="11"/>
  <c r="BJ305" i="11"/>
  <c r="BK305" i="11"/>
  <c r="BL305" i="11"/>
  <c r="BM305" i="11"/>
  <c r="BN305" i="11"/>
  <c r="BO305" i="11"/>
  <c r="BP305" i="11"/>
  <c r="BQ305" i="11"/>
  <c r="BR305" i="11"/>
  <c r="BS305" i="11"/>
  <c r="BT305" i="11"/>
  <c r="BU305" i="11"/>
  <c r="BV305" i="11"/>
  <c r="BW305" i="11"/>
  <c r="BX305" i="11"/>
  <c r="BY305" i="11"/>
  <c r="BZ305" i="11"/>
  <c r="CB305" i="11"/>
  <c r="U475" i="11"/>
  <c r="V475" i="11"/>
  <c r="CE143" i="11"/>
  <c r="CF143" i="11"/>
  <c r="CG143" i="11"/>
  <c r="W475" i="11"/>
  <c r="CA305" i="11"/>
  <c r="CE305" i="11"/>
  <c r="CF305" i="11"/>
  <c r="CG305" i="11"/>
  <c r="X475" i="11"/>
  <c r="Y475" i="11"/>
  <c r="CC305" i="11"/>
  <c r="CD305" i="11"/>
  <c r="Z475" i="11"/>
  <c r="CO143" i="11"/>
  <c r="AA475" i="11"/>
  <c r="CP143" i="11"/>
  <c r="AB475" i="11"/>
  <c r="AC475" i="11"/>
  <c r="AD475" i="11"/>
  <c r="CV143" i="11"/>
  <c r="AE475" i="11"/>
  <c r="CW143" i="11"/>
  <c r="AF475" i="11"/>
  <c r="AG475" i="11"/>
  <c r="AH475" i="11"/>
  <c r="A476" i="11"/>
  <c r="B476" i="11"/>
  <c r="D145" i="10"/>
  <c r="C476" i="11"/>
  <c r="D476" i="11"/>
  <c r="U145" i="10"/>
  <c r="E476" i="11"/>
  <c r="F476" i="11"/>
  <c r="G476" i="11"/>
  <c r="H476" i="11"/>
  <c r="I476" i="11"/>
  <c r="J476" i="11"/>
  <c r="K476" i="11"/>
  <c r="L476" i="11"/>
  <c r="P476" i="11"/>
  <c r="Q476" i="11"/>
  <c r="R476" i="11"/>
  <c r="S476" i="11"/>
  <c r="T476" i="11"/>
  <c r="C306" i="11"/>
  <c r="D306" i="11"/>
  <c r="E306" i="11"/>
  <c r="L306" i="11"/>
  <c r="G306" i="11"/>
  <c r="H306" i="11"/>
  <c r="I306" i="11"/>
  <c r="AB306" i="11"/>
  <c r="B306" i="11"/>
  <c r="F306" i="11"/>
  <c r="J306" i="11"/>
  <c r="K306" i="11"/>
  <c r="M306" i="11"/>
  <c r="N306" i="11"/>
  <c r="O306" i="11"/>
  <c r="P306" i="11"/>
  <c r="Q306" i="11"/>
  <c r="R306" i="11"/>
  <c r="S306" i="11"/>
  <c r="T306" i="11"/>
  <c r="U306" i="11"/>
  <c r="V306" i="11"/>
  <c r="W306" i="11"/>
  <c r="X306" i="11"/>
  <c r="Y306" i="11"/>
  <c r="Z306" i="11"/>
  <c r="AA306" i="11"/>
  <c r="AC306" i="11"/>
  <c r="AD306" i="11"/>
  <c r="AE306" i="11"/>
  <c r="AF306" i="11"/>
  <c r="AG306" i="11"/>
  <c r="AH306" i="11"/>
  <c r="AI306" i="11"/>
  <c r="AJ306" i="11"/>
  <c r="AK306" i="11"/>
  <c r="AL306" i="11"/>
  <c r="AM306" i="11"/>
  <c r="AN306" i="11"/>
  <c r="AO306" i="11"/>
  <c r="AP306" i="11"/>
  <c r="AQ306" i="11"/>
  <c r="AR306" i="11"/>
  <c r="AS306" i="11"/>
  <c r="AT306" i="11"/>
  <c r="AU306" i="11"/>
  <c r="AV306" i="11"/>
  <c r="AW306" i="11"/>
  <c r="AX306" i="11"/>
  <c r="AY306" i="11"/>
  <c r="AZ306" i="11"/>
  <c r="BA306" i="11"/>
  <c r="BB306" i="11"/>
  <c r="BC306" i="11"/>
  <c r="BD306" i="11"/>
  <c r="BE306" i="11"/>
  <c r="BF306" i="11"/>
  <c r="BG306" i="11"/>
  <c r="BH306" i="11"/>
  <c r="BI306" i="11"/>
  <c r="BJ306" i="11"/>
  <c r="BK306" i="11"/>
  <c r="BL306" i="11"/>
  <c r="BM306" i="11"/>
  <c r="BN306" i="11"/>
  <c r="BO306" i="11"/>
  <c r="BP306" i="11"/>
  <c r="BQ306" i="11"/>
  <c r="BR306" i="11"/>
  <c r="BS306" i="11"/>
  <c r="BT306" i="11"/>
  <c r="BU306" i="11"/>
  <c r="BV306" i="11"/>
  <c r="BW306" i="11"/>
  <c r="BX306" i="11"/>
  <c r="BY306" i="11"/>
  <c r="BZ306" i="11"/>
  <c r="CB306" i="11"/>
  <c r="U476" i="11"/>
  <c r="V476" i="11"/>
  <c r="CE144" i="11"/>
  <c r="CF144" i="11"/>
  <c r="CG144" i="11"/>
  <c r="W476" i="11"/>
  <c r="CA306" i="11"/>
  <c r="CE306" i="11"/>
  <c r="CF306" i="11"/>
  <c r="CG306" i="11"/>
  <c r="X476" i="11"/>
  <c r="Y476" i="11"/>
  <c r="CC306" i="11"/>
  <c r="CD306" i="11"/>
  <c r="Z476" i="11"/>
  <c r="CO144" i="11"/>
  <c r="AA476" i="11"/>
  <c r="CP144" i="11"/>
  <c r="AB476" i="11"/>
  <c r="AC476" i="11"/>
  <c r="AD476" i="11"/>
  <c r="CV144" i="11"/>
  <c r="AE476" i="11"/>
  <c r="CW144" i="11"/>
  <c r="AF476" i="11"/>
  <c r="AG476" i="11"/>
  <c r="AH476" i="11"/>
  <c r="A477" i="11"/>
  <c r="B477" i="11"/>
  <c r="D146" i="10"/>
  <c r="C477" i="11"/>
  <c r="D477" i="11"/>
  <c r="U146" i="10"/>
  <c r="E477" i="11"/>
  <c r="F477" i="11"/>
  <c r="G477" i="11"/>
  <c r="H477" i="11"/>
  <c r="I477" i="11"/>
  <c r="J477" i="11"/>
  <c r="K477" i="11"/>
  <c r="L477" i="11"/>
  <c r="P477" i="11"/>
  <c r="Q477" i="11"/>
  <c r="R477" i="11"/>
  <c r="S477" i="11"/>
  <c r="T477" i="11"/>
  <c r="C307" i="11"/>
  <c r="D307" i="11"/>
  <c r="E307" i="11"/>
  <c r="L307" i="11"/>
  <c r="G307" i="11"/>
  <c r="H307" i="11"/>
  <c r="I307" i="11"/>
  <c r="AB307" i="11"/>
  <c r="B307" i="11"/>
  <c r="F307" i="11"/>
  <c r="J307" i="11"/>
  <c r="K307" i="11"/>
  <c r="M307" i="11"/>
  <c r="N307" i="11"/>
  <c r="O307" i="11"/>
  <c r="P307" i="11"/>
  <c r="Q307" i="11"/>
  <c r="R307" i="11"/>
  <c r="S307" i="11"/>
  <c r="T307" i="11"/>
  <c r="U307" i="11"/>
  <c r="V307" i="11"/>
  <c r="W307" i="11"/>
  <c r="X307" i="11"/>
  <c r="Y307" i="11"/>
  <c r="Z307" i="11"/>
  <c r="AA307" i="11"/>
  <c r="AC307" i="11"/>
  <c r="AD307" i="11"/>
  <c r="AE307" i="11"/>
  <c r="AF307" i="11"/>
  <c r="AG307" i="11"/>
  <c r="AH307" i="11"/>
  <c r="AI307" i="11"/>
  <c r="AJ307" i="11"/>
  <c r="AK307" i="11"/>
  <c r="AL307" i="11"/>
  <c r="AM307" i="11"/>
  <c r="AN307" i="11"/>
  <c r="AO307" i="11"/>
  <c r="AP307" i="11"/>
  <c r="AQ307" i="11"/>
  <c r="AR307" i="11"/>
  <c r="AS307" i="11"/>
  <c r="AT307" i="11"/>
  <c r="AU307" i="11"/>
  <c r="AV307" i="11"/>
  <c r="AW307" i="11"/>
  <c r="AX307" i="11"/>
  <c r="AY307" i="11"/>
  <c r="AZ307" i="11"/>
  <c r="BA307" i="11"/>
  <c r="BB307" i="11"/>
  <c r="BC307" i="11"/>
  <c r="BD307" i="11"/>
  <c r="BE307" i="11"/>
  <c r="BF307" i="11"/>
  <c r="BG307" i="11"/>
  <c r="BH307" i="11"/>
  <c r="BI307" i="11"/>
  <c r="BJ307" i="11"/>
  <c r="BK307" i="11"/>
  <c r="BL307" i="11"/>
  <c r="BM307" i="11"/>
  <c r="BN307" i="11"/>
  <c r="BO307" i="11"/>
  <c r="BP307" i="11"/>
  <c r="BQ307" i="11"/>
  <c r="BR307" i="11"/>
  <c r="BS307" i="11"/>
  <c r="BT307" i="11"/>
  <c r="BU307" i="11"/>
  <c r="BV307" i="11"/>
  <c r="BW307" i="11"/>
  <c r="BX307" i="11"/>
  <c r="BY307" i="11"/>
  <c r="BZ307" i="11"/>
  <c r="CB307" i="11"/>
  <c r="U477" i="11"/>
  <c r="V477" i="11"/>
  <c r="CE145" i="11"/>
  <c r="CF145" i="11"/>
  <c r="CG145" i="11"/>
  <c r="W477" i="11"/>
  <c r="CA307" i="11"/>
  <c r="CE307" i="11"/>
  <c r="CF307" i="11"/>
  <c r="CG307" i="11"/>
  <c r="X477" i="11"/>
  <c r="Y477" i="11"/>
  <c r="CC307" i="11"/>
  <c r="CD307" i="11"/>
  <c r="Z477" i="11"/>
  <c r="CO145" i="11"/>
  <c r="AA477" i="11"/>
  <c r="CP145" i="11"/>
  <c r="AB477" i="11"/>
  <c r="AC477" i="11"/>
  <c r="AD477" i="11"/>
  <c r="CV145" i="11"/>
  <c r="AE477" i="11"/>
  <c r="CW145" i="11"/>
  <c r="AF477" i="11"/>
  <c r="AG477" i="11"/>
  <c r="AH477" i="11"/>
  <c r="A478" i="11"/>
  <c r="B478" i="11"/>
  <c r="D147" i="10"/>
  <c r="C478" i="11"/>
  <c r="D478" i="11"/>
  <c r="U147" i="10"/>
  <c r="E478" i="11"/>
  <c r="F478" i="11"/>
  <c r="G478" i="11"/>
  <c r="H478" i="11"/>
  <c r="I478" i="11"/>
  <c r="J478" i="11"/>
  <c r="K478" i="11"/>
  <c r="L478" i="11"/>
  <c r="P478" i="11"/>
  <c r="Q478" i="11"/>
  <c r="R478" i="11"/>
  <c r="S478" i="11"/>
  <c r="T478" i="11"/>
  <c r="C308" i="11"/>
  <c r="D308" i="11"/>
  <c r="E308" i="11"/>
  <c r="L308" i="11"/>
  <c r="G308" i="11"/>
  <c r="H308" i="11"/>
  <c r="I308" i="11"/>
  <c r="AB308" i="11"/>
  <c r="B308" i="11"/>
  <c r="F308" i="11"/>
  <c r="J308" i="11"/>
  <c r="K308" i="11"/>
  <c r="M308" i="11"/>
  <c r="N308" i="11"/>
  <c r="O308" i="11"/>
  <c r="P308" i="11"/>
  <c r="Q308" i="11"/>
  <c r="R308" i="11"/>
  <c r="S308" i="11"/>
  <c r="T308" i="11"/>
  <c r="U308" i="11"/>
  <c r="V308" i="11"/>
  <c r="W308" i="11"/>
  <c r="X308" i="11"/>
  <c r="Y308" i="11"/>
  <c r="Z308" i="11"/>
  <c r="AA308" i="11"/>
  <c r="AC308" i="11"/>
  <c r="AD308" i="11"/>
  <c r="AE308" i="11"/>
  <c r="AF308" i="11"/>
  <c r="AG308" i="11"/>
  <c r="AH308" i="11"/>
  <c r="AI308" i="11"/>
  <c r="AJ308" i="11"/>
  <c r="AK308" i="11"/>
  <c r="AL308" i="11"/>
  <c r="AM308" i="11"/>
  <c r="AN308" i="11"/>
  <c r="AO308" i="11"/>
  <c r="AP308" i="11"/>
  <c r="AQ308" i="11"/>
  <c r="AR308" i="11"/>
  <c r="AS308" i="11"/>
  <c r="AT308" i="11"/>
  <c r="AU308" i="11"/>
  <c r="AV308" i="11"/>
  <c r="AW308" i="11"/>
  <c r="AX308" i="11"/>
  <c r="AY308" i="11"/>
  <c r="AZ308" i="11"/>
  <c r="BA308" i="11"/>
  <c r="BB308" i="11"/>
  <c r="BC308" i="11"/>
  <c r="BD308" i="11"/>
  <c r="BE308" i="11"/>
  <c r="BF308" i="11"/>
  <c r="BG308" i="11"/>
  <c r="BH308" i="11"/>
  <c r="BI308" i="11"/>
  <c r="BJ308" i="11"/>
  <c r="BK308" i="11"/>
  <c r="BL308" i="11"/>
  <c r="BM308" i="11"/>
  <c r="BN308" i="11"/>
  <c r="BO308" i="11"/>
  <c r="BP308" i="11"/>
  <c r="BQ308" i="11"/>
  <c r="BR308" i="11"/>
  <c r="BS308" i="11"/>
  <c r="BT308" i="11"/>
  <c r="BU308" i="11"/>
  <c r="BV308" i="11"/>
  <c r="BW308" i="11"/>
  <c r="BX308" i="11"/>
  <c r="BY308" i="11"/>
  <c r="BZ308" i="11"/>
  <c r="CB308" i="11"/>
  <c r="U478" i="11"/>
  <c r="V478" i="11"/>
  <c r="CE146" i="11"/>
  <c r="CF146" i="11"/>
  <c r="CG146" i="11"/>
  <c r="W478" i="11"/>
  <c r="CA308" i="11"/>
  <c r="CE308" i="11"/>
  <c r="CF308" i="11"/>
  <c r="CG308" i="11"/>
  <c r="X478" i="11"/>
  <c r="Y478" i="11"/>
  <c r="CC308" i="11"/>
  <c r="CD308" i="11"/>
  <c r="Z478" i="11"/>
  <c r="CO146" i="11"/>
  <c r="AA478" i="11"/>
  <c r="CP146" i="11"/>
  <c r="AB478" i="11"/>
  <c r="AC478" i="11"/>
  <c r="AD478" i="11"/>
  <c r="CV146" i="11"/>
  <c r="AE478" i="11"/>
  <c r="CW146" i="11"/>
  <c r="AF478" i="11"/>
  <c r="AG478" i="11"/>
  <c r="AH478" i="11"/>
  <c r="A479" i="11"/>
  <c r="B479" i="11"/>
  <c r="D148" i="10"/>
  <c r="C479" i="11"/>
  <c r="D479" i="11"/>
  <c r="U148" i="10"/>
  <c r="E479" i="11"/>
  <c r="F479" i="11"/>
  <c r="G479" i="11"/>
  <c r="H479" i="11"/>
  <c r="I479" i="11"/>
  <c r="J479" i="11"/>
  <c r="K479" i="11"/>
  <c r="L479" i="11"/>
  <c r="P479" i="11"/>
  <c r="Q479" i="11"/>
  <c r="R479" i="11"/>
  <c r="S479" i="11"/>
  <c r="T479" i="11"/>
  <c r="C309" i="11"/>
  <c r="D309" i="11"/>
  <c r="E309" i="11"/>
  <c r="L309" i="11"/>
  <c r="G309" i="11"/>
  <c r="H309" i="11"/>
  <c r="I309" i="11"/>
  <c r="AB309" i="11"/>
  <c r="B309" i="11"/>
  <c r="F309" i="11"/>
  <c r="J309" i="11"/>
  <c r="K309" i="11"/>
  <c r="M309" i="11"/>
  <c r="N309" i="11"/>
  <c r="O309" i="11"/>
  <c r="P309" i="11"/>
  <c r="Q309" i="11"/>
  <c r="R309" i="11"/>
  <c r="S309" i="11"/>
  <c r="T309" i="11"/>
  <c r="U309" i="11"/>
  <c r="V309" i="11"/>
  <c r="W309" i="11"/>
  <c r="X309" i="11"/>
  <c r="Y309" i="11"/>
  <c r="Z309" i="11"/>
  <c r="AA309" i="11"/>
  <c r="AC309" i="11"/>
  <c r="AD309" i="11"/>
  <c r="AE309" i="11"/>
  <c r="AF309" i="11"/>
  <c r="AG309" i="11"/>
  <c r="AH309" i="11"/>
  <c r="AI309" i="11"/>
  <c r="AJ309" i="11"/>
  <c r="AK309" i="11"/>
  <c r="AL309" i="11"/>
  <c r="AM309" i="11"/>
  <c r="AN309" i="11"/>
  <c r="AO309" i="11"/>
  <c r="AP309" i="11"/>
  <c r="AQ309" i="11"/>
  <c r="AR309" i="11"/>
  <c r="AS309" i="11"/>
  <c r="AT309" i="11"/>
  <c r="AU309" i="11"/>
  <c r="AV309" i="11"/>
  <c r="AW309" i="11"/>
  <c r="AX309" i="11"/>
  <c r="AY309" i="11"/>
  <c r="AZ309" i="11"/>
  <c r="BA309" i="11"/>
  <c r="BB309" i="11"/>
  <c r="BC309" i="11"/>
  <c r="BD309" i="11"/>
  <c r="BE309" i="11"/>
  <c r="BF309" i="11"/>
  <c r="BG309" i="11"/>
  <c r="BH309" i="11"/>
  <c r="BI309" i="11"/>
  <c r="BJ309" i="11"/>
  <c r="BK309" i="11"/>
  <c r="BL309" i="11"/>
  <c r="BM309" i="11"/>
  <c r="BN309" i="11"/>
  <c r="BO309" i="11"/>
  <c r="BP309" i="11"/>
  <c r="BQ309" i="11"/>
  <c r="BR309" i="11"/>
  <c r="BS309" i="11"/>
  <c r="BT309" i="11"/>
  <c r="BU309" i="11"/>
  <c r="BV309" i="11"/>
  <c r="BW309" i="11"/>
  <c r="BX309" i="11"/>
  <c r="BY309" i="11"/>
  <c r="BZ309" i="11"/>
  <c r="CB309" i="11"/>
  <c r="U479" i="11"/>
  <c r="V479" i="11"/>
  <c r="CE147" i="11"/>
  <c r="CF147" i="11"/>
  <c r="CG147" i="11"/>
  <c r="W479" i="11"/>
  <c r="CA309" i="11"/>
  <c r="CE309" i="11"/>
  <c r="CF309" i="11"/>
  <c r="CG309" i="11"/>
  <c r="X479" i="11"/>
  <c r="Y479" i="11"/>
  <c r="CC309" i="11"/>
  <c r="CD309" i="11"/>
  <c r="Z479" i="11"/>
  <c r="CO147" i="11"/>
  <c r="AA479" i="11"/>
  <c r="CP147" i="11"/>
  <c r="AB479" i="11"/>
  <c r="AC479" i="11"/>
  <c r="AD479" i="11"/>
  <c r="CV147" i="11"/>
  <c r="AE479" i="11"/>
  <c r="CW147" i="11"/>
  <c r="AF479" i="11"/>
  <c r="AG479" i="11"/>
  <c r="AH479" i="11"/>
  <c r="A480" i="11"/>
  <c r="B480" i="11"/>
  <c r="D149" i="10"/>
  <c r="C480" i="11"/>
  <c r="D480" i="11"/>
  <c r="U149" i="10"/>
  <c r="E480" i="11"/>
  <c r="F480" i="11"/>
  <c r="G480" i="11"/>
  <c r="H480" i="11"/>
  <c r="I480" i="11"/>
  <c r="J480" i="11"/>
  <c r="K480" i="11"/>
  <c r="L480" i="11"/>
  <c r="P480" i="11"/>
  <c r="Q480" i="11"/>
  <c r="R480" i="11"/>
  <c r="S480" i="11"/>
  <c r="T480" i="11"/>
  <c r="C310" i="11"/>
  <c r="D310" i="11"/>
  <c r="E310" i="11"/>
  <c r="L310" i="11"/>
  <c r="G310" i="11"/>
  <c r="H310" i="11"/>
  <c r="I310" i="11"/>
  <c r="AB310" i="11"/>
  <c r="B310" i="11"/>
  <c r="F310" i="11"/>
  <c r="J310" i="11"/>
  <c r="K310" i="11"/>
  <c r="M310" i="11"/>
  <c r="N310" i="11"/>
  <c r="O310" i="11"/>
  <c r="P310" i="11"/>
  <c r="Q310" i="11"/>
  <c r="R310" i="11"/>
  <c r="S310" i="11"/>
  <c r="T310" i="11"/>
  <c r="U310" i="11"/>
  <c r="V310" i="11"/>
  <c r="W310" i="11"/>
  <c r="X310" i="11"/>
  <c r="Y310" i="11"/>
  <c r="Z310" i="11"/>
  <c r="AA310" i="11"/>
  <c r="AC310" i="11"/>
  <c r="AD310" i="11"/>
  <c r="AE310" i="11"/>
  <c r="AF310" i="11"/>
  <c r="AG310" i="11"/>
  <c r="AH310" i="11"/>
  <c r="AI310" i="11"/>
  <c r="AJ310" i="11"/>
  <c r="AK310" i="11"/>
  <c r="AL310" i="11"/>
  <c r="AM310" i="11"/>
  <c r="AN310" i="11"/>
  <c r="AO310" i="11"/>
  <c r="AP310" i="11"/>
  <c r="AQ310" i="11"/>
  <c r="AR310" i="11"/>
  <c r="AS310" i="11"/>
  <c r="AT310" i="11"/>
  <c r="AU310" i="11"/>
  <c r="AV310" i="11"/>
  <c r="AW310" i="11"/>
  <c r="AX310" i="11"/>
  <c r="AY310" i="11"/>
  <c r="AZ310" i="11"/>
  <c r="BA310" i="11"/>
  <c r="BB310" i="11"/>
  <c r="BC310" i="11"/>
  <c r="BD310" i="11"/>
  <c r="BE310" i="11"/>
  <c r="BF310" i="11"/>
  <c r="BG310" i="11"/>
  <c r="BH310" i="11"/>
  <c r="BI310" i="11"/>
  <c r="BJ310" i="11"/>
  <c r="BK310" i="11"/>
  <c r="BL310" i="11"/>
  <c r="BM310" i="11"/>
  <c r="BN310" i="11"/>
  <c r="BO310" i="11"/>
  <c r="BP310" i="11"/>
  <c r="BQ310" i="11"/>
  <c r="BR310" i="11"/>
  <c r="BS310" i="11"/>
  <c r="BT310" i="11"/>
  <c r="BU310" i="11"/>
  <c r="BV310" i="11"/>
  <c r="BW310" i="11"/>
  <c r="BX310" i="11"/>
  <c r="BY310" i="11"/>
  <c r="BZ310" i="11"/>
  <c r="CB310" i="11"/>
  <c r="U480" i="11"/>
  <c r="V480" i="11"/>
  <c r="CE148" i="11"/>
  <c r="CF148" i="11"/>
  <c r="CG148" i="11"/>
  <c r="W480" i="11"/>
  <c r="CA310" i="11"/>
  <c r="CE310" i="11"/>
  <c r="CF310" i="11"/>
  <c r="CG310" i="11"/>
  <c r="X480" i="11"/>
  <c r="Y480" i="11"/>
  <c r="CC310" i="11"/>
  <c r="CD310" i="11"/>
  <c r="Z480" i="11"/>
  <c r="CO148" i="11"/>
  <c r="AA480" i="11"/>
  <c r="AB480" i="11"/>
  <c r="AC480" i="11"/>
  <c r="AD480" i="11"/>
  <c r="CV148" i="11"/>
  <c r="AE480" i="11"/>
  <c r="AF480" i="11"/>
  <c r="AG480" i="11"/>
  <c r="AH480" i="11"/>
  <c r="A481" i="11"/>
  <c r="B481" i="11"/>
  <c r="D150" i="10"/>
  <c r="C481" i="11"/>
  <c r="D481" i="11"/>
  <c r="U150" i="10"/>
  <c r="E481" i="11"/>
  <c r="F481" i="11"/>
  <c r="G481" i="11"/>
  <c r="H481" i="11"/>
  <c r="I481" i="11"/>
  <c r="J481" i="11"/>
  <c r="K481" i="11"/>
  <c r="L481" i="11"/>
  <c r="P481" i="11"/>
  <c r="Q481" i="11"/>
  <c r="R481" i="11"/>
  <c r="S481" i="11"/>
  <c r="T481" i="11"/>
  <c r="C311" i="11"/>
  <c r="D311" i="11"/>
  <c r="E311" i="11"/>
  <c r="L311" i="11"/>
  <c r="G311" i="11"/>
  <c r="H311" i="11"/>
  <c r="I311" i="11"/>
  <c r="AB311" i="11"/>
  <c r="B311" i="11"/>
  <c r="F311" i="11"/>
  <c r="J311" i="11"/>
  <c r="K311" i="11"/>
  <c r="M311" i="11"/>
  <c r="N311" i="11"/>
  <c r="O311" i="11"/>
  <c r="P311" i="11"/>
  <c r="Q311" i="11"/>
  <c r="R311" i="11"/>
  <c r="S311" i="11"/>
  <c r="T311" i="11"/>
  <c r="U311" i="11"/>
  <c r="V311" i="11"/>
  <c r="W311" i="11"/>
  <c r="X311" i="11"/>
  <c r="Y311" i="11"/>
  <c r="Z311" i="11"/>
  <c r="AA311" i="11"/>
  <c r="AC311" i="11"/>
  <c r="AD311" i="11"/>
  <c r="AE311" i="11"/>
  <c r="AF311" i="11"/>
  <c r="AG311" i="11"/>
  <c r="AH311" i="11"/>
  <c r="AI311" i="11"/>
  <c r="AJ311" i="11"/>
  <c r="AK311" i="11"/>
  <c r="AL311" i="11"/>
  <c r="AM311" i="11"/>
  <c r="AN311" i="11"/>
  <c r="AO311" i="11"/>
  <c r="AP311" i="11"/>
  <c r="AQ311" i="11"/>
  <c r="AR311" i="11"/>
  <c r="AS311" i="11"/>
  <c r="AT311" i="11"/>
  <c r="AU311" i="11"/>
  <c r="AV311" i="11"/>
  <c r="AW311" i="11"/>
  <c r="AX311" i="11"/>
  <c r="AY311" i="11"/>
  <c r="AZ311" i="11"/>
  <c r="BA311" i="11"/>
  <c r="BB311" i="11"/>
  <c r="BC311" i="11"/>
  <c r="BD311" i="11"/>
  <c r="BE311" i="11"/>
  <c r="BF311" i="11"/>
  <c r="BG311" i="11"/>
  <c r="BH311" i="11"/>
  <c r="BI311" i="11"/>
  <c r="BJ311" i="11"/>
  <c r="BK311" i="11"/>
  <c r="BL311" i="11"/>
  <c r="BM311" i="11"/>
  <c r="BN311" i="11"/>
  <c r="BO311" i="11"/>
  <c r="BP311" i="11"/>
  <c r="BQ311" i="11"/>
  <c r="BR311" i="11"/>
  <c r="BS311" i="11"/>
  <c r="BT311" i="11"/>
  <c r="BU311" i="11"/>
  <c r="BV311" i="11"/>
  <c r="BW311" i="11"/>
  <c r="BX311" i="11"/>
  <c r="BY311" i="11"/>
  <c r="BZ311" i="11"/>
  <c r="CB311" i="11"/>
  <c r="U481" i="11"/>
  <c r="V481" i="11"/>
  <c r="CE149" i="11"/>
  <c r="CF149" i="11"/>
  <c r="CG149" i="11"/>
  <c r="W481" i="11"/>
  <c r="CA311" i="11"/>
  <c r="CE311" i="11"/>
  <c r="CF311" i="11"/>
  <c r="CG311" i="11"/>
  <c r="X481" i="11"/>
  <c r="Y481" i="11"/>
  <c r="CC311" i="11"/>
  <c r="CD311" i="11"/>
  <c r="Z481" i="11"/>
  <c r="CO149" i="11"/>
  <c r="AA481" i="11"/>
  <c r="AB481" i="11"/>
  <c r="AC481" i="11"/>
  <c r="AD481" i="11"/>
  <c r="CV149" i="11"/>
  <c r="AE481" i="11"/>
  <c r="AF481" i="11"/>
  <c r="AG481" i="11"/>
  <c r="AH481" i="11"/>
  <c r="A482" i="11"/>
  <c r="B482" i="11"/>
  <c r="D151" i="10"/>
  <c r="C482" i="11"/>
  <c r="D482" i="11"/>
  <c r="U151" i="10"/>
  <c r="E482" i="11"/>
  <c r="F482" i="11"/>
  <c r="G482" i="11"/>
  <c r="H482" i="11"/>
  <c r="I482" i="11"/>
  <c r="J482" i="11"/>
  <c r="K482" i="11"/>
  <c r="L482" i="11"/>
  <c r="P482" i="11"/>
  <c r="Q482" i="11"/>
  <c r="R482" i="11"/>
  <c r="S482" i="11"/>
  <c r="T482" i="11"/>
  <c r="C312" i="11"/>
  <c r="D312" i="11"/>
  <c r="E312" i="11"/>
  <c r="L312" i="11"/>
  <c r="G312" i="11"/>
  <c r="H312" i="11"/>
  <c r="I312" i="11"/>
  <c r="AB312" i="11"/>
  <c r="B312" i="11"/>
  <c r="F312" i="11"/>
  <c r="J312" i="11"/>
  <c r="K312" i="11"/>
  <c r="M312" i="11"/>
  <c r="N312" i="11"/>
  <c r="O312" i="11"/>
  <c r="P312" i="11"/>
  <c r="Q312" i="11"/>
  <c r="R312" i="11"/>
  <c r="S312" i="11"/>
  <c r="T312" i="11"/>
  <c r="U312" i="11"/>
  <c r="V312" i="11"/>
  <c r="W312" i="11"/>
  <c r="X312" i="11"/>
  <c r="Y312" i="11"/>
  <c r="Z312" i="11"/>
  <c r="AA312" i="11"/>
  <c r="AC312" i="11"/>
  <c r="AD312" i="11"/>
  <c r="AE312" i="11"/>
  <c r="AF312" i="11"/>
  <c r="AG312" i="11"/>
  <c r="AH312" i="11"/>
  <c r="AI312" i="11"/>
  <c r="AJ312" i="11"/>
  <c r="AK312" i="11"/>
  <c r="AL312" i="11"/>
  <c r="AM312" i="11"/>
  <c r="AN312" i="11"/>
  <c r="AO312" i="11"/>
  <c r="AP312" i="11"/>
  <c r="AQ312" i="11"/>
  <c r="AR312" i="11"/>
  <c r="AS312" i="11"/>
  <c r="AT312" i="11"/>
  <c r="AU312" i="11"/>
  <c r="AV312" i="11"/>
  <c r="AW312" i="11"/>
  <c r="AX312" i="11"/>
  <c r="AY312" i="11"/>
  <c r="AZ312" i="11"/>
  <c r="BA312" i="11"/>
  <c r="BB312" i="11"/>
  <c r="BC312" i="11"/>
  <c r="BD312" i="11"/>
  <c r="BE312" i="11"/>
  <c r="BF312" i="11"/>
  <c r="BG312" i="11"/>
  <c r="BH312" i="11"/>
  <c r="BI312" i="11"/>
  <c r="BJ312" i="11"/>
  <c r="BK312" i="11"/>
  <c r="BL312" i="11"/>
  <c r="BM312" i="11"/>
  <c r="BN312" i="11"/>
  <c r="BO312" i="11"/>
  <c r="BP312" i="11"/>
  <c r="BQ312" i="11"/>
  <c r="BR312" i="11"/>
  <c r="BS312" i="11"/>
  <c r="BT312" i="11"/>
  <c r="BU312" i="11"/>
  <c r="BV312" i="11"/>
  <c r="BW312" i="11"/>
  <c r="BX312" i="11"/>
  <c r="BY312" i="11"/>
  <c r="BZ312" i="11"/>
  <c r="CB312" i="11"/>
  <c r="U482" i="11"/>
  <c r="V482" i="11"/>
  <c r="CE150" i="11"/>
  <c r="CF150" i="11"/>
  <c r="CG150" i="11"/>
  <c r="W482" i="11"/>
  <c r="CA312" i="11"/>
  <c r="CE312" i="11"/>
  <c r="CF312" i="11"/>
  <c r="CG312" i="11"/>
  <c r="X482" i="11"/>
  <c r="Y482" i="11"/>
  <c r="CC312" i="11"/>
  <c r="CD312" i="11"/>
  <c r="Z482" i="11"/>
  <c r="AA482" i="11"/>
  <c r="AB482" i="11"/>
  <c r="AC482" i="11"/>
  <c r="AD482" i="11"/>
  <c r="AE482" i="11"/>
  <c r="AF482" i="11"/>
  <c r="AG482" i="11"/>
  <c r="AH482" i="11"/>
  <c r="A483" i="11"/>
  <c r="B483" i="11"/>
  <c r="D152" i="10"/>
  <c r="C483" i="11"/>
  <c r="D483" i="11"/>
  <c r="U152" i="10"/>
  <c r="E483" i="11"/>
  <c r="F483" i="11"/>
  <c r="G483" i="11"/>
  <c r="H483" i="11"/>
  <c r="I483" i="11"/>
  <c r="J483" i="11"/>
  <c r="K483" i="11"/>
  <c r="L483" i="11"/>
  <c r="P483" i="11"/>
  <c r="Q483" i="11"/>
  <c r="R483" i="11"/>
  <c r="S483" i="11"/>
  <c r="T483" i="11"/>
  <c r="C313" i="11"/>
  <c r="D313" i="11"/>
  <c r="E313" i="11"/>
  <c r="L313" i="11"/>
  <c r="G313" i="11"/>
  <c r="H313" i="11"/>
  <c r="I313" i="11"/>
  <c r="AB313" i="11"/>
  <c r="B313" i="11"/>
  <c r="F313" i="11"/>
  <c r="J313" i="11"/>
  <c r="K313" i="11"/>
  <c r="M313" i="11"/>
  <c r="N313" i="11"/>
  <c r="O313" i="11"/>
  <c r="P313" i="11"/>
  <c r="Q313" i="11"/>
  <c r="R313" i="11"/>
  <c r="S313" i="11"/>
  <c r="T313" i="11"/>
  <c r="U313" i="11"/>
  <c r="V313" i="11"/>
  <c r="W313" i="11"/>
  <c r="X313" i="11"/>
  <c r="Y313" i="11"/>
  <c r="Z313" i="11"/>
  <c r="AA313" i="11"/>
  <c r="AC313" i="11"/>
  <c r="AD313" i="11"/>
  <c r="AE313" i="11"/>
  <c r="AF313" i="11"/>
  <c r="AG313" i="11"/>
  <c r="AH313" i="11"/>
  <c r="AI313" i="11"/>
  <c r="AJ313" i="11"/>
  <c r="AK313" i="11"/>
  <c r="AL313" i="11"/>
  <c r="AM313" i="11"/>
  <c r="AN313" i="11"/>
  <c r="AO313" i="11"/>
  <c r="AP313" i="11"/>
  <c r="AQ313" i="11"/>
  <c r="AR313" i="11"/>
  <c r="AS313" i="11"/>
  <c r="AT313" i="11"/>
  <c r="AU313" i="11"/>
  <c r="AV313" i="11"/>
  <c r="AW313" i="11"/>
  <c r="AX313" i="11"/>
  <c r="AY313" i="11"/>
  <c r="AZ313" i="11"/>
  <c r="BA313" i="11"/>
  <c r="BB313" i="11"/>
  <c r="BC313" i="11"/>
  <c r="BD313" i="11"/>
  <c r="BE313" i="11"/>
  <c r="BF313" i="11"/>
  <c r="BG313" i="11"/>
  <c r="BH313" i="11"/>
  <c r="BI313" i="11"/>
  <c r="BJ313" i="11"/>
  <c r="BK313" i="11"/>
  <c r="BL313" i="11"/>
  <c r="BM313" i="11"/>
  <c r="BN313" i="11"/>
  <c r="BO313" i="11"/>
  <c r="BP313" i="11"/>
  <c r="BQ313" i="11"/>
  <c r="BR313" i="11"/>
  <c r="BS313" i="11"/>
  <c r="BT313" i="11"/>
  <c r="BU313" i="11"/>
  <c r="BV313" i="11"/>
  <c r="BW313" i="11"/>
  <c r="BX313" i="11"/>
  <c r="BY313" i="11"/>
  <c r="BZ313" i="11"/>
  <c r="CB313" i="11"/>
  <c r="U483" i="11"/>
  <c r="V483" i="11"/>
  <c r="CE151" i="11"/>
  <c r="CF151" i="11"/>
  <c r="CG151" i="11"/>
  <c r="W483" i="11"/>
  <c r="CA313" i="11"/>
  <c r="CE313" i="11"/>
  <c r="CF313" i="11"/>
  <c r="CG313" i="11"/>
  <c r="X483" i="11"/>
  <c r="Y483" i="11"/>
  <c r="CC313" i="11"/>
  <c r="CD313" i="11"/>
  <c r="Z483" i="11"/>
  <c r="AA483" i="11"/>
  <c r="AB483" i="11"/>
  <c r="AC483" i="11"/>
  <c r="AD483" i="11"/>
  <c r="AE483" i="11"/>
  <c r="AF483" i="11"/>
  <c r="AG483" i="11"/>
  <c r="AH483" i="11"/>
  <c r="A484" i="11"/>
  <c r="B484" i="11"/>
  <c r="C484" i="11"/>
  <c r="D484" i="11"/>
  <c r="E484" i="11"/>
  <c r="F484" i="11"/>
  <c r="G484" i="11"/>
  <c r="H484" i="11"/>
  <c r="I484" i="11"/>
  <c r="J484" i="11"/>
  <c r="K484" i="11"/>
  <c r="L484" i="11"/>
  <c r="P484" i="11"/>
  <c r="CB152" i="11"/>
  <c r="Q484" i="11"/>
  <c r="R484" i="11"/>
  <c r="S484" i="11"/>
  <c r="T484" i="11"/>
  <c r="CB314" i="11"/>
  <c r="U484" i="11"/>
  <c r="CD152" i="11"/>
  <c r="V484" i="11"/>
  <c r="CG152" i="11"/>
  <c r="W484" i="11"/>
  <c r="CG314" i="11"/>
  <c r="X484" i="11"/>
  <c r="Y484" i="11"/>
  <c r="CD314" i="11"/>
  <c r="Z484" i="11"/>
  <c r="AA484" i="11"/>
  <c r="AB484" i="11"/>
  <c r="AC484" i="11"/>
  <c r="AD484" i="11"/>
  <c r="AE484" i="11"/>
  <c r="AF484" i="11"/>
  <c r="AG484" i="11"/>
  <c r="AH484" i="11"/>
  <c r="A116" i="7"/>
  <c r="A9" i="9"/>
  <c r="A10" i="9"/>
  <c r="C10" i="9"/>
  <c r="B116" i="7"/>
  <c r="D10" i="9"/>
  <c r="C116" i="7"/>
  <c r="G10" i="9"/>
  <c r="D116" i="7"/>
  <c r="H10" i="9"/>
  <c r="E116" i="7"/>
  <c r="K10" i="9"/>
  <c r="F116" i="7"/>
  <c r="N58" i="9"/>
  <c r="N10" i="9"/>
  <c r="G116" i="7"/>
  <c r="U10" i="9"/>
  <c r="H116" i="7"/>
  <c r="I116" i="7"/>
  <c r="C8" i="9"/>
  <c r="B114" i="7"/>
  <c r="D8" i="9"/>
  <c r="C114" i="7"/>
  <c r="G8" i="9"/>
  <c r="D114" i="7"/>
  <c r="H8" i="9"/>
  <c r="E114" i="7"/>
  <c r="K8" i="9"/>
  <c r="F114" i="7"/>
  <c r="N56" i="9"/>
  <c r="N8" i="9"/>
  <c r="G114" i="7"/>
  <c r="U8" i="9"/>
  <c r="H114" i="7"/>
  <c r="I114" i="7"/>
  <c r="J114" i="7"/>
  <c r="C9" i="9"/>
  <c r="B115" i="7"/>
  <c r="D9" i="9"/>
  <c r="C115" i="7"/>
  <c r="G9" i="9"/>
  <c r="D115" i="7"/>
  <c r="H9" i="9"/>
  <c r="E115" i="7"/>
  <c r="K9" i="9"/>
  <c r="F115" i="7"/>
  <c r="N57" i="9"/>
  <c r="N9" i="9"/>
  <c r="G115" i="7"/>
  <c r="U9" i="9"/>
  <c r="H115" i="7"/>
  <c r="I115" i="7"/>
  <c r="J115" i="7"/>
  <c r="J116" i="7"/>
  <c r="K116" i="7"/>
  <c r="K114" i="7"/>
  <c r="L114" i="7"/>
  <c r="K115" i="7"/>
  <c r="L115" i="7"/>
  <c r="L116" i="7"/>
  <c r="P116" i="7"/>
  <c r="B2" i="7"/>
  <c r="B3" i="7"/>
  <c r="B7" i="7"/>
  <c r="C2" i="7"/>
  <c r="C3" i="7"/>
  <c r="C7" i="7"/>
  <c r="D2" i="7"/>
  <c r="D3" i="7"/>
  <c r="D7" i="7"/>
  <c r="E2" i="7"/>
  <c r="E3" i="7"/>
  <c r="E7" i="7"/>
  <c r="F2" i="7"/>
  <c r="F3" i="7"/>
  <c r="F8" i="9"/>
  <c r="F7" i="7"/>
  <c r="G2" i="7"/>
  <c r="G3" i="7"/>
  <c r="G7" i="7"/>
  <c r="H2" i="7"/>
  <c r="H3" i="7"/>
  <c r="H7" i="7"/>
  <c r="I2" i="7"/>
  <c r="I3" i="7"/>
  <c r="I7" i="7"/>
  <c r="J2" i="7"/>
  <c r="J3" i="7"/>
  <c r="J7" i="7"/>
  <c r="K2" i="7"/>
  <c r="K3" i="7"/>
  <c r="K7" i="7"/>
  <c r="L2" i="7"/>
  <c r="L3" i="7"/>
  <c r="L7" i="7"/>
  <c r="M2" i="7"/>
  <c r="M3" i="7"/>
  <c r="M7" i="7"/>
  <c r="N2" i="7"/>
  <c r="N3" i="7"/>
  <c r="N7" i="7"/>
  <c r="O2" i="7"/>
  <c r="O3" i="7"/>
  <c r="O7" i="7"/>
  <c r="P2" i="7"/>
  <c r="P3" i="7"/>
  <c r="P7" i="7"/>
  <c r="Q2" i="7"/>
  <c r="Q3" i="7"/>
  <c r="Q7" i="7"/>
  <c r="R2" i="7"/>
  <c r="R3" i="7"/>
  <c r="R7" i="7"/>
  <c r="S2" i="7"/>
  <c r="S3" i="7"/>
  <c r="S8" i="9"/>
  <c r="S7" i="7"/>
  <c r="T2" i="7"/>
  <c r="T3" i="7"/>
  <c r="T7" i="7"/>
  <c r="U2" i="7"/>
  <c r="U3" i="7"/>
  <c r="U7" i="7"/>
  <c r="V2" i="7"/>
  <c r="V3" i="7"/>
  <c r="V7" i="7"/>
  <c r="W2" i="7"/>
  <c r="W3" i="7"/>
  <c r="W8" i="9"/>
  <c r="W7" i="7"/>
  <c r="X2" i="7"/>
  <c r="X3" i="7"/>
  <c r="X7" i="7"/>
  <c r="Y2" i="7"/>
  <c r="Y3" i="7"/>
  <c r="Y7" i="7"/>
  <c r="Z2" i="7"/>
  <c r="Z3" i="7"/>
  <c r="Z7" i="7"/>
  <c r="AA2" i="7"/>
  <c r="AA3" i="7"/>
  <c r="AA7" i="7"/>
  <c r="AB2" i="7"/>
  <c r="AB3" i="7"/>
  <c r="AB7" i="7"/>
  <c r="AC2" i="7"/>
  <c r="AC3" i="7"/>
  <c r="AC7" i="7"/>
  <c r="AD2" i="7"/>
  <c r="AD3" i="7"/>
  <c r="AD7" i="7"/>
  <c r="AE2" i="7"/>
  <c r="AE3" i="7"/>
  <c r="AE7" i="7"/>
  <c r="AF2" i="7"/>
  <c r="AF3" i="7"/>
  <c r="AF7" i="7"/>
  <c r="AG2" i="7"/>
  <c r="AG3" i="7"/>
  <c r="AG7" i="7"/>
  <c r="AH2" i="7"/>
  <c r="AH3" i="7"/>
  <c r="AH7" i="7"/>
  <c r="AI2" i="7"/>
  <c r="AI3" i="7"/>
  <c r="AI7" i="7"/>
  <c r="AJ2" i="7"/>
  <c r="AJ3" i="7"/>
  <c r="AJ7" i="7"/>
  <c r="AK2" i="7"/>
  <c r="AK3" i="7"/>
  <c r="AK7" i="7"/>
  <c r="AL2" i="7"/>
  <c r="AL3" i="7"/>
  <c r="AL7" i="7"/>
  <c r="AM2" i="7"/>
  <c r="K40" i="2"/>
  <c r="AM3" i="7"/>
  <c r="AM7" i="7"/>
  <c r="AN2" i="7"/>
  <c r="K41" i="2"/>
  <c r="AN3" i="7"/>
  <c r="AN7" i="7"/>
  <c r="AO2" i="7"/>
  <c r="K42" i="2"/>
  <c r="AO3" i="7"/>
  <c r="AO8" i="9"/>
  <c r="AO7" i="7"/>
  <c r="AP2" i="7"/>
  <c r="K43" i="2"/>
  <c r="AP3" i="7"/>
  <c r="AP7" i="7"/>
  <c r="AQ2" i="7"/>
  <c r="K44" i="2"/>
  <c r="AQ3" i="7"/>
  <c r="AQ7" i="7"/>
  <c r="AR2" i="7"/>
  <c r="AR3" i="7"/>
  <c r="AR7" i="7"/>
  <c r="AS2" i="7"/>
  <c r="AS3" i="7"/>
  <c r="AS7" i="7"/>
  <c r="AT2" i="7"/>
  <c r="AT3" i="7"/>
  <c r="AT7" i="7"/>
  <c r="AU2" i="7"/>
  <c r="AU3" i="7"/>
  <c r="AU7" i="7"/>
  <c r="AV2" i="7"/>
  <c r="AV3" i="7"/>
  <c r="AV7" i="7"/>
  <c r="AW2" i="7"/>
  <c r="AW3" i="7"/>
  <c r="AW7" i="7"/>
  <c r="AX2" i="7"/>
  <c r="AX3" i="7"/>
  <c r="AX7" i="7"/>
  <c r="AY2" i="7"/>
  <c r="AY3" i="7"/>
  <c r="AY7" i="7"/>
  <c r="AZ7" i="7"/>
  <c r="BA7" i="7"/>
  <c r="B8" i="7"/>
  <c r="C8" i="7"/>
  <c r="D8" i="7"/>
  <c r="E8" i="7"/>
  <c r="F9" i="9"/>
  <c r="F8" i="7"/>
  <c r="G8" i="7"/>
  <c r="H8" i="7"/>
  <c r="I8" i="7"/>
  <c r="J8" i="7"/>
  <c r="K8" i="7"/>
  <c r="L8" i="7"/>
  <c r="M8" i="7"/>
  <c r="N8" i="7"/>
  <c r="O8" i="7"/>
  <c r="P8" i="7"/>
  <c r="Q8" i="7"/>
  <c r="R8" i="7"/>
  <c r="S9" i="9"/>
  <c r="S8" i="7"/>
  <c r="T8" i="7"/>
  <c r="U8" i="7"/>
  <c r="V8" i="7"/>
  <c r="W9" i="9"/>
  <c r="W8" i="7"/>
  <c r="X8" i="7"/>
  <c r="Y8" i="7"/>
  <c r="Z8" i="7"/>
  <c r="AA8" i="7"/>
  <c r="AB8" i="7"/>
  <c r="AC8" i="7"/>
  <c r="AD8" i="7"/>
  <c r="AE8" i="7"/>
  <c r="AF8" i="7"/>
  <c r="AG8" i="7"/>
  <c r="AH8" i="7"/>
  <c r="AI8" i="7"/>
  <c r="AJ8" i="7"/>
  <c r="AK8" i="7"/>
  <c r="AL8" i="7"/>
  <c r="AM8" i="7"/>
  <c r="AN8" i="7"/>
  <c r="AO9" i="9"/>
  <c r="AO8" i="7"/>
  <c r="AP8" i="7"/>
  <c r="AQ8" i="7"/>
  <c r="AR8" i="7"/>
  <c r="AS8" i="7"/>
  <c r="AT8" i="7"/>
  <c r="AU8" i="7"/>
  <c r="AV8" i="7"/>
  <c r="AW8" i="7"/>
  <c r="AX8" i="7"/>
  <c r="AY8" i="7"/>
  <c r="AZ8" i="7"/>
  <c r="BA8" i="7"/>
  <c r="B9" i="7"/>
  <c r="C9" i="7"/>
  <c r="D9" i="7"/>
  <c r="E9" i="7"/>
  <c r="F10" i="9"/>
  <c r="F9" i="7"/>
  <c r="G9" i="7"/>
  <c r="H9" i="7"/>
  <c r="I9" i="7"/>
  <c r="J9" i="7"/>
  <c r="K9" i="7"/>
  <c r="L9" i="7"/>
  <c r="M9" i="7"/>
  <c r="N9" i="7"/>
  <c r="O9" i="7"/>
  <c r="P9" i="7"/>
  <c r="Q9" i="7"/>
  <c r="R9" i="7"/>
  <c r="S10" i="9"/>
  <c r="S9" i="7"/>
  <c r="T9" i="7"/>
  <c r="U9" i="7"/>
  <c r="V9" i="7"/>
  <c r="W10" i="9"/>
  <c r="W9" i="7"/>
  <c r="X9" i="7"/>
  <c r="Y9" i="7"/>
  <c r="Z9" i="7"/>
  <c r="AA9" i="7"/>
  <c r="AB9" i="7"/>
  <c r="AC9" i="7"/>
  <c r="AD9" i="7"/>
  <c r="AE9" i="7"/>
  <c r="AF9" i="7"/>
  <c r="AG9" i="7"/>
  <c r="AH9" i="7"/>
  <c r="AI9" i="7"/>
  <c r="AJ9" i="7"/>
  <c r="AK9" i="7"/>
  <c r="AL9" i="7"/>
  <c r="AM9" i="7"/>
  <c r="AN9" i="7"/>
  <c r="AO10" i="9"/>
  <c r="AO9" i="7"/>
  <c r="AP9" i="7"/>
  <c r="AQ9" i="7"/>
  <c r="AR9" i="7"/>
  <c r="AS9" i="7"/>
  <c r="AT9" i="7"/>
  <c r="AU9" i="7"/>
  <c r="AV9" i="7"/>
  <c r="AW9" i="7"/>
  <c r="AX9" i="7"/>
  <c r="AY9" i="7"/>
  <c r="AZ9" i="7"/>
  <c r="BA9" i="7"/>
  <c r="B10" i="7"/>
  <c r="C10" i="7"/>
  <c r="D10" i="7"/>
  <c r="E10" i="7"/>
  <c r="A11" i="9"/>
  <c r="F11" i="9"/>
  <c r="F10" i="7"/>
  <c r="G10" i="7"/>
  <c r="H10" i="7"/>
  <c r="I10" i="7"/>
  <c r="J10" i="7"/>
  <c r="K10" i="7"/>
  <c r="L10" i="7"/>
  <c r="M10" i="7"/>
  <c r="N10" i="7"/>
  <c r="O10" i="7"/>
  <c r="P10" i="7"/>
  <c r="Q10" i="7"/>
  <c r="R10" i="7"/>
  <c r="S11" i="9"/>
  <c r="S10" i="7"/>
  <c r="T10" i="7"/>
  <c r="U10" i="7"/>
  <c r="V10" i="7"/>
  <c r="W11" i="9"/>
  <c r="W10" i="7"/>
  <c r="X10" i="7"/>
  <c r="Y10" i="7"/>
  <c r="Z10" i="7"/>
  <c r="AA10" i="7"/>
  <c r="AB10" i="7"/>
  <c r="AC10" i="7"/>
  <c r="AD10" i="7"/>
  <c r="AE10" i="7"/>
  <c r="AF10" i="7"/>
  <c r="AG10" i="7"/>
  <c r="AH10" i="7"/>
  <c r="AI10" i="7"/>
  <c r="AJ10" i="7"/>
  <c r="AK10" i="7"/>
  <c r="AL10" i="7"/>
  <c r="AM10" i="7"/>
  <c r="AN10" i="7"/>
  <c r="AO11" i="9"/>
  <c r="AO10" i="7"/>
  <c r="AP10" i="7"/>
  <c r="AQ10" i="7"/>
  <c r="AR10" i="7"/>
  <c r="AS10" i="7"/>
  <c r="AT10" i="7"/>
  <c r="AU10" i="7"/>
  <c r="AV10" i="7"/>
  <c r="AW10" i="7"/>
  <c r="AX10" i="7"/>
  <c r="AY10" i="7"/>
  <c r="AZ10" i="7"/>
  <c r="BA10" i="7"/>
  <c r="Q116" i="7"/>
  <c r="R116" i="7"/>
  <c r="S116" i="7"/>
  <c r="A117" i="7"/>
  <c r="C11" i="9"/>
  <c r="B117" i="7"/>
  <c r="D11" i="9"/>
  <c r="C117" i="7"/>
  <c r="G11" i="9"/>
  <c r="D117" i="7"/>
  <c r="H11" i="9"/>
  <c r="E117" i="7"/>
  <c r="K11" i="9"/>
  <c r="F117" i="7"/>
  <c r="N59" i="9"/>
  <c r="N11" i="9"/>
  <c r="G117" i="7"/>
  <c r="U11" i="9"/>
  <c r="H117" i="7"/>
  <c r="I117" i="7"/>
  <c r="J117" i="7"/>
  <c r="T116" i="7"/>
  <c r="B60" i="7"/>
  <c r="C60" i="7"/>
  <c r="D60" i="7"/>
  <c r="E60" i="7"/>
  <c r="F56" i="7"/>
  <c r="F57" i="7"/>
  <c r="F58" i="7"/>
  <c r="F59" i="7"/>
  <c r="F60" i="7"/>
  <c r="G60" i="7"/>
  <c r="H60" i="7"/>
  <c r="I60" i="7"/>
  <c r="J60" i="7"/>
  <c r="K60" i="7"/>
  <c r="L60" i="7"/>
  <c r="M60" i="7"/>
  <c r="N60" i="7"/>
  <c r="O60" i="7"/>
  <c r="P60" i="7"/>
  <c r="Q60" i="7"/>
  <c r="R60" i="7"/>
  <c r="S56" i="7"/>
  <c r="S57" i="7"/>
  <c r="S58" i="7"/>
  <c r="S59" i="7"/>
  <c r="S60" i="7"/>
  <c r="T60" i="7"/>
  <c r="U60" i="7"/>
  <c r="V60" i="7"/>
  <c r="W56" i="7"/>
  <c r="W57" i="7"/>
  <c r="W58" i="7"/>
  <c r="W59" i="7"/>
  <c r="W60" i="7"/>
  <c r="X60" i="7"/>
  <c r="Y60" i="7"/>
  <c r="Z60" i="7"/>
  <c r="AA60" i="7"/>
  <c r="AB60" i="7"/>
  <c r="AC60" i="7"/>
  <c r="AD60" i="7"/>
  <c r="AE60" i="7"/>
  <c r="AF60" i="7"/>
  <c r="AG60" i="7"/>
  <c r="AH60" i="7"/>
  <c r="AI60" i="7"/>
  <c r="AJ60" i="7"/>
  <c r="AK60" i="7"/>
  <c r="AL60" i="7"/>
  <c r="AM60" i="7"/>
  <c r="AN60" i="7"/>
  <c r="AO56" i="7"/>
  <c r="AO57" i="7"/>
  <c r="AO58" i="7"/>
  <c r="AO59" i="7"/>
  <c r="AO60" i="7"/>
  <c r="AP60" i="7"/>
  <c r="AQ60" i="7"/>
  <c r="AR60" i="7"/>
  <c r="BA60" i="7"/>
  <c r="U116" i="7"/>
  <c r="BB7" i="7"/>
  <c r="BC7" i="7"/>
  <c r="BB8" i="7"/>
  <c r="BC8" i="7"/>
  <c r="BB9" i="7"/>
  <c r="BC9" i="7"/>
  <c r="BB10" i="7"/>
  <c r="BC10" i="7"/>
  <c r="V116" i="7"/>
  <c r="BD7" i="7"/>
  <c r="BD8" i="7"/>
  <c r="BD9" i="7"/>
  <c r="BD10" i="7"/>
  <c r="BE10" i="7"/>
  <c r="BF10" i="7"/>
  <c r="W116" i="7"/>
  <c r="BA56" i="7"/>
  <c r="BD54" i="7"/>
  <c r="BD57" i="7"/>
  <c r="B58" i="7"/>
  <c r="C58" i="7"/>
  <c r="D58" i="7"/>
  <c r="E58" i="7"/>
  <c r="G58" i="7"/>
  <c r="H58" i="7"/>
  <c r="I58" i="7"/>
  <c r="J58" i="7"/>
  <c r="K58" i="7"/>
  <c r="L58" i="7"/>
  <c r="M58" i="7"/>
  <c r="N58" i="7"/>
  <c r="O58" i="7"/>
  <c r="P58" i="7"/>
  <c r="Q58" i="7"/>
  <c r="R58" i="7"/>
  <c r="T58" i="7"/>
  <c r="U58" i="7"/>
  <c r="V58" i="7"/>
  <c r="X58" i="7"/>
  <c r="Y58" i="7"/>
  <c r="Z58" i="7"/>
  <c r="AA58" i="7"/>
  <c r="AB58" i="7"/>
  <c r="AC58" i="7"/>
  <c r="AD58" i="7"/>
  <c r="AE58" i="7"/>
  <c r="AF58" i="7"/>
  <c r="AG58" i="7"/>
  <c r="AH58" i="7"/>
  <c r="AI58" i="7"/>
  <c r="AJ58" i="7"/>
  <c r="AK58" i="7"/>
  <c r="AL58" i="7"/>
  <c r="AM58" i="7"/>
  <c r="AN58" i="7"/>
  <c r="AP58" i="7"/>
  <c r="AQ58" i="7"/>
  <c r="AR58" i="7"/>
  <c r="BA58" i="7"/>
  <c r="B57" i="7"/>
  <c r="C57" i="7"/>
  <c r="D57" i="7"/>
  <c r="E57" i="7"/>
  <c r="G57" i="7"/>
  <c r="H57" i="7"/>
  <c r="I57" i="7"/>
  <c r="J57" i="7"/>
  <c r="K57" i="7"/>
  <c r="L57" i="7"/>
  <c r="M57" i="7"/>
  <c r="N57" i="7"/>
  <c r="O57" i="7"/>
  <c r="P57" i="7"/>
  <c r="Q57" i="7"/>
  <c r="R57" i="7"/>
  <c r="T57" i="7"/>
  <c r="U57" i="7"/>
  <c r="V57" i="7"/>
  <c r="X57" i="7"/>
  <c r="Y57" i="7"/>
  <c r="Z57" i="7"/>
  <c r="AA57" i="7"/>
  <c r="AB57" i="7"/>
  <c r="AC57" i="7"/>
  <c r="AD57" i="7"/>
  <c r="AE57" i="7"/>
  <c r="AF57" i="7"/>
  <c r="AG57" i="7"/>
  <c r="AH57" i="7"/>
  <c r="AI57" i="7"/>
  <c r="AJ57" i="7"/>
  <c r="AK57" i="7"/>
  <c r="AL57" i="7"/>
  <c r="AM57" i="7"/>
  <c r="AN57" i="7"/>
  <c r="AP57" i="7"/>
  <c r="AQ57" i="7"/>
  <c r="AR57" i="7"/>
  <c r="BA57" i="7"/>
  <c r="AZ58" i="7"/>
  <c r="BD58" i="7"/>
  <c r="B59" i="7"/>
  <c r="C59" i="7"/>
  <c r="D59" i="7"/>
  <c r="E59" i="7"/>
  <c r="G59" i="7"/>
  <c r="H59" i="7"/>
  <c r="I59" i="7"/>
  <c r="J59" i="7"/>
  <c r="K59" i="7"/>
  <c r="L59" i="7"/>
  <c r="M59" i="7"/>
  <c r="N59" i="7"/>
  <c r="O59" i="7"/>
  <c r="P59" i="7"/>
  <c r="Q59" i="7"/>
  <c r="R59" i="7"/>
  <c r="T59" i="7"/>
  <c r="U59" i="7"/>
  <c r="V59" i="7"/>
  <c r="X59" i="7"/>
  <c r="Y59" i="7"/>
  <c r="Z59" i="7"/>
  <c r="AA59" i="7"/>
  <c r="AB59" i="7"/>
  <c r="AC59" i="7"/>
  <c r="AD59" i="7"/>
  <c r="AE59" i="7"/>
  <c r="AF59" i="7"/>
  <c r="AG59" i="7"/>
  <c r="AH59" i="7"/>
  <c r="AI59" i="7"/>
  <c r="AJ59" i="7"/>
  <c r="AK59" i="7"/>
  <c r="AL59" i="7"/>
  <c r="AM59" i="7"/>
  <c r="AN59" i="7"/>
  <c r="AP59" i="7"/>
  <c r="AQ59" i="7"/>
  <c r="AR59" i="7"/>
  <c r="BA59" i="7"/>
  <c r="AZ59" i="7"/>
  <c r="BD59" i="7"/>
  <c r="AZ60" i="7"/>
  <c r="BD60" i="7"/>
  <c r="BE60" i="7"/>
  <c r="BF60" i="7"/>
  <c r="X116" i="7"/>
  <c r="K117" i="7"/>
  <c r="L117" i="7"/>
  <c r="Y116" i="7"/>
  <c r="AZ57" i="7"/>
  <c r="BB57" i="7"/>
  <c r="BC57" i="7"/>
  <c r="BB58" i="7"/>
  <c r="BC58" i="7"/>
  <c r="BB59" i="7"/>
  <c r="BC59" i="7"/>
  <c r="BB60" i="7"/>
  <c r="BC60" i="7"/>
  <c r="Z116" i="7"/>
  <c r="B11" i="7"/>
  <c r="C11" i="7"/>
  <c r="D11" i="7"/>
  <c r="E11" i="7"/>
  <c r="A12" i="9"/>
  <c r="F12" i="9"/>
  <c r="F11" i="7"/>
  <c r="G11" i="7"/>
  <c r="H11" i="7"/>
  <c r="I11" i="7"/>
  <c r="J11" i="7"/>
  <c r="K11" i="7"/>
  <c r="L11" i="7"/>
  <c r="M11" i="7"/>
  <c r="N11" i="7"/>
  <c r="O11" i="7"/>
  <c r="P11" i="7"/>
  <c r="Q11" i="7"/>
  <c r="R11" i="7"/>
  <c r="S12" i="9"/>
  <c r="S11" i="7"/>
  <c r="T11" i="7"/>
  <c r="U11" i="7"/>
  <c r="V11" i="7"/>
  <c r="W12" i="9"/>
  <c r="W11" i="7"/>
  <c r="X11" i="7"/>
  <c r="Y11" i="7"/>
  <c r="Z11" i="7"/>
  <c r="AA11" i="7"/>
  <c r="AB11" i="7"/>
  <c r="AC11" i="7"/>
  <c r="AD11" i="7"/>
  <c r="AE11" i="7"/>
  <c r="AF11" i="7"/>
  <c r="AG11" i="7"/>
  <c r="AH11" i="7"/>
  <c r="AI11" i="7"/>
  <c r="AJ11" i="7"/>
  <c r="AK11" i="7"/>
  <c r="AL11" i="7"/>
  <c r="AM11" i="7"/>
  <c r="AN11" i="7"/>
  <c r="AO12" i="9"/>
  <c r="AO11" i="7"/>
  <c r="AP11" i="7"/>
  <c r="AQ11" i="7"/>
  <c r="AR11" i="7"/>
  <c r="AS11" i="7"/>
  <c r="AT11" i="7"/>
  <c r="AU11" i="7"/>
  <c r="AV11" i="7"/>
  <c r="AW11" i="7"/>
  <c r="AX11" i="7"/>
  <c r="AY11" i="7"/>
  <c r="AZ11" i="7"/>
  <c r="BA11" i="7"/>
  <c r="B12" i="7"/>
  <c r="C12" i="7"/>
  <c r="D12" i="7"/>
  <c r="E12" i="7"/>
  <c r="A13" i="9"/>
  <c r="F13" i="9"/>
  <c r="F12" i="7"/>
  <c r="G12" i="7"/>
  <c r="H12" i="7"/>
  <c r="I12" i="7"/>
  <c r="J12" i="7"/>
  <c r="K12" i="7"/>
  <c r="L12" i="7"/>
  <c r="M12" i="7"/>
  <c r="N12" i="7"/>
  <c r="O12" i="7"/>
  <c r="P12" i="7"/>
  <c r="Q12" i="7"/>
  <c r="R12" i="7"/>
  <c r="S13" i="9"/>
  <c r="S12" i="7"/>
  <c r="T12" i="7"/>
  <c r="U12" i="7"/>
  <c r="V12" i="7"/>
  <c r="W13" i="9"/>
  <c r="W12" i="7"/>
  <c r="X12" i="7"/>
  <c r="Y12" i="7"/>
  <c r="Z12" i="7"/>
  <c r="AA12" i="7"/>
  <c r="AB12" i="7"/>
  <c r="AC12" i="7"/>
  <c r="AD12" i="7"/>
  <c r="AE12" i="7"/>
  <c r="AF12" i="7"/>
  <c r="AG12" i="7"/>
  <c r="AH12" i="7"/>
  <c r="AI12" i="7"/>
  <c r="AJ12" i="7"/>
  <c r="AK12" i="7"/>
  <c r="AL12" i="7"/>
  <c r="AM12" i="7"/>
  <c r="AN12" i="7"/>
  <c r="AO13" i="9"/>
  <c r="AO12" i="7"/>
  <c r="AP12" i="7"/>
  <c r="AQ12" i="7"/>
  <c r="AR12" i="7"/>
  <c r="AS12" i="7"/>
  <c r="AT12" i="7"/>
  <c r="AU12" i="7"/>
  <c r="AV12" i="7"/>
  <c r="AW12" i="7"/>
  <c r="AX12" i="7"/>
  <c r="AY12" i="7"/>
  <c r="AZ12" i="7"/>
  <c r="BA12" i="7"/>
  <c r="BO10" i="7"/>
  <c r="AA116" i="7"/>
  <c r="B13" i="7"/>
  <c r="C13" i="7"/>
  <c r="D13" i="7"/>
  <c r="E13" i="7"/>
  <c r="A14" i="9"/>
  <c r="F14" i="9"/>
  <c r="F13" i="7"/>
  <c r="G13" i="7"/>
  <c r="H13" i="7"/>
  <c r="I13" i="7"/>
  <c r="J13" i="7"/>
  <c r="K13" i="7"/>
  <c r="L13" i="7"/>
  <c r="M13" i="7"/>
  <c r="N13" i="7"/>
  <c r="O13" i="7"/>
  <c r="P13" i="7"/>
  <c r="Q13" i="7"/>
  <c r="R13" i="7"/>
  <c r="S14" i="9"/>
  <c r="S13" i="7"/>
  <c r="T13" i="7"/>
  <c r="U13" i="7"/>
  <c r="V13" i="7"/>
  <c r="W14" i="9"/>
  <c r="W13" i="7"/>
  <c r="X13" i="7"/>
  <c r="Y13" i="7"/>
  <c r="Z13" i="7"/>
  <c r="AA13" i="7"/>
  <c r="AB13" i="7"/>
  <c r="AC13" i="7"/>
  <c r="AD13" i="7"/>
  <c r="AE13" i="7"/>
  <c r="AF13" i="7"/>
  <c r="AG13" i="7"/>
  <c r="AH13" i="7"/>
  <c r="AI13" i="7"/>
  <c r="AJ13" i="7"/>
  <c r="AK13" i="7"/>
  <c r="AL13" i="7"/>
  <c r="AM13" i="7"/>
  <c r="AN13" i="7"/>
  <c r="AO14" i="9"/>
  <c r="AO13" i="7"/>
  <c r="AP13" i="7"/>
  <c r="AQ13" i="7"/>
  <c r="AR13" i="7"/>
  <c r="AS13" i="7"/>
  <c r="AT13" i="7"/>
  <c r="AU13" i="7"/>
  <c r="AV13" i="7"/>
  <c r="AW13" i="7"/>
  <c r="AX13" i="7"/>
  <c r="AY13" i="7"/>
  <c r="AZ13" i="7"/>
  <c r="BA13" i="7"/>
  <c r="B14" i="7"/>
  <c r="C14" i="7"/>
  <c r="D14" i="7"/>
  <c r="E14" i="7"/>
  <c r="A15" i="9"/>
  <c r="F15" i="9"/>
  <c r="F14" i="7"/>
  <c r="G14" i="7"/>
  <c r="H14" i="7"/>
  <c r="I14" i="7"/>
  <c r="J14" i="7"/>
  <c r="K14" i="7"/>
  <c r="L14" i="7"/>
  <c r="M14" i="7"/>
  <c r="N14" i="7"/>
  <c r="O14" i="7"/>
  <c r="P14" i="7"/>
  <c r="Q14" i="7"/>
  <c r="R14" i="7"/>
  <c r="S15" i="9"/>
  <c r="S14" i="7"/>
  <c r="T14" i="7"/>
  <c r="U14" i="7"/>
  <c r="V14" i="7"/>
  <c r="W15" i="9"/>
  <c r="W14" i="7"/>
  <c r="X14" i="7"/>
  <c r="Y14" i="7"/>
  <c r="Z14" i="7"/>
  <c r="AA14" i="7"/>
  <c r="AB14" i="7"/>
  <c r="AC14" i="7"/>
  <c r="AD14" i="7"/>
  <c r="AE14" i="7"/>
  <c r="AF14" i="7"/>
  <c r="AG14" i="7"/>
  <c r="AH14" i="7"/>
  <c r="AI14" i="7"/>
  <c r="AJ14" i="7"/>
  <c r="AK14" i="7"/>
  <c r="AL14" i="7"/>
  <c r="AM14" i="7"/>
  <c r="AN14" i="7"/>
  <c r="AO15" i="9"/>
  <c r="AO14" i="7"/>
  <c r="AP14" i="7"/>
  <c r="AQ14" i="7"/>
  <c r="AR14" i="7"/>
  <c r="AS14" i="7"/>
  <c r="AT14" i="7"/>
  <c r="AU14" i="7"/>
  <c r="AV14" i="7"/>
  <c r="AW14" i="7"/>
  <c r="AX14" i="7"/>
  <c r="AY14" i="7"/>
  <c r="AZ14" i="7"/>
  <c r="BA14" i="7"/>
  <c r="BP10" i="7"/>
  <c r="AB116" i="7"/>
  <c r="B15" i="7"/>
  <c r="C15" i="7"/>
  <c r="D15" i="7"/>
  <c r="E15" i="7"/>
  <c r="A16" i="9"/>
  <c r="F16" i="9"/>
  <c r="F15" i="7"/>
  <c r="G15" i="7"/>
  <c r="H15" i="7"/>
  <c r="I15" i="7"/>
  <c r="J15" i="7"/>
  <c r="K15" i="7"/>
  <c r="L15" i="7"/>
  <c r="M15" i="7"/>
  <c r="N15" i="7"/>
  <c r="O15" i="7"/>
  <c r="P15" i="7"/>
  <c r="Q15" i="7"/>
  <c r="R15" i="7"/>
  <c r="S16" i="9"/>
  <c r="S15" i="7"/>
  <c r="T15" i="7"/>
  <c r="U15" i="7"/>
  <c r="V15" i="7"/>
  <c r="W16" i="9"/>
  <c r="W15" i="7"/>
  <c r="X15" i="7"/>
  <c r="Y15" i="7"/>
  <c r="Z15" i="7"/>
  <c r="AA15" i="7"/>
  <c r="AB15" i="7"/>
  <c r="AC15" i="7"/>
  <c r="AD15" i="7"/>
  <c r="AE15" i="7"/>
  <c r="AF15" i="7"/>
  <c r="AG15" i="7"/>
  <c r="AH15" i="7"/>
  <c r="AI15" i="7"/>
  <c r="AJ15" i="7"/>
  <c r="AK15" i="7"/>
  <c r="AL15" i="7"/>
  <c r="AM15" i="7"/>
  <c r="AN15" i="7"/>
  <c r="AO16" i="9"/>
  <c r="AO15" i="7"/>
  <c r="AP15" i="7"/>
  <c r="AQ15" i="7"/>
  <c r="AR15" i="7"/>
  <c r="AS15" i="7"/>
  <c r="AT15" i="7"/>
  <c r="AU15" i="7"/>
  <c r="AV15" i="7"/>
  <c r="AW15" i="7"/>
  <c r="AX15" i="7"/>
  <c r="AY15" i="7"/>
  <c r="AZ15" i="7"/>
  <c r="BA15" i="7"/>
  <c r="B16" i="7"/>
  <c r="C16" i="7"/>
  <c r="D16" i="7"/>
  <c r="E16" i="7"/>
  <c r="A17" i="9"/>
  <c r="F17" i="9"/>
  <c r="F16" i="7"/>
  <c r="G16" i="7"/>
  <c r="H16" i="7"/>
  <c r="I16" i="7"/>
  <c r="J16" i="7"/>
  <c r="K16" i="7"/>
  <c r="L16" i="7"/>
  <c r="M16" i="7"/>
  <c r="N16" i="7"/>
  <c r="O16" i="7"/>
  <c r="P16" i="7"/>
  <c r="Q16" i="7"/>
  <c r="R16" i="7"/>
  <c r="S17" i="9"/>
  <c r="S16" i="7"/>
  <c r="T16" i="7"/>
  <c r="U16" i="7"/>
  <c r="V16" i="7"/>
  <c r="W17" i="9"/>
  <c r="W16" i="7"/>
  <c r="X16" i="7"/>
  <c r="Y16" i="7"/>
  <c r="Z16" i="7"/>
  <c r="AA16" i="7"/>
  <c r="AB16" i="7"/>
  <c r="AC16" i="7"/>
  <c r="AD16" i="7"/>
  <c r="AE16" i="7"/>
  <c r="AF16" i="7"/>
  <c r="AG16" i="7"/>
  <c r="AH16" i="7"/>
  <c r="AI16" i="7"/>
  <c r="AJ16" i="7"/>
  <c r="AK16" i="7"/>
  <c r="AL16" i="7"/>
  <c r="AM16" i="7"/>
  <c r="AN16" i="7"/>
  <c r="AO17" i="9"/>
  <c r="AO16" i="7"/>
  <c r="AP16" i="7"/>
  <c r="AQ16" i="7"/>
  <c r="AR16" i="7"/>
  <c r="AS16" i="7"/>
  <c r="AT16" i="7"/>
  <c r="AU16" i="7"/>
  <c r="AV16" i="7"/>
  <c r="AW16" i="7"/>
  <c r="AX16" i="7"/>
  <c r="AY16" i="7"/>
  <c r="AZ16" i="7"/>
  <c r="BA16" i="7"/>
  <c r="B17" i="7"/>
  <c r="C17" i="7"/>
  <c r="D17" i="7"/>
  <c r="E17" i="7"/>
  <c r="A18" i="9"/>
  <c r="F18" i="9"/>
  <c r="F17" i="7"/>
  <c r="G17" i="7"/>
  <c r="H17" i="7"/>
  <c r="I17" i="7"/>
  <c r="J17" i="7"/>
  <c r="K17" i="7"/>
  <c r="L17" i="7"/>
  <c r="M17" i="7"/>
  <c r="N17" i="7"/>
  <c r="O17" i="7"/>
  <c r="P17" i="7"/>
  <c r="Q17" i="7"/>
  <c r="R17" i="7"/>
  <c r="S18" i="9"/>
  <c r="S17" i="7"/>
  <c r="T17" i="7"/>
  <c r="U17" i="7"/>
  <c r="V17" i="7"/>
  <c r="W18" i="9"/>
  <c r="W17" i="7"/>
  <c r="X17" i="7"/>
  <c r="Y17" i="7"/>
  <c r="Z17" i="7"/>
  <c r="AA17" i="7"/>
  <c r="AB17" i="7"/>
  <c r="AC17" i="7"/>
  <c r="AD17" i="7"/>
  <c r="AE17" i="7"/>
  <c r="AF17" i="7"/>
  <c r="AG17" i="7"/>
  <c r="AH17" i="7"/>
  <c r="AI17" i="7"/>
  <c r="AJ17" i="7"/>
  <c r="AK17" i="7"/>
  <c r="AL17" i="7"/>
  <c r="AM17" i="7"/>
  <c r="AN17" i="7"/>
  <c r="AO18" i="9"/>
  <c r="AO17" i="7"/>
  <c r="AP17" i="7"/>
  <c r="AQ17" i="7"/>
  <c r="AR17" i="7"/>
  <c r="AS17" i="7"/>
  <c r="AT17" i="7"/>
  <c r="AU17" i="7"/>
  <c r="AV17" i="7"/>
  <c r="AW17" i="7"/>
  <c r="AX17" i="7"/>
  <c r="AY17" i="7"/>
  <c r="AZ17" i="7"/>
  <c r="BA17" i="7"/>
  <c r="B18" i="7"/>
  <c r="C18" i="7"/>
  <c r="D18" i="7"/>
  <c r="E18" i="7"/>
  <c r="A19" i="9"/>
  <c r="F19" i="9"/>
  <c r="F18" i="7"/>
  <c r="G18" i="7"/>
  <c r="H18" i="7"/>
  <c r="I18" i="7"/>
  <c r="J18" i="7"/>
  <c r="K18" i="7"/>
  <c r="L18" i="7"/>
  <c r="M18" i="7"/>
  <c r="N18" i="7"/>
  <c r="O18" i="7"/>
  <c r="P18" i="7"/>
  <c r="Q18" i="7"/>
  <c r="R18" i="7"/>
  <c r="S19" i="9"/>
  <c r="S18" i="7"/>
  <c r="T18" i="7"/>
  <c r="U18" i="7"/>
  <c r="V18" i="7"/>
  <c r="W19" i="9"/>
  <c r="W18" i="7"/>
  <c r="X18" i="7"/>
  <c r="Y18" i="7"/>
  <c r="Z18" i="7"/>
  <c r="AA18" i="7"/>
  <c r="AB18" i="7"/>
  <c r="AC18" i="7"/>
  <c r="AD18" i="7"/>
  <c r="AE18" i="7"/>
  <c r="AF18" i="7"/>
  <c r="AG18" i="7"/>
  <c r="AH18" i="7"/>
  <c r="AI18" i="7"/>
  <c r="AJ18" i="7"/>
  <c r="AK18" i="7"/>
  <c r="AL18" i="7"/>
  <c r="AM18" i="7"/>
  <c r="AN18" i="7"/>
  <c r="AO19" i="9"/>
  <c r="AO18" i="7"/>
  <c r="AP18" i="7"/>
  <c r="AQ18" i="7"/>
  <c r="AR18" i="7"/>
  <c r="AS18" i="7"/>
  <c r="AT18" i="7"/>
  <c r="AU18" i="7"/>
  <c r="AV18" i="7"/>
  <c r="AW18" i="7"/>
  <c r="AX18" i="7"/>
  <c r="AY18" i="7"/>
  <c r="AZ18" i="7"/>
  <c r="BA18" i="7"/>
  <c r="B19" i="7"/>
  <c r="C19" i="7"/>
  <c r="D19" i="7"/>
  <c r="E19" i="7"/>
  <c r="A20" i="9"/>
  <c r="F20" i="9"/>
  <c r="F19" i="7"/>
  <c r="G19" i="7"/>
  <c r="H19" i="7"/>
  <c r="I19" i="7"/>
  <c r="J19" i="7"/>
  <c r="K19" i="7"/>
  <c r="L19" i="7"/>
  <c r="M19" i="7"/>
  <c r="N19" i="7"/>
  <c r="O19" i="7"/>
  <c r="P19" i="7"/>
  <c r="Q19" i="7"/>
  <c r="R19" i="7"/>
  <c r="S20" i="9"/>
  <c r="S19" i="7"/>
  <c r="T19" i="7"/>
  <c r="U19" i="7"/>
  <c r="V19" i="7"/>
  <c r="W20" i="9"/>
  <c r="W19" i="7"/>
  <c r="X19" i="7"/>
  <c r="Y19" i="7"/>
  <c r="Z19" i="7"/>
  <c r="AA19" i="7"/>
  <c r="AB19" i="7"/>
  <c r="AC19" i="7"/>
  <c r="AD19" i="7"/>
  <c r="AE19" i="7"/>
  <c r="AF19" i="7"/>
  <c r="AG19" i="7"/>
  <c r="AH19" i="7"/>
  <c r="AI19" i="7"/>
  <c r="AJ19" i="7"/>
  <c r="AK19" i="7"/>
  <c r="AL19" i="7"/>
  <c r="AM19" i="7"/>
  <c r="AN19" i="7"/>
  <c r="AO20" i="9"/>
  <c r="AO19" i="7"/>
  <c r="AP19" i="7"/>
  <c r="AQ19" i="7"/>
  <c r="AR19" i="7"/>
  <c r="AS19" i="7"/>
  <c r="AT19" i="7"/>
  <c r="AU19" i="7"/>
  <c r="AV19" i="7"/>
  <c r="AW19" i="7"/>
  <c r="AX19" i="7"/>
  <c r="AY19" i="7"/>
  <c r="AZ19" i="7"/>
  <c r="BA19" i="7"/>
  <c r="BQ10" i="7"/>
  <c r="AC116" i="7"/>
  <c r="L21" i="7"/>
  <c r="B21" i="7"/>
  <c r="C21" i="7"/>
  <c r="D21" i="7"/>
  <c r="E21" i="7"/>
  <c r="A21" i="9"/>
  <c r="A22" i="9"/>
  <c r="F22" i="9"/>
  <c r="F21" i="7"/>
  <c r="G21" i="7"/>
  <c r="H21" i="7"/>
  <c r="I21" i="7"/>
  <c r="J21" i="7"/>
  <c r="K21" i="7"/>
  <c r="M21" i="7"/>
  <c r="N21" i="7"/>
  <c r="O21" i="7"/>
  <c r="P21" i="7"/>
  <c r="Q21" i="7"/>
  <c r="R21" i="7"/>
  <c r="S22" i="9"/>
  <c r="S21" i="7"/>
  <c r="T21" i="7"/>
  <c r="U21" i="7"/>
  <c r="V21" i="7"/>
  <c r="W22" i="9"/>
  <c r="W21" i="7"/>
  <c r="X21" i="7"/>
  <c r="Y21" i="7"/>
  <c r="Z21" i="7"/>
  <c r="AA21" i="7"/>
  <c r="AB21" i="7"/>
  <c r="AC21" i="7"/>
  <c r="AD21" i="7"/>
  <c r="AE21" i="7"/>
  <c r="AF21" i="7"/>
  <c r="AG21" i="7"/>
  <c r="AH21" i="7"/>
  <c r="AI21" i="7"/>
  <c r="AJ21" i="7"/>
  <c r="AK21" i="7"/>
  <c r="AL21" i="7"/>
  <c r="AM21" i="7"/>
  <c r="AN21" i="7"/>
  <c r="AO22" i="9"/>
  <c r="AO21" i="7"/>
  <c r="AP21" i="7"/>
  <c r="AQ21" i="7"/>
  <c r="AR21" i="7"/>
  <c r="AS21" i="7"/>
  <c r="AT21" i="7"/>
  <c r="AU21" i="7"/>
  <c r="AV21" i="7"/>
  <c r="AW21" i="7"/>
  <c r="AX21" i="7"/>
  <c r="AY21" i="7"/>
  <c r="AZ21" i="7"/>
  <c r="B20" i="7"/>
  <c r="C20" i="7"/>
  <c r="D20" i="7"/>
  <c r="E20" i="7"/>
  <c r="F21" i="9"/>
  <c r="F20" i="7"/>
  <c r="G20" i="7"/>
  <c r="H20" i="7"/>
  <c r="I20" i="7"/>
  <c r="J20" i="7"/>
  <c r="K20" i="7"/>
  <c r="L20" i="7"/>
  <c r="M20" i="7"/>
  <c r="N20" i="7"/>
  <c r="O20" i="7"/>
  <c r="P20" i="7"/>
  <c r="Q20" i="7"/>
  <c r="R20" i="7"/>
  <c r="S21" i="9"/>
  <c r="S20" i="7"/>
  <c r="T20" i="7"/>
  <c r="U20" i="7"/>
  <c r="V20" i="7"/>
  <c r="W21" i="9"/>
  <c r="W20" i="7"/>
  <c r="X20" i="7"/>
  <c r="Y20" i="7"/>
  <c r="Z20" i="7"/>
  <c r="AA20" i="7"/>
  <c r="AB20" i="7"/>
  <c r="AC20" i="7"/>
  <c r="AD20" i="7"/>
  <c r="AE20" i="7"/>
  <c r="AF20" i="7"/>
  <c r="AG20" i="7"/>
  <c r="AH20" i="7"/>
  <c r="AI20" i="7"/>
  <c r="AJ20" i="7"/>
  <c r="AK20" i="7"/>
  <c r="AL20" i="7"/>
  <c r="AM20" i="7"/>
  <c r="AN20" i="7"/>
  <c r="AO21" i="9"/>
  <c r="AO20" i="7"/>
  <c r="AP20" i="7"/>
  <c r="AQ20" i="7"/>
  <c r="AR20" i="7"/>
  <c r="AS20" i="7"/>
  <c r="AT20" i="7"/>
  <c r="AU20" i="7"/>
  <c r="AV20" i="7"/>
  <c r="AW20" i="7"/>
  <c r="AX20" i="7"/>
  <c r="AY20" i="7"/>
  <c r="AZ20" i="7"/>
  <c r="BA20" i="7"/>
  <c r="BA21" i="7"/>
  <c r="L22" i="7"/>
  <c r="B22" i="7"/>
  <c r="C22" i="7"/>
  <c r="D22" i="7"/>
  <c r="E22" i="7"/>
  <c r="A23" i="9"/>
  <c r="F23" i="9"/>
  <c r="F22" i="7"/>
  <c r="G22" i="7"/>
  <c r="H22" i="7"/>
  <c r="I22" i="7"/>
  <c r="J22" i="7"/>
  <c r="K22" i="7"/>
  <c r="M22" i="7"/>
  <c r="N22" i="7"/>
  <c r="O22" i="7"/>
  <c r="P22" i="7"/>
  <c r="Q22" i="7"/>
  <c r="R22" i="7"/>
  <c r="S23" i="9"/>
  <c r="S22" i="7"/>
  <c r="T22" i="7"/>
  <c r="U22" i="7"/>
  <c r="V22" i="7"/>
  <c r="W23" i="9"/>
  <c r="W22" i="7"/>
  <c r="X22" i="7"/>
  <c r="Y22" i="7"/>
  <c r="Z22" i="7"/>
  <c r="AA22" i="7"/>
  <c r="AB22" i="7"/>
  <c r="AC22" i="7"/>
  <c r="AD22" i="7"/>
  <c r="AE22" i="7"/>
  <c r="AF22" i="7"/>
  <c r="AG22" i="7"/>
  <c r="AH22" i="7"/>
  <c r="AI22" i="7"/>
  <c r="AJ22" i="7"/>
  <c r="AK22" i="7"/>
  <c r="AL22" i="7"/>
  <c r="AM22" i="7"/>
  <c r="AN22" i="7"/>
  <c r="AO23" i="9"/>
  <c r="AO22" i="7"/>
  <c r="AP22" i="7"/>
  <c r="AQ22" i="7"/>
  <c r="AR22" i="7"/>
  <c r="AS22" i="7"/>
  <c r="AT22" i="7"/>
  <c r="AU22" i="7"/>
  <c r="AV22" i="7"/>
  <c r="AW22" i="7"/>
  <c r="AX22" i="7"/>
  <c r="AY22" i="7"/>
  <c r="AZ22" i="7"/>
  <c r="BA22" i="7"/>
  <c r="L23" i="7"/>
  <c r="B23" i="7"/>
  <c r="C23" i="7"/>
  <c r="D23" i="7"/>
  <c r="E23" i="7"/>
  <c r="A24" i="9"/>
  <c r="F24" i="9"/>
  <c r="F23" i="7"/>
  <c r="G23" i="7"/>
  <c r="H23" i="7"/>
  <c r="I23" i="7"/>
  <c r="J23" i="7"/>
  <c r="K23" i="7"/>
  <c r="M23" i="7"/>
  <c r="N23" i="7"/>
  <c r="O23" i="7"/>
  <c r="P23" i="7"/>
  <c r="Q23" i="7"/>
  <c r="R23" i="7"/>
  <c r="S24" i="9"/>
  <c r="S23" i="7"/>
  <c r="T23" i="7"/>
  <c r="U23" i="7"/>
  <c r="V23" i="7"/>
  <c r="W24" i="9"/>
  <c r="W23" i="7"/>
  <c r="X23" i="7"/>
  <c r="Y23" i="7"/>
  <c r="Z23" i="7"/>
  <c r="AA23" i="7"/>
  <c r="AB23" i="7"/>
  <c r="AC23" i="7"/>
  <c r="AD23" i="7"/>
  <c r="AE23" i="7"/>
  <c r="AF23" i="7"/>
  <c r="AG23" i="7"/>
  <c r="AH23" i="7"/>
  <c r="AI23" i="7"/>
  <c r="AJ23" i="7"/>
  <c r="AK23" i="7"/>
  <c r="AL23" i="7"/>
  <c r="AM23" i="7"/>
  <c r="AN23" i="7"/>
  <c r="AO24" i="9"/>
  <c r="AO23" i="7"/>
  <c r="AP23" i="7"/>
  <c r="AQ23" i="7"/>
  <c r="AR23" i="7"/>
  <c r="AS23" i="7"/>
  <c r="AT23" i="7"/>
  <c r="AU23" i="7"/>
  <c r="AV23" i="7"/>
  <c r="AW23" i="7"/>
  <c r="AX23" i="7"/>
  <c r="AY23" i="7"/>
  <c r="AZ23" i="7"/>
  <c r="BA23" i="7"/>
  <c r="L24" i="7"/>
  <c r="B24" i="7"/>
  <c r="C24" i="7"/>
  <c r="D24" i="7"/>
  <c r="E24" i="7"/>
  <c r="A25" i="9"/>
  <c r="F25" i="9"/>
  <c r="F24" i="7"/>
  <c r="G24" i="7"/>
  <c r="H24" i="7"/>
  <c r="I24" i="7"/>
  <c r="J24" i="7"/>
  <c r="K24" i="7"/>
  <c r="M24" i="7"/>
  <c r="N24" i="7"/>
  <c r="O24" i="7"/>
  <c r="P24" i="7"/>
  <c r="Q24" i="7"/>
  <c r="R24" i="7"/>
  <c r="S25" i="9"/>
  <c r="S24" i="7"/>
  <c r="T24" i="7"/>
  <c r="U24" i="7"/>
  <c r="V24" i="7"/>
  <c r="W25" i="9"/>
  <c r="W24" i="7"/>
  <c r="X24" i="7"/>
  <c r="Y24" i="7"/>
  <c r="Z24" i="7"/>
  <c r="AA24" i="7"/>
  <c r="AB24" i="7"/>
  <c r="AC24" i="7"/>
  <c r="AD24" i="7"/>
  <c r="AE24" i="7"/>
  <c r="AF24" i="7"/>
  <c r="AG24" i="7"/>
  <c r="AH24" i="7"/>
  <c r="AI24" i="7"/>
  <c r="AJ24" i="7"/>
  <c r="AK24" i="7"/>
  <c r="AL24" i="7"/>
  <c r="AM24" i="7"/>
  <c r="AN24" i="7"/>
  <c r="AO25" i="9"/>
  <c r="AO24" i="7"/>
  <c r="AP24" i="7"/>
  <c r="AQ24" i="7"/>
  <c r="AR24" i="7"/>
  <c r="AS24" i="7"/>
  <c r="AT24" i="7"/>
  <c r="AU24" i="7"/>
  <c r="AV24" i="7"/>
  <c r="AW24" i="7"/>
  <c r="AX24" i="7"/>
  <c r="AY24" i="7"/>
  <c r="AZ24" i="7"/>
  <c r="BA24" i="7"/>
  <c r="BR10" i="7"/>
  <c r="AD116" i="7"/>
  <c r="BB11" i="7"/>
  <c r="BC11" i="7"/>
  <c r="BB12" i="7"/>
  <c r="BC12" i="7"/>
  <c r="BV10" i="7"/>
  <c r="AE116" i="7"/>
  <c r="BB13" i="7"/>
  <c r="BC13" i="7"/>
  <c r="BB14" i="7"/>
  <c r="BC14" i="7"/>
  <c r="BW10" i="7"/>
  <c r="AF116" i="7"/>
  <c r="BB15" i="7"/>
  <c r="BC15" i="7"/>
  <c r="BB16" i="7"/>
  <c r="BC16" i="7"/>
  <c r="BB17" i="7"/>
  <c r="BC17" i="7"/>
  <c r="BB18" i="7"/>
  <c r="BC18" i="7"/>
  <c r="BB19" i="7"/>
  <c r="BC19" i="7"/>
  <c r="BX10" i="7"/>
  <c r="AG116" i="7"/>
  <c r="BB21" i="7"/>
  <c r="BB20" i="7"/>
  <c r="BC20" i="7"/>
  <c r="BC21" i="7"/>
  <c r="BB22" i="7"/>
  <c r="BC22" i="7"/>
  <c r="BB23" i="7"/>
  <c r="BC23" i="7"/>
  <c r="BB24" i="7"/>
  <c r="BC24" i="7"/>
  <c r="BY10" i="7"/>
  <c r="AH116" i="7"/>
  <c r="P117" i="7"/>
  <c r="Q117" i="7"/>
  <c r="R117" i="7"/>
  <c r="S117" i="7"/>
  <c r="A118" i="7"/>
  <c r="C12" i="9"/>
  <c r="B118" i="7"/>
  <c r="D12" i="9"/>
  <c r="C118" i="7"/>
  <c r="G12" i="9"/>
  <c r="D118" i="7"/>
  <c r="H12" i="9"/>
  <c r="E118" i="7"/>
  <c r="K12" i="9"/>
  <c r="F118" i="7"/>
  <c r="N60" i="9"/>
  <c r="N12" i="9"/>
  <c r="G118" i="7"/>
  <c r="U12" i="9"/>
  <c r="H118" i="7"/>
  <c r="I118" i="7"/>
  <c r="J118" i="7"/>
  <c r="T117"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BA61" i="7"/>
  <c r="U117" i="7"/>
  <c r="V117" i="7"/>
  <c r="BD11" i="7"/>
  <c r="BE11" i="7"/>
  <c r="BF11" i="7"/>
  <c r="W117" i="7"/>
  <c r="AZ61" i="7"/>
  <c r="BD61" i="7"/>
  <c r="BE61" i="7"/>
  <c r="BF61" i="7"/>
  <c r="X117" i="7"/>
  <c r="K118" i="7"/>
  <c r="L118" i="7"/>
  <c r="Y117" i="7"/>
  <c r="BB61" i="7"/>
  <c r="BC61" i="7"/>
  <c r="Z117" i="7"/>
  <c r="BO11" i="7"/>
  <c r="AA117" i="7"/>
  <c r="BP11" i="7"/>
  <c r="AB117" i="7"/>
  <c r="BQ11" i="7"/>
  <c r="AC117" i="7"/>
  <c r="L25" i="7"/>
  <c r="B25" i="7"/>
  <c r="C25" i="7"/>
  <c r="D25" i="7"/>
  <c r="E25" i="7"/>
  <c r="A26" i="9"/>
  <c r="F26" i="9"/>
  <c r="F25" i="7"/>
  <c r="G25" i="7"/>
  <c r="H25" i="7"/>
  <c r="I25" i="7"/>
  <c r="J25" i="7"/>
  <c r="K25" i="7"/>
  <c r="M25" i="7"/>
  <c r="N25" i="7"/>
  <c r="O25" i="7"/>
  <c r="P25" i="7"/>
  <c r="Q25" i="7"/>
  <c r="R25" i="7"/>
  <c r="S26" i="9"/>
  <c r="S25" i="7"/>
  <c r="T25" i="7"/>
  <c r="U25" i="7"/>
  <c r="V25" i="7"/>
  <c r="W26" i="9"/>
  <c r="W25" i="7"/>
  <c r="X25" i="7"/>
  <c r="Y25" i="7"/>
  <c r="Z25" i="7"/>
  <c r="AA25" i="7"/>
  <c r="AB25" i="7"/>
  <c r="AC25" i="7"/>
  <c r="AD25" i="7"/>
  <c r="AE25" i="7"/>
  <c r="AF25" i="7"/>
  <c r="AG25" i="7"/>
  <c r="AH25" i="7"/>
  <c r="AI25" i="7"/>
  <c r="AJ25" i="7"/>
  <c r="AK25" i="7"/>
  <c r="AL25" i="7"/>
  <c r="AM25" i="7"/>
  <c r="AN25" i="7"/>
  <c r="AO26" i="9"/>
  <c r="AO25" i="7"/>
  <c r="AP25" i="7"/>
  <c r="AQ25" i="7"/>
  <c r="AR25" i="7"/>
  <c r="AS25" i="7"/>
  <c r="AT25" i="7"/>
  <c r="AU25" i="7"/>
  <c r="AV25" i="7"/>
  <c r="AW25" i="7"/>
  <c r="AX25" i="7"/>
  <c r="AY25" i="7"/>
  <c r="AZ25" i="7"/>
  <c r="BA25" i="7"/>
  <c r="BR11" i="7"/>
  <c r="AD117" i="7"/>
  <c r="BV11" i="7"/>
  <c r="AE117" i="7"/>
  <c r="BW11" i="7"/>
  <c r="AF117" i="7"/>
  <c r="BX11" i="7"/>
  <c r="AG117" i="7"/>
  <c r="BB25" i="7"/>
  <c r="BC25" i="7"/>
  <c r="BY11" i="7"/>
  <c r="AH117" i="7"/>
  <c r="P118" i="7"/>
  <c r="Q118" i="7"/>
  <c r="R118" i="7"/>
  <c r="S118" i="7"/>
  <c r="A119" i="7"/>
  <c r="C13" i="9"/>
  <c r="B119" i="7"/>
  <c r="D13" i="9"/>
  <c r="C119" i="7"/>
  <c r="G13" i="9"/>
  <c r="D119" i="7"/>
  <c r="H13" i="9"/>
  <c r="E119" i="7"/>
  <c r="K13" i="9"/>
  <c r="F119" i="7"/>
  <c r="N61" i="9"/>
  <c r="N13" i="9"/>
  <c r="G119" i="7"/>
  <c r="U13" i="9"/>
  <c r="H119" i="7"/>
  <c r="I119" i="7"/>
  <c r="J119" i="7"/>
  <c r="T118"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BA62" i="7"/>
  <c r="U118" i="7"/>
  <c r="V118" i="7"/>
  <c r="BD12" i="7"/>
  <c r="BE12" i="7"/>
  <c r="BF12" i="7"/>
  <c r="W118" i="7"/>
  <c r="AZ62" i="7"/>
  <c r="BD62" i="7"/>
  <c r="BE62" i="7"/>
  <c r="BF62" i="7"/>
  <c r="X118" i="7"/>
  <c r="K119" i="7"/>
  <c r="L119" i="7"/>
  <c r="Y118" i="7"/>
  <c r="BB62" i="7"/>
  <c r="BC62" i="7"/>
  <c r="Z118" i="7"/>
  <c r="BO12" i="7"/>
  <c r="AA118" i="7"/>
  <c r="BP12" i="7"/>
  <c r="AB118" i="7"/>
  <c r="BQ12" i="7"/>
  <c r="AC118" i="7"/>
  <c r="L26" i="7"/>
  <c r="B26" i="7"/>
  <c r="C26" i="7"/>
  <c r="D26" i="7"/>
  <c r="E26" i="7"/>
  <c r="A27" i="9"/>
  <c r="F27" i="9"/>
  <c r="F26" i="7"/>
  <c r="G26" i="7"/>
  <c r="H26" i="7"/>
  <c r="I26" i="7"/>
  <c r="J26" i="7"/>
  <c r="K26" i="7"/>
  <c r="M26" i="7"/>
  <c r="N26" i="7"/>
  <c r="O26" i="7"/>
  <c r="P26" i="7"/>
  <c r="Q26" i="7"/>
  <c r="R26" i="7"/>
  <c r="S27" i="9"/>
  <c r="S26" i="7"/>
  <c r="T26" i="7"/>
  <c r="U26" i="7"/>
  <c r="V26" i="7"/>
  <c r="W27" i="9"/>
  <c r="W26" i="7"/>
  <c r="X26" i="7"/>
  <c r="Y26" i="7"/>
  <c r="Z26" i="7"/>
  <c r="AA26" i="7"/>
  <c r="AB26" i="7"/>
  <c r="AC26" i="7"/>
  <c r="AD26" i="7"/>
  <c r="AE26" i="7"/>
  <c r="AF26" i="7"/>
  <c r="AG26" i="7"/>
  <c r="AH26" i="7"/>
  <c r="AI26" i="7"/>
  <c r="AJ26" i="7"/>
  <c r="AK26" i="7"/>
  <c r="AL26" i="7"/>
  <c r="AM26" i="7"/>
  <c r="AN26" i="7"/>
  <c r="AO27" i="9"/>
  <c r="AO26" i="7"/>
  <c r="AP26" i="7"/>
  <c r="AQ26" i="7"/>
  <c r="AR26" i="7"/>
  <c r="AS26" i="7"/>
  <c r="AT26" i="7"/>
  <c r="AU26" i="7"/>
  <c r="AV26" i="7"/>
  <c r="AW26" i="7"/>
  <c r="AX26" i="7"/>
  <c r="AY26" i="7"/>
  <c r="AZ26" i="7"/>
  <c r="BA26" i="7"/>
  <c r="BR12" i="7"/>
  <c r="AD118" i="7"/>
  <c r="BV12" i="7"/>
  <c r="AE118" i="7"/>
  <c r="BW12" i="7"/>
  <c r="AF118" i="7"/>
  <c r="BX12" i="7"/>
  <c r="AG118" i="7"/>
  <c r="BB26" i="7"/>
  <c r="BC26" i="7"/>
  <c r="BY12" i="7"/>
  <c r="AH118" i="7"/>
  <c r="P119" i="7"/>
  <c r="Q119" i="7"/>
  <c r="R119" i="7"/>
  <c r="S119" i="7"/>
  <c r="A120" i="7"/>
  <c r="C14" i="9"/>
  <c r="B120" i="7"/>
  <c r="D14" i="9"/>
  <c r="C120" i="7"/>
  <c r="G14" i="9"/>
  <c r="D120" i="7"/>
  <c r="H14" i="9"/>
  <c r="E120" i="7"/>
  <c r="K14" i="9"/>
  <c r="F120" i="7"/>
  <c r="N62" i="9"/>
  <c r="N14" i="9"/>
  <c r="G120" i="7"/>
  <c r="U14" i="9"/>
  <c r="H120" i="7"/>
  <c r="I120" i="7"/>
  <c r="J120" i="7"/>
  <c r="T119"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BA63" i="7"/>
  <c r="U119" i="7"/>
  <c r="V119" i="7"/>
  <c r="BD13" i="7"/>
  <c r="BE13" i="7"/>
  <c r="BF13" i="7"/>
  <c r="W119" i="7"/>
  <c r="AZ63" i="7"/>
  <c r="BD63" i="7"/>
  <c r="BE63" i="7"/>
  <c r="BF63" i="7"/>
  <c r="X119" i="7"/>
  <c r="K120" i="7"/>
  <c r="L120" i="7"/>
  <c r="Y119" i="7"/>
  <c r="BB63" i="7"/>
  <c r="BC63" i="7"/>
  <c r="Z119" i="7"/>
  <c r="BO13" i="7"/>
  <c r="AA119" i="7"/>
  <c r="BP13" i="7"/>
  <c r="AB119" i="7"/>
  <c r="BQ13" i="7"/>
  <c r="AC119" i="7"/>
  <c r="A28" i="9"/>
  <c r="AO28" i="9"/>
  <c r="AO27" i="7"/>
  <c r="L27" i="7"/>
  <c r="B27" i="7"/>
  <c r="C27" i="7"/>
  <c r="D27" i="7"/>
  <c r="E27" i="7"/>
  <c r="F28" i="9"/>
  <c r="F27" i="7"/>
  <c r="G27" i="7"/>
  <c r="H27" i="7"/>
  <c r="I27" i="7"/>
  <c r="J27" i="7"/>
  <c r="K27" i="7"/>
  <c r="M27" i="7"/>
  <c r="N27" i="7"/>
  <c r="O27" i="7"/>
  <c r="P27" i="7"/>
  <c r="Q27" i="7"/>
  <c r="R27" i="7"/>
  <c r="S28" i="9"/>
  <c r="S27" i="7"/>
  <c r="T27" i="7"/>
  <c r="U27" i="7"/>
  <c r="V27" i="7"/>
  <c r="W28" i="9"/>
  <c r="W27" i="7"/>
  <c r="X27" i="7"/>
  <c r="Y27" i="7"/>
  <c r="Z27" i="7"/>
  <c r="AA27" i="7"/>
  <c r="AB27" i="7"/>
  <c r="AC27" i="7"/>
  <c r="AD27" i="7"/>
  <c r="AE27" i="7"/>
  <c r="AF27" i="7"/>
  <c r="AG27" i="7"/>
  <c r="AH27" i="7"/>
  <c r="AI27" i="7"/>
  <c r="AJ27" i="7"/>
  <c r="AK27" i="7"/>
  <c r="AL27" i="7"/>
  <c r="AM27" i="7"/>
  <c r="AN27" i="7"/>
  <c r="AP27" i="7"/>
  <c r="AQ27" i="7"/>
  <c r="AR27" i="7"/>
  <c r="AS27" i="7"/>
  <c r="AT27" i="7"/>
  <c r="AU27" i="7"/>
  <c r="AV27" i="7"/>
  <c r="AW27" i="7"/>
  <c r="AX27" i="7"/>
  <c r="AY27" i="7"/>
  <c r="AZ27" i="7"/>
  <c r="BA27" i="7"/>
  <c r="BR13" i="7"/>
  <c r="AD119" i="7"/>
  <c r="BV13" i="7"/>
  <c r="AE119" i="7"/>
  <c r="BW13" i="7"/>
  <c r="AF119" i="7"/>
  <c r="BX13" i="7"/>
  <c r="AG119" i="7"/>
  <c r="BB27" i="7"/>
  <c r="BC27" i="7"/>
  <c r="BY13" i="7"/>
  <c r="AH119" i="7"/>
  <c r="P120" i="7"/>
  <c r="Q120" i="7"/>
  <c r="R120" i="7"/>
  <c r="S120" i="7"/>
  <c r="A121" i="7"/>
  <c r="C15" i="9"/>
  <c r="B121" i="7"/>
  <c r="D15" i="9"/>
  <c r="C121" i="7"/>
  <c r="G15" i="9"/>
  <c r="D121" i="7"/>
  <c r="H15" i="9"/>
  <c r="E121" i="7"/>
  <c r="K15" i="9"/>
  <c r="F121" i="7"/>
  <c r="N63" i="9"/>
  <c r="N15" i="9"/>
  <c r="G121" i="7"/>
  <c r="U15" i="9"/>
  <c r="H121" i="7"/>
  <c r="I121" i="7"/>
  <c r="J121" i="7"/>
  <c r="T120"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BA64" i="7"/>
  <c r="U120" i="7"/>
  <c r="V120" i="7"/>
  <c r="BD14" i="7"/>
  <c r="BE14" i="7"/>
  <c r="BF14" i="7"/>
  <c r="W120" i="7"/>
  <c r="AZ64" i="7"/>
  <c r="BD64" i="7"/>
  <c r="BE64" i="7"/>
  <c r="BF64" i="7"/>
  <c r="X120" i="7"/>
  <c r="K121" i="7"/>
  <c r="L121" i="7"/>
  <c r="Y120" i="7"/>
  <c r="BB64" i="7"/>
  <c r="BC64" i="7"/>
  <c r="Z120" i="7"/>
  <c r="BO14" i="7"/>
  <c r="AA120" i="7"/>
  <c r="BP14" i="7"/>
  <c r="AB120" i="7"/>
  <c r="BQ14" i="7"/>
  <c r="AC120" i="7"/>
  <c r="A29" i="9"/>
  <c r="AO29" i="9"/>
  <c r="AO28" i="7"/>
  <c r="L28" i="7"/>
  <c r="B28" i="7"/>
  <c r="C28" i="7"/>
  <c r="D28" i="7"/>
  <c r="E28" i="7"/>
  <c r="F29" i="9"/>
  <c r="F28" i="7"/>
  <c r="G28" i="7"/>
  <c r="H28" i="7"/>
  <c r="I28" i="7"/>
  <c r="J28" i="7"/>
  <c r="K28" i="7"/>
  <c r="M28" i="7"/>
  <c r="N28" i="7"/>
  <c r="O28" i="7"/>
  <c r="P28" i="7"/>
  <c r="Q28" i="7"/>
  <c r="R28" i="7"/>
  <c r="S29" i="9"/>
  <c r="S28" i="7"/>
  <c r="T28" i="7"/>
  <c r="U28" i="7"/>
  <c r="V28" i="7"/>
  <c r="W29" i="9"/>
  <c r="W28" i="7"/>
  <c r="X28" i="7"/>
  <c r="Y28" i="7"/>
  <c r="Z28" i="7"/>
  <c r="AA28" i="7"/>
  <c r="AB28" i="7"/>
  <c r="AC28" i="7"/>
  <c r="AD28" i="7"/>
  <c r="AE28" i="7"/>
  <c r="AF28" i="7"/>
  <c r="AG28" i="7"/>
  <c r="AH28" i="7"/>
  <c r="AI28" i="7"/>
  <c r="AJ28" i="7"/>
  <c r="AK28" i="7"/>
  <c r="AL28" i="7"/>
  <c r="AM28" i="7"/>
  <c r="AN28" i="7"/>
  <c r="AP28" i="7"/>
  <c r="AQ28" i="7"/>
  <c r="AR28" i="7"/>
  <c r="AS28" i="7"/>
  <c r="AT28" i="7"/>
  <c r="AU28" i="7"/>
  <c r="AV28" i="7"/>
  <c r="AW28" i="7"/>
  <c r="AX28" i="7"/>
  <c r="AY28" i="7"/>
  <c r="AZ28" i="7"/>
  <c r="BA28" i="7"/>
  <c r="BR14" i="7"/>
  <c r="AD120" i="7"/>
  <c r="BV14" i="7"/>
  <c r="AE120" i="7"/>
  <c r="BW14" i="7"/>
  <c r="AF120" i="7"/>
  <c r="BX14" i="7"/>
  <c r="AG120" i="7"/>
  <c r="BB28" i="7"/>
  <c r="BC28" i="7"/>
  <c r="BY14" i="7"/>
  <c r="AH120" i="7"/>
  <c r="P121" i="7"/>
  <c r="Q121" i="7"/>
  <c r="R121" i="7"/>
  <c r="S121" i="7"/>
  <c r="A122" i="7"/>
  <c r="C16" i="9"/>
  <c r="B122" i="7"/>
  <c r="D16" i="9"/>
  <c r="C122" i="7"/>
  <c r="G16" i="9"/>
  <c r="D122" i="7"/>
  <c r="H16" i="9"/>
  <c r="E122" i="7"/>
  <c r="K16" i="9"/>
  <c r="F122" i="7"/>
  <c r="N64" i="9"/>
  <c r="N16" i="9"/>
  <c r="G122" i="7"/>
  <c r="U16" i="9"/>
  <c r="H122" i="7"/>
  <c r="I122" i="7"/>
  <c r="J122" i="7"/>
  <c r="T121"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BA65" i="7"/>
  <c r="U121" i="7"/>
  <c r="V121" i="7"/>
  <c r="BD15" i="7"/>
  <c r="BE15" i="7"/>
  <c r="BF15" i="7"/>
  <c r="W121" i="7"/>
  <c r="AZ65" i="7"/>
  <c r="BD65" i="7"/>
  <c r="BE65" i="7"/>
  <c r="BF65" i="7"/>
  <c r="X121" i="7"/>
  <c r="K122" i="7"/>
  <c r="L122" i="7"/>
  <c r="Y121" i="7"/>
  <c r="BB65" i="7"/>
  <c r="BC65" i="7"/>
  <c r="Z121" i="7"/>
  <c r="BO15" i="7"/>
  <c r="AA121" i="7"/>
  <c r="BP15" i="7"/>
  <c r="AB121" i="7"/>
  <c r="BQ15" i="7"/>
  <c r="AC121" i="7"/>
  <c r="A30" i="9"/>
  <c r="AO30" i="9"/>
  <c r="AO29" i="7"/>
  <c r="L29" i="7"/>
  <c r="B29" i="7"/>
  <c r="C29" i="7"/>
  <c r="D29" i="7"/>
  <c r="E29" i="7"/>
  <c r="F30" i="9"/>
  <c r="F29" i="7"/>
  <c r="G29" i="7"/>
  <c r="H29" i="7"/>
  <c r="I29" i="7"/>
  <c r="J29" i="7"/>
  <c r="K29" i="7"/>
  <c r="M29" i="7"/>
  <c r="N29" i="7"/>
  <c r="O29" i="7"/>
  <c r="P29" i="7"/>
  <c r="Q29" i="7"/>
  <c r="R29" i="7"/>
  <c r="S30" i="9"/>
  <c r="S29" i="7"/>
  <c r="T29" i="7"/>
  <c r="U29" i="7"/>
  <c r="V29" i="7"/>
  <c r="W30" i="9"/>
  <c r="W29" i="7"/>
  <c r="X29" i="7"/>
  <c r="Y29" i="7"/>
  <c r="Z29" i="7"/>
  <c r="AA29" i="7"/>
  <c r="AB29" i="7"/>
  <c r="AC29" i="7"/>
  <c r="AD29" i="7"/>
  <c r="AE29" i="7"/>
  <c r="AF29" i="7"/>
  <c r="AG29" i="7"/>
  <c r="AH29" i="7"/>
  <c r="AI29" i="7"/>
  <c r="AJ29" i="7"/>
  <c r="AK29" i="7"/>
  <c r="AL29" i="7"/>
  <c r="AM29" i="7"/>
  <c r="AN29" i="7"/>
  <c r="AP29" i="7"/>
  <c r="AQ29" i="7"/>
  <c r="AR29" i="7"/>
  <c r="AS29" i="7"/>
  <c r="AT29" i="7"/>
  <c r="AU29" i="7"/>
  <c r="AV29" i="7"/>
  <c r="AW29" i="7"/>
  <c r="AX29" i="7"/>
  <c r="AY29" i="7"/>
  <c r="AZ29" i="7"/>
  <c r="BA29" i="7"/>
  <c r="BR15" i="7"/>
  <c r="AD121" i="7"/>
  <c r="BV15" i="7"/>
  <c r="AE121" i="7"/>
  <c r="BW15" i="7"/>
  <c r="AF121" i="7"/>
  <c r="BX15" i="7"/>
  <c r="AG121" i="7"/>
  <c r="BB29" i="7"/>
  <c r="BC29" i="7"/>
  <c r="BY15" i="7"/>
  <c r="AH121" i="7"/>
  <c r="P122" i="7"/>
  <c r="Q122" i="7"/>
  <c r="R122" i="7"/>
  <c r="S122" i="7"/>
  <c r="A123" i="7"/>
  <c r="C17" i="9"/>
  <c r="B123" i="7"/>
  <c r="D17" i="9"/>
  <c r="C123" i="7"/>
  <c r="G17" i="9"/>
  <c r="D123" i="7"/>
  <c r="H17" i="9"/>
  <c r="E123" i="7"/>
  <c r="K17" i="9"/>
  <c r="F123" i="7"/>
  <c r="N65" i="9"/>
  <c r="N17" i="9"/>
  <c r="G123" i="7"/>
  <c r="U17" i="9"/>
  <c r="H123" i="7"/>
  <c r="I123" i="7"/>
  <c r="J123" i="7"/>
  <c r="T122"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BA66" i="7"/>
  <c r="U122" i="7"/>
  <c r="V122" i="7"/>
  <c r="BD16" i="7"/>
  <c r="BE16" i="7"/>
  <c r="BF16" i="7"/>
  <c r="W122" i="7"/>
  <c r="AZ66" i="7"/>
  <c r="BD66" i="7"/>
  <c r="BE66" i="7"/>
  <c r="BF66" i="7"/>
  <c r="X122" i="7"/>
  <c r="K123" i="7"/>
  <c r="L123" i="7"/>
  <c r="Y122" i="7"/>
  <c r="BB66" i="7"/>
  <c r="BC66" i="7"/>
  <c r="Z122" i="7"/>
  <c r="BO16" i="7"/>
  <c r="AA122" i="7"/>
  <c r="BP16" i="7"/>
  <c r="AB122" i="7"/>
  <c r="BQ16" i="7"/>
  <c r="AC122" i="7"/>
  <c r="L30" i="7"/>
  <c r="B30" i="7"/>
  <c r="C30" i="7"/>
  <c r="D30" i="7"/>
  <c r="E30" i="7"/>
  <c r="A31" i="9"/>
  <c r="F31" i="9"/>
  <c r="F30" i="7"/>
  <c r="G30" i="7"/>
  <c r="H30" i="7"/>
  <c r="I30" i="7"/>
  <c r="J30" i="7"/>
  <c r="K30" i="7"/>
  <c r="M30" i="7"/>
  <c r="N30" i="7"/>
  <c r="O30" i="7"/>
  <c r="P30" i="7"/>
  <c r="Q30" i="7"/>
  <c r="R30" i="7"/>
  <c r="S31" i="9"/>
  <c r="S30" i="7"/>
  <c r="T30" i="7"/>
  <c r="U30" i="7"/>
  <c r="V30" i="7"/>
  <c r="W31" i="9"/>
  <c r="W30" i="7"/>
  <c r="X30" i="7"/>
  <c r="Y30" i="7"/>
  <c r="Z30" i="7"/>
  <c r="AA30" i="7"/>
  <c r="AB30" i="7"/>
  <c r="AC30" i="7"/>
  <c r="AD30" i="7"/>
  <c r="AE30" i="7"/>
  <c r="AF30" i="7"/>
  <c r="AG30" i="7"/>
  <c r="AH30" i="7"/>
  <c r="AI30" i="7"/>
  <c r="AJ30" i="7"/>
  <c r="AK30" i="7"/>
  <c r="AL30" i="7"/>
  <c r="AM30" i="7"/>
  <c r="AN30" i="7"/>
  <c r="AO31" i="9"/>
  <c r="AO30" i="7"/>
  <c r="AP30" i="7"/>
  <c r="AQ30" i="7"/>
  <c r="AR30" i="7"/>
  <c r="AS30" i="7"/>
  <c r="AT30" i="7"/>
  <c r="AU30" i="7"/>
  <c r="AV30" i="7"/>
  <c r="AW30" i="7"/>
  <c r="AX30" i="7"/>
  <c r="AY30" i="7"/>
  <c r="AZ30" i="7"/>
  <c r="BA30" i="7"/>
  <c r="BR16" i="7"/>
  <c r="AD122" i="7"/>
  <c r="BV16" i="7"/>
  <c r="AE122" i="7"/>
  <c r="BW16" i="7"/>
  <c r="AF122" i="7"/>
  <c r="BX16" i="7"/>
  <c r="AG122" i="7"/>
  <c r="BB30" i="7"/>
  <c r="BC30" i="7"/>
  <c r="BY16" i="7"/>
  <c r="AH122" i="7"/>
  <c r="P123" i="7"/>
  <c r="Q123" i="7"/>
  <c r="R123" i="7"/>
  <c r="S123" i="7"/>
  <c r="A124" i="7"/>
  <c r="C18" i="9"/>
  <c r="B124" i="7"/>
  <c r="D18" i="9"/>
  <c r="C124" i="7"/>
  <c r="G18" i="9"/>
  <c r="D124" i="7"/>
  <c r="H18" i="9"/>
  <c r="E124" i="7"/>
  <c r="K18" i="9"/>
  <c r="F124" i="7"/>
  <c r="N66" i="9"/>
  <c r="N18" i="9"/>
  <c r="G124" i="7"/>
  <c r="U18" i="9"/>
  <c r="H124" i="7"/>
  <c r="I124" i="7"/>
  <c r="J124" i="7"/>
  <c r="T123"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BA67" i="7"/>
  <c r="U123" i="7"/>
  <c r="V123" i="7"/>
  <c r="BD17" i="7"/>
  <c r="BE17" i="7"/>
  <c r="BF17" i="7"/>
  <c r="W123" i="7"/>
  <c r="AZ67" i="7"/>
  <c r="BD67" i="7"/>
  <c r="BE67" i="7"/>
  <c r="BF67" i="7"/>
  <c r="X123" i="7"/>
  <c r="K124" i="7"/>
  <c r="L124" i="7"/>
  <c r="Y123" i="7"/>
  <c r="BB67" i="7"/>
  <c r="BC67" i="7"/>
  <c r="Z123" i="7"/>
  <c r="BO17" i="7"/>
  <c r="AA123" i="7"/>
  <c r="BP17" i="7"/>
  <c r="AB123" i="7"/>
  <c r="BQ17" i="7"/>
  <c r="AC123" i="7"/>
  <c r="L31" i="7"/>
  <c r="B31" i="7"/>
  <c r="C31" i="7"/>
  <c r="D31" i="7"/>
  <c r="E31" i="7"/>
  <c r="A32" i="9"/>
  <c r="F32" i="9"/>
  <c r="F31" i="7"/>
  <c r="G31" i="7"/>
  <c r="H31" i="7"/>
  <c r="I31" i="7"/>
  <c r="J31" i="7"/>
  <c r="K31" i="7"/>
  <c r="M31" i="7"/>
  <c r="N31" i="7"/>
  <c r="O31" i="7"/>
  <c r="P31" i="7"/>
  <c r="Q31" i="7"/>
  <c r="R31" i="7"/>
  <c r="S32" i="9"/>
  <c r="S31" i="7"/>
  <c r="T31" i="7"/>
  <c r="U31" i="7"/>
  <c r="V31" i="7"/>
  <c r="W32" i="9"/>
  <c r="W31" i="7"/>
  <c r="X31" i="7"/>
  <c r="Y31" i="7"/>
  <c r="Z31" i="7"/>
  <c r="AA31" i="7"/>
  <c r="AB31" i="7"/>
  <c r="AC31" i="7"/>
  <c r="AD31" i="7"/>
  <c r="AE31" i="7"/>
  <c r="AF31" i="7"/>
  <c r="AG31" i="7"/>
  <c r="AH31" i="7"/>
  <c r="AI31" i="7"/>
  <c r="AJ31" i="7"/>
  <c r="AK31" i="7"/>
  <c r="AL31" i="7"/>
  <c r="AM31" i="7"/>
  <c r="AN31" i="7"/>
  <c r="AO32" i="9"/>
  <c r="AO31" i="7"/>
  <c r="AP31" i="7"/>
  <c r="AQ31" i="7"/>
  <c r="AR31" i="7"/>
  <c r="AS31" i="7"/>
  <c r="AT31" i="7"/>
  <c r="AU31" i="7"/>
  <c r="AV31" i="7"/>
  <c r="AW31" i="7"/>
  <c r="AX31" i="7"/>
  <c r="AY31" i="7"/>
  <c r="AZ31" i="7"/>
  <c r="BA31" i="7"/>
  <c r="BR17" i="7"/>
  <c r="AD123" i="7"/>
  <c r="BV17" i="7"/>
  <c r="AE123" i="7"/>
  <c r="BW17" i="7"/>
  <c r="AF123" i="7"/>
  <c r="BX17" i="7"/>
  <c r="AG123" i="7"/>
  <c r="BB31" i="7"/>
  <c r="BC31" i="7"/>
  <c r="BY17" i="7"/>
  <c r="AH123" i="7"/>
  <c r="P124" i="7"/>
  <c r="Q124" i="7"/>
  <c r="R124" i="7"/>
  <c r="S124" i="7"/>
  <c r="A125" i="7"/>
  <c r="C19" i="9"/>
  <c r="B125" i="7"/>
  <c r="D19" i="9"/>
  <c r="C125" i="7"/>
  <c r="G19" i="9"/>
  <c r="D125" i="7"/>
  <c r="H19" i="9"/>
  <c r="E125" i="7"/>
  <c r="K19" i="9"/>
  <c r="F125" i="7"/>
  <c r="N67" i="9"/>
  <c r="N19" i="9"/>
  <c r="G125" i="7"/>
  <c r="U19" i="9"/>
  <c r="H125" i="7"/>
  <c r="I125" i="7"/>
  <c r="J125" i="7"/>
  <c r="T124"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BA68" i="7"/>
  <c r="U124" i="7"/>
  <c r="V124" i="7"/>
  <c r="BD18" i="7"/>
  <c r="BE18" i="7"/>
  <c r="BF18" i="7"/>
  <c r="W124" i="7"/>
  <c r="AZ68" i="7"/>
  <c r="BD68" i="7"/>
  <c r="BE68" i="7"/>
  <c r="BF68" i="7"/>
  <c r="X124" i="7"/>
  <c r="K125" i="7"/>
  <c r="L125" i="7"/>
  <c r="Y124" i="7"/>
  <c r="BB68" i="7"/>
  <c r="BC68" i="7"/>
  <c r="Z124" i="7"/>
  <c r="BO18" i="7"/>
  <c r="AA124" i="7"/>
  <c r="BP18" i="7"/>
  <c r="AB124" i="7"/>
  <c r="BQ18" i="7"/>
  <c r="AC124" i="7"/>
  <c r="L32" i="7"/>
  <c r="B32" i="7"/>
  <c r="C32" i="7"/>
  <c r="D32" i="7"/>
  <c r="E32" i="7"/>
  <c r="A33" i="9"/>
  <c r="F33" i="9"/>
  <c r="F32" i="7"/>
  <c r="G32" i="7"/>
  <c r="H32" i="7"/>
  <c r="I32" i="7"/>
  <c r="J32" i="7"/>
  <c r="K32" i="7"/>
  <c r="M32" i="7"/>
  <c r="N32" i="7"/>
  <c r="O32" i="7"/>
  <c r="P32" i="7"/>
  <c r="Q32" i="7"/>
  <c r="R32" i="7"/>
  <c r="S33" i="9"/>
  <c r="S32" i="7"/>
  <c r="T32" i="7"/>
  <c r="U32" i="7"/>
  <c r="V32" i="7"/>
  <c r="W33" i="9"/>
  <c r="W32" i="7"/>
  <c r="X32" i="7"/>
  <c r="Y32" i="7"/>
  <c r="Z32" i="7"/>
  <c r="AA32" i="7"/>
  <c r="AB32" i="7"/>
  <c r="AC32" i="7"/>
  <c r="AD32" i="7"/>
  <c r="AE32" i="7"/>
  <c r="AF32" i="7"/>
  <c r="AG32" i="7"/>
  <c r="AH32" i="7"/>
  <c r="AI32" i="7"/>
  <c r="AJ32" i="7"/>
  <c r="AK32" i="7"/>
  <c r="AL32" i="7"/>
  <c r="AM32" i="7"/>
  <c r="AN32" i="7"/>
  <c r="AO33" i="9"/>
  <c r="AO32" i="7"/>
  <c r="AP32" i="7"/>
  <c r="AQ32" i="7"/>
  <c r="AR32" i="7"/>
  <c r="AS32" i="7"/>
  <c r="AT32" i="7"/>
  <c r="AU32" i="7"/>
  <c r="AV32" i="7"/>
  <c r="AW32" i="7"/>
  <c r="AX32" i="7"/>
  <c r="AY32" i="7"/>
  <c r="AZ32" i="7"/>
  <c r="BA32" i="7"/>
  <c r="BR18" i="7"/>
  <c r="AD124" i="7"/>
  <c r="BV18" i="7"/>
  <c r="AE124" i="7"/>
  <c r="BW18" i="7"/>
  <c r="AF124" i="7"/>
  <c r="BX18" i="7"/>
  <c r="AG124" i="7"/>
  <c r="BB32" i="7"/>
  <c r="BC32" i="7"/>
  <c r="BY18" i="7"/>
  <c r="AH124" i="7"/>
  <c r="P125" i="7"/>
  <c r="Q125" i="7"/>
  <c r="R125" i="7"/>
  <c r="S125" i="7"/>
  <c r="A126" i="7"/>
  <c r="C20" i="9"/>
  <c r="B126" i="7"/>
  <c r="D20" i="9"/>
  <c r="C126" i="7"/>
  <c r="G20" i="9"/>
  <c r="D126" i="7"/>
  <c r="H20" i="9"/>
  <c r="E126" i="7"/>
  <c r="K20" i="9"/>
  <c r="F126" i="7"/>
  <c r="N20" i="9"/>
  <c r="G126" i="7"/>
  <c r="U20" i="9"/>
  <c r="H126" i="7"/>
  <c r="I126" i="7"/>
  <c r="J126" i="7"/>
  <c r="T125"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BA69" i="7"/>
  <c r="U125" i="7"/>
  <c r="V125" i="7"/>
  <c r="BD19" i="7"/>
  <c r="BE19" i="7"/>
  <c r="BF19" i="7"/>
  <c r="W125" i="7"/>
  <c r="AZ69" i="7"/>
  <c r="BD69" i="7"/>
  <c r="BE69" i="7"/>
  <c r="BF69" i="7"/>
  <c r="X125" i="7"/>
  <c r="K126" i="7"/>
  <c r="L126" i="7"/>
  <c r="Y125" i="7"/>
  <c r="BB69" i="7"/>
  <c r="BC69" i="7"/>
  <c r="Z125" i="7"/>
  <c r="BO19" i="7"/>
  <c r="AA125" i="7"/>
  <c r="BP19" i="7"/>
  <c r="AB125" i="7"/>
  <c r="BQ19" i="7"/>
  <c r="AC125" i="7"/>
  <c r="L33" i="7"/>
  <c r="B33" i="7"/>
  <c r="C33" i="7"/>
  <c r="D33" i="7"/>
  <c r="E33" i="7"/>
  <c r="A34" i="9"/>
  <c r="F34" i="9"/>
  <c r="F33" i="7"/>
  <c r="G33" i="7"/>
  <c r="H33" i="7"/>
  <c r="I33" i="7"/>
  <c r="J33" i="7"/>
  <c r="K33" i="7"/>
  <c r="M33" i="7"/>
  <c r="N33" i="7"/>
  <c r="O33" i="7"/>
  <c r="P33" i="7"/>
  <c r="Q33" i="7"/>
  <c r="R33" i="7"/>
  <c r="S34" i="9"/>
  <c r="S33" i="7"/>
  <c r="T33" i="7"/>
  <c r="U33" i="7"/>
  <c r="V33" i="7"/>
  <c r="W34" i="9"/>
  <c r="W33" i="7"/>
  <c r="X33" i="7"/>
  <c r="Y33" i="7"/>
  <c r="Z33" i="7"/>
  <c r="AA33" i="7"/>
  <c r="AB33" i="7"/>
  <c r="AC33" i="7"/>
  <c r="AD33" i="7"/>
  <c r="AE33" i="7"/>
  <c r="AF33" i="7"/>
  <c r="AG33" i="7"/>
  <c r="AH33" i="7"/>
  <c r="AI33" i="7"/>
  <c r="AJ33" i="7"/>
  <c r="AK33" i="7"/>
  <c r="AL33" i="7"/>
  <c r="AM33" i="7"/>
  <c r="AN33" i="7"/>
  <c r="AO34" i="9"/>
  <c r="AO33" i="7"/>
  <c r="AP33" i="7"/>
  <c r="AQ33" i="7"/>
  <c r="AR33" i="7"/>
  <c r="AS33" i="7"/>
  <c r="AT33" i="7"/>
  <c r="AU33" i="7"/>
  <c r="AV33" i="7"/>
  <c r="AW33" i="7"/>
  <c r="AX33" i="7"/>
  <c r="AY33" i="7"/>
  <c r="AZ33" i="7"/>
  <c r="BA33" i="7"/>
  <c r="BR19" i="7"/>
  <c r="AD125" i="7"/>
  <c r="BV19" i="7"/>
  <c r="AE125" i="7"/>
  <c r="BW19" i="7"/>
  <c r="AF125" i="7"/>
  <c r="BX19" i="7"/>
  <c r="AG125" i="7"/>
  <c r="BB33" i="7"/>
  <c r="BC33" i="7"/>
  <c r="BY19" i="7"/>
  <c r="AH125" i="7"/>
  <c r="P126" i="7"/>
  <c r="Q126" i="7"/>
  <c r="R126" i="7"/>
  <c r="S126" i="7"/>
  <c r="A127" i="7"/>
  <c r="C21" i="9"/>
  <c r="B127" i="7"/>
  <c r="D21" i="9"/>
  <c r="C127" i="7"/>
  <c r="G21" i="9"/>
  <c r="D127" i="7"/>
  <c r="H21" i="9"/>
  <c r="E127" i="7"/>
  <c r="K21" i="9"/>
  <c r="F127" i="7"/>
  <c r="N21" i="9"/>
  <c r="G127" i="7"/>
  <c r="U21" i="9"/>
  <c r="H127" i="7"/>
  <c r="I127" i="7"/>
  <c r="J127" i="7"/>
  <c r="T126"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BA70" i="7"/>
  <c r="U126" i="7"/>
  <c r="V126" i="7"/>
  <c r="BD20" i="7"/>
  <c r="BE20" i="7"/>
  <c r="BF20" i="7"/>
  <c r="W126" i="7"/>
  <c r="AZ70" i="7"/>
  <c r="BD70" i="7"/>
  <c r="BE70" i="7"/>
  <c r="BF70" i="7"/>
  <c r="X126" i="7"/>
  <c r="K127" i="7"/>
  <c r="L127" i="7"/>
  <c r="Y126" i="7"/>
  <c r="BB70" i="7"/>
  <c r="BC70" i="7"/>
  <c r="Z126" i="7"/>
  <c r="BO20" i="7"/>
  <c r="AA126" i="7"/>
  <c r="BP20" i="7"/>
  <c r="AB126" i="7"/>
  <c r="BQ20" i="7"/>
  <c r="AC126" i="7"/>
  <c r="L34" i="7"/>
  <c r="B34" i="7"/>
  <c r="C34" i="7"/>
  <c r="D34" i="7"/>
  <c r="E34" i="7"/>
  <c r="A35" i="9"/>
  <c r="F35" i="9"/>
  <c r="F34" i="7"/>
  <c r="G34" i="7"/>
  <c r="H34" i="7"/>
  <c r="I34" i="7"/>
  <c r="J34" i="7"/>
  <c r="K34" i="7"/>
  <c r="M34" i="7"/>
  <c r="N34" i="7"/>
  <c r="O34" i="7"/>
  <c r="P34" i="7"/>
  <c r="Q34" i="7"/>
  <c r="R34" i="7"/>
  <c r="S35" i="9"/>
  <c r="S34" i="7"/>
  <c r="T34" i="7"/>
  <c r="U34" i="7"/>
  <c r="V34" i="7"/>
  <c r="W35" i="9"/>
  <c r="W34" i="7"/>
  <c r="X34" i="7"/>
  <c r="Y34" i="7"/>
  <c r="Z34" i="7"/>
  <c r="AA34" i="7"/>
  <c r="AB34" i="7"/>
  <c r="AC34" i="7"/>
  <c r="AD34" i="7"/>
  <c r="AE34" i="7"/>
  <c r="AF34" i="7"/>
  <c r="AG34" i="7"/>
  <c r="AH34" i="7"/>
  <c r="AI34" i="7"/>
  <c r="AJ34" i="7"/>
  <c r="AK34" i="7"/>
  <c r="AL34" i="7"/>
  <c r="AM34" i="7"/>
  <c r="AN34" i="7"/>
  <c r="AO35" i="9"/>
  <c r="AO34" i="7"/>
  <c r="AP34" i="7"/>
  <c r="AQ34" i="7"/>
  <c r="AR34" i="7"/>
  <c r="AS34" i="7"/>
  <c r="AT34" i="7"/>
  <c r="AU34" i="7"/>
  <c r="AV34" i="7"/>
  <c r="AW34" i="7"/>
  <c r="AX34" i="7"/>
  <c r="AY34" i="7"/>
  <c r="AZ34" i="7"/>
  <c r="BA34" i="7"/>
  <c r="BR20" i="7"/>
  <c r="AD126" i="7"/>
  <c r="BV20" i="7"/>
  <c r="AE126" i="7"/>
  <c r="BW20" i="7"/>
  <c r="AF126" i="7"/>
  <c r="BX20" i="7"/>
  <c r="AG126" i="7"/>
  <c r="BB34" i="7"/>
  <c r="BC34" i="7"/>
  <c r="L35" i="7"/>
  <c r="B35" i="7"/>
  <c r="C35" i="7"/>
  <c r="D35" i="7"/>
  <c r="E35" i="7"/>
  <c r="A36" i="9"/>
  <c r="F36" i="9"/>
  <c r="F35" i="7"/>
  <c r="G35" i="7"/>
  <c r="H35" i="7"/>
  <c r="I35" i="7"/>
  <c r="J35" i="7"/>
  <c r="K35" i="7"/>
  <c r="M35" i="7"/>
  <c r="N35" i="7"/>
  <c r="O35" i="7"/>
  <c r="P35" i="7"/>
  <c r="Q35" i="7"/>
  <c r="R35" i="7"/>
  <c r="S36" i="9"/>
  <c r="S35" i="7"/>
  <c r="T35" i="7"/>
  <c r="U35" i="7"/>
  <c r="V35" i="7"/>
  <c r="W36" i="9"/>
  <c r="W35" i="7"/>
  <c r="X35" i="7"/>
  <c r="Y35" i="7"/>
  <c r="Z35" i="7"/>
  <c r="AA35" i="7"/>
  <c r="AB35" i="7"/>
  <c r="AC35" i="7"/>
  <c r="AD35" i="7"/>
  <c r="AE35" i="7"/>
  <c r="AF35" i="7"/>
  <c r="AG35" i="7"/>
  <c r="AH35" i="7"/>
  <c r="AI35" i="7"/>
  <c r="AJ35" i="7"/>
  <c r="AK35" i="7"/>
  <c r="AL35" i="7"/>
  <c r="AM35" i="7"/>
  <c r="AN35" i="7"/>
  <c r="AO36" i="9"/>
  <c r="AO35" i="7"/>
  <c r="AP35" i="7"/>
  <c r="AQ35" i="7"/>
  <c r="AR35" i="7"/>
  <c r="AS35" i="7"/>
  <c r="AT35" i="7"/>
  <c r="AU35" i="7"/>
  <c r="AV35" i="7"/>
  <c r="AW35" i="7"/>
  <c r="AX35" i="7"/>
  <c r="AY35" i="7"/>
  <c r="AZ35" i="7"/>
  <c r="BB35" i="7"/>
  <c r="BC35" i="7"/>
  <c r="L36" i="7"/>
  <c r="B36" i="7"/>
  <c r="C36" i="7"/>
  <c r="D36" i="7"/>
  <c r="E36" i="7"/>
  <c r="A37" i="9"/>
  <c r="F37" i="9"/>
  <c r="F36" i="7"/>
  <c r="G36" i="7"/>
  <c r="H36" i="7"/>
  <c r="I36" i="7"/>
  <c r="J36" i="7"/>
  <c r="K36" i="7"/>
  <c r="M36" i="7"/>
  <c r="N36" i="7"/>
  <c r="O36" i="7"/>
  <c r="P36" i="7"/>
  <c r="Q36" i="7"/>
  <c r="R36" i="7"/>
  <c r="S37" i="9"/>
  <c r="S36" i="7"/>
  <c r="T36" i="7"/>
  <c r="U36" i="7"/>
  <c r="V36" i="7"/>
  <c r="W37" i="9"/>
  <c r="W36" i="7"/>
  <c r="X36" i="7"/>
  <c r="Y36" i="7"/>
  <c r="Z36" i="7"/>
  <c r="AA36" i="7"/>
  <c r="AB36" i="7"/>
  <c r="AC36" i="7"/>
  <c r="AD36" i="7"/>
  <c r="AE36" i="7"/>
  <c r="AF36" i="7"/>
  <c r="AG36" i="7"/>
  <c r="AH36" i="7"/>
  <c r="AI36" i="7"/>
  <c r="AJ36" i="7"/>
  <c r="AK36" i="7"/>
  <c r="AL36" i="7"/>
  <c r="AM36" i="7"/>
  <c r="AN36" i="7"/>
  <c r="AO37" i="9"/>
  <c r="AO36" i="7"/>
  <c r="AP36" i="7"/>
  <c r="AQ36" i="7"/>
  <c r="AR36" i="7"/>
  <c r="AS36" i="7"/>
  <c r="AT36" i="7"/>
  <c r="AU36" i="7"/>
  <c r="AV36" i="7"/>
  <c r="AW36" i="7"/>
  <c r="AX36" i="7"/>
  <c r="AY36" i="7"/>
  <c r="AZ36" i="7"/>
  <c r="BB36" i="7"/>
  <c r="BC36" i="7"/>
  <c r="BY20" i="7"/>
  <c r="AH126" i="7"/>
  <c r="P127" i="7"/>
  <c r="Q127" i="7"/>
  <c r="R127" i="7"/>
  <c r="S127" i="7"/>
  <c r="A128" i="7"/>
  <c r="C22" i="9"/>
  <c r="B128" i="7"/>
  <c r="D22" i="9"/>
  <c r="C128" i="7"/>
  <c r="G22" i="9"/>
  <c r="D128" i="7"/>
  <c r="H22" i="9"/>
  <c r="E128" i="7"/>
  <c r="K22" i="9"/>
  <c r="F128" i="7"/>
  <c r="N22" i="9"/>
  <c r="G128" i="7"/>
  <c r="U22" i="9"/>
  <c r="H128" i="7"/>
  <c r="I128" i="7"/>
  <c r="J128" i="7"/>
  <c r="T127" i="7"/>
  <c r="L71" i="7"/>
  <c r="B71" i="7"/>
  <c r="C71" i="7"/>
  <c r="D71" i="7"/>
  <c r="E71" i="7"/>
  <c r="F71" i="7"/>
  <c r="G71" i="7"/>
  <c r="H71" i="7"/>
  <c r="I71" i="7"/>
  <c r="J71" i="7"/>
  <c r="K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BA71" i="7"/>
  <c r="U127" i="7"/>
  <c r="V127" i="7"/>
  <c r="BD21" i="7"/>
  <c r="BE21" i="7"/>
  <c r="BF21" i="7"/>
  <c r="W127" i="7"/>
  <c r="AZ71" i="7"/>
  <c r="BD71" i="7"/>
  <c r="BE71" i="7"/>
  <c r="BF71" i="7"/>
  <c r="X127" i="7"/>
  <c r="K128" i="7"/>
  <c r="L128" i="7"/>
  <c r="Y127" i="7"/>
  <c r="BB71" i="7"/>
  <c r="BC71" i="7"/>
  <c r="Z127" i="7"/>
  <c r="BO21" i="7"/>
  <c r="AA127" i="7"/>
  <c r="BP21" i="7"/>
  <c r="AB127" i="7"/>
  <c r="BQ21" i="7"/>
  <c r="AC127" i="7"/>
  <c r="BA35" i="7"/>
  <c r="BR21" i="7"/>
  <c r="AD127" i="7"/>
  <c r="BV21" i="7"/>
  <c r="AE127" i="7"/>
  <c r="BW21" i="7"/>
  <c r="AF127" i="7"/>
  <c r="BX21" i="7"/>
  <c r="AG127" i="7"/>
  <c r="L37" i="7"/>
  <c r="B37" i="7"/>
  <c r="C37" i="7"/>
  <c r="D37" i="7"/>
  <c r="E37" i="7"/>
  <c r="A38" i="9"/>
  <c r="F38" i="9"/>
  <c r="F37" i="7"/>
  <c r="G37" i="7"/>
  <c r="H37" i="7"/>
  <c r="I37" i="7"/>
  <c r="J37" i="7"/>
  <c r="K37" i="7"/>
  <c r="M37" i="7"/>
  <c r="N37" i="7"/>
  <c r="O37" i="7"/>
  <c r="P37" i="7"/>
  <c r="Q37" i="7"/>
  <c r="R37" i="7"/>
  <c r="S38" i="9"/>
  <c r="S37" i="7"/>
  <c r="T37" i="7"/>
  <c r="U37" i="7"/>
  <c r="V37" i="7"/>
  <c r="W38" i="9"/>
  <c r="W37" i="7"/>
  <c r="X37" i="7"/>
  <c r="Y37" i="7"/>
  <c r="Z37" i="7"/>
  <c r="AA37" i="7"/>
  <c r="AB37" i="7"/>
  <c r="AC37" i="7"/>
  <c r="AD37" i="7"/>
  <c r="AE37" i="7"/>
  <c r="AF37" i="7"/>
  <c r="AG37" i="7"/>
  <c r="AH37" i="7"/>
  <c r="AI37" i="7"/>
  <c r="AJ37" i="7"/>
  <c r="AK37" i="7"/>
  <c r="AL37" i="7"/>
  <c r="AM37" i="7"/>
  <c r="AN37" i="7"/>
  <c r="AO38" i="9"/>
  <c r="AO37" i="7"/>
  <c r="AP37" i="7"/>
  <c r="AQ37" i="7"/>
  <c r="AR37" i="7"/>
  <c r="AS37" i="7"/>
  <c r="AT37" i="7"/>
  <c r="AU37" i="7"/>
  <c r="AV37" i="7"/>
  <c r="AW37" i="7"/>
  <c r="AX37" i="7"/>
  <c r="AY37" i="7"/>
  <c r="AZ37" i="7"/>
  <c r="BB37" i="7"/>
  <c r="BC37" i="7"/>
  <c r="BY21" i="7"/>
  <c r="AH127" i="7"/>
  <c r="P128" i="7"/>
  <c r="Q128" i="7"/>
  <c r="R128" i="7"/>
  <c r="S128" i="7"/>
  <c r="A129" i="7"/>
  <c r="C23" i="9"/>
  <c r="B129" i="7"/>
  <c r="D23" i="9"/>
  <c r="C129" i="7"/>
  <c r="G23" i="9"/>
  <c r="D129" i="7"/>
  <c r="H23" i="9"/>
  <c r="E129" i="7"/>
  <c r="K23" i="9"/>
  <c r="F129" i="7"/>
  <c r="N23" i="9"/>
  <c r="G129" i="7"/>
  <c r="U23" i="9"/>
  <c r="H129" i="7"/>
  <c r="I129" i="7"/>
  <c r="J129" i="7"/>
  <c r="T128" i="7"/>
  <c r="L72" i="7"/>
  <c r="B72" i="7"/>
  <c r="C72" i="7"/>
  <c r="D72" i="7"/>
  <c r="E72" i="7"/>
  <c r="F72" i="7"/>
  <c r="G72" i="7"/>
  <c r="H72" i="7"/>
  <c r="I72" i="7"/>
  <c r="J72" i="7"/>
  <c r="K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BA72" i="7"/>
  <c r="U128" i="7"/>
  <c r="V128" i="7"/>
  <c r="BD22" i="7"/>
  <c r="BE22" i="7"/>
  <c r="BF22" i="7"/>
  <c r="W128" i="7"/>
  <c r="AZ72" i="7"/>
  <c r="BD72" i="7"/>
  <c r="BE72" i="7"/>
  <c r="BF72" i="7"/>
  <c r="X128" i="7"/>
  <c r="K129" i="7"/>
  <c r="L129" i="7"/>
  <c r="Y128" i="7"/>
  <c r="BB72" i="7"/>
  <c r="BC72" i="7"/>
  <c r="Z128" i="7"/>
  <c r="BO22" i="7"/>
  <c r="AA128" i="7"/>
  <c r="BP22" i="7"/>
  <c r="AB128" i="7"/>
  <c r="BQ22" i="7"/>
  <c r="AC128" i="7"/>
  <c r="BA36" i="7"/>
  <c r="BR22" i="7"/>
  <c r="AD128" i="7"/>
  <c r="BV22" i="7"/>
  <c r="AE128" i="7"/>
  <c r="BW22" i="7"/>
  <c r="AF128" i="7"/>
  <c r="BX22" i="7"/>
  <c r="AG128" i="7"/>
  <c r="AH128" i="7"/>
  <c r="P129" i="7"/>
  <c r="Q129" i="7"/>
  <c r="R129" i="7"/>
  <c r="S129" i="7"/>
  <c r="A130" i="7"/>
  <c r="C24" i="9"/>
  <c r="B130" i="7"/>
  <c r="D24" i="9"/>
  <c r="C130" i="7"/>
  <c r="G24" i="9"/>
  <c r="D130" i="7"/>
  <c r="H24" i="9"/>
  <c r="E130" i="7"/>
  <c r="K24" i="9"/>
  <c r="F130" i="7"/>
  <c r="N24" i="9"/>
  <c r="G130" i="7"/>
  <c r="U24" i="9"/>
  <c r="H130" i="7"/>
  <c r="I130" i="7"/>
  <c r="J130" i="7"/>
  <c r="T129" i="7"/>
  <c r="L73" i="7"/>
  <c r="B73" i="7"/>
  <c r="C73" i="7"/>
  <c r="D73" i="7"/>
  <c r="E73" i="7"/>
  <c r="F73" i="7"/>
  <c r="G73" i="7"/>
  <c r="H73" i="7"/>
  <c r="I73" i="7"/>
  <c r="J73" i="7"/>
  <c r="K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BA73" i="7"/>
  <c r="U129" i="7"/>
  <c r="V129" i="7"/>
  <c r="BD23" i="7"/>
  <c r="BE23" i="7"/>
  <c r="BF23" i="7"/>
  <c r="W129" i="7"/>
  <c r="AZ73" i="7"/>
  <c r="BD73" i="7"/>
  <c r="BE73" i="7"/>
  <c r="BF73" i="7"/>
  <c r="X129" i="7"/>
  <c r="K130" i="7"/>
  <c r="L130" i="7"/>
  <c r="Y129" i="7"/>
  <c r="BB73" i="7"/>
  <c r="BC73" i="7"/>
  <c r="Z129" i="7"/>
  <c r="BO23" i="7"/>
  <c r="AA129" i="7"/>
  <c r="BP23" i="7"/>
  <c r="AB129" i="7"/>
  <c r="BQ23" i="7"/>
  <c r="AC129" i="7"/>
  <c r="BA37" i="7"/>
  <c r="BR23" i="7"/>
  <c r="AD129" i="7"/>
  <c r="BV23" i="7"/>
  <c r="AE129" i="7"/>
  <c r="BW23" i="7"/>
  <c r="AF129" i="7"/>
  <c r="BX23" i="7"/>
  <c r="AG129" i="7"/>
  <c r="AH129" i="7"/>
  <c r="P130" i="7"/>
  <c r="Q130" i="7"/>
  <c r="R130" i="7"/>
  <c r="S130" i="7"/>
  <c r="A131" i="7"/>
  <c r="C25" i="9"/>
  <c r="B131" i="7"/>
  <c r="D25" i="9"/>
  <c r="C131" i="7"/>
  <c r="G25" i="9"/>
  <c r="D131" i="7"/>
  <c r="H25" i="9"/>
  <c r="E131" i="7"/>
  <c r="K25" i="9"/>
  <c r="F131" i="7"/>
  <c r="N25" i="9"/>
  <c r="G131" i="7"/>
  <c r="U25" i="9"/>
  <c r="H131" i="7"/>
  <c r="I131" i="7"/>
  <c r="J131" i="7"/>
  <c r="T130" i="7"/>
  <c r="L74" i="7"/>
  <c r="B74" i="7"/>
  <c r="C74" i="7"/>
  <c r="D74" i="7"/>
  <c r="E74" i="7"/>
  <c r="F74" i="7"/>
  <c r="G74" i="7"/>
  <c r="H74" i="7"/>
  <c r="I74" i="7"/>
  <c r="J74" i="7"/>
  <c r="K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BA74" i="7"/>
  <c r="U130" i="7"/>
  <c r="V130" i="7"/>
  <c r="BD24" i="7"/>
  <c r="BE24" i="7"/>
  <c r="BF24" i="7"/>
  <c r="W130" i="7"/>
  <c r="AZ74" i="7"/>
  <c r="BD74" i="7"/>
  <c r="BE74" i="7"/>
  <c r="BF74" i="7"/>
  <c r="X130" i="7"/>
  <c r="K131" i="7"/>
  <c r="L131" i="7"/>
  <c r="Y130" i="7"/>
  <c r="BB74" i="7"/>
  <c r="BC74" i="7"/>
  <c r="Z130" i="7"/>
  <c r="BO24" i="7"/>
  <c r="AA130" i="7"/>
  <c r="BP24" i="7"/>
  <c r="AB130" i="7"/>
  <c r="BQ24" i="7"/>
  <c r="AC130" i="7"/>
  <c r="AD130" i="7"/>
  <c r="BV24" i="7"/>
  <c r="AE130" i="7"/>
  <c r="BW24" i="7"/>
  <c r="AF130" i="7"/>
  <c r="BX24" i="7"/>
  <c r="AG130" i="7"/>
  <c r="AH130" i="7"/>
  <c r="P131" i="7"/>
  <c r="Q131" i="7"/>
  <c r="R131" i="7"/>
  <c r="S131" i="7"/>
  <c r="A132" i="7"/>
  <c r="C26" i="9"/>
  <c r="B132" i="7"/>
  <c r="D26" i="9"/>
  <c r="C132" i="7"/>
  <c r="G26" i="9"/>
  <c r="D132" i="7"/>
  <c r="H26" i="9"/>
  <c r="E132" i="7"/>
  <c r="K26" i="9"/>
  <c r="F132" i="7"/>
  <c r="N26" i="9"/>
  <c r="G132" i="7"/>
  <c r="U26" i="9"/>
  <c r="H132" i="7"/>
  <c r="I132" i="7"/>
  <c r="J132" i="7"/>
  <c r="T131" i="7"/>
  <c r="L75" i="7"/>
  <c r="B75" i="7"/>
  <c r="C75" i="7"/>
  <c r="D75" i="7"/>
  <c r="E75" i="7"/>
  <c r="F75" i="7"/>
  <c r="G75" i="7"/>
  <c r="H75" i="7"/>
  <c r="I75" i="7"/>
  <c r="J75" i="7"/>
  <c r="K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BA75" i="7"/>
  <c r="U131" i="7"/>
  <c r="V131" i="7"/>
  <c r="BD25" i="7"/>
  <c r="BE25" i="7"/>
  <c r="BF25" i="7"/>
  <c r="W131" i="7"/>
  <c r="AZ75" i="7"/>
  <c r="BD75" i="7"/>
  <c r="BE75" i="7"/>
  <c r="BF75" i="7"/>
  <c r="X131" i="7"/>
  <c r="K132" i="7"/>
  <c r="L132" i="7"/>
  <c r="Y131" i="7"/>
  <c r="BB75" i="7"/>
  <c r="BC75" i="7"/>
  <c r="Z131" i="7"/>
  <c r="BO25" i="7"/>
  <c r="AA131" i="7"/>
  <c r="BP25" i="7"/>
  <c r="AB131" i="7"/>
  <c r="BQ25" i="7"/>
  <c r="AC131" i="7"/>
  <c r="AD131" i="7"/>
  <c r="BV25" i="7"/>
  <c r="AE131" i="7"/>
  <c r="BW25" i="7"/>
  <c r="AF131" i="7"/>
  <c r="BX25" i="7"/>
  <c r="AG131" i="7"/>
  <c r="AH131" i="7"/>
  <c r="P132" i="7"/>
  <c r="Q132" i="7"/>
  <c r="R132" i="7"/>
  <c r="S132" i="7"/>
  <c r="A133" i="7"/>
  <c r="C27" i="9"/>
  <c r="B133" i="7"/>
  <c r="D27" i="9"/>
  <c r="C133" i="7"/>
  <c r="G27" i="9"/>
  <c r="D133" i="7"/>
  <c r="H27" i="9"/>
  <c r="E133" i="7"/>
  <c r="K27" i="9"/>
  <c r="F133" i="7"/>
  <c r="N27" i="9"/>
  <c r="G133" i="7"/>
  <c r="U27" i="9"/>
  <c r="H133" i="7"/>
  <c r="I133" i="7"/>
  <c r="J133" i="7"/>
  <c r="T132" i="7"/>
  <c r="L76" i="7"/>
  <c r="B76" i="7"/>
  <c r="C76" i="7"/>
  <c r="D76" i="7"/>
  <c r="E76" i="7"/>
  <c r="F76" i="7"/>
  <c r="G76" i="7"/>
  <c r="H76" i="7"/>
  <c r="I76" i="7"/>
  <c r="J76" i="7"/>
  <c r="K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BA76" i="7"/>
  <c r="U132" i="7"/>
  <c r="V132" i="7"/>
  <c r="BD26" i="7"/>
  <c r="BE26" i="7"/>
  <c r="BF26" i="7"/>
  <c r="W132" i="7"/>
  <c r="AZ76" i="7"/>
  <c r="BD76" i="7"/>
  <c r="BE76" i="7"/>
  <c r="BF76" i="7"/>
  <c r="X132" i="7"/>
  <c r="K133" i="7"/>
  <c r="L133" i="7"/>
  <c r="Y132" i="7"/>
  <c r="BB76" i="7"/>
  <c r="BC76" i="7"/>
  <c r="Z132" i="7"/>
  <c r="BO26" i="7"/>
  <c r="AA132" i="7"/>
  <c r="BP26" i="7"/>
  <c r="AB132" i="7"/>
  <c r="BQ26" i="7"/>
  <c r="AC132" i="7"/>
  <c r="AD132" i="7"/>
  <c r="BV26" i="7"/>
  <c r="AE132" i="7"/>
  <c r="BW26" i="7"/>
  <c r="AF132" i="7"/>
  <c r="BX26" i="7"/>
  <c r="AG132" i="7"/>
  <c r="AH132" i="7"/>
  <c r="P133" i="7"/>
  <c r="Q133" i="7"/>
  <c r="R133" i="7"/>
  <c r="S133" i="7"/>
  <c r="A134" i="7"/>
  <c r="C28" i="9"/>
  <c r="B134" i="7"/>
  <c r="D28" i="9"/>
  <c r="C134" i="7"/>
  <c r="G28" i="9"/>
  <c r="D134" i="7"/>
  <c r="H28" i="9"/>
  <c r="E134" i="7"/>
  <c r="K28" i="9"/>
  <c r="F134" i="7"/>
  <c r="N28" i="9"/>
  <c r="G134" i="7"/>
  <c r="U28" i="9"/>
  <c r="H134" i="7"/>
  <c r="I134" i="7"/>
  <c r="J134" i="7"/>
  <c r="T133" i="7"/>
  <c r="AO77" i="7"/>
  <c r="L77" i="7"/>
  <c r="B77" i="7"/>
  <c r="C77" i="7"/>
  <c r="D77" i="7"/>
  <c r="E77" i="7"/>
  <c r="F77" i="7"/>
  <c r="G77" i="7"/>
  <c r="H77" i="7"/>
  <c r="I77" i="7"/>
  <c r="J77" i="7"/>
  <c r="K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P77" i="7"/>
  <c r="AQ77" i="7"/>
  <c r="AR77" i="7"/>
  <c r="BA77" i="7"/>
  <c r="U133" i="7"/>
  <c r="V133" i="7"/>
  <c r="BD27" i="7"/>
  <c r="BE27" i="7"/>
  <c r="BF27" i="7"/>
  <c r="W133" i="7"/>
  <c r="AZ77" i="7"/>
  <c r="BD77" i="7"/>
  <c r="BE77" i="7"/>
  <c r="BF77" i="7"/>
  <c r="X133" i="7"/>
  <c r="K134" i="7"/>
  <c r="L134" i="7"/>
  <c r="Y133" i="7"/>
  <c r="BB77" i="7"/>
  <c r="BC77" i="7"/>
  <c r="Z133" i="7"/>
  <c r="BO27" i="7"/>
  <c r="AA133" i="7"/>
  <c r="BP27" i="7"/>
  <c r="AB133" i="7"/>
  <c r="BQ27" i="7"/>
  <c r="AC133" i="7"/>
  <c r="AD133" i="7"/>
  <c r="BV27" i="7"/>
  <c r="AE133" i="7"/>
  <c r="BW27" i="7"/>
  <c r="AF133" i="7"/>
  <c r="BX27" i="7"/>
  <c r="AG133" i="7"/>
  <c r="AH133" i="7"/>
  <c r="P134" i="7"/>
  <c r="Q134" i="7"/>
  <c r="R134" i="7"/>
  <c r="S134" i="7"/>
  <c r="A135" i="7"/>
  <c r="C29" i="9"/>
  <c r="B135" i="7"/>
  <c r="D29" i="9"/>
  <c r="C135" i="7"/>
  <c r="G29" i="9"/>
  <c r="D135" i="7"/>
  <c r="H29" i="9"/>
  <c r="E135" i="7"/>
  <c r="K29" i="9"/>
  <c r="F135" i="7"/>
  <c r="N29" i="9"/>
  <c r="G135" i="7"/>
  <c r="U29" i="9"/>
  <c r="H135" i="7"/>
  <c r="I135" i="7"/>
  <c r="J135" i="7"/>
  <c r="T134" i="7"/>
  <c r="AO78" i="7"/>
  <c r="L78" i="7"/>
  <c r="B78" i="7"/>
  <c r="C78" i="7"/>
  <c r="D78" i="7"/>
  <c r="E78" i="7"/>
  <c r="F78" i="7"/>
  <c r="G78" i="7"/>
  <c r="H78" i="7"/>
  <c r="I78" i="7"/>
  <c r="J78" i="7"/>
  <c r="K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P78" i="7"/>
  <c r="AQ78" i="7"/>
  <c r="AR78" i="7"/>
  <c r="BA78" i="7"/>
  <c r="U134" i="7"/>
  <c r="V134" i="7"/>
  <c r="BD28" i="7"/>
  <c r="BE28" i="7"/>
  <c r="BF28" i="7"/>
  <c r="W134" i="7"/>
  <c r="AZ78" i="7"/>
  <c r="BD78" i="7"/>
  <c r="BE78" i="7"/>
  <c r="BF78" i="7"/>
  <c r="X134" i="7"/>
  <c r="K135" i="7"/>
  <c r="L135" i="7"/>
  <c r="Y134" i="7"/>
  <c r="BB78" i="7"/>
  <c r="BC78" i="7"/>
  <c r="Z134" i="7"/>
  <c r="BO28" i="7"/>
  <c r="AA134" i="7"/>
  <c r="BP28" i="7"/>
  <c r="AB134" i="7"/>
  <c r="BQ28" i="7"/>
  <c r="AC134" i="7"/>
  <c r="AD134" i="7"/>
  <c r="BV28" i="7"/>
  <c r="AE134" i="7"/>
  <c r="BW28" i="7"/>
  <c r="AF134" i="7"/>
  <c r="BX28" i="7"/>
  <c r="AG134" i="7"/>
  <c r="AH134" i="7"/>
  <c r="P135" i="7"/>
  <c r="Q135" i="7"/>
  <c r="R135" i="7"/>
  <c r="S135" i="7"/>
  <c r="A136" i="7"/>
  <c r="C30" i="9"/>
  <c r="B136" i="7"/>
  <c r="D30" i="9"/>
  <c r="C136" i="7"/>
  <c r="G30" i="9"/>
  <c r="D136" i="7"/>
  <c r="H30" i="9"/>
  <c r="E136" i="7"/>
  <c r="K30" i="9"/>
  <c r="F136" i="7"/>
  <c r="N30" i="9"/>
  <c r="G136" i="7"/>
  <c r="U30" i="9"/>
  <c r="H136" i="7"/>
  <c r="I136" i="7"/>
  <c r="J136" i="7"/>
  <c r="T135" i="7"/>
  <c r="AO79" i="7"/>
  <c r="L79" i="7"/>
  <c r="B79" i="7"/>
  <c r="C79" i="7"/>
  <c r="D79" i="7"/>
  <c r="E79" i="7"/>
  <c r="F79" i="7"/>
  <c r="G79" i="7"/>
  <c r="H79" i="7"/>
  <c r="I79" i="7"/>
  <c r="J79" i="7"/>
  <c r="K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P79" i="7"/>
  <c r="AQ79" i="7"/>
  <c r="AR79" i="7"/>
  <c r="BA79" i="7"/>
  <c r="U135" i="7"/>
  <c r="V135" i="7"/>
  <c r="BD29" i="7"/>
  <c r="BE29" i="7"/>
  <c r="BF29" i="7"/>
  <c r="W135" i="7"/>
  <c r="AZ79" i="7"/>
  <c r="BD79" i="7"/>
  <c r="BE79" i="7"/>
  <c r="BF79" i="7"/>
  <c r="X135" i="7"/>
  <c r="K136" i="7"/>
  <c r="L136" i="7"/>
  <c r="Y135" i="7"/>
  <c r="BB79" i="7"/>
  <c r="BC79" i="7"/>
  <c r="Z135" i="7"/>
  <c r="BO29" i="7"/>
  <c r="AA135" i="7"/>
  <c r="BP29" i="7"/>
  <c r="AB135" i="7"/>
  <c r="AC135" i="7"/>
  <c r="AD135" i="7"/>
  <c r="BV29" i="7"/>
  <c r="AE135" i="7"/>
  <c r="BW29" i="7"/>
  <c r="AF135" i="7"/>
  <c r="AG135" i="7"/>
  <c r="AH135" i="7"/>
  <c r="P136" i="7"/>
  <c r="Q136" i="7"/>
  <c r="R136" i="7"/>
  <c r="S136" i="7"/>
  <c r="A137" i="7"/>
  <c r="C31" i="9"/>
  <c r="B137" i="7"/>
  <c r="D31" i="9"/>
  <c r="C137" i="7"/>
  <c r="G31" i="9"/>
  <c r="D137" i="7"/>
  <c r="H31" i="9"/>
  <c r="E137" i="7"/>
  <c r="K31" i="9"/>
  <c r="F137" i="7"/>
  <c r="N31" i="9"/>
  <c r="G137" i="7"/>
  <c r="U31" i="9"/>
  <c r="H137" i="7"/>
  <c r="I137" i="7"/>
  <c r="J137" i="7"/>
  <c r="T136" i="7"/>
  <c r="AO80" i="7"/>
  <c r="L80" i="7"/>
  <c r="B80" i="7"/>
  <c r="C80" i="7"/>
  <c r="D80" i="7"/>
  <c r="E80" i="7"/>
  <c r="F80" i="7"/>
  <c r="G80" i="7"/>
  <c r="H80" i="7"/>
  <c r="I80" i="7"/>
  <c r="J80" i="7"/>
  <c r="K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P80" i="7"/>
  <c r="AQ80" i="7"/>
  <c r="AR80" i="7"/>
  <c r="BA80" i="7"/>
  <c r="U136" i="7"/>
  <c r="V136" i="7"/>
  <c r="BD30" i="7"/>
  <c r="BE30" i="7"/>
  <c r="BF30" i="7"/>
  <c r="W136" i="7"/>
  <c r="AZ80" i="7"/>
  <c r="BD80" i="7"/>
  <c r="BE80" i="7"/>
  <c r="BF80" i="7"/>
  <c r="X136" i="7"/>
  <c r="K137" i="7"/>
  <c r="L137" i="7"/>
  <c r="Y136" i="7"/>
  <c r="BB80" i="7"/>
  <c r="BC80" i="7"/>
  <c r="Z136" i="7"/>
  <c r="BO30" i="7"/>
  <c r="AA136" i="7"/>
  <c r="BP30" i="7"/>
  <c r="AB136" i="7"/>
  <c r="AC136" i="7"/>
  <c r="AD136" i="7"/>
  <c r="BV30" i="7"/>
  <c r="AE136" i="7"/>
  <c r="BW30" i="7"/>
  <c r="AF136" i="7"/>
  <c r="AG136" i="7"/>
  <c r="AH136" i="7"/>
  <c r="P137" i="7"/>
  <c r="Q137" i="7"/>
  <c r="R137" i="7"/>
  <c r="S137" i="7"/>
  <c r="A138" i="7"/>
  <c r="C32" i="9"/>
  <c r="B138" i="7"/>
  <c r="D32" i="9"/>
  <c r="C138" i="7"/>
  <c r="G32" i="9"/>
  <c r="D138" i="7"/>
  <c r="H32" i="9"/>
  <c r="E138" i="7"/>
  <c r="K32" i="9"/>
  <c r="F138" i="7"/>
  <c r="N32" i="9"/>
  <c r="G138" i="7"/>
  <c r="U32" i="9"/>
  <c r="H138" i="7"/>
  <c r="I138" i="7"/>
  <c r="J138" i="7"/>
  <c r="T137" i="7"/>
  <c r="AO81" i="7"/>
  <c r="L81" i="7"/>
  <c r="B81" i="7"/>
  <c r="C81" i="7"/>
  <c r="D81" i="7"/>
  <c r="E81" i="7"/>
  <c r="F81" i="7"/>
  <c r="G81" i="7"/>
  <c r="H81" i="7"/>
  <c r="I81" i="7"/>
  <c r="J81" i="7"/>
  <c r="K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P81" i="7"/>
  <c r="AQ81" i="7"/>
  <c r="AR81" i="7"/>
  <c r="BA81" i="7"/>
  <c r="U137" i="7"/>
  <c r="V137" i="7"/>
  <c r="BD31" i="7"/>
  <c r="BE31" i="7"/>
  <c r="BF31" i="7"/>
  <c r="W137" i="7"/>
  <c r="AZ81" i="7"/>
  <c r="BD81" i="7"/>
  <c r="BE81" i="7"/>
  <c r="BF81" i="7"/>
  <c r="X137" i="7"/>
  <c r="K138" i="7"/>
  <c r="L138" i="7"/>
  <c r="Y137" i="7"/>
  <c r="BB81" i="7"/>
  <c r="BC81" i="7"/>
  <c r="Z137" i="7"/>
  <c r="BO31" i="7"/>
  <c r="AA137" i="7"/>
  <c r="BP31" i="7"/>
  <c r="AB137" i="7"/>
  <c r="AC137" i="7"/>
  <c r="AD137" i="7"/>
  <c r="BV31" i="7"/>
  <c r="AE137" i="7"/>
  <c r="BW31" i="7"/>
  <c r="AF137" i="7"/>
  <c r="AG137" i="7"/>
  <c r="AH137" i="7"/>
  <c r="P138" i="7"/>
  <c r="Q138" i="7"/>
  <c r="R138" i="7"/>
  <c r="S138" i="7"/>
  <c r="A139" i="7"/>
  <c r="C33" i="9"/>
  <c r="B139" i="7"/>
  <c r="D33" i="9"/>
  <c r="C139" i="7"/>
  <c r="G33" i="9"/>
  <c r="D139" i="7"/>
  <c r="H33" i="9"/>
  <c r="E139" i="7"/>
  <c r="K33" i="9"/>
  <c r="F139" i="7"/>
  <c r="N33" i="9"/>
  <c r="G139" i="7"/>
  <c r="U33" i="9"/>
  <c r="H139" i="7"/>
  <c r="I139" i="7"/>
  <c r="J139" i="7"/>
  <c r="T138" i="7"/>
  <c r="AO82" i="7"/>
  <c r="L82" i="7"/>
  <c r="B82" i="7"/>
  <c r="C82" i="7"/>
  <c r="D82" i="7"/>
  <c r="E82" i="7"/>
  <c r="F82" i="7"/>
  <c r="G82" i="7"/>
  <c r="H82" i="7"/>
  <c r="I82" i="7"/>
  <c r="J82" i="7"/>
  <c r="K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P82" i="7"/>
  <c r="AQ82" i="7"/>
  <c r="AR82" i="7"/>
  <c r="BA82" i="7"/>
  <c r="U138" i="7"/>
  <c r="V138" i="7"/>
  <c r="BD32" i="7"/>
  <c r="BE32" i="7"/>
  <c r="BF32" i="7"/>
  <c r="W138" i="7"/>
  <c r="AZ82" i="7"/>
  <c r="BD82" i="7"/>
  <c r="BE82" i="7"/>
  <c r="BF82" i="7"/>
  <c r="X138" i="7"/>
  <c r="K139" i="7"/>
  <c r="L139" i="7"/>
  <c r="Y138" i="7"/>
  <c r="BB82" i="7"/>
  <c r="BC82" i="7"/>
  <c r="Z138" i="7"/>
  <c r="BO32" i="7"/>
  <c r="AA138" i="7"/>
  <c r="BP32" i="7"/>
  <c r="AB138" i="7"/>
  <c r="AC138" i="7"/>
  <c r="AD138" i="7"/>
  <c r="BV32" i="7"/>
  <c r="AE138" i="7"/>
  <c r="BW32" i="7"/>
  <c r="AF138" i="7"/>
  <c r="AG138" i="7"/>
  <c r="AH138" i="7"/>
  <c r="P139" i="7"/>
  <c r="Q139" i="7"/>
  <c r="R139" i="7"/>
  <c r="S139" i="7"/>
  <c r="A140" i="7"/>
  <c r="C34" i="9"/>
  <c r="B140" i="7"/>
  <c r="D34" i="9"/>
  <c r="C140" i="7"/>
  <c r="G34" i="9"/>
  <c r="D140" i="7"/>
  <c r="H34" i="9"/>
  <c r="E140" i="7"/>
  <c r="K34" i="9"/>
  <c r="F140" i="7"/>
  <c r="N34" i="9"/>
  <c r="G140" i="7"/>
  <c r="U34" i="9"/>
  <c r="H140" i="7"/>
  <c r="I140" i="7"/>
  <c r="J140" i="7"/>
  <c r="T139" i="7"/>
  <c r="AO83" i="7"/>
  <c r="L83" i="7"/>
  <c r="B83" i="7"/>
  <c r="C83" i="7"/>
  <c r="D83" i="7"/>
  <c r="E83" i="7"/>
  <c r="F83" i="7"/>
  <c r="G83" i="7"/>
  <c r="H83" i="7"/>
  <c r="I83" i="7"/>
  <c r="J83" i="7"/>
  <c r="K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P83" i="7"/>
  <c r="AQ83" i="7"/>
  <c r="AR83" i="7"/>
  <c r="BA83" i="7"/>
  <c r="U139" i="7"/>
  <c r="V139" i="7"/>
  <c r="BD33" i="7"/>
  <c r="BE33" i="7"/>
  <c r="BF33" i="7"/>
  <c r="W139" i="7"/>
  <c r="AZ83" i="7"/>
  <c r="BD83" i="7"/>
  <c r="BE83" i="7"/>
  <c r="BF83" i="7"/>
  <c r="X139" i="7"/>
  <c r="K140" i="7"/>
  <c r="L140" i="7"/>
  <c r="Y139" i="7"/>
  <c r="BB83" i="7"/>
  <c r="BC83" i="7"/>
  <c r="Z139" i="7"/>
  <c r="BO33" i="7"/>
  <c r="AA139" i="7"/>
  <c r="BP33" i="7"/>
  <c r="AB139" i="7"/>
  <c r="AC139" i="7"/>
  <c r="AD139" i="7"/>
  <c r="BV33" i="7"/>
  <c r="AE139" i="7"/>
  <c r="BW33" i="7"/>
  <c r="AF139" i="7"/>
  <c r="AG139" i="7"/>
  <c r="AH139" i="7"/>
  <c r="P140" i="7"/>
  <c r="Q140" i="7"/>
  <c r="R140" i="7"/>
  <c r="S140" i="7"/>
  <c r="A141" i="7"/>
  <c r="C35" i="9"/>
  <c r="B141" i="7"/>
  <c r="D35" i="9"/>
  <c r="C141" i="7"/>
  <c r="G35" i="9"/>
  <c r="D141" i="7"/>
  <c r="H35" i="9"/>
  <c r="E141" i="7"/>
  <c r="K35" i="9"/>
  <c r="F141" i="7"/>
  <c r="N35" i="9"/>
  <c r="G141" i="7"/>
  <c r="U35" i="9"/>
  <c r="H141" i="7"/>
  <c r="I141" i="7"/>
  <c r="J141" i="7"/>
  <c r="T140" i="7"/>
  <c r="AO84" i="7"/>
  <c r="L84" i="7"/>
  <c r="B84" i="7"/>
  <c r="C84" i="7"/>
  <c r="D84" i="7"/>
  <c r="E84" i="7"/>
  <c r="F84" i="7"/>
  <c r="G84" i="7"/>
  <c r="H84" i="7"/>
  <c r="I84" i="7"/>
  <c r="J84" i="7"/>
  <c r="K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P84" i="7"/>
  <c r="AQ84" i="7"/>
  <c r="AR84" i="7"/>
  <c r="BA84" i="7"/>
  <c r="U140" i="7"/>
  <c r="V140" i="7"/>
  <c r="BD34" i="7"/>
  <c r="BE34" i="7"/>
  <c r="BF34" i="7"/>
  <c r="W140" i="7"/>
  <c r="AZ84" i="7"/>
  <c r="BD84" i="7"/>
  <c r="BE84" i="7"/>
  <c r="BF84" i="7"/>
  <c r="X140" i="7"/>
  <c r="K141" i="7"/>
  <c r="L141" i="7"/>
  <c r="Y140" i="7"/>
  <c r="BB84" i="7"/>
  <c r="BC84" i="7"/>
  <c r="Z140" i="7"/>
  <c r="BO34" i="7"/>
  <c r="AA140" i="7"/>
  <c r="AB140" i="7"/>
  <c r="AC140" i="7"/>
  <c r="AD140" i="7"/>
  <c r="BV34" i="7"/>
  <c r="AE140" i="7"/>
  <c r="AF140" i="7"/>
  <c r="AG140" i="7"/>
  <c r="AH140" i="7"/>
  <c r="P141" i="7"/>
  <c r="Q141" i="7"/>
  <c r="R141" i="7"/>
  <c r="S141" i="7"/>
  <c r="A142" i="7"/>
  <c r="C36" i="9"/>
  <c r="B142" i="7"/>
  <c r="D36" i="9"/>
  <c r="C142" i="7"/>
  <c r="G36" i="9"/>
  <c r="D142" i="7"/>
  <c r="H36" i="9"/>
  <c r="E142" i="7"/>
  <c r="K36" i="9"/>
  <c r="F142" i="7"/>
  <c r="N36" i="9"/>
  <c r="G142" i="7"/>
  <c r="U36" i="9"/>
  <c r="H142" i="7"/>
  <c r="I142" i="7"/>
  <c r="J142" i="7"/>
  <c r="T141" i="7"/>
  <c r="AO85" i="7"/>
  <c r="L85" i="7"/>
  <c r="B85" i="7"/>
  <c r="C85" i="7"/>
  <c r="D85" i="7"/>
  <c r="E85" i="7"/>
  <c r="F85" i="7"/>
  <c r="G85" i="7"/>
  <c r="H85" i="7"/>
  <c r="I85" i="7"/>
  <c r="J85" i="7"/>
  <c r="K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P85" i="7"/>
  <c r="AQ85" i="7"/>
  <c r="AR85" i="7"/>
  <c r="BA85" i="7"/>
  <c r="U141" i="7"/>
  <c r="V141" i="7"/>
  <c r="BD35" i="7"/>
  <c r="BE35" i="7"/>
  <c r="BF35" i="7"/>
  <c r="W141" i="7"/>
  <c r="AZ85" i="7"/>
  <c r="BD85" i="7"/>
  <c r="BE85" i="7"/>
  <c r="BF85" i="7"/>
  <c r="X141" i="7"/>
  <c r="K142" i="7"/>
  <c r="L142" i="7"/>
  <c r="Y141" i="7"/>
  <c r="BB85" i="7"/>
  <c r="BC85" i="7"/>
  <c r="Z141" i="7"/>
  <c r="BO35" i="7"/>
  <c r="AA141" i="7"/>
  <c r="AB141" i="7"/>
  <c r="AC141" i="7"/>
  <c r="AD141" i="7"/>
  <c r="BV35" i="7"/>
  <c r="AE141" i="7"/>
  <c r="AF141" i="7"/>
  <c r="AG141" i="7"/>
  <c r="AH141" i="7"/>
  <c r="P142" i="7"/>
  <c r="Q142" i="7"/>
  <c r="R142" i="7"/>
  <c r="S142" i="7"/>
  <c r="A143" i="7"/>
  <c r="C37" i="9"/>
  <c r="B143" i="7"/>
  <c r="D37" i="9"/>
  <c r="C143" i="7"/>
  <c r="G37" i="9"/>
  <c r="D143" i="7"/>
  <c r="H37" i="9"/>
  <c r="E143" i="7"/>
  <c r="K37" i="9"/>
  <c r="F143" i="7"/>
  <c r="N37" i="9"/>
  <c r="G143" i="7"/>
  <c r="U37" i="9"/>
  <c r="H143" i="7"/>
  <c r="I143" i="7"/>
  <c r="J143" i="7"/>
  <c r="T142" i="7"/>
  <c r="AO86" i="7"/>
  <c r="L86" i="7"/>
  <c r="B86" i="7"/>
  <c r="C86" i="7"/>
  <c r="D86" i="7"/>
  <c r="E86" i="7"/>
  <c r="F86" i="7"/>
  <c r="G86" i="7"/>
  <c r="H86" i="7"/>
  <c r="I86" i="7"/>
  <c r="J86" i="7"/>
  <c r="K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P86" i="7"/>
  <c r="AQ86" i="7"/>
  <c r="AR86" i="7"/>
  <c r="BA86" i="7"/>
  <c r="U142" i="7"/>
  <c r="V142" i="7"/>
  <c r="BD36" i="7"/>
  <c r="BE36" i="7"/>
  <c r="BF36" i="7"/>
  <c r="W142" i="7"/>
  <c r="AZ86" i="7"/>
  <c r="BD86" i="7"/>
  <c r="BE86" i="7"/>
  <c r="BF86" i="7"/>
  <c r="X142" i="7"/>
  <c r="K143" i="7"/>
  <c r="L143" i="7"/>
  <c r="Y142" i="7"/>
  <c r="BB86" i="7"/>
  <c r="BC86" i="7"/>
  <c r="Z142" i="7"/>
  <c r="AA142" i="7"/>
  <c r="AB142" i="7"/>
  <c r="AC142" i="7"/>
  <c r="AD142" i="7"/>
  <c r="AE142" i="7"/>
  <c r="AF142" i="7"/>
  <c r="AG142" i="7"/>
  <c r="AH142" i="7"/>
  <c r="P143" i="7"/>
  <c r="Q143" i="7"/>
  <c r="R143" i="7"/>
  <c r="S143" i="7"/>
  <c r="A144" i="7"/>
  <c r="C38" i="9"/>
  <c r="B144" i="7"/>
  <c r="D38" i="9"/>
  <c r="C144" i="7"/>
  <c r="G38" i="9"/>
  <c r="D144" i="7"/>
  <c r="H38" i="9"/>
  <c r="E144" i="7"/>
  <c r="K38" i="9"/>
  <c r="F144" i="7"/>
  <c r="N38" i="9"/>
  <c r="G144" i="7"/>
  <c r="U38" i="9"/>
  <c r="H144" i="7"/>
  <c r="I144" i="7"/>
  <c r="J144" i="7"/>
  <c r="T143" i="7"/>
  <c r="AO87" i="7"/>
  <c r="L87" i="7"/>
  <c r="B87" i="7"/>
  <c r="C87" i="7"/>
  <c r="D87" i="7"/>
  <c r="E87" i="7"/>
  <c r="F87" i="7"/>
  <c r="G87" i="7"/>
  <c r="H87" i="7"/>
  <c r="I87" i="7"/>
  <c r="J87" i="7"/>
  <c r="K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P87" i="7"/>
  <c r="AQ87" i="7"/>
  <c r="AR87" i="7"/>
  <c r="BA87" i="7"/>
  <c r="U143" i="7"/>
  <c r="V143" i="7"/>
  <c r="BD37" i="7"/>
  <c r="BE37" i="7"/>
  <c r="BF37" i="7"/>
  <c r="W143" i="7"/>
  <c r="AZ87" i="7"/>
  <c r="BD87" i="7"/>
  <c r="BE87" i="7"/>
  <c r="BF87" i="7"/>
  <c r="X143" i="7"/>
  <c r="K144" i="7"/>
  <c r="L144" i="7"/>
  <c r="Y143" i="7"/>
  <c r="BB87" i="7"/>
  <c r="BC87" i="7"/>
  <c r="Z143" i="7"/>
  <c r="AA143" i="7"/>
  <c r="AB143" i="7"/>
  <c r="AC143" i="7"/>
  <c r="AD143" i="7"/>
  <c r="AE143" i="7"/>
  <c r="AF143" i="7"/>
  <c r="AG143" i="7"/>
  <c r="AH143" i="7"/>
  <c r="P144" i="7"/>
  <c r="BA38" i="7"/>
  <c r="Q144" i="7"/>
  <c r="R144" i="7"/>
  <c r="S144" i="7"/>
  <c r="A145" i="7"/>
  <c r="J145" i="7"/>
  <c r="T144" i="7"/>
  <c r="BA88" i="7"/>
  <c r="U144" i="7"/>
  <c r="BC38" i="7"/>
  <c r="V144" i="7"/>
  <c r="BF38" i="7"/>
  <c r="W144" i="7"/>
  <c r="BF88" i="7"/>
  <c r="X144" i="7"/>
  <c r="L145" i="7"/>
  <c r="Y144" i="7"/>
  <c r="BC88" i="7"/>
  <c r="Z144" i="7"/>
  <c r="AA144" i="7"/>
  <c r="AB144" i="7"/>
  <c r="AC144" i="7"/>
  <c r="AD144" i="7"/>
  <c r="AE144" i="7"/>
  <c r="AF144" i="7"/>
  <c r="AG144" i="7"/>
  <c r="AH144" i="7"/>
  <c r="B145" i="7"/>
  <c r="C145" i="7"/>
  <c r="D145" i="7"/>
  <c r="E145" i="7"/>
  <c r="F145" i="7"/>
  <c r="G145" i="7"/>
  <c r="H145" i="7"/>
  <c r="I145" i="7"/>
  <c r="K145" i="7"/>
  <c r="P145" i="7"/>
  <c r="Q145" i="7"/>
  <c r="R145" i="7"/>
  <c r="S145" i="7"/>
  <c r="T145" i="7"/>
  <c r="U145" i="7"/>
  <c r="V145" i="7"/>
  <c r="W145" i="7"/>
  <c r="X145" i="7"/>
  <c r="B85" i="2"/>
  <c r="L146" i="7"/>
  <c r="Y145" i="7"/>
  <c r="Z145" i="7"/>
  <c r="AA145" i="7"/>
  <c r="AB145" i="7"/>
  <c r="AC145" i="7"/>
  <c r="AD145" i="7"/>
  <c r="AE145" i="7"/>
  <c r="AF145" i="7"/>
  <c r="AG145" i="7"/>
  <c r="AH145" i="7"/>
  <c r="A139" i="6"/>
  <c r="D10" i="8"/>
  <c r="B139" i="6"/>
  <c r="C10" i="8"/>
  <c r="C139" i="6"/>
  <c r="G10" i="8"/>
  <c r="D139" i="6"/>
  <c r="H10" i="8"/>
  <c r="E139" i="6"/>
  <c r="N10" i="8"/>
  <c r="F139" i="6"/>
  <c r="K10" i="8"/>
  <c r="G139" i="6"/>
  <c r="U10" i="8"/>
  <c r="H139" i="6"/>
  <c r="I139" i="6"/>
  <c r="D8" i="8"/>
  <c r="B137" i="6"/>
  <c r="C8" i="8"/>
  <c r="C137" i="6"/>
  <c r="G8" i="8"/>
  <c r="D137" i="6"/>
  <c r="H8" i="8"/>
  <c r="E137" i="6"/>
  <c r="N8" i="8"/>
  <c r="F137" i="6"/>
  <c r="K8" i="8"/>
  <c r="G137" i="6"/>
  <c r="U8" i="8"/>
  <c r="H137" i="6"/>
  <c r="I137" i="6"/>
  <c r="J137" i="6"/>
  <c r="D9" i="8"/>
  <c r="B138" i="6"/>
  <c r="C9" i="8"/>
  <c r="C138" i="6"/>
  <c r="G9" i="8"/>
  <c r="D138" i="6"/>
  <c r="H9" i="8"/>
  <c r="E138" i="6"/>
  <c r="N9" i="8"/>
  <c r="F138" i="6"/>
  <c r="K9" i="8"/>
  <c r="G138" i="6"/>
  <c r="U9" i="8"/>
  <c r="H138" i="6"/>
  <c r="I138" i="6"/>
  <c r="J138" i="6"/>
  <c r="J139" i="6"/>
  <c r="AM10" i="8"/>
  <c r="K139" i="6"/>
  <c r="AM8" i="8"/>
  <c r="K137" i="6"/>
  <c r="L137" i="6"/>
  <c r="AM9" i="8"/>
  <c r="K138" i="6"/>
  <c r="L138" i="6"/>
  <c r="L139" i="6"/>
  <c r="P139" i="6"/>
  <c r="B8" i="8"/>
  <c r="B3" i="6"/>
  <c r="B7" i="6"/>
  <c r="C7" i="6"/>
  <c r="D7" i="6"/>
  <c r="E7" i="6"/>
  <c r="F7" i="6"/>
  <c r="G7" i="6"/>
  <c r="H7" i="6"/>
  <c r="I7" i="6"/>
  <c r="J7" i="6"/>
  <c r="K7" i="6"/>
  <c r="L7" i="6"/>
  <c r="M7" i="6"/>
  <c r="N7" i="6"/>
  <c r="O7" i="6"/>
  <c r="P7" i="6"/>
  <c r="Q7" i="6"/>
  <c r="R7" i="6"/>
  <c r="S7" i="6"/>
  <c r="T7" i="6"/>
  <c r="U7" i="6"/>
  <c r="V7" i="6"/>
  <c r="W7" i="6"/>
  <c r="X7" i="6"/>
  <c r="Y7" i="6"/>
  <c r="Z7" i="6"/>
  <c r="AA7" i="6"/>
  <c r="AB7" i="6"/>
  <c r="AC7" i="6"/>
  <c r="AD7" i="6"/>
  <c r="AE7" i="6"/>
  <c r="AF7" i="6"/>
  <c r="AG7" i="6"/>
  <c r="AH7" i="6"/>
  <c r="AI7" i="6"/>
  <c r="AJ7" i="6"/>
  <c r="AK7" i="6"/>
  <c r="AL7" i="6"/>
  <c r="AM7" i="6"/>
  <c r="AN7" i="6"/>
  <c r="B9" i="8"/>
  <c r="B8"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AJ8" i="6"/>
  <c r="AK8" i="6"/>
  <c r="AL8" i="6"/>
  <c r="AM8" i="6"/>
  <c r="AN8" i="6"/>
  <c r="B10" i="8"/>
  <c r="B9" i="6"/>
  <c r="C9" i="6"/>
  <c r="D9" i="6"/>
  <c r="E9" i="6"/>
  <c r="F9" i="6"/>
  <c r="G9" i="6"/>
  <c r="H9" i="6"/>
  <c r="I9" i="6"/>
  <c r="J9" i="6"/>
  <c r="K9" i="6"/>
  <c r="L9" i="6"/>
  <c r="M9" i="6"/>
  <c r="N9" i="6"/>
  <c r="O9" i="6"/>
  <c r="P9" i="6"/>
  <c r="Q9" i="6"/>
  <c r="R9" i="6"/>
  <c r="S9" i="6"/>
  <c r="T9" i="6"/>
  <c r="U9" i="6"/>
  <c r="V9" i="6"/>
  <c r="W9" i="6"/>
  <c r="X9" i="6"/>
  <c r="Y9" i="6"/>
  <c r="Z9" i="6"/>
  <c r="AA9" i="6"/>
  <c r="AB9" i="6"/>
  <c r="AC9" i="6"/>
  <c r="AD9" i="6"/>
  <c r="AE9" i="6"/>
  <c r="AF9" i="6"/>
  <c r="AG9" i="6"/>
  <c r="AH9" i="6"/>
  <c r="AI9" i="6"/>
  <c r="AJ9" i="6"/>
  <c r="AK9" i="6"/>
  <c r="AL9" i="6"/>
  <c r="AM9" i="6"/>
  <c r="AN9" i="6"/>
  <c r="Q139" i="6"/>
  <c r="R139" i="6"/>
  <c r="S139" i="6"/>
  <c r="T139" i="6"/>
  <c r="B67" i="6"/>
  <c r="B68" i="6"/>
  <c r="B69" i="6"/>
  <c r="B70" i="6"/>
  <c r="C70" i="6"/>
  <c r="D70" i="6"/>
  <c r="E70" i="6"/>
  <c r="F70" i="6"/>
  <c r="G70" i="6"/>
  <c r="H70" i="6"/>
  <c r="I70" i="6"/>
  <c r="J70" i="6"/>
  <c r="K70" i="6"/>
  <c r="L70" i="6"/>
  <c r="M70" i="6"/>
  <c r="N68" i="6"/>
  <c r="N69" i="6"/>
  <c r="N70" i="6"/>
  <c r="O70" i="6"/>
  <c r="P70" i="6"/>
  <c r="Q70" i="6"/>
  <c r="R70" i="6"/>
  <c r="S70" i="6"/>
  <c r="T68" i="6"/>
  <c r="T69" i="6"/>
  <c r="T70" i="6"/>
  <c r="U70" i="6"/>
  <c r="V70" i="6"/>
  <c r="W70" i="6"/>
  <c r="X70" i="6"/>
  <c r="Y70" i="6"/>
  <c r="Z70" i="6"/>
  <c r="AA70" i="6"/>
  <c r="AB70" i="6"/>
  <c r="AC70" i="6"/>
  <c r="AD70" i="6"/>
  <c r="AE70" i="6"/>
  <c r="AF70" i="6"/>
  <c r="AG70" i="6"/>
  <c r="AN70" i="6"/>
  <c r="U139" i="6"/>
  <c r="AO7" i="6"/>
  <c r="AP7" i="6"/>
  <c r="AO8" i="6"/>
  <c r="AP8" i="6"/>
  <c r="AO9" i="6"/>
  <c r="AP9" i="6"/>
  <c r="V139" i="6"/>
  <c r="AQ7" i="6"/>
  <c r="AQ8" i="6"/>
  <c r="AQ9" i="6"/>
  <c r="AR9" i="6"/>
  <c r="AS9" i="6"/>
  <c r="W139" i="6"/>
  <c r="AQ68" i="6"/>
  <c r="C69" i="6"/>
  <c r="D69" i="6"/>
  <c r="E69" i="6"/>
  <c r="F69" i="6"/>
  <c r="G69" i="6"/>
  <c r="H69" i="6"/>
  <c r="I69" i="6"/>
  <c r="J69" i="6"/>
  <c r="K69" i="6"/>
  <c r="L69" i="6"/>
  <c r="M69" i="6"/>
  <c r="O69" i="6"/>
  <c r="P69" i="6"/>
  <c r="Q69" i="6"/>
  <c r="R69" i="6"/>
  <c r="S69" i="6"/>
  <c r="U69" i="6"/>
  <c r="V69" i="6"/>
  <c r="W69" i="6"/>
  <c r="X69" i="6"/>
  <c r="Y69" i="6"/>
  <c r="Z69" i="6"/>
  <c r="AA69" i="6"/>
  <c r="AB69" i="6"/>
  <c r="AC69" i="6"/>
  <c r="AD69" i="6"/>
  <c r="AE69" i="6"/>
  <c r="AF69" i="6"/>
  <c r="AG69" i="6"/>
  <c r="AN69" i="6"/>
  <c r="C68" i="6"/>
  <c r="D68" i="6"/>
  <c r="E68" i="6"/>
  <c r="F68" i="6"/>
  <c r="G68" i="6"/>
  <c r="H68" i="6"/>
  <c r="I68" i="6"/>
  <c r="J68" i="6"/>
  <c r="K68" i="6"/>
  <c r="L68" i="6"/>
  <c r="M68" i="6"/>
  <c r="O68" i="6"/>
  <c r="P68" i="6"/>
  <c r="Q68" i="6"/>
  <c r="R68" i="6"/>
  <c r="S68" i="6"/>
  <c r="U68" i="6"/>
  <c r="V68" i="6"/>
  <c r="W68" i="6"/>
  <c r="X68" i="6"/>
  <c r="Y68" i="6"/>
  <c r="Z68" i="6"/>
  <c r="AA68" i="6"/>
  <c r="AB68" i="6"/>
  <c r="AC68" i="6"/>
  <c r="AD68" i="6"/>
  <c r="AE68" i="6"/>
  <c r="AF68" i="6"/>
  <c r="AG68" i="6"/>
  <c r="AN68" i="6"/>
  <c r="AM69" i="6"/>
  <c r="AQ69" i="6"/>
  <c r="AM70" i="6"/>
  <c r="AQ70" i="6"/>
  <c r="AR70" i="6"/>
  <c r="AS70" i="6"/>
  <c r="X139" i="6"/>
  <c r="Y139" i="6"/>
  <c r="AN67" i="6"/>
  <c r="AM68" i="6"/>
  <c r="AO68" i="6"/>
  <c r="AP68" i="6"/>
  <c r="AO69" i="6"/>
  <c r="AP69" i="6"/>
  <c r="AO70" i="6"/>
  <c r="AP70" i="6"/>
  <c r="Z139" i="6"/>
  <c r="B11" i="8"/>
  <c r="B10" i="6"/>
  <c r="C10" i="6"/>
  <c r="D10" i="6"/>
  <c r="E10" i="6"/>
  <c r="F10" i="6"/>
  <c r="G10" i="6"/>
  <c r="H10" i="6"/>
  <c r="I10" i="6"/>
  <c r="J10" i="6"/>
  <c r="K10" i="6"/>
  <c r="L10" i="6"/>
  <c r="M10" i="6"/>
  <c r="N11" i="8"/>
  <c r="N10" i="6"/>
  <c r="O10" i="6"/>
  <c r="P10" i="6"/>
  <c r="Q10" i="6"/>
  <c r="R10" i="6"/>
  <c r="S10" i="6"/>
  <c r="T10" i="6"/>
  <c r="U10" i="6"/>
  <c r="V10" i="6"/>
  <c r="W10" i="6"/>
  <c r="X10" i="6"/>
  <c r="Y10" i="6"/>
  <c r="Z10" i="6"/>
  <c r="AA10" i="6"/>
  <c r="AB10" i="6"/>
  <c r="AC10" i="6"/>
  <c r="AD10" i="6"/>
  <c r="AE10" i="6"/>
  <c r="AF10" i="6"/>
  <c r="AG10" i="6"/>
  <c r="AH10" i="6"/>
  <c r="AI10" i="6"/>
  <c r="AJ10" i="6"/>
  <c r="AK10" i="6"/>
  <c r="AL10" i="6"/>
  <c r="AM10" i="6"/>
  <c r="AN10" i="6"/>
  <c r="B12" i="8"/>
  <c r="B11" i="6"/>
  <c r="C11" i="6"/>
  <c r="D11" i="6"/>
  <c r="E11" i="6"/>
  <c r="F11" i="6"/>
  <c r="G11" i="6"/>
  <c r="H11" i="6"/>
  <c r="I11" i="6"/>
  <c r="J11" i="6"/>
  <c r="K11" i="6"/>
  <c r="L11" i="6"/>
  <c r="M11" i="6"/>
  <c r="N12" i="8"/>
  <c r="N11" i="6"/>
  <c r="O11" i="6"/>
  <c r="P11" i="6"/>
  <c r="Q11" i="6"/>
  <c r="R11" i="6"/>
  <c r="S11" i="6"/>
  <c r="T11" i="6"/>
  <c r="U11" i="6"/>
  <c r="V11" i="6"/>
  <c r="W11" i="6"/>
  <c r="X11" i="6"/>
  <c r="Y11" i="6"/>
  <c r="Z11" i="6"/>
  <c r="AA11" i="6"/>
  <c r="AB11" i="6"/>
  <c r="AC11" i="6"/>
  <c r="AD11" i="6"/>
  <c r="AE11" i="6"/>
  <c r="AF11" i="6"/>
  <c r="AG11" i="6"/>
  <c r="AH11" i="6"/>
  <c r="AI11" i="6"/>
  <c r="AJ11" i="6"/>
  <c r="AK11" i="6"/>
  <c r="AL11" i="6"/>
  <c r="AM11" i="6"/>
  <c r="AN11" i="6"/>
  <c r="BA9" i="6"/>
  <c r="AA139" i="6"/>
  <c r="B13" i="8"/>
  <c r="B12" i="6"/>
  <c r="C12" i="6"/>
  <c r="D12" i="6"/>
  <c r="E12" i="6"/>
  <c r="F12" i="6"/>
  <c r="G12" i="6"/>
  <c r="H12" i="6"/>
  <c r="I12" i="6"/>
  <c r="J12" i="6"/>
  <c r="K12" i="6"/>
  <c r="L12" i="6"/>
  <c r="M12" i="6"/>
  <c r="N13" i="8"/>
  <c r="N12" i="6"/>
  <c r="O12" i="6"/>
  <c r="P12" i="6"/>
  <c r="Q12" i="6"/>
  <c r="R12" i="6"/>
  <c r="S12" i="6"/>
  <c r="T12" i="6"/>
  <c r="U12" i="6"/>
  <c r="V12" i="6"/>
  <c r="W12" i="6"/>
  <c r="X12" i="6"/>
  <c r="Y12" i="6"/>
  <c r="Z12" i="6"/>
  <c r="AA12" i="6"/>
  <c r="AB12" i="6"/>
  <c r="AC12" i="6"/>
  <c r="AD12" i="6"/>
  <c r="AE12" i="6"/>
  <c r="AF12" i="6"/>
  <c r="AG12" i="6"/>
  <c r="AH12" i="6"/>
  <c r="AI12" i="6"/>
  <c r="AJ12" i="6"/>
  <c r="AK12" i="6"/>
  <c r="AL12" i="6"/>
  <c r="AM12" i="6"/>
  <c r="AN12" i="6"/>
  <c r="B14" i="8"/>
  <c r="B13" i="6"/>
  <c r="C13" i="6"/>
  <c r="D13" i="6"/>
  <c r="E13" i="6"/>
  <c r="F13" i="6"/>
  <c r="G13" i="6"/>
  <c r="H13" i="6"/>
  <c r="I13" i="6"/>
  <c r="J13" i="6"/>
  <c r="K13" i="6"/>
  <c r="L13" i="6"/>
  <c r="M13" i="6"/>
  <c r="N14" i="8"/>
  <c r="N13" i="6"/>
  <c r="O13" i="6"/>
  <c r="P13" i="6"/>
  <c r="Q13" i="6"/>
  <c r="R13" i="6"/>
  <c r="S13" i="6"/>
  <c r="T13" i="6"/>
  <c r="U13" i="6"/>
  <c r="V13" i="6"/>
  <c r="W13" i="6"/>
  <c r="X13" i="6"/>
  <c r="Y13" i="6"/>
  <c r="Z13" i="6"/>
  <c r="AA13" i="6"/>
  <c r="AB13" i="6"/>
  <c r="AC13" i="6"/>
  <c r="AD13" i="6"/>
  <c r="AE13" i="6"/>
  <c r="AF13" i="6"/>
  <c r="AG13" i="6"/>
  <c r="AH13" i="6"/>
  <c r="AI13" i="6"/>
  <c r="AJ13" i="6"/>
  <c r="AK13" i="6"/>
  <c r="AL13" i="6"/>
  <c r="AM13" i="6"/>
  <c r="AN13" i="6"/>
  <c r="BB9" i="6"/>
  <c r="AB139" i="6"/>
  <c r="B15" i="8"/>
  <c r="B14" i="6"/>
  <c r="C14" i="6"/>
  <c r="D14" i="6"/>
  <c r="E14" i="6"/>
  <c r="F14" i="6"/>
  <c r="G14" i="6"/>
  <c r="H14" i="6"/>
  <c r="I14" i="6"/>
  <c r="J14" i="6"/>
  <c r="K14" i="6"/>
  <c r="L14" i="6"/>
  <c r="M14" i="6"/>
  <c r="N15" i="8"/>
  <c r="N14" i="6"/>
  <c r="O14" i="6"/>
  <c r="P14" i="6"/>
  <c r="Q14" i="6"/>
  <c r="R14" i="6"/>
  <c r="S14" i="6"/>
  <c r="T14" i="6"/>
  <c r="U14" i="6"/>
  <c r="V14" i="6"/>
  <c r="W14" i="6"/>
  <c r="X14" i="6"/>
  <c r="Y14" i="6"/>
  <c r="Z14" i="6"/>
  <c r="AA14" i="6"/>
  <c r="AB14" i="6"/>
  <c r="AC14" i="6"/>
  <c r="AD14" i="6"/>
  <c r="AE14" i="6"/>
  <c r="AF14" i="6"/>
  <c r="AG14" i="6"/>
  <c r="AH14" i="6"/>
  <c r="AI14" i="6"/>
  <c r="AJ14" i="6"/>
  <c r="AK14" i="6"/>
  <c r="AL14" i="6"/>
  <c r="AM14" i="6"/>
  <c r="AN14" i="6"/>
  <c r="B16" i="8"/>
  <c r="B15" i="6"/>
  <c r="C15" i="6"/>
  <c r="D15" i="6"/>
  <c r="E15" i="6"/>
  <c r="F15" i="6"/>
  <c r="G15" i="6"/>
  <c r="H15" i="6"/>
  <c r="I15" i="6"/>
  <c r="J15" i="6"/>
  <c r="K15" i="6"/>
  <c r="L15" i="6"/>
  <c r="M15" i="6"/>
  <c r="N16" i="8"/>
  <c r="N15" i="6"/>
  <c r="O15" i="6"/>
  <c r="P15" i="6"/>
  <c r="Q15" i="6"/>
  <c r="R15" i="6"/>
  <c r="S15" i="6"/>
  <c r="T15" i="6"/>
  <c r="U15" i="6"/>
  <c r="V15" i="6"/>
  <c r="W15" i="6"/>
  <c r="X15" i="6"/>
  <c r="Y15" i="6"/>
  <c r="Z15" i="6"/>
  <c r="AA15" i="6"/>
  <c r="AB15" i="6"/>
  <c r="AC15" i="6"/>
  <c r="AD15" i="6"/>
  <c r="AE15" i="6"/>
  <c r="AF15" i="6"/>
  <c r="AG15" i="6"/>
  <c r="AH15" i="6"/>
  <c r="AI15" i="6"/>
  <c r="AJ15" i="6"/>
  <c r="AK15" i="6"/>
  <c r="AL15" i="6"/>
  <c r="AM15" i="6"/>
  <c r="AN15" i="6"/>
  <c r="B17" i="8"/>
  <c r="B16" i="6"/>
  <c r="C16" i="6"/>
  <c r="D16" i="6"/>
  <c r="E16" i="6"/>
  <c r="F16" i="6"/>
  <c r="G16" i="6"/>
  <c r="H16" i="6"/>
  <c r="I16" i="6"/>
  <c r="J16" i="6"/>
  <c r="K16" i="6"/>
  <c r="L16" i="6"/>
  <c r="M16" i="6"/>
  <c r="N17" i="8"/>
  <c r="N16" i="6"/>
  <c r="O16" i="6"/>
  <c r="P16" i="6"/>
  <c r="Q16" i="6"/>
  <c r="R16" i="6"/>
  <c r="S16" i="6"/>
  <c r="T16" i="6"/>
  <c r="U16" i="6"/>
  <c r="V16" i="6"/>
  <c r="W16" i="6"/>
  <c r="X16" i="6"/>
  <c r="Y16" i="6"/>
  <c r="Z16" i="6"/>
  <c r="AA16" i="6"/>
  <c r="AB16" i="6"/>
  <c r="AC16" i="6"/>
  <c r="AD16" i="6"/>
  <c r="AE16" i="6"/>
  <c r="AF16" i="6"/>
  <c r="AG16" i="6"/>
  <c r="AH16" i="6"/>
  <c r="AI16" i="6"/>
  <c r="AJ16" i="6"/>
  <c r="AK16" i="6"/>
  <c r="AL16" i="6"/>
  <c r="AM16" i="6"/>
  <c r="AN16" i="6"/>
  <c r="B18" i="8"/>
  <c r="B17" i="6"/>
  <c r="C17" i="6"/>
  <c r="D17" i="6"/>
  <c r="E17" i="6"/>
  <c r="F17" i="6"/>
  <c r="G17" i="6"/>
  <c r="H17" i="6"/>
  <c r="I17" i="6"/>
  <c r="J17" i="6"/>
  <c r="K17" i="6"/>
  <c r="L17" i="6"/>
  <c r="M17" i="6"/>
  <c r="N18" i="8"/>
  <c r="N17" i="6"/>
  <c r="O17" i="6"/>
  <c r="P17" i="6"/>
  <c r="Q17" i="6"/>
  <c r="R17" i="6"/>
  <c r="S17" i="6"/>
  <c r="T17" i="6"/>
  <c r="U17" i="6"/>
  <c r="V17" i="6"/>
  <c r="W17" i="6"/>
  <c r="X17" i="6"/>
  <c r="Y17" i="6"/>
  <c r="Z17" i="6"/>
  <c r="AA17" i="6"/>
  <c r="AB17" i="6"/>
  <c r="AC17" i="6"/>
  <c r="AD17" i="6"/>
  <c r="AE17" i="6"/>
  <c r="AF17" i="6"/>
  <c r="AG17" i="6"/>
  <c r="AH17" i="6"/>
  <c r="AI17" i="6"/>
  <c r="AJ17" i="6"/>
  <c r="AK17" i="6"/>
  <c r="AL17" i="6"/>
  <c r="AM17" i="6"/>
  <c r="AN17" i="6"/>
  <c r="B19" i="8"/>
  <c r="B18" i="6"/>
  <c r="C18" i="6"/>
  <c r="D18" i="6"/>
  <c r="E18" i="6"/>
  <c r="F18" i="6"/>
  <c r="G18" i="6"/>
  <c r="H18" i="6"/>
  <c r="I18" i="6"/>
  <c r="J18" i="6"/>
  <c r="K18" i="6"/>
  <c r="L18" i="6"/>
  <c r="M18" i="6"/>
  <c r="N19" i="8"/>
  <c r="N18" i="6"/>
  <c r="O18" i="6"/>
  <c r="P18" i="6"/>
  <c r="Q18" i="6"/>
  <c r="R18" i="6"/>
  <c r="S18" i="6"/>
  <c r="T18" i="6"/>
  <c r="U18" i="6"/>
  <c r="V18" i="6"/>
  <c r="W18" i="6"/>
  <c r="X18" i="6"/>
  <c r="Y18" i="6"/>
  <c r="Z18" i="6"/>
  <c r="AA18" i="6"/>
  <c r="AB18" i="6"/>
  <c r="AC18" i="6"/>
  <c r="AD18" i="6"/>
  <c r="AE18" i="6"/>
  <c r="AF18" i="6"/>
  <c r="AG18" i="6"/>
  <c r="AH18" i="6"/>
  <c r="AI18" i="6"/>
  <c r="AJ18" i="6"/>
  <c r="AK18" i="6"/>
  <c r="AL18" i="6"/>
  <c r="AM18" i="6"/>
  <c r="AN18" i="6"/>
  <c r="BC9" i="6"/>
  <c r="AC139" i="6"/>
  <c r="B20" i="8"/>
  <c r="B19" i="6"/>
  <c r="C19" i="6"/>
  <c r="D19" i="6"/>
  <c r="E19" i="6"/>
  <c r="F19" i="6"/>
  <c r="G19" i="6"/>
  <c r="H19" i="6"/>
  <c r="I19" i="6"/>
  <c r="J19" i="6"/>
  <c r="K19" i="6"/>
  <c r="L19" i="6"/>
  <c r="M19" i="6"/>
  <c r="N20" i="8"/>
  <c r="N19" i="6"/>
  <c r="O19" i="6"/>
  <c r="P19" i="6"/>
  <c r="Q19" i="6"/>
  <c r="R19" i="6"/>
  <c r="S19" i="6"/>
  <c r="T19" i="6"/>
  <c r="U19" i="6"/>
  <c r="V19" i="6"/>
  <c r="W19" i="6"/>
  <c r="X19" i="6"/>
  <c r="Y19" i="6"/>
  <c r="Z19" i="6"/>
  <c r="AA19" i="6"/>
  <c r="AB19" i="6"/>
  <c r="AC19" i="6"/>
  <c r="AD19" i="6"/>
  <c r="AE19" i="6"/>
  <c r="AF19" i="6"/>
  <c r="AG19" i="6"/>
  <c r="AH19" i="6"/>
  <c r="AI19" i="6"/>
  <c r="AJ19" i="6"/>
  <c r="AK19" i="6"/>
  <c r="AL19" i="6"/>
  <c r="AM19" i="6"/>
  <c r="AN19" i="6"/>
  <c r="B21" i="8"/>
  <c r="B20" i="6"/>
  <c r="C20" i="6"/>
  <c r="D20" i="6"/>
  <c r="E20" i="6"/>
  <c r="F20" i="6"/>
  <c r="G20" i="6"/>
  <c r="H20" i="6"/>
  <c r="I20" i="6"/>
  <c r="J20" i="6"/>
  <c r="K20" i="6"/>
  <c r="L20" i="6"/>
  <c r="M20" i="6"/>
  <c r="N21" i="8"/>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B22" i="8"/>
  <c r="B21" i="6"/>
  <c r="C21" i="6"/>
  <c r="D21" i="6"/>
  <c r="E21" i="6"/>
  <c r="F21" i="6"/>
  <c r="G21" i="6"/>
  <c r="H21" i="6"/>
  <c r="I21" i="6"/>
  <c r="J21" i="6"/>
  <c r="K21" i="6"/>
  <c r="L21" i="6"/>
  <c r="M21" i="6"/>
  <c r="N22" i="8"/>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B23" i="8"/>
  <c r="B22" i="6"/>
  <c r="C22" i="6"/>
  <c r="D22" i="6"/>
  <c r="E22" i="6"/>
  <c r="F22" i="6"/>
  <c r="G22" i="6"/>
  <c r="H22" i="6"/>
  <c r="I22" i="6"/>
  <c r="J22" i="6"/>
  <c r="K22" i="6"/>
  <c r="L22" i="6"/>
  <c r="M22" i="6"/>
  <c r="N23" i="8"/>
  <c r="N22" i="6"/>
  <c r="O22" i="6"/>
  <c r="P22" i="6"/>
  <c r="Q22" i="6"/>
  <c r="R22" i="6"/>
  <c r="S22" i="6"/>
  <c r="T22" i="6"/>
  <c r="U22" i="6"/>
  <c r="V22" i="6"/>
  <c r="W22" i="6"/>
  <c r="X22" i="6"/>
  <c r="Y22" i="6"/>
  <c r="Z22" i="6"/>
  <c r="AA22" i="6"/>
  <c r="AB22" i="6"/>
  <c r="AC22" i="6"/>
  <c r="AD22" i="6"/>
  <c r="AE22" i="6"/>
  <c r="AF22" i="6"/>
  <c r="AG22" i="6"/>
  <c r="AH22" i="6"/>
  <c r="AI22" i="6"/>
  <c r="AJ22" i="6"/>
  <c r="AK22" i="6"/>
  <c r="AL22" i="6"/>
  <c r="AM22" i="6"/>
  <c r="AN22" i="6"/>
  <c r="B24" i="8"/>
  <c r="B23" i="6"/>
  <c r="C23" i="6"/>
  <c r="D23" i="6"/>
  <c r="E23" i="6"/>
  <c r="F23" i="6"/>
  <c r="G23" i="6"/>
  <c r="H23" i="6"/>
  <c r="I23" i="6"/>
  <c r="J23" i="6"/>
  <c r="K23" i="6"/>
  <c r="L23" i="6"/>
  <c r="M23" i="6"/>
  <c r="N24" i="8"/>
  <c r="N23" i="6"/>
  <c r="O23" i="6"/>
  <c r="P23" i="6"/>
  <c r="Q23" i="6"/>
  <c r="R23" i="6"/>
  <c r="S23" i="6"/>
  <c r="T23" i="6"/>
  <c r="U23" i="6"/>
  <c r="V23" i="6"/>
  <c r="W23" i="6"/>
  <c r="X23" i="6"/>
  <c r="Y23" i="6"/>
  <c r="Z23" i="6"/>
  <c r="AA23" i="6"/>
  <c r="AB23" i="6"/>
  <c r="AC23" i="6"/>
  <c r="AD23" i="6"/>
  <c r="AE23" i="6"/>
  <c r="AF23" i="6"/>
  <c r="AG23" i="6"/>
  <c r="AH23" i="6"/>
  <c r="AI23" i="6"/>
  <c r="AJ23" i="6"/>
  <c r="AK23" i="6"/>
  <c r="AL23" i="6"/>
  <c r="AM23" i="6"/>
  <c r="AN23" i="6"/>
  <c r="BD9" i="6"/>
  <c r="AD139" i="6"/>
  <c r="AM11" i="8"/>
  <c r="AO10" i="6"/>
  <c r="AP10" i="6"/>
  <c r="AM12" i="8"/>
  <c r="AO11" i="6"/>
  <c r="AP11" i="6"/>
  <c r="BH9" i="6"/>
  <c r="AE139" i="6"/>
  <c r="AM13" i="8"/>
  <c r="AO12" i="6"/>
  <c r="AP12" i="6"/>
  <c r="AM14" i="8"/>
  <c r="AO13" i="6"/>
  <c r="AP13" i="6"/>
  <c r="BI9" i="6"/>
  <c r="AF139" i="6"/>
  <c r="AM15" i="8"/>
  <c r="AO14" i="6"/>
  <c r="AP14" i="6"/>
  <c r="AM16" i="8"/>
  <c r="AO15" i="6"/>
  <c r="AP15" i="6"/>
  <c r="AM17" i="8"/>
  <c r="AO16" i="6"/>
  <c r="AP16" i="6"/>
  <c r="AM18" i="8"/>
  <c r="AO17" i="6"/>
  <c r="AP17" i="6"/>
  <c r="AM19" i="8"/>
  <c r="AO18" i="6"/>
  <c r="AP18" i="6"/>
  <c r="BJ9" i="6"/>
  <c r="AG139" i="6"/>
  <c r="AM20" i="8"/>
  <c r="AO19" i="6"/>
  <c r="AP19" i="6"/>
  <c r="AM21" i="8"/>
  <c r="AO20" i="6"/>
  <c r="AP20" i="6"/>
  <c r="AM22" i="8"/>
  <c r="AO21" i="6"/>
  <c r="AP21" i="6"/>
  <c r="AM23" i="8"/>
  <c r="AO22" i="6"/>
  <c r="AP22" i="6"/>
  <c r="AM24" i="8"/>
  <c r="AO23" i="6"/>
  <c r="AP23" i="6"/>
  <c r="BK9" i="6"/>
  <c r="AH139" i="6"/>
  <c r="A140" i="6"/>
  <c r="D11" i="8"/>
  <c r="B140" i="6"/>
  <c r="C11" i="8"/>
  <c r="C140" i="6"/>
  <c r="G11" i="8"/>
  <c r="D140" i="6"/>
  <c r="H11" i="8"/>
  <c r="E140" i="6"/>
  <c r="F140" i="6"/>
  <c r="K11" i="8"/>
  <c r="G140" i="6"/>
  <c r="U11" i="8"/>
  <c r="H140" i="6"/>
  <c r="I140" i="6"/>
  <c r="J140" i="6"/>
  <c r="K140" i="6"/>
  <c r="L140" i="6"/>
  <c r="P140" i="6"/>
  <c r="Q140" i="6"/>
  <c r="R140" i="6"/>
  <c r="S140" i="6"/>
  <c r="T140" i="6"/>
  <c r="B71" i="6"/>
  <c r="C71" i="6"/>
  <c r="D71" i="6"/>
  <c r="E71" i="6"/>
  <c r="F71" i="6"/>
  <c r="G71" i="6"/>
  <c r="H71" i="6"/>
  <c r="I71" i="6"/>
  <c r="J71" i="6"/>
  <c r="K71" i="6"/>
  <c r="L71" i="6"/>
  <c r="M71" i="6"/>
  <c r="N71" i="6"/>
  <c r="O71" i="6"/>
  <c r="P71" i="6"/>
  <c r="Q71" i="6"/>
  <c r="R71" i="6"/>
  <c r="S71" i="6"/>
  <c r="T71" i="6"/>
  <c r="U71" i="6"/>
  <c r="V71" i="6"/>
  <c r="W71" i="6"/>
  <c r="X71" i="6"/>
  <c r="Y71" i="6"/>
  <c r="Z71" i="6"/>
  <c r="AA71" i="6"/>
  <c r="AB71" i="6"/>
  <c r="AC71" i="6"/>
  <c r="AD71" i="6"/>
  <c r="AE71" i="6"/>
  <c r="AF71" i="6"/>
  <c r="AG71" i="6"/>
  <c r="AN71" i="6"/>
  <c r="U140" i="6"/>
  <c r="V140" i="6"/>
  <c r="AQ10" i="6"/>
  <c r="AR10" i="6"/>
  <c r="AS10" i="6"/>
  <c r="W140" i="6"/>
  <c r="AM71" i="6"/>
  <c r="AQ71" i="6"/>
  <c r="AR71" i="6"/>
  <c r="AS71" i="6"/>
  <c r="X140" i="6"/>
  <c r="Y140" i="6"/>
  <c r="AO71" i="6"/>
  <c r="AP71" i="6"/>
  <c r="Z140" i="6"/>
  <c r="BA10" i="6"/>
  <c r="AA140" i="6"/>
  <c r="BB10" i="6"/>
  <c r="AB140" i="6"/>
  <c r="BC10" i="6"/>
  <c r="AC140" i="6"/>
  <c r="B25" i="8"/>
  <c r="B24" i="6"/>
  <c r="C24" i="6"/>
  <c r="D24" i="6"/>
  <c r="E24" i="6"/>
  <c r="F24" i="6"/>
  <c r="G24" i="6"/>
  <c r="H24" i="6"/>
  <c r="I24" i="6"/>
  <c r="J24" i="6"/>
  <c r="K24" i="6"/>
  <c r="L24" i="6"/>
  <c r="M24" i="6"/>
  <c r="N25" i="8"/>
  <c r="N24" i="6"/>
  <c r="O24" i="6"/>
  <c r="P24" i="6"/>
  <c r="Q24" i="6"/>
  <c r="R24" i="6"/>
  <c r="S24" i="6"/>
  <c r="T24" i="6"/>
  <c r="U24" i="6"/>
  <c r="V24" i="6"/>
  <c r="W24" i="6"/>
  <c r="X24" i="6"/>
  <c r="Y24" i="6"/>
  <c r="Z24" i="6"/>
  <c r="AA24" i="6"/>
  <c r="AB24" i="6"/>
  <c r="AC24" i="6"/>
  <c r="AD24" i="6"/>
  <c r="AE24" i="6"/>
  <c r="AF24" i="6"/>
  <c r="AG24" i="6"/>
  <c r="AH24" i="6"/>
  <c r="AI24" i="6"/>
  <c r="AJ24" i="6"/>
  <c r="AK24" i="6"/>
  <c r="AL24" i="6"/>
  <c r="AM24" i="6"/>
  <c r="AN24" i="6"/>
  <c r="BD10" i="6"/>
  <c r="AD140" i="6"/>
  <c r="BH10" i="6"/>
  <c r="AE140" i="6"/>
  <c r="BI10" i="6"/>
  <c r="AF140" i="6"/>
  <c r="BJ10" i="6"/>
  <c r="AG140" i="6"/>
  <c r="AM25" i="8"/>
  <c r="AO24" i="6"/>
  <c r="AP24" i="6"/>
  <c r="BK10" i="6"/>
  <c r="AH140" i="6"/>
  <c r="A141" i="6"/>
  <c r="D12" i="8"/>
  <c r="B141" i="6"/>
  <c r="C12" i="8"/>
  <c r="C141" i="6"/>
  <c r="G12" i="8"/>
  <c r="D141" i="6"/>
  <c r="H12" i="8"/>
  <c r="E141" i="6"/>
  <c r="F141" i="6"/>
  <c r="K12" i="8"/>
  <c r="G141" i="6"/>
  <c r="U12" i="8"/>
  <c r="H141" i="6"/>
  <c r="I141" i="6"/>
  <c r="J141" i="6"/>
  <c r="K141" i="6"/>
  <c r="L141" i="6"/>
  <c r="P141" i="6"/>
  <c r="Q141" i="6"/>
  <c r="R141" i="6"/>
  <c r="S141" i="6"/>
  <c r="T141" i="6"/>
  <c r="B72" i="6"/>
  <c r="C72" i="6"/>
  <c r="D72" i="6"/>
  <c r="E72" i="6"/>
  <c r="F72" i="6"/>
  <c r="G72" i="6"/>
  <c r="H72" i="6"/>
  <c r="I72" i="6"/>
  <c r="J72" i="6"/>
  <c r="K72" i="6"/>
  <c r="L72" i="6"/>
  <c r="M72" i="6"/>
  <c r="N72" i="6"/>
  <c r="O72" i="6"/>
  <c r="P72" i="6"/>
  <c r="Q72" i="6"/>
  <c r="R72" i="6"/>
  <c r="S72" i="6"/>
  <c r="T72" i="6"/>
  <c r="U72" i="6"/>
  <c r="V72" i="6"/>
  <c r="W72" i="6"/>
  <c r="X72" i="6"/>
  <c r="Y72" i="6"/>
  <c r="Z72" i="6"/>
  <c r="AA72" i="6"/>
  <c r="AB72" i="6"/>
  <c r="AC72" i="6"/>
  <c r="AD72" i="6"/>
  <c r="AE72" i="6"/>
  <c r="AF72" i="6"/>
  <c r="AG72" i="6"/>
  <c r="AN72" i="6"/>
  <c r="U141" i="6"/>
  <c r="V141" i="6"/>
  <c r="AQ11" i="6"/>
  <c r="AR11" i="6"/>
  <c r="AS11" i="6"/>
  <c r="W141" i="6"/>
  <c r="AM72" i="6"/>
  <c r="AQ72" i="6"/>
  <c r="AR72" i="6"/>
  <c r="AS72" i="6"/>
  <c r="X141" i="6"/>
  <c r="Y141" i="6"/>
  <c r="AO72" i="6"/>
  <c r="AP72" i="6"/>
  <c r="Z141" i="6"/>
  <c r="BA11" i="6"/>
  <c r="AA141" i="6"/>
  <c r="BB11" i="6"/>
  <c r="AB141" i="6"/>
  <c r="BC11" i="6"/>
  <c r="AC141" i="6"/>
  <c r="B26" i="8"/>
  <c r="B25" i="6"/>
  <c r="C25" i="6"/>
  <c r="D25" i="6"/>
  <c r="E25" i="6"/>
  <c r="F25" i="6"/>
  <c r="G25" i="6"/>
  <c r="H25" i="6"/>
  <c r="I25" i="6"/>
  <c r="J25" i="6"/>
  <c r="K25" i="6"/>
  <c r="L25" i="6"/>
  <c r="M25" i="6"/>
  <c r="N26" i="8"/>
  <c r="N25" i="6"/>
  <c r="O25" i="6"/>
  <c r="P25" i="6"/>
  <c r="Q25" i="6"/>
  <c r="R25" i="6"/>
  <c r="S25" i="6"/>
  <c r="T25" i="6"/>
  <c r="U25" i="6"/>
  <c r="V25" i="6"/>
  <c r="W25" i="6"/>
  <c r="X25" i="6"/>
  <c r="Y25" i="6"/>
  <c r="Z25" i="6"/>
  <c r="AA25" i="6"/>
  <c r="AB25" i="6"/>
  <c r="AC25" i="6"/>
  <c r="AD25" i="6"/>
  <c r="AE25" i="6"/>
  <c r="AF25" i="6"/>
  <c r="AG25" i="6"/>
  <c r="AH25" i="6"/>
  <c r="AI25" i="6"/>
  <c r="AJ25" i="6"/>
  <c r="AK25" i="6"/>
  <c r="AL25" i="6"/>
  <c r="AM25" i="6"/>
  <c r="AN25" i="6"/>
  <c r="BD11" i="6"/>
  <c r="AD141" i="6"/>
  <c r="BH11" i="6"/>
  <c r="AE141" i="6"/>
  <c r="BI11" i="6"/>
  <c r="AF141" i="6"/>
  <c r="BJ11" i="6"/>
  <c r="AG141" i="6"/>
  <c r="AM26" i="8"/>
  <c r="AO25" i="6"/>
  <c r="AP25" i="6"/>
  <c r="BK11" i="6"/>
  <c r="AH141" i="6"/>
  <c r="A142" i="6"/>
  <c r="D13" i="8"/>
  <c r="B142" i="6"/>
  <c r="C13" i="8"/>
  <c r="C142" i="6"/>
  <c r="G13" i="8"/>
  <c r="D142" i="6"/>
  <c r="H13" i="8"/>
  <c r="E142" i="6"/>
  <c r="F142" i="6"/>
  <c r="K13" i="8"/>
  <c r="G142" i="6"/>
  <c r="U13" i="8"/>
  <c r="H142" i="6"/>
  <c r="I142" i="6"/>
  <c r="J142" i="6"/>
  <c r="K142" i="6"/>
  <c r="L142" i="6"/>
  <c r="P142" i="6"/>
  <c r="Q142" i="6"/>
  <c r="R142" i="6"/>
  <c r="S142" i="6"/>
  <c r="T142" i="6"/>
  <c r="B73" i="6"/>
  <c r="C73" i="6"/>
  <c r="D73" i="6"/>
  <c r="E73" i="6"/>
  <c r="F73" i="6"/>
  <c r="G73" i="6"/>
  <c r="H73" i="6"/>
  <c r="I73" i="6"/>
  <c r="J73" i="6"/>
  <c r="K73" i="6"/>
  <c r="L73" i="6"/>
  <c r="M73" i="6"/>
  <c r="N73" i="6"/>
  <c r="O73" i="6"/>
  <c r="P73" i="6"/>
  <c r="Q73" i="6"/>
  <c r="R73" i="6"/>
  <c r="S73" i="6"/>
  <c r="T73" i="6"/>
  <c r="U73" i="6"/>
  <c r="V73" i="6"/>
  <c r="W73" i="6"/>
  <c r="X73" i="6"/>
  <c r="Y73" i="6"/>
  <c r="Z73" i="6"/>
  <c r="AA73" i="6"/>
  <c r="AB73" i="6"/>
  <c r="AC73" i="6"/>
  <c r="AD73" i="6"/>
  <c r="AE73" i="6"/>
  <c r="AF73" i="6"/>
  <c r="AG73" i="6"/>
  <c r="AN73" i="6"/>
  <c r="U142" i="6"/>
  <c r="V142" i="6"/>
  <c r="AQ12" i="6"/>
  <c r="AR12" i="6"/>
  <c r="AS12" i="6"/>
  <c r="W142" i="6"/>
  <c r="AM73" i="6"/>
  <c r="AQ73" i="6"/>
  <c r="AR73" i="6"/>
  <c r="AS73" i="6"/>
  <c r="X142" i="6"/>
  <c r="Y142" i="6"/>
  <c r="AO73" i="6"/>
  <c r="AP73" i="6"/>
  <c r="Z142" i="6"/>
  <c r="BA12" i="6"/>
  <c r="AA142" i="6"/>
  <c r="BB12" i="6"/>
  <c r="AB142" i="6"/>
  <c r="BC12" i="6"/>
  <c r="AC142" i="6"/>
  <c r="B27" i="8"/>
  <c r="B26" i="6"/>
  <c r="C26" i="6"/>
  <c r="D26" i="6"/>
  <c r="E26" i="6"/>
  <c r="F26" i="6"/>
  <c r="G26" i="6"/>
  <c r="H26" i="6"/>
  <c r="I26" i="6"/>
  <c r="J26" i="6"/>
  <c r="K26" i="6"/>
  <c r="L26" i="6"/>
  <c r="M26" i="6"/>
  <c r="N27" i="8"/>
  <c r="N26" i="6"/>
  <c r="O26" i="6"/>
  <c r="P26" i="6"/>
  <c r="Q26" i="6"/>
  <c r="R26" i="6"/>
  <c r="S26" i="6"/>
  <c r="T26" i="6"/>
  <c r="U26" i="6"/>
  <c r="V26" i="6"/>
  <c r="W26" i="6"/>
  <c r="X26" i="6"/>
  <c r="Y26" i="6"/>
  <c r="Z26" i="6"/>
  <c r="AA26" i="6"/>
  <c r="AB26" i="6"/>
  <c r="AC26" i="6"/>
  <c r="AD26" i="6"/>
  <c r="AE26" i="6"/>
  <c r="AF26" i="6"/>
  <c r="AG26" i="6"/>
  <c r="AH26" i="6"/>
  <c r="AI26" i="6"/>
  <c r="AJ26" i="6"/>
  <c r="AK26" i="6"/>
  <c r="AL26" i="6"/>
  <c r="AM26" i="6"/>
  <c r="AN26" i="6"/>
  <c r="BD12" i="6"/>
  <c r="AD142" i="6"/>
  <c r="BH12" i="6"/>
  <c r="AE142" i="6"/>
  <c r="BI12" i="6"/>
  <c r="AF142" i="6"/>
  <c r="BJ12" i="6"/>
  <c r="AG142" i="6"/>
  <c r="AM27" i="8"/>
  <c r="AO26" i="6"/>
  <c r="AP26" i="6"/>
  <c r="BK12" i="6"/>
  <c r="AH142" i="6"/>
  <c r="A143" i="6"/>
  <c r="D14" i="8"/>
  <c r="B143" i="6"/>
  <c r="C14" i="8"/>
  <c r="C143" i="6"/>
  <c r="G14" i="8"/>
  <c r="D143" i="6"/>
  <c r="H14" i="8"/>
  <c r="E143" i="6"/>
  <c r="F143" i="6"/>
  <c r="K14" i="8"/>
  <c r="G143" i="6"/>
  <c r="U14" i="8"/>
  <c r="H143" i="6"/>
  <c r="I143" i="6"/>
  <c r="J143" i="6"/>
  <c r="K143" i="6"/>
  <c r="L143" i="6"/>
  <c r="P143" i="6"/>
  <c r="Q143" i="6"/>
  <c r="R143" i="6"/>
  <c r="S143" i="6"/>
  <c r="T143" i="6"/>
  <c r="B74" i="6"/>
  <c r="C74" i="6"/>
  <c r="D74" i="6"/>
  <c r="E74" i="6"/>
  <c r="F74" i="6"/>
  <c r="G74" i="6"/>
  <c r="H74" i="6"/>
  <c r="I74" i="6"/>
  <c r="J74" i="6"/>
  <c r="K74" i="6"/>
  <c r="L74" i="6"/>
  <c r="M74" i="6"/>
  <c r="N74" i="6"/>
  <c r="O74" i="6"/>
  <c r="P74" i="6"/>
  <c r="Q74" i="6"/>
  <c r="R74" i="6"/>
  <c r="S74" i="6"/>
  <c r="T74" i="6"/>
  <c r="U74" i="6"/>
  <c r="V74" i="6"/>
  <c r="W74" i="6"/>
  <c r="X74" i="6"/>
  <c r="Y74" i="6"/>
  <c r="Z74" i="6"/>
  <c r="AA74" i="6"/>
  <c r="AB74" i="6"/>
  <c r="AC74" i="6"/>
  <c r="AD74" i="6"/>
  <c r="AE74" i="6"/>
  <c r="AF74" i="6"/>
  <c r="AG74" i="6"/>
  <c r="AN74" i="6"/>
  <c r="U143" i="6"/>
  <c r="V143" i="6"/>
  <c r="AQ13" i="6"/>
  <c r="AR13" i="6"/>
  <c r="AS13" i="6"/>
  <c r="W143" i="6"/>
  <c r="AM74" i="6"/>
  <c r="AQ74" i="6"/>
  <c r="AR74" i="6"/>
  <c r="AS74" i="6"/>
  <c r="X143" i="6"/>
  <c r="Y143" i="6"/>
  <c r="AO74" i="6"/>
  <c r="AP74" i="6"/>
  <c r="Z143" i="6"/>
  <c r="BA13" i="6"/>
  <c r="AA143" i="6"/>
  <c r="BB13" i="6"/>
  <c r="AB143" i="6"/>
  <c r="BC13" i="6"/>
  <c r="AC143" i="6"/>
  <c r="B28" i="8"/>
  <c r="B27" i="6"/>
  <c r="C27" i="6"/>
  <c r="D27" i="6"/>
  <c r="E27" i="6"/>
  <c r="F27" i="6"/>
  <c r="G27" i="6"/>
  <c r="H27" i="6"/>
  <c r="I27" i="6"/>
  <c r="J27" i="6"/>
  <c r="K27" i="6"/>
  <c r="L27" i="6"/>
  <c r="M27" i="6"/>
  <c r="N28" i="8"/>
  <c r="N27" i="6"/>
  <c r="O27" i="6"/>
  <c r="P27" i="6"/>
  <c r="Q27" i="6"/>
  <c r="R27" i="6"/>
  <c r="S27" i="6"/>
  <c r="T28" i="8"/>
  <c r="T27" i="6"/>
  <c r="U27" i="6"/>
  <c r="V27" i="6"/>
  <c r="W27" i="6"/>
  <c r="X27" i="6"/>
  <c r="Y27" i="6"/>
  <c r="Z27" i="6"/>
  <c r="AA27" i="6"/>
  <c r="AB27" i="6"/>
  <c r="AC27" i="6"/>
  <c r="AD27" i="6"/>
  <c r="AE27" i="6"/>
  <c r="AF27" i="6"/>
  <c r="AG27" i="6"/>
  <c r="AH27" i="6"/>
  <c r="AI27" i="6"/>
  <c r="AJ27" i="6"/>
  <c r="AK27" i="6"/>
  <c r="AL27" i="6"/>
  <c r="AM27" i="6"/>
  <c r="AN27" i="6"/>
  <c r="BD13" i="6"/>
  <c r="AD143" i="6"/>
  <c r="BH13" i="6"/>
  <c r="AE143" i="6"/>
  <c r="BI13" i="6"/>
  <c r="AF143" i="6"/>
  <c r="BJ13" i="6"/>
  <c r="AG143" i="6"/>
  <c r="AM28" i="8"/>
  <c r="AO27" i="6"/>
  <c r="AP27" i="6"/>
  <c r="BK13" i="6"/>
  <c r="AH143" i="6"/>
  <c r="A144" i="6"/>
  <c r="D15" i="8"/>
  <c r="B144" i="6"/>
  <c r="C15" i="8"/>
  <c r="C144" i="6"/>
  <c r="G15" i="8"/>
  <c r="D144" i="6"/>
  <c r="H15" i="8"/>
  <c r="E144" i="6"/>
  <c r="F144" i="6"/>
  <c r="K15" i="8"/>
  <c r="G144" i="6"/>
  <c r="U15" i="8"/>
  <c r="H144" i="6"/>
  <c r="I144" i="6"/>
  <c r="J144" i="6"/>
  <c r="K144" i="6"/>
  <c r="L144" i="6"/>
  <c r="P144" i="6"/>
  <c r="Q144" i="6"/>
  <c r="R144" i="6"/>
  <c r="S144" i="6"/>
  <c r="T144" i="6"/>
  <c r="B75" i="6"/>
  <c r="C75" i="6"/>
  <c r="D75" i="6"/>
  <c r="E75" i="6"/>
  <c r="F75" i="6"/>
  <c r="G75" i="6"/>
  <c r="H75" i="6"/>
  <c r="I75" i="6"/>
  <c r="J75" i="6"/>
  <c r="K75" i="6"/>
  <c r="L75" i="6"/>
  <c r="M75" i="6"/>
  <c r="N75" i="6"/>
  <c r="O75" i="6"/>
  <c r="P75" i="6"/>
  <c r="Q75" i="6"/>
  <c r="R75" i="6"/>
  <c r="S75" i="6"/>
  <c r="T75" i="6"/>
  <c r="U75" i="6"/>
  <c r="V75" i="6"/>
  <c r="W75" i="6"/>
  <c r="X75" i="6"/>
  <c r="Y75" i="6"/>
  <c r="Z75" i="6"/>
  <c r="AA75" i="6"/>
  <c r="AB75" i="6"/>
  <c r="AC75" i="6"/>
  <c r="AD75" i="6"/>
  <c r="AE75" i="6"/>
  <c r="AF75" i="6"/>
  <c r="AG75" i="6"/>
  <c r="AN75" i="6"/>
  <c r="U144" i="6"/>
  <c r="V144" i="6"/>
  <c r="AQ14" i="6"/>
  <c r="AR14" i="6"/>
  <c r="AS14" i="6"/>
  <c r="W144" i="6"/>
  <c r="AM75" i="6"/>
  <c r="AQ75" i="6"/>
  <c r="AR75" i="6"/>
  <c r="AS75" i="6"/>
  <c r="X144" i="6"/>
  <c r="Y144" i="6"/>
  <c r="AO75" i="6"/>
  <c r="AP75" i="6"/>
  <c r="Z144" i="6"/>
  <c r="BA14" i="6"/>
  <c r="AA144" i="6"/>
  <c r="BB14" i="6"/>
  <c r="AB144" i="6"/>
  <c r="BC14" i="6"/>
  <c r="AC144" i="6"/>
  <c r="B29" i="8"/>
  <c r="B28" i="6"/>
  <c r="C28" i="6"/>
  <c r="D28" i="6"/>
  <c r="E28" i="6"/>
  <c r="F28" i="6"/>
  <c r="G28" i="6"/>
  <c r="H28" i="6"/>
  <c r="I28" i="6"/>
  <c r="J28" i="6"/>
  <c r="K28" i="6"/>
  <c r="L28" i="6"/>
  <c r="M28" i="6"/>
  <c r="N29" i="8"/>
  <c r="N28" i="6"/>
  <c r="O28" i="6"/>
  <c r="P28" i="6"/>
  <c r="Q28" i="6"/>
  <c r="R28" i="6"/>
  <c r="S28" i="6"/>
  <c r="T29" i="8"/>
  <c r="T28" i="6"/>
  <c r="U28" i="6"/>
  <c r="V28" i="6"/>
  <c r="W28" i="6"/>
  <c r="X28" i="6"/>
  <c r="Y28" i="6"/>
  <c r="Z28" i="6"/>
  <c r="AA28" i="6"/>
  <c r="AB28" i="6"/>
  <c r="AC28" i="6"/>
  <c r="AD28" i="6"/>
  <c r="AE28" i="6"/>
  <c r="AF28" i="6"/>
  <c r="AG28" i="6"/>
  <c r="AH28" i="6"/>
  <c r="AI28" i="6"/>
  <c r="AJ28" i="6"/>
  <c r="AK28" i="6"/>
  <c r="AL28" i="6"/>
  <c r="AM28" i="6"/>
  <c r="AN28" i="6"/>
  <c r="BD14" i="6"/>
  <c r="AD144" i="6"/>
  <c r="BH14" i="6"/>
  <c r="AE144" i="6"/>
  <c r="BI14" i="6"/>
  <c r="AF144" i="6"/>
  <c r="BJ14" i="6"/>
  <c r="AG144" i="6"/>
  <c r="AM29" i="8"/>
  <c r="AO28" i="6"/>
  <c r="AP28" i="6"/>
  <c r="BK14" i="6"/>
  <c r="AH144" i="6"/>
  <c r="A145" i="6"/>
  <c r="D16" i="8"/>
  <c r="B145" i="6"/>
  <c r="C16" i="8"/>
  <c r="C145" i="6"/>
  <c r="G16" i="8"/>
  <c r="D145" i="6"/>
  <c r="H16" i="8"/>
  <c r="E145" i="6"/>
  <c r="F145" i="6"/>
  <c r="K16" i="8"/>
  <c r="G145" i="6"/>
  <c r="U16" i="8"/>
  <c r="H145" i="6"/>
  <c r="I145" i="6"/>
  <c r="J145" i="6"/>
  <c r="K145" i="6"/>
  <c r="L145" i="6"/>
  <c r="P145" i="6"/>
  <c r="Q145" i="6"/>
  <c r="R145" i="6"/>
  <c r="S145" i="6"/>
  <c r="T145" i="6"/>
  <c r="B76" i="6"/>
  <c r="C76" i="6"/>
  <c r="D76" i="6"/>
  <c r="E76" i="6"/>
  <c r="F76" i="6"/>
  <c r="G76" i="6"/>
  <c r="H76" i="6"/>
  <c r="I76" i="6"/>
  <c r="J76" i="6"/>
  <c r="K76" i="6"/>
  <c r="L76" i="6"/>
  <c r="M76" i="6"/>
  <c r="N76" i="6"/>
  <c r="O76" i="6"/>
  <c r="P76" i="6"/>
  <c r="Q76" i="6"/>
  <c r="R76" i="6"/>
  <c r="S76" i="6"/>
  <c r="T76" i="6"/>
  <c r="U76" i="6"/>
  <c r="V76" i="6"/>
  <c r="W76" i="6"/>
  <c r="X76" i="6"/>
  <c r="Y76" i="6"/>
  <c r="Z76" i="6"/>
  <c r="AA76" i="6"/>
  <c r="AB76" i="6"/>
  <c r="AC76" i="6"/>
  <c r="AD76" i="6"/>
  <c r="AE76" i="6"/>
  <c r="AF76" i="6"/>
  <c r="AG76" i="6"/>
  <c r="AN76" i="6"/>
  <c r="U145" i="6"/>
  <c r="V145" i="6"/>
  <c r="AQ15" i="6"/>
  <c r="AR15" i="6"/>
  <c r="AS15" i="6"/>
  <c r="W145" i="6"/>
  <c r="AM76" i="6"/>
  <c r="AQ76" i="6"/>
  <c r="AR76" i="6"/>
  <c r="AS76" i="6"/>
  <c r="X145" i="6"/>
  <c r="Y145" i="6"/>
  <c r="AO76" i="6"/>
  <c r="AP76" i="6"/>
  <c r="Z145" i="6"/>
  <c r="BA15" i="6"/>
  <c r="AA145" i="6"/>
  <c r="BB15" i="6"/>
  <c r="AB145" i="6"/>
  <c r="BC15" i="6"/>
  <c r="AC145" i="6"/>
  <c r="B30" i="8"/>
  <c r="B29" i="6"/>
  <c r="C29" i="6"/>
  <c r="D29" i="6"/>
  <c r="E29" i="6"/>
  <c r="F29" i="6"/>
  <c r="G29" i="6"/>
  <c r="H29" i="6"/>
  <c r="I29" i="6"/>
  <c r="J29" i="6"/>
  <c r="K29" i="6"/>
  <c r="L29" i="6"/>
  <c r="M29" i="6"/>
  <c r="N30" i="8"/>
  <c r="N29" i="6"/>
  <c r="O29" i="6"/>
  <c r="P29" i="6"/>
  <c r="Q29" i="6"/>
  <c r="R29" i="6"/>
  <c r="S29" i="6"/>
  <c r="T30" i="8"/>
  <c r="T29" i="6"/>
  <c r="U29" i="6"/>
  <c r="V29" i="6"/>
  <c r="W29" i="6"/>
  <c r="X29" i="6"/>
  <c r="Y29" i="6"/>
  <c r="Z29" i="6"/>
  <c r="AA29" i="6"/>
  <c r="AB29" i="6"/>
  <c r="AC29" i="6"/>
  <c r="AD29" i="6"/>
  <c r="AE29" i="6"/>
  <c r="AF29" i="6"/>
  <c r="AG29" i="6"/>
  <c r="AH29" i="6"/>
  <c r="AI29" i="6"/>
  <c r="AJ29" i="6"/>
  <c r="AK29" i="6"/>
  <c r="AL29" i="6"/>
  <c r="AM29" i="6"/>
  <c r="AN29" i="6"/>
  <c r="BD15" i="6"/>
  <c r="AD145" i="6"/>
  <c r="BH15" i="6"/>
  <c r="AE145" i="6"/>
  <c r="BI15" i="6"/>
  <c r="AF145" i="6"/>
  <c r="BJ15" i="6"/>
  <c r="AG145" i="6"/>
  <c r="AM30" i="8"/>
  <c r="AO29" i="6"/>
  <c r="AP29" i="6"/>
  <c r="BK15" i="6"/>
  <c r="AH145" i="6"/>
  <c r="A146" i="6"/>
  <c r="D17" i="8"/>
  <c r="B146" i="6"/>
  <c r="C17" i="8"/>
  <c r="C146" i="6"/>
  <c r="G17" i="8"/>
  <c r="D146" i="6"/>
  <c r="H17" i="8"/>
  <c r="E146" i="6"/>
  <c r="F146" i="6"/>
  <c r="K17" i="8"/>
  <c r="G146" i="6"/>
  <c r="U17" i="8"/>
  <c r="H146" i="6"/>
  <c r="I146" i="6"/>
  <c r="J146" i="6"/>
  <c r="K146" i="6"/>
  <c r="L146" i="6"/>
  <c r="P146" i="6"/>
  <c r="Q146" i="6"/>
  <c r="R146" i="6"/>
  <c r="S146" i="6"/>
  <c r="T146" i="6"/>
  <c r="B77" i="6"/>
  <c r="C77" i="6"/>
  <c r="D77" i="6"/>
  <c r="E77" i="6"/>
  <c r="F77" i="6"/>
  <c r="G77" i="6"/>
  <c r="H77" i="6"/>
  <c r="I77" i="6"/>
  <c r="J77" i="6"/>
  <c r="K77" i="6"/>
  <c r="L77" i="6"/>
  <c r="M77" i="6"/>
  <c r="N77" i="6"/>
  <c r="O77" i="6"/>
  <c r="P77" i="6"/>
  <c r="Q77" i="6"/>
  <c r="R77" i="6"/>
  <c r="S77" i="6"/>
  <c r="T77" i="6"/>
  <c r="U77" i="6"/>
  <c r="V77" i="6"/>
  <c r="W77" i="6"/>
  <c r="X77" i="6"/>
  <c r="Y77" i="6"/>
  <c r="Z77" i="6"/>
  <c r="AA77" i="6"/>
  <c r="AB77" i="6"/>
  <c r="AC77" i="6"/>
  <c r="AD77" i="6"/>
  <c r="AE77" i="6"/>
  <c r="AF77" i="6"/>
  <c r="AG77" i="6"/>
  <c r="AN77" i="6"/>
  <c r="U146" i="6"/>
  <c r="V146" i="6"/>
  <c r="AQ16" i="6"/>
  <c r="AR16" i="6"/>
  <c r="AS16" i="6"/>
  <c r="W146" i="6"/>
  <c r="AM77" i="6"/>
  <c r="AQ77" i="6"/>
  <c r="AR77" i="6"/>
  <c r="AS77" i="6"/>
  <c r="X146" i="6"/>
  <c r="Y146" i="6"/>
  <c r="AO77" i="6"/>
  <c r="AP77" i="6"/>
  <c r="Z146" i="6"/>
  <c r="BA16" i="6"/>
  <c r="AA146" i="6"/>
  <c r="BB16" i="6"/>
  <c r="AB146" i="6"/>
  <c r="BC16" i="6"/>
  <c r="AC146" i="6"/>
  <c r="B31" i="8"/>
  <c r="B30" i="6"/>
  <c r="C30" i="6"/>
  <c r="D30" i="6"/>
  <c r="E30" i="6"/>
  <c r="F30" i="6"/>
  <c r="G30" i="6"/>
  <c r="H30" i="6"/>
  <c r="I30" i="6"/>
  <c r="J30" i="6"/>
  <c r="K30" i="6"/>
  <c r="L30" i="6"/>
  <c r="M30" i="6"/>
  <c r="N31" i="8"/>
  <c r="N30" i="6"/>
  <c r="O30" i="6"/>
  <c r="P30" i="6"/>
  <c r="Q30" i="6"/>
  <c r="R30" i="6"/>
  <c r="S30" i="6"/>
  <c r="T31" i="8"/>
  <c r="T30" i="6"/>
  <c r="U30" i="6"/>
  <c r="V30" i="6"/>
  <c r="W30" i="6"/>
  <c r="X30" i="6"/>
  <c r="Y30" i="6"/>
  <c r="Z30" i="6"/>
  <c r="AA30" i="6"/>
  <c r="AB30" i="6"/>
  <c r="AC30" i="6"/>
  <c r="AD30" i="6"/>
  <c r="AE30" i="6"/>
  <c r="AF30" i="6"/>
  <c r="AG30" i="6"/>
  <c r="AH30" i="6"/>
  <c r="AI30" i="6"/>
  <c r="AJ30" i="6"/>
  <c r="AK30" i="6"/>
  <c r="AL30" i="6"/>
  <c r="AM30" i="6"/>
  <c r="AN30" i="6"/>
  <c r="BD16" i="6"/>
  <c r="AD146" i="6"/>
  <c r="BH16" i="6"/>
  <c r="AE146" i="6"/>
  <c r="BI16" i="6"/>
  <c r="AF146" i="6"/>
  <c r="BJ16" i="6"/>
  <c r="AG146" i="6"/>
  <c r="AM31" i="8"/>
  <c r="AO30" i="6"/>
  <c r="AP30" i="6"/>
  <c r="BK16" i="6"/>
  <c r="AH146" i="6"/>
  <c r="A147" i="6"/>
  <c r="D18" i="8"/>
  <c r="B147" i="6"/>
  <c r="C18" i="8"/>
  <c r="C147" i="6"/>
  <c r="G18" i="8"/>
  <c r="D147" i="6"/>
  <c r="H18" i="8"/>
  <c r="E147" i="6"/>
  <c r="F147" i="6"/>
  <c r="K18" i="8"/>
  <c r="G147" i="6"/>
  <c r="U18" i="8"/>
  <c r="H147" i="6"/>
  <c r="I147" i="6"/>
  <c r="J147" i="6"/>
  <c r="K147" i="6"/>
  <c r="L147" i="6"/>
  <c r="P147" i="6"/>
  <c r="Q147" i="6"/>
  <c r="R147" i="6"/>
  <c r="S147" i="6"/>
  <c r="T147" i="6"/>
  <c r="B78" i="6"/>
  <c r="C78" i="6"/>
  <c r="D78" i="6"/>
  <c r="E78" i="6"/>
  <c r="F78" i="6"/>
  <c r="G78" i="6"/>
  <c r="H78" i="6"/>
  <c r="I78" i="6"/>
  <c r="J78" i="6"/>
  <c r="K78" i="6"/>
  <c r="L78" i="6"/>
  <c r="M78" i="6"/>
  <c r="N78" i="6"/>
  <c r="O78" i="6"/>
  <c r="P78" i="6"/>
  <c r="Q78" i="6"/>
  <c r="R78" i="6"/>
  <c r="S78" i="6"/>
  <c r="T78" i="6"/>
  <c r="U78" i="6"/>
  <c r="V78" i="6"/>
  <c r="W78" i="6"/>
  <c r="X78" i="6"/>
  <c r="Y78" i="6"/>
  <c r="Z78" i="6"/>
  <c r="AA78" i="6"/>
  <c r="AB78" i="6"/>
  <c r="AC78" i="6"/>
  <c r="AD78" i="6"/>
  <c r="AE78" i="6"/>
  <c r="AF78" i="6"/>
  <c r="AG78" i="6"/>
  <c r="AN78" i="6"/>
  <c r="U147" i="6"/>
  <c r="V147" i="6"/>
  <c r="AQ17" i="6"/>
  <c r="AR17" i="6"/>
  <c r="AS17" i="6"/>
  <c r="W147" i="6"/>
  <c r="AM78" i="6"/>
  <c r="AQ78" i="6"/>
  <c r="AR78" i="6"/>
  <c r="AS78" i="6"/>
  <c r="X147" i="6"/>
  <c r="Y147" i="6"/>
  <c r="AO78" i="6"/>
  <c r="AP78" i="6"/>
  <c r="Z147" i="6"/>
  <c r="BA17" i="6"/>
  <c r="AA147" i="6"/>
  <c r="BB17" i="6"/>
  <c r="AB147" i="6"/>
  <c r="BC17" i="6"/>
  <c r="AC147" i="6"/>
  <c r="B32" i="8"/>
  <c r="B31" i="6"/>
  <c r="C31" i="6"/>
  <c r="D31" i="6"/>
  <c r="E31" i="6"/>
  <c r="F31" i="6"/>
  <c r="G31" i="6"/>
  <c r="H31" i="6"/>
  <c r="I31" i="6"/>
  <c r="J31" i="6"/>
  <c r="K31" i="6"/>
  <c r="L31" i="6"/>
  <c r="M31" i="6"/>
  <c r="N32" i="8"/>
  <c r="N31" i="6"/>
  <c r="O31" i="6"/>
  <c r="P31" i="6"/>
  <c r="Q31" i="6"/>
  <c r="R31" i="6"/>
  <c r="S31" i="6"/>
  <c r="T32" i="8"/>
  <c r="T31" i="6"/>
  <c r="U31" i="6"/>
  <c r="V31" i="6"/>
  <c r="W31" i="6"/>
  <c r="X31" i="6"/>
  <c r="Y31" i="6"/>
  <c r="Z31" i="6"/>
  <c r="AA31" i="6"/>
  <c r="AB31" i="6"/>
  <c r="AC31" i="6"/>
  <c r="AD31" i="6"/>
  <c r="AE31" i="6"/>
  <c r="AF31" i="6"/>
  <c r="AG31" i="6"/>
  <c r="AH31" i="6"/>
  <c r="AI31" i="6"/>
  <c r="AJ31" i="6"/>
  <c r="AK31" i="6"/>
  <c r="AL31" i="6"/>
  <c r="AM31" i="6"/>
  <c r="AN31" i="6"/>
  <c r="BD17" i="6"/>
  <c r="AD147" i="6"/>
  <c r="BH17" i="6"/>
  <c r="AE147" i="6"/>
  <c r="BI17" i="6"/>
  <c r="AF147" i="6"/>
  <c r="BJ17" i="6"/>
  <c r="AG147" i="6"/>
  <c r="AM32" i="8"/>
  <c r="AO31" i="6"/>
  <c r="AP31" i="6"/>
  <c r="BK17" i="6"/>
  <c r="AH147" i="6"/>
  <c r="A148" i="6"/>
  <c r="D19" i="8"/>
  <c r="B148" i="6"/>
  <c r="C19" i="8"/>
  <c r="C148" i="6"/>
  <c r="G19" i="8"/>
  <c r="D148" i="6"/>
  <c r="H19" i="8"/>
  <c r="E148" i="6"/>
  <c r="F148" i="6"/>
  <c r="K19" i="8"/>
  <c r="G148" i="6"/>
  <c r="U19" i="8"/>
  <c r="H148" i="6"/>
  <c r="I148" i="6"/>
  <c r="J148" i="6"/>
  <c r="K148" i="6"/>
  <c r="L148" i="6"/>
  <c r="P148" i="6"/>
  <c r="Q148" i="6"/>
  <c r="R148" i="6"/>
  <c r="S148" i="6"/>
  <c r="T148" i="6"/>
  <c r="B79" i="6"/>
  <c r="C79" i="6"/>
  <c r="D79" i="6"/>
  <c r="E79" i="6"/>
  <c r="F79" i="6"/>
  <c r="G79" i="6"/>
  <c r="H79" i="6"/>
  <c r="I79" i="6"/>
  <c r="J79" i="6"/>
  <c r="K79" i="6"/>
  <c r="L79" i="6"/>
  <c r="M79" i="6"/>
  <c r="N79" i="6"/>
  <c r="O79" i="6"/>
  <c r="P79" i="6"/>
  <c r="Q79" i="6"/>
  <c r="R79" i="6"/>
  <c r="S79" i="6"/>
  <c r="T79" i="6"/>
  <c r="U79" i="6"/>
  <c r="V79" i="6"/>
  <c r="W79" i="6"/>
  <c r="X79" i="6"/>
  <c r="Y79" i="6"/>
  <c r="Z79" i="6"/>
  <c r="AA79" i="6"/>
  <c r="AB79" i="6"/>
  <c r="AC79" i="6"/>
  <c r="AD79" i="6"/>
  <c r="AE79" i="6"/>
  <c r="AF79" i="6"/>
  <c r="AG79" i="6"/>
  <c r="AN79" i="6"/>
  <c r="U148" i="6"/>
  <c r="V148" i="6"/>
  <c r="AQ18" i="6"/>
  <c r="AR18" i="6"/>
  <c r="AS18" i="6"/>
  <c r="W148" i="6"/>
  <c r="AM79" i="6"/>
  <c r="AQ79" i="6"/>
  <c r="AR79" i="6"/>
  <c r="AS79" i="6"/>
  <c r="X148" i="6"/>
  <c r="Y148" i="6"/>
  <c r="AO79" i="6"/>
  <c r="AP79" i="6"/>
  <c r="Z148" i="6"/>
  <c r="BA18" i="6"/>
  <c r="AA148" i="6"/>
  <c r="BB18" i="6"/>
  <c r="AB148" i="6"/>
  <c r="BC18" i="6"/>
  <c r="AC148" i="6"/>
  <c r="B33" i="8"/>
  <c r="B32" i="6"/>
  <c r="C32" i="6"/>
  <c r="D32" i="6"/>
  <c r="E32" i="6"/>
  <c r="F32" i="6"/>
  <c r="G32" i="6"/>
  <c r="H32" i="6"/>
  <c r="I32" i="6"/>
  <c r="J32" i="6"/>
  <c r="K32" i="6"/>
  <c r="L32" i="6"/>
  <c r="M32" i="6"/>
  <c r="N33" i="8"/>
  <c r="N32" i="6"/>
  <c r="O32" i="6"/>
  <c r="P32" i="6"/>
  <c r="Q32" i="6"/>
  <c r="R32" i="6"/>
  <c r="S32" i="6"/>
  <c r="T33" i="8"/>
  <c r="T32" i="6"/>
  <c r="U32" i="6"/>
  <c r="V32" i="6"/>
  <c r="W32" i="6"/>
  <c r="X32" i="6"/>
  <c r="Y32" i="6"/>
  <c r="Z32" i="6"/>
  <c r="AA32" i="6"/>
  <c r="AB32" i="6"/>
  <c r="AC32" i="6"/>
  <c r="AD32" i="6"/>
  <c r="AE32" i="6"/>
  <c r="AF32" i="6"/>
  <c r="AG32" i="6"/>
  <c r="AH32" i="6"/>
  <c r="AI32" i="6"/>
  <c r="AJ32" i="6"/>
  <c r="AK32" i="6"/>
  <c r="AL32" i="6"/>
  <c r="AM32" i="6"/>
  <c r="AN32" i="6"/>
  <c r="BD18" i="6"/>
  <c r="AD148" i="6"/>
  <c r="BH18" i="6"/>
  <c r="AE148" i="6"/>
  <c r="BI18" i="6"/>
  <c r="AF148" i="6"/>
  <c r="BJ18" i="6"/>
  <c r="AG148" i="6"/>
  <c r="AM33" i="8"/>
  <c r="AO32" i="6"/>
  <c r="AP32" i="6"/>
  <c r="BK18" i="6"/>
  <c r="AH148" i="6"/>
  <c r="A149" i="6"/>
  <c r="D20" i="8"/>
  <c r="B149" i="6"/>
  <c r="C20" i="8"/>
  <c r="C149" i="6"/>
  <c r="G20" i="8"/>
  <c r="D149" i="6"/>
  <c r="H20" i="8"/>
  <c r="E149" i="6"/>
  <c r="F149" i="6"/>
  <c r="K20" i="8"/>
  <c r="G149" i="6"/>
  <c r="U20" i="8"/>
  <c r="H149" i="6"/>
  <c r="I149" i="6"/>
  <c r="J149" i="6"/>
  <c r="K149" i="6"/>
  <c r="L149" i="6"/>
  <c r="P149" i="6"/>
  <c r="Q149" i="6"/>
  <c r="R149" i="6"/>
  <c r="S149" i="6"/>
  <c r="T149" i="6"/>
  <c r="B80" i="6"/>
  <c r="C80" i="6"/>
  <c r="D80" i="6"/>
  <c r="E80" i="6"/>
  <c r="F80" i="6"/>
  <c r="G80" i="6"/>
  <c r="H80" i="6"/>
  <c r="I80" i="6"/>
  <c r="J80" i="6"/>
  <c r="K80" i="6"/>
  <c r="L80" i="6"/>
  <c r="M80" i="6"/>
  <c r="N80" i="6"/>
  <c r="O80" i="6"/>
  <c r="P80" i="6"/>
  <c r="Q80" i="6"/>
  <c r="R80" i="6"/>
  <c r="S80" i="6"/>
  <c r="T80" i="6"/>
  <c r="U80" i="6"/>
  <c r="V80" i="6"/>
  <c r="W80" i="6"/>
  <c r="X80" i="6"/>
  <c r="Y80" i="6"/>
  <c r="Z80" i="6"/>
  <c r="AA80" i="6"/>
  <c r="AB80" i="6"/>
  <c r="AC80" i="6"/>
  <c r="AD80" i="6"/>
  <c r="AE80" i="6"/>
  <c r="AF80" i="6"/>
  <c r="AG80" i="6"/>
  <c r="AN80" i="6"/>
  <c r="U149" i="6"/>
  <c r="V149" i="6"/>
  <c r="AQ19" i="6"/>
  <c r="AR19" i="6"/>
  <c r="AS19" i="6"/>
  <c r="W149" i="6"/>
  <c r="AM80" i="6"/>
  <c r="AQ80" i="6"/>
  <c r="AR80" i="6"/>
  <c r="AS80" i="6"/>
  <c r="X149" i="6"/>
  <c r="Y149" i="6"/>
  <c r="AO80" i="6"/>
  <c r="AP80" i="6"/>
  <c r="Z149" i="6"/>
  <c r="BA19" i="6"/>
  <c r="AA149" i="6"/>
  <c r="BB19" i="6"/>
  <c r="AB149" i="6"/>
  <c r="BC19" i="6"/>
  <c r="AC149" i="6"/>
  <c r="B34" i="8"/>
  <c r="B33" i="6"/>
  <c r="C33" i="6"/>
  <c r="D33" i="6"/>
  <c r="E33" i="6"/>
  <c r="F33" i="6"/>
  <c r="G33" i="6"/>
  <c r="H33" i="6"/>
  <c r="I33" i="6"/>
  <c r="J33" i="6"/>
  <c r="K33" i="6"/>
  <c r="L33" i="6"/>
  <c r="M33" i="6"/>
  <c r="N34" i="8"/>
  <c r="N33" i="6"/>
  <c r="O33" i="6"/>
  <c r="P33" i="6"/>
  <c r="Q33" i="6"/>
  <c r="R33" i="6"/>
  <c r="S33" i="6"/>
  <c r="T34" i="8"/>
  <c r="T33" i="6"/>
  <c r="U33" i="6"/>
  <c r="V33" i="6"/>
  <c r="W33" i="6"/>
  <c r="X33" i="6"/>
  <c r="Y33" i="6"/>
  <c r="Z33" i="6"/>
  <c r="AA33" i="6"/>
  <c r="AB33" i="6"/>
  <c r="AC33" i="6"/>
  <c r="AD33" i="6"/>
  <c r="AE33" i="6"/>
  <c r="AF33" i="6"/>
  <c r="AG33" i="6"/>
  <c r="AH33" i="6"/>
  <c r="AI33" i="6"/>
  <c r="AJ33" i="6"/>
  <c r="AK33" i="6"/>
  <c r="AL33" i="6"/>
  <c r="AM33" i="6"/>
  <c r="AN33" i="6"/>
  <c r="BD19" i="6"/>
  <c r="AD149" i="6"/>
  <c r="BH19" i="6"/>
  <c r="AE149" i="6"/>
  <c r="BI19" i="6"/>
  <c r="AF149" i="6"/>
  <c r="BJ19" i="6"/>
  <c r="AG149" i="6"/>
  <c r="AM34" i="8"/>
  <c r="AO33" i="6"/>
  <c r="AP33" i="6"/>
  <c r="BK19" i="6"/>
  <c r="AH149" i="6"/>
  <c r="A150" i="6"/>
  <c r="D21" i="8"/>
  <c r="B150" i="6"/>
  <c r="C21" i="8"/>
  <c r="C150" i="6"/>
  <c r="G21" i="8"/>
  <c r="D150" i="6"/>
  <c r="H21" i="8"/>
  <c r="E150" i="6"/>
  <c r="F150" i="6"/>
  <c r="K21" i="8"/>
  <c r="G150" i="6"/>
  <c r="U21" i="8"/>
  <c r="H150" i="6"/>
  <c r="I150" i="6"/>
  <c r="J150" i="6"/>
  <c r="K150" i="6"/>
  <c r="L150" i="6"/>
  <c r="P150" i="6"/>
  <c r="Q150" i="6"/>
  <c r="R150" i="6"/>
  <c r="S150" i="6"/>
  <c r="T150" i="6"/>
  <c r="B81" i="6"/>
  <c r="C81" i="6"/>
  <c r="D81" i="6"/>
  <c r="E81" i="6"/>
  <c r="F81" i="6"/>
  <c r="G81" i="6"/>
  <c r="H81" i="6"/>
  <c r="I81" i="6"/>
  <c r="J81" i="6"/>
  <c r="K81" i="6"/>
  <c r="L81" i="6"/>
  <c r="M81" i="6"/>
  <c r="N81" i="6"/>
  <c r="O81" i="6"/>
  <c r="P81" i="6"/>
  <c r="Q81" i="6"/>
  <c r="R81" i="6"/>
  <c r="S81" i="6"/>
  <c r="T81" i="6"/>
  <c r="U81" i="6"/>
  <c r="V81" i="6"/>
  <c r="W81" i="6"/>
  <c r="X81" i="6"/>
  <c r="Y81" i="6"/>
  <c r="Z81" i="6"/>
  <c r="AA81" i="6"/>
  <c r="AB81" i="6"/>
  <c r="AC81" i="6"/>
  <c r="AD81" i="6"/>
  <c r="AE81" i="6"/>
  <c r="AF81" i="6"/>
  <c r="AG81" i="6"/>
  <c r="AN81" i="6"/>
  <c r="U150" i="6"/>
  <c r="V150" i="6"/>
  <c r="AQ20" i="6"/>
  <c r="AR20" i="6"/>
  <c r="AS20" i="6"/>
  <c r="W150" i="6"/>
  <c r="AM81" i="6"/>
  <c r="AQ81" i="6"/>
  <c r="AR81" i="6"/>
  <c r="AS81" i="6"/>
  <c r="X150" i="6"/>
  <c r="Y150" i="6"/>
  <c r="AO81" i="6"/>
  <c r="AP81" i="6"/>
  <c r="Z150" i="6"/>
  <c r="BA20" i="6"/>
  <c r="AA150" i="6"/>
  <c r="BB20" i="6"/>
  <c r="AB150" i="6"/>
  <c r="BC20" i="6"/>
  <c r="AC150" i="6"/>
  <c r="B35" i="8"/>
  <c r="B34" i="6"/>
  <c r="C34" i="6"/>
  <c r="D34" i="6"/>
  <c r="E34" i="6"/>
  <c r="F34" i="6"/>
  <c r="G34" i="6"/>
  <c r="H34" i="6"/>
  <c r="I34" i="6"/>
  <c r="J34" i="6"/>
  <c r="K34" i="6"/>
  <c r="L34" i="6"/>
  <c r="M34" i="6"/>
  <c r="N35" i="8"/>
  <c r="N34" i="6"/>
  <c r="O34" i="6"/>
  <c r="P34" i="6"/>
  <c r="Q34" i="6"/>
  <c r="R34" i="6"/>
  <c r="S34" i="6"/>
  <c r="T35" i="8"/>
  <c r="T34" i="6"/>
  <c r="U34" i="6"/>
  <c r="V34" i="6"/>
  <c r="W34" i="6"/>
  <c r="X34" i="6"/>
  <c r="Y34" i="6"/>
  <c r="Z34" i="6"/>
  <c r="AA34" i="6"/>
  <c r="AB34" i="6"/>
  <c r="AC34" i="6"/>
  <c r="AD34" i="6"/>
  <c r="AE34" i="6"/>
  <c r="AF34" i="6"/>
  <c r="AG34" i="6"/>
  <c r="AH34" i="6"/>
  <c r="AI34" i="6"/>
  <c r="AJ34" i="6"/>
  <c r="AK34" i="6"/>
  <c r="AL34" i="6"/>
  <c r="AM34" i="6"/>
  <c r="AN34" i="6"/>
  <c r="BD20" i="6"/>
  <c r="AD150" i="6"/>
  <c r="BH20" i="6"/>
  <c r="AE150" i="6"/>
  <c r="BI20" i="6"/>
  <c r="AF150" i="6"/>
  <c r="BJ20" i="6"/>
  <c r="AG150" i="6"/>
  <c r="AM35" i="8"/>
  <c r="AO34" i="6"/>
  <c r="AP34" i="6"/>
  <c r="BK20" i="6"/>
  <c r="AH150" i="6"/>
  <c r="A151" i="6"/>
  <c r="D22" i="8"/>
  <c r="B151" i="6"/>
  <c r="C22" i="8"/>
  <c r="C151" i="6"/>
  <c r="G22" i="8"/>
  <c r="D151" i="6"/>
  <c r="H22" i="8"/>
  <c r="E151" i="6"/>
  <c r="F151" i="6"/>
  <c r="K22" i="8"/>
  <c r="G151" i="6"/>
  <c r="U22" i="8"/>
  <c r="H151" i="6"/>
  <c r="I151" i="6"/>
  <c r="J151" i="6"/>
  <c r="K151" i="6"/>
  <c r="L151" i="6"/>
  <c r="P151" i="6"/>
  <c r="Q151" i="6"/>
  <c r="R151" i="6"/>
  <c r="S151" i="6"/>
  <c r="T151" i="6"/>
  <c r="B82" i="6"/>
  <c r="C82" i="6"/>
  <c r="D82" i="6"/>
  <c r="E82" i="6"/>
  <c r="F82" i="6"/>
  <c r="G82" i="6"/>
  <c r="H82" i="6"/>
  <c r="I82" i="6"/>
  <c r="J82" i="6"/>
  <c r="K82" i="6"/>
  <c r="L82" i="6"/>
  <c r="M82" i="6"/>
  <c r="N82" i="6"/>
  <c r="O82" i="6"/>
  <c r="P82" i="6"/>
  <c r="Q82" i="6"/>
  <c r="R82" i="6"/>
  <c r="S82" i="6"/>
  <c r="T82" i="6"/>
  <c r="U82" i="6"/>
  <c r="V82" i="6"/>
  <c r="W82" i="6"/>
  <c r="X82" i="6"/>
  <c r="Y82" i="6"/>
  <c r="Z82" i="6"/>
  <c r="AA82" i="6"/>
  <c r="AB82" i="6"/>
  <c r="AC82" i="6"/>
  <c r="AD82" i="6"/>
  <c r="AE82" i="6"/>
  <c r="AF82" i="6"/>
  <c r="AG82" i="6"/>
  <c r="AN82" i="6"/>
  <c r="U151" i="6"/>
  <c r="V151" i="6"/>
  <c r="AQ21" i="6"/>
  <c r="AR21" i="6"/>
  <c r="AS21" i="6"/>
  <c r="W151" i="6"/>
  <c r="AM82" i="6"/>
  <c r="AQ82" i="6"/>
  <c r="AR82" i="6"/>
  <c r="AS82" i="6"/>
  <c r="X151" i="6"/>
  <c r="Y151" i="6"/>
  <c r="AO82" i="6"/>
  <c r="AP82" i="6"/>
  <c r="Z151" i="6"/>
  <c r="BA21" i="6"/>
  <c r="AA151" i="6"/>
  <c r="BB21" i="6"/>
  <c r="AB151" i="6"/>
  <c r="BC21" i="6"/>
  <c r="AC151" i="6"/>
  <c r="B36" i="8"/>
  <c r="B35" i="6"/>
  <c r="C35" i="6"/>
  <c r="D35" i="6"/>
  <c r="E35" i="6"/>
  <c r="F35" i="6"/>
  <c r="G35" i="6"/>
  <c r="H35" i="6"/>
  <c r="I35" i="6"/>
  <c r="J35" i="6"/>
  <c r="K35" i="6"/>
  <c r="L35" i="6"/>
  <c r="M35" i="6"/>
  <c r="N36" i="8"/>
  <c r="N35" i="6"/>
  <c r="O35" i="6"/>
  <c r="P35" i="6"/>
  <c r="Q35" i="6"/>
  <c r="R35" i="6"/>
  <c r="S35" i="6"/>
  <c r="T36" i="8"/>
  <c r="T35" i="6"/>
  <c r="U35" i="6"/>
  <c r="V35" i="6"/>
  <c r="W35" i="6"/>
  <c r="X35" i="6"/>
  <c r="Y35" i="6"/>
  <c r="Z35" i="6"/>
  <c r="AA35" i="6"/>
  <c r="AB35" i="6"/>
  <c r="AC35" i="6"/>
  <c r="AD35" i="6"/>
  <c r="AE35" i="6"/>
  <c r="AF35" i="6"/>
  <c r="AG35" i="6"/>
  <c r="AH35" i="6"/>
  <c r="AI35" i="6"/>
  <c r="AJ35" i="6"/>
  <c r="AK35" i="6"/>
  <c r="AL35" i="6"/>
  <c r="AM35" i="6"/>
  <c r="AN35" i="6"/>
  <c r="BD21" i="6"/>
  <c r="AD151" i="6"/>
  <c r="BH21" i="6"/>
  <c r="AE151" i="6"/>
  <c r="BI21" i="6"/>
  <c r="AF151" i="6"/>
  <c r="BJ21" i="6"/>
  <c r="AG151" i="6"/>
  <c r="AM36" i="8"/>
  <c r="AO35" i="6"/>
  <c r="AP35" i="6"/>
  <c r="BK21" i="6"/>
  <c r="AH151" i="6"/>
  <c r="A152" i="6"/>
  <c r="D23" i="8"/>
  <c r="B152" i="6"/>
  <c r="C23" i="8"/>
  <c r="C152" i="6"/>
  <c r="G23" i="8"/>
  <c r="D152" i="6"/>
  <c r="H23" i="8"/>
  <c r="E152" i="6"/>
  <c r="F152" i="6"/>
  <c r="K23" i="8"/>
  <c r="G152" i="6"/>
  <c r="U23" i="8"/>
  <c r="H152" i="6"/>
  <c r="I152" i="6"/>
  <c r="J152" i="6"/>
  <c r="K152" i="6"/>
  <c r="L152" i="6"/>
  <c r="P152" i="6"/>
  <c r="Q152" i="6"/>
  <c r="R152" i="6"/>
  <c r="S152" i="6"/>
  <c r="T152" i="6"/>
  <c r="B83" i="6"/>
  <c r="C83" i="6"/>
  <c r="D83" i="6"/>
  <c r="E83" i="6"/>
  <c r="F83" i="6"/>
  <c r="G83" i="6"/>
  <c r="H83" i="6"/>
  <c r="I83" i="6"/>
  <c r="J83" i="6"/>
  <c r="K83" i="6"/>
  <c r="L83" i="6"/>
  <c r="M83" i="6"/>
  <c r="N83" i="6"/>
  <c r="O83" i="6"/>
  <c r="P83" i="6"/>
  <c r="Q83" i="6"/>
  <c r="R83" i="6"/>
  <c r="S83" i="6"/>
  <c r="T83" i="6"/>
  <c r="U83" i="6"/>
  <c r="V83" i="6"/>
  <c r="W83" i="6"/>
  <c r="X83" i="6"/>
  <c r="Y83" i="6"/>
  <c r="Z83" i="6"/>
  <c r="AA83" i="6"/>
  <c r="AB83" i="6"/>
  <c r="AC83" i="6"/>
  <c r="AD83" i="6"/>
  <c r="AE83" i="6"/>
  <c r="AF83" i="6"/>
  <c r="AG83" i="6"/>
  <c r="AN83" i="6"/>
  <c r="U152" i="6"/>
  <c r="V152" i="6"/>
  <c r="AQ22" i="6"/>
  <c r="AR22" i="6"/>
  <c r="AS22" i="6"/>
  <c r="W152" i="6"/>
  <c r="AM83" i="6"/>
  <c r="AQ83" i="6"/>
  <c r="AR83" i="6"/>
  <c r="AS83" i="6"/>
  <c r="X152" i="6"/>
  <c r="Y152" i="6"/>
  <c r="AO83" i="6"/>
  <c r="AP83" i="6"/>
  <c r="Z152" i="6"/>
  <c r="BA22" i="6"/>
  <c r="AA152" i="6"/>
  <c r="BB22" i="6"/>
  <c r="AB152" i="6"/>
  <c r="BC22" i="6"/>
  <c r="AC152" i="6"/>
  <c r="B37" i="8"/>
  <c r="B36" i="6"/>
  <c r="C36" i="6"/>
  <c r="D36" i="6"/>
  <c r="E36" i="6"/>
  <c r="F36" i="6"/>
  <c r="G36" i="6"/>
  <c r="H36" i="6"/>
  <c r="I36" i="6"/>
  <c r="J36" i="6"/>
  <c r="K36" i="6"/>
  <c r="L36" i="6"/>
  <c r="M36" i="6"/>
  <c r="N37" i="8"/>
  <c r="N36" i="6"/>
  <c r="O36" i="6"/>
  <c r="P36" i="6"/>
  <c r="Q36" i="6"/>
  <c r="R36" i="6"/>
  <c r="S36" i="6"/>
  <c r="T37" i="8"/>
  <c r="T36" i="6"/>
  <c r="U36" i="6"/>
  <c r="V36" i="6"/>
  <c r="W36" i="6"/>
  <c r="X36" i="6"/>
  <c r="Y36" i="6"/>
  <c r="Z36" i="6"/>
  <c r="AA36" i="6"/>
  <c r="AB36" i="6"/>
  <c r="AC36" i="6"/>
  <c r="AD36" i="6"/>
  <c r="AE36" i="6"/>
  <c r="AF36" i="6"/>
  <c r="AG36" i="6"/>
  <c r="AH36" i="6"/>
  <c r="AI36" i="6"/>
  <c r="AJ36" i="6"/>
  <c r="AK36" i="6"/>
  <c r="AL36" i="6"/>
  <c r="AM36" i="6"/>
  <c r="AN36" i="6"/>
  <c r="BD22" i="6"/>
  <c r="AD152" i="6"/>
  <c r="BH22" i="6"/>
  <c r="AE152" i="6"/>
  <c r="BI22" i="6"/>
  <c r="AF152" i="6"/>
  <c r="BJ22" i="6"/>
  <c r="AG152" i="6"/>
  <c r="AM37" i="8"/>
  <c r="AO36" i="6"/>
  <c r="AP36" i="6"/>
  <c r="BK22" i="6"/>
  <c r="AH152" i="6"/>
  <c r="A153" i="6"/>
  <c r="D24" i="8"/>
  <c r="B153" i="6"/>
  <c r="C24" i="8"/>
  <c r="C153" i="6"/>
  <c r="G24" i="8"/>
  <c r="D153" i="6"/>
  <c r="H24" i="8"/>
  <c r="E153" i="6"/>
  <c r="F153" i="6"/>
  <c r="K24" i="8"/>
  <c r="G153" i="6"/>
  <c r="U24" i="8"/>
  <c r="H153" i="6"/>
  <c r="I153" i="6"/>
  <c r="J153" i="6"/>
  <c r="K153" i="6"/>
  <c r="L153" i="6"/>
  <c r="P153" i="6"/>
  <c r="Q153" i="6"/>
  <c r="R153" i="6"/>
  <c r="S153" i="6"/>
  <c r="T153" i="6"/>
  <c r="B84" i="6"/>
  <c r="C84" i="6"/>
  <c r="D84" i="6"/>
  <c r="E84" i="6"/>
  <c r="F84" i="6"/>
  <c r="G84" i="6"/>
  <c r="H84" i="6"/>
  <c r="I84" i="6"/>
  <c r="J84" i="6"/>
  <c r="K84" i="6"/>
  <c r="L84" i="6"/>
  <c r="M84" i="6"/>
  <c r="N84" i="6"/>
  <c r="O84" i="6"/>
  <c r="P84" i="6"/>
  <c r="Q84" i="6"/>
  <c r="R84" i="6"/>
  <c r="S84" i="6"/>
  <c r="T84" i="6"/>
  <c r="U84" i="6"/>
  <c r="V84" i="6"/>
  <c r="W84" i="6"/>
  <c r="X84" i="6"/>
  <c r="Y84" i="6"/>
  <c r="Z84" i="6"/>
  <c r="AA84" i="6"/>
  <c r="AB84" i="6"/>
  <c r="AC84" i="6"/>
  <c r="AD84" i="6"/>
  <c r="AE84" i="6"/>
  <c r="AF84" i="6"/>
  <c r="AG84" i="6"/>
  <c r="AN84" i="6"/>
  <c r="U153" i="6"/>
  <c r="V153" i="6"/>
  <c r="AQ23" i="6"/>
  <c r="AR23" i="6"/>
  <c r="AS23" i="6"/>
  <c r="W153" i="6"/>
  <c r="AM84" i="6"/>
  <c r="AQ84" i="6"/>
  <c r="AR84" i="6"/>
  <c r="AS84" i="6"/>
  <c r="X153" i="6"/>
  <c r="Y153" i="6"/>
  <c r="AO84" i="6"/>
  <c r="AP84" i="6"/>
  <c r="Z153" i="6"/>
  <c r="BA23" i="6"/>
  <c r="AA153" i="6"/>
  <c r="BB23" i="6"/>
  <c r="AB153" i="6"/>
  <c r="BC23" i="6"/>
  <c r="AC153" i="6"/>
  <c r="B38" i="8"/>
  <c r="B37" i="6"/>
  <c r="C37" i="6"/>
  <c r="D37" i="6"/>
  <c r="E37" i="6"/>
  <c r="F37" i="6"/>
  <c r="G37" i="6"/>
  <c r="H37" i="6"/>
  <c r="I37" i="6"/>
  <c r="J37" i="6"/>
  <c r="K37" i="6"/>
  <c r="L37" i="6"/>
  <c r="M37" i="6"/>
  <c r="N38" i="8"/>
  <c r="N37" i="6"/>
  <c r="O37" i="6"/>
  <c r="P37" i="6"/>
  <c r="Q37" i="6"/>
  <c r="R37" i="6"/>
  <c r="S37" i="6"/>
  <c r="T38" i="8"/>
  <c r="T37" i="6"/>
  <c r="U37" i="6"/>
  <c r="V37" i="6"/>
  <c r="W37" i="6"/>
  <c r="X37" i="6"/>
  <c r="Y37" i="6"/>
  <c r="Z37" i="6"/>
  <c r="AA37" i="6"/>
  <c r="AB37" i="6"/>
  <c r="AC37" i="6"/>
  <c r="AD37" i="6"/>
  <c r="AE37" i="6"/>
  <c r="AF37" i="6"/>
  <c r="AG37" i="6"/>
  <c r="AH37" i="6"/>
  <c r="AI37" i="6"/>
  <c r="AJ37" i="6"/>
  <c r="AK37" i="6"/>
  <c r="AL37" i="6"/>
  <c r="AM37" i="6"/>
  <c r="AN37" i="6"/>
  <c r="BD23" i="6"/>
  <c r="AD153" i="6"/>
  <c r="BH23" i="6"/>
  <c r="AE153" i="6"/>
  <c r="BI23" i="6"/>
  <c r="AF153" i="6"/>
  <c r="BJ23" i="6"/>
  <c r="AG153" i="6"/>
  <c r="AM38" i="8"/>
  <c r="AO37" i="6"/>
  <c r="AP37" i="6"/>
  <c r="BK23" i="6"/>
  <c r="AH153" i="6"/>
  <c r="A154" i="6"/>
  <c r="D25" i="8"/>
  <c r="B154" i="6"/>
  <c r="C25" i="8"/>
  <c r="C154" i="6"/>
  <c r="G25" i="8"/>
  <c r="D154" i="6"/>
  <c r="H25" i="8"/>
  <c r="E154" i="6"/>
  <c r="F154" i="6"/>
  <c r="K25" i="8"/>
  <c r="G154" i="6"/>
  <c r="U25" i="8"/>
  <c r="H154" i="6"/>
  <c r="I154" i="6"/>
  <c r="J154" i="6"/>
  <c r="K154" i="6"/>
  <c r="L154" i="6"/>
  <c r="P154" i="6"/>
  <c r="Q154" i="6"/>
  <c r="R154" i="6"/>
  <c r="S154" i="6"/>
  <c r="T154" i="6"/>
  <c r="B85" i="6"/>
  <c r="C85" i="6"/>
  <c r="D85" i="6"/>
  <c r="E85" i="6"/>
  <c r="F85" i="6"/>
  <c r="G85" i="6"/>
  <c r="H85" i="6"/>
  <c r="I85" i="6"/>
  <c r="J85" i="6"/>
  <c r="K85" i="6"/>
  <c r="L85" i="6"/>
  <c r="M85" i="6"/>
  <c r="N85" i="6"/>
  <c r="O85" i="6"/>
  <c r="P85" i="6"/>
  <c r="Q85" i="6"/>
  <c r="R85" i="6"/>
  <c r="S85" i="6"/>
  <c r="T85" i="6"/>
  <c r="U85" i="6"/>
  <c r="V85" i="6"/>
  <c r="W85" i="6"/>
  <c r="X85" i="6"/>
  <c r="Y85" i="6"/>
  <c r="Z85" i="6"/>
  <c r="AA85" i="6"/>
  <c r="AB85" i="6"/>
  <c r="AC85" i="6"/>
  <c r="AD85" i="6"/>
  <c r="AE85" i="6"/>
  <c r="AF85" i="6"/>
  <c r="AG85" i="6"/>
  <c r="AN85" i="6"/>
  <c r="U154" i="6"/>
  <c r="V154" i="6"/>
  <c r="AQ24" i="6"/>
  <c r="AR24" i="6"/>
  <c r="AS24" i="6"/>
  <c r="W154" i="6"/>
  <c r="AM85" i="6"/>
  <c r="AQ85" i="6"/>
  <c r="AR85" i="6"/>
  <c r="AS85" i="6"/>
  <c r="X154" i="6"/>
  <c r="Y154" i="6"/>
  <c r="AO85" i="6"/>
  <c r="AP85" i="6"/>
  <c r="Z154" i="6"/>
  <c r="BA24" i="6"/>
  <c r="AA154" i="6"/>
  <c r="BB24" i="6"/>
  <c r="AB154" i="6"/>
  <c r="BC24" i="6"/>
  <c r="AC154" i="6"/>
  <c r="B39" i="8"/>
  <c r="B38" i="6"/>
  <c r="C38" i="6"/>
  <c r="D38" i="6"/>
  <c r="E38" i="6"/>
  <c r="F38" i="6"/>
  <c r="G38" i="6"/>
  <c r="H38" i="6"/>
  <c r="I38" i="6"/>
  <c r="J38" i="6"/>
  <c r="K38" i="6"/>
  <c r="L38" i="6"/>
  <c r="M38" i="6"/>
  <c r="N39" i="8"/>
  <c r="N38" i="6"/>
  <c r="O38" i="6"/>
  <c r="P38" i="6"/>
  <c r="Q38" i="6"/>
  <c r="R38" i="6"/>
  <c r="S38" i="6"/>
  <c r="T39" i="8"/>
  <c r="T38" i="6"/>
  <c r="U38" i="6"/>
  <c r="V38" i="6"/>
  <c r="W38" i="6"/>
  <c r="X38" i="6"/>
  <c r="Y38" i="6"/>
  <c r="Z38" i="6"/>
  <c r="AA38" i="6"/>
  <c r="AB38" i="6"/>
  <c r="AC38" i="6"/>
  <c r="AD38" i="6"/>
  <c r="AE38" i="6"/>
  <c r="AF38" i="6"/>
  <c r="AG38" i="6"/>
  <c r="AH38" i="6"/>
  <c r="AI38" i="6"/>
  <c r="AJ38" i="6"/>
  <c r="AK38" i="6"/>
  <c r="AL38" i="6"/>
  <c r="AM38" i="6"/>
  <c r="AN38" i="6"/>
  <c r="BD24" i="6"/>
  <c r="AD154" i="6"/>
  <c r="BH24" i="6"/>
  <c r="AE154" i="6"/>
  <c r="BI24" i="6"/>
  <c r="AF154" i="6"/>
  <c r="BJ24" i="6"/>
  <c r="AG154" i="6"/>
  <c r="AM39" i="8"/>
  <c r="AO38" i="6"/>
  <c r="AP38" i="6"/>
  <c r="BK24" i="6"/>
  <c r="AH154" i="6"/>
  <c r="A155" i="6"/>
  <c r="D26" i="8"/>
  <c r="B155" i="6"/>
  <c r="C26" i="8"/>
  <c r="C155" i="6"/>
  <c r="G26" i="8"/>
  <c r="D155" i="6"/>
  <c r="H26" i="8"/>
  <c r="E155" i="6"/>
  <c r="F155" i="6"/>
  <c r="K26" i="8"/>
  <c r="G155" i="6"/>
  <c r="U26" i="8"/>
  <c r="H155" i="6"/>
  <c r="I155" i="6"/>
  <c r="J155" i="6"/>
  <c r="K155" i="6"/>
  <c r="L155" i="6"/>
  <c r="P155" i="6"/>
  <c r="Q155" i="6"/>
  <c r="R155" i="6"/>
  <c r="S155" i="6"/>
  <c r="T155" i="6"/>
  <c r="B86" i="6"/>
  <c r="C86" i="6"/>
  <c r="D86" i="6"/>
  <c r="E86" i="6"/>
  <c r="F86" i="6"/>
  <c r="G86" i="6"/>
  <c r="H86" i="6"/>
  <c r="I86" i="6"/>
  <c r="J86" i="6"/>
  <c r="K86" i="6"/>
  <c r="L86" i="6"/>
  <c r="M86" i="6"/>
  <c r="N86" i="6"/>
  <c r="O86" i="6"/>
  <c r="P86" i="6"/>
  <c r="Q86" i="6"/>
  <c r="R86" i="6"/>
  <c r="S86" i="6"/>
  <c r="T86" i="6"/>
  <c r="U86" i="6"/>
  <c r="V86" i="6"/>
  <c r="W86" i="6"/>
  <c r="X86" i="6"/>
  <c r="Y86" i="6"/>
  <c r="Z86" i="6"/>
  <c r="AA86" i="6"/>
  <c r="AB86" i="6"/>
  <c r="AC86" i="6"/>
  <c r="AD86" i="6"/>
  <c r="AE86" i="6"/>
  <c r="AF86" i="6"/>
  <c r="AG86" i="6"/>
  <c r="AN86" i="6"/>
  <c r="U155" i="6"/>
  <c r="V155" i="6"/>
  <c r="AQ25" i="6"/>
  <c r="AR25" i="6"/>
  <c r="AS25" i="6"/>
  <c r="W155" i="6"/>
  <c r="AM86" i="6"/>
  <c r="AQ86" i="6"/>
  <c r="AR86" i="6"/>
  <c r="AS86" i="6"/>
  <c r="X155" i="6"/>
  <c r="Y155" i="6"/>
  <c r="AO86" i="6"/>
  <c r="AP86" i="6"/>
  <c r="Z155" i="6"/>
  <c r="BA25" i="6"/>
  <c r="AA155" i="6"/>
  <c r="BB25" i="6"/>
  <c r="AB155" i="6"/>
  <c r="BC25" i="6"/>
  <c r="AC155" i="6"/>
  <c r="B40" i="8"/>
  <c r="B39" i="6"/>
  <c r="C39" i="6"/>
  <c r="D39" i="6"/>
  <c r="E39" i="6"/>
  <c r="F39" i="6"/>
  <c r="G39" i="6"/>
  <c r="H39" i="6"/>
  <c r="I39" i="6"/>
  <c r="J39" i="6"/>
  <c r="K39" i="6"/>
  <c r="L39" i="6"/>
  <c r="M39" i="6"/>
  <c r="N40" i="8"/>
  <c r="N39" i="6"/>
  <c r="O39" i="6"/>
  <c r="P39" i="6"/>
  <c r="Q39" i="6"/>
  <c r="R39" i="6"/>
  <c r="S39" i="6"/>
  <c r="T40" i="8"/>
  <c r="T39" i="6"/>
  <c r="U39" i="6"/>
  <c r="V39" i="6"/>
  <c r="W39" i="6"/>
  <c r="X39" i="6"/>
  <c r="Y39" i="6"/>
  <c r="Z39" i="6"/>
  <c r="AA39" i="6"/>
  <c r="AB39" i="6"/>
  <c r="AC39" i="6"/>
  <c r="AD39" i="6"/>
  <c r="AE39" i="6"/>
  <c r="AF39" i="6"/>
  <c r="AG39" i="6"/>
  <c r="AH39" i="6"/>
  <c r="AI39" i="6"/>
  <c r="AJ39" i="6"/>
  <c r="AK39" i="6"/>
  <c r="AL39" i="6"/>
  <c r="AM39" i="6"/>
  <c r="AN39" i="6"/>
  <c r="BD25" i="6"/>
  <c r="AD155" i="6"/>
  <c r="BH25" i="6"/>
  <c r="AE155" i="6"/>
  <c r="BI25" i="6"/>
  <c r="AF155" i="6"/>
  <c r="BJ25" i="6"/>
  <c r="AG155" i="6"/>
  <c r="AM40" i="8"/>
  <c r="AO39" i="6"/>
  <c r="AP39" i="6"/>
  <c r="BK25" i="6"/>
  <c r="AH155" i="6"/>
  <c r="A156" i="6"/>
  <c r="D27" i="8"/>
  <c r="B156" i="6"/>
  <c r="C27" i="8"/>
  <c r="C156" i="6"/>
  <c r="G27" i="8"/>
  <c r="D156" i="6"/>
  <c r="H27" i="8"/>
  <c r="E156" i="6"/>
  <c r="F156" i="6"/>
  <c r="K27" i="8"/>
  <c r="G156" i="6"/>
  <c r="U27" i="8"/>
  <c r="H156" i="6"/>
  <c r="I156" i="6"/>
  <c r="J156" i="6"/>
  <c r="K156" i="6"/>
  <c r="L156" i="6"/>
  <c r="P156" i="6"/>
  <c r="Q156" i="6"/>
  <c r="R156" i="6"/>
  <c r="S156" i="6"/>
  <c r="T156" i="6"/>
  <c r="B87" i="6"/>
  <c r="C87" i="6"/>
  <c r="D87" i="6"/>
  <c r="E87" i="6"/>
  <c r="F87" i="6"/>
  <c r="G87" i="6"/>
  <c r="H87" i="6"/>
  <c r="I87" i="6"/>
  <c r="J87" i="6"/>
  <c r="K87" i="6"/>
  <c r="L87" i="6"/>
  <c r="M87" i="6"/>
  <c r="N87" i="6"/>
  <c r="O87" i="6"/>
  <c r="P87" i="6"/>
  <c r="Q87" i="6"/>
  <c r="R87" i="6"/>
  <c r="S87" i="6"/>
  <c r="T87" i="6"/>
  <c r="U87" i="6"/>
  <c r="V87" i="6"/>
  <c r="W87" i="6"/>
  <c r="X87" i="6"/>
  <c r="Y87" i="6"/>
  <c r="Z87" i="6"/>
  <c r="AA87" i="6"/>
  <c r="AB87" i="6"/>
  <c r="AC87" i="6"/>
  <c r="AD87" i="6"/>
  <c r="AE87" i="6"/>
  <c r="AF87" i="6"/>
  <c r="AG87" i="6"/>
  <c r="AN87" i="6"/>
  <c r="U156" i="6"/>
  <c r="V156" i="6"/>
  <c r="AQ26" i="6"/>
  <c r="AR26" i="6"/>
  <c r="AS26" i="6"/>
  <c r="W156" i="6"/>
  <c r="AM87" i="6"/>
  <c r="AQ87" i="6"/>
  <c r="AR87" i="6"/>
  <c r="AS87" i="6"/>
  <c r="X156" i="6"/>
  <c r="Y156" i="6"/>
  <c r="AO87" i="6"/>
  <c r="AP87" i="6"/>
  <c r="Z156" i="6"/>
  <c r="BA26" i="6"/>
  <c r="AA156" i="6"/>
  <c r="BB26" i="6"/>
  <c r="AB156" i="6"/>
  <c r="BC26" i="6"/>
  <c r="AC156" i="6"/>
  <c r="B41" i="8"/>
  <c r="B40" i="6"/>
  <c r="C40" i="6"/>
  <c r="D40" i="6"/>
  <c r="E40" i="6"/>
  <c r="F40" i="6"/>
  <c r="G40" i="6"/>
  <c r="H40" i="6"/>
  <c r="I40" i="6"/>
  <c r="J40" i="6"/>
  <c r="K40" i="6"/>
  <c r="L40" i="6"/>
  <c r="M40" i="6"/>
  <c r="N41" i="8"/>
  <c r="N40" i="6"/>
  <c r="O40" i="6"/>
  <c r="P40" i="6"/>
  <c r="Q40" i="6"/>
  <c r="R40" i="6"/>
  <c r="S40" i="6"/>
  <c r="T41" i="8"/>
  <c r="T40" i="6"/>
  <c r="U40" i="6"/>
  <c r="V40" i="6"/>
  <c r="W40" i="6"/>
  <c r="X40" i="6"/>
  <c r="Y40" i="6"/>
  <c r="Z40" i="6"/>
  <c r="AA40" i="6"/>
  <c r="AB40" i="6"/>
  <c r="AC40" i="6"/>
  <c r="AD40" i="6"/>
  <c r="AE40" i="6"/>
  <c r="AF40" i="6"/>
  <c r="AG40" i="6"/>
  <c r="AH40" i="6"/>
  <c r="AI40" i="6"/>
  <c r="AJ40" i="6"/>
  <c r="AK40" i="6"/>
  <c r="AL40" i="6"/>
  <c r="AM40" i="6"/>
  <c r="AN40" i="6"/>
  <c r="BD26" i="6"/>
  <c r="AD156" i="6"/>
  <c r="BH26" i="6"/>
  <c r="AE156" i="6"/>
  <c r="BI26" i="6"/>
  <c r="AF156" i="6"/>
  <c r="BJ26" i="6"/>
  <c r="AG156" i="6"/>
  <c r="AM41" i="8"/>
  <c r="AO40" i="6"/>
  <c r="AP40" i="6"/>
  <c r="BK26" i="6"/>
  <c r="AH156" i="6"/>
  <c r="A157" i="6"/>
  <c r="D28" i="8"/>
  <c r="B157" i="6"/>
  <c r="C28" i="8"/>
  <c r="C157" i="6"/>
  <c r="G28" i="8"/>
  <c r="D157" i="6"/>
  <c r="H28" i="8"/>
  <c r="E157" i="6"/>
  <c r="F157" i="6"/>
  <c r="K28" i="8"/>
  <c r="G157" i="6"/>
  <c r="U28" i="8"/>
  <c r="H157" i="6"/>
  <c r="I157" i="6"/>
  <c r="J157" i="6"/>
  <c r="K157" i="6"/>
  <c r="L157" i="6"/>
  <c r="P157" i="6"/>
  <c r="Q157" i="6"/>
  <c r="R157" i="6"/>
  <c r="S157" i="6"/>
  <c r="T157" i="6"/>
  <c r="B88" i="6"/>
  <c r="C88" i="6"/>
  <c r="D88" i="6"/>
  <c r="E88" i="6"/>
  <c r="F88" i="6"/>
  <c r="G88" i="6"/>
  <c r="H88" i="6"/>
  <c r="I88" i="6"/>
  <c r="J88" i="6"/>
  <c r="K88" i="6"/>
  <c r="L88" i="6"/>
  <c r="M88" i="6"/>
  <c r="N88" i="6"/>
  <c r="O88" i="6"/>
  <c r="P88" i="6"/>
  <c r="Q88" i="6"/>
  <c r="R88" i="6"/>
  <c r="S88" i="6"/>
  <c r="T88" i="6"/>
  <c r="U88" i="6"/>
  <c r="V88" i="6"/>
  <c r="W88" i="6"/>
  <c r="X88" i="6"/>
  <c r="Y88" i="6"/>
  <c r="Z88" i="6"/>
  <c r="AA88" i="6"/>
  <c r="AB88" i="6"/>
  <c r="AC88" i="6"/>
  <c r="AD88" i="6"/>
  <c r="AE88" i="6"/>
  <c r="AF88" i="6"/>
  <c r="AG88" i="6"/>
  <c r="AN88" i="6"/>
  <c r="U157" i="6"/>
  <c r="V157" i="6"/>
  <c r="AQ27" i="6"/>
  <c r="AR27" i="6"/>
  <c r="AS27" i="6"/>
  <c r="W157" i="6"/>
  <c r="AM88" i="6"/>
  <c r="AQ88" i="6"/>
  <c r="AR88" i="6"/>
  <c r="AS88" i="6"/>
  <c r="X157" i="6"/>
  <c r="Y157" i="6"/>
  <c r="AO88" i="6"/>
  <c r="AP88" i="6"/>
  <c r="Z157" i="6"/>
  <c r="BA27" i="6"/>
  <c r="AA157" i="6"/>
  <c r="BB27" i="6"/>
  <c r="AB157" i="6"/>
  <c r="BC27" i="6"/>
  <c r="AC157" i="6"/>
  <c r="B42" i="8"/>
  <c r="B41" i="6"/>
  <c r="C41" i="6"/>
  <c r="D41" i="6"/>
  <c r="E41" i="6"/>
  <c r="F41" i="6"/>
  <c r="G41" i="6"/>
  <c r="H41" i="6"/>
  <c r="I41" i="6"/>
  <c r="J41" i="6"/>
  <c r="K41" i="6"/>
  <c r="L41" i="6"/>
  <c r="M41" i="6"/>
  <c r="N42" i="8"/>
  <c r="N41" i="6"/>
  <c r="O41" i="6"/>
  <c r="P41" i="6"/>
  <c r="Q41" i="6"/>
  <c r="R41" i="6"/>
  <c r="S41" i="6"/>
  <c r="T42" i="8"/>
  <c r="T41" i="6"/>
  <c r="U41" i="6"/>
  <c r="V41" i="6"/>
  <c r="W41" i="6"/>
  <c r="X41" i="6"/>
  <c r="Y41" i="6"/>
  <c r="Z41" i="6"/>
  <c r="AA41" i="6"/>
  <c r="AB41" i="6"/>
  <c r="AC41" i="6"/>
  <c r="AD41" i="6"/>
  <c r="AE41" i="6"/>
  <c r="AF41" i="6"/>
  <c r="AG41" i="6"/>
  <c r="AH41" i="6"/>
  <c r="AI41" i="6"/>
  <c r="AJ41" i="6"/>
  <c r="AK41" i="6"/>
  <c r="AL41" i="6"/>
  <c r="AM41" i="6"/>
  <c r="AN41" i="6"/>
  <c r="BD27" i="6"/>
  <c r="AD157" i="6"/>
  <c r="BH27" i="6"/>
  <c r="AE157" i="6"/>
  <c r="BI27" i="6"/>
  <c r="AF157" i="6"/>
  <c r="BJ27" i="6"/>
  <c r="AG157" i="6"/>
  <c r="AM42" i="8"/>
  <c r="AO41" i="6"/>
  <c r="AP41" i="6"/>
  <c r="BK27" i="6"/>
  <c r="AH157" i="6"/>
  <c r="A158" i="6"/>
  <c r="D29" i="8"/>
  <c r="B158" i="6"/>
  <c r="C29" i="8"/>
  <c r="C158" i="6"/>
  <c r="G29" i="8"/>
  <c r="D158" i="6"/>
  <c r="H29" i="8"/>
  <c r="E158" i="6"/>
  <c r="F158" i="6"/>
  <c r="K29" i="8"/>
  <c r="G158" i="6"/>
  <c r="U29" i="8"/>
  <c r="H158" i="6"/>
  <c r="I158" i="6"/>
  <c r="J158" i="6"/>
  <c r="K158" i="6"/>
  <c r="L158" i="6"/>
  <c r="P158" i="6"/>
  <c r="Q158" i="6"/>
  <c r="R158" i="6"/>
  <c r="S158" i="6"/>
  <c r="T158" i="6"/>
  <c r="B89" i="6"/>
  <c r="C89" i="6"/>
  <c r="D89" i="6"/>
  <c r="E89" i="6"/>
  <c r="F89" i="6"/>
  <c r="G89" i="6"/>
  <c r="H89" i="6"/>
  <c r="I89" i="6"/>
  <c r="J89" i="6"/>
  <c r="K89" i="6"/>
  <c r="L89" i="6"/>
  <c r="M89" i="6"/>
  <c r="N89" i="6"/>
  <c r="O89" i="6"/>
  <c r="P89" i="6"/>
  <c r="Q89" i="6"/>
  <c r="R89" i="6"/>
  <c r="S89" i="6"/>
  <c r="T89" i="6"/>
  <c r="U89" i="6"/>
  <c r="V89" i="6"/>
  <c r="W89" i="6"/>
  <c r="X89" i="6"/>
  <c r="Y89" i="6"/>
  <c r="Z89" i="6"/>
  <c r="AA89" i="6"/>
  <c r="AB89" i="6"/>
  <c r="AC89" i="6"/>
  <c r="AD89" i="6"/>
  <c r="AE89" i="6"/>
  <c r="AF89" i="6"/>
  <c r="AG89" i="6"/>
  <c r="AN89" i="6"/>
  <c r="U158" i="6"/>
  <c r="V158" i="6"/>
  <c r="AQ28" i="6"/>
  <c r="AR28" i="6"/>
  <c r="AS28" i="6"/>
  <c r="W158" i="6"/>
  <c r="AM89" i="6"/>
  <c r="AQ89" i="6"/>
  <c r="AR89" i="6"/>
  <c r="AS89" i="6"/>
  <c r="X158" i="6"/>
  <c r="Y158" i="6"/>
  <c r="AO89" i="6"/>
  <c r="AP89" i="6"/>
  <c r="Z158" i="6"/>
  <c r="BA28" i="6"/>
  <c r="AA158" i="6"/>
  <c r="BB28" i="6"/>
  <c r="AB158" i="6"/>
  <c r="BC28" i="6"/>
  <c r="AC158" i="6"/>
  <c r="B43" i="8"/>
  <c r="B42" i="6"/>
  <c r="C42" i="6"/>
  <c r="D42" i="6"/>
  <c r="E42" i="6"/>
  <c r="F42" i="6"/>
  <c r="G42" i="6"/>
  <c r="H42" i="6"/>
  <c r="I42" i="6"/>
  <c r="J42" i="6"/>
  <c r="K42" i="6"/>
  <c r="L42" i="6"/>
  <c r="M42" i="6"/>
  <c r="N43" i="8"/>
  <c r="N42" i="6"/>
  <c r="O42" i="6"/>
  <c r="P42" i="6"/>
  <c r="Q42" i="6"/>
  <c r="R42" i="6"/>
  <c r="S42" i="6"/>
  <c r="T43" i="8"/>
  <c r="T42" i="6"/>
  <c r="U42" i="6"/>
  <c r="V42" i="6"/>
  <c r="W42" i="6"/>
  <c r="X42" i="6"/>
  <c r="Y42" i="6"/>
  <c r="Z42" i="6"/>
  <c r="AA42" i="6"/>
  <c r="AB42" i="6"/>
  <c r="AC42" i="6"/>
  <c r="AD42" i="6"/>
  <c r="AE42" i="6"/>
  <c r="AF42" i="6"/>
  <c r="AG42" i="6"/>
  <c r="AH42" i="6"/>
  <c r="AI42" i="6"/>
  <c r="AJ42" i="6"/>
  <c r="AK42" i="6"/>
  <c r="AL42" i="6"/>
  <c r="AM42" i="6"/>
  <c r="AN42" i="6"/>
  <c r="BD28" i="6"/>
  <c r="AD158" i="6"/>
  <c r="BH28" i="6"/>
  <c r="AE158" i="6"/>
  <c r="BI28" i="6"/>
  <c r="AF158" i="6"/>
  <c r="BJ28" i="6"/>
  <c r="AG158" i="6"/>
  <c r="AM43" i="8"/>
  <c r="AO42" i="6"/>
  <c r="AP42" i="6"/>
  <c r="BK28" i="6"/>
  <c r="AH158" i="6"/>
  <c r="A159" i="6"/>
  <c r="D30" i="8"/>
  <c r="B159" i="6"/>
  <c r="C30" i="8"/>
  <c r="C159" i="6"/>
  <c r="G30" i="8"/>
  <c r="D159" i="6"/>
  <c r="H30" i="8"/>
  <c r="E159" i="6"/>
  <c r="F159" i="6"/>
  <c r="K30" i="8"/>
  <c r="G159" i="6"/>
  <c r="U30" i="8"/>
  <c r="H159" i="6"/>
  <c r="I159" i="6"/>
  <c r="J159" i="6"/>
  <c r="K159" i="6"/>
  <c r="L159" i="6"/>
  <c r="P159" i="6"/>
  <c r="Q159" i="6"/>
  <c r="R159" i="6"/>
  <c r="S159" i="6"/>
  <c r="T159" i="6"/>
  <c r="B90" i="6"/>
  <c r="C90" i="6"/>
  <c r="D90" i="6"/>
  <c r="E90" i="6"/>
  <c r="F90" i="6"/>
  <c r="G90" i="6"/>
  <c r="H90" i="6"/>
  <c r="I90" i="6"/>
  <c r="J90" i="6"/>
  <c r="K90" i="6"/>
  <c r="L90" i="6"/>
  <c r="M90" i="6"/>
  <c r="N90" i="6"/>
  <c r="O90" i="6"/>
  <c r="P90" i="6"/>
  <c r="Q90" i="6"/>
  <c r="R90" i="6"/>
  <c r="S90" i="6"/>
  <c r="T90" i="6"/>
  <c r="U90" i="6"/>
  <c r="V90" i="6"/>
  <c r="W90" i="6"/>
  <c r="X90" i="6"/>
  <c r="Y90" i="6"/>
  <c r="Z90" i="6"/>
  <c r="AA90" i="6"/>
  <c r="AB90" i="6"/>
  <c r="AC90" i="6"/>
  <c r="AD90" i="6"/>
  <c r="AE90" i="6"/>
  <c r="AF90" i="6"/>
  <c r="AG90" i="6"/>
  <c r="AN90" i="6"/>
  <c r="U159" i="6"/>
  <c r="V159" i="6"/>
  <c r="AQ29" i="6"/>
  <c r="AR29" i="6"/>
  <c r="AS29" i="6"/>
  <c r="W159" i="6"/>
  <c r="AM90" i="6"/>
  <c r="AQ90" i="6"/>
  <c r="AR90" i="6"/>
  <c r="AS90" i="6"/>
  <c r="X159" i="6"/>
  <c r="Y159" i="6"/>
  <c r="AO90" i="6"/>
  <c r="AP90" i="6"/>
  <c r="Z159" i="6"/>
  <c r="BA29" i="6"/>
  <c r="AA159" i="6"/>
  <c r="BB29" i="6"/>
  <c r="AB159" i="6"/>
  <c r="BC29" i="6"/>
  <c r="AC159" i="6"/>
  <c r="B44" i="8"/>
  <c r="B43" i="6"/>
  <c r="C43" i="6"/>
  <c r="D43" i="6"/>
  <c r="E43" i="6"/>
  <c r="F43" i="6"/>
  <c r="G43" i="6"/>
  <c r="H43" i="6"/>
  <c r="I43" i="6"/>
  <c r="J43" i="6"/>
  <c r="K43" i="6"/>
  <c r="L43" i="6"/>
  <c r="M43" i="6"/>
  <c r="N44" i="8"/>
  <c r="N43" i="6"/>
  <c r="O43" i="6"/>
  <c r="P43" i="6"/>
  <c r="Q43" i="6"/>
  <c r="R43" i="6"/>
  <c r="S43" i="6"/>
  <c r="T44" i="8"/>
  <c r="T43" i="6"/>
  <c r="U43" i="6"/>
  <c r="V43" i="6"/>
  <c r="W43" i="6"/>
  <c r="X43" i="6"/>
  <c r="Y43" i="6"/>
  <c r="Z43" i="6"/>
  <c r="AA43" i="6"/>
  <c r="AB43" i="6"/>
  <c r="AC43" i="6"/>
  <c r="AD43" i="6"/>
  <c r="AE43" i="6"/>
  <c r="AF43" i="6"/>
  <c r="AG43" i="6"/>
  <c r="AH43" i="6"/>
  <c r="AI43" i="6"/>
  <c r="AJ43" i="6"/>
  <c r="AK43" i="6"/>
  <c r="AL43" i="6"/>
  <c r="AM43" i="6"/>
  <c r="AN43" i="6"/>
  <c r="BD29" i="6"/>
  <c r="AD159" i="6"/>
  <c r="BH29" i="6"/>
  <c r="AE159" i="6"/>
  <c r="BI29" i="6"/>
  <c r="AF159" i="6"/>
  <c r="BJ29" i="6"/>
  <c r="AG159" i="6"/>
  <c r="AM44" i="8"/>
  <c r="AO43" i="6"/>
  <c r="AP43" i="6"/>
  <c r="BK29" i="6"/>
  <c r="AH159" i="6"/>
  <c r="A160" i="6"/>
  <c r="D31" i="8"/>
  <c r="B160" i="6"/>
  <c r="C31" i="8"/>
  <c r="C160" i="6"/>
  <c r="G31" i="8"/>
  <c r="D160" i="6"/>
  <c r="H31" i="8"/>
  <c r="E160" i="6"/>
  <c r="F160" i="6"/>
  <c r="K31" i="8"/>
  <c r="G160" i="6"/>
  <c r="U31" i="8"/>
  <c r="H160" i="6"/>
  <c r="I160" i="6"/>
  <c r="J160" i="6"/>
  <c r="K160" i="6"/>
  <c r="L160" i="6"/>
  <c r="P160" i="6"/>
  <c r="Q160" i="6"/>
  <c r="R160" i="6"/>
  <c r="S160" i="6"/>
  <c r="T160" i="6"/>
  <c r="B91" i="6"/>
  <c r="C91" i="6"/>
  <c r="D91" i="6"/>
  <c r="E91" i="6"/>
  <c r="F91" i="6"/>
  <c r="G91" i="6"/>
  <c r="H91" i="6"/>
  <c r="I91" i="6"/>
  <c r="J91" i="6"/>
  <c r="K91" i="6"/>
  <c r="L91" i="6"/>
  <c r="M91" i="6"/>
  <c r="N91" i="6"/>
  <c r="O91" i="6"/>
  <c r="P91" i="6"/>
  <c r="Q91" i="6"/>
  <c r="R91" i="6"/>
  <c r="S91" i="6"/>
  <c r="T91" i="6"/>
  <c r="U91" i="6"/>
  <c r="V91" i="6"/>
  <c r="W91" i="6"/>
  <c r="X91" i="6"/>
  <c r="Y91" i="6"/>
  <c r="Z91" i="6"/>
  <c r="AA91" i="6"/>
  <c r="AB91" i="6"/>
  <c r="AC91" i="6"/>
  <c r="AD91" i="6"/>
  <c r="AE91" i="6"/>
  <c r="AF91" i="6"/>
  <c r="AG91" i="6"/>
  <c r="AN91" i="6"/>
  <c r="U160" i="6"/>
  <c r="V160" i="6"/>
  <c r="AQ30" i="6"/>
  <c r="AR30" i="6"/>
  <c r="AS30" i="6"/>
  <c r="W160" i="6"/>
  <c r="AM91" i="6"/>
  <c r="AQ91" i="6"/>
  <c r="AR91" i="6"/>
  <c r="AS91" i="6"/>
  <c r="X160" i="6"/>
  <c r="Y160" i="6"/>
  <c r="AO91" i="6"/>
  <c r="AP91" i="6"/>
  <c r="Z160" i="6"/>
  <c r="BA30" i="6"/>
  <c r="AA160" i="6"/>
  <c r="BB30" i="6"/>
  <c r="AB160" i="6"/>
  <c r="BC30" i="6"/>
  <c r="AC160" i="6"/>
  <c r="B45" i="8"/>
  <c r="B44" i="6"/>
  <c r="C44" i="6"/>
  <c r="D44" i="6"/>
  <c r="E44" i="6"/>
  <c r="F44" i="6"/>
  <c r="G44" i="6"/>
  <c r="H44" i="6"/>
  <c r="I44" i="6"/>
  <c r="J44" i="6"/>
  <c r="K44" i="6"/>
  <c r="L44" i="6"/>
  <c r="M44" i="6"/>
  <c r="N45" i="8"/>
  <c r="N44" i="6"/>
  <c r="O44" i="6"/>
  <c r="P44" i="6"/>
  <c r="Q44" i="6"/>
  <c r="R44" i="6"/>
  <c r="S44" i="6"/>
  <c r="T45" i="8"/>
  <c r="T44" i="6"/>
  <c r="U44" i="6"/>
  <c r="V44" i="6"/>
  <c r="W44" i="6"/>
  <c r="X44" i="6"/>
  <c r="Y44" i="6"/>
  <c r="Z44" i="6"/>
  <c r="AA44" i="6"/>
  <c r="AB44" i="6"/>
  <c r="AC44" i="6"/>
  <c r="AD44" i="6"/>
  <c r="AE44" i="6"/>
  <c r="AF44" i="6"/>
  <c r="AG44" i="6"/>
  <c r="AH44" i="6"/>
  <c r="AI44" i="6"/>
  <c r="AJ44" i="6"/>
  <c r="AK44" i="6"/>
  <c r="AL44" i="6"/>
  <c r="AM44" i="6"/>
  <c r="AN44" i="6"/>
  <c r="BD30" i="6"/>
  <c r="AD160" i="6"/>
  <c r="BH30" i="6"/>
  <c r="AE160" i="6"/>
  <c r="BI30" i="6"/>
  <c r="AF160" i="6"/>
  <c r="BJ30" i="6"/>
  <c r="AG160" i="6"/>
  <c r="AM45" i="8"/>
  <c r="AO44" i="6"/>
  <c r="AP44" i="6"/>
  <c r="BK30" i="6"/>
  <c r="AH160" i="6"/>
  <c r="A161" i="6"/>
  <c r="D32" i="8"/>
  <c r="B161" i="6"/>
  <c r="C32" i="8"/>
  <c r="C161" i="6"/>
  <c r="G32" i="8"/>
  <c r="D161" i="6"/>
  <c r="H32" i="8"/>
  <c r="E161" i="6"/>
  <c r="F161" i="6"/>
  <c r="K32" i="8"/>
  <c r="G161" i="6"/>
  <c r="U32" i="8"/>
  <c r="H161" i="6"/>
  <c r="I161" i="6"/>
  <c r="J161" i="6"/>
  <c r="K161" i="6"/>
  <c r="L161" i="6"/>
  <c r="P161" i="6"/>
  <c r="Q161" i="6"/>
  <c r="R161" i="6"/>
  <c r="S161" i="6"/>
  <c r="T161" i="6"/>
  <c r="B92" i="6"/>
  <c r="C92" i="6"/>
  <c r="D92" i="6"/>
  <c r="E92" i="6"/>
  <c r="F92" i="6"/>
  <c r="G92" i="6"/>
  <c r="H92" i="6"/>
  <c r="I92" i="6"/>
  <c r="J92" i="6"/>
  <c r="K92" i="6"/>
  <c r="L92" i="6"/>
  <c r="M92" i="6"/>
  <c r="N92" i="6"/>
  <c r="O92" i="6"/>
  <c r="P92" i="6"/>
  <c r="Q92" i="6"/>
  <c r="R92" i="6"/>
  <c r="S92" i="6"/>
  <c r="T92" i="6"/>
  <c r="U92" i="6"/>
  <c r="V92" i="6"/>
  <c r="W92" i="6"/>
  <c r="X92" i="6"/>
  <c r="Y92" i="6"/>
  <c r="Z92" i="6"/>
  <c r="AA92" i="6"/>
  <c r="AB92" i="6"/>
  <c r="AC92" i="6"/>
  <c r="AD92" i="6"/>
  <c r="AE92" i="6"/>
  <c r="AF92" i="6"/>
  <c r="AG92" i="6"/>
  <c r="AN92" i="6"/>
  <c r="U161" i="6"/>
  <c r="V161" i="6"/>
  <c r="AQ31" i="6"/>
  <c r="AR31" i="6"/>
  <c r="AS31" i="6"/>
  <c r="W161" i="6"/>
  <c r="AM92" i="6"/>
  <c r="AQ92" i="6"/>
  <c r="AR92" i="6"/>
  <c r="AS92" i="6"/>
  <c r="X161" i="6"/>
  <c r="Y161" i="6"/>
  <c r="AO92" i="6"/>
  <c r="AP92" i="6"/>
  <c r="Z161" i="6"/>
  <c r="BA31" i="6"/>
  <c r="AA161" i="6"/>
  <c r="BB31" i="6"/>
  <c r="AB161" i="6"/>
  <c r="BC31" i="6"/>
  <c r="AC161" i="6"/>
  <c r="B46" i="8"/>
  <c r="B45" i="6"/>
  <c r="C45" i="6"/>
  <c r="D45" i="6"/>
  <c r="E45" i="6"/>
  <c r="F45" i="6"/>
  <c r="G45" i="6"/>
  <c r="H45" i="6"/>
  <c r="I45" i="6"/>
  <c r="J45" i="6"/>
  <c r="K45" i="6"/>
  <c r="L45" i="6"/>
  <c r="M45" i="6"/>
  <c r="N46" i="8"/>
  <c r="N45" i="6"/>
  <c r="O45" i="6"/>
  <c r="P45" i="6"/>
  <c r="Q45" i="6"/>
  <c r="R45" i="6"/>
  <c r="S45" i="6"/>
  <c r="T46" i="8"/>
  <c r="T45" i="6"/>
  <c r="U45" i="6"/>
  <c r="V45" i="6"/>
  <c r="W45" i="6"/>
  <c r="X45" i="6"/>
  <c r="Y45" i="6"/>
  <c r="Z45" i="6"/>
  <c r="AA45" i="6"/>
  <c r="AB45" i="6"/>
  <c r="AC45" i="6"/>
  <c r="AD45" i="6"/>
  <c r="AE45" i="6"/>
  <c r="AF45" i="6"/>
  <c r="AG45" i="6"/>
  <c r="AH45" i="6"/>
  <c r="AI45" i="6"/>
  <c r="AJ45" i="6"/>
  <c r="AK45" i="6"/>
  <c r="AL45" i="6"/>
  <c r="AM45" i="6"/>
  <c r="AN45" i="6"/>
  <c r="BD31" i="6"/>
  <c r="AD161" i="6"/>
  <c r="BH31" i="6"/>
  <c r="AE161" i="6"/>
  <c r="BI31" i="6"/>
  <c r="AF161" i="6"/>
  <c r="BJ31" i="6"/>
  <c r="AG161" i="6"/>
  <c r="AM46" i="8"/>
  <c r="AO45" i="6"/>
  <c r="AP45" i="6"/>
  <c r="BK31" i="6"/>
  <c r="AH161" i="6"/>
  <c r="A162" i="6"/>
  <c r="D33" i="8"/>
  <c r="B162" i="6"/>
  <c r="C33" i="8"/>
  <c r="C162" i="6"/>
  <c r="G33" i="8"/>
  <c r="D162" i="6"/>
  <c r="H33" i="8"/>
  <c r="E162" i="6"/>
  <c r="F162" i="6"/>
  <c r="K33" i="8"/>
  <c r="G162" i="6"/>
  <c r="U33" i="8"/>
  <c r="H162" i="6"/>
  <c r="I162" i="6"/>
  <c r="J162" i="6"/>
  <c r="K162" i="6"/>
  <c r="L162" i="6"/>
  <c r="P162" i="6"/>
  <c r="Q162" i="6"/>
  <c r="R162" i="6"/>
  <c r="S162" i="6"/>
  <c r="T162" i="6"/>
  <c r="B93" i="6"/>
  <c r="C93" i="6"/>
  <c r="D93" i="6"/>
  <c r="E93" i="6"/>
  <c r="F93" i="6"/>
  <c r="G93" i="6"/>
  <c r="H93" i="6"/>
  <c r="I93" i="6"/>
  <c r="J93" i="6"/>
  <c r="K93" i="6"/>
  <c r="L93" i="6"/>
  <c r="M93" i="6"/>
  <c r="N93" i="6"/>
  <c r="O93" i="6"/>
  <c r="P93" i="6"/>
  <c r="Q93" i="6"/>
  <c r="R93" i="6"/>
  <c r="S93" i="6"/>
  <c r="T93" i="6"/>
  <c r="U93" i="6"/>
  <c r="V93" i="6"/>
  <c r="W93" i="6"/>
  <c r="X93" i="6"/>
  <c r="Y93" i="6"/>
  <c r="Z93" i="6"/>
  <c r="AA93" i="6"/>
  <c r="AB93" i="6"/>
  <c r="AC93" i="6"/>
  <c r="AD93" i="6"/>
  <c r="AE93" i="6"/>
  <c r="AF93" i="6"/>
  <c r="AG93" i="6"/>
  <c r="AN93" i="6"/>
  <c r="U162" i="6"/>
  <c r="V162" i="6"/>
  <c r="AQ32" i="6"/>
  <c r="AR32" i="6"/>
  <c r="AS32" i="6"/>
  <c r="W162" i="6"/>
  <c r="AM93" i="6"/>
  <c r="AQ93" i="6"/>
  <c r="AR93" i="6"/>
  <c r="AS93" i="6"/>
  <c r="X162" i="6"/>
  <c r="Y162" i="6"/>
  <c r="AO93" i="6"/>
  <c r="AP93" i="6"/>
  <c r="Z162" i="6"/>
  <c r="BA32" i="6"/>
  <c r="AA162" i="6"/>
  <c r="BB32" i="6"/>
  <c r="AB162" i="6"/>
  <c r="BC32" i="6"/>
  <c r="AC162" i="6"/>
  <c r="B47" i="8"/>
  <c r="B46" i="6"/>
  <c r="C46" i="6"/>
  <c r="D46" i="6"/>
  <c r="E46" i="6"/>
  <c r="F46" i="6"/>
  <c r="G46" i="6"/>
  <c r="H46" i="6"/>
  <c r="I46" i="6"/>
  <c r="J46" i="6"/>
  <c r="K46" i="6"/>
  <c r="L46" i="6"/>
  <c r="M46" i="6"/>
  <c r="N47" i="8"/>
  <c r="N46" i="6"/>
  <c r="O46" i="6"/>
  <c r="P46" i="6"/>
  <c r="Q46" i="6"/>
  <c r="R46" i="6"/>
  <c r="S46" i="6"/>
  <c r="T47" i="8"/>
  <c r="T46" i="6"/>
  <c r="U46" i="6"/>
  <c r="V46" i="6"/>
  <c r="W46" i="6"/>
  <c r="X46" i="6"/>
  <c r="Y46" i="6"/>
  <c r="Z46" i="6"/>
  <c r="AA46" i="6"/>
  <c r="AB46" i="6"/>
  <c r="AC46" i="6"/>
  <c r="AD46" i="6"/>
  <c r="AE46" i="6"/>
  <c r="AF46" i="6"/>
  <c r="AG46" i="6"/>
  <c r="AH46" i="6"/>
  <c r="AI46" i="6"/>
  <c r="AJ46" i="6"/>
  <c r="AK46" i="6"/>
  <c r="AL46" i="6"/>
  <c r="AM46" i="6"/>
  <c r="AN46" i="6"/>
  <c r="BD32" i="6"/>
  <c r="AD162" i="6"/>
  <c r="BH32" i="6"/>
  <c r="AE162" i="6"/>
  <c r="BI32" i="6"/>
  <c r="AF162" i="6"/>
  <c r="BJ32" i="6"/>
  <c r="AG162" i="6"/>
  <c r="AM47" i="8"/>
  <c r="AO46" i="6"/>
  <c r="AP46" i="6"/>
  <c r="BK32" i="6"/>
  <c r="AH162" i="6"/>
  <c r="A163" i="6"/>
  <c r="D34" i="8"/>
  <c r="B163" i="6"/>
  <c r="C34" i="8"/>
  <c r="C163" i="6"/>
  <c r="G34" i="8"/>
  <c r="D163" i="6"/>
  <c r="H34" i="8"/>
  <c r="E163" i="6"/>
  <c r="F163" i="6"/>
  <c r="K34" i="8"/>
  <c r="G163" i="6"/>
  <c r="U34" i="8"/>
  <c r="H163" i="6"/>
  <c r="I163" i="6"/>
  <c r="J163" i="6"/>
  <c r="K163" i="6"/>
  <c r="L163" i="6"/>
  <c r="P163" i="6"/>
  <c r="Q163" i="6"/>
  <c r="R163" i="6"/>
  <c r="S163" i="6"/>
  <c r="T163" i="6"/>
  <c r="B94" i="6"/>
  <c r="C94" i="6"/>
  <c r="D94" i="6"/>
  <c r="E94" i="6"/>
  <c r="F94" i="6"/>
  <c r="G94" i="6"/>
  <c r="H94" i="6"/>
  <c r="I94" i="6"/>
  <c r="J94" i="6"/>
  <c r="K94" i="6"/>
  <c r="L94" i="6"/>
  <c r="M94" i="6"/>
  <c r="N94" i="6"/>
  <c r="O94" i="6"/>
  <c r="P94" i="6"/>
  <c r="Q94" i="6"/>
  <c r="R94" i="6"/>
  <c r="S94" i="6"/>
  <c r="T94" i="6"/>
  <c r="U94" i="6"/>
  <c r="V94" i="6"/>
  <c r="W94" i="6"/>
  <c r="X94" i="6"/>
  <c r="Y94" i="6"/>
  <c r="Z94" i="6"/>
  <c r="AA94" i="6"/>
  <c r="AB94" i="6"/>
  <c r="AC94" i="6"/>
  <c r="AD94" i="6"/>
  <c r="AE94" i="6"/>
  <c r="AF94" i="6"/>
  <c r="AG94" i="6"/>
  <c r="AN94" i="6"/>
  <c r="U163" i="6"/>
  <c r="V163" i="6"/>
  <c r="AQ33" i="6"/>
  <c r="AR33" i="6"/>
  <c r="AS33" i="6"/>
  <c r="W163" i="6"/>
  <c r="AM94" i="6"/>
  <c r="AQ94" i="6"/>
  <c r="AR94" i="6"/>
  <c r="AS94" i="6"/>
  <c r="X163" i="6"/>
  <c r="Y163" i="6"/>
  <c r="AO94" i="6"/>
  <c r="AP94" i="6"/>
  <c r="Z163" i="6"/>
  <c r="BA33" i="6"/>
  <c r="AA163" i="6"/>
  <c r="BB33" i="6"/>
  <c r="AB163" i="6"/>
  <c r="BC33" i="6"/>
  <c r="AC163" i="6"/>
  <c r="B48" i="8"/>
  <c r="B47" i="6"/>
  <c r="C47" i="6"/>
  <c r="D47" i="6"/>
  <c r="E47" i="6"/>
  <c r="F47" i="6"/>
  <c r="G47" i="6"/>
  <c r="H47" i="6"/>
  <c r="I47" i="6"/>
  <c r="J47" i="6"/>
  <c r="K47" i="6"/>
  <c r="L47" i="6"/>
  <c r="M47" i="6"/>
  <c r="N48" i="8"/>
  <c r="N47" i="6"/>
  <c r="O47" i="6"/>
  <c r="P47" i="6"/>
  <c r="Q47" i="6"/>
  <c r="R47" i="6"/>
  <c r="S47" i="6"/>
  <c r="T48" i="8"/>
  <c r="T47" i="6"/>
  <c r="U47" i="6"/>
  <c r="V47" i="6"/>
  <c r="W47" i="6"/>
  <c r="X47" i="6"/>
  <c r="Y47" i="6"/>
  <c r="Z47" i="6"/>
  <c r="AA47" i="6"/>
  <c r="AB47" i="6"/>
  <c r="AC47" i="6"/>
  <c r="AD47" i="6"/>
  <c r="AE47" i="6"/>
  <c r="AF47" i="6"/>
  <c r="AG47" i="6"/>
  <c r="AH47" i="6"/>
  <c r="AI47" i="6"/>
  <c r="AJ47" i="6"/>
  <c r="AK47" i="6"/>
  <c r="AL47" i="6"/>
  <c r="AM47" i="6"/>
  <c r="AN47" i="6"/>
  <c r="BD33" i="6"/>
  <c r="AD163" i="6"/>
  <c r="BH33" i="6"/>
  <c r="AE163" i="6"/>
  <c r="BI33" i="6"/>
  <c r="AF163" i="6"/>
  <c r="BJ33" i="6"/>
  <c r="AG163" i="6"/>
  <c r="AM48" i="8"/>
  <c r="AO47" i="6"/>
  <c r="AP47" i="6"/>
  <c r="BK33" i="6"/>
  <c r="AH163" i="6"/>
  <c r="A164" i="6"/>
  <c r="D35" i="8"/>
  <c r="B164" i="6"/>
  <c r="C35" i="8"/>
  <c r="C164" i="6"/>
  <c r="G35" i="8"/>
  <c r="D164" i="6"/>
  <c r="H35" i="8"/>
  <c r="E164" i="6"/>
  <c r="F164" i="6"/>
  <c r="K35" i="8"/>
  <c r="G164" i="6"/>
  <c r="U35" i="8"/>
  <c r="H164" i="6"/>
  <c r="I164" i="6"/>
  <c r="J164" i="6"/>
  <c r="K164" i="6"/>
  <c r="L164" i="6"/>
  <c r="P164" i="6"/>
  <c r="Q164" i="6"/>
  <c r="R164" i="6"/>
  <c r="S164" i="6"/>
  <c r="T164" i="6"/>
  <c r="B95" i="6"/>
  <c r="C95" i="6"/>
  <c r="D95" i="6"/>
  <c r="E95" i="6"/>
  <c r="F95" i="6"/>
  <c r="G95" i="6"/>
  <c r="H95" i="6"/>
  <c r="I95" i="6"/>
  <c r="J95" i="6"/>
  <c r="K95" i="6"/>
  <c r="L95" i="6"/>
  <c r="M95" i="6"/>
  <c r="N95" i="6"/>
  <c r="O95" i="6"/>
  <c r="P95" i="6"/>
  <c r="Q95" i="6"/>
  <c r="R95" i="6"/>
  <c r="S95" i="6"/>
  <c r="T95" i="6"/>
  <c r="U95" i="6"/>
  <c r="V95" i="6"/>
  <c r="W95" i="6"/>
  <c r="X95" i="6"/>
  <c r="Y95" i="6"/>
  <c r="Z95" i="6"/>
  <c r="AA95" i="6"/>
  <c r="AB95" i="6"/>
  <c r="AC95" i="6"/>
  <c r="AD95" i="6"/>
  <c r="AE95" i="6"/>
  <c r="AF95" i="6"/>
  <c r="AG95" i="6"/>
  <c r="AN95" i="6"/>
  <c r="U164" i="6"/>
  <c r="V164" i="6"/>
  <c r="AQ34" i="6"/>
  <c r="AR34" i="6"/>
  <c r="AS34" i="6"/>
  <c r="W164" i="6"/>
  <c r="AM95" i="6"/>
  <c r="AQ95" i="6"/>
  <c r="AR95" i="6"/>
  <c r="AS95" i="6"/>
  <c r="X164" i="6"/>
  <c r="Y164" i="6"/>
  <c r="AO95" i="6"/>
  <c r="AP95" i="6"/>
  <c r="Z164" i="6"/>
  <c r="BA34" i="6"/>
  <c r="AA164" i="6"/>
  <c r="BB34" i="6"/>
  <c r="AB164" i="6"/>
  <c r="BC34" i="6"/>
  <c r="AC164" i="6"/>
  <c r="B49" i="8"/>
  <c r="B48" i="6"/>
  <c r="C48" i="6"/>
  <c r="D48" i="6"/>
  <c r="E48" i="6"/>
  <c r="F48" i="6"/>
  <c r="G48" i="6"/>
  <c r="H48" i="6"/>
  <c r="I48" i="6"/>
  <c r="J48" i="6"/>
  <c r="K48" i="6"/>
  <c r="L48" i="6"/>
  <c r="M48" i="6"/>
  <c r="N49" i="8"/>
  <c r="N48" i="6"/>
  <c r="O48" i="6"/>
  <c r="P48" i="6"/>
  <c r="Q48" i="6"/>
  <c r="R48" i="6"/>
  <c r="S48" i="6"/>
  <c r="T49" i="8"/>
  <c r="T48" i="6"/>
  <c r="U48" i="6"/>
  <c r="V48" i="6"/>
  <c r="W48" i="6"/>
  <c r="X48" i="6"/>
  <c r="Y48" i="6"/>
  <c r="Z48" i="6"/>
  <c r="AA48" i="6"/>
  <c r="AB48" i="6"/>
  <c r="AC48" i="6"/>
  <c r="AD48" i="6"/>
  <c r="AE48" i="6"/>
  <c r="AF48" i="6"/>
  <c r="AG48" i="6"/>
  <c r="AH48" i="6"/>
  <c r="AI48" i="6"/>
  <c r="AJ48" i="6"/>
  <c r="AK48" i="6"/>
  <c r="AL48" i="6"/>
  <c r="AM48" i="6"/>
  <c r="AN48" i="6"/>
  <c r="BD34" i="6"/>
  <c r="AD164" i="6"/>
  <c r="BH34" i="6"/>
  <c r="AE164" i="6"/>
  <c r="BI34" i="6"/>
  <c r="AF164" i="6"/>
  <c r="BJ34" i="6"/>
  <c r="AG164" i="6"/>
  <c r="AM49" i="8"/>
  <c r="AO48" i="6"/>
  <c r="AP48" i="6"/>
  <c r="BK34" i="6"/>
  <c r="AH164" i="6"/>
  <c r="A165" i="6"/>
  <c r="D36" i="8"/>
  <c r="B165" i="6"/>
  <c r="C36" i="8"/>
  <c r="C165" i="6"/>
  <c r="G36" i="8"/>
  <c r="D165" i="6"/>
  <c r="H36" i="8"/>
  <c r="E165" i="6"/>
  <c r="F165" i="6"/>
  <c r="K36" i="8"/>
  <c r="G165" i="6"/>
  <c r="U36" i="8"/>
  <c r="H165" i="6"/>
  <c r="I165" i="6"/>
  <c r="J165" i="6"/>
  <c r="K165" i="6"/>
  <c r="L165" i="6"/>
  <c r="P165" i="6"/>
  <c r="Q165" i="6"/>
  <c r="R165" i="6"/>
  <c r="S165" i="6"/>
  <c r="T165" i="6"/>
  <c r="B96" i="6"/>
  <c r="C96" i="6"/>
  <c r="D96" i="6"/>
  <c r="E96" i="6"/>
  <c r="F96" i="6"/>
  <c r="G96" i="6"/>
  <c r="H96" i="6"/>
  <c r="I96" i="6"/>
  <c r="J96" i="6"/>
  <c r="K96" i="6"/>
  <c r="L96" i="6"/>
  <c r="M96" i="6"/>
  <c r="N96" i="6"/>
  <c r="O96" i="6"/>
  <c r="P96" i="6"/>
  <c r="Q96" i="6"/>
  <c r="R96" i="6"/>
  <c r="S96" i="6"/>
  <c r="T96" i="6"/>
  <c r="U96" i="6"/>
  <c r="V96" i="6"/>
  <c r="W96" i="6"/>
  <c r="X96" i="6"/>
  <c r="Y96" i="6"/>
  <c r="Z96" i="6"/>
  <c r="AA96" i="6"/>
  <c r="AB96" i="6"/>
  <c r="AC96" i="6"/>
  <c r="AD96" i="6"/>
  <c r="AE96" i="6"/>
  <c r="AF96" i="6"/>
  <c r="AG96" i="6"/>
  <c r="AN96" i="6"/>
  <c r="U165" i="6"/>
  <c r="V165" i="6"/>
  <c r="AQ35" i="6"/>
  <c r="AR35" i="6"/>
  <c r="AS35" i="6"/>
  <c r="W165" i="6"/>
  <c r="AM96" i="6"/>
  <c r="AQ96" i="6"/>
  <c r="AR96" i="6"/>
  <c r="AS96" i="6"/>
  <c r="X165" i="6"/>
  <c r="Y165" i="6"/>
  <c r="AO96" i="6"/>
  <c r="AP96" i="6"/>
  <c r="Z165" i="6"/>
  <c r="BA35" i="6"/>
  <c r="AA165" i="6"/>
  <c r="BB35" i="6"/>
  <c r="AB165" i="6"/>
  <c r="BC35" i="6"/>
  <c r="AC165" i="6"/>
  <c r="B50" i="8"/>
  <c r="B49" i="6"/>
  <c r="C49" i="6"/>
  <c r="D49" i="6"/>
  <c r="E49" i="6"/>
  <c r="F49" i="6"/>
  <c r="G49" i="6"/>
  <c r="H49" i="6"/>
  <c r="I49" i="6"/>
  <c r="J49" i="6"/>
  <c r="K49" i="6"/>
  <c r="L49" i="6"/>
  <c r="M49" i="6"/>
  <c r="N50" i="8"/>
  <c r="N49" i="6"/>
  <c r="O49" i="6"/>
  <c r="P49" i="6"/>
  <c r="Q49" i="6"/>
  <c r="R49" i="6"/>
  <c r="S49" i="6"/>
  <c r="T50" i="8"/>
  <c r="T49" i="6"/>
  <c r="U49" i="6"/>
  <c r="V49" i="6"/>
  <c r="W49" i="6"/>
  <c r="X49" i="6"/>
  <c r="Y49" i="6"/>
  <c r="Z49" i="6"/>
  <c r="AA49" i="6"/>
  <c r="AB49" i="6"/>
  <c r="AC49" i="6"/>
  <c r="AD49" i="6"/>
  <c r="AE49" i="6"/>
  <c r="AF49" i="6"/>
  <c r="AG49" i="6"/>
  <c r="AH49" i="6"/>
  <c r="AI49" i="6"/>
  <c r="AJ49" i="6"/>
  <c r="AK49" i="6"/>
  <c r="AL49" i="6"/>
  <c r="AM49" i="6"/>
  <c r="AN49" i="6"/>
  <c r="BD35" i="6"/>
  <c r="AD165" i="6"/>
  <c r="BH35" i="6"/>
  <c r="AE165" i="6"/>
  <c r="BI35" i="6"/>
  <c r="AF165" i="6"/>
  <c r="BJ35" i="6"/>
  <c r="AG165" i="6"/>
  <c r="AM50" i="8"/>
  <c r="AO49" i="6"/>
  <c r="AP49" i="6"/>
  <c r="BK35" i="6"/>
  <c r="AH165" i="6"/>
  <c r="A166" i="6"/>
  <c r="D37" i="8"/>
  <c r="B166" i="6"/>
  <c r="C37" i="8"/>
  <c r="C166" i="6"/>
  <c r="G37" i="8"/>
  <c r="D166" i="6"/>
  <c r="H37" i="8"/>
  <c r="E166" i="6"/>
  <c r="F166" i="6"/>
  <c r="K37" i="8"/>
  <c r="G166" i="6"/>
  <c r="U37" i="8"/>
  <c r="H166" i="6"/>
  <c r="I166" i="6"/>
  <c r="J166" i="6"/>
  <c r="K166" i="6"/>
  <c r="L166" i="6"/>
  <c r="P166" i="6"/>
  <c r="Q166" i="6"/>
  <c r="R166" i="6"/>
  <c r="S166" i="6"/>
  <c r="T166" i="6"/>
  <c r="B97" i="6"/>
  <c r="C97" i="6"/>
  <c r="D97" i="6"/>
  <c r="E97" i="6"/>
  <c r="F97" i="6"/>
  <c r="G97" i="6"/>
  <c r="H97" i="6"/>
  <c r="I97" i="6"/>
  <c r="J97" i="6"/>
  <c r="K97" i="6"/>
  <c r="L97" i="6"/>
  <c r="M97" i="6"/>
  <c r="N97" i="6"/>
  <c r="O97" i="6"/>
  <c r="P97" i="6"/>
  <c r="Q97" i="6"/>
  <c r="R97" i="6"/>
  <c r="S97" i="6"/>
  <c r="T97" i="6"/>
  <c r="U97" i="6"/>
  <c r="V97" i="6"/>
  <c r="W97" i="6"/>
  <c r="X97" i="6"/>
  <c r="Y97" i="6"/>
  <c r="Z97" i="6"/>
  <c r="AA97" i="6"/>
  <c r="AB97" i="6"/>
  <c r="AC97" i="6"/>
  <c r="AD97" i="6"/>
  <c r="AE97" i="6"/>
  <c r="AF97" i="6"/>
  <c r="AG97" i="6"/>
  <c r="AN97" i="6"/>
  <c r="U166" i="6"/>
  <c r="V166" i="6"/>
  <c r="AQ36" i="6"/>
  <c r="AR36" i="6"/>
  <c r="AS36" i="6"/>
  <c r="W166" i="6"/>
  <c r="AM97" i="6"/>
  <c r="AQ97" i="6"/>
  <c r="AR97" i="6"/>
  <c r="AS97" i="6"/>
  <c r="X166" i="6"/>
  <c r="Y166" i="6"/>
  <c r="AO97" i="6"/>
  <c r="AP97" i="6"/>
  <c r="Z166" i="6"/>
  <c r="BA36" i="6"/>
  <c r="AA166" i="6"/>
  <c r="BB36" i="6"/>
  <c r="AB166" i="6"/>
  <c r="BC36" i="6"/>
  <c r="AC166" i="6"/>
  <c r="B51" i="8"/>
  <c r="B50" i="6"/>
  <c r="C50" i="6"/>
  <c r="D50" i="6"/>
  <c r="E50" i="6"/>
  <c r="F50" i="6"/>
  <c r="G50" i="6"/>
  <c r="H50" i="6"/>
  <c r="I50" i="6"/>
  <c r="J50" i="6"/>
  <c r="K50" i="6"/>
  <c r="L50" i="6"/>
  <c r="M50" i="6"/>
  <c r="N51" i="8"/>
  <c r="N50" i="6"/>
  <c r="O50" i="6"/>
  <c r="P50" i="6"/>
  <c r="Q50" i="6"/>
  <c r="R50" i="6"/>
  <c r="S50" i="6"/>
  <c r="T51" i="8"/>
  <c r="T50" i="6"/>
  <c r="U50" i="6"/>
  <c r="V50" i="6"/>
  <c r="W50" i="6"/>
  <c r="X50" i="6"/>
  <c r="Y50" i="6"/>
  <c r="Z50" i="6"/>
  <c r="AA50" i="6"/>
  <c r="AB50" i="6"/>
  <c r="AC50" i="6"/>
  <c r="AD50" i="6"/>
  <c r="AE50" i="6"/>
  <c r="AF50" i="6"/>
  <c r="AG50" i="6"/>
  <c r="AH50" i="6"/>
  <c r="AI50" i="6"/>
  <c r="AJ50" i="6"/>
  <c r="AK50" i="6"/>
  <c r="AL50" i="6"/>
  <c r="AM50" i="6"/>
  <c r="AN50" i="6"/>
  <c r="BD36" i="6"/>
  <c r="AD166" i="6"/>
  <c r="BH36" i="6"/>
  <c r="AE166" i="6"/>
  <c r="BI36" i="6"/>
  <c r="AF166" i="6"/>
  <c r="BJ36" i="6"/>
  <c r="AG166" i="6"/>
  <c r="AM51" i="8"/>
  <c r="AO50" i="6"/>
  <c r="AP50" i="6"/>
  <c r="BK36" i="6"/>
  <c r="AH166" i="6"/>
  <c r="A167" i="6"/>
  <c r="D38" i="8"/>
  <c r="B167" i="6"/>
  <c r="C38" i="8"/>
  <c r="C167" i="6"/>
  <c r="G38" i="8"/>
  <c r="D167" i="6"/>
  <c r="H38" i="8"/>
  <c r="E167" i="6"/>
  <c r="F167" i="6"/>
  <c r="K38" i="8"/>
  <c r="G167" i="6"/>
  <c r="U38" i="8"/>
  <c r="H167" i="6"/>
  <c r="I167" i="6"/>
  <c r="J167" i="6"/>
  <c r="K167" i="6"/>
  <c r="L167" i="6"/>
  <c r="P167" i="6"/>
  <c r="Q167" i="6"/>
  <c r="R167" i="6"/>
  <c r="S167" i="6"/>
  <c r="T167" i="6"/>
  <c r="B98" i="6"/>
  <c r="C98" i="6"/>
  <c r="D98" i="6"/>
  <c r="E98" i="6"/>
  <c r="F98" i="6"/>
  <c r="G98" i="6"/>
  <c r="H98" i="6"/>
  <c r="I98" i="6"/>
  <c r="J98" i="6"/>
  <c r="K98" i="6"/>
  <c r="L98" i="6"/>
  <c r="M98" i="6"/>
  <c r="N98" i="6"/>
  <c r="O98" i="6"/>
  <c r="P98" i="6"/>
  <c r="Q98" i="6"/>
  <c r="R98" i="6"/>
  <c r="S98" i="6"/>
  <c r="T98" i="6"/>
  <c r="U98" i="6"/>
  <c r="V98" i="6"/>
  <c r="W98" i="6"/>
  <c r="X98" i="6"/>
  <c r="Y98" i="6"/>
  <c r="Z98" i="6"/>
  <c r="AA98" i="6"/>
  <c r="AB98" i="6"/>
  <c r="AC98" i="6"/>
  <c r="AD98" i="6"/>
  <c r="AE98" i="6"/>
  <c r="AF98" i="6"/>
  <c r="AG98" i="6"/>
  <c r="AN98" i="6"/>
  <c r="U167" i="6"/>
  <c r="V167" i="6"/>
  <c r="AQ37" i="6"/>
  <c r="AR37" i="6"/>
  <c r="AS37" i="6"/>
  <c r="W167" i="6"/>
  <c r="AM98" i="6"/>
  <c r="AQ98" i="6"/>
  <c r="AR98" i="6"/>
  <c r="AS98" i="6"/>
  <c r="X167" i="6"/>
  <c r="Y167" i="6"/>
  <c r="AO98" i="6"/>
  <c r="AP98" i="6"/>
  <c r="Z167" i="6"/>
  <c r="BA37" i="6"/>
  <c r="AA167" i="6"/>
  <c r="BB37" i="6"/>
  <c r="AB167" i="6"/>
  <c r="BC37" i="6"/>
  <c r="AC167" i="6"/>
  <c r="AD167" i="6"/>
  <c r="BH37" i="6"/>
  <c r="AE167" i="6"/>
  <c r="BI37" i="6"/>
  <c r="AF167" i="6"/>
  <c r="BJ37" i="6"/>
  <c r="AG167" i="6"/>
  <c r="AH167" i="6"/>
  <c r="A168" i="6"/>
  <c r="D39" i="8"/>
  <c r="B168" i="6"/>
  <c r="C39" i="8"/>
  <c r="C168" i="6"/>
  <c r="G39" i="8"/>
  <c r="D168" i="6"/>
  <c r="H39" i="8"/>
  <c r="E168" i="6"/>
  <c r="F168" i="6"/>
  <c r="K39" i="8"/>
  <c r="G168" i="6"/>
  <c r="U39" i="8"/>
  <c r="H168" i="6"/>
  <c r="I168" i="6"/>
  <c r="J168" i="6"/>
  <c r="K168" i="6"/>
  <c r="L168" i="6"/>
  <c r="P168" i="6"/>
  <c r="Q168" i="6"/>
  <c r="R168" i="6"/>
  <c r="S168" i="6"/>
  <c r="T168" i="6"/>
  <c r="B99" i="6"/>
  <c r="C99" i="6"/>
  <c r="D99" i="6"/>
  <c r="E99" i="6"/>
  <c r="F99" i="6"/>
  <c r="G99" i="6"/>
  <c r="H99" i="6"/>
  <c r="I99" i="6"/>
  <c r="J99" i="6"/>
  <c r="K99" i="6"/>
  <c r="L99" i="6"/>
  <c r="M99" i="6"/>
  <c r="N99" i="6"/>
  <c r="O99" i="6"/>
  <c r="P99" i="6"/>
  <c r="Q99" i="6"/>
  <c r="R99" i="6"/>
  <c r="S99" i="6"/>
  <c r="T99" i="6"/>
  <c r="U99" i="6"/>
  <c r="V99" i="6"/>
  <c r="W99" i="6"/>
  <c r="X99" i="6"/>
  <c r="Y99" i="6"/>
  <c r="Z99" i="6"/>
  <c r="AA99" i="6"/>
  <c r="AB99" i="6"/>
  <c r="AC99" i="6"/>
  <c r="AD99" i="6"/>
  <c r="AE99" i="6"/>
  <c r="AF99" i="6"/>
  <c r="AG99" i="6"/>
  <c r="AN99" i="6"/>
  <c r="U168" i="6"/>
  <c r="V168" i="6"/>
  <c r="AQ38" i="6"/>
  <c r="AR38" i="6"/>
  <c r="AS38" i="6"/>
  <c r="W168" i="6"/>
  <c r="AM99" i="6"/>
  <c r="AQ99" i="6"/>
  <c r="AR99" i="6"/>
  <c r="AS99" i="6"/>
  <c r="X168" i="6"/>
  <c r="Y168" i="6"/>
  <c r="AO99" i="6"/>
  <c r="AP99" i="6"/>
  <c r="Z168" i="6"/>
  <c r="BA38" i="6"/>
  <c r="AA168" i="6"/>
  <c r="BB38" i="6"/>
  <c r="AB168" i="6"/>
  <c r="BC38" i="6"/>
  <c r="AC168" i="6"/>
  <c r="AD168" i="6"/>
  <c r="BH38" i="6"/>
  <c r="AE168" i="6"/>
  <c r="BI38" i="6"/>
  <c r="AF168" i="6"/>
  <c r="BJ38" i="6"/>
  <c r="AG168" i="6"/>
  <c r="AH168" i="6"/>
  <c r="A169" i="6"/>
  <c r="D40" i="8"/>
  <c r="B169" i="6"/>
  <c r="C40" i="8"/>
  <c r="C169" i="6"/>
  <c r="G40" i="8"/>
  <c r="D169" i="6"/>
  <c r="H40" i="8"/>
  <c r="E169" i="6"/>
  <c r="F169" i="6"/>
  <c r="K40" i="8"/>
  <c r="G169" i="6"/>
  <c r="U40" i="8"/>
  <c r="H169" i="6"/>
  <c r="I169" i="6"/>
  <c r="J169" i="6"/>
  <c r="K169" i="6"/>
  <c r="L169" i="6"/>
  <c r="P169" i="6"/>
  <c r="Q169" i="6"/>
  <c r="R169" i="6"/>
  <c r="S169" i="6"/>
  <c r="T169" i="6"/>
  <c r="B100" i="6"/>
  <c r="C100" i="6"/>
  <c r="D100" i="6"/>
  <c r="E100" i="6"/>
  <c r="F100" i="6"/>
  <c r="G100" i="6"/>
  <c r="H100" i="6"/>
  <c r="I100" i="6"/>
  <c r="J100" i="6"/>
  <c r="K100" i="6"/>
  <c r="L100" i="6"/>
  <c r="M100" i="6"/>
  <c r="N100" i="6"/>
  <c r="O100" i="6"/>
  <c r="P100" i="6"/>
  <c r="Q100" i="6"/>
  <c r="R100" i="6"/>
  <c r="S100" i="6"/>
  <c r="T100" i="6"/>
  <c r="U100" i="6"/>
  <c r="V100" i="6"/>
  <c r="W100" i="6"/>
  <c r="X100" i="6"/>
  <c r="Y100" i="6"/>
  <c r="Z100" i="6"/>
  <c r="AA100" i="6"/>
  <c r="AB100" i="6"/>
  <c r="AC100" i="6"/>
  <c r="AD100" i="6"/>
  <c r="AE100" i="6"/>
  <c r="AF100" i="6"/>
  <c r="AG100" i="6"/>
  <c r="AN100" i="6"/>
  <c r="U169" i="6"/>
  <c r="V169" i="6"/>
  <c r="AQ39" i="6"/>
  <c r="AR39" i="6"/>
  <c r="AS39" i="6"/>
  <c r="W169" i="6"/>
  <c r="AM100" i="6"/>
  <c r="AQ100" i="6"/>
  <c r="AR100" i="6"/>
  <c r="AS100" i="6"/>
  <c r="X169" i="6"/>
  <c r="Y169" i="6"/>
  <c r="AO100" i="6"/>
  <c r="AP100" i="6"/>
  <c r="Z169" i="6"/>
  <c r="BA39" i="6"/>
  <c r="AA169" i="6"/>
  <c r="BB39" i="6"/>
  <c r="AB169" i="6"/>
  <c r="BC39" i="6"/>
  <c r="AC169" i="6"/>
  <c r="AD169" i="6"/>
  <c r="BH39" i="6"/>
  <c r="AE169" i="6"/>
  <c r="BI39" i="6"/>
  <c r="AF169" i="6"/>
  <c r="BJ39" i="6"/>
  <c r="AG169" i="6"/>
  <c r="AH169" i="6"/>
  <c r="A170" i="6"/>
  <c r="D41" i="8"/>
  <c r="B170" i="6"/>
  <c r="C41" i="8"/>
  <c r="C170" i="6"/>
  <c r="G41" i="8"/>
  <c r="D170" i="6"/>
  <c r="H41" i="8"/>
  <c r="E170" i="6"/>
  <c r="F170" i="6"/>
  <c r="K41" i="8"/>
  <c r="G170" i="6"/>
  <c r="U41" i="8"/>
  <c r="H170" i="6"/>
  <c r="I170" i="6"/>
  <c r="J170" i="6"/>
  <c r="K170" i="6"/>
  <c r="L170" i="6"/>
  <c r="P170" i="6"/>
  <c r="Q170" i="6"/>
  <c r="R170" i="6"/>
  <c r="S170" i="6"/>
  <c r="T170" i="6"/>
  <c r="B101" i="6"/>
  <c r="C101" i="6"/>
  <c r="D101" i="6"/>
  <c r="E101" i="6"/>
  <c r="F101" i="6"/>
  <c r="G101" i="6"/>
  <c r="H101" i="6"/>
  <c r="I101" i="6"/>
  <c r="J101" i="6"/>
  <c r="K101" i="6"/>
  <c r="L101" i="6"/>
  <c r="M101" i="6"/>
  <c r="N101" i="6"/>
  <c r="O101" i="6"/>
  <c r="P101" i="6"/>
  <c r="Q101" i="6"/>
  <c r="R101" i="6"/>
  <c r="S101" i="6"/>
  <c r="T101" i="6"/>
  <c r="U101" i="6"/>
  <c r="V101" i="6"/>
  <c r="W101" i="6"/>
  <c r="X101" i="6"/>
  <c r="Y101" i="6"/>
  <c r="Z101" i="6"/>
  <c r="AA101" i="6"/>
  <c r="AB101" i="6"/>
  <c r="AC101" i="6"/>
  <c r="AD101" i="6"/>
  <c r="AE101" i="6"/>
  <c r="AF101" i="6"/>
  <c r="AG101" i="6"/>
  <c r="AN101" i="6"/>
  <c r="U170" i="6"/>
  <c r="V170" i="6"/>
  <c r="AQ40" i="6"/>
  <c r="AR40" i="6"/>
  <c r="AS40" i="6"/>
  <c r="W170" i="6"/>
  <c r="AM101" i="6"/>
  <c r="AQ101" i="6"/>
  <c r="AR101" i="6"/>
  <c r="AS101" i="6"/>
  <c r="X170" i="6"/>
  <c r="Y170" i="6"/>
  <c r="AO101" i="6"/>
  <c r="AP101" i="6"/>
  <c r="Z170" i="6"/>
  <c r="BA40" i="6"/>
  <c r="AA170" i="6"/>
  <c r="BB40" i="6"/>
  <c r="AB170" i="6"/>
  <c r="BC40" i="6"/>
  <c r="AC170" i="6"/>
  <c r="AD170" i="6"/>
  <c r="BH40" i="6"/>
  <c r="AE170" i="6"/>
  <c r="BI40" i="6"/>
  <c r="AF170" i="6"/>
  <c r="BJ40" i="6"/>
  <c r="AG170" i="6"/>
  <c r="AH170" i="6"/>
  <c r="A171" i="6"/>
  <c r="D42" i="8"/>
  <c r="B171" i="6"/>
  <c r="C42" i="8"/>
  <c r="C171" i="6"/>
  <c r="G42" i="8"/>
  <c r="D171" i="6"/>
  <c r="H42" i="8"/>
  <c r="E171" i="6"/>
  <c r="F171" i="6"/>
  <c r="K42" i="8"/>
  <c r="G171" i="6"/>
  <c r="U42" i="8"/>
  <c r="H171" i="6"/>
  <c r="I171" i="6"/>
  <c r="J171" i="6"/>
  <c r="K171" i="6"/>
  <c r="L171" i="6"/>
  <c r="P171" i="6"/>
  <c r="Q171" i="6"/>
  <c r="R171" i="6"/>
  <c r="S171" i="6"/>
  <c r="T171" i="6"/>
  <c r="B102" i="6"/>
  <c r="C102" i="6"/>
  <c r="D102" i="6"/>
  <c r="E102" i="6"/>
  <c r="F102" i="6"/>
  <c r="G102" i="6"/>
  <c r="H102" i="6"/>
  <c r="I102" i="6"/>
  <c r="J102" i="6"/>
  <c r="K102" i="6"/>
  <c r="L102" i="6"/>
  <c r="M102" i="6"/>
  <c r="N102" i="6"/>
  <c r="O102" i="6"/>
  <c r="P102" i="6"/>
  <c r="Q102" i="6"/>
  <c r="R102" i="6"/>
  <c r="S102" i="6"/>
  <c r="T102" i="6"/>
  <c r="U102" i="6"/>
  <c r="V102" i="6"/>
  <c r="W102" i="6"/>
  <c r="X102" i="6"/>
  <c r="Y102" i="6"/>
  <c r="Z102" i="6"/>
  <c r="AA102" i="6"/>
  <c r="AB102" i="6"/>
  <c r="AC102" i="6"/>
  <c r="AD102" i="6"/>
  <c r="AE102" i="6"/>
  <c r="AF102" i="6"/>
  <c r="AG102" i="6"/>
  <c r="AN102" i="6"/>
  <c r="U171" i="6"/>
  <c r="V171" i="6"/>
  <c r="AQ41" i="6"/>
  <c r="AR41" i="6"/>
  <c r="AS41" i="6"/>
  <c r="W171" i="6"/>
  <c r="AM102" i="6"/>
  <c r="AQ102" i="6"/>
  <c r="AR102" i="6"/>
  <c r="AS102" i="6"/>
  <c r="X171" i="6"/>
  <c r="Y171" i="6"/>
  <c r="AO102" i="6"/>
  <c r="AP102" i="6"/>
  <c r="Z171" i="6"/>
  <c r="BA41" i="6"/>
  <c r="AA171" i="6"/>
  <c r="BB41" i="6"/>
  <c r="AB171" i="6"/>
  <c r="BC41" i="6"/>
  <c r="AC171" i="6"/>
  <c r="AD171" i="6"/>
  <c r="BH41" i="6"/>
  <c r="AE171" i="6"/>
  <c r="BI41" i="6"/>
  <c r="AF171" i="6"/>
  <c r="BJ41" i="6"/>
  <c r="AG171" i="6"/>
  <c r="AH171" i="6"/>
  <c r="A172" i="6"/>
  <c r="D43" i="8"/>
  <c r="B172" i="6"/>
  <c r="C43" i="8"/>
  <c r="C172" i="6"/>
  <c r="G43" i="8"/>
  <c r="D172" i="6"/>
  <c r="H43" i="8"/>
  <c r="E172" i="6"/>
  <c r="F172" i="6"/>
  <c r="K43" i="8"/>
  <c r="G172" i="6"/>
  <c r="U43" i="8"/>
  <c r="H172" i="6"/>
  <c r="I172" i="6"/>
  <c r="J172" i="6"/>
  <c r="K172" i="6"/>
  <c r="L172" i="6"/>
  <c r="P172" i="6"/>
  <c r="Q172" i="6"/>
  <c r="R172" i="6"/>
  <c r="S172" i="6"/>
  <c r="T172" i="6"/>
  <c r="B103" i="6"/>
  <c r="C103" i="6"/>
  <c r="D103" i="6"/>
  <c r="E103" i="6"/>
  <c r="F103" i="6"/>
  <c r="G103" i="6"/>
  <c r="H103" i="6"/>
  <c r="I103" i="6"/>
  <c r="J103" i="6"/>
  <c r="K103" i="6"/>
  <c r="L103" i="6"/>
  <c r="M103" i="6"/>
  <c r="N103" i="6"/>
  <c r="O103" i="6"/>
  <c r="P103" i="6"/>
  <c r="Q103" i="6"/>
  <c r="R103" i="6"/>
  <c r="S103" i="6"/>
  <c r="T103" i="6"/>
  <c r="U103" i="6"/>
  <c r="V103" i="6"/>
  <c r="W103" i="6"/>
  <c r="X103" i="6"/>
  <c r="Y103" i="6"/>
  <c r="Z103" i="6"/>
  <c r="AA103" i="6"/>
  <c r="AB103" i="6"/>
  <c r="AC103" i="6"/>
  <c r="AD103" i="6"/>
  <c r="AE103" i="6"/>
  <c r="AF103" i="6"/>
  <c r="AG103" i="6"/>
  <c r="AN103" i="6"/>
  <c r="U172" i="6"/>
  <c r="V172" i="6"/>
  <c r="AQ42" i="6"/>
  <c r="AR42" i="6"/>
  <c r="AS42" i="6"/>
  <c r="W172" i="6"/>
  <c r="AM103" i="6"/>
  <c r="AQ103" i="6"/>
  <c r="AR103" i="6"/>
  <c r="AS103" i="6"/>
  <c r="X172" i="6"/>
  <c r="Y172" i="6"/>
  <c r="AO103" i="6"/>
  <c r="AP103" i="6"/>
  <c r="Z172" i="6"/>
  <c r="BA42" i="6"/>
  <c r="AA172" i="6"/>
  <c r="BB42" i="6"/>
  <c r="AB172" i="6"/>
  <c r="AC172" i="6"/>
  <c r="AD172" i="6"/>
  <c r="BH42" i="6"/>
  <c r="AE172" i="6"/>
  <c r="BI42" i="6"/>
  <c r="AF172" i="6"/>
  <c r="AG172" i="6"/>
  <c r="AH172" i="6"/>
  <c r="A173" i="6"/>
  <c r="D44" i="8"/>
  <c r="B173" i="6"/>
  <c r="C44" i="8"/>
  <c r="C173" i="6"/>
  <c r="G44" i="8"/>
  <c r="D173" i="6"/>
  <c r="H44" i="8"/>
  <c r="E173" i="6"/>
  <c r="F173" i="6"/>
  <c r="K44" i="8"/>
  <c r="G173" i="6"/>
  <c r="U44" i="8"/>
  <c r="H173" i="6"/>
  <c r="I173" i="6"/>
  <c r="J173" i="6"/>
  <c r="K173" i="6"/>
  <c r="L173" i="6"/>
  <c r="P173" i="6"/>
  <c r="Q173" i="6"/>
  <c r="R173" i="6"/>
  <c r="S173" i="6"/>
  <c r="T173" i="6"/>
  <c r="B104" i="6"/>
  <c r="C104" i="6"/>
  <c r="D104" i="6"/>
  <c r="E104" i="6"/>
  <c r="F104" i="6"/>
  <c r="G104" i="6"/>
  <c r="H104" i="6"/>
  <c r="I104" i="6"/>
  <c r="J104" i="6"/>
  <c r="K104" i="6"/>
  <c r="L104" i="6"/>
  <c r="M104" i="6"/>
  <c r="N104" i="6"/>
  <c r="O104" i="6"/>
  <c r="P104" i="6"/>
  <c r="Q104" i="6"/>
  <c r="R104" i="6"/>
  <c r="S104" i="6"/>
  <c r="T104" i="6"/>
  <c r="U104" i="6"/>
  <c r="V104" i="6"/>
  <c r="W104" i="6"/>
  <c r="X104" i="6"/>
  <c r="Y104" i="6"/>
  <c r="Z104" i="6"/>
  <c r="AA104" i="6"/>
  <c r="AB104" i="6"/>
  <c r="AC104" i="6"/>
  <c r="AD104" i="6"/>
  <c r="AE104" i="6"/>
  <c r="AF104" i="6"/>
  <c r="AG104" i="6"/>
  <c r="AN104" i="6"/>
  <c r="U173" i="6"/>
  <c r="V173" i="6"/>
  <c r="AQ43" i="6"/>
  <c r="AR43" i="6"/>
  <c r="AS43" i="6"/>
  <c r="W173" i="6"/>
  <c r="AM104" i="6"/>
  <c r="AQ104" i="6"/>
  <c r="AR104" i="6"/>
  <c r="AS104" i="6"/>
  <c r="X173" i="6"/>
  <c r="Y173" i="6"/>
  <c r="AO104" i="6"/>
  <c r="AP104" i="6"/>
  <c r="Z173" i="6"/>
  <c r="BA43" i="6"/>
  <c r="AA173" i="6"/>
  <c r="BB43" i="6"/>
  <c r="AB173" i="6"/>
  <c r="AC173" i="6"/>
  <c r="AD173" i="6"/>
  <c r="BH43" i="6"/>
  <c r="AE173" i="6"/>
  <c r="BI43" i="6"/>
  <c r="AF173" i="6"/>
  <c r="AG173" i="6"/>
  <c r="AH173" i="6"/>
  <c r="A174" i="6"/>
  <c r="D45" i="8"/>
  <c r="B174" i="6"/>
  <c r="C45" i="8"/>
  <c r="C174" i="6"/>
  <c r="G45" i="8"/>
  <c r="D174" i="6"/>
  <c r="H45" i="8"/>
  <c r="E174" i="6"/>
  <c r="F174" i="6"/>
  <c r="K45" i="8"/>
  <c r="G174" i="6"/>
  <c r="U45" i="8"/>
  <c r="H174" i="6"/>
  <c r="I174" i="6"/>
  <c r="J174" i="6"/>
  <c r="K174" i="6"/>
  <c r="L174" i="6"/>
  <c r="P174" i="6"/>
  <c r="Q174" i="6"/>
  <c r="R174" i="6"/>
  <c r="S174" i="6"/>
  <c r="T174" i="6"/>
  <c r="B105" i="6"/>
  <c r="C105" i="6"/>
  <c r="D105" i="6"/>
  <c r="E105" i="6"/>
  <c r="F105" i="6"/>
  <c r="G105" i="6"/>
  <c r="H105" i="6"/>
  <c r="I105" i="6"/>
  <c r="J105" i="6"/>
  <c r="K105" i="6"/>
  <c r="L105" i="6"/>
  <c r="M105" i="6"/>
  <c r="N105" i="6"/>
  <c r="O105" i="6"/>
  <c r="P105" i="6"/>
  <c r="Q105" i="6"/>
  <c r="R105" i="6"/>
  <c r="S105" i="6"/>
  <c r="T105" i="6"/>
  <c r="U105" i="6"/>
  <c r="V105" i="6"/>
  <c r="W105" i="6"/>
  <c r="X105" i="6"/>
  <c r="Y105" i="6"/>
  <c r="Z105" i="6"/>
  <c r="AA105" i="6"/>
  <c r="AB105" i="6"/>
  <c r="AC105" i="6"/>
  <c r="AD105" i="6"/>
  <c r="AE105" i="6"/>
  <c r="AF105" i="6"/>
  <c r="AG105" i="6"/>
  <c r="AN105" i="6"/>
  <c r="U174" i="6"/>
  <c r="V174" i="6"/>
  <c r="AQ44" i="6"/>
  <c r="AR44" i="6"/>
  <c r="AS44" i="6"/>
  <c r="W174" i="6"/>
  <c r="AM105" i="6"/>
  <c r="AQ105" i="6"/>
  <c r="AR105" i="6"/>
  <c r="AS105" i="6"/>
  <c r="X174" i="6"/>
  <c r="Y174" i="6"/>
  <c r="AO105" i="6"/>
  <c r="AP105" i="6"/>
  <c r="Z174" i="6"/>
  <c r="BA44" i="6"/>
  <c r="AA174" i="6"/>
  <c r="BB44" i="6"/>
  <c r="AB174" i="6"/>
  <c r="AC174" i="6"/>
  <c r="AD174" i="6"/>
  <c r="BH44" i="6"/>
  <c r="AE174" i="6"/>
  <c r="BI44" i="6"/>
  <c r="AF174" i="6"/>
  <c r="AG174" i="6"/>
  <c r="AH174" i="6"/>
  <c r="A175" i="6"/>
  <c r="D46" i="8"/>
  <c r="B175" i="6"/>
  <c r="C46" i="8"/>
  <c r="C175" i="6"/>
  <c r="G46" i="8"/>
  <c r="D175" i="6"/>
  <c r="H46" i="8"/>
  <c r="E175" i="6"/>
  <c r="F175" i="6"/>
  <c r="K46" i="8"/>
  <c r="G175" i="6"/>
  <c r="U46" i="8"/>
  <c r="H175" i="6"/>
  <c r="I175" i="6"/>
  <c r="J175" i="6"/>
  <c r="K175" i="6"/>
  <c r="L175" i="6"/>
  <c r="P175" i="6"/>
  <c r="Q175" i="6"/>
  <c r="R175" i="6"/>
  <c r="S175" i="6"/>
  <c r="T175" i="6"/>
  <c r="B106" i="6"/>
  <c r="C106" i="6"/>
  <c r="D106" i="6"/>
  <c r="E106" i="6"/>
  <c r="F106" i="6"/>
  <c r="G106" i="6"/>
  <c r="H106" i="6"/>
  <c r="I106" i="6"/>
  <c r="J106" i="6"/>
  <c r="K106" i="6"/>
  <c r="L106" i="6"/>
  <c r="M106" i="6"/>
  <c r="N106" i="6"/>
  <c r="O106" i="6"/>
  <c r="P106" i="6"/>
  <c r="Q106" i="6"/>
  <c r="R106" i="6"/>
  <c r="S106" i="6"/>
  <c r="T106" i="6"/>
  <c r="U106" i="6"/>
  <c r="V106" i="6"/>
  <c r="W106" i="6"/>
  <c r="X106" i="6"/>
  <c r="Y106" i="6"/>
  <c r="Z106" i="6"/>
  <c r="AA106" i="6"/>
  <c r="AB106" i="6"/>
  <c r="AC106" i="6"/>
  <c r="AD106" i="6"/>
  <c r="AE106" i="6"/>
  <c r="AF106" i="6"/>
  <c r="AG106" i="6"/>
  <c r="AN106" i="6"/>
  <c r="U175" i="6"/>
  <c r="V175" i="6"/>
  <c r="AQ45" i="6"/>
  <c r="AR45" i="6"/>
  <c r="AS45" i="6"/>
  <c r="W175" i="6"/>
  <c r="AM106" i="6"/>
  <c r="AQ106" i="6"/>
  <c r="AR106" i="6"/>
  <c r="AS106" i="6"/>
  <c r="X175" i="6"/>
  <c r="Y175" i="6"/>
  <c r="AO106" i="6"/>
  <c r="AP106" i="6"/>
  <c r="Z175" i="6"/>
  <c r="BA45" i="6"/>
  <c r="AA175" i="6"/>
  <c r="BB45" i="6"/>
  <c r="AB175" i="6"/>
  <c r="AC175" i="6"/>
  <c r="AD175" i="6"/>
  <c r="BH45" i="6"/>
  <c r="AE175" i="6"/>
  <c r="BI45" i="6"/>
  <c r="AF175" i="6"/>
  <c r="AG175" i="6"/>
  <c r="AH175" i="6"/>
  <c r="A176" i="6"/>
  <c r="D47" i="8"/>
  <c r="B176" i="6"/>
  <c r="C47" i="8"/>
  <c r="C176" i="6"/>
  <c r="G47" i="8"/>
  <c r="D176" i="6"/>
  <c r="H47" i="8"/>
  <c r="E176" i="6"/>
  <c r="F176" i="6"/>
  <c r="K47" i="8"/>
  <c r="G176" i="6"/>
  <c r="U47" i="8"/>
  <c r="H176" i="6"/>
  <c r="I176" i="6"/>
  <c r="J176" i="6"/>
  <c r="K176" i="6"/>
  <c r="L176" i="6"/>
  <c r="P176" i="6"/>
  <c r="Q176" i="6"/>
  <c r="R176" i="6"/>
  <c r="S176" i="6"/>
  <c r="T176" i="6"/>
  <c r="B107" i="6"/>
  <c r="C107" i="6"/>
  <c r="D107" i="6"/>
  <c r="E107" i="6"/>
  <c r="F107" i="6"/>
  <c r="G107" i="6"/>
  <c r="H107" i="6"/>
  <c r="I107" i="6"/>
  <c r="J107" i="6"/>
  <c r="K107" i="6"/>
  <c r="L107" i="6"/>
  <c r="M107" i="6"/>
  <c r="N107" i="6"/>
  <c r="O107" i="6"/>
  <c r="P107" i="6"/>
  <c r="Q107" i="6"/>
  <c r="R107" i="6"/>
  <c r="S107" i="6"/>
  <c r="T107" i="6"/>
  <c r="U107" i="6"/>
  <c r="V107" i="6"/>
  <c r="W107" i="6"/>
  <c r="X107" i="6"/>
  <c r="Y107" i="6"/>
  <c r="Z107" i="6"/>
  <c r="AA107" i="6"/>
  <c r="AB107" i="6"/>
  <c r="AC107" i="6"/>
  <c r="AD107" i="6"/>
  <c r="AE107" i="6"/>
  <c r="AF107" i="6"/>
  <c r="AG107" i="6"/>
  <c r="AN107" i="6"/>
  <c r="U176" i="6"/>
  <c r="V176" i="6"/>
  <c r="AQ46" i="6"/>
  <c r="AR46" i="6"/>
  <c r="AS46" i="6"/>
  <c r="W176" i="6"/>
  <c r="AM107" i="6"/>
  <c r="AQ107" i="6"/>
  <c r="AR107" i="6"/>
  <c r="AS107" i="6"/>
  <c r="X176" i="6"/>
  <c r="Y176" i="6"/>
  <c r="AO107" i="6"/>
  <c r="AP107" i="6"/>
  <c r="Z176" i="6"/>
  <c r="BA46" i="6"/>
  <c r="AA176" i="6"/>
  <c r="BB46" i="6"/>
  <c r="AB176" i="6"/>
  <c r="AC176" i="6"/>
  <c r="AD176" i="6"/>
  <c r="BH46" i="6"/>
  <c r="AE176" i="6"/>
  <c r="BI46" i="6"/>
  <c r="AF176" i="6"/>
  <c r="AG176" i="6"/>
  <c r="AH176" i="6"/>
  <c r="A177" i="6"/>
  <c r="D48" i="8"/>
  <c r="B177" i="6"/>
  <c r="C48" i="8"/>
  <c r="C177" i="6"/>
  <c r="G48" i="8"/>
  <c r="D177" i="6"/>
  <c r="H48" i="8"/>
  <c r="E177" i="6"/>
  <c r="F177" i="6"/>
  <c r="K48" i="8"/>
  <c r="G177" i="6"/>
  <c r="U48" i="8"/>
  <c r="H177" i="6"/>
  <c r="I177" i="6"/>
  <c r="J177" i="6"/>
  <c r="K177" i="6"/>
  <c r="L177" i="6"/>
  <c r="P177" i="6"/>
  <c r="Q177" i="6"/>
  <c r="R177" i="6"/>
  <c r="S177" i="6"/>
  <c r="T177" i="6"/>
  <c r="B108" i="6"/>
  <c r="C108" i="6"/>
  <c r="D108" i="6"/>
  <c r="E108" i="6"/>
  <c r="F108" i="6"/>
  <c r="G108" i="6"/>
  <c r="H108" i="6"/>
  <c r="I108" i="6"/>
  <c r="J108" i="6"/>
  <c r="K108" i="6"/>
  <c r="L108" i="6"/>
  <c r="M108" i="6"/>
  <c r="N108" i="6"/>
  <c r="O108" i="6"/>
  <c r="P108" i="6"/>
  <c r="Q108" i="6"/>
  <c r="R108" i="6"/>
  <c r="S108" i="6"/>
  <c r="T108" i="6"/>
  <c r="U108" i="6"/>
  <c r="V108" i="6"/>
  <c r="W108" i="6"/>
  <c r="X108" i="6"/>
  <c r="Y108" i="6"/>
  <c r="Z108" i="6"/>
  <c r="AA108" i="6"/>
  <c r="AB108" i="6"/>
  <c r="AC108" i="6"/>
  <c r="AD108" i="6"/>
  <c r="AE108" i="6"/>
  <c r="AF108" i="6"/>
  <c r="AG108" i="6"/>
  <c r="AN108" i="6"/>
  <c r="U177" i="6"/>
  <c r="V177" i="6"/>
  <c r="AQ47" i="6"/>
  <c r="AR47" i="6"/>
  <c r="AS47" i="6"/>
  <c r="W177" i="6"/>
  <c r="AM108" i="6"/>
  <c r="AQ108" i="6"/>
  <c r="AR108" i="6"/>
  <c r="AS108" i="6"/>
  <c r="X177" i="6"/>
  <c r="Y177" i="6"/>
  <c r="AO108" i="6"/>
  <c r="AP108" i="6"/>
  <c r="Z177" i="6"/>
  <c r="BA47" i="6"/>
  <c r="AA177" i="6"/>
  <c r="AB177" i="6"/>
  <c r="AC177" i="6"/>
  <c r="AD177" i="6"/>
  <c r="BH47" i="6"/>
  <c r="AE177" i="6"/>
  <c r="AF177" i="6"/>
  <c r="AG177" i="6"/>
  <c r="AH177" i="6"/>
  <c r="A178" i="6"/>
  <c r="D49" i="8"/>
  <c r="B178" i="6"/>
  <c r="C49" i="8"/>
  <c r="C178" i="6"/>
  <c r="G49" i="8"/>
  <c r="D178" i="6"/>
  <c r="H49" i="8"/>
  <c r="E178" i="6"/>
  <c r="F178" i="6"/>
  <c r="K49" i="8"/>
  <c r="G178" i="6"/>
  <c r="U49" i="8"/>
  <c r="H178" i="6"/>
  <c r="I178" i="6"/>
  <c r="J178" i="6"/>
  <c r="K178" i="6"/>
  <c r="L178" i="6"/>
  <c r="P178" i="6"/>
  <c r="Q178" i="6"/>
  <c r="R178" i="6"/>
  <c r="S178" i="6"/>
  <c r="T178" i="6"/>
  <c r="B109" i="6"/>
  <c r="C109" i="6"/>
  <c r="D109" i="6"/>
  <c r="E109" i="6"/>
  <c r="F109" i="6"/>
  <c r="G109" i="6"/>
  <c r="H109" i="6"/>
  <c r="I109" i="6"/>
  <c r="J109" i="6"/>
  <c r="K109" i="6"/>
  <c r="L109" i="6"/>
  <c r="M109" i="6"/>
  <c r="N109" i="6"/>
  <c r="O109" i="6"/>
  <c r="P109" i="6"/>
  <c r="Q109" i="6"/>
  <c r="R109" i="6"/>
  <c r="S109" i="6"/>
  <c r="T109" i="6"/>
  <c r="U109" i="6"/>
  <c r="V109" i="6"/>
  <c r="W109" i="6"/>
  <c r="X109" i="6"/>
  <c r="Y109" i="6"/>
  <c r="Z109" i="6"/>
  <c r="AA109" i="6"/>
  <c r="AB109" i="6"/>
  <c r="AC109" i="6"/>
  <c r="AD109" i="6"/>
  <c r="AE109" i="6"/>
  <c r="AF109" i="6"/>
  <c r="AG109" i="6"/>
  <c r="AN109" i="6"/>
  <c r="U178" i="6"/>
  <c r="V178" i="6"/>
  <c r="AQ48" i="6"/>
  <c r="AR48" i="6"/>
  <c r="AS48" i="6"/>
  <c r="W178" i="6"/>
  <c r="AM109" i="6"/>
  <c r="AQ109" i="6"/>
  <c r="AR109" i="6"/>
  <c r="AS109" i="6"/>
  <c r="X178" i="6"/>
  <c r="Y178" i="6"/>
  <c r="AO109" i="6"/>
  <c r="AP109" i="6"/>
  <c r="Z178" i="6"/>
  <c r="BA48" i="6"/>
  <c r="AA178" i="6"/>
  <c r="AB178" i="6"/>
  <c r="AC178" i="6"/>
  <c r="AD178" i="6"/>
  <c r="BH48" i="6"/>
  <c r="AE178" i="6"/>
  <c r="AF178" i="6"/>
  <c r="AG178" i="6"/>
  <c r="AH178" i="6"/>
  <c r="A179" i="6"/>
  <c r="D50" i="8"/>
  <c r="B179" i="6"/>
  <c r="C50" i="8"/>
  <c r="C179" i="6"/>
  <c r="G50" i="8"/>
  <c r="D179" i="6"/>
  <c r="H50" i="8"/>
  <c r="E179" i="6"/>
  <c r="F179" i="6"/>
  <c r="K50" i="8"/>
  <c r="G179" i="6"/>
  <c r="U50" i="8"/>
  <c r="H179" i="6"/>
  <c r="I179" i="6"/>
  <c r="J179" i="6"/>
  <c r="K179" i="6"/>
  <c r="L179" i="6"/>
  <c r="P179" i="6"/>
  <c r="Q179" i="6"/>
  <c r="R179" i="6"/>
  <c r="S179" i="6"/>
  <c r="T179" i="6"/>
  <c r="B110" i="6"/>
  <c r="C110" i="6"/>
  <c r="D110" i="6"/>
  <c r="E110" i="6"/>
  <c r="F110" i="6"/>
  <c r="G110" i="6"/>
  <c r="H110" i="6"/>
  <c r="I110" i="6"/>
  <c r="J110" i="6"/>
  <c r="K110" i="6"/>
  <c r="L110" i="6"/>
  <c r="M110" i="6"/>
  <c r="N110" i="6"/>
  <c r="O110" i="6"/>
  <c r="P110" i="6"/>
  <c r="Q110" i="6"/>
  <c r="R110" i="6"/>
  <c r="S110" i="6"/>
  <c r="T110" i="6"/>
  <c r="U110" i="6"/>
  <c r="V110" i="6"/>
  <c r="W110" i="6"/>
  <c r="X110" i="6"/>
  <c r="Y110" i="6"/>
  <c r="Z110" i="6"/>
  <c r="AA110" i="6"/>
  <c r="AB110" i="6"/>
  <c r="AC110" i="6"/>
  <c r="AD110" i="6"/>
  <c r="AE110" i="6"/>
  <c r="AF110" i="6"/>
  <c r="AG110" i="6"/>
  <c r="AN110" i="6"/>
  <c r="U179" i="6"/>
  <c r="V179" i="6"/>
  <c r="AQ49" i="6"/>
  <c r="AR49" i="6"/>
  <c r="AS49" i="6"/>
  <c r="W179" i="6"/>
  <c r="AM110" i="6"/>
  <c r="AQ110" i="6"/>
  <c r="AR110" i="6"/>
  <c r="AS110" i="6"/>
  <c r="X179" i="6"/>
  <c r="Y179" i="6"/>
  <c r="AO110" i="6"/>
  <c r="AP110" i="6"/>
  <c r="Z179" i="6"/>
  <c r="AA179" i="6"/>
  <c r="AB179" i="6"/>
  <c r="AC179" i="6"/>
  <c r="AD179" i="6"/>
  <c r="AE179" i="6"/>
  <c r="AF179" i="6"/>
  <c r="AG179" i="6"/>
  <c r="AH179" i="6"/>
  <c r="A180" i="6"/>
  <c r="D51" i="8"/>
  <c r="B180" i="6"/>
  <c r="C51" i="8"/>
  <c r="C180" i="6"/>
  <c r="G51" i="8"/>
  <c r="D180" i="6"/>
  <c r="H51" i="8"/>
  <c r="E180" i="6"/>
  <c r="F180" i="6"/>
  <c r="K51" i="8"/>
  <c r="G180" i="6"/>
  <c r="U51" i="8"/>
  <c r="H180" i="6"/>
  <c r="I180" i="6"/>
  <c r="J180" i="6"/>
  <c r="K180" i="6"/>
  <c r="L180" i="6"/>
  <c r="P180" i="6"/>
  <c r="Q180" i="6"/>
  <c r="R180" i="6"/>
  <c r="S180" i="6"/>
  <c r="T180" i="6"/>
  <c r="B111" i="6"/>
  <c r="C111" i="6"/>
  <c r="D111" i="6"/>
  <c r="E111" i="6"/>
  <c r="F111" i="6"/>
  <c r="G111" i="6"/>
  <c r="H111" i="6"/>
  <c r="I111" i="6"/>
  <c r="J111" i="6"/>
  <c r="K111" i="6"/>
  <c r="L111" i="6"/>
  <c r="M111" i="6"/>
  <c r="N111" i="6"/>
  <c r="O111" i="6"/>
  <c r="P111" i="6"/>
  <c r="Q111" i="6"/>
  <c r="R111" i="6"/>
  <c r="S111" i="6"/>
  <c r="T111" i="6"/>
  <c r="U111" i="6"/>
  <c r="V111" i="6"/>
  <c r="W111" i="6"/>
  <c r="X111" i="6"/>
  <c r="Y111" i="6"/>
  <c r="Z111" i="6"/>
  <c r="AA111" i="6"/>
  <c r="AB111" i="6"/>
  <c r="AC111" i="6"/>
  <c r="AD111" i="6"/>
  <c r="AE111" i="6"/>
  <c r="AF111" i="6"/>
  <c r="AG111" i="6"/>
  <c r="AN111" i="6"/>
  <c r="U180" i="6"/>
  <c r="V180" i="6"/>
  <c r="AQ50" i="6"/>
  <c r="AR50" i="6"/>
  <c r="AS50" i="6"/>
  <c r="W180" i="6"/>
  <c r="AM111" i="6"/>
  <c r="AQ111" i="6"/>
  <c r="AR111" i="6"/>
  <c r="AS111" i="6"/>
  <c r="X180" i="6"/>
  <c r="Y180" i="6"/>
  <c r="AO111" i="6"/>
  <c r="AP111" i="6"/>
  <c r="Z180" i="6"/>
  <c r="AA180" i="6"/>
  <c r="AB180" i="6"/>
  <c r="AC180" i="6"/>
  <c r="AD180" i="6"/>
  <c r="AE180" i="6"/>
  <c r="AF180" i="6"/>
  <c r="AG180" i="6"/>
  <c r="AH180" i="6"/>
  <c r="A181" i="6"/>
  <c r="B181" i="6"/>
  <c r="C181" i="6"/>
  <c r="D181" i="6"/>
  <c r="E181" i="6"/>
  <c r="F181" i="6"/>
  <c r="G181" i="6"/>
  <c r="H181" i="6"/>
  <c r="I181" i="6"/>
  <c r="J181" i="6"/>
  <c r="K181" i="6"/>
  <c r="L181" i="6"/>
  <c r="P181" i="6"/>
  <c r="AN51" i="6"/>
  <c r="Q181" i="6"/>
  <c r="R181" i="6"/>
  <c r="S181" i="6"/>
  <c r="T181" i="6"/>
  <c r="AN112" i="6"/>
  <c r="U181" i="6"/>
  <c r="AP51" i="6"/>
  <c r="V181" i="6"/>
  <c r="AS51" i="6"/>
  <c r="W181" i="6"/>
  <c r="AS112" i="6"/>
  <c r="X181" i="6"/>
  <c r="Y181" i="6"/>
  <c r="AP112" i="6"/>
  <c r="Z181" i="6"/>
  <c r="AA181" i="6"/>
  <c r="AB181" i="6"/>
  <c r="AC181" i="6"/>
  <c r="AD181" i="6"/>
  <c r="AE181" i="6"/>
  <c r="AF181" i="6"/>
  <c r="AG181" i="6"/>
  <c r="AH181" i="6"/>
  <c r="A9" i="6"/>
  <c r="V10" i="8"/>
  <c r="AU9" i="6"/>
  <c r="AV9" i="6"/>
  <c r="AW9" i="6"/>
  <c r="AZ9" i="6"/>
  <c r="A10" i="6"/>
  <c r="A11" i="6"/>
  <c r="A12" i="6"/>
  <c r="A13" i="6"/>
  <c r="A14" i="6"/>
  <c r="A15" i="6"/>
  <c r="A16" i="6"/>
  <c r="A17" i="6"/>
  <c r="A18" i="6"/>
  <c r="A19" i="6"/>
  <c r="A20" i="6"/>
  <c r="A21" i="6"/>
  <c r="A22" i="6"/>
  <c r="A23" i="6"/>
  <c r="BG9" i="6"/>
  <c r="V11" i="8"/>
  <c r="AU10" i="6"/>
  <c r="AV10" i="6"/>
  <c r="AW10" i="6"/>
  <c r="AZ10" i="6"/>
  <c r="A24" i="6"/>
  <c r="BG10" i="6"/>
  <c r="V12" i="8"/>
  <c r="AU11" i="6"/>
  <c r="AV11" i="6"/>
  <c r="AW11" i="6"/>
  <c r="AZ11" i="6"/>
  <c r="A25" i="6"/>
  <c r="BG11" i="6"/>
  <c r="V13" i="8"/>
  <c r="AU12" i="6"/>
  <c r="AV12" i="6"/>
  <c r="AW12" i="6"/>
  <c r="AZ12" i="6"/>
  <c r="A26" i="6"/>
  <c r="BG12" i="6"/>
  <c r="V14" i="8"/>
  <c r="AU13" i="6"/>
  <c r="AV13" i="6"/>
  <c r="AW13" i="6"/>
  <c r="AZ13" i="6"/>
  <c r="A27" i="6"/>
  <c r="BG13" i="6"/>
  <c r="V15" i="8"/>
  <c r="AU14" i="6"/>
  <c r="AV14" i="6"/>
  <c r="AW14" i="6"/>
  <c r="AZ14" i="6"/>
  <c r="A28" i="6"/>
  <c r="BG14" i="6"/>
  <c r="V16" i="8"/>
  <c r="AU15" i="6"/>
  <c r="AV15" i="6"/>
  <c r="AW15" i="6"/>
  <c r="AZ15" i="6"/>
  <c r="A29" i="6"/>
  <c r="BG15" i="6"/>
  <c r="V17" i="8"/>
  <c r="AU16" i="6"/>
  <c r="AV16" i="6"/>
  <c r="AW16" i="6"/>
  <c r="AZ16" i="6"/>
  <c r="A30" i="6"/>
  <c r="BG16" i="6"/>
  <c r="V18" i="8"/>
  <c r="AU17" i="6"/>
  <c r="AV17" i="6"/>
  <c r="AW17" i="6"/>
  <c r="AZ17" i="6"/>
  <c r="A31" i="6"/>
  <c r="BG17" i="6"/>
  <c r="V19" i="8"/>
  <c r="AU18" i="6"/>
  <c r="AV18" i="6"/>
  <c r="AW18" i="6"/>
  <c r="AZ18" i="6"/>
  <c r="A32" i="6"/>
  <c r="BG18" i="6"/>
  <c r="V20" i="8"/>
  <c r="AU19" i="6"/>
  <c r="AV19" i="6"/>
  <c r="AW19" i="6"/>
  <c r="AZ19" i="6"/>
  <c r="A33" i="6"/>
  <c r="BG19" i="6"/>
  <c r="V21" i="8"/>
  <c r="AU20" i="6"/>
  <c r="AV20" i="6"/>
  <c r="AW20" i="6"/>
  <c r="AZ20" i="6"/>
  <c r="A34" i="6"/>
  <c r="BG20" i="6"/>
  <c r="V22" i="8"/>
  <c r="AU21" i="6"/>
  <c r="AV21" i="6"/>
  <c r="AW21" i="6"/>
  <c r="AZ21" i="6"/>
  <c r="A35" i="6"/>
  <c r="BG21" i="6"/>
  <c r="V23" i="8"/>
  <c r="AU22" i="6"/>
  <c r="AV22" i="6"/>
  <c r="AW22" i="6"/>
  <c r="AZ22" i="6"/>
  <c r="A36" i="6"/>
  <c r="BG22" i="6"/>
  <c r="V24" i="8"/>
  <c r="AU23" i="6"/>
  <c r="AV23" i="6"/>
  <c r="AW23" i="6"/>
  <c r="AZ23" i="6"/>
  <c r="A37" i="6"/>
  <c r="BG23" i="6"/>
  <c r="V25" i="8"/>
  <c r="AU24" i="6"/>
  <c r="AV24" i="6"/>
  <c r="AW24" i="6"/>
  <c r="AZ24" i="6"/>
  <c r="A38" i="6"/>
  <c r="BG24" i="6"/>
  <c r="V26" i="8"/>
  <c r="AU25" i="6"/>
  <c r="AV25" i="6"/>
  <c r="AW25" i="6"/>
  <c r="AZ25" i="6"/>
  <c r="A39" i="6"/>
  <c r="BG25" i="6"/>
  <c r="V27" i="8"/>
  <c r="AU26" i="6"/>
  <c r="AV26" i="6"/>
  <c r="AW26" i="6"/>
  <c r="AZ26" i="6"/>
  <c r="A40" i="6"/>
  <c r="BG26" i="6"/>
  <c r="V28" i="8"/>
  <c r="AU27" i="6"/>
  <c r="AV27" i="6"/>
  <c r="AW27" i="6"/>
  <c r="AZ27" i="6"/>
  <c r="A41" i="6"/>
  <c r="BG27" i="6"/>
  <c r="V29" i="8"/>
  <c r="AU28" i="6"/>
  <c r="AV28" i="6"/>
  <c r="AW28" i="6"/>
  <c r="AZ28" i="6"/>
  <c r="A42" i="6"/>
  <c r="BG28" i="6"/>
  <c r="V30" i="8"/>
  <c r="AU29" i="6"/>
  <c r="AV29" i="6"/>
  <c r="AW29" i="6"/>
  <c r="AZ29" i="6"/>
  <c r="A43" i="6"/>
  <c r="BG29" i="6"/>
  <c r="V31" i="8"/>
  <c r="AU30" i="6"/>
  <c r="AV30" i="6"/>
  <c r="AW30" i="6"/>
  <c r="AZ30" i="6"/>
  <c r="A44" i="6"/>
  <c r="BG30" i="6"/>
  <c r="V32" i="8"/>
  <c r="AU31" i="6"/>
  <c r="AV31" i="6"/>
  <c r="AW31" i="6"/>
  <c r="AZ31" i="6"/>
  <c r="A45" i="6"/>
  <c r="BG31" i="6"/>
  <c r="V33" i="8"/>
  <c r="AU32" i="6"/>
  <c r="AV32" i="6"/>
  <c r="AW32" i="6"/>
  <c r="AZ32" i="6"/>
  <c r="A46" i="6"/>
  <c r="BG32" i="6"/>
  <c r="V34" i="8"/>
  <c r="AU33" i="6"/>
  <c r="AV33" i="6"/>
  <c r="AW33" i="6"/>
  <c r="AZ33" i="6"/>
  <c r="A47" i="6"/>
  <c r="BG33" i="6"/>
  <c r="V35" i="8"/>
  <c r="AU34" i="6"/>
  <c r="AV34" i="6"/>
  <c r="AW34" i="6"/>
  <c r="AZ34" i="6"/>
  <c r="A48" i="6"/>
  <c r="BG34" i="6"/>
  <c r="V36" i="8"/>
  <c r="AU35" i="6"/>
  <c r="AV35" i="6"/>
  <c r="AW35" i="6"/>
  <c r="AZ35" i="6"/>
  <c r="A49" i="6"/>
  <c r="BG35" i="6"/>
  <c r="V37" i="8"/>
  <c r="AU36" i="6"/>
  <c r="AV36" i="6"/>
  <c r="AW36" i="6"/>
  <c r="AZ36" i="6"/>
  <c r="A50" i="6"/>
  <c r="BG36" i="6"/>
  <c r="V38" i="8"/>
  <c r="AU37" i="6"/>
  <c r="AV37" i="6"/>
  <c r="AW37" i="6"/>
  <c r="AZ37" i="6"/>
  <c r="A51" i="6"/>
  <c r="BG37" i="6"/>
  <c r="V39" i="8"/>
  <c r="AU38" i="6"/>
  <c r="AV38" i="6"/>
  <c r="AW38" i="6"/>
  <c r="AZ38" i="6"/>
  <c r="BG38" i="6"/>
  <c r="V40" i="8"/>
  <c r="AU39" i="6"/>
  <c r="AV39" i="6"/>
  <c r="AW39" i="6"/>
  <c r="AZ39" i="6"/>
  <c r="BG39" i="6"/>
  <c r="V41" i="8"/>
  <c r="AU40" i="6"/>
  <c r="AV40" i="6"/>
  <c r="AW40" i="6"/>
  <c r="AZ40" i="6"/>
  <c r="BG40" i="6"/>
  <c r="V42" i="8"/>
  <c r="AU41" i="6"/>
  <c r="AV41" i="6"/>
  <c r="AW41" i="6"/>
  <c r="AZ41" i="6"/>
  <c r="BG41" i="6"/>
  <c r="V43" i="8"/>
  <c r="AU42" i="6"/>
  <c r="AV42" i="6"/>
  <c r="AW42" i="6"/>
  <c r="AZ42" i="6"/>
  <c r="A56" i="6"/>
  <c r="BG42" i="6"/>
  <c r="V44" i="8"/>
  <c r="AU43" i="6"/>
  <c r="AV43" i="6"/>
  <c r="AW43" i="6"/>
  <c r="AZ43" i="6"/>
  <c r="BG43" i="6"/>
  <c r="V45" i="8"/>
  <c r="AU44" i="6"/>
  <c r="AV44" i="6"/>
  <c r="AW44" i="6"/>
  <c r="AZ44" i="6"/>
  <c r="BG44" i="6"/>
  <c r="V46" i="8"/>
  <c r="AU45" i="6"/>
  <c r="AV45" i="6"/>
  <c r="AW45" i="6"/>
  <c r="AZ45" i="6"/>
  <c r="BG45" i="6"/>
  <c r="V47" i="8"/>
  <c r="AU46" i="6"/>
  <c r="AV46" i="6"/>
  <c r="AW46" i="6"/>
  <c r="AZ46" i="6"/>
  <c r="BG46" i="6"/>
  <c r="V48" i="8"/>
  <c r="AU47" i="6"/>
  <c r="AV47" i="6"/>
  <c r="AW47" i="6"/>
  <c r="AZ47" i="6"/>
  <c r="BG47" i="6"/>
  <c r="V49" i="8"/>
  <c r="AU48" i="6"/>
  <c r="AV48" i="6"/>
  <c r="AW48" i="6"/>
  <c r="AZ48" i="6"/>
  <c r="BG48" i="6"/>
  <c r="V50" i="8"/>
  <c r="AU49" i="6"/>
  <c r="AV49" i="6"/>
  <c r="AW49" i="6"/>
  <c r="AZ49" i="6"/>
  <c r="BG49" i="6"/>
  <c r="V51" i="8"/>
  <c r="AU50" i="6"/>
  <c r="AV50" i="6"/>
  <c r="AW50" i="6"/>
  <c r="AZ50" i="6"/>
  <c r="BG50" i="6"/>
  <c r="B51" i="6"/>
  <c r="C51" i="6"/>
  <c r="D51" i="6"/>
  <c r="E51" i="6"/>
  <c r="F51" i="6"/>
  <c r="G51" i="6"/>
  <c r="H51" i="6"/>
  <c r="I51" i="6"/>
  <c r="J51" i="6"/>
  <c r="K51" i="6"/>
  <c r="L51" i="6"/>
  <c r="M51" i="6"/>
  <c r="N51" i="6"/>
  <c r="O51" i="6"/>
  <c r="P51" i="6"/>
  <c r="Q51" i="6"/>
  <c r="R51" i="6"/>
  <c r="S51" i="6"/>
  <c r="T51" i="6"/>
  <c r="U51" i="6"/>
  <c r="V51" i="6"/>
  <c r="W51" i="6"/>
  <c r="X51" i="6"/>
  <c r="Y51" i="6"/>
  <c r="Z51" i="6"/>
  <c r="AA51" i="6"/>
  <c r="AB51" i="6"/>
  <c r="AC51" i="6"/>
  <c r="AD51" i="6"/>
  <c r="AE51" i="6"/>
  <c r="AF51" i="6"/>
  <c r="AG51" i="6"/>
  <c r="AH51" i="6"/>
  <c r="AI51" i="6"/>
  <c r="AJ51" i="6"/>
  <c r="AK51" i="6"/>
  <c r="AL51" i="6"/>
  <c r="AM51" i="6"/>
  <c r="AO51" i="6"/>
  <c r="AQ51" i="6"/>
  <c r="AR51" i="6"/>
  <c r="AU51" i="6"/>
  <c r="AV51" i="6"/>
  <c r="AW51" i="6"/>
  <c r="AZ51" i="6"/>
  <c r="BG51" i="6"/>
  <c r="D40" i="2"/>
  <c r="B114" i="6"/>
  <c r="F3" i="2"/>
  <c r="C114" i="6"/>
  <c r="F4" i="2"/>
  <c r="D114" i="6"/>
  <c r="F5" i="2"/>
  <c r="E114" i="6"/>
  <c r="F6" i="2"/>
  <c r="F114" i="6"/>
  <c r="F7" i="2"/>
  <c r="G114" i="6"/>
  <c r="F8" i="2"/>
  <c r="H114" i="6"/>
  <c r="F9" i="2"/>
  <c r="I114" i="6"/>
  <c r="F10" i="2"/>
  <c r="J114" i="6"/>
  <c r="F11" i="2"/>
  <c r="K114" i="6"/>
  <c r="F12" i="2"/>
  <c r="L114" i="6"/>
  <c r="F13" i="2"/>
  <c r="M114" i="6"/>
  <c r="F14" i="2"/>
  <c r="N114" i="6"/>
  <c r="F15" i="2"/>
  <c r="O114" i="6"/>
  <c r="F16" i="2"/>
  <c r="P114" i="6"/>
  <c r="F17" i="2"/>
  <c r="Q114" i="6"/>
  <c r="F18" i="2"/>
  <c r="R114" i="6"/>
  <c r="F19" i="2"/>
  <c r="S114" i="6"/>
  <c r="F20" i="2"/>
  <c r="T114" i="6"/>
  <c r="F21" i="2"/>
  <c r="U114" i="6"/>
  <c r="F22" i="2"/>
  <c r="V114" i="6"/>
  <c r="F23" i="2"/>
  <c r="W114" i="6"/>
  <c r="F24" i="2"/>
  <c r="X114" i="6"/>
  <c r="F25" i="2"/>
  <c r="Y114" i="6"/>
  <c r="F26" i="2"/>
  <c r="Z114" i="6"/>
  <c r="F27" i="2"/>
  <c r="AA114" i="6"/>
  <c r="F28" i="2"/>
  <c r="AB114" i="6"/>
  <c r="F29" i="2"/>
  <c r="AC114" i="6"/>
  <c r="F30" i="2"/>
  <c r="AD114" i="6"/>
  <c r="F31" i="2"/>
  <c r="AE114" i="6"/>
  <c r="F32" i="2"/>
  <c r="AF114" i="6"/>
  <c r="F33" i="2"/>
  <c r="AG114" i="6"/>
  <c r="F34" i="2"/>
  <c r="AH114" i="6"/>
  <c r="F35" i="2"/>
  <c r="AI114" i="6"/>
  <c r="F36" i="2"/>
  <c r="AJ114" i="6"/>
  <c r="F37" i="2"/>
  <c r="AK114" i="6"/>
  <c r="F38" i="2"/>
  <c r="AL114" i="6"/>
  <c r="F39" i="2"/>
  <c r="F40" i="2"/>
  <c r="G40" i="2"/>
  <c r="B90" i="7"/>
  <c r="O3" i="2"/>
  <c r="C90" i="7"/>
  <c r="O4" i="2"/>
  <c r="D90" i="7"/>
  <c r="O5" i="2"/>
  <c r="E90" i="7"/>
  <c r="O6" i="2"/>
  <c r="F90" i="7"/>
  <c r="O7" i="2"/>
  <c r="G90" i="7"/>
  <c r="O8" i="2"/>
  <c r="H90" i="7"/>
  <c r="O9" i="2"/>
  <c r="I90" i="7"/>
  <c r="O10" i="2"/>
  <c r="J90" i="7"/>
  <c r="O11" i="2"/>
  <c r="K90" i="7"/>
  <c r="O12" i="2"/>
  <c r="L90" i="7"/>
  <c r="O13" i="2"/>
  <c r="M90" i="7"/>
  <c r="O14" i="2"/>
  <c r="N90" i="7"/>
  <c r="O15" i="2"/>
  <c r="O90" i="7"/>
  <c r="O16" i="2"/>
  <c r="P90" i="7"/>
  <c r="O17" i="2"/>
  <c r="Q90" i="7"/>
  <c r="O18" i="2"/>
  <c r="R90" i="7"/>
  <c r="O19" i="2"/>
  <c r="S90" i="7"/>
  <c r="O20" i="2"/>
  <c r="T90" i="7"/>
  <c r="O21" i="2"/>
  <c r="U90" i="7"/>
  <c r="O22" i="2"/>
  <c r="V90" i="7"/>
  <c r="O23" i="2"/>
  <c r="W90" i="7"/>
  <c r="O24" i="2"/>
  <c r="X90" i="7"/>
  <c r="O25" i="2"/>
  <c r="Y90" i="7"/>
  <c r="O26" i="2"/>
  <c r="Z90" i="7"/>
  <c r="O27" i="2"/>
  <c r="AA90" i="7"/>
  <c r="O28" i="2"/>
  <c r="AB90" i="7"/>
  <c r="O29" i="2"/>
  <c r="AC90" i="7"/>
  <c r="O30" i="2"/>
  <c r="AD90" i="7"/>
  <c r="O31" i="2"/>
  <c r="AE90" i="7"/>
  <c r="O32" i="2"/>
  <c r="AF90" i="7"/>
  <c r="O33" i="2"/>
  <c r="AG90" i="7"/>
  <c r="O34" i="2"/>
  <c r="AH90" i="7"/>
  <c r="O35" i="2"/>
  <c r="AI90" i="7"/>
  <c r="O36" i="2"/>
  <c r="AJ90" i="7"/>
  <c r="O37" i="2"/>
  <c r="AK90" i="7"/>
  <c r="O38" i="2"/>
  <c r="AL90" i="7"/>
  <c r="O39" i="2"/>
  <c r="AM90" i="7"/>
  <c r="O40" i="2"/>
  <c r="AN90" i="7"/>
  <c r="O41" i="2"/>
  <c r="AO90" i="7"/>
  <c r="O42" i="2"/>
  <c r="AP90" i="7"/>
  <c r="O43" i="2"/>
  <c r="AQ90" i="7"/>
  <c r="O44" i="2"/>
  <c r="AR90" i="7"/>
  <c r="O45" i="2"/>
  <c r="AS90" i="7"/>
  <c r="O46" i="2"/>
  <c r="AT90" i="7"/>
  <c r="O47" i="2"/>
  <c r="AU90" i="7"/>
  <c r="O48" i="2"/>
  <c r="AV90" i="7"/>
  <c r="O49" i="2"/>
  <c r="AW90" i="7"/>
  <c r="O50" i="2"/>
  <c r="AX90" i="7"/>
  <c r="O51" i="2"/>
  <c r="AY90" i="7"/>
  <c r="O52" i="2"/>
  <c r="O53" i="2"/>
  <c r="P53" i="2"/>
  <c r="M53" i="2"/>
  <c r="U80" i="2"/>
  <c r="V80" i="2"/>
  <c r="A137" i="11"/>
  <c r="V138" i="10"/>
  <c r="CI137" i="11"/>
  <c r="CJ137" i="11"/>
  <c r="CK137" i="11"/>
  <c r="CN137" i="11"/>
  <c r="A138" i="11"/>
  <c r="A139" i="11"/>
  <c r="A140" i="11"/>
  <c r="A141" i="11"/>
  <c r="A142" i="11"/>
  <c r="A143" i="11"/>
  <c r="A144" i="11"/>
  <c r="A145" i="11"/>
  <c r="A146" i="11"/>
  <c r="CU137" i="11"/>
  <c r="V139" i="10"/>
  <c r="CI138" i="11"/>
  <c r="CJ138" i="11"/>
  <c r="CK138" i="11"/>
  <c r="CN138" i="11"/>
  <c r="A147" i="11"/>
  <c r="CU138" i="11"/>
  <c r="V140" i="10"/>
  <c r="CI139" i="11"/>
  <c r="CJ139" i="11"/>
  <c r="CK139" i="11"/>
  <c r="CN139" i="11"/>
  <c r="A148" i="11"/>
  <c r="CU139" i="11"/>
  <c r="V141" i="10"/>
  <c r="CI140" i="11"/>
  <c r="CJ140" i="11"/>
  <c r="CK140" i="11"/>
  <c r="CN140" i="11"/>
  <c r="A149" i="11"/>
  <c r="CU140" i="11"/>
  <c r="V142" i="10"/>
  <c r="CI141" i="11"/>
  <c r="CJ141" i="11"/>
  <c r="CK141" i="11"/>
  <c r="CN141" i="11"/>
  <c r="A150" i="11"/>
  <c r="CU141" i="11"/>
  <c r="V143" i="10"/>
  <c r="CI142" i="11"/>
  <c r="CJ142" i="11"/>
  <c r="CK142" i="11"/>
  <c r="CN142" i="11"/>
  <c r="A151" i="11"/>
  <c r="CU142" i="11"/>
  <c r="V144" i="10"/>
  <c r="CI143" i="11"/>
  <c r="CJ143" i="11"/>
  <c r="CK143" i="11"/>
  <c r="CN143" i="11"/>
  <c r="A152" i="11"/>
  <c r="CU143" i="11"/>
  <c r="V145" i="10"/>
  <c r="CI144" i="11"/>
  <c r="CJ144" i="11"/>
  <c r="CK144" i="11"/>
  <c r="CN144" i="11"/>
  <c r="CU144" i="11"/>
  <c r="V146" i="10"/>
  <c r="CI145" i="11"/>
  <c r="CJ145" i="11"/>
  <c r="CK145" i="11"/>
  <c r="CN145" i="11"/>
  <c r="CU145" i="11"/>
  <c r="V147" i="10"/>
  <c r="CI146" i="11"/>
  <c r="CJ146" i="11"/>
  <c r="CK146" i="11"/>
  <c r="CN146" i="11"/>
  <c r="CU146"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J338" i="11"/>
  <c r="L338"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CB4" i="11"/>
  <c r="B2" i="1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AH2" i="11"/>
  <c r="AI2" i="11"/>
  <c r="AJ2" i="11"/>
  <c r="AK2" i="11"/>
  <c r="AL2" i="11"/>
  <c r="AM2" i="11"/>
  <c r="AN2" i="11"/>
  <c r="AO2" i="11"/>
  <c r="AP2" i="11"/>
  <c r="AQ2" i="11"/>
  <c r="AR2" i="11"/>
  <c r="AS2" i="11"/>
  <c r="AT2" i="11"/>
  <c r="AU2" i="11"/>
  <c r="AV2" i="11"/>
  <c r="AW2" i="11"/>
  <c r="AX2" i="11"/>
  <c r="AY2" i="11"/>
  <c r="AZ2" i="11"/>
  <c r="BA2" i="11"/>
  <c r="BB2" i="11"/>
  <c r="BC2" i="11"/>
  <c r="BD2" i="11"/>
  <c r="BE2" i="11"/>
  <c r="BF2" i="11"/>
  <c r="BG2" i="11"/>
  <c r="BH2" i="11"/>
  <c r="BI2" i="11"/>
  <c r="BJ2" i="11"/>
  <c r="BK2" i="11"/>
  <c r="BL2" i="11"/>
  <c r="BM2" i="11"/>
  <c r="BN2" i="11"/>
  <c r="BO2" i="11"/>
  <c r="BP2" i="11"/>
  <c r="BQ2" i="11"/>
  <c r="BR2" i="11"/>
  <c r="BS2" i="11"/>
  <c r="BT2" i="11"/>
  <c r="BU2" i="11"/>
  <c r="BV2" i="11"/>
  <c r="BW2" i="11"/>
  <c r="BX2" i="11"/>
  <c r="BY2" i="11"/>
  <c r="BZ2"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CD4" i="11"/>
  <c r="CE2" i="11"/>
  <c r="CE166" i="11"/>
  <c r="AA336" i="11"/>
  <c r="AB336" i="11"/>
  <c r="AC336" i="11"/>
  <c r="AD336" i="11"/>
  <c r="AF336" i="11"/>
  <c r="AG336" i="11"/>
  <c r="AH336" i="11"/>
  <c r="A311" i="11"/>
  <c r="A312" i="11"/>
  <c r="CB153" i="11"/>
  <c r="A313" i="11"/>
  <c r="A314" i="11"/>
  <c r="CN296" i="11"/>
  <c r="CO296" i="11"/>
  <c r="CP296" i="11"/>
  <c r="CQ296" i="11"/>
  <c r="CR296" i="11"/>
  <c r="CU296" i="11"/>
  <c r="CV296" i="11"/>
  <c r="CW296" i="11"/>
  <c r="CX296" i="11"/>
  <c r="CY296" i="11"/>
  <c r="CN297" i="11"/>
  <c r="CO297" i="11"/>
  <c r="CP297" i="11"/>
  <c r="CQ297" i="11"/>
  <c r="CR297" i="11"/>
  <c r="CU297" i="11"/>
  <c r="CV297" i="11"/>
  <c r="CW297" i="11"/>
  <c r="CX297" i="11"/>
  <c r="CY297" i="11"/>
  <c r="CN298" i="11"/>
  <c r="CO298" i="11"/>
  <c r="CP298" i="11"/>
  <c r="CQ298" i="11"/>
  <c r="CU298" i="11"/>
  <c r="CV298" i="11"/>
  <c r="CW298" i="11"/>
  <c r="CX298" i="11"/>
  <c r="CN299" i="11"/>
  <c r="CO299" i="11"/>
  <c r="CP299" i="11"/>
  <c r="CQ299" i="11"/>
  <c r="CU299" i="11"/>
  <c r="CV299" i="11"/>
  <c r="CW299" i="11"/>
  <c r="CX299" i="11"/>
  <c r="CN300" i="11"/>
  <c r="CO300" i="11"/>
  <c r="CP300" i="11"/>
  <c r="CQ300" i="11"/>
  <c r="CU300" i="11"/>
  <c r="CV300" i="11"/>
  <c r="CW300" i="11"/>
  <c r="CX300" i="11"/>
  <c r="CN301" i="11"/>
  <c r="CO301" i="11"/>
  <c r="CP301" i="11"/>
  <c r="CQ301" i="11"/>
  <c r="CU301" i="11"/>
  <c r="CV301" i="11"/>
  <c r="CW301" i="11"/>
  <c r="CX301" i="11"/>
  <c r="CN302" i="11"/>
  <c r="CO302" i="11"/>
  <c r="CP302" i="11"/>
  <c r="CQ302" i="11"/>
  <c r="CU302" i="11"/>
  <c r="CV302" i="11"/>
  <c r="CW302" i="11"/>
  <c r="CX302" i="11"/>
  <c r="CN303" i="11"/>
  <c r="CO303" i="11"/>
  <c r="CP303" i="11"/>
  <c r="CQ303" i="11"/>
  <c r="CU303" i="11"/>
  <c r="CV303" i="11"/>
  <c r="CW303" i="11"/>
  <c r="CX303" i="11"/>
  <c r="CN304" i="11"/>
  <c r="CO304" i="11"/>
  <c r="CP304" i="11"/>
  <c r="CQ304" i="11"/>
  <c r="CU304" i="11"/>
  <c r="CV304" i="11"/>
  <c r="CW304" i="11"/>
  <c r="CX304" i="11"/>
  <c r="CN305" i="11"/>
  <c r="CO305" i="11"/>
  <c r="CP305" i="11"/>
  <c r="CU305" i="11"/>
  <c r="CV305" i="11"/>
  <c r="CW305" i="11"/>
  <c r="CN306" i="11"/>
  <c r="CO306" i="11"/>
  <c r="CP306" i="11"/>
  <c r="CU306" i="11"/>
  <c r="CV306" i="11"/>
  <c r="CW306" i="11"/>
  <c r="CN307" i="11"/>
  <c r="CO307" i="11"/>
  <c r="CP307" i="11"/>
  <c r="CU307" i="11"/>
  <c r="CV307" i="11"/>
  <c r="CW307" i="11"/>
  <c r="CN308" i="11"/>
  <c r="CO308" i="11"/>
  <c r="CP308" i="11"/>
  <c r="CU308" i="11"/>
  <c r="CV308" i="11"/>
  <c r="CW308" i="11"/>
  <c r="CN309" i="11"/>
  <c r="CO309" i="11"/>
  <c r="CP309" i="11"/>
  <c r="CU309" i="11"/>
  <c r="CV309" i="11"/>
  <c r="CW309" i="11"/>
  <c r="CN310" i="11"/>
  <c r="CO310" i="11"/>
  <c r="CU310" i="11"/>
  <c r="CV310" i="11"/>
  <c r="CN311" i="11"/>
  <c r="CO311" i="11"/>
  <c r="CU311" i="11"/>
  <c r="CV311" i="11"/>
  <c r="CN312" i="11"/>
  <c r="CU312" i="11"/>
  <c r="CN313" i="11"/>
  <c r="CU313" i="11"/>
  <c r="B314" i="11"/>
  <c r="C314" i="11"/>
  <c r="D314" i="11"/>
  <c r="E314" i="11"/>
  <c r="F314" i="11"/>
  <c r="G314" i="11"/>
  <c r="H314" i="11"/>
  <c r="I314" i="11"/>
  <c r="J314" i="11"/>
  <c r="K314" i="11"/>
  <c r="L314" i="11"/>
  <c r="M314" i="11"/>
  <c r="N314" i="11"/>
  <c r="O314" i="11"/>
  <c r="P314" i="11"/>
  <c r="Q314" i="11"/>
  <c r="R314" i="11"/>
  <c r="S314" i="11"/>
  <c r="T314" i="11"/>
  <c r="U314" i="11"/>
  <c r="V314" i="11"/>
  <c r="W314" i="11"/>
  <c r="X314" i="11"/>
  <c r="Y314" i="11"/>
  <c r="Z314" i="11"/>
  <c r="AA314" i="11"/>
  <c r="AB314" i="11"/>
  <c r="AC314" i="11"/>
  <c r="AD314" i="11"/>
  <c r="AE314" i="11"/>
  <c r="AF314" i="11"/>
  <c r="AG314" i="11"/>
  <c r="AH314" i="11"/>
  <c r="AI314" i="11"/>
  <c r="AJ314" i="11"/>
  <c r="AK314" i="11"/>
  <c r="AL314" i="11"/>
  <c r="AM314" i="11"/>
  <c r="AN314" i="11"/>
  <c r="AO314" i="11"/>
  <c r="AP314" i="11"/>
  <c r="AQ314" i="11"/>
  <c r="AR314" i="11"/>
  <c r="AS314" i="11"/>
  <c r="AT314" i="11"/>
  <c r="AU314" i="11"/>
  <c r="AV314" i="11"/>
  <c r="AW314" i="11"/>
  <c r="AX314" i="11"/>
  <c r="AY314" i="11"/>
  <c r="AZ314" i="11"/>
  <c r="BA314" i="11"/>
  <c r="BB314" i="11"/>
  <c r="BC314" i="11"/>
  <c r="BD314" i="11"/>
  <c r="BE314" i="11"/>
  <c r="BF314" i="11"/>
  <c r="BG314" i="11"/>
  <c r="BH314" i="11"/>
  <c r="BI314" i="11"/>
  <c r="BJ314" i="11"/>
  <c r="BK314" i="11"/>
  <c r="BL314" i="11"/>
  <c r="BM314" i="11"/>
  <c r="BN314" i="11"/>
  <c r="BO314" i="11"/>
  <c r="BP314" i="11"/>
  <c r="BQ314" i="11"/>
  <c r="BR314" i="11"/>
  <c r="BS314" i="11"/>
  <c r="BT314" i="11"/>
  <c r="BU314" i="11"/>
  <c r="BV314" i="11"/>
  <c r="BW314" i="11"/>
  <c r="BX314" i="11"/>
  <c r="BY314" i="11"/>
  <c r="BZ314" i="11"/>
  <c r="CA314" i="11"/>
  <c r="CC314" i="11"/>
  <c r="CE314" i="11"/>
  <c r="CF314" i="11"/>
  <c r="CN134" i="11"/>
  <c r="CU134" i="11"/>
  <c r="CN135" i="11"/>
  <c r="CU135" i="11"/>
  <c r="CN136" i="11"/>
  <c r="CU136" i="11"/>
  <c r="CN147" i="11"/>
  <c r="CU147" i="11"/>
  <c r="CN148" i="11"/>
  <c r="CU148" i="11"/>
  <c r="CN149" i="11"/>
  <c r="CU149" i="11"/>
  <c r="CN150" i="11"/>
  <c r="CU150" i="11"/>
  <c r="CN151" i="11"/>
  <c r="CU151" i="11"/>
  <c r="V148" i="10"/>
  <c r="CI147" i="11"/>
  <c r="CJ147" i="11"/>
  <c r="CK147" i="11"/>
  <c r="V149" i="10"/>
  <c r="CI148" i="11"/>
  <c r="CJ148" i="11"/>
  <c r="CK148" i="11"/>
  <c r="V150" i="10"/>
  <c r="CI149" i="11"/>
  <c r="CJ149" i="11"/>
  <c r="CK149" i="11"/>
  <c r="CD153" i="11"/>
  <c r="V151" i="10"/>
  <c r="CI150" i="11"/>
  <c r="CJ150" i="11"/>
  <c r="CK150" i="11"/>
  <c r="V152" i="10"/>
  <c r="CI151" i="11"/>
  <c r="CJ151" i="11"/>
  <c r="CK151" i="11"/>
  <c r="B152"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O152" i="11"/>
  <c r="AP152" i="11"/>
  <c r="AQ152" i="11"/>
  <c r="AR152" i="11"/>
  <c r="AS152" i="11"/>
  <c r="AT152" i="11"/>
  <c r="AU152" i="11"/>
  <c r="AV152" i="11"/>
  <c r="AW152" i="11"/>
  <c r="AX152" i="11"/>
  <c r="AY152" i="11"/>
  <c r="AZ152" i="11"/>
  <c r="BA152" i="11"/>
  <c r="BB152" i="11"/>
  <c r="BC152" i="11"/>
  <c r="BD152" i="11"/>
  <c r="BE152" i="11"/>
  <c r="BF152" i="11"/>
  <c r="BG152" i="11"/>
  <c r="BH152" i="11"/>
  <c r="BI152" i="11"/>
  <c r="BJ152" i="11"/>
  <c r="BK152" i="11"/>
  <c r="BL152" i="11"/>
  <c r="BM152" i="11"/>
  <c r="BN152" i="11"/>
  <c r="BO152" i="11"/>
  <c r="BP152" i="11"/>
  <c r="BQ152" i="11"/>
  <c r="BR152" i="11"/>
  <c r="BS152" i="11"/>
  <c r="BT152" i="11"/>
  <c r="BU152" i="11"/>
  <c r="BV152" i="11"/>
  <c r="BW152" i="11"/>
  <c r="BX152" i="11"/>
  <c r="BY152" i="11"/>
  <c r="BZ152" i="11"/>
  <c r="CA152" i="11"/>
  <c r="CC152" i="11"/>
  <c r="CE152" i="11"/>
  <c r="CF152" i="11"/>
  <c r="CI152" i="11"/>
  <c r="CJ152" i="11"/>
  <c r="CK152" i="11"/>
  <c r="BN71" i="7"/>
  <c r="BO71" i="7"/>
  <c r="BP71" i="7"/>
  <c r="BQ71" i="7"/>
  <c r="BR71" i="7"/>
  <c r="BU71" i="7"/>
  <c r="BV71" i="7"/>
  <c r="BW71" i="7"/>
  <c r="BX71" i="7"/>
  <c r="BY71" i="7"/>
  <c r="BN72" i="7"/>
  <c r="BO72" i="7"/>
  <c r="BP72" i="7"/>
  <c r="BQ72" i="7"/>
  <c r="BU72" i="7"/>
  <c r="BV72" i="7"/>
  <c r="BW72" i="7"/>
  <c r="BX72" i="7"/>
  <c r="BN73" i="7"/>
  <c r="BO73" i="7"/>
  <c r="BP73" i="7"/>
  <c r="BQ73" i="7"/>
  <c r="BU73" i="7"/>
  <c r="BV73" i="7"/>
  <c r="BW73" i="7"/>
  <c r="BX73" i="7"/>
  <c r="BN74" i="7"/>
  <c r="BO74" i="7"/>
  <c r="BP74" i="7"/>
  <c r="BQ74" i="7"/>
  <c r="BU74" i="7"/>
  <c r="BV74" i="7"/>
  <c r="BW74" i="7"/>
  <c r="BX74" i="7"/>
  <c r="BN75" i="7"/>
  <c r="BO75" i="7"/>
  <c r="BP75" i="7"/>
  <c r="BQ75" i="7"/>
  <c r="BU75" i="7"/>
  <c r="BV75" i="7"/>
  <c r="BW75" i="7"/>
  <c r="BX75" i="7"/>
  <c r="BN76" i="7"/>
  <c r="BO76" i="7"/>
  <c r="BP76" i="7"/>
  <c r="BQ76" i="7"/>
  <c r="BU76" i="7"/>
  <c r="BV76" i="7"/>
  <c r="BW76" i="7"/>
  <c r="BX76" i="7"/>
  <c r="BN77" i="7"/>
  <c r="BO77" i="7"/>
  <c r="BP77" i="7"/>
  <c r="BQ77" i="7"/>
  <c r="BU77" i="7"/>
  <c r="BV77" i="7"/>
  <c r="BW77" i="7"/>
  <c r="BX77" i="7"/>
  <c r="BN78" i="7"/>
  <c r="BO78" i="7"/>
  <c r="BP78" i="7"/>
  <c r="BQ78" i="7"/>
  <c r="BU78" i="7"/>
  <c r="BV78" i="7"/>
  <c r="BW78" i="7"/>
  <c r="BX78" i="7"/>
  <c r="BN79" i="7"/>
  <c r="BO79" i="7"/>
  <c r="BP79" i="7"/>
  <c r="BU79" i="7"/>
  <c r="BV79" i="7"/>
  <c r="BW79" i="7"/>
  <c r="BN80" i="7"/>
  <c r="BO80" i="7"/>
  <c r="BP80" i="7"/>
  <c r="BU80" i="7"/>
  <c r="BV80" i="7"/>
  <c r="BW80" i="7"/>
  <c r="BN81" i="7"/>
  <c r="BO81" i="7"/>
  <c r="BP81" i="7"/>
  <c r="BU81" i="7"/>
  <c r="BV81" i="7"/>
  <c r="BW81" i="7"/>
  <c r="BN82" i="7"/>
  <c r="BO82" i="7"/>
  <c r="BP82" i="7"/>
  <c r="BU82" i="7"/>
  <c r="BV82" i="7"/>
  <c r="BW82" i="7"/>
  <c r="BN83" i="7"/>
  <c r="BO83" i="7"/>
  <c r="BP83" i="7"/>
  <c r="BU83" i="7"/>
  <c r="BV83" i="7"/>
  <c r="BW83" i="7"/>
  <c r="BN84" i="7"/>
  <c r="BO84" i="7"/>
  <c r="BU84" i="7"/>
  <c r="BV84" i="7"/>
  <c r="BN85" i="7"/>
  <c r="BO85" i="7"/>
  <c r="BU85" i="7"/>
  <c r="BV85" i="7"/>
  <c r="BN86" i="7"/>
  <c r="BU86" i="7"/>
  <c r="BN87" i="7"/>
  <c r="BU87" i="7"/>
  <c r="BU88" i="7"/>
  <c r="A58" i="7"/>
  <c r="A59" i="7"/>
  <c r="A60" i="7"/>
  <c r="A61" i="7"/>
  <c r="A62" i="7"/>
  <c r="A63" i="7"/>
  <c r="A64" i="7"/>
  <c r="A65" i="7"/>
  <c r="A66" i="7"/>
  <c r="A67" i="7"/>
  <c r="A68" i="7"/>
  <c r="A69" i="7"/>
  <c r="A70" i="7"/>
  <c r="A71" i="7"/>
  <c r="A72" i="7"/>
  <c r="A73" i="7"/>
  <c r="A74" i="7"/>
  <c r="A75" i="7"/>
  <c r="A76" i="7"/>
  <c r="A77" i="7"/>
  <c r="A78" i="7"/>
  <c r="A79" i="7"/>
  <c r="A80" i="7"/>
  <c r="A81" i="7"/>
  <c r="A82" i="7"/>
  <c r="A83" i="7"/>
  <c r="A84" i="7"/>
  <c r="AS84" i="7"/>
  <c r="AT84" i="7"/>
  <c r="AU84" i="7"/>
  <c r="AV84" i="7"/>
  <c r="AW84" i="7"/>
  <c r="AX84" i="7"/>
  <c r="AY84" i="7"/>
  <c r="BC4" i="7"/>
  <c r="A85" i="7"/>
  <c r="A86" i="7"/>
  <c r="A87" i="7"/>
  <c r="A88" i="7"/>
  <c r="AS85" i="7"/>
  <c r="AT85" i="7"/>
  <c r="AU85" i="7"/>
  <c r="AV85" i="7"/>
  <c r="AW85" i="7"/>
  <c r="AX85" i="7"/>
  <c r="AY85" i="7"/>
  <c r="AS86" i="7"/>
  <c r="AT86" i="7"/>
  <c r="AU86" i="7"/>
  <c r="AV86" i="7"/>
  <c r="AW86" i="7"/>
  <c r="AX86" i="7"/>
  <c r="AY86" i="7"/>
  <c r="AS87" i="7"/>
  <c r="AT87" i="7"/>
  <c r="AU87" i="7"/>
  <c r="AV87" i="7"/>
  <c r="AW87" i="7"/>
  <c r="AX87" i="7"/>
  <c r="AY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B88" i="7"/>
  <c r="BD88" i="7"/>
  <c r="BE88" i="7"/>
  <c r="A8" i="7"/>
  <c r="A9" i="7"/>
  <c r="A10" i="7"/>
  <c r="A11" i="7"/>
  <c r="A12" i="7"/>
  <c r="A13" i="7"/>
  <c r="A14" i="7"/>
  <c r="A15" i="7"/>
  <c r="A16" i="7"/>
  <c r="A17" i="7"/>
  <c r="A18" i="7"/>
  <c r="A19" i="7"/>
  <c r="A20" i="7"/>
  <c r="A21" i="7"/>
  <c r="BU21" i="7"/>
  <c r="A22" i="7"/>
  <c r="A23" i="7"/>
  <c r="A24" i="7"/>
  <c r="A25" i="7"/>
  <c r="A26" i="7"/>
  <c r="A27" i="7"/>
  <c r="A28" i="7"/>
  <c r="A29" i="7"/>
  <c r="A30" i="7"/>
  <c r="A31" i="7"/>
  <c r="A32" i="7"/>
  <c r="A33" i="7"/>
  <c r="A34" i="7"/>
  <c r="A35" i="7"/>
  <c r="A36" i="7"/>
  <c r="A37" i="7"/>
  <c r="BU22" i="7"/>
  <c r="BU23" i="7"/>
  <c r="BU24" i="7"/>
  <c r="BU25" i="7"/>
  <c r="BU26" i="7"/>
  <c r="BU27" i="7"/>
  <c r="BU28" i="7"/>
  <c r="BU29" i="7"/>
  <c r="BU30" i="7"/>
  <c r="BU31" i="7"/>
  <c r="BU32" i="7"/>
  <c r="BU33" i="7"/>
  <c r="BU34" i="7"/>
  <c r="BU35" i="7"/>
  <c r="BU36" i="7"/>
  <c r="BU37" i="7"/>
  <c r="A38" i="7"/>
  <c r="BU38" i="7"/>
  <c r="BA4" i="7"/>
  <c r="BN19" i="7"/>
  <c r="BN20" i="7"/>
  <c r="BN21" i="7"/>
  <c r="BN22" i="7"/>
  <c r="BN23" i="7"/>
  <c r="BN24" i="7"/>
  <c r="BN25" i="7"/>
  <c r="BN26" i="7"/>
  <c r="BN27" i="7"/>
  <c r="BN28" i="7"/>
  <c r="BN29" i="7"/>
  <c r="BN30" i="7"/>
  <c r="BN31" i="7"/>
  <c r="BN32" i="7"/>
  <c r="BN33" i="7"/>
  <c r="BN34" i="7"/>
  <c r="BN35" i="7"/>
  <c r="BN36" i="7"/>
  <c r="BN37" i="7"/>
  <c r="BN38" i="7"/>
  <c r="BD2" i="7"/>
  <c r="V35" i="9"/>
  <c r="BI34" i="7"/>
  <c r="BJ34" i="7"/>
  <c r="BK34" i="7"/>
  <c r="V36" i="9"/>
  <c r="BI35" i="7"/>
  <c r="BJ35" i="7"/>
  <c r="BK35" i="7"/>
  <c r="V37" i="9"/>
  <c r="BI36" i="7"/>
  <c r="BJ36" i="7"/>
  <c r="BK36" i="7"/>
  <c r="V38" i="9"/>
  <c r="BI37" i="7"/>
  <c r="BJ37" i="7"/>
  <c r="BK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B38" i="7"/>
  <c r="BD38" i="7"/>
  <c r="BE38" i="7"/>
  <c r="BI38" i="7"/>
  <c r="BJ38" i="7"/>
  <c r="BK38" i="7"/>
  <c r="A8" i="6"/>
  <c r="C3" i="6"/>
  <c r="D3" i="6"/>
  <c r="E3" i="6"/>
  <c r="F3" i="6"/>
  <c r="G3" i="6"/>
  <c r="H3" i="6"/>
  <c r="I3" i="6"/>
  <c r="J3" i="6"/>
  <c r="K3" i="6"/>
  <c r="L3" i="6"/>
  <c r="M3" i="6"/>
  <c r="N3" i="6"/>
  <c r="O3" i="6"/>
  <c r="P3" i="6"/>
  <c r="Q3" i="6"/>
  <c r="R3" i="6"/>
  <c r="S3" i="6"/>
  <c r="T3" i="6"/>
  <c r="U3" i="6"/>
  <c r="V3" i="6"/>
  <c r="W3" i="6"/>
  <c r="X3" i="6"/>
  <c r="Y3" i="6"/>
  <c r="Z3" i="6"/>
  <c r="AA3" i="6"/>
  <c r="AB2" i="6"/>
  <c r="AB3" i="6"/>
  <c r="AC2" i="6"/>
  <c r="AC3" i="6"/>
  <c r="AD2" i="6"/>
  <c r="AD3" i="6"/>
  <c r="AE2" i="6"/>
  <c r="AE3" i="6"/>
  <c r="AF2" i="6"/>
  <c r="AF3" i="6"/>
  <c r="AG2" i="6"/>
  <c r="AG3" i="6"/>
  <c r="AH2" i="6"/>
  <c r="AH3" i="6"/>
  <c r="AI2" i="6"/>
  <c r="AI3" i="6"/>
  <c r="AJ2" i="6"/>
  <c r="AJ3" i="6"/>
  <c r="AK2" i="6"/>
  <c r="AK3" i="6"/>
  <c r="AL2" i="6"/>
  <c r="AL3" i="6"/>
  <c r="AN4" i="6"/>
  <c r="AP4" i="6"/>
  <c r="AQ2"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N67" i="6"/>
  <c r="T67" i="6"/>
  <c r="AH109" i="6"/>
  <c r="AI109" i="6"/>
  <c r="AJ109" i="6"/>
  <c r="AK109" i="6"/>
  <c r="AL109" i="6"/>
  <c r="C67" i="6"/>
  <c r="D67" i="6"/>
  <c r="E67" i="6"/>
  <c r="F67" i="6"/>
  <c r="G67" i="6"/>
  <c r="H67" i="6"/>
  <c r="I67" i="6"/>
  <c r="J67" i="6"/>
  <c r="K67" i="6"/>
  <c r="L67" i="6"/>
  <c r="M67" i="6"/>
  <c r="O67" i="6"/>
  <c r="P67" i="6"/>
  <c r="Q67" i="6"/>
  <c r="R67" i="6"/>
  <c r="S67" i="6"/>
  <c r="U67" i="6"/>
  <c r="V67" i="6"/>
  <c r="W67" i="6"/>
  <c r="X67" i="6"/>
  <c r="Y67" i="6"/>
  <c r="Z67" i="6"/>
  <c r="AA67" i="6"/>
  <c r="AB67" i="6"/>
  <c r="AC67" i="6"/>
  <c r="AD67" i="6"/>
  <c r="AE67" i="6"/>
  <c r="AF67" i="6"/>
  <c r="AG67" i="6"/>
  <c r="AQ65" i="6"/>
  <c r="AZ109" i="6"/>
  <c r="A110" i="6"/>
  <c r="A111" i="6"/>
  <c r="A112" i="6"/>
  <c r="BG109" i="6"/>
  <c r="AH110" i="6"/>
  <c r="AI110" i="6"/>
  <c r="AJ110" i="6"/>
  <c r="AK110" i="6"/>
  <c r="AL110" i="6"/>
  <c r="AZ110" i="6"/>
  <c r="BG110" i="6"/>
  <c r="AH111" i="6"/>
  <c r="AI111" i="6"/>
  <c r="AJ111" i="6"/>
  <c r="AK111" i="6"/>
  <c r="AL111" i="6"/>
  <c r="AZ111" i="6"/>
  <c r="BG111" i="6"/>
  <c r="B112" i="6"/>
  <c r="C112" i="6"/>
  <c r="D112" i="6"/>
  <c r="E112" i="6"/>
  <c r="F112" i="6"/>
  <c r="G112" i="6"/>
  <c r="H112" i="6"/>
  <c r="I112" i="6"/>
  <c r="J112" i="6"/>
  <c r="K112" i="6"/>
  <c r="L112" i="6"/>
  <c r="M112" i="6"/>
  <c r="N112" i="6"/>
  <c r="O112" i="6"/>
  <c r="P112" i="6"/>
  <c r="Q112" i="6"/>
  <c r="R112" i="6"/>
  <c r="S112" i="6"/>
  <c r="T112" i="6"/>
  <c r="U112" i="6"/>
  <c r="V112" i="6"/>
  <c r="W112" i="6"/>
  <c r="X112" i="6"/>
  <c r="Y112" i="6"/>
  <c r="Z112" i="6"/>
  <c r="AA112" i="6"/>
  <c r="AB112" i="6"/>
  <c r="AC112" i="6"/>
  <c r="AD112" i="6"/>
  <c r="AE112" i="6"/>
  <c r="AF112" i="6"/>
  <c r="AG112" i="6"/>
  <c r="AH112" i="6"/>
  <c r="AI112" i="6"/>
  <c r="AJ112" i="6"/>
  <c r="AK112" i="6"/>
  <c r="AL112" i="6"/>
  <c r="AM112" i="6"/>
  <c r="AO112" i="6"/>
  <c r="AQ112" i="6"/>
  <c r="AR112" i="6"/>
  <c r="AZ112" i="6"/>
  <c r="BG112" i="6"/>
  <c r="C86" i="2"/>
  <c r="L86" i="2"/>
  <c r="U86" i="2"/>
  <c r="U87" i="2"/>
  <c r="L87" i="2"/>
  <c r="C87" i="2"/>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L152" i="10"/>
  <c r="B152" i="10"/>
  <c r="C152" i="10"/>
  <c r="E152" i="10"/>
  <c r="F152" i="10"/>
  <c r="G152" i="10"/>
  <c r="H152" i="10"/>
  <c r="I152" i="10"/>
  <c r="J152" i="10"/>
  <c r="K152" i="10"/>
  <c r="M152" i="10"/>
  <c r="N152" i="10"/>
  <c r="O152" i="10"/>
  <c r="P152" i="10"/>
  <c r="Q152" i="10"/>
  <c r="R152" i="10"/>
  <c r="S152" i="10"/>
  <c r="T152" i="10"/>
  <c r="W152" i="10"/>
  <c r="X152" i="10"/>
  <c r="Y152" i="10"/>
  <c r="Z152" i="10"/>
  <c r="AA152" i="10"/>
  <c r="AB152" i="10"/>
  <c r="AC152" i="10"/>
  <c r="AD152" i="10"/>
  <c r="AE152" i="10"/>
  <c r="AF152" i="10"/>
  <c r="AG152" i="10"/>
  <c r="AH152" i="10"/>
  <c r="AI152" i="10"/>
  <c r="AJ152" i="10"/>
  <c r="AK152" i="10"/>
  <c r="AL152" i="10"/>
  <c r="AM152" i="10"/>
  <c r="AN152" i="10"/>
  <c r="AO152" i="10"/>
  <c r="AP152" i="10"/>
  <c r="AQ152" i="10"/>
  <c r="AR152" i="10"/>
  <c r="AS152" i="10"/>
  <c r="AT152" i="10"/>
  <c r="AU152" i="10"/>
  <c r="AV152" i="10"/>
  <c r="AW152" i="10"/>
  <c r="AX152" i="10"/>
  <c r="AY152" i="10"/>
  <c r="AZ152" i="10"/>
  <c r="BA152" i="10"/>
  <c r="BB152" i="10"/>
  <c r="BC152" i="10"/>
  <c r="BD152" i="10"/>
  <c r="BE152" i="10"/>
  <c r="BF152" i="10"/>
  <c r="BG152" i="10"/>
  <c r="BH152" i="10"/>
  <c r="BI152" i="10"/>
  <c r="BJ152" i="10"/>
  <c r="BK152" i="10"/>
  <c r="BL152" i="10"/>
  <c r="BM152" i="10"/>
  <c r="BN152" i="10"/>
  <c r="BO152" i="10"/>
  <c r="BP152" i="10"/>
  <c r="BQ152" i="10"/>
  <c r="BR152" i="10"/>
  <c r="BS152" i="10"/>
  <c r="BT152" i="10"/>
  <c r="BU152" i="10"/>
  <c r="BV152" i="10"/>
  <c r="BW152" i="10"/>
  <c r="BZ152" i="10"/>
  <c r="U309" i="3" a="1"/>
  <c r="U309" i="3"/>
  <c r="V309" i="3" a="1"/>
  <c r="V309" i="3"/>
  <c r="W309" i="3" a="1"/>
  <c r="W309" i="3"/>
  <c r="X309" i="3" a="1"/>
  <c r="X309" i="3"/>
  <c r="Y309" i="3" a="1"/>
  <c r="Y309" i="3"/>
  <c r="T310" i="3"/>
  <c r="U310" i="3" a="1"/>
  <c r="U310" i="3"/>
  <c r="V310" i="3" a="1"/>
  <c r="V310" i="3"/>
  <c r="W310" i="3" a="1"/>
  <c r="W310" i="3"/>
  <c r="X310" i="3" a="1"/>
  <c r="X310" i="3"/>
  <c r="Y310" i="3" a="1"/>
  <c r="Y310" i="3"/>
  <c r="E51" i="8"/>
  <c r="F51" i="8"/>
  <c r="I51" i="8"/>
  <c r="J51" i="8"/>
  <c r="L51" i="8"/>
  <c r="M51" i="8"/>
  <c r="O51" i="8"/>
  <c r="P51" i="8"/>
  <c r="Q51" i="8"/>
  <c r="R51" i="8"/>
  <c r="S51" i="8"/>
  <c r="W51" i="8"/>
  <c r="X51" i="8"/>
  <c r="Y51" i="8"/>
  <c r="Z51" i="8"/>
  <c r="AA51" i="8"/>
  <c r="AB51" i="8"/>
  <c r="AC51" i="8"/>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L38" i="9"/>
  <c r="B38" i="9"/>
  <c r="E38" i="9"/>
  <c r="I38" i="9"/>
  <c r="J38" i="9"/>
  <c r="M38" i="9"/>
  <c r="O38" i="9"/>
  <c r="P38" i="9"/>
  <c r="Q38" i="9"/>
  <c r="R38" i="9"/>
  <c r="T38" i="9"/>
  <c r="X38" i="9"/>
  <c r="Y38" i="9"/>
  <c r="Z38" i="9"/>
  <c r="AA38" i="9"/>
  <c r="AB38" i="9"/>
  <c r="AC38" i="9"/>
  <c r="AD38" i="9"/>
  <c r="AE38" i="9"/>
  <c r="AF38" i="9"/>
  <c r="AG38" i="9"/>
  <c r="AH38" i="9"/>
  <c r="AI38" i="9"/>
  <c r="AJ38" i="9"/>
  <c r="AK38" i="9"/>
  <c r="AL38" i="9"/>
  <c r="AM38" i="9"/>
  <c r="AN38" i="9"/>
  <c r="AP38" i="9"/>
  <c r="AQ38" i="9"/>
  <c r="AR38" i="9"/>
  <c r="AS38" i="9"/>
  <c r="AT38" i="9"/>
  <c r="AU38" i="9"/>
  <c r="AV38" i="9"/>
  <c r="AW38" i="9"/>
  <c r="AX38" i="9"/>
  <c r="AY38" i="9"/>
  <c r="M208" i="3" a="1"/>
  <c r="M208" i="3"/>
  <c r="B209" i="3"/>
  <c r="C209" i="3" a="1"/>
  <c r="C209" i="3"/>
  <c r="D209" i="3" a="1"/>
  <c r="D209" i="3"/>
  <c r="E209" i="3" a="1"/>
  <c r="E209" i="3"/>
  <c r="F209" i="3" a="1"/>
  <c r="F209" i="3"/>
  <c r="G209" i="3" a="1"/>
  <c r="G209" i="3"/>
  <c r="K209" i="3"/>
  <c r="L209" i="3" a="1"/>
  <c r="L209" i="3"/>
  <c r="M209" i="3" a="1"/>
  <c r="M209" i="3"/>
  <c r="N209" i="3" a="1"/>
  <c r="N209" i="3"/>
  <c r="O209" i="3" a="1"/>
  <c r="O209" i="3"/>
  <c r="P209" i="3" a="1"/>
  <c r="P209" i="3"/>
  <c r="F5" i="4"/>
  <c r="B146" i="4"/>
  <c r="C146" i="4" a="1"/>
  <c r="C146" i="4"/>
  <c r="D146" i="4" a="1"/>
  <c r="D146" i="4"/>
  <c r="E146" i="4" a="1"/>
  <c r="E146" i="4"/>
  <c r="F146" i="4" a="1"/>
  <c r="F146" i="4"/>
  <c r="G146" i="4" a="1"/>
  <c r="G146" i="4"/>
  <c r="H146" i="4" a="1"/>
  <c r="H146" i="4"/>
  <c r="I146" i="4" a="1"/>
  <c r="I146" i="4"/>
  <c r="J146" i="4" a="1"/>
  <c r="J146" i="4"/>
  <c r="K146" i="4" a="1"/>
  <c r="K146" i="4"/>
  <c r="L146" i="4" a="1"/>
  <c r="L146" i="4"/>
  <c r="M146" i="4" a="1"/>
  <c r="M146" i="4"/>
  <c r="N146" i="4" a="1"/>
  <c r="N146" i="4"/>
  <c r="O146" i="4" a="1"/>
  <c r="O146" i="4"/>
  <c r="P146" i="4" a="1"/>
  <c r="P146" i="4"/>
  <c r="Q146" i="4" a="1"/>
  <c r="Q146" i="4"/>
  <c r="R146" i="4" a="1"/>
  <c r="R146" i="4"/>
  <c r="S146" i="4" a="1"/>
  <c r="S146" i="4"/>
  <c r="T146" i="4" a="1"/>
  <c r="T146" i="4"/>
  <c r="U146" i="4" a="1"/>
  <c r="U146" i="4"/>
  <c r="V146" i="4" a="1"/>
  <c r="V146" i="4"/>
  <c r="W146" i="4" a="1"/>
  <c r="W146" i="4"/>
  <c r="X146" i="4" a="1"/>
  <c r="X146" i="4"/>
  <c r="Y146" i="4" a="1"/>
  <c r="Y146" i="4"/>
  <c r="Z146" i="4" a="1"/>
  <c r="Z146" i="4"/>
  <c r="AA146" i="4" a="1"/>
  <c r="AA146" i="4"/>
  <c r="B147" i="4"/>
  <c r="C147" i="4" a="1"/>
  <c r="C147" i="4"/>
  <c r="D147" i="4" a="1"/>
  <c r="D147" i="4"/>
  <c r="E147" i="4" a="1"/>
  <c r="E147" i="4"/>
  <c r="F147" i="4" a="1"/>
  <c r="F147" i="4"/>
  <c r="G147" i="4" a="1"/>
  <c r="G147" i="4"/>
  <c r="H147" i="4" a="1"/>
  <c r="H147" i="4"/>
  <c r="I147" i="4" a="1"/>
  <c r="I147" i="4"/>
  <c r="J147" i="4" a="1"/>
  <c r="J147" i="4"/>
  <c r="K147" i="4" a="1"/>
  <c r="K147" i="4"/>
  <c r="L147" i="4" a="1"/>
  <c r="L147" i="4"/>
  <c r="M147" i="4" a="1"/>
  <c r="M147" i="4"/>
  <c r="N147" i="4" a="1"/>
  <c r="N147" i="4"/>
  <c r="O147" i="4" a="1"/>
  <c r="O147" i="4"/>
  <c r="P147" i="4" a="1"/>
  <c r="P147" i="4"/>
  <c r="Q147" i="4" a="1"/>
  <c r="Q147" i="4"/>
  <c r="R147" i="4" a="1"/>
  <c r="R147" i="4"/>
  <c r="S147" i="4" a="1"/>
  <c r="S147" i="4"/>
  <c r="T147" i="4" a="1"/>
  <c r="T147" i="4"/>
  <c r="U147" i="4" a="1"/>
  <c r="U147" i="4"/>
  <c r="V147" i="4" a="1"/>
  <c r="V147" i="4"/>
  <c r="W147" i="4" a="1"/>
  <c r="W147" i="4"/>
  <c r="X147" i="4" a="1"/>
  <c r="X147" i="4"/>
  <c r="Y147" i="4" a="1"/>
  <c r="Y147" i="4"/>
  <c r="Z147" i="4" a="1"/>
  <c r="Z147" i="4"/>
  <c r="AA147" i="4" a="1"/>
  <c r="AA147" i="4"/>
  <c r="A138" i="6"/>
  <c r="J136" i="6"/>
  <c r="L136" i="6"/>
  <c r="P138" i="6"/>
  <c r="AA134" i="6"/>
  <c r="AB134" i="6"/>
  <c r="AC134" i="6"/>
  <c r="AD134" i="6"/>
  <c r="AE134" i="6"/>
  <c r="AF134" i="6"/>
  <c r="AG134" i="6"/>
  <c r="AH134" i="6"/>
  <c r="A115" i="7"/>
  <c r="J113" i="7"/>
  <c r="L113" i="7"/>
  <c r="P114" i="7"/>
  <c r="P115" i="7"/>
  <c r="AA110" i="7"/>
  <c r="AB110" i="7"/>
  <c r="AC110" i="7"/>
  <c r="AD110" i="7"/>
  <c r="AE110" i="7"/>
  <c r="AF110" i="7"/>
  <c r="AG110" i="7"/>
  <c r="AH110" i="7"/>
  <c r="AZ166" i="9" a="1"/>
  <c r="AZ166" i="9"/>
  <c r="AP8" i="9"/>
  <c r="AP9" i="9"/>
  <c r="AP10" i="9"/>
  <c r="AP11" i="9"/>
  <c r="AP12" i="9"/>
  <c r="AP13" i="9"/>
  <c r="AP14" i="9"/>
  <c r="AP15" i="9"/>
  <c r="AP16" i="9"/>
  <c r="AP17" i="9"/>
  <c r="AP18" i="9"/>
  <c r="AP19" i="9"/>
  <c r="AP20" i="9"/>
  <c r="AP21" i="9"/>
  <c r="AP22" i="9"/>
  <c r="AP23" i="9"/>
  <c r="AP24" i="9"/>
  <c r="AP25" i="9"/>
  <c r="AP26" i="9"/>
  <c r="AP27" i="9"/>
  <c r="AP28" i="9"/>
  <c r="AP29" i="9"/>
  <c r="AP30" i="9"/>
  <c r="AP31" i="9"/>
  <c r="AP32" i="9"/>
  <c r="AP33" i="9"/>
  <c r="AP34" i="9"/>
  <c r="AP35" i="9"/>
  <c r="AP36" i="9"/>
  <c r="AP37" i="9"/>
  <c r="AP166" i="9" a="1"/>
  <c r="AP166" i="9"/>
  <c r="AO166" i="9" a="1"/>
  <c r="AO166"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166" i="9" a="1"/>
  <c r="AN166"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166" i="9" a="1"/>
  <c r="AM166" i="9"/>
  <c r="AL8" i="9"/>
  <c r="AL9" i="9"/>
  <c r="AL10" i="9"/>
  <c r="AL11" i="9"/>
  <c r="AL12" i="9"/>
  <c r="AL13" i="9"/>
  <c r="AL14" i="9"/>
  <c r="AL15" i="9"/>
  <c r="AL16" i="9"/>
  <c r="AL17" i="9"/>
  <c r="AL18" i="9"/>
  <c r="AL19" i="9"/>
  <c r="AL20" i="9"/>
  <c r="AL21" i="9"/>
  <c r="AL22" i="9"/>
  <c r="AL23" i="9"/>
  <c r="AL24" i="9"/>
  <c r="AL25" i="9"/>
  <c r="AL26" i="9"/>
  <c r="AL27" i="9"/>
  <c r="AL28" i="9"/>
  <c r="AL29" i="9"/>
  <c r="AL30" i="9"/>
  <c r="AL31" i="9"/>
  <c r="AL32" i="9"/>
  <c r="AL33" i="9"/>
  <c r="AL34" i="9"/>
  <c r="AL35" i="9"/>
  <c r="AL36" i="9"/>
  <c r="AL37" i="9"/>
  <c r="AL166" i="9" a="1"/>
  <c r="AL166" i="9"/>
  <c r="AK8" i="9"/>
  <c r="AK9" i="9"/>
  <c r="AK10" i="9"/>
  <c r="AK11" i="9"/>
  <c r="AK12" i="9"/>
  <c r="AK13" i="9"/>
  <c r="AK14" i="9"/>
  <c r="AK15" i="9"/>
  <c r="AK16" i="9"/>
  <c r="AK17" i="9"/>
  <c r="AK18" i="9"/>
  <c r="AK19" i="9"/>
  <c r="AK20" i="9"/>
  <c r="AK21" i="9"/>
  <c r="AK22" i="9"/>
  <c r="AK23" i="9"/>
  <c r="AK24" i="9"/>
  <c r="AK25" i="9"/>
  <c r="AK26" i="9"/>
  <c r="AK27" i="9"/>
  <c r="AK28" i="9"/>
  <c r="AK29" i="9"/>
  <c r="AK30" i="9"/>
  <c r="AK31" i="9"/>
  <c r="AK32" i="9"/>
  <c r="AK33" i="9"/>
  <c r="AK34" i="9"/>
  <c r="AK35" i="9"/>
  <c r="AK36" i="9"/>
  <c r="AK37" i="9"/>
  <c r="AK166" i="9" a="1"/>
  <c r="AK166" i="9"/>
  <c r="AJ8" i="9"/>
  <c r="AJ9" i="9"/>
  <c r="AJ10" i="9"/>
  <c r="AJ11" i="9"/>
  <c r="AJ12" i="9"/>
  <c r="AJ13" i="9"/>
  <c r="AJ14" i="9"/>
  <c r="AJ15" i="9"/>
  <c r="AJ16" i="9"/>
  <c r="AJ17" i="9"/>
  <c r="AJ18" i="9"/>
  <c r="AJ19" i="9"/>
  <c r="AJ20" i="9"/>
  <c r="AJ21" i="9"/>
  <c r="AJ22" i="9"/>
  <c r="AJ23" i="9"/>
  <c r="AJ24" i="9"/>
  <c r="AJ25" i="9"/>
  <c r="AJ26" i="9"/>
  <c r="AJ27" i="9"/>
  <c r="AJ28" i="9"/>
  <c r="AJ29" i="9"/>
  <c r="AJ33" i="9"/>
  <c r="AJ34" i="9"/>
  <c r="AJ35" i="9"/>
  <c r="AJ36" i="9"/>
  <c r="AJ37" i="9"/>
  <c r="AJ166" i="9" a="1"/>
  <c r="AJ166" i="9"/>
  <c r="AI8" i="9"/>
  <c r="AI9" i="9"/>
  <c r="AI10" i="9"/>
  <c r="AI11" i="9"/>
  <c r="AI12" i="9"/>
  <c r="AI13" i="9"/>
  <c r="AI14" i="9"/>
  <c r="AI15" i="9"/>
  <c r="AI16" i="9"/>
  <c r="AI17" i="9"/>
  <c r="AI18" i="9"/>
  <c r="AI19" i="9"/>
  <c r="AI20" i="9"/>
  <c r="AI21" i="9"/>
  <c r="AI22" i="9"/>
  <c r="AI23" i="9"/>
  <c r="AI24" i="9"/>
  <c r="AI25" i="9"/>
  <c r="AI26" i="9"/>
  <c r="AI27" i="9"/>
  <c r="AI28" i="9"/>
  <c r="AI29" i="9"/>
  <c r="AI30" i="9"/>
  <c r="AI31" i="9"/>
  <c r="AI32" i="9"/>
  <c r="AI33" i="9"/>
  <c r="AI34" i="9"/>
  <c r="AI35" i="9"/>
  <c r="AI36" i="9"/>
  <c r="AI37" i="9"/>
  <c r="AI166" i="9" a="1"/>
  <c r="AI166" i="9"/>
  <c r="AH8" i="9"/>
  <c r="AH9" i="9"/>
  <c r="AH10" i="9"/>
  <c r="AH11" i="9"/>
  <c r="AH12" i="9"/>
  <c r="AH13" i="9"/>
  <c r="AH14" i="9"/>
  <c r="AH15" i="9"/>
  <c r="AH16" i="9"/>
  <c r="AH17" i="9"/>
  <c r="AH18" i="9"/>
  <c r="AH19" i="9"/>
  <c r="AH20" i="9"/>
  <c r="AH21" i="9"/>
  <c r="AH22" i="9"/>
  <c r="AH23" i="9"/>
  <c r="AH24" i="9"/>
  <c r="AH25" i="9"/>
  <c r="AH26" i="9"/>
  <c r="AH27" i="9"/>
  <c r="AH28" i="9"/>
  <c r="AH29" i="9"/>
  <c r="AH30" i="9"/>
  <c r="AH31" i="9"/>
  <c r="AH32" i="9"/>
  <c r="AH33" i="9"/>
  <c r="AH34" i="9"/>
  <c r="AH35" i="9"/>
  <c r="AH36" i="9"/>
  <c r="AH37" i="9"/>
  <c r="AH166" i="9" a="1"/>
  <c r="AH166" i="9"/>
  <c r="AG8" i="9"/>
  <c r="AG9" i="9"/>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166" i="9" a="1"/>
  <c r="AG166"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166" i="9" a="1"/>
  <c r="AF166"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166" i="9" a="1"/>
  <c r="AE166"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166" i="9" a="1"/>
  <c r="AD166"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166" i="9" a="1"/>
  <c r="AC166"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166" i="9" a="1"/>
  <c r="AB166"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166" i="9" a="1"/>
  <c r="AA166"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166" i="9" a="1"/>
  <c r="Z166"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166" i="9" a="1"/>
  <c r="Y166" i="9"/>
  <c r="X8" i="9"/>
  <c r="X9" i="9"/>
  <c r="X10" i="9"/>
  <c r="X11" i="9"/>
  <c r="X12" i="9"/>
  <c r="X13" i="9"/>
  <c r="X14" i="9"/>
  <c r="X15" i="9"/>
  <c r="X16" i="9"/>
  <c r="X17" i="9"/>
  <c r="X18" i="9"/>
  <c r="X19" i="9"/>
  <c r="X20" i="9"/>
  <c r="X21" i="9"/>
  <c r="X22" i="9"/>
  <c r="X23" i="9"/>
  <c r="X24" i="9"/>
  <c r="X25" i="9"/>
  <c r="X26" i="9"/>
  <c r="X27" i="9"/>
  <c r="X28" i="9"/>
  <c r="X29" i="9"/>
  <c r="X30" i="9"/>
  <c r="X31" i="9"/>
  <c r="X32" i="9"/>
  <c r="X33" i="9"/>
  <c r="X34" i="9"/>
  <c r="X35" i="9"/>
  <c r="X36" i="9"/>
  <c r="X37" i="9"/>
  <c r="X166" i="9" a="1"/>
  <c r="X166" i="9"/>
  <c r="W166" i="9" a="1"/>
  <c r="W166" i="9"/>
  <c r="V8" i="9"/>
  <c r="V9" i="9"/>
  <c r="V10" i="9"/>
  <c r="V11" i="9"/>
  <c r="V12" i="9"/>
  <c r="V13" i="9"/>
  <c r="V14" i="9"/>
  <c r="V15" i="9"/>
  <c r="V16" i="9"/>
  <c r="V17" i="9"/>
  <c r="V18" i="9"/>
  <c r="V19" i="9"/>
  <c r="V20" i="9"/>
  <c r="V21" i="9"/>
  <c r="V22" i="9"/>
  <c r="V23" i="9"/>
  <c r="V24" i="9"/>
  <c r="V25" i="9"/>
  <c r="V26" i="9"/>
  <c r="V27" i="9"/>
  <c r="V28" i="9"/>
  <c r="V29" i="9"/>
  <c r="V30" i="9"/>
  <c r="V31" i="9"/>
  <c r="V32" i="9"/>
  <c r="V33" i="9"/>
  <c r="V34" i="9"/>
  <c r="V166" i="9" a="1"/>
  <c r="V166" i="9"/>
  <c r="U166" i="9" a="1"/>
  <c r="U166" i="9"/>
  <c r="T15" i="9"/>
  <c r="T16" i="9"/>
  <c r="T17" i="9"/>
  <c r="T18" i="9"/>
  <c r="T19" i="9"/>
  <c r="T20" i="9"/>
  <c r="T21" i="9"/>
  <c r="T22" i="9"/>
  <c r="T23" i="9"/>
  <c r="T24" i="9"/>
  <c r="T25" i="9"/>
  <c r="T26" i="9"/>
  <c r="T27" i="9"/>
  <c r="T28" i="9"/>
  <c r="T29" i="9"/>
  <c r="T30" i="9"/>
  <c r="T31" i="9"/>
  <c r="T32" i="9"/>
  <c r="T33" i="9"/>
  <c r="T34" i="9"/>
  <c r="T35" i="9"/>
  <c r="T36" i="9"/>
  <c r="T37" i="9"/>
  <c r="T166" i="9" a="1"/>
  <c r="T166" i="9"/>
  <c r="S166" i="9" a="1"/>
  <c r="S166"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166" i="9" a="1"/>
  <c r="R166"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166" i="9" a="1"/>
  <c r="Q166"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166" i="9" a="1"/>
  <c r="P166"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166" i="9" a="1"/>
  <c r="O166" i="9"/>
  <c r="N166" i="9" a="1"/>
  <c r="N166"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166" i="9" a="1"/>
  <c r="M166"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166" i="9" a="1"/>
  <c r="L166" i="9"/>
  <c r="K166" i="9" a="1"/>
  <c r="K166"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166" i="9" a="1"/>
  <c r="J166"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166" i="9" a="1"/>
  <c r="I166" i="9"/>
  <c r="H166" i="9" a="1"/>
  <c r="H166" i="9"/>
  <c r="G166" i="9" a="1"/>
  <c r="G166" i="9"/>
  <c r="F166" i="9" a="1"/>
  <c r="F166"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166" i="9" a="1"/>
  <c r="E166" i="9"/>
  <c r="D166" i="9" a="1"/>
  <c r="D166" i="9"/>
  <c r="C166" i="9" a="1"/>
  <c r="C166"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166" i="9" a="1"/>
  <c r="B166" i="9"/>
  <c r="A39" i="9"/>
  <c r="B39" i="9"/>
  <c r="C39" i="9"/>
  <c r="D39" i="9"/>
  <c r="E39" i="9"/>
  <c r="F39" i="9"/>
  <c r="G39" i="9"/>
  <c r="H39" i="9"/>
  <c r="I39" i="9"/>
  <c r="J39" i="9"/>
  <c r="K39" i="9"/>
  <c r="L39" i="9"/>
  <c r="M39" i="9"/>
  <c r="N39" i="9"/>
  <c r="O39" i="9"/>
  <c r="P39" i="9"/>
  <c r="Q39" i="9"/>
  <c r="R39" i="9"/>
  <c r="S39" i="9"/>
  <c r="T39" i="9"/>
  <c r="U39" i="9"/>
  <c r="V39" i="9"/>
  <c r="W39" i="9"/>
  <c r="X39" i="9"/>
  <c r="Y39" i="9"/>
  <c r="Z39" i="9"/>
  <c r="AA39" i="9"/>
  <c r="AB39" i="9"/>
  <c r="AC39" i="9"/>
  <c r="AD39" i="9"/>
  <c r="AE39" i="9"/>
  <c r="AF39" i="9"/>
  <c r="AG39" i="9"/>
  <c r="AH39" i="9"/>
  <c r="AI39" i="9"/>
  <c r="AJ39" i="9"/>
  <c r="AK39" i="9"/>
  <c r="AL39" i="9"/>
  <c r="AM39" i="9"/>
  <c r="AN39" i="9"/>
  <c r="AO39" i="9"/>
  <c r="AP39" i="9"/>
  <c r="AQ39" i="9"/>
  <c r="AR39" i="9"/>
  <c r="AS39" i="9"/>
  <c r="AT39" i="9"/>
  <c r="AU39" i="9"/>
  <c r="AV39" i="9"/>
  <c r="AW39" i="9"/>
  <c r="AX39" i="9"/>
  <c r="AY39" i="9"/>
  <c r="AZ39"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M173" i="8" a="1"/>
  <c r="AM173" i="8"/>
  <c r="C173" i="8" a="1"/>
  <c r="C173" i="8"/>
  <c r="D173" i="8" a="1"/>
  <c r="D173" i="8"/>
  <c r="E173" i="8" a="1"/>
  <c r="E50" i="8"/>
  <c r="E47" i="8"/>
  <c r="E48" i="8"/>
  <c r="E49" i="8"/>
  <c r="E173" i="8"/>
  <c r="F173" i="8" a="1"/>
  <c r="F50" i="8"/>
  <c r="F47" i="8"/>
  <c r="F48" i="8"/>
  <c r="F49" i="8"/>
  <c r="F173" i="8"/>
  <c r="G173" i="8" a="1"/>
  <c r="G173" i="8"/>
  <c r="H173" i="8" a="1"/>
  <c r="H173" i="8"/>
  <c r="I173" i="8" a="1"/>
  <c r="I50" i="8"/>
  <c r="I47" i="8"/>
  <c r="I48" i="8"/>
  <c r="I49" i="8"/>
  <c r="I173" i="8"/>
  <c r="J173" i="8" a="1"/>
  <c r="J50" i="8"/>
  <c r="J47" i="8"/>
  <c r="J48" i="8"/>
  <c r="J49" i="8"/>
  <c r="J173" i="8"/>
  <c r="K173" i="8" a="1"/>
  <c r="K173" i="8"/>
  <c r="L173" i="8" a="1"/>
  <c r="L50" i="8"/>
  <c r="L47" i="8"/>
  <c r="L48" i="8"/>
  <c r="L49" i="8"/>
  <c r="L173" i="8"/>
  <c r="M173" i="8" a="1"/>
  <c r="M50" i="8"/>
  <c r="M47" i="8"/>
  <c r="M48" i="8"/>
  <c r="M49" i="8"/>
  <c r="M173" i="8"/>
  <c r="N173" i="8" a="1"/>
  <c r="N173" i="8"/>
  <c r="O173" i="8" a="1"/>
  <c r="O50" i="8"/>
  <c r="O47" i="8"/>
  <c r="O48" i="8"/>
  <c r="O49" i="8"/>
  <c r="O173" i="8"/>
  <c r="P173" i="8" a="1"/>
  <c r="P50" i="8"/>
  <c r="P47" i="8"/>
  <c r="P48" i="8"/>
  <c r="P49" i="8"/>
  <c r="P173" i="8"/>
  <c r="Q173" i="8" a="1"/>
  <c r="Q50" i="8"/>
  <c r="Q47" i="8"/>
  <c r="Q48" i="8"/>
  <c r="Q49" i="8"/>
  <c r="Q173" i="8"/>
  <c r="R173" i="8" a="1"/>
  <c r="R50" i="8"/>
  <c r="R48" i="8"/>
  <c r="R49" i="8"/>
  <c r="R173" i="8"/>
  <c r="S173" i="8" a="1"/>
  <c r="S50" i="8"/>
  <c r="S47" i="8"/>
  <c r="S48" i="8"/>
  <c r="S49" i="8"/>
  <c r="S173" i="8"/>
  <c r="T173" i="8" a="1"/>
  <c r="T173" i="8"/>
  <c r="U173" i="8" a="1"/>
  <c r="U173" i="8"/>
  <c r="V173" i="8" a="1"/>
  <c r="V173" i="8"/>
  <c r="W173" i="8" a="1"/>
  <c r="W50" i="8"/>
  <c r="W47" i="8"/>
  <c r="W48" i="8"/>
  <c r="W49" i="8"/>
  <c r="W173" i="8"/>
  <c r="X173" i="8" a="1"/>
  <c r="X50" i="8"/>
  <c r="X47" i="8"/>
  <c r="X48" i="8"/>
  <c r="X49" i="8"/>
  <c r="X173" i="8"/>
  <c r="Y173" i="8" a="1"/>
  <c r="Y50" i="8"/>
  <c r="Y47" i="8"/>
  <c r="Y48" i="8"/>
  <c r="Y49" i="8"/>
  <c r="Y173" i="8"/>
  <c r="Z173" i="8" a="1"/>
  <c r="Z50" i="8"/>
  <c r="Z47" i="8"/>
  <c r="Z48" i="8"/>
  <c r="Z49" i="8"/>
  <c r="Z173" i="8"/>
  <c r="AA173" i="8" a="1"/>
  <c r="AA50" i="8"/>
  <c r="AA47" i="8"/>
  <c r="AA48" i="8"/>
  <c r="AA49" i="8"/>
  <c r="AA173" i="8"/>
  <c r="AB173" i="8" a="1"/>
  <c r="AB50" i="8"/>
  <c r="AB47" i="8"/>
  <c r="AB48" i="8"/>
  <c r="AB49" i="8"/>
  <c r="AB173" i="8"/>
  <c r="AC173" i="8" a="1"/>
  <c r="AC50" i="8"/>
  <c r="AC47" i="8"/>
  <c r="AC48" i="8"/>
  <c r="AC49" i="8"/>
  <c r="AC173" i="8"/>
  <c r="B173" i="8" a="1"/>
  <c r="B173" i="8"/>
  <c r="B172" i="8" a="1"/>
  <c r="B172" i="8"/>
  <c r="AB8" i="8"/>
  <c r="A9" i="8"/>
  <c r="AB9" i="8"/>
  <c r="A10" i="8"/>
  <c r="AB10" i="8"/>
  <c r="A11" i="8"/>
  <c r="AB11" i="8"/>
  <c r="A12" i="8"/>
  <c r="AB12" i="8"/>
  <c r="A13" i="8"/>
  <c r="AB13" i="8"/>
  <c r="A14" i="8"/>
  <c r="AB14" i="8"/>
  <c r="A15" i="8"/>
  <c r="AB15" i="8"/>
  <c r="A16" i="8"/>
  <c r="AB16" i="8"/>
  <c r="A17" i="8"/>
  <c r="AB17" i="8"/>
  <c r="A18" i="8"/>
  <c r="AB18" i="8"/>
  <c r="A19" i="8"/>
  <c r="AB19" i="8"/>
  <c r="A20" i="8"/>
  <c r="AB20" i="8"/>
  <c r="A21" i="8"/>
  <c r="AB21" i="8"/>
  <c r="A22" i="8"/>
  <c r="AB22" i="8"/>
  <c r="A23" i="8"/>
  <c r="AB23" i="8"/>
  <c r="A24" i="8"/>
  <c r="AB24" i="8"/>
  <c r="A25" i="8"/>
  <c r="AB25" i="8"/>
  <c r="A26" i="8"/>
  <c r="AB26" i="8"/>
  <c r="A27" i="8"/>
  <c r="AB27" i="8"/>
  <c r="A28" i="8"/>
  <c r="AB28" i="8"/>
  <c r="A29" i="8"/>
  <c r="AB29" i="8"/>
  <c r="A30" i="8"/>
  <c r="AB30" i="8"/>
  <c r="A31" i="8"/>
  <c r="AB31" i="8"/>
  <c r="A32" i="8"/>
  <c r="AB32" i="8"/>
  <c r="A33" i="8"/>
  <c r="AB33" i="8"/>
  <c r="A34" i="8"/>
  <c r="AB34" i="8"/>
  <c r="A35" i="8"/>
  <c r="AB35" i="8"/>
  <c r="A36" i="8"/>
  <c r="AB36" i="8"/>
  <c r="A37" i="8"/>
  <c r="AB37" i="8"/>
  <c r="A38" i="8"/>
  <c r="AB38" i="8"/>
  <c r="A39" i="8"/>
  <c r="AB39" i="8"/>
  <c r="A40" i="8"/>
  <c r="AB40" i="8"/>
  <c r="A41" i="8"/>
  <c r="AB41" i="8"/>
  <c r="A42" i="8"/>
  <c r="AB42" i="8"/>
  <c r="A43" i="8"/>
  <c r="A44" i="8"/>
  <c r="AB44" i="8"/>
  <c r="A45" i="8"/>
  <c r="AB45" i="8"/>
  <c r="A46" i="8"/>
  <c r="AB46" i="8"/>
  <c r="A47" i="8"/>
  <c r="A48" i="8"/>
  <c r="A49" i="8"/>
  <c r="A50" i="8"/>
  <c r="A51" i="8"/>
  <c r="AB180" i="8" a="1"/>
  <c r="AB180"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180" i="8" a="1"/>
  <c r="R180" i="8"/>
  <c r="AB61" i="8" a="1"/>
  <c r="AB61" i="8"/>
  <c r="R61" i="8" a="1"/>
  <c r="R61" i="8"/>
  <c r="C47" i="9"/>
  <c r="D47" i="9"/>
  <c r="E47" i="9"/>
  <c r="F47" i="9"/>
  <c r="G47" i="9"/>
  <c r="H47" i="9"/>
  <c r="I47" i="9"/>
  <c r="J47" i="9"/>
  <c r="K47" i="9"/>
  <c r="L47" i="9"/>
  <c r="M47" i="9"/>
  <c r="N47" i="9"/>
  <c r="O47" i="9"/>
  <c r="P47" i="9"/>
  <c r="Q47" i="9"/>
  <c r="R47" i="9"/>
  <c r="S47" i="9"/>
  <c r="T47" i="9"/>
  <c r="U47" i="9"/>
  <c r="V47" i="9"/>
  <c r="W47" i="9"/>
  <c r="X47" i="9"/>
  <c r="Y47" i="9"/>
  <c r="Z47" i="9"/>
  <c r="AA47" i="9"/>
  <c r="AB47" i="9"/>
  <c r="AC47" i="9"/>
  <c r="AD47" i="9"/>
  <c r="AE47" i="9"/>
  <c r="AF47" i="9"/>
  <c r="AG47" i="9"/>
  <c r="AH47" i="9"/>
  <c r="AI47" i="9"/>
  <c r="AJ47" i="9"/>
  <c r="AK47" i="9"/>
  <c r="AL47" i="9"/>
  <c r="AM47" i="9"/>
  <c r="AN47" i="9"/>
  <c r="AO47" i="9"/>
  <c r="AP47" i="9"/>
  <c r="AQ9" i="9"/>
  <c r="AQ10" i="9"/>
  <c r="AQ11" i="9"/>
  <c r="AQ12" i="9"/>
  <c r="AQ13" i="9"/>
  <c r="AQ14" i="9"/>
  <c r="AQ15" i="9"/>
  <c r="AQ16" i="9"/>
  <c r="AQ17" i="9"/>
  <c r="AQ18" i="9"/>
  <c r="AQ19" i="9"/>
  <c r="AQ20" i="9"/>
  <c r="AQ21" i="9"/>
  <c r="AQ22" i="9"/>
  <c r="AQ23" i="9"/>
  <c r="AQ24" i="9"/>
  <c r="AQ25" i="9"/>
  <c r="AQ26" i="9"/>
  <c r="AQ27" i="9"/>
  <c r="AQ28" i="9"/>
  <c r="AQ29" i="9"/>
  <c r="AQ30" i="9"/>
  <c r="AQ31" i="9"/>
  <c r="AQ32" i="9"/>
  <c r="AQ33" i="9"/>
  <c r="AQ34" i="9"/>
  <c r="AQ35" i="9"/>
  <c r="AQ36" i="9"/>
  <c r="AQ37" i="9"/>
  <c r="AQ8" i="9"/>
  <c r="AQ47" i="9"/>
  <c r="AR9" i="9"/>
  <c r="AR10" i="9"/>
  <c r="AR11" i="9"/>
  <c r="AR12" i="9"/>
  <c r="AR13" i="9"/>
  <c r="AR14" i="9"/>
  <c r="AR15" i="9"/>
  <c r="AR16" i="9"/>
  <c r="AR17" i="9"/>
  <c r="AR18" i="9"/>
  <c r="AR19" i="9"/>
  <c r="AR20" i="9"/>
  <c r="AR21" i="9"/>
  <c r="AR22" i="9"/>
  <c r="AR23" i="9"/>
  <c r="AR24" i="9"/>
  <c r="AR25" i="9"/>
  <c r="AR26" i="9"/>
  <c r="AR27" i="9"/>
  <c r="AR28" i="9"/>
  <c r="AR29" i="9"/>
  <c r="AR30" i="9"/>
  <c r="AR31" i="9"/>
  <c r="AR32" i="9"/>
  <c r="AR33" i="9"/>
  <c r="AR34" i="9"/>
  <c r="AR35" i="9"/>
  <c r="AR36" i="9"/>
  <c r="AR37" i="9"/>
  <c r="AR8" i="9"/>
  <c r="AR47" i="9"/>
  <c r="AS9" i="9"/>
  <c r="AS10" i="9"/>
  <c r="AS11" i="9"/>
  <c r="AS12" i="9"/>
  <c r="AS13" i="9"/>
  <c r="AS14" i="9"/>
  <c r="AS15" i="9"/>
  <c r="AS16" i="9"/>
  <c r="AS17" i="9"/>
  <c r="AS18" i="9"/>
  <c r="AS19" i="9"/>
  <c r="AS20" i="9"/>
  <c r="AS21" i="9"/>
  <c r="AS22" i="9"/>
  <c r="AS23" i="9"/>
  <c r="AS24" i="9"/>
  <c r="AS25" i="9"/>
  <c r="AS26" i="9"/>
  <c r="AS27" i="9"/>
  <c r="AS28" i="9"/>
  <c r="AS29" i="9"/>
  <c r="AS30" i="9"/>
  <c r="AS31" i="9"/>
  <c r="AS32" i="9"/>
  <c r="AS33" i="9"/>
  <c r="AS34" i="9"/>
  <c r="AS35" i="9"/>
  <c r="AS36" i="9"/>
  <c r="AS37" i="9"/>
  <c r="AS8" i="9"/>
  <c r="AS47" i="9"/>
  <c r="AT9" i="9"/>
  <c r="AT10" i="9"/>
  <c r="AT11" i="9"/>
  <c r="AT12" i="9"/>
  <c r="AT13" i="9"/>
  <c r="AT14" i="9"/>
  <c r="AT15" i="9"/>
  <c r="AT16" i="9"/>
  <c r="AT17" i="9"/>
  <c r="AT18" i="9"/>
  <c r="AT19" i="9"/>
  <c r="AT20" i="9"/>
  <c r="AT21" i="9"/>
  <c r="AT22" i="9"/>
  <c r="AT23" i="9"/>
  <c r="AT24" i="9"/>
  <c r="AT25" i="9"/>
  <c r="AT26" i="9"/>
  <c r="AT27" i="9"/>
  <c r="AT28" i="9"/>
  <c r="AT29" i="9"/>
  <c r="AT30" i="9"/>
  <c r="AT31" i="9"/>
  <c r="AT32" i="9"/>
  <c r="AT33" i="9"/>
  <c r="AT34" i="9"/>
  <c r="AT35" i="9"/>
  <c r="AT36" i="9"/>
  <c r="AT37" i="9"/>
  <c r="AT8" i="9"/>
  <c r="AT47" i="9"/>
  <c r="AU9" i="9"/>
  <c r="AU10" i="9"/>
  <c r="AU11" i="9"/>
  <c r="AU12" i="9"/>
  <c r="AU13" i="9"/>
  <c r="AU14" i="9"/>
  <c r="AU15" i="9"/>
  <c r="AU16" i="9"/>
  <c r="AU17" i="9"/>
  <c r="AU18" i="9"/>
  <c r="AU19" i="9"/>
  <c r="AU20" i="9"/>
  <c r="AU21" i="9"/>
  <c r="AU22" i="9"/>
  <c r="AU23" i="9"/>
  <c r="AU24" i="9"/>
  <c r="AU25" i="9"/>
  <c r="AU26" i="9"/>
  <c r="AU27" i="9"/>
  <c r="AU28" i="9"/>
  <c r="AU29" i="9"/>
  <c r="AU30" i="9"/>
  <c r="AU31" i="9"/>
  <c r="AU32" i="9"/>
  <c r="AU33" i="9"/>
  <c r="AU34" i="9"/>
  <c r="AU35" i="9"/>
  <c r="AU36" i="9"/>
  <c r="AU37" i="9"/>
  <c r="AU8" i="9"/>
  <c r="AU47" i="9"/>
  <c r="AV9" i="9"/>
  <c r="AV10" i="9"/>
  <c r="AV11" i="9"/>
  <c r="AV12" i="9"/>
  <c r="AV13" i="9"/>
  <c r="AV14" i="9"/>
  <c r="AV15" i="9"/>
  <c r="AV16" i="9"/>
  <c r="AV17" i="9"/>
  <c r="AV18" i="9"/>
  <c r="AV19" i="9"/>
  <c r="AV20" i="9"/>
  <c r="AV21" i="9"/>
  <c r="AV22" i="9"/>
  <c r="AV23" i="9"/>
  <c r="AV24" i="9"/>
  <c r="AV25" i="9"/>
  <c r="AV26" i="9"/>
  <c r="AV27" i="9"/>
  <c r="AV28" i="9"/>
  <c r="AV29" i="9"/>
  <c r="AV30" i="9"/>
  <c r="AV31" i="9"/>
  <c r="AV32" i="9"/>
  <c r="AV33" i="9"/>
  <c r="AV34" i="9"/>
  <c r="AV35" i="9"/>
  <c r="AV36" i="9"/>
  <c r="AV37" i="9"/>
  <c r="AV8" i="9"/>
  <c r="AV47" i="9"/>
  <c r="AW9" i="9"/>
  <c r="AW10" i="9"/>
  <c r="AW11" i="9"/>
  <c r="AW12" i="9"/>
  <c r="AW13" i="9"/>
  <c r="AW14" i="9"/>
  <c r="AW15" i="9"/>
  <c r="AW16" i="9"/>
  <c r="AW17" i="9"/>
  <c r="AW18" i="9"/>
  <c r="AW19" i="9"/>
  <c r="AW20" i="9"/>
  <c r="AW21" i="9"/>
  <c r="AW22" i="9"/>
  <c r="AW23" i="9"/>
  <c r="AW24" i="9"/>
  <c r="AW25" i="9"/>
  <c r="AW26" i="9"/>
  <c r="AW27" i="9"/>
  <c r="AW28" i="9"/>
  <c r="AW29" i="9"/>
  <c r="AW30" i="9"/>
  <c r="AW31" i="9"/>
  <c r="AW32" i="9"/>
  <c r="AW33" i="9"/>
  <c r="AW34" i="9"/>
  <c r="AW35" i="9"/>
  <c r="AW36" i="9"/>
  <c r="AW37" i="9"/>
  <c r="AW8" i="9"/>
  <c r="AW47" i="9"/>
  <c r="AX9" i="9"/>
  <c r="AX10" i="9"/>
  <c r="AX11" i="9"/>
  <c r="AX12" i="9"/>
  <c r="AX13" i="9"/>
  <c r="AX14" i="9"/>
  <c r="AX15" i="9"/>
  <c r="AX16" i="9"/>
  <c r="AX17" i="9"/>
  <c r="AX18" i="9"/>
  <c r="AX19" i="9"/>
  <c r="AX20" i="9"/>
  <c r="AX21" i="9"/>
  <c r="AX22" i="9"/>
  <c r="AX23" i="9"/>
  <c r="AX24" i="9"/>
  <c r="AX25" i="9"/>
  <c r="AX26" i="9"/>
  <c r="AX27" i="9"/>
  <c r="AX28" i="9"/>
  <c r="AX29" i="9"/>
  <c r="AX30" i="9"/>
  <c r="AX31" i="9"/>
  <c r="AX32" i="9"/>
  <c r="AX33" i="9"/>
  <c r="AX34" i="9"/>
  <c r="AX35" i="9"/>
  <c r="AX36" i="9"/>
  <c r="AX37" i="9"/>
  <c r="AX8" i="9"/>
  <c r="AX47" i="9"/>
  <c r="AY9" i="9"/>
  <c r="AY10" i="9"/>
  <c r="AY11" i="9"/>
  <c r="AY12" i="9"/>
  <c r="AY13" i="9"/>
  <c r="AY14" i="9"/>
  <c r="AY15" i="9"/>
  <c r="AY16" i="9"/>
  <c r="AY17" i="9"/>
  <c r="AY18" i="9"/>
  <c r="AY19" i="9"/>
  <c r="AY20" i="9"/>
  <c r="AY21" i="9"/>
  <c r="AY22" i="9"/>
  <c r="AY23" i="9"/>
  <c r="AY24" i="9"/>
  <c r="AY25" i="9"/>
  <c r="AY26" i="9"/>
  <c r="AY27" i="9"/>
  <c r="AY28" i="9"/>
  <c r="AY29" i="9"/>
  <c r="AY30" i="9"/>
  <c r="AY31" i="9"/>
  <c r="AY32" i="9"/>
  <c r="AY33" i="9"/>
  <c r="AY34" i="9"/>
  <c r="AY35" i="9"/>
  <c r="AY36" i="9"/>
  <c r="AY37" i="9"/>
  <c r="AY8" i="9"/>
  <c r="AY47" i="9"/>
  <c r="B47" i="9"/>
  <c r="C109" i="10"/>
  <c r="C110" i="10"/>
  <c r="C111" i="10"/>
  <c r="C112" i="10"/>
  <c r="C113" i="10"/>
  <c r="C114" i="10"/>
  <c r="C115" i="10"/>
  <c r="B8" i="10"/>
  <c r="C8" i="10"/>
  <c r="B9" i="10"/>
  <c r="C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3"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3" i="10"/>
  <c r="C159" i="10"/>
  <c r="D153" i="10"/>
  <c r="D159" i="10"/>
  <c r="E109" i="10"/>
  <c r="E110" i="10"/>
  <c r="E111" i="10"/>
  <c r="E112" i="10"/>
  <c r="E113" i="10"/>
  <c r="E114" i="10"/>
  <c r="E115"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3" i="10"/>
  <c r="E159"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3" i="10"/>
  <c r="F159" i="10"/>
  <c r="G109" i="10"/>
  <c r="G110" i="10"/>
  <c r="G111" i="10"/>
  <c r="G112" i="10"/>
  <c r="G113" i="10"/>
  <c r="G114" i="10"/>
  <c r="G115"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3" i="10"/>
  <c r="G159" i="10"/>
  <c r="H109" i="10"/>
  <c r="H110" i="10"/>
  <c r="H111" i="10"/>
  <c r="H112" i="10"/>
  <c r="H113" i="10"/>
  <c r="H114" i="10"/>
  <c r="H115"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3" i="10"/>
  <c r="H159" i="10"/>
  <c r="I109" i="10"/>
  <c r="I110" i="10"/>
  <c r="I111" i="10"/>
  <c r="I112" i="10"/>
  <c r="I113" i="10"/>
  <c r="I114" i="10"/>
  <c r="I115"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3" i="10"/>
  <c r="I159"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3" i="10"/>
  <c r="J159"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3" i="10"/>
  <c r="K159" i="10"/>
  <c r="L137" i="10"/>
  <c r="L138" i="10"/>
  <c r="L139" i="10"/>
  <c r="L140" i="10"/>
  <c r="L141" i="10"/>
  <c r="L142" i="10"/>
  <c r="L143" i="10"/>
  <c r="L144" i="10"/>
  <c r="L145" i="10"/>
  <c r="L146" i="10"/>
  <c r="L147" i="10"/>
  <c r="L148" i="10"/>
  <c r="L149" i="10"/>
  <c r="L150" i="10"/>
  <c r="L151"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53" i="10"/>
  <c r="L159"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3" i="10"/>
  <c r="M159"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3" i="10"/>
  <c r="N159"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3" i="10"/>
  <c r="O159" i="10"/>
  <c r="P8" i="10"/>
  <c r="P9" i="10"/>
  <c r="P10" i="10"/>
  <c r="P11" i="10"/>
  <c r="P12" i="10"/>
  <c r="P13" i="10"/>
  <c r="P14" i="10"/>
  <c r="P15" i="10"/>
  <c r="P16" i="10"/>
  <c r="P17" i="10"/>
  <c r="P18" i="10"/>
  <c r="P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115" i="10"/>
  <c r="P116" i="10"/>
  <c r="P117" i="10"/>
  <c r="P118" i="10"/>
  <c r="P119" i="10"/>
  <c r="P120" i="10"/>
  <c r="P121" i="10"/>
  <c r="P122" i="10"/>
  <c r="P123" i="10"/>
  <c r="P124" i="10"/>
  <c r="P125" i="10"/>
  <c r="P126" i="10"/>
  <c r="P127" i="10"/>
  <c r="P128" i="10"/>
  <c r="P129" i="10"/>
  <c r="P130" i="10"/>
  <c r="P131" i="10"/>
  <c r="P132" i="10"/>
  <c r="P133" i="10"/>
  <c r="P134" i="10"/>
  <c r="P135" i="10"/>
  <c r="P136" i="10"/>
  <c r="P137" i="10"/>
  <c r="P138" i="10"/>
  <c r="P139" i="10"/>
  <c r="P140" i="10"/>
  <c r="P141" i="10"/>
  <c r="P142" i="10"/>
  <c r="P143" i="10"/>
  <c r="P144" i="10"/>
  <c r="P145" i="10"/>
  <c r="P146" i="10"/>
  <c r="P147" i="10"/>
  <c r="P148" i="10"/>
  <c r="P149" i="10"/>
  <c r="P150" i="10"/>
  <c r="P151" i="10"/>
  <c r="P153" i="10"/>
  <c r="P159"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3" i="10"/>
  <c r="Q159"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3" i="10"/>
  <c r="R159"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S100" i="10"/>
  <c r="S101" i="10"/>
  <c r="S102" i="10"/>
  <c r="S103" i="10"/>
  <c r="S104" i="10"/>
  <c r="S105" i="10"/>
  <c r="S106" i="10"/>
  <c r="S107" i="10"/>
  <c r="S108" i="10"/>
  <c r="S109" i="10"/>
  <c r="S110" i="10"/>
  <c r="S111" i="10"/>
  <c r="S112" i="10"/>
  <c r="S113" i="10"/>
  <c r="S114" i="10"/>
  <c r="S115" i="10"/>
  <c r="S116" i="10"/>
  <c r="S117" i="10"/>
  <c r="S118" i="10"/>
  <c r="S119" i="10"/>
  <c r="S120" i="10"/>
  <c r="S121" i="10"/>
  <c r="S122" i="10"/>
  <c r="S123" i="10"/>
  <c r="S124" i="10"/>
  <c r="S125" i="10"/>
  <c r="S126" i="10"/>
  <c r="S127" i="10"/>
  <c r="S128" i="10"/>
  <c r="S129" i="10"/>
  <c r="S130" i="10"/>
  <c r="S131" i="10"/>
  <c r="S132" i="10"/>
  <c r="S133" i="10"/>
  <c r="S134" i="10"/>
  <c r="S135" i="10"/>
  <c r="S136" i="10"/>
  <c r="S137" i="10"/>
  <c r="S138" i="10"/>
  <c r="S139" i="10"/>
  <c r="S140" i="10"/>
  <c r="S141" i="10"/>
  <c r="S142" i="10"/>
  <c r="S143" i="10"/>
  <c r="S144" i="10"/>
  <c r="S145" i="10"/>
  <c r="S146" i="10"/>
  <c r="S147" i="10"/>
  <c r="S148" i="10"/>
  <c r="S149" i="10"/>
  <c r="S150" i="10"/>
  <c r="S151" i="10"/>
  <c r="S153" i="10"/>
  <c r="S159" i="10"/>
  <c r="T169" i="10"/>
  <c r="T8" i="10"/>
  <c r="T170" i="10"/>
  <c r="T9" i="10"/>
  <c r="T171" i="10"/>
  <c r="T10" i="10"/>
  <c r="T172" i="10"/>
  <c r="T11" i="10"/>
  <c r="T173" i="10"/>
  <c r="T12" i="10"/>
  <c r="T174" i="10"/>
  <c r="T13" i="10"/>
  <c r="T175" i="10"/>
  <c r="T14" i="10"/>
  <c r="T176" i="10"/>
  <c r="T15" i="10"/>
  <c r="T177" i="10"/>
  <c r="T16" i="10"/>
  <c r="T178" i="10"/>
  <c r="T17" i="10"/>
  <c r="T179" i="10"/>
  <c r="T18" i="10"/>
  <c r="T180" i="10"/>
  <c r="T19" i="10"/>
  <c r="T181" i="10"/>
  <c r="T20" i="10"/>
  <c r="T182" i="10"/>
  <c r="T21" i="10"/>
  <c r="T183" i="10"/>
  <c r="T22" i="10"/>
  <c r="T184" i="10"/>
  <c r="T23" i="10"/>
  <c r="T185" i="10"/>
  <c r="T24" i="10"/>
  <c r="T186" i="10"/>
  <c r="T25" i="10"/>
  <c r="T187" i="10"/>
  <c r="T26" i="10"/>
  <c r="T188" i="10"/>
  <c r="T27" i="10"/>
  <c r="T189" i="10"/>
  <c r="T28" i="10"/>
  <c r="T190" i="10"/>
  <c r="T29" i="10"/>
  <c r="T191" i="10"/>
  <c r="T30" i="10"/>
  <c r="T192" i="10"/>
  <c r="T31" i="10"/>
  <c r="T193" i="10"/>
  <c r="T32" i="10"/>
  <c r="T194" i="10"/>
  <c r="T33" i="10"/>
  <c r="T195" i="10"/>
  <c r="T34" i="10"/>
  <c r="T196" i="10"/>
  <c r="T35" i="10"/>
  <c r="T197" i="10"/>
  <c r="T36" i="10"/>
  <c r="T198" i="10"/>
  <c r="T37" i="10"/>
  <c r="T199" i="10"/>
  <c r="T38" i="10"/>
  <c r="T200" i="10"/>
  <c r="T39" i="10"/>
  <c r="T201" i="10"/>
  <c r="T40" i="10"/>
  <c r="T202" i="10"/>
  <c r="T41" i="10"/>
  <c r="T203" i="10"/>
  <c r="T42" i="10"/>
  <c r="T204" i="10"/>
  <c r="T43" i="10"/>
  <c r="T205" i="10"/>
  <c r="T44" i="10"/>
  <c r="T206" i="10"/>
  <c r="T45" i="10"/>
  <c r="T207" i="10"/>
  <c r="T46" i="10"/>
  <c r="T208" i="10"/>
  <c r="T47" i="10"/>
  <c r="T209" i="10"/>
  <c r="T48" i="10"/>
  <c r="T210" i="10"/>
  <c r="T49" i="10"/>
  <c r="T211" i="10"/>
  <c r="T50" i="10"/>
  <c r="T212" i="10"/>
  <c r="T51" i="10"/>
  <c r="T213" i="10"/>
  <c r="T52" i="10"/>
  <c r="T214" i="10"/>
  <c r="T53" i="10"/>
  <c r="T215" i="10"/>
  <c r="T54" i="10"/>
  <c r="T216" i="10"/>
  <c r="T55" i="10"/>
  <c r="T217" i="10"/>
  <c r="T56" i="10"/>
  <c r="T218" i="10"/>
  <c r="T57" i="10"/>
  <c r="T219" i="10"/>
  <c r="T58" i="10"/>
  <c r="T220" i="10"/>
  <c r="T59" i="10"/>
  <c r="T221" i="10"/>
  <c r="T60" i="10"/>
  <c r="T222" i="10"/>
  <c r="T61" i="10"/>
  <c r="T223" i="10"/>
  <c r="T62" i="10"/>
  <c r="T224" i="10"/>
  <c r="T63" i="10"/>
  <c r="T225" i="10"/>
  <c r="T64" i="10"/>
  <c r="T226" i="10"/>
  <c r="T65" i="10"/>
  <c r="T227" i="10"/>
  <c r="T66" i="10"/>
  <c r="T228" i="10"/>
  <c r="T67" i="10"/>
  <c r="T229" i="10"/>
  <c r="T68" i="10"/>
  <c r="T230" i="10"/>
  <c r="T69" i="10"/>
  <c r="T231" i="10"/>
  <c r="T70" i="10"/>
  <c r="T232" i="10"/>
  <c r="T71" i="10"/>
  <c r="T233" i="10"/>
  <c r="T72" i="10"/>
  <c r="T234" i="10"/>
  <c r="T73" i="10"/>
  <c r="T235" i="10"/>
  <c r="T74" i="10"/>
  <c r="T236" i="10"/>
  <c r="T75" i="10"/>
  <c r="T237" i="10"/>
  <c r="T76" i="10"/>
  <c r="T238" i="10"/>
  <c r="T77" i="10"/>
  <c r="T239" i="10"/>
  <c r="T78" i="10"/>
  <c r="T240" i="10"/>
  <c r="T79" i="10"/>
  <c r="T241" i="10"/>
  <c r="T80" i="10"/>
  <c r="T242" i="10"/>
  <c r="T81" i="10"/>
  <c r="T243" i="10"/>
  <c r="T82" i="10"/>
  <c r="T244" i="10"/>
  <c r="T83" i="10"/>
  <c r="T245" i="10"/>
  <c r="T84" i="10"/>
  <c r="T246" i="10"/>
  <c r="T85" i="10"/>
  <c r="T247" i="10"/>
  <c r="T86" i="10"/>
  <c r="T248" i="10"/>
  <c r="T87" i="10"/>
  <c r="T249" i="10"/>
  <c r="T88" i="10"/>
  <c r="T250" i="10"/>
  <c r="T89" i="10"/>
  <c r="T251" i="10"/>
  <c r="T90" i="10"/>
  <c r="T252" i="10"/>
  <c r="T91" i="10"/>
  <c r="T253" i="10"/>
  <c r="T92" i="10"/>
  <c r="T254" i="10"/>
  <c r="T93" i="10"/>
  <c r="T255" i="10"/>
  <c r="T94" i="10"/>
  <c r="T256" i="10"/>
  <c r="T95" i="10"/>
  <c r="T257" i="10"/>
  <c r="T96" i="10"/>
  <c r="T258" i="10"/>
  <c r="T97" i="10"/>
  <c r="T259" i="10"/>
  <c r="T98" i="10"/>
  <c r="T260" i="10"/>
  <c r="T99" i="10"/>
  <c r="T261" i="10"/>
  <c r="T100" i="10"/>
  <c r="T262" i="10"/>
  <c r="T101" i="10"/>
  <c r="T263" i="10"/>
  <c r="T102" i="10"/>
  <c r="T264" i="10"/>
  <c r="T103" i="10"/>
  <c r="T265" i="10"/>
  <c r="T104" i="10"/>
  <c r="T266" i="10"/>
  <c r="T105" i="10"/>
  <c r="T267" i="10"/>
  <c r="T106" i="10"/>
  <c r="T268" i="10"/>
  <c r="T107" i="10"/>
  <c r="T269"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3" i="10"/>
  <c r="T159" i="10"/>
  <c r="U153" i="10"/>
  <c r="U159"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53" i="10"/>
  <c r="V159"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147" i="10"/>
  <c r="W148" i="10"/>
  <c r="W149" i="10"/>
  <c r="W150" i="10"/>
  <c r="W151" i="10"/>
  <c r="W153" i="10"/>
  <c r="W159"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3" i="10"/>
  <c r="X34" i="10"/>
  <c r="X35" i="10"/>
  <c r="X36" i="10"/>
  <c r="X37" i="10"/>
  <c r="X38" i="10"/>
  <c r="X39" i="10"/>
  <c r="X40" i="10"/>
  <c r="X41" i="10"/>
  <c r="X42" i="10"/>
  <c r="X43" i="10"/>
  <c r="X44" i="10"/>
  <c r="X45" i="10"/>
  <c r="X46" i="10"/>
  <c r="X47" i="10"/>
  <c r="X48" i="10"/>
  <c r="X49" i="10"/>
  <c r="X50" i="10"/>
  <c r="X51" i="10"/>
  <c r="X52" i="10"/>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1" i="10"/>
  <c r="X102" i="10"/>
  <c r="X103" i="10"/>
  <c r="X104" i="10"/>
  <c r="X105" i="10"/>
  <c r="X106" i="10"/>
  <c r="X107" i="10"/>
  <c r="X108" i="10"/>
  <c r="X109" i="10"/>
  <c r="X110" i="10"/>
  <c r="X111" i="10"/>
  <c r="X112" i="10"/>
  <c r="X113" i="10"/>
  <c r="X114" i="10"/>
  <c r="X115" i="10"/>
  <c r="X116" i="10"/>
  <c r="X117" i="10"/>
  <c r="X118" i="10"/>
  <c r="X119" i="10"/>
  <c r="X120" i="10"/>
  <c r="X121" i="10"/>
  <c r="X122" i="10"/>
  <c r="X123" i="10"/>
  <c r="X124" i="10"/>
  <c r="X125" i="10"/>
  <c r="X126" i="10"/>
  <c r="X127" i="10"/>
  <c r="X128" i="10"/>
  <c r="X129" i="10"/>
  <c r="X130" i="10"/>
  <c r="X131" i="10"/>
  <c r="X132" i="10"/>
  <c r="X133" i="10"/>
  <c r="X134" i="10"/>
  <c r="X135" i="10"/>
  <c r="X136" i="10"/>
  <c r="X137" i="10"/>
  <c r="X138" i="10"/>
  <c r="X139" i="10"/>
  <c r="X140" i="10"/>
  <c r="X141" i="10"/>
  <c r="X142" i="10"/>
  <c r="X143" i="10"/>
  <c r="X144" i="10"/>
  <c r="X145" i="10"/>
  <c r="X146" i="10"/>
  <c r="X147" i="10"/>
  <c r="X148" i="10"/>
  <c r="X149" i="10"/>
  <c r="X150" i="10"/>
  <c r="X151" i="10"/>
  <c r="X153" i="10"/>
  <c r="X159"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3" i="10"/>
  <c r="Y159"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103" i="10"/>
  <c r="Z104" i="10"/>
  <c r="Z105" i="10"/>
  <c r="Z106" i="10"/>
  <c r="Z107" i="10"/>
  <c r="Z108" i="10"/>
  <c r="Z109" i="10"/>
  <c r="Z110" i="10"/>
  <c r="Z111" i="10"/>
  <c r="Z112" i="10"/>
  <c r="Z113" i="10"/>
  <c r="Z114" i="10"/>
  <c r="Z115" i="10"/>
  <c r="Z116" i="10"/>
  <c r="Z117" i="10"/>
  <c r="Z118" i="10"/>
  <c r="Z119" i="10"/>
  <c r="Z120" i="10"/>
  <c r="Z121" i="10"/>
  <c r="Z122" i="10"/>
  <c r="Z123" i="10"/>
  <c r="Z124" i="10"/>
  <c r="Z125" i="10"/>
  <c r="Z126" i="10"/>
  <c r="Z127" i="10"/>
  <c r="Z128" i="10"/>
  <c r="Z129" i="10"/>
  <c r="Z130" i="10"/>
  <c r="Z131" i="10"/>
  <c r="Z132" i="10"/>
  <c r="Z133" i="10"/>
  <c r="Z134" i="10"/>
  <c r="Z135" i="10"/>
  <c r="Z136" i="10"/>
  <c r="Z137" i="10"/>
  <c r="Z138" i="10"/>
  <c r="Z139" i="10"/>
  <c r="Z140" i="10"/>
  <c r="Z141" i="10"/>
  <c r="Z142" i="10"/>
  <c r="Z143" i="10"/>
  <c r="Z144" i="10"/>
  <c r="Z145" i="10"/>
  <c r="Z146" i="10"/>
  <c r="Z147" i="10"/>
  <c r="Z148" i="10"/>
  <c r="Z149" i="10"/>
  <c r="Z150" i="10"/>
  <c r="Z151" i="10"/>
  <c r="Z153" i="10"/>
  <c r="Z159"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3" i="10"/>
  <c r="AA159" i="10"/>
  <c r="AB142" i="10"/>
  <c r="AB143" i="10"/>
  <c r="AB144" i="10"/>
  <c r="AB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AB73" i="10"/>
  <c r="AB74" i="10"/>
  <c r="AB75" i="10"/>
  <c r="AB76" i="10"/>
  <c r="AB77" i="10"/>
  <c r="AB78" i="10"/>
  <c r="AB79" i="10"/>
  <c r="AB80" i="10"/>
  <c r="AB81" i="10"/>
  <c r="AB82" i="10"/>
  <c r="AB83" i="10"/>
  <c r="AB84" i="10"/>
  <c r="AB85" i="10"/>
  <c r="AB86" i="10"/>
  <c r="AB87" i="10"/>
  <c r="AB88" i="10"/>
  <c r="AB89" i="10"/>
  <c r="AB90" i="10"/>
  <c r="AB91" i="10"/>
  <c r="AB92" i="10"/>
  <c r="AB93" i="10"/>
  <c r="AB94" i="10"/>
  <c r="AB95" i="10"/>
  <c r="AB96" i="10"/>
  <c r="AB97" i="10"/>
  <c r="AB98" i="10"/>
  <c r="AB99" i="10"/>
  <c r="AB100" i="10"/>
  <c r="AB101" i="10"/>
  <c r="AB102" i="10"/>
  <c r="AB103" i="10"/>
  <c r="AB104" i="10"/>
  <c r="AB105" i="10"/>
  <c r="AB106" i="10"/>
  <c r="AB107" i="10"/>
  <c r="AB108" i="10"/>
  <c r="AB109" i="10"/>
  <c r="AB110" i="10"/>
  <c r="AB111" i="10"/>
  <c r="AB112" i="10"/>
  <c r="AB113" i="10"/>
  <c r="AB114" i="10"/>
  <c r="AB115" i="10"/>
  <c r="AB116" i="10"/>
  <c r="AB117" i="10"/>
  <c r="AB118" i="10"/>
  <c r="AB119" i="10"/>
  <c r="AB120" i="10"/>
  <c r="AB121" i="10"/>
  <c r="AB122" i="10"/>
  <c r="AB123" i="10"/>
  <c r="AB124" i="10"/>
  <c r="AB125" i="10"/>
  <c r="AB126" i="10"/>
  <c r="AB127" i="10"/>
  <c r="AB128" i="10"/>
  <c r="AB129" i="10"/>
  <c r="AB130" i="10"/>
  <c r="AB131" i="10"/>
  <c r="AB132" i="10"/>
  <c r="AB133" i="10"/>
  <c r="AB134" i="10"/>
  <c r="AB135" i="10"/>
  <c r="AB136" i="10"/>
  <c r="AB137" i="10"/>
  <c r="AB138" i="10"/>
  <c r="AB139" i="10"/>
  <c r="AB140" i="10"/>
  <c r="AB141" i="10"/>
  <c r="AB145" i="10"/>
  <c r="AB146" i="10"/>
  <c r="AB147" i="10"/>
  <c r="AB148" i="10"/>
  <c r="AB149" i="10"/>
  <c r="AB150" i="10"/>
  <c r="AB151" i="10"/>
  <c r="AB153" i="10"/>
  <c r="AB159" i="10"/>
  <c r="AC8"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C109" i="10"/>
  <c r="AC110" i="10"/>
  <c r="AC111" i="10"/>
  <c r="AC112" i="10"/>
  <c r="AC113" i="10"/>
  <c r="AC114" i="10"/>
  <c r="AC115" i="10"/>
  <c r="AC116" i="10"/>
  <c r="AC117" i="10"/>
  <c r="AC118" i="10"/>
  <c r="AC119" i="10"/>
  <c r="AC120" i="10"/>
  <c r="AC121" i="10"/>
  <c r="AC122" i="10"/>
  <c r="AC123" i="10"/>
  <c r="AC124" i="10"/>
  <c r="AC125" i="10"/>
  <c r="AC126" i="10"/>
  <c r="AC127" i="10"/>
  <c r="AC128" i="10"/>
  <c r="AC129" i="10"/>
  <c r="AC130" i="10"/>
  <c r="AC131" i="10"/>
  <c r="AC132" i="10"/>
  <c r="AC133" i="10"/>
  <c r="AC134" i="10"/>
  <c r="AC135" i="10"/>
  <c r="AC136" i="10"/>
  <c r="AC137" i="10"/>
  <c r="AC138" i="10"/>
  <c r="AC139" i="10"/>
  <c r="AC140" i="10"/>
  <c r="AC141" i="10"/>
  <c r="AC142" i="10"/>
  <c r="AC143" i="10"/>
  <c r="AC144" i="10"/>
  <c r="AC145" i="10"/>
  <c r="AC146" i="10"/>
  <c r="AC147" i="10"/>
  <c r="AC148" i="10"/>
  <c r="AC149" i="10"/>
  <c r="AC150" i="10"/>
  <c r="AC151" i="10"/>
  <c r="AC153" i="10"/>
  <c r="AC159"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104" i="10"/>
  <c r="AD105" i="10"/>
  <c r="AD106" i="10"/>
  <c r="AD107" i="10"/>
  <c r="AD108" i="10"/>
  <c r="AD109" i="10"/>
  <c r="AD110" i="10"/>
  <c r="AD111" i="10"/>
  <c r="AD112" i="10"/>
  <c r="AD113" i="10"/>
  <c r="AD114" i="10"/>
  <c r="AD115" i="10"/>
  <c r="AD116" i="10"/>
  <c r="AD117" i="10"/>
  <c r="AD118" i="10"/>
  <c r="AD119" i="10"/>
  <c r="AD120" i="10"/>
  <c r="AD121" i="10"/>
  <c r="AD122" i="10"/>
  <c r="AD123" i="10"/>
  <c r="AD124" i="10"/>
  <c r="AD125" i="10"/>
  <c r="AD126" i="10"/>
  <c r="AD127" i="10"/>
  <c r="AD128" i="10"/>
  <c r="AD129" i="10"/>
  <c r="AD130" i="10"/>
  <c r="AD131" i="10"/>
  <c r="AD132" i="10"/>
  <c r="AD133" i="10"/>
  <c r="AD134" i="10"/>
  <c r="AD135" i="10"/>
  <c r="AD136" i="10"/>
  <c r="AD137" i="10"/>
  <c r="AD138" i="10"/>
  <c r="AD139" i="10"/>
  <c r="AD140" i="10"/>
  <c r="AD141" i="10"/>
  <c r="AD142" i="10"/>
  <c r="AD143" i="10"/>
  <c r="AD144" i="10"/>
  <c r="AD145" i="10"/>
  <c r="AD146" i="10"/>
  <c r="AD147" i="10"/>
  <c r="AD148" i="10"/>
  <c r="AD149" i="10"/>
  <c r="AD150" i="10"/>
  <c r="AD151" i="10"/>
  <c r="AD153" i="10"/>
  <c r="AD159" i="10"/>
  <c r="AE8" i="10"/>
  <c r="AE9" i="10"/>
  <c r="AE10" i="10"/>
  <c r="AE11" i="10"/>
  <c r="AE12" i="10"/>
  <c r="AE13" i="10"/>
  <c r="AE14" i="10"/>
  <c r="AE15" i="10"/>
  <c r="AE16" i="10"/>
  <c r="AE17" i="10"/>
  <c r="AE18" i="10"/>
  <c r="AE19" i="10"/>
  <c r="AE20" i="10"/>
  <c r="AE21" i="10"/>
  <c r="AE22" i="10"/>
  <c r="AE23" i="10"/>
  <c r="AE24" i="10"/>
  <c r="AE25" i="10"/>
  <c r="AE26" i="10"/>
  <c r="AE27" i="10"/>
  <c r="AE28" i="10"/>
  <c r="AE29" i="10"/>
  <c r="AE30" i="10"/>
  <c r="AE31" i="10"/>
  <c r="AE32" i="10"/>
  <c r="AE33" i="10"/>
  <c r="AE34" i="10"/>
  <c r="AE35" i="10"/>
  <c r="AE36" i="10"/>
  <c r="AE37" i="10"/>
  <c r="AE38" i="10"/>
  <c r="AE39" i="10"/>
  <c r="AE40" i="10"/>
  <c r="AE41" i="10"/>
  <c r="AE42" i="10"/>
  <c r="AE43" i="10"/>
  <c r="AE44" i="10"/>
  <c r="AE45" i="10"/>
  <c r="AE46" i="10"/>
  <c r="AE47" i="10"/>
  <c r="AE48" i="10"/>
  <c r="AE49" i="10"/>
  <c r="AE50" i="10"/>
  <c r="AE51" i="10"/>
  <c r="AE52" i="10"/>
  <c r="AE53" i="10"/>
  <c r="AE54" i="10"/>
  <c r="AE55" i="10"/>
  <c r="AE56" i="10"/>
  <c r="AE57" i="10"/>
  <c r="AE58" i="10"/>
  <c r="AE59" i="10"/>
  <c r="AE60" i="10"/>
  <c r="AE61" i="10"/>
  <c r="AE62" i="10"/>
  <c r="AE63" i="10"/>
  <c r="AE64" i="10"/>
  <c r="AE65" i="10"/>
  <c r="AE66" i="10"/>
  <c r="AE67" i="10"/>
  <c r="AE68" i="10"/>
  <c r="AE69" i="10"/>
  <c r="AE70" i="10"/>
  <c r="AE71" i="10"/>
  <c r="AE72" i="10"/>
  <c r="AE73" i="10"/>
  <c r="AE74" i="10"/>
  <c r="AE75" i="10"/>
  <c r="AE76" i="10"/>
  <c r="AE77" i="10"/>
  <c r="AE78" i="10"/>
  <c r="AE79" i="10"/>
  <c r="AE80" i="10"/>
  <c r="AE81" i="10"/>
  <c r="AE82" i="10"/>
  <c r="AE83" i="10"/>
  <c r="AE84" i="10"/>
  <c r="AE85" i="10"/>
  <c r="AE86" i="10"/>
  <c r="AE87" i="10"/>
  <c r="AE88" i="10"/>
  <c r="AE89" i="10"/>
  <c r="AE90" i="10"/>
  <c r="AE91" i="10"/>
  <c r="AE92" i="10"/>
  <c r="AE93" i="10"/>
  <c r="AE94" i="10"/>
  <c r="AE95" i="10"/>
  <c r="AE96" i="10"/>
  <c r="AE97" i="10"/>
  <c r="AE98" i="10"/>
  <c r="AE99" i="10"/>
  <c r="AE100" i="10"/>
  <c r="AE101" i="10"/>
  <c r="AE102" i="10"/>
  <c r="AE103" i="10"/>
  <c r="AE104" i="10"/>
  <c r="AE105" i="10"/>
  <c r="AE106" i="10"/>
  <c r="AE107" i="10"/>
  <c r="AE108" i="10"/>
  <c r="AE109" i="10"/>
  <c r="AE110" i="10"/>
  <c r="AE111" i="10"/>
  <c r="AE112" i="10"/>
  <c r="AE113" i="10"/>
  <c r="AE114" i="10"/>
  <c r="AE115" i="10"/>
  <c r="AE116" i="10"/>
  <c r="AE117" i="10"/>
  <c r="AE118" i="10"/>
  <c r="AE119" i="10"/>
  <c r="AE120" i="10"/>
  <c r="AE121" i="10"/>
  <c r="AE122" i="10"/>
  <c r="AE123" i="10"/>
  <c r="AE124" i="10"/>
  <c r="AE125" i="10"/>
  <c r="AE126" i="10"/>
  <c r="AE127" i="10"/>
  <c r="AE128" i="10"/>
  <c r="AE129" i="10"/>
  <c r="AE130" i="10"/>
  <c r="AE131" i="10"/>
  <c r="AE132" i="10"/>
  <c r="AE133" i="10"/>
  <c r="AE134" i="10"/>
  <c r="AE135" i="10"/>
  <c r="AE136" i="10"/>
  <c r="AE137" i="10"/>
  <c r="AE138" i="10"/>
  <c r="AE139" i="10"/>
  <c r="AE140" i="10"/>
  <c r="AE141" i="10"/>
  <c r="AE142" i="10"/>
  <c r="AE143" i="10"/>
  <c r="AE144" i="10"/>
  <c r="AE145" i="10"/>
  <c r="AE146" i="10"/>
  <c r="AE147" i="10"/>
  <c r="AE148" i="10"/>
  <c r="AE149" i="10"/>
  <c r="AE150" i="10"/>
  <c r="AE151" i="10"/>
  <c r="AE153" i="10"/>
  <c r="AE159" i="10"/>
  <c r="AF8" i="10"/>
  <c r="AF9" i="10"/>
  <c r="AF10" i="10"/>
  <c r="AF11" i="10"/>
  <c r="AF12" i="10"/>
  <c r="AF13" i="10"/>
  <c r="AF14" i="10"/>
  <c r="AF15" i="10"/>
  <c r="AF16" i="10"/>
  <c r="AF17" i="10"/>
  <c r="AF18" i="10"/>
  <c r="AF19" i="10"/>
  <c r="AF20" i="10"/>
  <c r="AF21" i="10"/>
  <c r="AF22" i="10"/>
  <c r="AF23" i="10"/>
  <c r="AF24" i="10"/>
  <c r="AF25" i="10"/>
  <c r="AF26" i="10"/>
  <c r="AF27" i="10"/>
  <c r="AF28" i="10"/>
  <c r="AF29" i="10"/>
  <c r="AF30" i="10"/>
  <c r="AF31" i="10"/>
  <c r="AF32" i="10"/>
  <c r="AF33" i="10"/>
  <c r="AF34" i="10"/>
  <c r="AF35" i="10"/>
  <c r="AF36" i="10"/>
  <c r="AF37" i="10"/>
  <c r="AF38" i="10"/>
  <c r="AF39" i="10"/>
  <c r="AF40" i="10"/>
  <c r="AF41" i="10"/>
  <c r="AF42" i="10"/>
  <c r="AF43" i="10"/>
  <c r="AF44" i="10"/>
  <c r="AF45" i="10"/>
  <c r="AF46" i="10"/>
  <c r="AF47" i="10"/>
  <c r="AF48" i="10"/>
  <c r="AF49" i="10"/>
  <c r="AF50" i="10"/>
  <c r="AF51" i="10"/>
  <c r="AF52" i="10"/>
  <c r="AF53" i="10"/>
  <c r="AF54" i="10"/>
  <c r="AF55" i="10"/>
  <c r="AF56" i="10"/>
  <c r="AF57" i="10"/>
  <c r="AF58" i="10"/>
  <c r="AF59" i="10"/>
  <c r="AF60" i="10"/>
  <c r="AF61" i="10"/>
  <c r="AF62" i="10"/>
  <c r="AF63" i="10"/>
  <c r="AF64" i="10"/>
  <c r="AF65" i="10"/>
  <c r="AF66" i="10"/>
  <c r="AF67" i="10"/>
  <c r="AF68" i="10"/>
  <c r="AF69" i="10"/>
  <c r="AF70" i="10"/>
  <c r="AF71" i="10"/>
  <c r="AF72" i="10"/>
  <c r="AF73" i="10"/>
  <c r="AF74" i="10"/>
  <c r="AF75" i="10"/>
  <c r="AF76" i="10"/>
  <c r="AF77" i="10"/>
  <c r="AF78" i="10"/>
  <c r="AF79" i="10"/>
  <c r="AF80" i="10"/>
  <c r="AF81" i="10"/>
  <c r="AF82" i="10"/>
  <c r="AF83" i="10"/>
  <c r="AF84" i="10"/>
  <c r="AF85" i="10"/>
  <c r="AF86" i="10"/>
  <c r="AF87" i="10"/>
  <c r="AF88" i="10"/>
  <c r="AF89" i="10"/>
  <c r="AF90" i="10"/>
  <c r="AF91" i="10"/>
  <c r="AF92" i="10"/>
  <c r="AF93" i="10"/>
  <c r="AF94" i="10"/>
  <c r="AF95" i="10"/>
  <c r="AF96" i="10"/>
  <c r="AF97" i="10"/>
  <c r="AF98" i="10"/>
  <c r="AF99" i="10"/>
  <c r="AF100" i="10"/>
  <c r="AF101" i="10"/>
  <c r="AF102" i="10"/>
  <c r="AF103" i="10"/>
  <c r="AF104" i="10"/>
  <c r="AF105" i="10"/>
  <c r="AF106" i="10"/>
  <c r="AF107" i="10"/>
  <c r="AF108" i="10"/>
  <c r="AF109" i="10"/>
  <c r="AF110" i="10"/>
  <c r="AF111" i="10"/>
  <c r="AF112" i="10"/>
  <c r="AF113" i="10"/>
  <c r="AF114" i="10"/>
  <c r="AF115" i="10"/>
  <c r="AF116" i="10"/>
  <c r="AF117" i="10"/>
  <c r="AF118" i="10"/>
  <c r="AF119" i="10"/>
  <c r="AF120" i="10"/>
  <c r="AF121" i="10"/>
  <c r="AF122" i="10"/>
  <c r="AF123" i="10"/>
  <c r="AF124" i="10"/>
  <c r="AF125" i="10"/>
  <c r="AF126" i="10"/>
  <c r="AF127" i="10"/>
  <c r="AF128" i="10"/>
  <c r="AF129" i="10"/>
  <c r="AF130" i="10"/>
  <c r="AF131" i="10"/>
  <c r="AF132" i="10"/>
  <c r="AF133" i="10"/>
  <c r="AF134" i="10"/>
  <c r="AF135" i="10"/>
  <c r="AF136" i="10"/>
  <c r="AF137" i="10"/>
  <c r="AF138" i="10"/>
  <c r="AF139" i="10"/>
  <c r="AF140" i="10"/>
  <c r="AF141" i="10"/>
  <c r="AF142" i="10"/>
  <c r="AF143" i="10"/>
  <c r="AF144" i="10"/>
  <c r="AF145" i="10"/>
  <c r="AF146" i="10"/>
  <c r="AF147" i="10"/>
  <c r="AF148" i="10"/>
  <c r="AF149" i="10"/>
  <c r="AF150" i="10"/>
  <c r="AF151" i="10"/>
  <c r="AF153" i="10"/>
  <c r="AF159" i="10"/>
  <c r="AG8"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G74" i="10"/>
  <c r="AG75" i="10"/>
  <c r="AG76" i="10"/>
  <c r="AG77" i="10"/>
  <c r="AG78" i="10"/>
  <c r="AG79" i="10"/>
  <c r="AG80" i="10"/>
  <c r="AG81" i="10"/>
  <c r="AG82" i="10"/>
  <c r="AG83" i="10"/>
  <c r="AG84" i="10"/>
  <c r="AG85" i="10"/>
  <c r="AG86" i="10"/>
  <c r="AG87" i="10"/>
  <c r="AG88" i="10"/>
  <c r="AG89" i="10"/>
  <c r="AG90" i="10"/>
  <c r="AG91" i="10"/>
  <c r="AG92" i="10"/>
  <c r="AG93" i="10"/>
  <c r="AG94" i="10"/>
  <c r="AG95" i="10"/>
  <c r="AG96" i="10"/>
  <c r="AG97" i="10"/>
  <c r="AG98" i="10"/>
  <c r="AG99" i="10"/>
  <c r="AG100" i="10"/>
  <c r="AG101" i="10"/>
  <c r="AG102" i="10"/>
  <c r="AG103" i="10"/>
  <c r="AG104" i="10"/>
  <c r="AG105" i="10"/>
  <c r="AG106" i="10"/>
  <c r="AG107" i="10"/>
  <c r="AG108" i="10"/>
  <c r="AG109" i="10"/>
  <c r="AG110" i="10"/>
  <c r="AG111" i="10"/>
  <c r="AG112" i="10"/>
  <c r="AG113" i="10"/>
  <c r="AG114" i="10"/>
  <c r="AG115" i="10"/>
  <c r="AG116" i="10"/>
  <c r="AG117" i="10"/>
  <c r="AG118" i="10"/>
  <c r="AG119" i="10"/>
  <c r="AG120" i="10"/>
  <c r="AG121" i="10"/>
  <c r="AG122" i="10"/>
  <c r="AG123" i="10"/>
  <c r="AG124" i="10"/>
  <c r="AG125" i="10"/>
  <c r="AG126" i="10"/>
  <c r="AG127" i="10"/>
  <c r="AG128" i="10"/>
  <c r="AG129" i="10"/>
  <c r="AG130" i="10"/>
  <c r="AG131" i="10"/>
  <c r="AG132" i="10"/>
  <c r="AG133" i="10"/>
  <c r="AG134" i="10"/>
  <c r="AG135" i="10"/>
  <c r="AG136" i="10"/>
  <c r="AG137" i="10"/>
  <c r="AG138" i="10"/>
  <c r="AG139" i="10"/>
  <c r="AG140" i="10"/>
  <c r="AG141" i="10"/>
  <c r="AG142" i="10"/>
  <c r="AG143" i="10"/>
  <c r="AG144" i="10"/>
  <c r="AG145" i="10"/>
  <c r="AG146" i="10"/>
  <c r="AG147" i="10"/>
  <c r="AG148" i="10"/>
  <c r="AG149" i="10"/>
  <c r="AG150" i="10"/>
  <c r="AG151" i="10"/>
  <c r="AG153" i="10"/>
  <c r="AG159" i="10"/>
  <c r="AH8" i="10"/>
  <c r="AH9" i="10"/>
  <c r="AH10" i="10"/>
  <c r="AH11" i="10"/>
  <c r="AH12" i="10"/>
  <c r="AH13" i="10"/>
  <c r="AH14" i="10"/>
  <c r="AH15" i="10"/>
  <c r="AH16" i="10"/>
  <c r="AH17" i="10"/>
  <c r="AH18" i="10"/>
  <c r="AH19" i="10"/>
  <c r="AH20" i="10"/>
  <c r="AH21" i="10"/>
  <c r="AH22" i="10"/>
  <c r="AH23" i="10"/>
  <c r="AH24" i="10"/>
  <c r="AH25" i="10"/>
  <c r="AH26" i="10"/>
  <c r="AH27" i="10"/>
  <c r="AH28" i="10"/>
  <c r="AH29" i="10"/>
  <c r="AH30" i="10"/>
  <c r="AH31" i="10"/>
  <c r="AH32" i="10"/>
  <c r="AH33" i="10"/>
  <c r="AH34" i="10"/>
  <c r="AH35" i="10"/>
  <c r="AH36" i="10"/>
  <c r="AH37" i="10"/>
  <c r="AH38" i="10"/>
  <c r="AH39" i="10"/>
  <c r="AH40" i="10"/>
  <c r="AH41" i="10"/>
  <c r="AH42" i="10"/>
  <c r="AH43" i="10"/>
  <c r="AH44" i="10"/>
  <c r="AH45" i="10"/>
  <c r="AH46" i="10"/>
  <c r="AH47" i="10"/>
  <c r="AH48" i="10"/>
  <c r="AH49" i="10"/>
  <c r="AH50" i="10"/>
  <c r="AH51" i="10"/>
  <c r="AH52" i="10"/>
  <c r="AH53" i="10"/>
  <c r="AH54" i="10"/>
  <c r="AH55" i="10"/>
  <c r="AH56" i="10"/>
  <c r="AH57" i="10"/>
  <c r="AH58" i="10"/>
  <c r="AH59" i="10"/>
  <c r="AH60" i="10"/>
  <c r="AH61" i="10"/>
  <c r="AH62" i="10"/>
  <c r="AH63" i="10"/>
  <c r="AH64" i="10"/>
  <c r="AH65" i="10"/>
  <c r="AH66" i="10"/>
  <c r="AH67" i="10"/>
  <c r="AH68" i="10"/>
  <c r="AH69" i="10"/>
  <c r="AH70" i="10"/>
  <c r="AH71" i="10"/>
  <c r="AH72" i="10"/>
  <c r="AH73" i="10"/>
  <c r="AH74" i="10"/>
  <c r="AH75" i="10"/>
  <c r="AH76" i="10"/>
  <c r="AH77" i="10"/>
  <c r="AH78" i="10"/>
  <c r="AH79" i="10"/>
  <c r="AH80" i="10"/>
  <c r="AH81" i="10"/>
  <c r="AH82" i="10"/>
  <c r="AH83" i="10"/>
  <c r="AH84" i="10"/>
  <c r="AH85" i="10"/>
  <c r="AH86" i="10"/>
  <c r="AH87" i="10"/>
  <c r="AH88" i="10"/>
  <c r="AH89" i="10"/>
  <c r="AH90" i="10"/>
  <c r="AH91" i="10"/>
  <c r="AH92" i="10"/>
  <c r="AH93" i="10"/>
  <c r="AH94" i="10"/>
  <c r="AH95" i="10"/>
  <c r="AH96" i="10"/>
  <c r="AH97" i="10"/>
  <c r="AH98" i="10"/>
  <c r="AH99" i="10"/>
  <c r="AH100" i="10"/>
  <c r="AH101" i="10"/>
  <c r="AH102" i="10"/>
  <c r="AH103" i="10"/>
  <c r="AH104" i="10"/>
  <c r="AH105" i="10"/>
  <c r="AH106" i="10"/>
  <c r="AH107" i="10"/>
  <c r="AH108" i="10"/>
  <c r="AH109" i="10"/>
  <c r="AH110" i="10"/>
  <c r="AH111" i="10"/>
  <c r="AH112" i="10"/>
  <c r="AH113" i="10"/>
  <c r="AH114" i="10"/>
  <c r="AH115" i="10"/>
  <c r="AH116" i="10"/>
  <c r="AH117" i="10"/>
  <c r="AH118" i="10"/>
  <c r="AH119" i="10"/>
  <c r="AH120" i="10"/>
  <c r="AH121" i="10"/>
  <c r="AH122" i="10"/>
  <c r="AH123" i="10"/>
  <c r="AH124" i="10"/>
  <c r="AH125" i="10"/>
  <c r="AH126" i="10"/>
  <c r="AH127" i="10"/>
  <c r="AH128" i="10"/>
  <c r="AH129" i="10"/>
  <c r="AH130" i="10"/>
  <c r="AH131" i="10"/>
  <c r="AH132" i="10"/>
  <c r="AH133" i="10"/>
  <c r="AH134" i="10"/>
  <c r="AH135" i="10"/>
  <c r="AH136" i="10"/>
  <c r="AH137" i="10"/>
  <c r="AH138" i="10"/>
  <c r="AH139" i="10"/>
  <c r="AH140" i="10"/>
  <c r="AH141" i="10"/>
  <c r="AH142" i="10"/>
  <c r="AH143" i="10"/>
  <c r="AH144" i="10"/>
  <c r="AH145" i="10"/>
  <c r="AH146" i="10"/>
  <c r="AH147" i="10"/>
  <c r="AH148" i="10"/>
  <c r="AH149" i="10"/>
  <c r="AH150" i="10"/>
  <c r="AH151" i="10"/>
  <c r="AH153" i="10"/>
  <c r="AH159" i="10"/>
  <c r="AI8" i="10"/>
  <c r="AI9" i="10"/>
  <c r="AI10" i="10"/>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47" i="10"/>
  <c r="AI48" i="10"/>
  <c r="AI49" i="10"/>
  <c r="AI50" i="10"/>
  <c r="AI51" i="10"/>
  <c r="AI52" i="10"/>
  <c r="AI53" i="10"/>
  <c r="AI54" i="10"/>
  <c r="AI55" i="10"/>
  <c r="AI56" i="10"/>
  <c r="AI57" i="10"/>
  <c r="AI58" i="10"/>
  <c r="AI59" i="10"/>
  <c r="AI60" i="10"/>
  <c r="AI61" i="10"/>
  <c r="AI62" i="10"/>
  <c r="AI63" i="10"/>
  <c r="AI64" i="10"/>
  <c r="AI65" i="10"/>
  <c r="AI66" i="10"/>
  <c r="AI67" i="10"/>
  <c r="AI68" i="10"/>
  <c r="AI69" i="10"/>
  <c r="AI70" i="10"/>
  <c r="AI71" i="10"/>
  <c r="AI72" i="10"/>
  <c r="AI73" i="10"/>
  <c r="AI74" i="10"/>
  <c r="AI75" i="10"/>
  <c r="AI76" i="10"/>
  <c r="AI77" i="10"/>
  <c r="AI78" i="10"/>
  <c r="AI79" i="10"/>
  <c r="AI80" i="10"/>
  <c r="AI81" i="10"/>
  <c r="AI82" i="10"/>
  <c r="AI83" i="10"/>
  <c r="AI84" i="10"/>
  <c r="AI85" i="10"/>
  <c r="AI86" i="10"/>
  <c r="AI87" i="10"/>
  <c r="AI88" i="10"/>
  <c r="AI89" i="10"/>
  <c r="AI90" i="10"/>
  <c r="AI91" i="10"/>
  <c r="AI92" i="10"/>
  <c r="AI93" i="10"/>
  <c r="AI94" i="10"/>
  <c r="AI95" i="10"/>
  <c r="AI96" i="10"/>
  <c r="AI97" i="10"/>
  <c r="AI98" i="10"/>
  <c r="AI99" i="10"/>
  <c r="AI100" i="10"/>
  <c r="AI101" i="10"/>
  <c r="AI102" i="10"/>
  <c r="AI103" i="10"/>
  <c r="AI104" i="10"/>
  <c r="AI105" i="10"/>
  <c r="AI106" i="10"/>
  <c r="AI107" i="10"/>
  <c r="AI108" i="10"/>
  <c r="AI109" i="10"/>
  <c r="AI110" i="10"/>
  <c r="AI111" i="10"/>
  <c r="AI112" i="10"/>
  <c r="AI113" i="10"/>
  <c r="AI114" i="10"/>
  <c r="AI115" i="10"/>
  <c r="AI116" i="10"/>
  <c r="AI117" i="10"/>
  <c r="AI118" i="10"/>
  <c r="AI119" i="10"/>
  <c r="AI120" i="10"/>
  <c r="AI121" i="10"/>
  <c r="AI122" i="10"/>
  <c r="AI123" i="10"/>
  <c r="AI124" i="10"/>
  <c r="AI125" i="10"/>
  <c r="AI126" i="10"/>
  <c r="AI127" i="10"/>
  <c r="AI128" i="10"/>
  <c r="AI129" i="10"/>
  <c r="AI130" i="10"/>
  <c r="AI131" i="10"/>
  <c r="AI132" i="10"/>
  <c r="AI133" i="10"/>
  <c r="AI134" i="10"/>
  <c r="AI135" i="10"/>
  <c r="AI136" i="10"/>
  <c r="AI137" i="10"/>
  <c r="AI138" i="10"/>
  <c r="AI139" i="10"/>
  <c r="AI140" i="10"/>
  <c r="AI141" i="10"/>
  <c r="AI142" i="10"/>
  <c r="AI143" i="10"/>
  <c r="AI144" i="10"/>
  <c r="AI145" i="10"/>
  <c r="AI146" i="10"/>
  <c r="AI147" i="10"/>
  <c r="AI148" i="10"/>
  <c r="AI149" i="10"/>
  <c r="AI150" i="10"/>
  <c r="AI151" i="10"/>
  <c r="AI153" i="10"/>
  <c r="AI159" i="10"/>
  <c r="AJ8" i="10"/>
  <c r="AJ9" i="10"/>
  <c r="AJ10" i="10"/>
  <c r="AJ11" i="10"/>
  <c r="AJ12" i="10"/>
  <c r="AJ13" i="10"/>
  <c r="AJ14" i="10"/>
  <c r="AJ15" i="10"/>
  <c r="AJ16" i="10"/>
  <c r="AJ17" i="10"/>
  <c r="AJ18" i="10"/>
  <c r="AJ19" i="10"/>
  <c r="AJ20" i="10"/>
  <c r="AJ21" i="10"/>
  <c r="AJ22" i="10"/>
  <c r="AJ23" i="10"/>
  <c r="AJ24" i="10"/>
  <c r="AJ25" i="10"/>
  <c r="AJ26" i="10"/>
  <c r="AJ27" i="10"/>
  <c r="AJ28" i="10"/>
  <c r="AJ29" i="10"/>
  <c r="AJ30" i="10"/>
  <c r="AJ31" i="10"/>
  <c r="AJ32" i="10"/>
  <c r="AJ33" i="10"/>
  <c r="AJ34" i="10"/>
  <c r="AJ35" i="10"/>
  <c r="AJ36" i="10"/>
  <c r="AJ37" i="10"/>
  <c r="AJ38" i="10"/>
  <c r="AJ39" i="10"/>
  <c r="AJ40" i="10"/>
  <c r="AJ41" i="10"/>
  <c r="AJ42" i="10"/>
  <c r="AJ43" i="10"/>
  <c r="AJ44" i="10"/>
  <c r="AJ45" i="10"/>
  <c r="AJ46" i="10"/>
  <c r="AJ47" i="10"/>
  <c r="AJ48" i="10"/>
  <c r="AJ49" i="10"/>
  <c r="AJ50" i="10"/>
  <c r="AJ51" i="10"/>
  <c r="AJ52" i="10"/>
  <c r="AJ53" i="10"/>
  <c r="AJ54" i="10"/>
  <c r="AJ55" i="10"/>
  <c r="AJ56" i="10"/>
  <c r="AJ57" i="10"/>
  <c r="AJ58" i="10"/>
  <c r="AJ59" i="10"/>
  <c r="AJ60" i="10"/>
  <c r="AJ61" i="10"/>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7" i="10"/>
  <c r="AJ88" i="10"/>
  <c r="AJ89" i="10"/>
  <c r="AJ90" i="10"/>
  <c r="AJ91" i="10"/>
  <c r="AJ92" i="10"/>
  <c r="AJ93" i="10"/>
  <c r="AJ94" i="10"/>
  <c r="AJ95" i="10"/>
  <c r="AJ96" i="10"/>
  <c r="AJ97" i="10"/>
  <c r="AJ98" i="10"/>
  <c r="AJ99" i="10"/>
  <c r="AJ100" i="10"/>
  <c r="AJ101" i="10"/>
  <c r="AJ102" i="10"/>
  <c r="AJ103" i="10"/>
  <c r="AJ104" i="10"/>
  <c r="AJ105" i="10"/>
  <c r="AJ106" i="10"/>
  <c r="AJ107" i="10"/>
  <c r="AJ108" i="10"/>
  <c r="AJ109" i="10"/>
  <c r="AJ110" i="10"/>
  <c r="AJ111" i="10"/>
  <c r="AJ112" i="10"/>
  <c r="AJ113" i="10"/>
  <c r="AJ114" i="10"/>
  <c r="AJ115" i="10"/>
  <c r="AJ116" i="10"/>
  <c r="AJ117" i="10"/>
  <c r="AJ118" i="10"/>
  <c r="AJ119" i="10"/>
  <c r="AJ120" i="10"/>
  <c r="AJ121" i="10"/>
  <c r="AJ122" i="10"/>
  <c r="AJ123" i="10"/>
  <c r="AJ124" i="10"/>
  <c r="AJ125" i="10"/>
  <c r="AJ126" i="10"/>
  <c r="AJ127" i="10"/>
  <c r="AJ128" i="10"/>
  <c r="AJ129" i="10"/>
  <c r="AJ130" i="10"/>
  <c r="AJ131" i="10"/>
  <c r="AJ132" i="10"/>
  <c r="AJ133" i="10"/>
  <c r="AJ134" i="10"/>
  <c r="AJ135" i="10"/>
  <c r="AJ136" i="10"/>
  <c r="AJ137" i="10"/>
  <c r="AJ138" i="10"/>
  <c r="AJ139" i="10"/>
  <c r="AJ140" i="10"/>
  <c r="AJ141" i="10"/>
  <c r="AJ142" i="10"/>
  <c r="AJ143" i="10"/>
  <c r="AJ144" i="10"/>
  <c r="AJ145" i="10"/>
  <c r="AJ146" i="10"/>
  <c r="AJ147" i="10"/>
  <c r="AJ148" i="10"/>
  <c r="AJ149" i="10"/>
  <c r="AJ150" i="10"/>
  <c r="AJ151" i="10"/>
  <c r="AJ153" i="10"/>
  <c r="AJ159" i="10"/>
  <c r="AK8" i="10"/>
  <c r="AK9" i="10"/>
  <c r="AK10" i="10"/>
  <c r="AK11" i="10"/>
  <c r="AK12" i="10"/>
  <c r="AK13" i="10"/>
  <c r="AK14" i="10"/>
  <c r="AK15" i="10"/>
  <c r="AK16" i="10"/>
  <c r="AK17" i="10"/>
  <c r="AK18" i="10"/>
  <c r="AK19" i="10"/>
  <c r="AK20" i="10"/>
  <c r="AK21" i="10"/>
  <c r="AK22" i="10"/>
  <c r="AK23" i="10"/>
  <c r="AK24" i="10"/>
  <c r="AK25" i="10"/>
  <c r="AK26" i="10"/>
  <c r="AK27" i="10"/>
  <c r="AK28" i="10"/>
  <c r="AK29" i="10"/>
  <c r="AK30" i="10"/>
  <c r="AK31" i="10"/>
  <c r="AK32" i="10"/>
  <c r="AK33" i="10"/>
  <c r="AK34" i="10"/>
  <c r="AK35" i="10"/>
  <c r="AK36" i="10"/>
  <c r="AK37" i="10"/>
  <c r="AK38" i="10"/>
  <c r="AK39" i="10"/>
  <c r="AK40" i="10"/>
  <c r="AK41" i="10"/>
  <c r="AK42" i="10"/>
  <c r="AK43" i="10"/>
  <c r="AK44" i="10"/>
  <c r="AK45" i="10"/>
  <c r="AK46" i="10"/>
  <c r="AK47" i="10"/>
  <c r="AK48" i="10"/>
  <c r="AK49" i="10"/>
  <c r="AK50" i="10"/>
  <c r="AK51" i="10"/>
  <c r="AK52" i="10"/>
  <c r="AK53" i="10"/>
  <c r="AK54" i="10"/>
  <c r="AK55" i="10"/>
  <c r="AK56" i="10"/>
  <c r="AK57" i="10"/>
  <c r="AK58" i="10"/>
  <c r="AK59" i="10"/>
  <c r="AK60" i="10"/>
  <c r="AK61" i="10"/>
  <c r="AK62" i="10"/>
  <c r="AK63" i="10"/>
  <c r="AK64" i="10"/>
  <c r="AK65" i="10"/>
  <c r="AK66" i="10"/>
  <c r="AK67" i="10"/>
  <c r="AK68" i="10"/>
  <c r="AK69" i="10"/>
  <c r="AK70" i="10"/>
  <c r="AK71" i="10"/>
  <c r="AK72" i="10"/>
  <c r="AK73" i="10"/>
  <c r="AK74" i="10"/>
  <c r="AK75" i="10"/>
  <c r="AK76" i="10"/>
  <c r="AK77" i="10"/>
  <c r="AK78" i="10"/>
  <c r="AK79" i="10"/>
  <c r="AK80" i="10"/>
  <c r="AK81" i="10"/>
  <c r="AK82" i="10"/>
  <c r="AK83" i="10"/>
  <c r="AK84" i="10"/>
  <c r="AK85" i="10"/>
  <c r="AK86" i="10"/>
  <c r="AK87" i="10"/>
  <c r="AK88" i="10"/>
  <c r="AK89" i="10"/>
  <c r="AK90" i="10"/>
  <c r="AK91" i="10"/>
  <c r="AK92" i="10"/>
  <c r="AK93" i="10"/>
  <c r="AK94" i="10"/>
  <c r="AK95" i="10"/>
  <c r="AK96" i="10"/>
  <c r="AK97" i="10"/>
  <c r="AK98" i="10"/>
  <c r="AK99" i="10"/>
  <c r="AK100" i="10"/>
  <c r="AK101" i="10"/>
  <c r="AK102" i="10"/>
  <c r="AK103" i="10"/>
  <c r="AK104" i="10"/>
  <c r="AK105" i="10"/>
  <c r="AK106" i="10"/>
  <c r="AK107" i="10"/>
  <c r="AK108" i="10"/>
  <c r="AK109" i="10"/>
  <c r="AK110" i="10"/>
  <c r="AK111" i="10"/>
  <c r="AK112" i="10"/>
  <c r="AK113" i="10"/>
  <c r="AK114" i="10"/>
  <c r="AK115" i="10"/>
  <c r="AK116" i="10"/>
  <c r="AK117" i="10"/>
  <c r="AK118" i="10"/>
  <c r="AK119" i="10"/>
  <c r="AK120" i="10"/>
  <c r="AK121" i="10"/>
  <c r="AK122" i="10"/>
  <c r="AK123" i="10"/>
  <c r="AK124" i="10"/>
  <c r="AK125" i="10"/>
  <c r="AK126" i="10"/>
  <c r="AK127" i="10"/>
  <c r="AK128" i="10"/>
  <c r="AK129" i="10"/>
  <c r="AK130" i="10"/>
  <c r="AK131" i="10"/>
  <c r="AK132" i="10"/>
  <c r="AK133" i="10"/>
  <c r="AK134" i="10"/>
  <c r="AK135" i="10"/>
  <c r="AK136" i="10"/>
  <c r="AK137" i="10"/>
  <c r="AK138" i="10"/>
  <c r="AK139" i="10"/>
  <c r="AK140" i="10"/>
  <c r="AK141" i="10"/>
  <c r="AK142" i="10"/>
  <c r="AK143" i="10"/>
  <c r="AK144" i="10"/>
  <c r="AK145" i="10"/>
  <c r="AK146" i="10"/>
  <c r="AK147" i="10"/>
  <c r="AK148" i="10"/>
  <c r="AK149" i="10"/>
  <c r="AK150" i="10"/>
  <c r="AK151" i="10"/>
  <c r="AK153" i="10"/>
  <c r="AK159"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L63" i="10"/>
  <c r="AL64" i="10"/>
  <c r="AL65" i="10"/>
  <c r="AL66" i="10"/>
  <c r="AL67" i="10"/>
  <c r="AL68" i="10"/>
  <c r="AL69" i="10"/>
  <c r="AL70" i="10"/>
  <c r="AL71" i="10"/>
  <c r="AL72" i="10"/>
  <c r="AL73" i="10"/>
  <c r="AL74" i="10"/>
  <c r="AL75" i="10"/>
  <c r="AL76" i="10"/>
  <c r="AL77" i="10"/>
  <c r="AL78" i="10"/>
  <c r="AL79" i="10"/>
  <c r="AL80" i="10"/>
  <c r="AL81" i="10"/>
  <c r="AL82" i="10"/>
  <c r="AL83" i="10"/>
  <c r="AL84" i="10"/>
  <c r="AL85" i="10"/>
  <c r="AL86" i="10"/>
  <c r="AL87" i="10"/>
  <c r="AL88" i="10"/>
  <c r="AL89" i="10"/>
  <c r="AL90" i="10"/>
  <c r="AL91" i="10"/>
  <c r="AL92" i="10"/>
  <c r="AL93" i="10"/>
  <c r="AL94" i="10"/>
  <c r="AL95" i="10"/>
  <c r="AL96" i="10"/>
  <c r="AL97" i="10"/>
  <c r="AL98" i="10"/>
  <c r="AL99" i="10"/>
  <c r="AL100" i="10"/>
  <c r="AL101" i="10"/>
  <c r="AL102" i="10"/>
  <c r="AL103" i="10"/>
  <c r="AL104" i="10"/>
  <c r="AL105" i="10"/>
  <c r="AL106" i="10"/>
  <c r="AL107" i="10"/>
  <c r="AL108" i="10"/>
  <c r="AL109" i="10"/>
  <c r="AL110" i="10"/>
  <c r="AL111" i="10"/>
  <c r="AL112" i="10"/>
  <c r="AL113" i="10"/>
  <c r="AL114" i="10"/>
  <c r="AL115" i="10"/>
  <c r="AL116" i="10"/>
  <c r="AL117" i="10"/>
  <c r="AL118" i="10"/>
  <c r="AL119" i="10"/>
  <c r="AL120" i="10"/>
  <c r="AL121" i="10"/>
  <c r="AL122" i="10"/>
  <c r="AL123" i="10"/>
  <c r="AL124" i="10"/>
  <c r="AL125" i="10"/>
  <c r="AL126" i="10"/>
  <c r="AL127" i="10"/>
  <c r="AL128" i="10"/>
  <c r="AL129" i="10"/>
  <c r="AL130" i="10"/>
  <c r="AL131" i="10"/>
  <c r="AL132" i="10"/>
  <c r="AL133" i="10"/>
  <c r="AL134" i="10"/>
  <c r="AL135" i="10"/>
  <c r="AL136" i="10"/>
  <c r="AL137" i="10"/>
  <c r="AL138" i="10"/>
  <c r="AL139" i="10"/>
  <c r="AL140" i="10"/>
  <c r="AL141" i="10"/>
  <c r="AL142" i="10"/>
  <c r="AL143" i="10"/>
  <c r="AL146" i="10"/>
  <c r="AL147" i="10"/>
  <c r="AL148" i="10"/>
  <c r="AL149" i="10"/>
  <c r="AL150" i="10"/>
  <c r="AL151" i="10"/>
  <c r="AL153" i="10"/>
  <c r="AL159"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1" i="10"/>
  <c r="AM102" i="10"/>
  <c r="AM103" i="10"/>
  <c r="AM104" i="10"/>
  <c r="AM105" i="10"/>
  <c r="AM106" i="10"/>
  <c r="AM107" i="10"/>
  <c r="AM108" i="10"/>
  <c r="AM109" i="10"/>
  <c r="AM110" i="10"/>
  <c r="AM111" i="10"/>
  <c r="AM112" i="10"/>
  <c r="AM113" i="10"/>
  <c r="AM114" i="10"/>
  <c r="AM115" i="10"/>
  <c r="AM116" i="10"/>
  <c r="AM117" i="10"/>
  <c r="AM118" i="10"/>
  <c r="AM119" i="10"/>
  <c r="AM120" i="10"/>
  <c r="AM121" i="10"/>
  <c r="AM122" i="10"/>
  <c r="AM123" i="10"/>
  <c r="AM124" i="10"/>
  <c r="AM125" i="10"/>
  <c r="AM126" i="10"/>
  <c r="AM127" i="10"/>
  <c r="AM128" i="10"/>
  <c r="AM129" i="10"/>
  <c r="AM130" i="10"/>
  <c r="AM131" i="10"/>
  <c r="AM132" i="10"/>
  <c r="AM133" i="10"/>
  <c r="AM134" i="10"/>
  <c r="AM135" i="10"/>
  <c r="AM136" i="10"/>
  <c r="AM137" i="10"/>
  <c r="AM138" i="10"/>
  <c r="AM139" i="10"/>
  <c r="AM140" i="10"/>
  <c r="AM141" i="10"/>
  <c r="AM142" i="10"/>
  <c r="AM143" i="10"/>
  <c r="AM144" i="10"/>
  <c r="AM145" i="10"/>
  <c r="AM146" i="10"/>
  <c r="AM147" i="10"/>
  <c r="AM148" i="10"/>
  <c r="AM149" i="10"/>
  <c r="AM150" i="10"/>
  <c r="AM151" i="10"/>
  <c r="AM153" i="10"/>
  <c r="AM159"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2" i="10"/>
  <c r="AN33" i="10"/>
  <c r="AN34" i="10"/>
  <c r="AN35" i="10"/>
  <c r="AN36" i="10"/>
  <c r="AN37" i="10"/>
  <c r="AN38" i="10"/>
  <c r="AN39" i="10"/>
  <c r="AN40" i="10"/>
  <c r="AN41" i="10"/>
  <c r="AN42" i="10"/>
  <c r="AN43" i="10"/>
  <c r="AN44" i="10"/>
  <c r="AN45" i="10"/>
  <c r="AN46" i="10"/>
  <c r="AN47" i="10"/>
  <c r="AN48" i="10"/>
  <c r="AN49" i="10"/>
  <c r="AN50" i="10"/>
  <c r="AN51" i="10"/>
  <c r="AN52" i="10"/>
  <c r="AN53" i="10"/>
  <c r="AN54" i="10"/>
  <c r="AN55" i="10"/>
  <c r="AN56" i="10"/>
  <c r="AN57" i="10"/>
  <c r="AN58" i="10"/>
  <c r="AN59" i="10"/>
  <c r="AN60" i="10"/>
  <c r="AN61" i="10"/>
  <c r="AN62" i="10"/>
  <c r="AN63" i="10"/>
  <c r="AN64" i="10"/>
  <c r="AN65" i="10"/>
  <c r="AN66" i="10"/>
  <c r="AN67" i="10"/>
  <c r="AN68" i="10"/>
  <c r="AN69" i="10"/>
  <c r="AN70" i="10"/>
  <c r="AN71" i="10"/>
  <c r="AN72" i="10"/>
  <c r="AN73" i="10"/>
  <c r="AN74" i="10"/>
  <c r="AN75" i="10"/>
  <c r="AN76" i="10"/>
  <c r="AN77" i="10"/>
  <c r="AN78" i="10"/>
  <c r="AN79" i="10"/>
  <c r="AN80" i="10"/>
  <c r="AN81" i="10"/>
  <c r="AN82" i="10"/>
  <c r="AN83" i="10"/>
  <c r="AN84" i="10"/>
  <c r="AN85" i="10"/>
  <c r="AN86" i="10"/>
  <c r="AN87" i="10"/>
  <c r="AN88" i="10"/>
  <c r="AN89" i="10"/>
  <c r="AN90" i="10"/>
  <c r="AN91" i="10"/>
  <c r="AN92" i="10"/>
  <c r="AN93" i="10"/>
  <c r="AN94" i="10"/>
  <c r="AN95" i="10"/>
  <c r="AN96" i="10"/>
  <c r="AN97" i="10"/>
  <c r="AN98" i="10"/>
  <c r="AN99" i="10"/>
  <c r="AN100" i="10"/>
  <c r="AN101" i="10"/>
  <c r="AN102" i="10"/>
  <c r="AN103" i="10"/>
  <c r="AN104" i="10"/>
  <c r="AN105" i="10"/>
  <c r="AN106" i="10"/>
  <c r="AN107" i="10"/>
  <c r="AN108" i="10"/>
  <c r="AN109" i="10"/>
  <c r="AN110" i="10"/>
  <c r="AN111" i="10"/>
  <c r="AN112" i="10"/>
  <c r="AN113" i="10"/>
  <c r="AN114" i="10"/>
  <c r="AN115" i="10"/>
  <c r="AN116" i="10"/>
  <c r="AN117" i="10"/>
  <c r="AN118" i="10"/>
  <c r="AN119" i="10"/>
  <c r="AN120" i="10"/>
  <c r="AN121" i="10"/>
  <c r="AN122" i="10"/>
  <c r="AN123" i="10"/>
  <c r="AN124" i="10"/>
  <c r="AN125" i="10"/>
  <c r="AN126" i="10"/>
  <c r="AN127" i="10"/>
  <c r="AN128" i="10"/>
  <c r="AN129" i="10"/>
  <c r="AN130" i="10"/>
  <c r="AN131" i="10"/>
  <c r="AN132" i="10"/>
  <c r="AN133" i="10"/>
  <c r="AN134" i="10"/>
  <c r="AN135" i="10"/>
  <c r="AN136" i="10"/>
  <c r="AN137" i="10"/>
  <c r="AN138" i="10"/>
  <c r="AN139" i="10"/>
  <c r="AN140" i="10"/>
  <c r="AN141" i="10"/>
  <c r="AN142" i="10"/>
  <c r="AN143" i="10"/>
  <c r="AN144" i="10"/>
  <c r="AN145" i="10"/>
  <c r="AN146" i="10"/>
  <c r="AN147" i="10"/>
  <c r="AN148" i="10"/>
  <c r="AN149" i="10"/>
  <c r="AN150" i="10"/>
  <c r="AN151" i="10"/>
  <c r="AN153" i="10"/>
  <c r="AN159"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104" i="10"/>
  <c r="AO105" i="10"/>
  <c r="AO106" i="10"/>
  <c r="AO107" i="10"/>
  <c r="AO108" i="10"/>
  <c r="AO109" i="10"/>
  <c r="AO110" i="10"/>
  <c r="AO111" i="10"/>
  <c r="AO112" i="10"/>
  <c r="AO113" i="10"/>
  <c r="AO114" i="10"/>
  <c r="AO115" i="10"/>
  <c r="AO116" i="10"/>
  <c r="AO117" i="10"/>
  <c r="AO118" i="10"/>
  <c r="AO119" i="10"/>
  <c r="AO120" i="10"/>
  <c r="AO121" i="10"/>
  <c r="AO122" i="10"/>
  <c r="AO123" i="10"/>
  <c r="AO124" i="10"/>
  <c r="AO125" i="10"/>
  <c r="AO126" i="10"/>
  <c r="AO127" i="10"/>
  <c r="AO128" i="10"/>
  <c r="AO129" i="10"/>
  <c r="AO130" i="10"/>
  <c r="AO131" i="10"/>
  <c r="AO132" i="10"/>
  <c r="AO133" i="10"/>
  <c r="AO134" i="10"/>
  <c r="AO135" i="10"/>
  <c r="AO136" i="10"/>
  <c r="AO137" i="10"/>
  <c r="AO138" i="10"/>
  <c r="AO139" i="10"/>
  <c r="AO140" i="10"/>
  <c r="AO141" i="10"/>
  <c r="AO142" i="10"/>
  <c r="AO143" i="10"/>
  <c r="AO144" i="10"/>
  <c r="AO145" i="10"/>
  <c r="AO146" i="10"/>
  <c r="AO147" i="10"/>
  <c r="AO148" i="10"/>
  <c r="AO149" i="10"/>
  <c r="AO150" i="10"/>
  <c r="AO151" i="10"/>
  <c r="AO153" i="10"/>
  <c r="AO159"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111" i="10"/>
  <c r="AP112" i="10"/>
  <c r="AP113" i="10"/>
  <c r="AP114" i="10"/>
  <c r="AP115" i="10"/>
  <c r="AP116" i="10"/>
  <c r="AP117" i="10"/>
  <c r="AP118" i="10"/>
  <c r="AP119" i="10"/>
  <c r="AP120" i="10"/>
  <c r="AP121" i="10"/>
  <c r="AP122" i="10"/>
  <c r="AP123" i="10"/>
  <c r="AP124" i="10"/>
  <c r="AP125" i="10"/>
  <c r="AP126" i="10"/>
  <c r="AP127" i="10"/>
  <c r="AP128" i="10"/>
  <c r="AP129" i="10"/>
  <c r="AP130" i="10"/>
  <c r="AP131" i="10"/>
  <c r="AP132" i="10"/>
  <c r="AP133" i="10"/>
  <c r="AP134" i="10"/>
  <c r="AP135" i="10"/>
  <c r="AP136" i="10"/>
  <c r="AP137" i="10"/>
  <c r="AP138" i="10"/>
  <c r="AP139" i="10"/>
  <c r="AP140" i="10"/>
  <c r="AP141" i="10"/>
  <c r="AP142" i="10"/>
  <c r="AP143" i="10"/>
  <c r="AP144" i="10"/>
  <c r="AP145" i="10"/>
  <c r="AP146" i="10"/>
  <c r="AP147" i="10"/>
  <c r="AP148" i="10"/>
  <c r="AP149" i="10"/>
  <c r="AP150" i="10"/>
  <c r="AP151" i="10"/>
  <c r="AP153" i="10"/>
  <c r="AP159" i="10"/>
  <c r="AQ8" i="10"/>
  <c r="AQ9" i="10"/>
  <c r="AQ10" i="10"/>
  <c r="AQ11" i="10"/>
  <c r="AQ12" i="10"/>
  <c r="AQ13" i="10"/>
  <c r="AQ14" i="10"/>
  <c r="AQ15" i="10"/>
  <c r="AQ16" i="10"/>
  <c r="AQ17" i="10"/>
  <c r="AQ18" i="10"/>
  <c r="AQ19" i="10"/>
  <c r="AQ20" i="10"/>
  <c r="AQ21" i="10"/>
  <c r="AQ22" i="10"/>
  <c r="AQ23" i="10"/>
  <c r="AQ24" i="10"/>
  <c r="AQ25" i="10"/>
  <c r="AQ26" i="10"/>
  <c r="AQ27" i="10"/>
  <c r="AQ28" i="10"/>
  <c r="AQ29" i="10"/>
  <c r="AQ30" i="10"/>
  <c r="AQ31" i="10"/>
  <c r="AQ32" i="10"/>
  <c r="AQ33" i="10"/>
  <c r="AQ34" i="10"/>
  <c r="AQ35" i="10"/>
  <c r="AQ36" i="10"/>
  <c r="AQ37" i="10"/>
  <c r="AQ38" i="10"/>
  <c r="AQ39" i="10"/>
  <c r="AQ40" i="10"/>
  <c r="AQ41" i="10"/>
  <c r="AQ42" i="10"/>
  <c r="AQ43" i="10"/>
  <c r="AQ44" i="10"/>
  <c r="AQ45" i="10"/>
  <c r="AQ46" i="10"/>
  <c r="AQ47" i="10"/>
  <c r="AQ48" i="10"/>
  <c r="AQ49" i="10"/>
  <c r="AQ50" i="10"/>
  <c r="AQ51" i="10"/>
  <c r="AQ52" i="10"/>
  <c r="AQ53" i="10"/>
  <c r="AQ54" i="10"/>
  <c r="AQ55" i="10"/>
  <c r="AQ56" i="10"/>
  <c r="AQ57" i="10"/>
  <c r="AQ58" i="10"/>
  <c r="AQ59" i="10"/>
  <c r="AQ60" i="10"/>
  <c r="AQ61" i="10"/>
  <c r="AQ62" i="10"/>
  <c r="AQ63" i="10"/>
  <c r="AQ64" i="10"/>
  <c r="AQ65" i="10"/>
  <c r="AQ66" i="10"/>
  <c r="AQ67" i="10"/>
  <c r="AQ68" i="10"/>
  <c r="AQ69" i="10"/>
  <c r="AQ70" i="10"/>
  <c r="AQ71" i="10"/>
  <c r="AQ72" i="10"/>
  <c r="AQ73" i="10"/>
  <c r="AQ74" i="10"/>
  <c r="AQ75" i="10"/>
  <c r="AQ76" i="10"/>
  <c r="AQ77" i="10"/>
  <c r="AQ78" i="10"/>
  <c r="AQ79" i="10"/>
  <c r="AQ80" i="10"/>
  <c r="AQ81" i="10"/>
  <c r="AQ82" i="10"/>
  <c r="AQ83" i="10"/>
  <c r="AQ84" i="10"/>
  <c r="AQ85" i="10"/>
  <c r="AQ86" i="10"/>
  <c r="AQ87" i="10"/>
  <c r="AQ88" i="10"/>
  <c r="AQ89" i="10"/>
  <c r="AQ90" i="10"/>
  <c r="AQ91" i="10"/>
  <c r="AQ92" i="10"/>
  <c r="AQ93" i="10"/>
  <c r="AQ94" i="10"/>
  <c r="AQ95" i="10"/>
  <c r="AQ96" i="10"/>
  <c r="AQ97" i="10"/>
  <c r="AQ98" i="10"/>
  <c r="AQ99" i="10"/>
  <c r="AQ100" i="10"/>
  <c r="AQ101" i="10"/>
  <c r="AQ102" i="10"/>
  <c r="AQ103" i="10"/>
  <c r="AQ104" i="10"/>
  <c r="AQ105" i="10"/>
  <c r="AQ106" i="10"/>
  <c r="AQ107" i="10"/>
  <c r="AQ108" i="10"/>
  <c r="AQ109" i="10"/>
  <c r="AQ110" i="10"/>
  <c r="AQ111" i="10"/>
  <c r="AQ112" i="10"/>
  <c r="AQ113" i="10"/>
  <c r="AQ114" i="10"/>
  <c r="AQ115" i="10"/>
  <c r="AQ116" i="10"/>
  <c r="AQ117" i="10"/>
  <c r="AQ118" i="10"/>
  <c r="AQ119" i="10"/>
  <c r="AQ120" i="10"/>
  <c r="AQ121" i="10"/>
  <c r="AQ122" i="10"/>
  <c r="AQ123" i="10"/>
  <c r="AQ124" i="10"/>
  <c r="AQ125" i="10"/>
  <c r="AQ126" i="10"/>
  <c r="AQ127" i="10"/>
  <c r="AQ128" i="10"/>
  <c r="AQ129" i="10"/>
  <c r="AQ130" i="10"/>
  <c r="AQ131" i="10"/>
  <c r="AQ132" i="10"/>
  <c r="AQ133" i="10"/>
  <c r="AQ134" i="10"/>
  <c r="AQ135" i="10"/>
  <c r="AQ136" i="10"/>
  <c r="AQ137" i="10"/>
  <c r="AQ138" i="10"/>
  <c r="AQ139" i="10"/>
  <c r="AQ140" i="10"/>
  <c r="AQ141" i="10"/>
  <c r="AQ142" i="10"/>
  <c r="AQ143" i="10"/>
  <c r="AQ144" i="10"/>
  <c r="AQ145" i="10"/>
  <c r="AQ146" i="10"/>
  <c r="AQ147" i="10"/>
  <c r="AQ148" i="10"/>
  <c r="AQ149" i="10"/>
  <c r="AQ150" i="10"/>
  <c r="AQ151" i="10"/>
  <c r="AQ153" i="10"/>
  <c r="AQ159" i="10"/>
  <c r="AR8" i="10"/>
  <c r="AR9" i="10"/>
  <c r="AR10" i="10"/>
  <c r="AR11" i="10"/>
  <c r="AR12" i="10"/>
  <c r="AR13" i="10"/>
  <c r="AR14" i="10"/>
  <c r="AR15" i="10"/>
  <c r="AR16" i="10"/>
  <c r="AR17" i="10"/>
  <c r="AR18" i="10"/>
  <c r="AR19" i="10"/>
  <c r="AR20" i="10"/>
  <c r="AR21" i="10"/>
  <c r="AR22" i="10"/>
  <c r="AR23" i="10"/>
  <c r="AR24" i="10"/>
  <c r="AR25" i="10"/>
  <c r="AR26" i="10"/>
  <c r="AR27" i="10"/>
  <c r="AR28" i="10"/>
  <c r="AR29" i="10"/>
  <c r="AR30" i="10"/>
  <c r="AR31" i="10"/>
  <c r="AR32" i="10"/>
  <c r="AR33" i="10"/>
  <c r="AR34" i="10"/>
  <c r="AR35" i="10"/>
  <c r="AR36" i="10"/>
  <c r="AR37" i="10"/>
  <c r="AR38" i="10"/>
  <c r="AR39" i="10"/>
  <c r="AR40" i="10"/>
  <c r="AR41" i="10"/>
  <c r="AR42" i="10"/>
  <c r="AR43" i="10"/>
  <c r="AR44" i="10"/>
  <c r="AR45" i="10"/>
  <c r="AR46" i="10"/>
  <c r="AR47" i="10"/>
  <c r="AR48" i="10"/>
  <c r="AR49" i="10"/>
  <c r="AR50" i="10"/>
  <c r="AR51" i="10"/>
  <c r="AR52" i="10"/>
  <c r="AR53" i="10"/>
  <c r="AR54" i="10"/>
  <c r="AR55" i="10"/>
  <c r="AR56" i="10"/>
  <c r="AR57" i="10"/>
  <c r="AR58" i="10"/>
  <c r="AR59" i="10"/>
  <c r="AR60" i="10"/>
  <c r="AR61" i="10"/>
  <c r="AR62" i="10"/>
  <c r="AR63" i="10"/>
  <c r="AR64" i="10"/>
  <c r="AR65" i="10"/>
  <c r="AR66" i="10"/>
  <c r="AR67" i="10"/>
  <c r="AR68" i="10"/>
  <c r="AR69" i="10"/>
  <c r="AR70" i="10"/>
  <c r="AR71" i="10"/>
  <c r="AR72" i="10"/>
  <c r="AR73" i="10"/>
  <c r="AR74" i="10"/>
  <c r="AR75" i="10"/>
  <c r="AR76" i="10"/>
  <c r="AR77" i="10"/>
  <c r="AR78" i="10"/>
  <c r="AR79" i="10"/>
  <c r="AR80" i="10"/>
  <c r="AR81" i="10"/>
  <c r="AR82" i="10"/>
  <c r="AR83" i="10"/>
  <c r="AR84" i="10"/>
  <c r="AR85" i="10"/>
  <c r="AR86" i="10"/>
  <c r="AR87" i="10"/>
  <c r="AR88" i="10"/>
  <c r="AR89" i="10"/>
  <c r="AR90" i="10"/>
  <c r="AR91" i="10"/>
  <c r="AR92" i="10"/>
  <c r="AR93" i="10"/>
  <c r="AR94" i="10"/>
  <c r="AR95" i="10"/>
  <c r="AR96" i="10"/>
  <c r="AR97" i="10"/>
  <c r="AR98" i="10"/>
  <c r="AR99" i="10"/>
  <c r="AR100" i="10"/>
  <c r="AR101" i="10"/>
  <c r="AR102" i="10"/>
  <c r="AR103" i="10"/>
  <c r="AR104" i="10"/>
  <c r="AR105" i="10"/>
  <c r="AR106" i="10"/>
  <c r="AR107" i="10"/>
  <c r="AR108" i="10"/>
  <c r="AR109" i="10"/>
  <c r="AR110" i="10"/>
  <c r="AR111" i="10"/>
  <c r="AR112" i="10"/>
  <c r="AR113" i="10"/>
  <c r="AR114" i="10"/>
  <c r="AR115" i="10"/>
  <c r="AR116" i="10"/>
  <c r="AR117" i="10"/>
  <c r="AR118" i="10"/>
  <c r="AR119" i="10"/>
  <c r="AR120" i="10"/>
  <c r="AR121" i="10"/>
  <c r="AR122" i="10"/>
  <c r="AR123" i="10"/>
  <c r="AR124" i="10"/>
  <c r="AR125" i="10"/>
  <c r="AR126" i="10"/>
  <c r="AR127" i="10"/>
  <c r="AR128" i="10"/>
  <c r="AR129" i="10"/>
  <c r="AR130" i="10"/>
  <c r="AR131" i="10"/>
  <c r="AR132" i="10"/>
  <c r="AR133" i="10"/>
  <c r="AR134" i="10"/>
  <c r="AR135" i="10"/>
  <c r="AR136" i="10"/>
  <c r="AR137" i="10"/>
  <c r="AR138" i="10"/>
  <c r="AR139" i="10"/>
  <c r="AR140" i="10"/>
  <c r="AR141" i="10"/>
  <c r="AR142" i="10"/>
  <c r="AR143" i="10"/>
  <c r="AR144" i="10"/>
  <c r="AR145" i="10"/>
  <c r="AR146" i="10"/>
  <c r="AR147" i="10"/>
  <c r="AR148" i="10"/>
  <c r="AR149" i="10"/>
  <c r="AR150" i="10"/>
  <c r="AR151" i="10"/>
  <c r="AR153" i="10"/>
  <c r="AR159"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S63" i="10"/>
  <c r="AS64" i="10"/>
  <c r="AS65" i="10"/>
  <c r="AS66" i="10"/>
  <c r="AS67" i="10"/>
  <c r="AS68" i="10"/>
  <c r="AS69" i="10"/>
  <c r="AS70" i="10"/>
  <c r="AS71" i="10"/>
  <c r="AS72" i="10"/>
  <c r="AS73" i="10"/>
  <c r="AS74" i="10"/>
  <c r="AS75" i="10"/>
  <c r="AS76" i="10"/>
  <c r="AS77" i="10"/>
  <c r="AS78" i="10"/>
  <c r="AS79" i="10"/>
  <c r="AS80" i="10"/>
  <c r="AS81" i="10"/>
  <c r="AS82" i="10"/>
  <c r="AS83" i="10"/>
  <c r="AS84" i="10"/>
  <c r="AS85" i="10"/>
  <c r="AS86" i="10"/>
  <c r="AS87" i="10"/>
  <c r="AS88" i="10"/>
  <c r="AS89" i="10"/>
  <c r="AS90" i="10"/>
  <c r="AS91" i="10"/>
  <c r="AS92" i="10"/>
  <c r="AS93" i="10"/>
  <c r="AS94" i="10"/>
  <c r="AS95" i="10"/>
  <c r="AS96" i="10"/>
  <c r="AS97" i="10"/>
  <c r="AS98" i="10"/>
  <c r="AS99" i="10"/>
  <c r="AS100" i="10"/>
  <c r="AS101" i="10"/>
  <c r="AS102" i="10"/>
  <c r="AS103" i="10"/>
  <c r="AS104" i="10"/>
  <c r="AS105" i="10"/>
  <c r="AS106" i="10"/>
  <c r="AS107" i="10"/>
  <c r="AS108" i="10"/>
  <c r="AS109" i="10"/>
  <c r="AS110" i="10"/>
  <c r="AS111" i="10"/>
  <c r="AS112" i="10"/>
  <c r="AS113" i="10"/>
  <c r="AS114" i="10"/>
  <c r="AS115" i="10"/>
  <c r="AS116" i="10"/>
  <c r="AS117" i="10"/>
  <c r="AS118" i="10"/>
  <c r="AS119" i="10"/>
  <c r="AS120" i="10"/>
  <c r="AS121" i="10"/>
  <c r="AS122" i="10"/>
  <c r="AS123" i="10"/>
  <c r="AS124" i="10"/>
  <c r="AS125" i="10"/>
  <c r="AS126" i="10"/>
  <c r="AS127" i="10"/>
  <c r="AS128" i="10"/>
  <c r="AS129" i="10"/>
  <c r="AS130" i="10"/>
  <c r="AS131" i="10"/>
  <c r="AS132" i="10"/>
  <c r="AS133" i="10"/>
  <c r="AS134" i="10"/>
  <c r="AS135" i="10"/>
  <c r="AS136" i="10"/>
  <c r="AS137" i="10"/>
  <c r="AS138" i="10"/>
  <c r="AS139" i="10"/>
  <c r="AS140" i="10"/>
  <c r="AS141" i="10"/>
  <c r="AS142" i="10"/>
  <c r="AS143" i="10"/>
  <c r="AS144" i="10"/>
  <c r="AS145" i="10"/>
  <c r="AS146" i="10"/>
  <c r="AS147" i="10"/>
  <c r="AS148" i="10"/>
  <c r="AS149" i="10"/>
  <c r="AS150" i="10"/>
  <c r="AS151" i="10"/>
  <c r="AS153" i="10"/>
  <c r="AS159"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T63" i="10"/>
  <c r="AT64" i="10"/>
  <c r="AT65" i="10"/>
  <c r="AT66" i="10"/>
  <c r="AT67" i="10"/>
  <c r="AT68" i="10"/>
  <c r="AT69" i="10"/>
  <c r="AT70" i="10"/>
  <c r="AT71" i="10"/>
  <c r="AT72" i="10"/>
  <c r="AT73" i="10"/>
  <c r="AT74" i="10"/>
  <c r="AT75" i="10"/>
  <c r="AT76" i="10"/>
  <c r="AT77" i="10"/>
  <c r="AT78" i="10"/>
  <c r="AT79" i="10"/>
  <c r="AT80" i="10"/>
  <c r="AT81" i="10"/>
  <c r="AT82" i="10"/>
  <c r="AT83" i="10"/>
  <c r="AT84" i="10"/>
  <c r="AT85" i="10"/>
  <c r="AT86" i="10"/>
  <c r="AT87" i="10"/>
  <c r="AT88" i="10"/>
  <c r="AT89" i="10"/>
  <c r="AT90" i="10"/>
  <c r="AT91" i="10"/>
  <c r="AT92" i="10"/>
  <c r="AT93" i="10"/>
  <c r="AT94" i="10"/>
  <c r="AT95" i="10"/>
  <c r="AT96" i="10"/>
  <c r="AT97" i="10"/>
  <c r="AT98" i="10"/>
  <c r="AT99" i="10"/>
  <c r="AT100" i="10"/>
  <c r="AT101" i="10"/>
  <c r="AT102" i="10"/>
  <c r="AT103" i="10"/>
  <c r="AT104" i="10"/>
  <c r="AT105" i="10"/>
  <c r="AT106" i="10"/>
  <c r="AT107" i="10"/>
  <c r="AT108" i="10"/>
  <c r="AT109" i="10"/>
  <c r="AT110" i="10"/>
  <c r="AT111" i="10"/>
  <c r="AT112" i="10"/>
  <c r="AT113" i="10"/>
  <c r="AT114" i="10"/>
  <c r="AT115" i="10"/>
  <c r="AT116" i="10"/>
  <c r="AT117" i="10"/>
  <c r="AT118" i="10"/>
  <c r="AT119" i="10"/>
  <c r="AT120" i="10"/>
  <c r="AT121" i="10"/>
  <c r="AT122" i="10"/>
  <c r="AT123" i="10"/>
  <c r="AT124" i="10"/>
  <c r="AT125" i="10"/>
  <c r="AT126" i="10"/>
  <c r="AT127" i="10"/>
  <c r="AT128" i="10"/>
  <c r="AT129" i="10"/>
  <c r="AT130" i="10"/>
  <c r="AT131" i="10"/>
  <c r="AT132" i="10"/>
  <c r="AT133" i="10"/>
  <c r="AT134" i="10"/>
  <c r="AT135" i="10"/>
  <c r="AT136" i="10"/>
  <c r="AT137" i="10"/>
  <c r="AT138" i="10"/>
  <c r="AT139" i="10"/>
  <c r="AT140" i="10"/>
  <c r="AT141" i="10"/>
  <c r="AT142" i="10"/>
  <c r="AT143" i="10"/>
  <c r="AT144" i="10"/>
  <c r="AT145" i="10"/>
  <c r="AT146" i="10"/>
  <c r="AT147" i="10"/>
  <c r="AT148" i="10"/>
  <c r="AT149" i="10"/>
  <c r="AT150" i="10"/>
  <c r="AT151" i="10"/>
  <c r="AT153" i="10"/>
  <c r="AT159"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U63" i="10"/>
  <c r="AU64" i="10"/>
  <c r="AU65" i="10"/>
  <c r="AU66" i="10"/>
  <c r="AU67" i="10"/>
  <c r="AU68" i="10"/>
  <c r="AU69" i="10"/>
  <c r="AU70" i="10"/>
  <c r="AU71" i="10"/>
  <c r="AU72" i="10"/>
  <c r="AU73" i="10"/>
  <c r="AU74" i="10"/>
  <c r="AU75" i="10"/>
  <c r="AU76" i="10"/>
  <c r="AU77" i="10"/>
  <c r="AU78" i="10"/>
  <c r="AU79" i="10"/>
  <c r="AU80" i="10"/>
  <c r="AU81" i="10"/>
  <c r="AU82" i="10"/>
  <c r="AU83" i="10"/>
  <c r="AU84" i="10"/>
  <c r="AU85" i="10"/>
  <c r="AU86" i="10"/>
  <c r="AU87" i="10"/>
  <c r="AU88" i="10"/>
  <c r="AU89" i="10"/>
  <c r="AU90" i="10"/>
  <c r="AU91" i="10"/>
  <c r="AU92" i="10"/>
  <c r="AU93" i="10"/>
  <c r="AU94" i="10"/>
  <c r="AU95" i="10"/>
  <c r="AU96" i="10"/>
  <c r="AU97" i="10"/>
  <c r="AU98" i="10"/>
  <c r="AU99" i="10"/>
  <c r="AU100" i="10"/>
  <c r="AU101" i="10"/>
  <c r="AU102" i="10"/>
  <c r="AU103" i="10"/>
  <c r="AU104" i="10"/>
  <c r="AU105" i="10"/>
  <c r="AU106" i="10"/>
  <c r="AU107" i="10"/>
  <c r="AU108" i="10"/>
  <c r="AU109" i="10"/>
  <c r="AU110" i="10"/>
  <c r="AU111" i="10"/>
  <c r="AU112" i="10"/>
  <c r="AU113" i="10"/>
  <c r="AU114" i="10"/>
  <c r="AU115" i="10"/>
  <c r="AU116" i="10"/>
  <c r="AU117" i="10"/>
  <c r="AU118" i="10"/>
  <c r="AU119" i="10"/>
  <c r="AU120" i="10"/>
  <c r="AU121" i="10"/>
  <c r="AU122" i="10"/>
  <c r="AU123" i="10"/>
  <c r="AU124" i="10"/>
  <c r="AU125" i="10"/>
  <c r="AU126" i="10"/>
  <c r="AU127" i="10"/>
  <c r="AU128" i="10"/>
  <c r="AU129" i="10"/>
  <c r="AU130" i="10"/>
  <c r="AU131" i="10"/>
  <c r="AU132" i="10"/>
  <c r="AU133" i="10"/>
  <c r="AU134" i="10"/>
  <c r="AU135" i="10"/>
  <c r="AU136" i="10"/>
  <c r="AU137" i="10"/>
  <c r="AU138" i="10"/>
  <c r="AU139" i="10"/>
  <c r="AU140" i="10"/>
  <c r="AU141" i="10"/>
  <c r="AU142" i="10"/>
  <c r="AU143" i="10"/>
  <c r="AU144" i="10"/>
  <c r="AU145" i="10"/>
  <c r="AU146" i="10"/>
  <c r="AU147" i="10"/>
  <c r="AU148" i="10"/>
  <c r="AU149" i="10"/>
  <c r="AU150" i="10"/>
  <c r="AU151" i="10"/>
  <c r="AU153" i="10"/>
  <c r="AU159"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V63" i="10"/>
  <c r="AV64" i="10"/>
  <c r="AV65" i="10"/>
  <c r="AV66" i="10"/>
  <c r="AV67" i="10"/>
  <c r="AV68" i="10"/>
  <c r="AV69" i="10"/>
  <c r="AV70" i="10"/>
  <c r="AV71" i="10"/>
  <c r="AV72" i="10"/>
  <c r="AV73" i="10"/>
  <c r="AV74" i="10"/>
  <c r="AV75" i="10"/>
  <c r="AV76" i="10"/>
  <c r="AV77" i="10"/>
  <c r="AV78" i="10"/>
  <c r="AV79" i="10"/>
  <c r="AV80" i="10"/>
  <c r="AV81" i="10"/>
  <c r="AV82" i="10"/>
  <c r="AV83" i="10"/>
  <c r="AV84" i="10"/>
  <c r="AV85" i="10"/>
  <c r="AV86" i="10"/>
  <c r="AV87" i="10"/>
  <c r="AV88" i="10"/>
  <c r="AV89" i="10"/>
  <c r="AV90" i="10"/>
  <c r="AV91" i="10"/>
  <c r="AV92" i="10"/>
  <c r="AV93" i="10"/>
  <c r="AV94" i="10"/>
  <c r="AV95" i="10"/>
  <c r="AV96" i="10"/>
  <c r="AV97" i="10"/>
  <c r="AV98" i="10"/>
  <c r="AV99" i="10"/>
  <c r="AV100" i="10"/>
  <c r="AV101" i="10"/>
  <c r="AV102" i="10"/>
  <c r="AV103" i="10"/>
  <c r="AV104" i="10"/>
  <c r="AV105" i="10"/>
  <c r="AV106" i="10"/>
  <c r="AV107" i="10"/>
  <c r="AV108" i="10"/>
  <c r="AV109" i="10"/>
  <c r="AV110" i="10"/>
  <c r="AV111" i="10"/>
  <c r="AV112" i="10"/>
  <c r="AV113" i="10"/>
  <c r="AV114" i="10"/>
  <c r="AV115" i="10"/>
  <c r="AV116" i="10"/>
  <c r="AV117" i="10"/>
  <c r="AV118" i="10"/>
  <c r="AV119" i="10"/>
  <c r="AV120" i="10"/>
  <c r="AV121" i="10"/>
  <c r="AV122" i="10"/>
  <c r="AV123" i="10"/>
  <c r="AV124" i="10"/>
  <c r="AV125" i="10"/>
  <c r="AV126" i="10"/>
  <c r="AV127" i="10"/>
  <c r="AV128" i="10"/>
  <c r="AV129" i="10"/>
  <c r="AV130" i="10"/>
  <c r="AV131" i="10"/>
  <c r="AV132" i="10"/>
  <c r="AV133" i="10"/>
  <c r="AV134" i="10"/>
  <c r="AV135" i="10"/>
  <c r="AV136" i="10"/>
  <c r="AV137" i="10"/>
  <c r="AV138" i="10"/>
  <c r="AV139" i="10"/>
  <c r="AV140" i="10"/>
  <c r="AV141" i="10"/>
  <c r="AV142" i="10"/>
  <c r="AV143" i="10"/>
  <c r="AV144" i="10"/>
  <c r="AV145" i="10"/>
  <c r="AV146" i="10"/>
  <c r="AV147" i="10"/>
  <c r="AV148" i="10"/>
  <c r="AV149" i="10"/>
  <c r="AV150" i="10"/>
  <c r="AV151" i="10"/>
  <c r="AV153" i="10"/>
  <c r="AV159"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W63" i="10"/>
  <c r="AW64" i="10"/>
  <c r="AW65" i="10"/>
  <c r="AW66" i="10"/>
  <c r="AW67" i="10"/>
  <c r="AW68" i="10"/>
  <c r="AW69" i="10"/>
  <c r="AW70" i="10"/>
  <c r="AW71" i="10"/>
  <c r="AW72" i="10"/>
  <c r="AW73" i="10"/>
  <c r="AW74" i="10"/>
  <c r="AW75" i="10"/>
  <c r="AW76" i="10"/>
  <c r="AW77" i="10"/>
  <c r="AW78" i="10"/>
  <c r="AW79" i="10"/>
  <c r="AW80" i="10"/>
  <c r="AW81" i="10"/>
  <c r="AW82" i="10"/>
  <c r="AW83" i="10"/>
  <c r="AW84" i="10"/>
  <c r="AW85" i="10"/>
  <c r="AW86" i="10"/>
  <c r="AW87" i="10"/>
  <c r="AW88" i="10"/>
  <c r="AW89" i="10"/>
  <c r="AW90" i="10"/>
  <c r="AW91" i="10"/>
  <c r="AW92" i="10"/>
  <c r="AW93" i="10"/>
  <c r="AW94" i="10"/>
  <c r="AW95" i="10"/>
  <c r="AW96" i="10"/>
  <c r="AW97" i="10"/>
  <c r="AW98" i="10"/>
  <c r="AW99" i="10"/>
  <c r="AW100" i="10"/>
  <c r="AW101" i="10"/>
  <c r="AW102" i="10"/>
  <c r="AW103" i="10"/>
  <c r="AW104" i="10"/>
  <c r="AW105" i="10"/>
  <c r="AW106" i="10"/>
  <c r="AW107" i="10"/>
  <c r="AW108" i="10"/>
  <c r="AW109" i="10"/>
  <c r="AW110" i="10"/>
  <c r="AW111" i="10"/>
  <c r="AW112" i="10"/>
  <c r="AW113" i="10"/>
  <c r="AW114" i="10"/>
  <c r="AW115" i="10"/>
  <c r="AW116" i="10"/>
  <c r="AW117" i="10"/>
  <c r="AW118" i="10"/>
  <c r="AW119" i="10"/>
  <c r="AW120" i="10"/>
  <c r="AW121" i="10"/>
  <c r="AW122" i="10"/>
  <c r="AW123" i="10"/>
  <c r="AW124" i="10"/>
  <c r="AW125" i="10"/>
  <c r="AW126" i="10"/>
  <c r="AW127" i="10"/>
  <c r="AW128" i="10"/>
  <c r="AW129" i="10"/>
  <c r="AW130" i="10"/>
  <c r="AW131" i="10"/>
  <c r="AW132" i="10"/>
  <c r="AW133" i="10"/>
  <c r="AW134" i="10"/>
  <c r="AW135" i="10"/>
  <c r="AW136" i="10"/>
  <c r="AW137" i="10"/>
  <c r="AW138" i="10"/>
  <c r="AW139" i="10"/>
  <c r="AW140" i="10"/>
  <c r="AW141" i="10"/>
  <c r="AW142" i="10"/>
  <c r="AW143" i="10"/>
  <c r="AW144" i="10"/>
  <c r="AW145" i="10"/>
  <c r="AW146" i="10"/>
  <c r="AW147" i="10"/>
  <c r="AW148" i="10"/>
  <c r="AW149" i="10"/>
  <c r="AW150" i="10"/>
  <c r="AW151" i="10"/>
  <c r="AW153" i="10"/>
  <c r="AW159" i="10"/>
  <c r="AX8" i="10"/>
  <c r="AX9" i="10"/>
  <c r="AX10" i="10"/>
  <c r="AX11" i="10"/>
  <c r="AX12" i="10"/>
  <c r="AX13" i="10"/>
  <c r="AX14" i="10"/>
  <c r="AX15" i="10"/>
  <c r="AX16" i="10"/>
  <c r="AX17" i="10"/>
  <c r="AX18" i="10"/>
  <c r="AX19" i="10"/>
  <c r="AX20" i="10"/>
  <c r="AX21" i="10"/>
  <c r="AX22" i="10"/>
  <c r="AX23" i="10"/>
  <c r="AX24" i="10"/>
  <c r="AX25" i="10"/>
  <c r="AX26" i="10"/>
  <c r="AX27" i="10"/>
  <c r="AX28" i="10"/>
  <c r="AX29" i="10"/>
  <c r="AX30" i="10"/>
  <c r="AX31" i="10"/>
  <c r="AX32" i="10"/>
  <c r="AX33" i="10"/>
  <c r="AX34" i="10"/>
  <c r="AX35" i="10"/>
  <c r="AX36" i="10"/>
  <c r="AX37" i="10"/>
  <c r="AX38" i="10"/>
  <c r="AX39" i="10"/>
  <c r="AX40" i="10"/>
  <c r="AX41" i="10"/>
  <c r="AX42" i="10"/>
  <c r="AX43" i="10"/>
  <c r="AX44" i="10"/>
  <c r="AX45" i="10"/>
  <c r="AX46" i="10"/>
  <c r="AX47" i="10"/>
  <c r="AX48" i="10"/>
  <c r="AX49" i="10"/>
  <c r="AX50" i="10"/>
  <c r="AX51" i="10"/>
  <c r="AX52" i="10"/>
  <c r="AX53" i="10"/>
  <c r="AX54" i="10"/>
  <c r="AX55" i="10"/>
  <c r="AX56" i="10"/>
  <c r="AX57" i="10"/>
  <c r="AX58" i="10"/>
  <c r="AX59" i="10"/>
  <c r="AX60" i="10"/>
  <c r="AX61" i="10"/>
  <c r="AX62" i="10"/>
  <c r="AX63" i="10"/>
  <c r="AX64" i="10"/>
  <c r="AX65" i="10"/>
  <c r="AX66" i="10"/>
  <c r="AX67" i="10"/>
  <c r="AX68" i="10"/>
  <c r="AX69" i="10"/>
  <c r="AX70" i="10"/>
  <c r="AX71" i="10"/>
  <c r="AX72" i="10"/>
  <c r="AX73" i="10"/>
  <c r="AX74" i="10"/>
  <c r="AX75" i="10"/>
  <c r="AX76" i="10"/>
  <c r="AX77" i="10"/>
  <c r="AX78" i="10"/>
  <c r="AX79" i="10"/>
  <c r="AX80" i="10"/>
  <c r="AX81" i="10"/>
  <c r="AX82" i="10"/>
  <c r="AX83" i="10"/>
  <c r="AX84" i="10"/>
  <c r="AX85" i="10"/>
  <c r="AX86" i="10"/>
  <c r="AX87" i="10"/>
  <c r="AX88" i="10"/>
  <c r="AX89" i="10"/>
  <c r="AX90" i="10"/>
  <c r="AX91" i="10"/>
  <c r="AX92" i="10"/>
  <c r="AX93" i="10"/>
  <c r="AX94" i="10"/>
  <c r="AX95" i="10"/>
  <c r="AX96" i="10"/>
  <c r="AX97" i="10"/>
  <c r="AX98" i="10"/>
  <c r="AX99" i="10"/>
  <c r="AX100" i="10"/>
  <c r="AX101" i="10"/>
  <c r="AX102" i="10"/>
  <c r="AX103" i="10"/>
  <c r="AX104" i="10"/>
  <c r="AX105" i="10"/>
  <c r="AX106" i="10"/>
  <c r="AX107" i="10"/>
  <c r="AX108" i="10"/>
  <c r="AX109" i="10"/>
  <c r="AX110" i="10"/>
  <c r="AX111" i="10"/>
  <c r="AX112" i="10"/>
  <c r="AX113" i="10"/>
  <c r="AX114" i="10"/>
  <c r="AX115" i="10"/>
  <c r="AX116" i="10"/>
  <c r="AX117" i="10"/>
  <c r="AX118" i="10"/>
  <c r="AX119" i="10"/>
  <c r="AX120" i="10"/>
  <c r="AX121" i="10"/>
  <c r="AX122" i="10"/>
  <c r="AX123" i="10"/>
  <c r="AX124" i="10"/>
  <c r="AX125" i="10"/>
  <c r="AX126" i="10"/>
  <c r="AX127" i="10"/>
  <c r="AX128" i="10"/>
  <c r="AX129" i="10"/>
  <c r="AX130" i="10"/>
  <c r="AX131" i="10"/>
  <c r="AX132" i="10"/>
  <c r="AX133" i="10"/>
  <c r="AX134" i="10"/>
  <c r="AX135" i="10"/>
  <c r="AX136" i="10"/>
  <c r="AX137" i="10"/>
  <c r="AX138" i="10"/>
  <c r="AX139" i="10"/>
  <c r="AX140" i="10"/>
  <c r="AX141" i="10"/>
  <c r="AX142" i="10"/>
  <c r="AX143" i="10"/>
  <c r="AX144" i="10"/>
  <c r="AX145" i="10"/>
  <c r="AX146" i="10"/>
  <c r="AX147" i="10"/>
  <c r="AX148" i="10"/>
  <c r="AX149" i="10"/>
  <c r="AX150" i="10"/>
  <c r="AX151" i="10"/>
  <c r="AX153" i="10"/>
  <c r="AX159" i="10"/>
  <c r="AY8" i="10"/>
  <c r="AY9" i="10"/>
  <c r="AY10" i="10"/>
  <c r="AY11" i="10"/>
  <c r="AY12" i="10"/>
  <c r="AY13" i="10"/>
  <c r="AY14" i="10"/>
  <c r="AY15" i="10"/>
  <c r="AY16" i="10"/>
  <c r="AY17" i="10"/>
  <c r="AY18" i="10"/>
  <c r="AY19" i="10"/>
  <c r="AY20" i="10"/>
  <c r="AY21" i="10"/>
  <c r="AY22" i="10"/>
  <c r="AY23" i="10"/>
  <c r="AY24" i="10"/>
  <c r="AY25" i="10"/>
  <c r="AY26" i="10"/>
  <c r="AY27" i="10"/>
  <c r="AY28" i="10"/>
  <c r="AY29" i="10"/>
  <c r="AY30" i="10"/>
  <c r="AY31" i="10"/>
  <c r="AY32" i="10"/>
  <c r="AY33" i="10"/>
  <c r="AY34" i="10"/>
  <c r="AY35" i="10"/>
  <c r="AY36" i="10"/>
  <c r="AY37" i="10"/>
  <c r="AY38" i="10"/>
  <c r="AY39" i="10"/>
  <c r="AY40" i="10"/>
  <c r="AY41" i="10"/>
  <c r="AY42" i="10"/>
  <c r="AY43" i="10"/>
  <c r="AY44" i="10"/>
  <c r="AY45" i="10"/>
  <c r="AY46" i="10"/>
  <c r="AY47" i="10"/>
  <c r="AY48" i="10"/>
  <c r="AY49" i="10"/>
  <c r="AY50" i="10"/>
  <c r="AY51" i="10"/>
  <c r="AY52" i="10"/>
  <c r="AY53" i="10"/>
  <c r="AY54" i="10"/>
  <c r="AY55" i="10"/>
  <c r="AY56" i="10"/>
  <c r="AY57" i="10"/>
  <c r="AY58" i="10"/>
  <c r="AY59" i="10"/>
  <c r="AY60" i="10"/>
  <c r="AY61" i="10"/>
  <c r="AY62" i="10"/>
  <c r="AY63" i="10"/>
  <c r="AY64" i="10"/>
  <c r="AY65" i="10"/>
  <c r="AY66" i="10"/>
  <c r="AY67" i="10"/>
  <c r="AY68" i="10"/>
  <c r="AY69" i="10"/>
  <c r="AY70" i="10"/>
  <c r="AY71" i="10"/>
  <c r="AY72" i="10"/>
  <c r="AY73" i="10"/>
  <c r="AY74" i="10"/>
  <c r="AY75" i="10"/>
  <c r="AY76" i="10"/>
  <c r="AY77" i="10"/>
  <c r="AY78" i="10"/>
  <c r="AY79" i="10"/>
  <c r="AY80" i="10"/>
  <c r="AY81" i="10"/>
  <c r="AY82" i="10"/>
  <c r="AY83" i="10"/>
  <c r="AY84" i="10"/>
  <c r="AY85" i="10"/>
  <c r="AY86" i="10"/>
  <c r="AY87" i="10"/>
  <c r="AY88" i="10"/>
  <c r="AY89" i="10"/>
  <c r="AY90" i="10"/>
  <c r="AY91" i="10"/>
  <c r="AY92" i="10"/>
  <c r="AY93" i="10"/>
  <c r="AY94" i="10"/>
  <c r="AY95" i="10"/>
  <c r="AY96" i="10"/>
  <c r="AY97" i="10"/>
  <c r="AY98" i="10"/>
  <c r="AY99" i="10"/>
  <c r="AY100" i="10"/>
  <c r="AY101" i="10"/>
  <c r="AY102" i="10"/>
  <c r="AY103" i="10"/>
  <c r="AY104" i="10"/>
  <c r="AY105" i="10"/>
  <c r="AY106" i="10"/>
  <c r="AY107" i="10"/>
  <c r="AY108" i="10"/>
  <c r="AY109" i="10"/>
  <c r="AY110" i="10"/>
  <c r="AY111" i="10"/>
  <c r="AY112" i="10"/>
  <c r="AY113" i="10"/>
  <c r="AY114" i="10"/>
  <c r="AY115" i="10"/>
  <c r="AY116" i="10"/>
  <c r="AY117" i="10"/>
  <c r="AY118" i="10"/>
  <c r="AY119" i="10"/>
  <c r="AY120" i="10"/>
  <c r="AY121" i="10"/>
  <c r="AY122" i="10"/>
  <c r="AY123" i="10"/>
  <c r="AY124" i="10"/>
  <c r="AY125" i="10"/>
  <c r="AY126" i="10"/>
  <c r="AY127" i="10"/>
  <c r="AY128" i="10"/>
  <c r="AY129" i="10"/>
  <c r="AY130" i="10"/>
  <c r="AY131" i="10"/>
  <c r="AY132" i="10"/>
  <c r="AY133" i="10"/>
  <c r="AY134" i="10"/>
  <c r="AY135" i="10"/>
  <c r="AY136" i="10"/>
  <c r="AY137" i="10"/>
  <c r="AY138" i="10"/>
  <c r="AY139" i="10"/>
  <c r="AY140" i="10"/>
  <c r="AY141" i="10"/>
  <c r="AY142" i="10"/>
  <c r="AY143" i="10"/>
  <c r="AY144" i="10"/>
  <c r="AY145" i="10"/>
  <c r="AY146" i="10"/>
  <c r="AY147" i="10"/>
  <c r="AY148" i="10"/>
  <c r="AY149" i="10"/>
  <c r="AY150" i="10"/>
  <c r="AY151" i="10"/>
  <c r="AY153" i="10"/>
  <c r="AY159" i="10"/>
  <c r="AZ8" i="10"/>
  <c r="AZ9" i="10"/>
  <c r="AZ10" i="10"/>
  <c r="AZ11" i="10"/>
  <c r="AZ12" i="10"/>
  <c r="AZ13" i="10"/>
  <c r="AZ14" i="10"/>
  <c r="AZ15" i="10"/>
  <c r="AZ16" i="10"/>
  <c r="AZ17" i="10"/>
  <c r="AZ18" i="10"/>
  <c r="AZ19" i="10"/>
  <c r="AZ20" i="10"/>
  <c r="AZ21" i="10"/>
  <c r="AZ22" i="10"/>
  <c r="AZ23" i="10"/>
  <c r="AZ24" i="10"/>
  <c r="AZ25" i="10"/>
  <c r="AZ26" i="10"/>
  <c r="AZ27" i="10"/>
  <c r="AZ28" i="10"/>
  <c r="AZ29" i="10"/>
  <c r="AZ30" i="10"/>
  <c r="AZ31" i="10"/>
  <c r="AZ32" i="10"/>
  <c r="AZ33" i="10"/>
  <c r="AZ34" i="10"/>
  <c r="AZ35" i="10"/>
  <c r="AZ36" i="10"/>
  <c r="AZ37" i="10"/>
  <c r="AZ38" i="10"/>
  <c r="AZ39" i="10"/>
  <c r="AZ40" i="10"/>
  <c r="AZ41" i="10"/>
  <c r="AZ42" i="10"/>
  <c r="AZ43" i="10"/>
  <c r="AZ44" i="10"/>
  <c r="AZ45" i="10"/>
  <c r="AZ46" i="10"/>
  <c r="AZ47" i="10"/>
  <c r="AZ48" i="10"/>
  <c r="AZ49" i="10"/>
  <c r="AZ50" i="10"/>
  <c r="AZ51" i="10"/>
  <c r="AZ52" i="10"/>
  <c r="AZ53" i="10"/>
  <c r="AZ54" i="10"/>
  <c r="AZ55" i="10"/>
  <c r="AZ56" i="10"/>
  <c r="AZ57" i="10"/>
  <c r="AZ58" i="10"/>
  <c r="AZ59" i="10"/>
  <c r="AZ60" i="10"/>
  <c r="AZ61" i="10"/>
  <c r="AZ62" i="10"/>
  <c r="AZ63" i="10"/>
  <c r="AZ64" i="10"/>
  <c r="AZ65" i="10"/>
  <c r="AZ66" i="10"/>
  <c r="AZ67" i="10"/>
  <c r="AZ68" i="10"/>
  <c r="AZ69" i="10"/>
  <c r="AZ70" i="10"/>
  <c r="AZ71" i="10"/>
  <c r="AZ72" i="10"/>
  <c r="AZ73" i="10"/>
  <c r="AZ74" i="10"/>
  <c r="AZ75" i="10"/>
  <c r="AZ76" i="10"/>
  <c r="AZ77" i="10"/>
  <c r="AZ78" i="10"/>
  <c r="AZ79" i="10"/>
  <c r="AZ80" i="10"/>
  <c r="AZ81" i="10"/>
  <c r="AZ82" i="10"/>
  <c r="AZ83" i="10"/>
  <c r="AZ84" i="10"/>
  <c r="AZ85" i="10"/>
  <c r="AZ86" i="10"/>
  <c r="AZ87" i="10"/>
  <c r="AZ88" i="10"/>
  <c r="AZ89" i="10"/>
  <c r="AZ90" i="10"/>
  <c r="AZ91" i="10"/>
  <c r="AZ92" i="10"/>
  <c r="AZ93" i="10"/>
  <c r="AZ94" i="10"/>
  <c r="AZ95" i="10"/>
  <c r="AZ96" i="10"/>
  <c r="AZ97" i="10"/>
  <c r="AZ98" i="10"/>
  <c r="AZ99" i="10"/>
  <c r="AZ100" i="10"/>
  <c r="AZ101" i="10"/>
  <c r="AZ102" i="10"/>
  <c r="AZ103" i="10"/>
  <c r="AZ104" i="10"/>
  <c r="AZ105" i="10"/>
  <c r="AZ106" i="10"/>
  <c r="AZ107" i="10"/>
  <c r="AZ108" i="10"/>
  <c r="AZ109" i="10"/>
  <c r="AZ110" i="10"/>
  <c r="AZ111" i="10"/>
  <c r="AZ112" i="10"/>
  <c r="AZ113" i="10"/>
  <c r="AZ114" i="10"/>
  <c r="AZ115" i="10"/>
  <c r="AZ116" i="10"/>
  <c r="AZ117" i="10"/>
  <c r="AZ118" i="10"/>
  <c r="AZ119" i="10"/>
  <c r="AZ120" i="10"/>
  <c r="AZ121" i="10"/>
  <c r="AZ122" i="10"/>
  <c r="AZ123" i="10"/>
  <c r="AZ124" i="10"/>
  <c r="AZ125" i="10"/>
  <c r="AZ126" i="10"/>
  <c r="AZ127" i="10"/>
  <c r="AZ128" i="10"/>
  <c r="AZ129" i="10"/>
  <c r="AZ130" i="10"/>
  <c r="AZ131" i="10"/>
  <c r="AZ132" i="10"/>
  <c r="AZ133" i="10"/>
  <c r="AZ134" i="10"/>
  <c r="AZ135" i="10"/>
  <c r="AZ136" i="10"/>
  <c r="AZ137" i="10"/>
  <c r="AZ138" i="10"/>
  <c r="AZ139" i="10"/>
  <c r="AZ140" i="10"/>
  <c r="AZ141" i="10"/>
  <c r="AZ142" i="10"/>
  <c r="AZ143" i="10"/>
  <c r="AZ144" i="10"/>
  <c r="AZ145" i="10"/>
  <c r="AZ146" i="10"/>
  <c r="AZ147" i="10"/>
  <c r="AZ148" i="10"/>
  <c r="AZ149" i="10"/>
  <c r="AZ150" i="10"/>
  <c r="AZ151" i="10"/>
  <c r="AZ153" i="10"/>
  <c r="AZ159" i="10"/>
  <c r="BA8" i="10"/>
  <c r="BA9" i="10"/>
  <c r="BA10" i="10"/>
  <c r="BA11" i="10"/>
  <c r="BA12" i="10"/>
  <c r="BA13" i="10"/>
  <c r="BA14" i="10"/>
  <c r="BA15" i="10"/>
  <c r="BA16" i="10"/>
  <c r="BA17" i="10"/>
  <c r="BA18" i="10"/>
  <c r="BA19" i="10"/>
  <c r="BA20" i="10"/>
  <c r="BA21" i="10"/>
  <c r="BA22" i="10"/>
  <c r="BA23" i="10"/>
  <c r="BA24" i="10"/>
  <c r="BA25" i="10"/>
  <c r="BA26" i="10"/>
  <c r="BA27" i="10"/>
  <c r="BA28" i="10"/>
  <c r="BA29" i="10"/>
  <c r="BA30" i="10"/>
  <c r="BA31" i="10"/>
  <c r="BA32" i="10"/>
  <c r="BA33" i="10"/>
  <c r="BA34" i="10"/>
  <c r="BA35" i="10"/>
  <c r="BA36" i="10"/>
  <c r="BA37" i="10"/>
  <c r="BA38" i="10"/>
  <c r="BA39" i="10"/>
  <c r="BA40" i="10"/>
  <c r="BA41" i="10"/>
  <c r="BA42" i="10"/>
  <c r="BA43" i="10"/>
  <c r="BA44" i="10"/>
  <c r="BA45" i="10"/>
  <c r="BA46" i="10"/>
  <c r="BA47" i="10"/>
  <c r="BA48" i="10"/>
  <c r="BA49" i="10"/>
  <c r="BA50" i="10"/>
  <c r="BA51" i="10"/>
  <c r="BA52" i="10"/>
  <c r="BA53" i="10"/>
  <c r="BA54" i="10"/>
  <c r="BA55" i="10"/>
  <c r="BA56" i="10"/>
  <c r="BA57" i="10"/>
  <c r="BA58" i="10"/>
  <c r="BA59" i="10"/>
  <c r="BA60" i="10"/>
  <c r="BA61" i="10"/>
  <c r="BA62" i="10"/>
  <c r="BA63" i="10"/>
  <c r="BA64" i="10"/>
  <c r="BA65" i="10"/>
  <c r="BA66" i="10"/>
  <c r="BA67" i="10"/>
  <c r="BA68" i="10"/>
  <c r="BA69" i="10"/>
  <c r="BA70" i="10"/>
  <c r="BA71" i="10"/>
  <c r="BA72" i="10"/>
  <c r="BA73" i="10"/>
  <c r="BA74" i="10"/>
  <c r="BA75" i="10"/>
  <c r="BA76" i="10"/>
  <c r="BA77" i="10"/>
  <c r="BA78" i="10"/>
  <c r="BA79" i="10"/>
  <c r="BA80" i="10"/>
  <c r="BA81" i="10"/>
  <c r="BA82" i="10"/>
  <c r="BA83" i="10"/>
  <c r="BA84" i="10"/>
  <c r="BA85" i="10"/>
  <c r="BA86" i="10"/>
  <c r="BA87" i="10"/>
  <c r="BA88" i="10"/>
  <c r="BA89" i="10"/>
  <c r="BA90" i="10"/>
  <c r="BA91" i="10"/>
  <c r="BA92" i="10"/>
  <c r="BA93" i="10"/>
  <c r="BA94" i="10"/>
  <c r="BA95" i="10"/>
  <c r="BA96" i="10"/>
  <c r="BA97" i="10"/>
  <c r="BA98" i="10"/>
  <c r="BA99" i="10"/>
  <c r="BA100" i="10"/>
  <c r="BA101" i="10"/>
  <c r="BA102" i="10"/>
  <c r="BA103" i="10"/>
  <c r="BA104" i="10"/>
  <c r="BA105" i="10"/>
  <c r="BA106" i="10"/>
  <c r="BA107" i="10"/>
  <c r="BA108" i="10"/>
  <c r="BA109" i="10"/>
  <c r="BA110" i="10"/>
  <c r="BA111" i="10"/>
  <c r="BA112" i="10"/>
  <c r="BA113" i="10"/>
  <c r="BA114" i="10"/>
  <c r="BA115" i="10"/>
  <c r="BA116" i="10"/>
  <c r="BA117" i="10"/>
  <c r="BA118" i="10"/>
  <c r="BA119" i="10"/>
  <c r="BA120" i="10"/>
  <c r="BA121" i="10"/>
  <c r="BA122" i="10"/>
  <c r="BA123" i="10"/>
  <c r="BA124" i="10"/>
  <c r="BA125" i="10"/>
  <c r="BA126" i="10"/>
  <c r="BA127" i="10"/>
  <c r="BA128" i="10"/>
  <c r="BA129" i="10"/>
  <c r="BA130" i="10"/>
  <c r="BA131" i="10"/>
  <c r="BA132" i="10"/>
  <c r="BA133" i="10"/>
  <c r="BA134" i="10"/>
  <c r="BA135" i="10"/>
  <c r="BA136" i="10"/>
  <c r="BA137" i="10"/>
  <c r="BA138" i="10"/>
  <c r="BA139" i="10"/>
  <c r="BA140" i="10"/>
  <c r="BA141" i="10"/>
  <c r="BA142" i="10"/>
  <c r="BA143" i="10"/>
  <c r="BA144" i="10"/>
  <c r="BA145" i="10"/>
  <c r="BA146" i="10"/>
  <c r="BA147" i="10"/>
  <c r="BA148" i="10"/>
  <c r="BA149" i="10"/>
  <c r="BA150" i="10"/>
  <c r="BA151" i="10"/>
  <c r="BA153" i="10"/>
  <c r="BA159"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56" i="10"/>
  <c r="BB57" i="10"/>
  <c r="BB58" i="10"/>
  <c r="BB59" i="10"/>
  <c r="BB60" i="10"/>
  <c r="BB61" i="10"/>
  <c r="BB62" i="10"/>
  <c r="BB63" i="10"/>
  <c r="BB64" i="10"/>
  <c r="BB65" i="10"/>
  <c r="BB66" i="10"/>
  <c r="BB67" i="10"/>
  <c r="BB68" i="10"/>
  <c r="BB69" i="10"/>
  <c r="BB70" i="10"/>
  <c r="BB71" i="10"/>
  <c r="BB72" i="10"/>
  <c r="BB73" i="10"/>
  <c r="BB74" i="10"/>
  <c r="BB75" i="10"/>
  <c r="BB76" i="10"/>
  <c r="BB77" i="10"/>
  <c r="BB78" i="10"/>
  <c r="BB79" i="10"/>
  <c r="BB80" i="10"/>
  <c r="BB81" i="10"/>
  <c r="BB82" i="10"/>
  <c r="BB83" i="10"/>
  <c r="BB84" i="10"/>
  <c r="BB85" i="10"/>
  <c r="BB86" i="10"/>
  <c r="BB87" i="10"/>
  <c r="BB88" i="10"/>
  <c r="BB89" i="10"/>
  <c r="BB90" i="10"/>
  <c r="BB91" i="10"/>
  <c r="BB92" i="10"/>
  <c r="BB93" i="10"/>
  <c r="BB94" i="10"/>
  <c r="BB95" i="10"/>
  <c r="BB96" i="10"/>
  <c r="BB97" i="10"/>
  <c r="BB98" i="10"/>
  <c r="BB99" i="10"/>
  <c r="BB100" i="10"/>
  <c r="BB101" i="10"/>
  <c r="BB102" i="10"/>
  <c r="BB103" i="10"/>
  <c r="BB104" i="10"/>
  <c r="BB105" i="10"/>
  <c r="BB106" i="10"/>
  <c r="BB107" i="10"/>
  <c r="BB108" i="10"/>
  <c r="BB109" i="10"/>
  <c r="BB110" i="10"/>
  <c r="BB111" i="10"/>
  <c r="BB112" i="10"/>
  <c r="BB113" i="10"/>
  <c r="BB114" i="10"/>
  <c r="BB115" i="10"/>
  <c r="BB116" i="10"/>
  <c r="BB117" i="10"/>
  <c r="BB118" i="10"/>
  <c r="BB119" i="10"/>
  <c r="BB120" i="10"/>
  <c r="BB121" i="10"/>
  <c r="BB122" i="10"/>
  <c r="BB123" i="10"/>
  <c r="BB124" i="10"/>
  <c r="BB125" i="10"/>
  <c r="BB126" i="10"/>
  <c r="BB127" i="10"/>
  <c r="BB128" i="10"/>
  <c r="BB129" i="10"/>
  <c r="BB130" i="10"/>
  <c r="BB131" i="10"/>
  <c r="BB132" i="10"/>
  <c r="BB133" i="10"/>
  <c r="BB134" i="10"/>
  <c r="BB135" i="10"/>
  <c r="BB136" i="10"/>
  <c r="BB137" i="10"/>
  <c r="BB138" i="10"/>
  <c r="BB139" i="10"/>
  <c r="BB140" i="10"/>
  <c r="BB141" i="10"/>
  <c r="BB142" i="10"/>
  <c r="BB143" i="10"/>
  <c r="BB144" i="10"/>
  <c r="BB145" i="10"/>
  <c r="BB146" i="10"/>
  <c r="BB147" i="10"/>
  <c r="BB148" i="10"/>
  <c r="BB149" i="10"/>
  <c r="BB150" i="10"/>
  <c r="BB151" i="10"/>
  <c r="BB153" i="10"/>
  <c r="BB159" i="10"/>
  <c r="BC8" i="10"/>
  <c r="BC9" i="10"/>
  <c r="BC10" i="10"/>
  <c r="BC11" i="10"/>
  <c r="BC12" i="10"/>
  <c r="BC13" i="10"/>
  <c r="BC14" i="10"/>
  <c r="BC15" i="10"/>
  <c r="BC16" i="10"/>
  <c r="BC17" i="10"/>
  <c r="BC18" i="10"/>
  <c r="BC19" i="10"/>
  <c r="BC20" i="10"/>
  <c r="BC21" i="10"/>
  <c r="BC22" i="10"/>
  <c r="BC23" i="10"/>
  <c r="BC24" i="10"/>
  <c r="BC25" i="10"/>
  <c r="BC26" i="10"/>
  <c r="BC27" i="10"/>
  <c r="BC28" i="10"/>
  <c r="BC29" i="10"/>
  <c r="BC30" i="10"/>
  <c r="BC31" i="10"/>
  <c r="BC32" i="10"/>
  <c r="BC33" i="10"/>
  <c r="BC34" i="10"/>
  <c r="BC35" i="10"/>
  <c r="BC36" i="10"/>
  <c r="BC37" i="10"/>
  <c r="BC38" i="10"/>
  <c r="BC39" i="10"/>
  <c r="BC40" i="10"/>
  <c r="BC41" i="10"/>
  <c r="BC42" i="10"/>
  <c r="BC43" i="10"/>
  <c r="BC44" i="10"/>
  <c r="BC45" i="10"/>
  <c r="BC46" i="10"/>
  <c r="BC47" i="10"/>
  <c r="BC48" i="10"/>
  <c r="BC49" i="10"/>
  <c r="BC50" i="10"/>
  <c r="BC51" i="10"/>
  <c r="BC52" i="10"/>
  <c r="BC53" i="10"/>
  <c r="BC54" i="10"/>
  <c r="BC55" i="10"/>
  <c r="BC56" i="10"/>
  <c r="BC57" i="10"/>
  <c r="BC58" i="10"/>
  <c r="BC59" i="10"/>
  <c r="BC60" i="10"/>
  <c r="BC61" i="10"/>
  <c r="BC62" i="10"/>
  <c r="BC63" i="10"/>
  <c r="BC64" i="10"/>
  <c r="BC65" i="10"/>
  <c r="BC66" i="10"/>
  <c r="BC67" i="10"/>
  <c r="BC68" i="10"/>
  <c r="BC69" i="10"/>
  <c r="BC70" i="10"/>
  <c r="BC71" i="10"/>
  <c r="BC72" i="10"/>
  <c r="BC73" i="10"/>
  <c r="BC74" i="10"/>
  <c r="BC75" i="10"/>
  <c r="BC76" i="10"/>
  <c r="BC77" i="10"/>
  <c r="BC78" i="10"/>
  <c r="BC79" i="10"/>
  <c r="BC80" i="10"/>
  <c r="BC81" i="10"/>
  <c r="BC82" i="10"/>
  <c r="BC83" i="10"/>
  <c r="BC84" i="10"/>
  <c r="BC85" i="10"/>
  <c r="BC86" i="10"/>
  <c r="BC87" i="10"/>
  <c r="BC88" i="10"/>
  <c r="BC89" i="10"/>
  <c r="BC90" i="10"/>
  <c r="BC91" i="10"/>
  <c r="BC92" i="10"/>
  <c r="BC93" i="10"/>
  <c r="BC94" i="10"/>
  <c r="BC95" i="10"/>
  <c r="BC96" i="10"/>
  <c r="BC97" i="10"/>
  <c r="BC98" i="10"/>
  <c r="BC99" i="10"/>
  <c r="BC100" i="10"/>
  <c r="BC101" i="10"/>
  <c r="BC102" i="10"/>
  <c r="BC103" i="10"/>
  <c r="BC104" i="10"/>
  <c r="BC105" i="10"/>
  <c r="BC106" i="10"/>
  <c r="BC107" i="10"/>
  <c r="BC108" i="10"/>
  <c r="BC109" i="10"/>
  <c r="BC110" i="10"/>
  <c r="BC111" i="10"/>
  <c r="BC112" i="10"/>
  <c r="BC113" i="10"/>
  <c r="BC114" i="10"/>
  <c r="BC115" i="10"/>
  <c r="BC116" i="10"/>
  <c r="BC117" i="10"/>
  <c r="BC118" i="10"/>
  <c r="BC119" i="10"/>
  <c r="BC120" i="10"/>
  <c r="BC121" i="10"/>
  <c r="BC122" i="10"/>
  <c r="BC123" i="10"/>
  <c r="BC124" i="10"/>
  <c r="BC125" i="10"/>
  <c r="BC126" i="10"/>
  <c r="BC127" i="10"/>
  <c r="BC128" i="10"/>
  <c r="BC129" i="10"/>
  <c r="BC130" i="10"/>
  <c r="BC131" i="10"/>
  <c r="BC132" i="10"/>
  <c r="BC133" i="10"/>
  <c r="BC134" i="10"/>
  <c r="BC135" i="10"/>
  <c r="BC136" i="10"/>
  <c r="BC137" i="10"/>
  <c r="BC138" i="10"/>
  <c r="BC139" i="10"/>
  <c r="BC140" i="10"/>
  <c r="BC141" i="10"/>
  <c r="BC142" i="10"/>
  <c r="BC143" i="10"/>
  <c r="BC144" i="10"/>
  <c r="BC145" i="10"/>
  <c r="BC146" i="10"/>
  <c r="BC147" i="10"/>
  <c r="BC148" i="10"/>
  <c r="BC149" i="10"/>
  <c r="BC150" i="10"/>
  <c r="BC151" i="10"/>
  <c r="BC153" i="10"/>
  <c r="BC159" i="10"/>
  <c r="BD8" i="10"/>
  <c r="BD9" i="10"/>
  <c r="BD10" i="10"/>
  <c r="BD11" i="10"/>
  <c r="BD12" i="10"/>
  <c r="BD13" i="10"/>
  <c r="BD14" i="10"/>
  <c r="BD15" i="10"/>
  <c r="BD16" i="10"/>
  <c r="BD17" i="10"/>
  <c r="BD18" i="10"/>
  <c r="BD19" i="10"/>
  <c r="BD20" i="10"/>
  <c r="BD21" i="10"/>
  <c r="BD22" i="10"/>
  <c r="BD23" i="10"/>
  <c r="BD24" i="10"/>
  <c r="BD25" i="10"/>
  <c r="BD26" i="10"/>
  <c r="BD27" i="10"/>
  <c r="BD28" i="10"/>
  <c r="BD29" i="10"/>
  <c r="BD30" i="10"/>
  <c r="BD31" i="10"/>
  <c r="BD32" i="10"/>
  <c r="BD33" i="10"/>
  <c r="BD34" i="10"/>
  <c r="BD35" i="10"/>
  <c r="BD36" i="10"/>
  <c r="BD37" i="10"/>
  <c r="BD38" i="10"/>
  <c r="BD39" i="10"/>
  <c r="BD40" i="10"/>
  <c r="BD41" i="10"/>
  <c r="BD42" i="10"/>
  <c r="BD43" i="10"/>
  <c r="BD44" i="10"/>
  <c r="BD45" i="10"/>
  <c r="BD46" i="10"/>
  <c r="BD47" i="10"/>
  <c r="BD48" i="10"/>
  <c r="BD49" i="10"/>
  <c r="BD50" i="10"/>
  <c r="BD51" i="10"/>
  <c r="BD52" i="10"/>
  <c r="BD53" i="10"/>
  <c r="BD54" i="10"/>
  <c r="BD55" i="10"/>
  <c r="BD56" i="10"/>
  <c r="BD57" i="10"/>
  <c r="BD58" i="10"/>
  <c r="BD59" i="10"/>
  <c r="BD60" i="10"/>
  <c r="BD61" i="10"/>
  <c r="BD62" i="10"/>
  <c r="BD63" i="10"/>
  <c r="BD64" i="10"/>
  <c r="BD65" i="10"/>
  <c r="BD66" i="10"/>
  <c r="BD67" i="10"/>
  <c r="BD68" i="10"/>
  <c r="BD69" i="10"/>
  <c r="BD70" i="10"/>
  <c r="BD71" i="10"/>
  <c r="BD72" i="10"/>
  <c r="BD73" i="10"/>
  <c r="BD74" i="10"/>
  <c r="BD75" i="10"/>
  <c r="BD76" i="10"/>
  <c r="BD77" i="10"/>
  <c r="BD78" i="10"/>
  <c r="BD79" i="10"/>
  <c r="BD80" i="10"/>
  <c r="BD81" i="10"/>
  <c r="BD82" i="10"/>
  <c r="BD83" i="10"/>
  <c r="BD84" i="10"/>
  <c r="BD85" i="10"/>
  <c r="BD86" i="10"/>
  <c r="BD87" i="10"/>
  <c r="BD88" i="10"/>
  <c r="BD89" i="10"/>
  <c r="BD90" i="10"/>
  <c r="BD91" i="10"/>
  <c r="BD92" i="10"/>
  <c r="BD93" i="10"/>
  <c r="BD94" i="10"/>
  <c r="BD95" i="10"/>
  <c r="BD96" i="10"/>
  <c r="BD97" i="10"/>
  <c r="BD98" i="10"/>
  <c r="BD99" i="10"/>
  <c r="BD100" i="10"/>
  <c r="BD101" i="10"/>
  <c r="BD102" i="10"/>
  <c r="BD103" i="10"/>
  <c r="BD104" i="10"/>
  <c r="BD105" i="10"/>
  <c r="BD106" i="10"/>
  <c r="BD107" i="10"/>
  <c r="BD108" i="10"/>
  <c r="BD109" i="10"/>
  <c r="BD110" i="10"/>
  <c r="BD111" i="10"/>
  <c r="BD112" i="10"/>
  <c r="BD113" i="10"/>
  <c r="BD114" i="10"/>
  <c r="BD115" i="10"/>
  <c r="BD116" i="10"/>
  <c r="BD117" i="10"/>
  <c r="BD118" i="10"/>
  <c r="BD119" i="10"/>
  <c r="BD120" i="10"/>
  <c r="BD121" i="10"/>
  <c r="BD122" i="10"/>
  <c r="BD123" i="10"/>
  <c r="BD124" i="10"/>
  <c r="BD125" i="10"/>
  <c r="BD126" i="10"/>
  <c r="BD127" i="10"/>
  <c r="BD128" i="10"/>
  <c r="BD129" i="10"/>
  <c r="BD130" i="10"/>
  <c r="BD131" i="10"/>
  <c r="BD132" i="10"/>
  <c r="BD133" i="10"/>
  <c r="BD134" i="10"/>
  <c r="BD135" i="10"/>
  <c r="BD136" i="10"/>
  <c r="BD137" i="10"/>
  <c r="BD138" i="10"/>
  <c r="BD139" i="10"/>
  <c r="BD140" i="10"/>
  <c r="BD141" i="10"/>
  <c r="BD142" i="10"/>
  <c r="BD143" i="10"/>
  <c r="BD144" i="10"/>
  <c r="BD145" i="10"/>
  <c r="BD146" i="10"/>
  <c r="BD147" i="10"/>
  <c r="BD148" i="10"/>
  <c r="BD149" i="10"/>
  <c r="BD150" i="10"/>
  <c r="BD151" i="10"/>
  <c r="BD153" i="10"/>
  <c r="BD159" i="10"/>
  <c r="BE8" i="10"/>
  <c r="BE9" i="10"/>
  <c r="BE10" i="10"/>
  <c r="BE11" i="10"/>
  <c r="BE12" i="10"/>
  <c r="BE13" i="10"/>
  <c r="BE14" i="10"/>
  <c r="BE15" i="10"/>
  <c r="BE16" i="10"/>
  <c r="BE17" i="10"/>
  <c r="BE18" i="10"/>
  <c r="BE19" i="10"/>
  <c r="BE20" i="10"/>
  <c r="BE21" i="10"/>
  <c r="BE22" i="10"/>
  <c r="BE23" i="10"/>
  <c r="BE24" i="10"/>
  <c r="BE25" i="10"/>
  <c r="BE26" i="10"/>
  <c r="BE27" i="10"/>
  <c r="BE28" i="10"/>
  <c r="BE29" i="10"/>
  <c r="BE30" i="10"/>
  <c r="BE31" i="10"/>
  <c r="BE32" i="10"/>
  <c r="BE33" i="10"/>
  <c r="BE34" i="10"/>
  <c r="BE35" i="10"/>
  <c r="BE36" i="10"/>
  <c r="BE37" i="10"/>
  <c r="BE38" i="10"/>
  <c r="BE39" i="10"/>
  <c r="BE40" i="10"/>
  <c r="BE41" i="10"/>
  <c r="BE42" i="10"/>
  <c r="BE43" i="10"/>
  <c r="BE44" i="10"/>
  <c r="BE45" i="10"/>
  <c r="BE46" i="10"/>
  <c r="BE47" i="10"/>
  <c r="BE48" i="10"/>
  <c r="BE49" i="10"/>
  <c r="BE50" i="10"/>
  <c r="BE51" i="10"/>
  <c r="BE52" i="10"/>
  <c r="BE53" i="10"/>
  <c r="BE54" i="10"/>
  <c r="BE55" i="10"/>
  <c r="BE56" i="10"/>
  <c r="BE57" i="10"/>
  <c r="BE58" i="10"/>
  <c r="BE59" i="10"/>
  <c r="BE60" i="10"/>
  <c r="BE61" i="10"/>
  <c r="BE62" i="10"/>
  <c r="BE63" i="10"/>
  <c r="BE64" i="10"/>
  <c r="BE65" i="10"/>
  <c r="BE66" i="10"/>
  <c r="BE67" i="10"/>
  <c r="BE68" i="10"/>
  <c r="BE69" i="10"/>
  <c r="BE70" i="10"/>
  <c r="BE71" i="10"/>
  <c r="BE72" i="10"/>
  <c r="BE73" i="10"/>
  <c r="BE74" i="10"/>
  <c r="BE75" i="10"/>
  <c r="BE76" i="10"/>
  <c r="BE77" i="10"/>
  <c r="BE78" i="10"/>
  <c r="BE79" i="10"/>
  <c r="BE80" i="10"/>
  <c r="BE81" i="10"/>
  <c r="BE82" i="10"/>
  <c r="BE83" i="10"/>
  <c r="BE84" i="10"/>
  <c r="BE85" i="10"/>
  <c r="BE86" i="10"/>
  <c r="BE87" i="10"/>
  <c r="BE88" i="10"/>
  <c r="BE89" i="10"/>
  <c r="BE90" i="10"/>
  <c r="BE91" i="10"/>
  <c r="BE92" i="10"/>
  <c r="BE93" i="10"/>
  <c r="BE94" i="10"/>
  <c r="BE95" i="10"/>
  <c r="BE96" i="10"/>
  <c r="BE97" i="10"/>
  <c r="BE98" i="10"/>
  <c r="BE99" i="10"/>
  <c r="BE100" i="10"/>
  <c r="BE101" i="10"/>
  <c r="BE102" i="10"/>
  <c r="BE103" i="10"/>
  <c r="BE104" i="10"/>
  <c r="BE105" i="10"/>
  <c r="BE106" i="10"/>
  <c r="BE107" i="10"/>
  <c r="BE108" i="10"/>
  <c r="BE109" i="10"/>
  <c r="BE110" i="10"/>
  <c r="BE111" i="10"/>
  <c r="BE112" i="10"/>
  <c r="BE113" i="10"/>
  <c r="BE114" i="10"/>
  <c r="BE115" i="10"/>
  <c r="BE116" i="10"/>
  <c r="BE117" i="10"/>
  <c r="BE118" i="10"/>
  <c r="BE119" i="10"/>
  <c r="BE120" i="10"/>
  <c r="BE121" i="10"/>
  <c r="BE122" i="10"/>
  <c r="BE123" i="10"/>
  <c r="BE124" i="10"/>
  <c r="BE125" i="10"/>
  <c r="BE126" i="10"/>
  <c r="BE127" i="10"/>
  <c r="BE128" i="10"/>
  <c r="BE129" i="10"/>
  <c r="BE130" i="10"/>
  <c r="BE131" i="10"/>
  <c r="BE132" i="10"/>
  <c r="BE133" i="10"/>
  <c r="BE134" i="10"/>
  <c r="BE135" i="10"/>
  <c r="BE136" i="10"/>
  <c r="BE137" i="10"/>
  <c r="BE138" i="10"/>
  <c r="BE139" i="10"/>
  <c r="BE140" i="10"/>
  <c r="BE141" i="10"/>
  <c r="BE142" i="10"/>
  <c r="BE143" i="10"/>
  <c r="BE144" i="10"/>
  <c r="BE145" i="10"/>
  <c r="BE146" i="10"/>
  <c r="BE147" i="10"/>
  <c r="BE148" i="10"/>
  <c r="BE149" i="10"/>
  <c r="BE150" i="10"/>
  <c r="BE151" i="10"/>
  <c r="BE153" i="10"/>
  <c r="BE159" i="10"/>
  <c r="BF8" i="10"/>
  <c r="BF9" i="10"/>
  <c r="BF10" i="10"/>
  <c r="BF11" i="10"/>
  <c r="BF12" i="10"/>
  <c r="BF13" i="10"/>
  <c r="BF14" i="10"/>
  <c r="BF15" i="10"/>
  <c r="BF16" i="10"/>
  <c r="BF17" i="10"/>
  <c r="BF18" i="10"/>
  <c r="BF19" i="10"/>
  <c r="BF20" i="10"/>
  <c r="BF21" i="10"/>
  <c r="BF22" i="10"/>
  <c r="BF23" i="10"/>
  <c r="BF24" i="10"/>
  <c r="BF25" i="10"/>
  <c r="BF26" i="10"/>
  <c r="BF27" i="10"/>
  <c r="BF28" i="10"/>
  <c r="BF29" i="10"/>
  <c r="BF30" i="10"/>
  <c r="BF31" i="10"/>
  <c r="BF32" i="10"/>
  <c r="BF33" i="10"/>
  <c r="BF34" i="10"/>
  <c r="BF35" i="10"/>
  <c r="BF36" i="10"/>
  <c r="BF37" i="10"/>
  <c r="BF38" i="10"/>
  <c r="BF39" i="10"/>
  <c r="BF40" i="10"/>
  <c r="BF41" i="10"/>
  <c r="BF42" i="10"/>
  <c r="BF43" i="10"/>
  <c r="BF44" i="10"/>
  <c r="BF45" i="10"/>
  <c r="BF46" i="10"/>
  <c r="BF47" i="10"/>
  <c r="BF48" i="10"/>
  <c r="BF49" i="10"/>
  <c r="BF50" i="10"/>
  <c r="BF51" i="10"/>
  <c r="BF52" i="10"/>
  <c r="BF53" i="10"/>
  <c r="BF54" i="10"/>
  <c r="BF55" i="10"/>
  <c r="BF56" i="10"/>
  <c r="BF57" i="10"/>
  <c r="BF58" i="10"/>
  <c r="BF59" i="10"/>
  <c r="BF60" i="10"/>
  <c r="BF61" i="10"/>
  <c r="BF62" i="10"/>
  <c r="BF63" i="10"/>
  <c r="BF64" i="10"/>
  <c r="BF65" i="10"/>
  <c r="BF66" i="10"/>
  <c r="BF67" i="10"/>
  <c r="BF68" i="10"/>
  <c r="BF69" i="10"/>
  <c r="BF70" i="10"/>
  <c r="BF71" i="10"/>
  <c r="BF72" i="10"/>
  <c r="BF73" i="10"/>
  <c r="BF74" i="10"/>
  <c r="BF75" i="10"/>
  <c r="BF76" i="10"/>
  <c r="BF77" i="10"/>
  <c r="BF78" i="10"/>
  <c r="BF79" i="10"/>
  <c r="BF80" i="10"/>
  <c r="BF81" i="10"/>
  <c r="BF82" i="10"/>
  <c r="BF83" i="10"/>
  <c r="BF84" i="10"/>
  <c r="BF85" i="10"/>
  <c r="BF86" i="10"/>
  <c r="BF87" i="10"/>
  <c r="BF88" i="10"/>
  <c r="BF89" i="10"/>
  <c r="BF90" i="10"/>
  <c r="BF91" i="10"/>
  <c r="BF92" i="10"/>
  <c r="BF93" i="10"/>
  <c r="BF94" i="10"/>
  <c r="BF95" i="10"/>
  <c r="BF96" i="10"/>
  <c r="BF97" i="10"/>
  <c r="BF98" i="10"/>
  <c r="BF99" i="10"/>
  <c r="BF100" i="10"/>
  <c r="BF101" i="10"/>
  <c r="BF102" i="10"/>
  <c r="BF103" i="10"/>
  <c r="BF104" i="10"/>
  <c r="BF105" i="10"/>
  <c r="BF106" i="10"/>
  <c r="BF107" i="10"/>
  <c r="BF108" i="10"/>
  <c r="BF109" i="10"/>
  <c r="BF110" i="10"/>
  <c r="BF111" i="10"/>
  <c r="BF112" i="10"/>
  <c r="BF113" i="10"/>
  <c r="BF114" i="10"/>
  <c r="BF115" i="10"/>
  <c r="BF116" i="10"/>
  <c r="BF117" i="10"/>
  <c r="BF118" i="10"/>
  <c r="BF119" i="10"/>
  <c r="BF120" i="10"/>
  <c r="BF121" i="10"/>
  <c r="BF122" i="10"/>
  <c r="BF123" i="10"/>
  <c r="BF124" i="10"/>
  <c r="BF125" i="10"/>
  <c r="BF126" i="10"/>
  <c r="BF127" i="10"/>
  <c r="BF128" i="10"/>
  <c r="BF129" i="10"/>
  <c r="BF130" i="10"/>
  <c r="BF131" i="10"/>
  <c r="BF132" i="10"/>
  <c r="BF133" i="10"/>
  <c r="BF134" i="10"/>
  <c r="BF135" i="10"/>
  <c r="BF136" i="10"/>
  <c r="BF137" i="10"/>
  <c r="BF138" i="10"/>
  <c r="BF139" i="10"/>
  <c r="BF140" i="10"/>
  <c r="BF141" i="10"/>
  <c r="BF142" i="10"/>
  <c r="BF143" i="10"/>
  <c r="BF144" i="10"/>
  <c r="BF145" i="10"/>
  <c r="BF146" i="10"/>
  <c r="BF147" i="10"/>
  <c r="BF148" i="10"/>
  <c r="BF149" i="10"/>
  <c r="BF150" i="10"/>
  <c r="BF151" i="10"/>
  <c r="BF153" i="10"/>
  <c r="BF159" i="10"/>
  <c r="BG8" i="10"/>
  <c r="BG9" i="10"/>
  <c r="BG10" i="10"/>
  <c r="BG11" i="10"/>
  <c r="BG12" i="10"/>
  <c r="BG13" i="10"/>
  <c r="BG14" i="10"/>
  <c r="BG15" i="10"/>
  <c r="BG16" i="10"/>
  <c r="BG17" i="10"/>
  <c r="BG18" i="10"/>
  <c r="BG19" i="10"/>
  <c r="BG20" i="10"/>
  <c r="BG21" i="10"/>
  <c r="BG22" i="10"/>
  <c r="BG23" i="10"/>
  <c r="BG24" i="10"/>
  <c r="BG25" i="10"/>
  <c r="BG26" i="10"/>
  <c r="BG27" i="10"/>
  <c r="BG28" i="10"/>
  <c r="BG29" i="10"/>
  <c r="BG30" i="10"/>
  <c r="BG31" i="10"/>
  <c r="BG32" i="10"/>
  <c r="BG33" i="10"/>
  <c r="BG34" i="10"/>
  <c r="BG35" i="10"/>
  <c r="BG36" i="10"/>
  <c r="BG37" i="10"/>
  <c r="BG38" i="10"/>
  <c r="BG39" i="10"/>
  <c r="BG40" i="10"/>
  <c r="BG41" i="10"/>
  <c r="BG42" i="10"/>
  <c r="BG43" i="10"/>
  <c r="BG44" i="10"/>
  <c r="BG45" i="10"/>
  <c r="BG46" i="10"/>
  <c r="BG47" i="10"/>
  <c r="BG48" i="10"/>
  <c r="BG49" i="10"/>
  <c r="BG50" i="10"/>
  <c r="BG51" i="10"/>
  <c r="BG52" i="10"/>
  <c r="BG53" i="10"/>
  <c r="BG54" i="10"/>
  <c r="BG55" i="10"/>
  <c r="BG56" i="10"/>
  <c r="BG57" i="10"/>
  <c r="BG58" i="10"/>
  <c r="BG59" i="10"/>
  <c r="BG60" i="10"/>
  <c r="BG61" i="10"/>
  <c r="BG62" i="10"/>
  <c r="BG63" i="10"/>
  <c r="BG64" i="10"/>
  <c r="BG65" i="10"/>
  <c r="BG66" i="10"/>
  <c r="BG67" i="10"/>
  <c r="BG68" i="10"/>
  <c r="BG69" i="10"/>
  <c r="BG70" i="10"/>
  <c r="BG71" i="10"/>
  <c r="BG72" i="10"/>
  <c r="BG73" i="10"/>
  <c r="BG74" i="10"/>
  <c r="BG75" i="10"/>
  <c r="BG76" i="10"/>
  <c r="BG77" i="10"/>
  <c r="BG78" i="10"/>
  <c r="BG79" i="10"/>
  <c r="BG80" i="10"/>
  <c r="BG81" i="10"/>
  <c r="BG82" i="10"/>
  <c r="BG83" i="10"/>
  <c r="BG84" i="10"/>
  <c r="BG85" i="10"/>
  <c r="BG86" i="10"/>
  <c r="BG87" i="10"/>
  <c r="BG88" i="10"/>
  <c r="BG89" i="10"/>
  <c r="BG90" i="10"/>
  <c r="BG91" i="10"/>
  <c r="BG92" i="10"/>
  <c r="BG93" i="10"/>
  <c r="BG94" i="10"/>
  <c r="BG95" i="10"/>
  <c r="BG96" i="10"/>
  <c r="BG97" i="10"/>
  <c r="BG98" i="10"/>
  <c r="BG99" i="10"/>
  <c r="BG100" i="10"/>
  <c r="BG101" i="10"/>
  <c r="BG102" i="10"/>
  <c r="BG103" i="10"/>
  <c r="BG104" i="10"/>
  <c r="BG105" i="10"/>
  <c r="BG106" i="10"/>
  <c r="BG107" i="10"/>
  <c r="BG108" i="10"/>
  <c r="BG109" i="10"/>
  <c r="BG110" i="10"/>
  <c r="BG111" i="10"/>
  <c r="BG112" i="10"/>
  <c r="BG113" i="10"/>
  <c r="BG114" i="10"/>
  <c r="BG115" i="10"/>
  <c r="BG116" i="10"/>
  <c r="BG117" i="10"/>
  <c r="BG118" i="10"/>
  <c r="BG119" i="10"/>
  <c r="BG120" i="10"/>
  <c r="BG121" i="10"/>
  <c r="BG122" i="10"/>
  <c r="BG123" i="10"/>
  <c r="BG124" i="10"/>
  <c r="BG125" i="10"/>
  <c r="BG126" i="10"/>
  <c r="BG127" i="10"/>
  <c r="BG128" i="10"/>
  <c r="BG129" i="10"/>
  <c r="BG130" i="10"/>
  <c r="BG131" i="10"/>
  <c r="BG132" i="10"/>
  <c r="BG133" i="10"/>
  <c r="BG134" i="10"/>
  <c r="BG135" i="10"/>
  <c r="BG136" i="10"/>
  <c r="BG137" i="10"/>
  <c r="BG138" i="10"/>
  <c r="BG139" i="10"/>
  <c r="BG140" i="10"/>
  <c r="BG141" i="10"/>
  <c r="BG142" i="10"/>
  <c r="BG143" i="10"/>
  <c r="BG144" i="10"/>
  <c r="BG145" i="10"/>
  <c r="BG146" i="10"/>
  <c r="BG147" i="10"/>
  <c r="BG148" i="10"/>
  <c r="BG149" i="10"/>
  <c r="BG150" i="10"/>
  <c r="BG151" i="10"/>
  <c r="BG153" i="10"/>
  <c r="BG159" i="10"/>
  <c r="BH8" i="10"/>
  <c r="BH9" i="10"/>
  <c r="BH10" i="10"/>
  <c r="BH11" i="10"/>
  <c r="BH12" i="10"/>
  <c r="BH13" i="10"/>
  <c r="BH14" i="10"/>
  <c r="BH15" i="10"/>
  <c r="BH16" i="10"/>
  <c r="BH17" i="10"/>
  <c r="BH18" i="10"/>
  <c r="BH19" i="10"/>
  <c r="BH20" i="10"/>
  <c r="BH21" i="10"/>
  <c r="BH22" i="10"/>
  <c r="BH23" i="10"/>
  <c r="BH24" i="10"/>
  <c r="BH25" i="10"/>
  <c r="BH26" i="10"/>
  <c r="BH27" i="10"/>
  <c r="BH28" i="10"/>
  <c r="BH29" i="10"/>
  <c r="BH30" i="10"/>
  <c r="BH31" i="10"/>
  <c r="BH32" i="10"/>
  <c r="BH33" i="10"/>
  <c r="BH34" i="10"/>
  <c r="BH35" i="10"/>
  <c r="BH36" i="10"/>
  <c r="BH37" i="10"/>
  <c r="BH38" i="10"/>
  <c r="BH39" i="10"/>
  <c r="BH40" i="10"/>
  <c r="BH41" i="10"/>
  <c r="BH42" i="10"/>
  <c r="BH43" i="10"/>
  <c r="BH44" i="10"/>
  <c r="BH45" i="10"/>
  <c r="BH46" i="10"/>
  <c r="BH47" i="10"/>
  <c r="BH48" i="10"/>
  <c r="BH49" i="10"/>
  <c r="BH50" i="10"/>
  <c r="BH51" i="10"/>
  <c r="BH52" i="10"/>
  <c r="BH53" i="10"/>
  <c r="BH54" i="10"/>
  <c r="BH55" i="10"/>
  <c r="BH56" i="10"/>
  <c r="BH57" i="10"/>
  <c r="BH58" i="10"/>
  <c r="BH59" i="10"/>
  <c r="BH60" i="10"/>
  <c r="BH61" i="10"/>
  <c r="BH62" i="10"/>
  <c r="BH63" i="10"/>
  <c r="BH64" i="10"/>
  <c r="BH65" i="10"/>
  <c r="BH66" i="10"/>
  <c r="BH67" i="10"/>
  <c r="BH68" i="10"/>
  <c r="BH69" i="10"/>
  <c r="BH70" i="10"/>
  <c r="BH71" i="10"/>
  <c r="BH72" i="10"/>
  <c r="BH73" i="10"/>
  <c r="BH74" i="10"/>
  <c r="BH75" i="10"/>
  <c r="BH76" i="10"/>
  <c r="BH77" i="10"/>
  <c r="BH78" i="10"/>
  <c r="BH79" i="10"/>
  <c r="BH80" i="10"/>
  <c r="BH81" i="10"/>
  <c r="BH82" i="10"/>
  <c r="BH83" i="10"/>
  <c r="BH84" i="10"/>
  <c r="BH85" i="10"/>
  <c r="BH86" i="10"/>
  <c r="BH87" i="10"/>
  <c r="BH88" i="10"/>
  <c r="BH89" i="10"/>
  <c r="BH90" i="10"/>
  <c r="BH91" i="10"/>
  <c r="BH92" i="10"/>
  <c r="BH93" i="10"/>
  <c r="BH94" i="10"/>
  <c r="BH95" i="10"/>
  <c r="BH96" i="10"/>
  <c r="BH97" i="10"/>
  <c r="BH98" i="10"/>
  <c r="BH99" i="10"/>
  <c r="BH100" i="10"/>
  <c r="BH101" i="10"/>
  <c r="BH102" i="10"/>
  <c r="BH103" i="10"/>
  <c r="BH104" i="10"/>
  <c r="BH105" i="10"/>
  <c r="BH106" i="10"/>
  <c r="BH107" i="10"/>
  <c r="BH108" i="10"/>
  <c r="BH109" i="10"/>
  <c r="BH110" i="10"/>
  <c r="BH111" i="10"/>
  <c r="BH112" i="10"/>
  <c r="BH113" i="10"/>
  <c r="BH114" i="10"/>
  <c r="BH115" i="10"/>
  <c r="BH116" i="10"/>
  <c r="BH117" i="10"/>
  <c r="BH118" i="10"/>
  <c r="BH119" i="10"/>
  <c r="BH120" i="10"/>
  <c r="BH121" i="10"/>
  <c r="BH122" i="10"/>
  <c r="BH123" i="10"/>
  <c r="BH124" i="10"/>
  <c r="BH125" i="10"/>
  <c r="BH126" i="10"/>
  <c r="BH127" i="10"/>
  <c r="BH128" i="10"/>
  <c r="BH129" i="10"/>
  <c r="BH130" i="10"/>
  <c r="BH131" i="10"/>
  <c r="BH132" i="10"/>
  <c r="BH133" i="10"/>
  <c r="BH134" i="10"/>
  <c r="BH135" i="10"/>
  <c r="BH136" i="10"/>
  <c r="BH137" i="10"/>
  <c r="BH138" i="10"/>
  <c r="BH139" i="10"/>
  <c r="BH140" i="10"/>
  <c r="BH141" i="10"/>
  <c r="BH142" i="10"/>
  <c r="BH143" i="10"/>
  <c r="BH144" i="10"/>
  <c r="BH145" i="10"/>
  <c r="BH146" i="10"/>
  <c r="BH147" i="10"/>
  <c r="BH148" i="10"/>
  <c r="BH149" i="10"/>
  <c r="BH150" i="10"/>
  <c r="BH151" i="10"/>
  <c r="BH153" i="10"/>
  <c r="BH159" i="10"/>
  <c r="BI8" i="10"/>
  <c r="BI9" i="10"/>
  <c r="BI10" i="10"/>
  <c r="BI11" i="10"/>
  <c r="BI12" i="10"/>
  <c r="BI13" i="10"/>
  <c r="BI14" i="10"/>
  <c r="BI15" i="10"/>
  <c r="BI16" i="10"/>
  <c r="BI17" i="10"/>
  <c r="BI18" i="10"/>
  <c r="BI19" i="10"/>
  <c r="BI20" i="10"/>
  <c r="BI21" i="10"/>
  <c r="BI22" i="10"/>
  <c r="BI23" i="10"/>
  <c r="BI24" i="10"/>
  <c r="BI25" i="10"/>
  <c r="BI26" i="10"/>
  <c r="BI27" i="10"/>
  <c r="BI28" i="10"/>
  <c r="BI29" i="10"/>
  <c r="BI30" i="10"/>
  <c r="BI31" i="10"/>
  <c r="BI32" i="10"/>
  <c r="BI33" i="10"/>
  <c r="BI34" i="10"/>
  <c r="BI35" i="10"/>
  <c r="BI36" i="10"/>
  <c r="BI37" i="10"/>
  <c r="BI38" i="10"/>
  <c r="BI39" i="10"/>
  <c r="BI40" i="10"/>
  <c r="BI41" i="10"/>
  <c r="BI42" i="10"/>
  <c r="BI43" i="10"/>
  <c r="BI44" i="10"/>
  <c r="BI45" i="10"/>
  <c r="BI46" i="10"/>
  <c r="BI47" i="10"/>
  <c r="BI48" i="10"/>
  <c r="BI49" i="10"/>
  <c r="BI50" i="10"/>
  <c r="BI51" i="10"/>
  <c r="BI52" i="10"/>
  <c r="BI53" i="10"/>
  <c r="BI54" i="10"/>
  <c r="BI55" i="10"/>
  <c r="BI56" i="10"/>
  <c r="BI57" i="10"/>
  <c r="BI58" i="10"/>
  <c r="BI59" i="10"/>
  <c r="BI60" i="10"/>
  <c r="BI61" i="10"/>
  <c r="BI62" i="10"/>
  <c r="BI63" i="10"/>
  <c r="BI64" i="10"/>
  <c r="BI65" i="10"/>
  <c r="BI66" i="10"/>
  <c r="BI67" i="10"/>
  <c r="BI68" i="10"/>
  <c r="BI69" i="10"/>
  <c r="BI70" i="10"/>
  <c r="BI71" i="10"/>
  <c r="BI72" i="10"/>
  <c r="BI73" i="10"/>
  <c r="BI74" i="10"/>
  <c r="BI75" i="10"/>
  <c r="BI76" i="10"/>
  <c r="BI77" i="10"/>
  <c r="BI78" i="10"/>
  <c r="BI79" i="10"/>
  <c r="BI80" i="10"/>
  <c r="BI81" i="10"/>
  <c r="BI82" i="10"/>
  <c r="BI83" i="10"/>
  <c r="BI84" i="10"/>
  <c r="BI85" i="10"/>
  <c r="BI86" i="10"/>
  <c r="BI87" i="10"/>
  <c r="BI88" i="10"/>
  <c r="BI89" i="10"/>
  <c r="BI90" i="10"/>
  <c r="BI91" i="10"/>
  <c r="BI92" i="10"/>
  <c r="BI93" i="10"/>
  <c r="BI94" i="10"/>
  <c r="BI95" i="10"/>
  <c r="BI96" i="10"/>
  <c r="BI97" i="10"/>
  <c r="BI98" i="10"/>
  <c r="BI99" i="10"/>
  <c r="BI100" i="10"/>
  <c r="BI101" i="10"/>
  <c r="BI102" i="10"/>
  <c r="BI103" i="10"/>
  <c r="BI104" i="10"/>
  <c r="BI105" i="10"/>
  <c r="BI106" i="10"/>
  <c r="BI107" i="10"/>
  <c r="BI108" i="10"/>
  <c r="BI109" i="10"/>
  <c r="BI110" i="10"/>
  <c r="BI111" i="10"/>
  <c r="BI112" i="10"/>
  <c r="BI113" i="10"/>
  <c r="BI114" i="10"/>
  <c r="BI115" i="10"/>
  <c r="BI116" i="10"/>
  <c r="BI117" i="10"/>
  <c r="BI118" i="10"/>
  <c r="BI119" i="10"/>
  <c r="BI120" i="10"/>
  <c r="BI121" i="10"/>
  <c r="BI122" i="10"/>
  <c r="BI123" i="10"/>
  <c r="BI124" i="10"/>
  <c r="BI125" i="10"/>
  <c r="BI126" i="10"/>
  <c r="BI127" i="10"/>
  <c r="BI128" i="10"/>
  <c r="BI129" i="10"/>
  <c r="BI130" i="10"/>
  <c r="BI131" i="10"/>
  <c r="BI132" i="10"/>
  <c r="BI133" i="10"/>
  <c r="BI134" i="10"/>
  <c r="BI135" i="10"/>
  <c r="BI136" i="10"/>
  <c r="BI137" i="10"/>
  <c r="BI138" i="10"/>
  <c r="BI139" i="10"/>
  <c r="BI140" i="10"/>
  <c r="BI141" i="10"/>
  <c r="BI142" i="10"/>
  <c r="BI143" i="10"/>
  <c r="BI144" i="10"/>
  <c r="BI145" i="10"/>
  <c r="BI146" i="10"/>
  <c r="BI147" i="10"/>
  <c r="BI148" i="10"/>
  <c r="BI149" i="10"/>
  <c r="BI150" i="10"/>
  <c r="BI151" i="10"/>
  <c r="BI153" i="10"/>
  <c r="BI159" i="10"/>
  <c r="BJ8" i="10"/>
  <c r="BJ9" i="10"/>
  <c r="BJ10" i="10"/>
  <c r="BJ11" i="10"/>
  <c r="BJ12" i="10"/>
  <c r="BJ13" i="10"/>
  <c r="BJ14" i="10"/>
  <c r="BJ15" i="10"/>
  <c r="BJ16" i="10"/>
  <c r="BJ17" i="10"/>
  <c r="BJ18" i="10"/>
  <c r="BJ19" i="10"/>
  <c r="BJ20" i="10"/>
  <c r="BJ21" i="10"/>
  <c r="BJ22" i="10"/>
  <c r="BJ23" i="10"/>
  <c r="BJ24" i="10"/>
  <c r="BJ25" i="10"/>
  <c r="BJ26" i="10"/>
  <c r="BJ27" i="10"/>
  <c r="BJ28" i="10"/>
  <c r="BJ29" i="10"/>
  <c r="BJ30" i="10"/>
  <c r="BJ31" i="10"/>
  <c r="BJ32" i="10"/>
  <c r="BJ33" i="10"/>
  <c r="BJ34" i="10"/>
  <c r="BJ35" i="10"/>
  <c r="BJ36" i="10"/>
  <c r="BJ37" i="10"/>
  <c r="BJ38" i="10"/>
  <c r="BJ39" i="10"/>
  <c r="BJ40" i="10"/>
  <c r="BJ41" i="10"/>
  <c r="BJ42" i="10"/>
  <c r="BJ43" i="10"/>
  <c r="BJ44" i="10"/>
  <c r="BJ45" i="10"/>
  <c r="BJ46" i="10"/>
  <c r="BJ47" i="10"/>
  <c r="BJ48" i="10"/>
  <c r="BJ49" i="10"/>
  <c r="BJ50" i="10"/>
  <c r="BJ51" i="10"/>
  <c r="BJ52" i="10"/>
  <c r="BJ53" i="10"/>
  <c r="BJ54" i="10"/>
  <c r="BJ55" i="10"/>
  <c r="BJ56" i="10"/>
  <c r="BJ57" i="10"/>
  <c r="BJ58" i="10"/>
  <c r="BJ59" i="10"/>
  <c r="BJ60" i="10"/>
  <c r="BJ61" i="10"/>
  <c r="BJ62" i="10"/>
  <c r="BJ63" i="10"/>
  <c r="BJ64" i="10"/>
  <c r="BJ65" i="10"/>
  <c r="BJ66" i="10"/>
  <c r="BJ67" i="10"/>
  <c r="BJ68" i="10"/>
  <c r="BJ69" i="10"/>
  <c r="BJ70" i="10"/>
  <c r="BJ71" i="10"/>
  <c r="BJ72" i="10"/>
  <c r="BJ73" i="10"/>
  <c r="BJ74" i="10"/>
  <c r="BJ75" i="10"/>
  <c r="BJ76" i="10"/>
  <c r="BJ77" i="10"/>
  <c r="BJ78" i="10"/>
  <c r="BJ79" i="10"/>
  <c r="BJ80" i="10"/>
  <c r="BJ81" i="10"/>
  <c r="BJ82" i="10"/>
  <c r="BJ83" i="10"/>
  <c r="BJ84" i="10"/>
  <c r="BJ85" i="10"/>
  <c r="BJ86" i="10"/>
  <c r="BJ87" i="10"/>
  <c r="BJ88" i="10"/>
  <c r="BJ89" i="10"/>
  <c r="BJ90" i="10"/>
  <c r="BJ91" i="10"/>
  <c r="BJ92" i="10"/>
  <c r="BJ93" i="10"/>
  <c r="BJ94" i="10"/>
  <c r="BJ95" i="10"/>
  <c r="BJ96" i="10"/>
  <c r="BJ97" i="10"/>
  <c r="BJ98" i="10"/>
  <c r="BJ99" i="10"/>
  <c r="BJ100" i="10"/>
  <c r="BJ101" i="10"/>
  <c r="BJ102" i="10"/>
  <c r="BJ103" i="10"/>
  <c r="BJ104" i="10"/>
  <c r="BJ105" i="10"/>
  <c r="BJ106" i="10"/>
  <c r="BJ107" i="10"/>
  <c r="BJ108" i="10"/>
  <c r="BJ109" i="10"/>
  <c r="BJ110" i="10"/>
  <c r="BJ111" i="10"/>
  <c r="BJ112" i="10"/>
  <c r="BJ113" i="10"/>
  <c r="BJ114" i="10"/>
  <c r="BJ115" i="10"/>
  <c r="BJ116" i="10"/>
  <c r="BJ117" i="10"/>
  <c r="BJ118" i="10"/>
  <c r="BJ119" i="10"/>
  <c r="BJ120" i="10"/>
  <c r="BJ121" i="10"/>
  <c r="BJ122" i="10"/>
  <c r="BJ123" i="10"/>
  <c r="BJ124" i="10"/>
  <c r="BJ125" i="10"/>
  <c r="BJ126" i="10"/>
  <c r="BJ127" i="10"/>
  <c r="BJ128" i="10"/>
  <c r="BJ129" i="10"/>
  <c r="BJ130" i="10"/>
  <c r="BJ131" i="10"/>
  <c r="BJ132" i="10"/>
  <c r="BJ133" i="10"/>
  <c r="BJ134" i="10"/>
  <c r="BJ135" i="10"/>
  <c r="BJ136" i="10"/>
  <c r="BJ137" i="10"/>
  <c r="BJ138" i="10"/>
  <c r="BJ139" i="10"/>
  <c r="BJ140" i="10"/>
  <c r="BJ141" i="10"/>
  <c r="BJ142" i="10"/>
  <c r="BJ143" i="10"/>
  <c r="BJ144" i="10"/>
  <c r="BJ145" i="10"/>
  <c r="BJ146" i="10"/>
  <c r="BJ147" i="10"/>
  <c r="BJ148" i="10"/>
  <c r="BJ149" i="10"/>
  <c r="BJ150" i="10"/>
  <c r="BJ151" i="10"/>
  <c r="BJ153" i="10"/>
  <c r="BJ159" i="10"/>
  <c r="BK8" i="10"/>
  <c r="BK9" i="10"/>
  <c r="BK10" i="10"/>
  <c r="BK11" i="10"/>
  <c r="BK12" i="10"/>
  <c r="BK13" i="10"/>
  <c r="BK14" i="10"/>
  <c r="BK15" i="10"/>
  <c r="BK16" i="10"/>
  <c r="BK17" i="10"/>
  <c r="BK18" i="10"/>
  <c r="BK19" i="10"/>
  <c r="BK20" i="10"/>
  <c r="BK21" i="10"/>
  <c r="BK22" i="10"/>
  <c r="BK23" i="10"/>
  <c r="BK24" i="10"/>
  <c r="BK25" i="10"/>
  <c r="BK26" i="10"/>
  <c r="BK27" i="10"/>
  <c r="BK28" i="10"/>
  <c r="BK29" i="10"/>
  <c r="BK30" i="10"/>
  <c r="BK31" i="10"/>
  <c r="BK32" i="10"/>
  <c r="BK33" i="10"/>
  <c r="BK34" i="10"/>
  <c r="BK35" i="10"/>
  <c r="BK36" i="10"/>
  <c r="BK37" i="10"/>
  <c r="BK38" i="10"/>
  <c r="BK39" i="10"/>
  <c r="BK40" i="10"/>
  <c r="BK41" i="10"/>
  <c r="BK42" i="10"/>
  <c r="BK43" i="10"/>
  <c r="BK44" i="10"/>
  <c r="BK45" i="10"/>
  <c r="BK46" i="10"/>
  <c r="BK47" i="10"/>
  <c r="BK48" i="10"/>
  <c r="BK49" i="10"/>
  <c r="BK50" i="10"/>
  <c r="BK51" i="10"/>
  <c r="BK52" i="10"/>
  <c r="BK53" i="10"/>
  <c r="BK54" i="10"/>
  <c r="BK55" i="10"/>
  <c r="BK56" i="10"/>
  <c r="BK57" i="10"/>
  <c r="BK58" i="10"/>
  <c r="BK59" i="10"/>
  <c r="BK60" i="10"/>
  <c r="BK61" i="10"/>
  <c r="BK62" i="10"/>
  <c r="BK63" i="10"/>
  <c r="BK64" i="10"/>
  <c r="BK65" i="10"/>
  <c r="BK66" i="10"/>
  <c r="BK67" i="10"/>
  <c r="BK68" i="10"/>
  <c r="BK69" i="10"/>
  <c r="BK70" i="10"/>
  <c r="BK71" i="10"/>
  <c r="BK72" i="10"/>
  <c r="BK73" i="10"/>
  <c r="BK74" i="10"/>
  <c r="BK75" i="10"/>
  <c r="BK76" i="10"/>
  <c r="BK77" i="10"/>
  <c r="BK78" i="10"/>
  <c r="BK79" i="10"/>
  <c r="BK80" i="10"/>
  <c r="BK81" i="10"/>
  <c r="BK82" i="10"/>
  <c r="BK83" i="10"/>
  <c r="BK84" i="10"/>
  <c r="BK85" i="10"/>
  <c r="BK86" i="10"/>
  <c r="BK87" i="10"/>
  <c r="BK88" i="10"/>
  <c r="BK89" i="10"/>
  <c r="BK90" i="10"/>
  <c r="BK91" i="10"/>
  <c r="BK92" i="10"/>
  <c r="BK93" i="10"/>
  <c r="BK94" i="10"/>
  <c r="BK95" i="10"/>
  <c r="BK96" i="10"/>
  <c r="BK97" i="10"/>
  <c r="BK98" i="10"/>
  <c r="BK99" i="10"/>
  <c r="BK100" i="10"/>
  <c r="BK101" i="10"/>
  <c r="BK102" i="10"/>
  <c r="BK103" i="10"/>
  <c r="BK104" i="10"/>
  <c r="BK105" i="10"/>
  <c r="BK106" i="10"/>
  <c r="BK107" i="10"/>
  <c r="BK108" i="10"/>
  <c r="BK109" i="10"/>
  <c r="BK110" i="10"/>
  <c r="BK111" i="10"/>
  <c r="BK112" i="10"/>
  <c r="BK113" i="10"/>
  <c r="BK114" i="10"/>
  <c r="BK115" i="10"/>
  <c r="BK116" i="10"/>
  <c r="BK117" i="10"/>
  <c r="BK118" i="10"/>
  <c r="BK119" i="10"/>
  <c r="BK120" i="10"/>
  <c r="BK121" i="10"/>
  <c r="BK122" i="10"/>
  <c r="BK123" i="10"/>
  <c r="BK124" i="10"/>
  <c r="BK125" i="10"/>
  <c r="BK126" i="10"/>
  <c r="BK127" i="10"/>
  <c r="BK128" i="10"/>
  <c r="BK129" i="10"/>
  <c r="BK130" i="10"/>
  <c r="BK131" i="10"/>
  <c r="BK132" i="10"/>
  <c r="BK133" i="10"/>
  <c r="BK134" i="10"/>
  <c r="BK135" i="10"/>
  <c r="BK136" i="10"/>
  <c r="BK137" i="10"/>
  <c r="BK138" i="10"/>
  <c r="BK139" i="10"/>
  <c r="BK140" i="10"/>
  <c r="BK141" i="10"/>
  <c r="BK142" i="10"/>
  <c r="BK143" i="10"/>
  <c r="BK144" i="10"/>
  <c r="BK145" i="10"/>
  <c r="BK146" i="10"/>
  <c r="BK147" i="10"/>
  <c r="BK148" i="10"/>
  <c r="BK149" i="10"/>
  <c r="BK150" i="10"/>
  <c r="BK151" i="10"/>
  <c r="BK153" i="10"/>
  <c r="BK159" i="10"/>
  <c r="BL8" i="10"/>
  <c r="BL9" i="10"/>
  <c r="BL10" i="10"/>
  <c r="BL11" i="10"/>
  <c r="BL12" i="10"/>
  <c r="BL13" i="10"/>
  <c r="BL14" i="10"/>
  <c r="BL15" i="10"/>
  <c r="BL16" i="10"/>
  <c r="BL17" i="10"/>
  <c r="BL18" i="10"/>
  <c r="BL19" i="10"/>
  <c r="BL20" i="10"/>
  <c r="BL21" i="10"/>
  <c r="BL22" i="10"/>
  <c r="BL23" i="10"/>
  <c r="BL24" i="10"/>
  <c r="BL25" i="10"/>
  <c r="BL26" i="10"/>
  <c r="BL27" i="10"/>
  <c r="BL28" i="10"/>
  <c r="BL29" i="10"/>
  <c r="BL30" i="10"/>
  <c r="BL31" i="10"/>
  <c r="BL32" i="10"/>
  <c r="BL33" i="10"/>
  <c r="BL34" i="10"/>
  <c r="BL35" i="10"/>
  <c r="BL36" i="10"/>
  <c r="BL37" i="10"/>
  <c r="BL38" i="10"/>
  <c r="BL39" i="10"/>
  <c r="BL40" i="10"/>
  <c r="BL41" i="10"/>
  <c r="BL42" i="10"/>
  <c r="BL43" i="10"/>
  <c r="BL44" i="10"/>
  <c r="BL45" i="10"/>
  <c r="BL46" i="10"/>
  <c r="BL47" i="10"/>
  <c r="BL48" i="10"/>
  <c r="BL49" i="10"/>
  <c r="BL50" i="10"/>
  <c r="BL51" i="10"/>
  <c r="BL52" i="10"/>
  <c r="BL53" i="10"/>
  <c r="BL54" i="10"/>
  <c r="BL55" i="10"/>
  <c r="BL56" i="10"/>
  <c r="BL57" i="10"/>
  <c r="BL58" i="10"/>
  <c r="BL59" i="10"/>
  <c r="BL60" i="10"/>
  <c r="BL61" i="10"/>
  <c r="BL62" i="10"/>
  <c r="BL63" i="10"/>
  <c r="BL64" i="10"/>
  <c r="BL65" i="10"/>
  <c r="BL66" i="10"/>
  <c r="BL67" i="10"/>
  <c r="BL68" i="10"/>
  <c r="BL69" i="10"/>
  <c r="BL70" i="10"/>
  <c r="BL71" i="10"/>
  <c r="BL72" i="10"/>
  <c r="BL73" i="10"/>
  <c r="BL74" i="10"/>
  <c r="BL75" i="10"/>
  <c r="BL76" i="10"/>
  <c r="BL77" i="10"/>
  <c r="BL78" i="10"/>
  <c r="BL79" i="10"/>
  <c r="BL80" i="10"/>
  <c r="BL81" i="10"/>
  <c r="BL82" i="10"/>
  <c r="BL83" i="10"/>
  <c r="BL84" i="10"/>
  <c r="BL85" i="10"/>
  <c r="BL86" i="10"/>
  <c r="BL87" i="10"/>
  <c r="BL88" i="10"/>
  <c r="BL89" i="10"/>
  <c r="BL90" i="10"/>
  <c r="BL91" i="10"/>
  <c r="BL92" i="10"/>
  <c r="BL93" i="10"/>
  <c r="BL94" i="10"/>
  <c r="BL95" i="10"/>
  <c r="BL96" i="10"/>
  <c r="BL97" i="10"/>
  <c r="BL98" i="10"/>
  <c r="BL99" i="10"/>
  <c r="BL100" i="10"/>
  <c r="BL101" i="10"/>
  <c r="BL102" i="10"/>
  <c r="BL103" i="10"/>
  <c r="BL104" i="10"/>
  <c r="BL105" i="10"/>
  <c r="BL106" i="10"/>
  <c r="BL107" i="10"/>
  <c r="BL108" i="10"/>
  <c r="BL109" i="10"/>
  <c r="BL110" i="10"/>
  <c r="BL111" i="10"/>
  <c r="BL112" i="10"/>
  <c r="BL113" i="10"/>
  <c r="BL114" i="10"/>
  <c r="BL115" i="10"/>
  <c r="BL116" i="10"/>
  <c r="BL117" i="10"/>
  <c r="BL118" i="10"/>
  <c r="BL119" i="10"/>
  <c r="BL120" i="10"/>
  <c r="BL121" i="10"/>
  <c r="BL122" i="10"/>
  <c r="BL123" i="10"/>
  <c r="BL124" i="10"/>
  <c r="BL125" i="10"/>
  <c r="BL126" i="10"/>
  <c r="BL127" i="10"/>
  <c r="BL128" i="10"/>
  <c r="BL129" i="10"/>
  <c r="BL130" i="10"/>
  <c r="BL131" i="10"/>
  <c r="BL132" i="10"/>
  <c r="BL133" i="10"/>
  <c r="BL134" i="10"/>
  <c r="BL135" i="10"/>
  <c r="BL136" i="10"/>
  <c r="BL137" i="10"/>
  <c r="BL138" i="10"/>
  <c r="BL139" i="10"/>
  <c r="BL140" i="10"/>
  <c r="BL141" i="10"/>
  <c r="BL142" i="10"/>
  <c r="BL143" i="10"/>
  <c r="BL144" i="10"/>
  <c r="BL145" i="10"/>
  <c r="BL146" i="10"/>
  <c r="BL147" i="10"/>
  <c r="BL148" i="10"/>
  <c r="BL149" i="10"/>
  <c r="BL150" i="10"/>
  <c r="BL151" i="10"/>
  <c r="BL153" i="10"/>
  <c r="BL159" i="10"/>
  <c r="BM8" i="10"/>
  <c r="BM9" i="10"/>
  <c r="BM10" i="10"/>
  <c r="BM11" i="10"/>
  <c r="BM12" i="10"/>
  <c r="BM13" i="10"/>
  <c r="BM14" i="10"/>
  <c r="BM15" i="10"/>
  <c r="BM16" i="10"/>
  <c r="BM17" i="10"/>
  <c r="BM18" i="10"/>
  <c r="BM19" i="10"/>
  <c r="BM20" i="10"/>
  <c r="BM21" i="10"/>
  <c r="BM22" i="10"/>
  <c r="BM23" i="10"/>
  <c r="BM24" i="10"/>
  <c r="BM25" i="10"/>
  <c r="BM26" i="10"/>
  <c r="BM27" i="10"/>
  <c r="BM28" i="10"/>
  <c r="BM29" i="10"/>
  <c r="BM30" i="10"/>
  <c r="BM31" i="10"/>
  <c r="BM32" i="10"/>
  <c r="BM33" i="10"/>
  <c r="BM34" i="10"/>
  <c r="BM35" i="10"/>
  <c r="BM36" i="10"/>
  <c r="BM37" i="10"/>
  <c r="BM38" i="10"/>
  <c r="BM39" i="10"/>
  <c r="BM40" i="10"/>
  <c r="BM41" i="10"/>
  <c r="BM42" i="10"/>
  <c r="BM43" i="10"/>
  <c r="BM44" i="10"/>
  <c r="BM45" i="10"/>
  <c r="BM46" i="10"/>
  <c r="BM47" i="10"/>
  <c r="BM48" i="10"/>
  <c r="BM49" i="10"/>
  <c r="BM50" i="10"/>
  <c r="BM51" i="10"/>
  <c r="BM52" i="10"/>
  <c r="BM53" i="10"/>
  <c r="BM54" i="10"/>
  <c r="BM55" i="10"/>
  <c r="BM56" i="10"/>
  <c r="BM57" i="10"/>
  <c r="BM58" i="10"/>
  <c r="BM59" i="10"/>
  <c r="BM60" i="10"/>
  <c r="BM61" i="10"/>
  <c r="BM62" i="10"/>
  <c r="BM63" i="10"/>
  <c r="BM64" i="10"/>
  <c r="BM65" i="10"/>
  <c r="BM66" i="10"/>
  <c r="BM67" i="10"/>
  <c r="BM68" i="10"/>
  <c r="BM69" i="10"/>
  <c r="BM70" i="10"/>
  <c r="BM71" i="10"/>
  <c r="BM72" i="10"/>
  <c r="BM73" i="10"/>
  <c r="BM74" i="10"/>
  <c r="BM75" i="10"/>
  <c r="BM76" i="10"/>
  <c r="BM77" i="10"/>
  <c r="BM78" i="10"/>
  <c r="BM79" i="10"/>
  <c r="BM80" i="10"/>
  <c r="BM81" i="10"/>
  <c r="BM82" i="10"/>
  <c r="BM83" i="10"/>
  <c r="BM84" i="10"/>
  <c r="BM85" i="10"/>
  <c r="BM86" i="10"/>
  <c r="BM87" i="10"/>
  <c r="BM88" i="10"/>
  <c r="BM89" i="10"/>
  <c r="BM90" i="10"/>
  <c r="BM91" i="10"/>
  <c r="BM92" i="10"/>
  <c r="BM93" i="10"/>
  <c r="BM94" i="10"/>
  <c r="BM95" i="10"/>
  <c r="BM96" i="10"/>
  <c r="BM97" i="10"/>
  <c r="BM98" i="10"/>
  <c r="BM99" i="10"/>
  <c r="BM100" i="10"/>
  <c r="BM101" i="10"/>
  <c r="BM102" i="10"/>
  <c r="BM103" i="10"/>
  <c r="BM104" i="10"/>
  <c r="BM105" i="10"/>
  <c r="BM106" i="10"/>
  <c r="BM107" i="10"/>
  <c r="BM108" i="10"/>
  <c r="BM109" i="10"/>
  <c r="BM110" i="10"/>
  <c r="BM111" i="10"/>
  <c r="BM112" i="10"/>
  <c r="BM113" i="10"/>
  <c r="BM114" i="10"/>
  <c r="BM115" i="10"/>
  <c r="BM116" i="10"/>
  <c r="BM117" i="10"/>
  <c r="BM118" i="10"/>
  <c r="BM119" i="10"/>
  <c r="BM120" i="10"/>
  <c r="BM121" i="10"/>
  <c r="BM122" i="10"/>
  <c r="BM123" i="10"/>
  <c r="BM124" i="10"/>
  <c r="BM125" i="10"/>
  <c r="BM126" i="10"/>
  <c r="BM127" i="10"/>
  <c r="BM128" i="10"/>
  <c r="BM129" i="10"/>
  <c r="BM130" i="10"/>
  <c r="BM131" i="10"/>
  <c r="BM132" i="10"/>
  <c r="BM133" i="10"/>
  <c r="BM134" i="10"/>
  <c r="BM135" i="10"/>
  <c r="BM136" i="10"/>
  <c r="BM137" i="10"/>
  <c r="BM138" i="10"/>
  <c r="BM139" i="10"/>
  <c r="BM140" i="10"/>
  <c r="BM141" i="10"/>
  <c r="BM142" i="10"/>
  <c r="BM143" i="10"/>
  <c r="BM144" i="10"/>
  <c r="BM145" i="10"/>
  <c r="BM146" i="10"/>
  <c r="BM147" i="10"/>
  <c r="BM148" i="10"/>
  <c r="BM149" i="10"/>
  <c r="BM150" i="10"/>
  <c r="BM151" i="10"/>
  <c r="BM153" i="10"/>
  <c r="BM159" i="10"/>
  <c r="BN8" i="10"/>
  <c r="BN9" i="10"/>
  <c r="BN10" i="10"/>
  <c r="BN11" i="10"/>
  <c r="BN12" i="10"/>
  <c r="BN13" i="10"/>
  <c r="BN14" i="10"/>
  <c r="BN15" i="10"/>
  <c r="BN16" i="10"/>
  <c r="BN17" i="10"/>
  <c r="BN18" i="10"/>
  <c r="BN19" i="10"/>
  <c r="BN20" i="10"/>
  <c r="BN21" i="10"/>
  <c r="BN22" i="10"/>
  <c r="BN23" i="10"/>
  <c r="BN24" i="10"/>
  <c r="BN25" i="10"/>
  <c r="BN26" i="10"/>
  <c r="BN27" i="10"/>
  <c r="BN28" i="10"/>
  <c r="BN29" i="10"/>
  <c r="BN30" i="10"/>
  <c r="BN31" i="10"/>
  <c r="BN32" i="10"/>
  <c r="BN33" i="10"/>
  <c r="BN34" i="10"/>
  <c r="BN35" i="10"/>
  <c r="BN36" i="10"/>
  <c r="BN37" i="10"/>
  <c r="BN38" i="10"/>
  <c r="BN39" i="10"/>
  <c r="BN40" i="10"/>
  <c r="BN41" i="10"/>
  <c r="BN42" i="10"/>
  <c r="BN43" i="10"/>
  <c r="BN44" i="10"/>
  <c r="BN45" i="10"/>
  <c r="BN46" i="10"/>
  <c r="BN47" i="10"/>
  <c r="BN48" i="10"/>
  <c r="BN49" i="10"/>
  <c r="BN50" i="10"/>
  <c r="BN51" i="10"/>
  <c r="BN52" i="10"/>
  <c r="BN53" i="10"/>
  <c r="BN54" i="10"/>
  <c r="BN55" i="10"/>
  <c r="BN56" i="10"/>
  <c r="BN57" i="10"/>
  <c r="BN58" i="10"/>
  <c r="BN59" i="10"/>
  <c r="BN60" i="10"/>
  <c r="BN61" i="10"/>
  <c r="BN62" i="10"/>
  <c r="BN63" i="10"/>
  <c r="BN64" i="10"/>
  <c r="BN65" i="10"/>
  <c r="BN66" i="10"/>
  <c r="BN67" i="10"/>
  <c r="BN68" i="10"/>
  <c r="BN69" i="10"/>
  <c r="BN70" i="10"/>
  <c r="BN71" i="10"/>
  <c r="BN72" i="10"/>
  <c r="BN73" i="10"/>
  <c r="BN74" i="10"/>
  <c r="BN75" i="10"/>
  <c r="BN76" i="10"/>
  <c r="BN77" i="10"/>
  <c r="BN78" i="10"/>
  <c r="BN79" i="10"/>
  <c r="BN80" i="10"/>
  <c r="BN81" i="10"/>
  <c r="BN82" i="10"/>
  <c r="BN83" i="10"/>
  <c r="BN84" i="10"/>
  <c r="BN85" i="10"/>
  <c r="BN86" i="10"/>
  <c r="BN87" i="10"/>
  <c r="BN88" i="10"/>
  <c r="BN89" i="10"/>
  <c r="BN90" i="10"/>
  <c r="BN91" i="10"/>
  <c r="BN92" i="10"/>
  <c r="BN93" i="10"/>
  <c r="BN94" i="10"/>
  <c r="BN95" i="10"/>
  <c r="BN96" i="10"/>
  <c r="BN97" i="10"/>
  <c r="BN98" i="10"/>
  <c r="BN99" i="10"/>
  <c r="BN100" i="10"/>
  <c r="BN101" i="10"/>
  <c r="BN102" i="10"/>
  <c r="BN103" i="10"/>
  <c r="BN104" i="10"/>
  <c r="BN105" i="10"/>
  <c r="BN106" i="10"/>
  <c r="BN107" i="10"/>
  <c r="BN108" i="10"/>
  <c r="BN109" i="10"/>
  <c r="BN110" i="10"/>
  <c r="BN111" i="10"/>
  <c r="BN112" i="10"/>
  <c r="BN113" i="10"/>
  <c r="BN114" i="10"/>
  <c r="BN115" i="10"/>
  <c r="BN116" i="10"/>
  <c r="BN117" i="10"/>
  <c r="BN118" i="10"/>
  <c r="BN119" i="10"/>
  <c r="BN120" i="10"/>
  <c r="BN121" i="10"/>
  <c r="BN122" i="10"/>
  <c r="BN123" i="10"/>
  <c r="BN124" i="10"/>
  <c r="BN125" i="10"/>
  <c r="BN126" i="10"/>
  <c r="BN127" i="10"/>
  <c r="BN128" i="10"/>
  <c r="BN129" i="10"/>
  <c r="BN130" i="10"/>
  <c r="BN131" i="10"/>
  <c r="BN132" i="10"/>
  <c r="BN133" i="10"/>
  <c r="BN134" i="10"/>
  <c r="BN135" i="10"/>
  <c r="BN136" i="10"/>
  <c r="BN137" i="10"/>
  <c r="BN138" i="10"/>
  <c r="BN139" i="10"/>
  <c r="BN140" i="10"/>
  <c r="BN141" i="10"/>
  <c r="BN142" i="10"/>
  <c r="BN143" i="10"/>
  <c r="BN144" i="10"/>
  <c r="BN145" i="10"/>
  <c r="BN146" i="10"/>
  <c r="BN147" i="10"/>
  <c r="BN148" i="10"/>
  <c r="BN149" i="10"/>
  <c r="BN150" i="10"/>
  <c r="BN151" i="10"/>
  <c r="BN153" i="10"/>
  <c r="BN159" i="10"/>
  <c r="BO8" i="10"/>
  <c r="BO9" i="10"/>
  <c r="BO10" i="10"/>
  <c r="BO11" i="10"/>
  <c r="BO12" i="10"/>
  <c r="BO13" i="10"/>
  <c r="BO14" i="10"/>
  <c r="BO15" i="10"/>
  <c r="BO16" i="10"/>
  <c r="BO17" i="10"/>
  <c r="BO18" i="10"/>
  <c r="BO19" i="10"/>
  <c r="BO20" i="10"/>
  <c r="BO21" i="10"/>
  <c r="BO22" i="10"/>
  <c r="BO23" i="10"/>
  <c r="BO24" i="10"/>
  <c r="BO25" i="10"/>
  <c r="BO26" i="10"/>
  <c r="BO27" i="10"/>
  <c r="BO28" i="10"/>
  <c r="BO29" i="10"/>
  <c r="BO30" i="10"/>
  <c r="BO31" i="10"/>
  <c r="BO32" i="10"/>
  <c r="BO33" i="10"/>
  <c r="BO34" i="10"/>
  <c r="BO35" i="10"/>
  <c r="BO36" i="10"/>
  <c r="BO37" i="10"/>
  <c r="BO38" i="10"/>
  <c r="BO39" i="10"/>
  <c r="BO40" i="10"/>
  <c r="BO41" i="10"/>
  <c r="BO42" i="10"/>
  <c r="BO43" i="10"/>
  <c r="BO44" i="10"/>
  <c r="BO45" i="10"/>
  <c r="BO46" i="10"/>
  <c r="BO47" i="10"/>
  <c r="BO48" i="10"/>
  <c r="BO49" i="10"/>
  <c r="BO50" i="10"/>
  <c r="BO51" i="10"/>
  <c r="BO52" i="10"/>
  <c r="BO53" i="10"/>
  <c r="BO54" i="10"/>
  <c r="BO55" i="10"/>
  <c r="BO56" i="10"/>
  <c r="BO57" i="10"/>
  <c r="BO58" i="10"/>
  <c r="BO59" i="10"/>
  <c r="BO60" i="10"/>
  <c r="BO61" i="10"/>
  <c r="BO62" i="10"/>
  <c r="BO63" i="10"/>
  <c r="BO64" i="10"/>
  <c r="BO65" i="10"/>
  <c r="BO66" i="10"/>
  <c r="BO67" i="10"/>
  <c r="BO68" i="10"/>
  <c r="BO69" i="10"/>
  <c r="BO70" i="10"/>
  <c r="BO71" i="10"/>
  <c r="BO72" i="10"/>
  <c r="BO73" i="10"/>
  <c r="BO74" i="10"/>
  <c r="BO75" i="10"/>
  <c r="BO76" i="10"/>
  <c r="BO77" i="10"/>
  <c r="BO78" i="10"/>
  <c r="BO79" i="10"/>
  <c r="BO80" i="10"/>
  <c r="BO81" i="10"/>
  <c r="BO82" i="10"/>
  <c r="BO83" i="10"/>
  <c r="BO84" i="10"/>
  <c r="BO85" i="10"/>
  <c r="BO86" i="10"/>
  <c r="BO87" i="10"/>
  <c r="BO88" i="10"/>
  <c r="BO89" i="10"/>
  <c r="BO90" i="10"/>
  <c r="BO91" i="10"/>
  <c r="BO92" i="10"/>
  <c r="BO93" i="10"/>
  <c r="BO94" i="10"/>
  <c r="BO95" i="10"/>
  <c r="BO96" i="10"/>
  <c r="BO97" i="10"/>
  <c r="BO98" i="10"/>
  <c r="BO99" i="10"/>
  <c r="BO100" i="10"/>
  <c r="BO101" i="10"/>
  <c r="BO102" i="10"/>
  <c r="BO103" i="10"/>
  <c r="BO104" i="10"/>
  <c r="BO105" i="10"/>
  <c r="BO106" i="10"/>
  <c r="BO107" i="10"/>
  <c r="BO108" i="10"/>
  <c r="BO109" i="10"/>
  <c r="BO110" i="10"/>
  <c r="BO111" i="10"/>
  <c r="BO112" i="10"/>
  <c r="BO113" i="10"/>
  <c r="BO114" i="10"/>
  <c r="BO115" i="10"/>
  <c r="BO116" i="10"/>
  <c r="BO117" i="10"/>
  <c r="BO118" i="10"/>
  <c r="BO119" i="10"/>
  <c r="BO120" i="10"/>
  <c r="BO121" i="10"/>
  <c r="BO122" i="10"/>
  <c r="BO123" i="10"/>
  <c r="BO124" i="10"/>
  <c r="BO125" i="10"/>
  <c r="BO126" i="10"/>
  <c r="BO127" i="10"/>
  <c r="BO128" i="10"/>
  <c r="BO129" i="10"/>
  <c r="BO130" i="10"/>
  <c r="BO131" i="10"/>
  <c r="BO132" i="10"/>
  <c r="BO133" i="10"/>
  <c r="BO134" i="10"/>
  <c r="BO135" i="10"/>
  <c r="BO136" i="10"/>
  <c r="BO137" i="10"/>
  <c r="BO138" i="10"/>
  <c r="BO139" i="10"/>
  <c r="BO140" i="10"/>
  <c r="BO141" i="10"/>
  <c r="BO142" i="10"/>
  <c r="BO143" i="10"/>
  <c r="BO144" i="10"/>
  <c r="BO145" i="10"/>
  <c r="BO146" i="10"/>
  <c r="BO147" i="10"/>
  <c r="BO148" i="10"/>
  <c r="BO149" i="10"/>
  <c r="BO150" i="10"/>
  <c r="BO151" i="10"/>
  <c r="BO153" i="10"/>
  <c r="BO159" i="10"/>
  <c r="BP8" i="10"/>
  <c r="BP9" i="10"/>
  <c r="BP10" i="10"/>
  <c r="BP11" i="10"/>
  <c r="BP12" i="10"/>
  <c r="BP13" i="10"/>
  <c r="BP14" i="10"/>
  <c r="BP15" i="10"/>
  <c r="BP16" i="10"/>
  <c r="BP17" i="10"/>
  <c r="BP18" i="10"/>
  <c r="BP19" i="10"/>
  <c r="BP20" i="10"/>
  <c r="BP21" i="10"/>
  <c r="BP22" i="10"/>
  <c r="BP23" i="10"/>
  <c r="BP24" i="10"/>
  <c r="BP25" i="10"/>
  <c r="BP26" i="10"/>
  <c r="BP27" i="10"/>
  <c r="BP28" i="10"/>
  <c r="BP29" i="10"/>
  <c r="BP30" i="10"/>
  <c r="BP31" i="10"/>
  <c r="BP32" i="10"/>
  <c r="BP33" i="10"/>
  <c r="BP34" i="10"/>
  <c r="BP35" i="10"/>
  <c r="BP36" i="10"/>
  <c r="BP37" i="10"/>
  <c r="BP38" i="10"/>
  <c r="BP39" i="10"/>
  <c r="BP40" i="10"/>
  <c r="BP41" i="10"/>
  <c r="BP42" i="10"/>
  <c r="BP43" i="10"/>
  <c r="BP44" i="10"/>
  <c r="BP45" i="10"/>
  <c r="BP46" i="10"/>
  <c r="BP47" i="10"/>
  <c r="BP48" i="10"/>
  <c r="BP49" i="10"/>
  <c r="BP50" i="10"/>
  <c r="BP51" i="10"/>
  <c r="BP52" i="10"/>
  <c r="BP53" i="10"/>
  <c r="BP54" i="10"/>
  <c r="BP55" i="10"/>
  <c r="BP56" i="10"/>
  <c r="BP57" i="10"/>
  <c r="BP58" i="10"/>
  <c r="BP59" i="10"/>
  <c r="BP60" i="10"/>
  <c r="BP61" i="10"/>
  <c r="BP62" i="10"/>
  <c r="BP63" i="10"/>
  <c r="BP64" i="10"/>
  <c r="BP65" i="10"/>
  <c r="BP66" i="10"/>
  <c r="BP67" i="10"/>
  <c r="BP68" i="10"/>
  <c r="BP69" i="10"/>
  <c r="BP70" i="10"/>
  <c r="BP71" i="10"/>
  <c r="BP72" i="10"/>
  <c r="BP73" i="10"/>
  <c r="BP74" i="10"/>
  <c r="BP75" i="10"/>
  <c r="BP76" i="10"/>
  <c r="BP77" i="10"/>
  <c r="BP78" i="10"/>
  <c r="BP79" i="10"/>
  <c r="BP80" i="10"/>
  <c r="BP81" i="10"/>
  <c r="BP82" i="10"/>
  <c r="BP83" i="10"/>
  <c r="BP84" i="10"/>
  <c r="BP85" i="10"/>
  <c r="BP86" i="10"/>
  <c r="BP87" i="10"/>
  <c r="BP88" i="10"/>
  <c r="BP89" i="10"/>
  <c r="BP90" i="10"/>
  <c r="BP91" i="10"/>
  <c r="BP92" i="10"/>
  <c r="BP93" i="10"/>
  <c r="BP94" i="10"/>
  <c r="BP95" i="10"/>
  <c r="BP96" i="10"/>
  <c r="BP97" i="10"/>
  <c r="BP98" i="10"/>
  <c r="BP99" i="10"/>
  <c r="BP100" i="10"/>
  <c r="BP101" i="10"/>
  <c r="BP102" i="10"/>
  <c r="BP103" i="10"/>
  <c r="BP104" i="10"/>
  <c r="BP105" i="10"/>
  <c r="BP106" i="10"/>
  <c r="BP107" i="10"/>
  <c r="BP108" i="10"/>
  <c r="BP109" i="10"/>
  <c r="BP110" i="10"/>
  <c r="BP111" i="10"/>
  <c r="BP112" i="10"/>
  <c r="BP113" i="10"/>
  <c r="BP114" i="10"/>
  <c r="BP115" i="10"/>
  <c r="BP116" i="10"/>
  <c r="BP117" i="10"/>
  <c r="BP118" i="10"/>
  <c r="BP119" i="10"/>
  <c r="BP120" i="10"/>
  <c r="BP121" i="10"/>
  <c r="BP122" i="10"/>
  <c r="BP123" i="10"/>
  <c r="BP124" i="10"/>
  <c r="BP125" i="10"/>
  <c r="BP126" i="10"/>
  <c r="BP127" i="10"/>
  <c r="BP128" i="10"/>
  <c r="BP129" i="10"/>
  <c r="BP130" i="10"/>
  <c r="BP131" i="10"/>
  <c r="BP132" i="10"/>
  <c r="BP133" i="10"/>
  <c r="BP134" i="10"/>
  <c r="BP135" i="10"/>
  <c r="BP136" i="10"/>
  <c r="BP137" i="10"/>
  <c r="BP138" i="10"/>
  <c r="BP139" i="10"/>
  <c r="BP140" i="10"/>
  <c r="BP141" i="10"/>
  <c r="BP142" i="10"/>
  <c r="BP143" i="10"/>
  <c r="BP144" i="10"/>
  <c r="BP145" i="10"/>
  <c r="BP146" i="10"/>
  <c r="BP147" i="10"/>
  <c r="BP148" i="10"/>
  <c r="BP149" i="10"/>
  <c r="BP150" i="10"/>
  <c r="BP151" i="10"/>
  <c r="BP153" i="10"/>
  <c r="BP159" i="10"/>
  <c r="BQ8" i="10"/>
  <c r="BQ9" i="10"/>
  <c r="BQ10" i="10"/>
  <c r="BQ11" i="10"/>
  <c r="BQ12" i="10"/>
  <c r="BQ13" i="10"/>
  <c r="BQ14" i="10"/>
  <c r="BQ15" i="10"/>
  <c r="BQ16" i="10"/>
  <c r="BQ17" i="10"/>
  <c r="BQ18" i="10"/>
  <c r="BQ19" i="10"/>
  <c r="BQ20" i="10"/>
  <c r="BQ21" i="10"/>
  <c r="BQ22" i="10"/>
  <c r="BQ23" i="10"/>
  <c r="BQ24" i="10"/>
  <c r="BQ25" i="10"/>
  <c r="BQ26" i="10"/>
  <c r="BQ27" i="10"/>
  <c r="BQ28" i="10"/>
  <c r="BQ29" i="10"/>
  <c r="BQ30" i="10"/>
  <c r="BQ31" i="10"/>
  <c r="BQ32" i="10"/>
  <c r="BQ33" i="10"/>
  <c r="BQ34" i="10"/>
  <c r="BQ35" i="10"/>
  <c r="BQ36" i="10"/>
  <c r="BQ37" i="10"/>
  <c r="BQ38" i="10"/>
  <c r="BQ39" i="10"/>
  <c r="BQ40" i="10"/>
  <c r="BQ41" i="10"/>
  <c r="BQ42" i="10"/>
  <c r="BQ43" i="10"/>
  <c r="BQ44" i="10"/>
  <c r="BQ45" i="10"/>
  <c r="BQ46" i="10"/>
  <c r="BQ47" i="10"/>
  <c r="BQ48" i="10"/>
  <c r="BQ49" i="10"/>
  <c r="BQ50" i="10"/>
  <c r="BQ51" i="10"/>
  <c r="BQ52" i="10"/>
  <c r="BQ53" i="10"/>
  <c r="BQ54" i="10"/>
  <c r="BQ55" i="10"/>
  <c r="BQ56" i="10"/>
  <c r="BQ57" i="10"/>
  <c r="BQ58" i="10"/>
  <c r="BQ59" i="10"/>
  <c r="BQ60" i="10"/>
  <c r="BQ61" i="10"/>
  <c r="BQ62" i="10"/>
  <c r="BQ63" i="10"/>
  <c r="BQ64" i="10"/>
  <c r="BQ65" i="10"/>
  <c r="BQ66" i="10"/>
  <c r="BQ67" i="10"/>
  <c r="BQ68" i="10"/>
  <c r="BQ69" i="10"/>
  <c r="BQ70" i="10"/>
  <c r="BQ71" i="10"/>
  <c r="BQ72" i="10"/>
  <c r="BQ73" i="10"/>
  <c r="BQ74" i="10"/>
  <c r="BQ75" i="10"/>
  <c r="BQ76" i="10"/>
  <c r="BQ77" i="10"/>
  <c r="BQ78" i="10"/>
  <c r="BQ79" i="10"/>
  <c r="BQ80" i="10"/>
  <c r="BQ81" i="10"/>
  <c r="BQ82" i="10"/>
  <c r="BQ83" i="10"/>
  <c r="BQ84" i="10"/>
  <c r="BQ85" i="10"/>
  <c r="BQ86" i="10"/>
  <c r="BQ87" i="10"/>
  <c r="BQ88" i="10"/>
  <c r="BQ89" i="10"/>
  <c r="BQ90" i="10"/>
  <c r="BQ91" i="10"/>
  <c r="BQ92" i="10"/>
  <c r="BQ93" i="10"/>
  <c r="BQ94" i="10"/>
  <c r="BQ95" i="10"/>
  <c r="BQ96" i="10"/>
  <c r="BQ97" i="10"/>
  <c r="BQ98" i="10"/>
  <c r="BQ99" i="10"/>
  <c r="BQ100" i="10"/>
  <c r="BQ101" i="10"/>
  <c r="BQ102" i="10"/>
  <c r="BQ103" i="10"/>
  <c r="BQ104" i="10"/>
  <c r="BQ105" i="10"/>
  <c r="BQ106" i="10"/>
  <c r="BQ107" i="10"/>
  <c r="BQ108" i="10"/>
  <c r="BQ109" i="10"/>
  <c r="BQ110" i="10"/>
  <c r="BQ111" i="10"/>
  <c r="BQ112" i="10"/>
  <c r="BQ113" i="10"/>
  <c r="BQ114" i="10"/>
  <c r="BQ115" i="10"/>
  <c r="BQ116" i="10"/>
  <c r="BQ117" i="10"/>
  <c r="BQ118" i="10"/>
  <c r="BQ119" i="10"/>
  <c r="BQ120" i="10"/>
  <c r="BQ121" i="10"/>
  <c r="BQ122" i="10"/>
  <c r="BQ123" i="10"/>
  <c r="BQ124" i="10"/>
  <c r="BQ125" i="10"/>
  <c r="BQ126" i="10"/>
  <c r="BQ127" i="10"/>
  <c r="BQ128" i="10"/>
  <c r="BQ129" i="10"/>
  <c r="BQ130" i="10"/>
  <c r="BQ131" i="10"/>
  <c r="BQ132" i="10"/>
  <c r="BQ133" i="10"/>
  <c r="BQ134" i="10"/>
  <c r="BQ135" i="10"/>
  <c r="BQ136" i="10"/>
  <c r="BQ137" i="10"/>
  <c r="BQ138" i="10"/>
  <c r="BQ139" i="10"/>
  <c r="BQ140" i="10"/>
  <c r="BQ141" i="10"/>
  <c r="BQ142" i="10"/>
  <c r="BQ143" i="10"/>
  <c r="BQ144" i="10"/>
  <c r="BQ145" i="10"/>
  <c r="BQ146" i="10"/>
  <c r="BQ147" i="10"/>
  <c r="BQ148" i="10"/>
  <c r="BQ149" i="10"/>
  <c r="BQ150" i="10"/>
  <c r="BQ151" i="10"/>
  <c r="BQ153" i="10"/>
  <c r="BQ159" i="10"/>
  <c r="BR8" i="10"/>
  <c r="BR9" i="10"/>
  <c r="BR10" i="10"/>
  <c r="BR11" i="10"/>
  <c r="BR12" i="10"/>
  <c r="BR13" i="10"/>
  <c r="BR14" i="10"/>
  <c r="BR15" i="10"/>
  <c r="BR16" i="10"/>
  <c r="BR17" i="10"/>
  <c r="BR18" i="10"/>
  <c r="BR19" i="10"/>
  <c r="BR20" i="10"/>
  <c r="BR21" i="10"/>
  <c r="BR22" i="10"/>
  <c r="BR23" i="10"/>
  <c r="BR24" i="10"/>
  <c r="BR25" i="10"/>
  <c r="BR26" i="10"/>
  <c r="BR27" i="10"/>
  <c r="BR28" i="10"/>
  <c r="BR29" i="10"/>
  <c r="BR30" i="10"/>
  <c r="BR31" i="10"/>
  <c r="BR32" i="10"/>
  <c r="BR33" i="10"/>
  <c r="BR34" i="10"/>
  <c r="BR35" i="10"/>
  <c r="BR36" i="10"/>
  <c r="BR37" i="10"/>
  <c r="BR38" i="10"/>
  <c r="BR39" i="10"/>
  <c r="BR40" i="10"/>
  <c r="BR41" i="10"/>
  <c r="BR42" i="10"/>
  <c r="BR43" i="10"/>
  <c r="BR44" i="10"/>
  <c r="BR45" i="10"/>
  <c r="BR46" i="10"/>
  <c r="BR47" i="10"/>
  <c r="BR48" i="10"/>
  <c r="BR49" i="10"/>
  <c r="BR50" i="10"/>
  <c r="BR51" i="10"/>
  <c r="BR52" i="10"/>
  <c r="BR53" i="10"/>
  <c r="BR54" i="10"/>
  <c r="BR55" i="10"/>
  <c r="BR56" i="10"/>
  <c r="BR57" i="10"/>
  <c r="BR58" i="10"/>
  <c r="BR59" i="10"/>
  <c r="BR60" i="10"/>
  <c r="BR61" i="10"/>
  <c r="BR62" i="10"/>
  <c r="BR63" i="10"/>
  <c r="BR64" i="10"/>
  <c r="BR65" i="10"/>
  <c r="BR66" i="10"/>
  <c r="BR67" i="10"/>
  <c r="BR68" i="10"/>
  <c r="BR69" i="10"/>
  <c r="BR70" i="10"/>
  <c r="BR71" i="10"/>
  <c r="BR72" i="10"/>
  <c r="BR73" i="10"/>
  <c r="BR74" i="10"/>
  <c r="BR75" i="10"/>
  <c r="BR76" i="10"/>
  <c r="BR77" i="10"/>
  <c r="BR78" i="10"/>
  <c r="BR79" i="10"/>
  <c r="BR80" i="10"/>
  <c r="BR81" i="10"/>
  <c r="BR82" i="10"/>
  <c r="BR83" i="10"/>
  <c r="BR84" i="10"/>
  <c r="BR85" i="10"/>
  <c r="BR86" i="10"/>
  <c r="BR87" i="10"/>
  <c r="BR88" i="10"/>
  <c r="BR89" i="10"/>
  <c r="BR90" i="10"/>
  <c r="BR91" i="10"/>
  <c r="BR92" i="10"/>
  <c r="BR93" i="10"/>
  <c r="BR94" i="10"/>
  <c r="BR95" i="10"/>
  <c r="BR96" i="10"/>
  <c r="BR97" i="10"/>
  <c r="BR98" i="10"/>
  <c r="BR99" i="10"/>
  <c r="BR100" i="10"/>
  <c r="BR101" i="10"/>
  <c r="BR102" i="10"/>
  <c r="BR103" i="10"/>
  <c r="BR104" i="10"/>
  <c r="BR105" i="10"/>
  <c r="BR106" i="10"/>
  <c r="BR107" i="10"/>
  <c r="BR108" i="10"/>
  <c r="BR109" i="10"/>
  <c r="BR110" i="10"/>
  <c r="BR111" i="10"/>
  <c r="BR112" i="10"/>
  <c r="BR113" i="10"/>
  <c r="BR114" i="10"/>
  <c r="BR115" i="10"/>
  <c r="BR116" i="10"/>
  <c r="BR117" i="10"/>
  <c r="BR118" i="10"/>
  <c r="BR119" i="10"/>
  <c r="BR120" i="10"/>
  <c r="BR121" i="10"/>
  <c r="BR122" i="10"/>
  <c r="BR123" i="10"/>
  <c r="BR124" i="10"/>
  <c r="BR125" i="10"/>
  <c r="BR126" i="10"/>
  <c r="BR127" i="10"/>
  <c r="BR128" i="10"/>
  <c r="BR129" i="10"/>
  <c r="BR130" i="10"/>
  <c r="BR131" i="10"/>
  <c r="BR132" i="10"/>
  <c r="BR133" i="10"/>
  <c r="BR134" i="10"/>
  <c r="BR135" i="10"/>
  <c r="BR136" i="10"/>
  <c r="BR137" i="10"/>
  <c r="BR138" i="10"/>
  <c r="BR139" i="10"/>
  <c r="BR140" i="10"/>
  <c r="BR141" i="10"/>
  <c r="BR142" i="10"/>
  <c r="BR143" i="10"/>
  <c r="BR144" i="10"/>
  <c r="BR145" i="10"/>
  <c r="BR146" i="10"/>
  <c r="BR147" i="10"/>
  <c r="BR148" i="10"/>
  <c r="BR149" i="10"/>
  <c r="BR150" i="10"/>
  <c r="BR151" i="10"/>
  <c r="BR153" i="10"/>
  <c r="BR159" i="10"/>
  <c r="BS8" i="10"/>
  <c r="BS9" i="10"/>
  <c r="BS10" i="10"/>
  <c r="BS11" i="10"/>
  <c r="BS12" i="10"/>
  <c r="BS13" i="10"/>
  <c r="BS14" i="10"/>
  <c r="BS15" i="10"/>
  <c r="BS16" i="10"/>
  <c r="BS17" i="10"/>
  <c r="BS18" i="10"/>
  <c r="BS19" i="10"/>
  <c r="BS20" i="10"/>
  <c r="BS21" i="10"/>
  <c r="BS22" i="10"/>
  <c r="BS23" i="10"/>
  <c r="BS24" i="10"/>
  <c r="BS25" i="10"/>
  <c r="BS26" i="10"/>
  <c r="BS27" i="10"/>
  <c r="BS28" i="10"/>
  <c r="BS29" i="10"/>
  <c r="BS30" i="10"/>
  <c r="BS31" i="10"/>
  <c r="BS32" i="10"/>
  <c r="BS33" i="10"/>
  <c r="BS34" i="10"/>
  <c r="BS35" i="10"/>
  <c r="BS36" i="10"/>
  <c r="BS37" i="10"/>
  <c r="BS38" i="10"/>
  <c r="BS39" i="10"/>
  <c r="BS40" i="10"/>
  <c r="BS41" i="10"/>
  <c r="BS42" i="10"/>
  <c r="BS43" i="10"/>
  <c r="BS44" i="10"/>
  <c r="BS45" i="10"/>
  <c r="BS46" i="10"/>
  <c r="BS47" i="10"/>
  <c r="BS48" i="10"/>
  <c r="BS49" i="10"/>
  <c r="BS50" i="10"/>
  <c r="BS51" i="10"/>
  <c r="BS52" i="10"/>
  <c r="BS53" i="10"/>
  <c r="BS54" i="10"/>
  <c r="BS55" i="10"/>
  <c r="BS56" i="10"/>
  <c r="BS57" i="10"/>
  <c r="BS58" i="10"/>
  <c r="BS59" i="10"/>
  <c r="BS60" i="10"/>
  <c r="BS61" i="10"/>
  <c r="BS62" i="10"/>
  <c r="BS63" i="10"/>
  <c r="BS64" i="10"/>
  <c r="BS65" i="10"/>
  <c r="BS66" i="10"/>
  <c r="BS67" i="10"/>
  <c r="BS68" i="10"/>
  <c r="BS69" i="10"/>
  <c r="BS70" i="10"/>
  <c r="BS71" i="10"/>
  <c r="BS72" i="10"/>
  <c r="BS73" i="10"/>
  <c r="BS74" i="10"/>
  <c r="BS75" i="10"/>
  <c r="BS76" i="10"/>
  <c r="BS77" i="10"/>
  <c r="BS78" i="10"/>
  <c r="BS79" i="10"/>
  <c r="BS80" i="10"/>
  <c r="BS81" i="10"/>
  <c r="BS82" i="10"/>
  <c r="BS83" i="10"/>
  <c r="BS84" i="10"/>
  <c r="BS85" i="10"/>
  <c r="BS86" i="10"/>
  <c r="BS87" i="10"/>
  <c r="BS88" i="10"/>
  <c r="BS89" i="10"/>
  <c r="BS90" i="10"/>
  <c r="BS91" i="10"/>
  <c r="BS92" i="10"/>
  <c r="BS93" i="10"/>
  <c r="BS94" i="10"/>
  <c r="BS95" i="10"/>
  <c r="BS96" i="10"/>
  <c r="BS97" i="10"/>
  <c r="BS98" i="10"/>
  <c r="BS99" i="10"/>
  <c r="BS100" i="10"/>
  <c r="BS101" i="10"/>
  <c r="BS102" i="10"/>
  <c r="BS103" i="10"/>
  <c r="BS104" i="10"/>
  <c r="BS105" i="10"/>
  <c r="BS106" i="10"/>
  <c r="BS107" i="10"/>
  <c r="BS108" i="10"/>
  <c r="BS109" i="10"/>
  <c r="BS110" i="10"/>
  <c r="BS111" i="10"/>
  <c r="BS112" i="10"/>
  <c r="BS113" i="10"/>
  <c r="BS114" i="10"/>
  <c r="BS115" i="10"/>
  <c r="BS116" i="10"/>
  <c r="BS117" i="10"/>
  <c r="BS118" i="10"/>
  <c r="BS119" i="10"/>
  <c r="BS120" i="10"/>
  <c r="BS121" i="10"/>
  <c r="BS122" i="10"/>
  <c r="BS123" i="10"/>
  <c r="BS124" i="10"/>
  <c r="BS125" i="10"/>
  <c r="BS126" i="10"/>
  <c r="BS127" i="10"/>
  <c r="BS128" i="10"/>
  <c r="BS129" i="10"/>
  <c r="BS130" i="10"/>
  <c r="BS131" i="10"/>
  <c r="BS132" i="10"/>
  <c r="BS133" i="10"/>
  <c r="BS134" i="10"/>
  <c r="BS135" i="10"/>
  <c r="BS136" i="10"/>
  <c r="BS137" i="10"/>
  <c r="BS138" i="10"/>
  <c r="BS139" i="10"/>
  <c r="BS140" i="10"/>
  <c r="BS141" i="10"/>
  <c r="BS142" i="10"/>
  <c r="BS143" i="10"/>
  <c r="BS144" i="10"/>
  <c r="BS145" i="10"/>
  <c r="BS146" i="10"/>
  <c r="BS147" i="10"/>
  <c r="BS148" i="10"/>
  <c r="BS149" i="10"/>
  <c r="BS150" i="10"/>
  <c r="BS151" i="10"/>
  <c r="BS153" i="10"/>
  <c r="BS159" i="10"/>
  <c r="BT8" i="10"/>
  <c r="BT9" i="10"/>
  <c r="BT10" i="10"/>
  <c r="BT11" i="10"/>
  <c r="BT12" i="10"/>
  <c r="BT13" i="10"/>
  <c r="BT14" i="10"/>
  <c r="BT15" i="10"/>
  <c r="BT16" i="10"/>
  <c r="BT17" i="10"/>
  <c r="BT18" i="10"/>
  <c r="BT19" i="10"/>
  <c r="BT20" i="10"/>
  <c r="BT21" i="10"/>
  <c r="BT22" i="10"/>
  <c r="BT23" i="10"/>
  <c r="BT24" i="10"/>
  <c r="BT25" i="10"/>
  <c r="BT26" i="10"/>
  <c r="BT27" i="10"/>
  <c r="BT28" i="10"/>
  <c r="BT29" i="10"/>
  <c r="BT30" i="10"/>
  <c r="BT31" i="10"/>
  <c r="BT32" i="10"/>
  <c r="BT33" i="10"/>
  <c r="BT34" i="10"/>
  <c r="BT35" i="10"/>
  <c r="BT36" i="10"/>
  <c r="BT37" i="10"/>
  <c r="BT38" i="10"/>
  <c r="BT39" i="10"/>
  <c r="BT40" i="10"/>
  <c r="BT41" i="10"/>
  <c r="BT42" i="10"/>
  <c r="BT43" i="10"/>
  <c r="BT44" i="10"/>
  <c r="BT45" i="10"/>
  <c r="BT46" i="10"/>
  <c r="BT47" i="10"/>
  <c r="BT48" i="10"/>
  <c r="BT49" i="10"/>
  <c r="BT50" i="10"/>
  <c r="BT51" i="10"/>
  <c r="BT52" i="10"/>
  <c r="BT53" i="10"/>
  <c r="BT54" i="10"/>
  <c r="BT55" i="10"/>
  <c r="BT56" i="10"/>
  <c r="BT57" i="10"/>
  <c r="BT58" i="10"/>
  <c r="BT59" i="10"/>
  <c r="BT60" i="10"/>
  <c r="BT61" i="10"/>
  <c r="BT62" i="10"/>
  <c r="BT63" i="10"/>
  <c r="BT64" i="10"/>
  <c r="BT65" i="10"/>
  <c r="BT66" i="10"/>
  <c r="BT67" i="10"/>
  <c r="BT68" i="10"/>
  <c r="BT69" i="10"/>
  <c r="BT70" i="10"/>
  <c r="BT71" i="10"/>
  <c r="BT72" i="10"/>
  <c r="BT73" i="10"/>
  <c r="BT74" i="10"/>
  <c r="BT75" i="10"/>
  <c r="BT76" i="10"/>
  <c r="BT77" i="10"/>
  <c r="BT78" i="10"/>
  <c r="BT79" i="10"/>
  <c r="BT80" i="10"/>
  <c r="BT81" i="10"/>
  <c r="BT82" i="10"/>
  <c r="BT83" i="10"/>
  <c r="BT84" i="10"/>
  <c r="BT85" i="10"/>
  <c r="BT86" i="10"/>
  <c r="BT87" i="10"/>
  <c r="BT88" i="10"/>
  <c r="BT89" i="10"/>
  <c r="BT90" i="10"/>
  <c r="BT91" i="10"/>
  <c r="BT92" i="10"/>
  <c r="BT93" i="10"/>
  <c r="BT94" i="10"/>
  <c r="BT95" i="10"/>
  <c r="BT96" i="10"/>
  <c r="BT97" i="10"/>
  <c r="BT98" i="10"/>
  <c r="BT99" i="10"/>
  <c r="BT100" i="10"/>
  <c r="BT101" i="10"/>
  <c r="BT102" i="10"/>
  <c r="BT103" i="10"/>
  <c r="BT104" i="10"/>
  <c r="BT105" i="10"/>
  <c r="BT106" i="10"/>
  <c r="BT107" i="10"/>
  <c r="BT108" i="10"/>
  <c r="BT109" i="10"/>
  <c r="BT110" i="10"/>
  <c r="BT111" i="10"/>
  <c r="BT112" i="10"/>
  <c r="BT113" i="10"/>
  <c r="BT114" i="10"/>
  <c r="BT115" i="10"/>
  <c r="BT116" i="10"/>
  <c r="BT117" i="10"/>
  <c r="BT118" i="10"/>
  <c r="BT119" i="10"/>
  <c r="BT120" i="10"/>
  <c r="BT121" i="10"/>
  <c r="BT122" i="10"/>
  <c r="BT123" i="10"/>
  <c r="BT124" i="10"/>
  <c r="BT125" i="10"/>
  <c r="BT126" i="10"/>
  <c r="BT127" i="10"/>
  <c r="BT128" i="10"/>
  <c r="BT129" i="10"/>
  <c r="BT130" i="10"/>
  <c r="BT131" i="10"/>
  <c r="BT132" i="10"/>
  <c r="BT133" i="10"/>
  <c r="BT134" i="10"/>
  <c r="BT135" i="10"/>
  <c r="BT136" i="10"/>
  <c r="BT137" i="10"/>
  <c r="BT138" i="10"/>
  <c r="BT139" i="10"/>
  <c r="BT140" i="10"/>
  <c r="BT141" i="10"/>
  <c r="BT142" i="10"/>
  <c r="BT143" i="10"/>
  <c r="BT144" i="10"/>
  <c r="BT145" i="10"/>
  <c r="BT146" i="10"/>
  <c r="BT147" i="10"/>
  <c r="BT148" i="10"/>
  <c r="BT149" i="10"/>
  <c r="BT150" i="10"/>
  <c r="BT151" i="10"/>
  <c r="BT153" i="10"/>
  <c r="BT159" i="10"/>
  <c r="BU8" i="10"/>
  <c r="BU9" i="10"/>
  <c r="BU10" i="10"/>
  <c r="BU11" i="10"/>
  <c r="BU12" i="10"/>
  <c r="BU13" i="10"/>
  <c r="BU14" i="10"/>
  <c r="BU15" i="10"/>
  <c r="BU16" i="10"/>
  <c r="BU17" i="10"/>
  <c r="BU18" i="10"/>
  <c r="BU19" i="10"/>
  <c r="BU20" i="10"/>
  <c r="BU21" i="10"/>
  <c r="BU22" i="10"/>
  <c r="BU23" i="10"/>
  <c r="BU24" i="10"/>
  <c r="BU25" i="10"/>
  <c r="BU26" i="10"/>
  <c r="BU27" i="10"/>
  <c r="BU28" i="10"/>
  <c r="BU29" i="10"/>
  <c r="BU30" i="10"/>
  <c r="BU31" i="10"/>
  <c r="BU32" i="10"/>
  <c r="BU33" i="10"/>
  <c r="BU34" i="10"/>
  <c r="BU35" i="10"/>
  <c r="BU36" i="10"/>
  <c r="BU37" i="10"/>
  <c r="BU38" i="10"/>
  <c r="BU39" i="10"/>
  <c r="BU40" i="10"/>
  <c r="BU41" i="10"/>
  <c r="BU42" i="10"/>
  <c r="BU43" i="10"/>
  <c r="BU44" i="10"/>
  <c r="BU45" i="10"/>
  <c r="BU46" i="10"/>
  <c r="BU47" i="10"/>
  <c r="BU48" i="10"/>
  <c r="BU49" i="10"/>
  <c r="BU50" i="10"/>
  <c r="BU51" i="10"/>
  <c r="BU52" i="10"/>
  <c r="BU53" i="10"/>
  <c r="BU54" i="10"/>
  <c r="BU55" i="10"/>
  <c r="BU56" i="10"/>
  <c r="BU57" i="10"/>
  <c r="BU58" i="10"/>
  <c r="BU59" i="10"/>
  <c r="BU60" i="10"/>
  <c r="BU61" i="10"/>
  <c r="BU62" i="10"/>
  <c r="BU63" i="10"/>
  <c r="BU64" i="10"/>
  <c r="BU65" i="10"/>
  <c r="BU66" i="10"/>
  <c r="BU67" i="10"/>
  <c r="BU68" i="10"/>
  <c r="BU69" i="10"/>
  <c r="BU70" i="10"/>
  <c r="BU71" i="10"/>
  <c r="BU72" i="10"/>
  <c r="BU73" i="10"/>
  <c r="BU74" i="10"/>
  <c r="BU75" i="10"/>
  <c r="BU76" i="10"/>
  <c r="BU77" i="10"/>
  <c r="BU78" i="10"/>
  <c r="BU79" i="10"/>
  <c r="BU80" i="10"/>
  <c r="BU81" i="10"/>
  <c r="BU82" i="10"/>
  <c r="BU83" i="10"/>
  <c r="BU84" i="10"/>
  <c r="BU85" i="10"/>
  <c r="BU86" i="10"/>
  <c r="BU87" i="10"/>
  <c r="BU88" i="10"/>
  <c r="BU89" i="10"/>
  <c r="BU90" i="10"/>
  <c r="BU91" i="10"/>
  <c r="BU92" i="10"/>
  <c r="BU93" i="10"/>
  <c r="BU94" i="10"/>
  <c r="BU95" i="10"/>
  <c r="BU96" i="10"/>
  <c r="BU97" i="10"/>
  <c r="BU98" i="10"/>
  <c r="BU99" i="10"/>
  <c r="BU100" i="10"/>
  <c r="BU101" i="10"/>
  <c r="BU102" i="10"/>
  <c r="BU103" i="10"/>
  <c r="BU104" i="10"/>
  <c r="BU105" i="10"/>
  <c r="BU106" i="10"/>
  <c r="BU107" i="10"/>
  <c r="BU108" i="10"/>
  <c r="BU109" i="10"/>
  <c r="BU110" i="10"/>
  <c r="BU111" i="10"/>
  <c r="BU112" i="10"/>
  <c r="BU113" i="10"/>
  <c r="BU114" i="10"/>
  <c r="BU115" i="10"/>
  <c r="BU116" i="10"/>
  <c r="BU117" i="10"/>
  <c r="BU118" i="10"/>
  <c r="BU119" i="10"/>
  <c r="BU120" i="10"/>
  <c r="BU121" i="10"/>
  <c r="BU122" i="10"/>
  <c r="BU123" i="10"/>
  <c r="BU124" i="10"/>
  <c r="BU125" i="10"/>
  <c r="BU126" i="10"/>
  <c r="BU127" i="10"/>
  <c r="BU128" i="10"/>
  <c r="BU129" i="10"/>
  <c r="BU130" i="10"/>
  <c r="BU131" i="10"/>
  <c r="BU132" i="10"/>
  <c r="BU133" i="10"/>
  <c r="BU134" i="10"/>
  <c r="BU135" i="10"/>
  <c r="BU136" i="10"/>
  <c r="BU137" i="10"/>
  <c r="BU138" i="10"/>
  <c r="BU139" i="10"/>
  <c r="BU140" i="10"/>
  <c r="BU141" i="10"/>
  <c r="BU142" i="10"/>
  <c r="BU143" i="10"/>
  <c r="BU144" i="10"/>
  <c r="BU145" i="10"/>
  <c r="BU146" i="10"/>
  <c r="BU147" i="10"/>
  <c r="BU148" i="10"/>
  <c r="BU149" i="10"/>
  <c r="BU150" i="10"/>
  <c r="BU151" i="10"/>
  <c r="BU153" i="10"/>
  <c r="BU159" i="10"/>
  <c r="BV8" i="10"/>
  <c r="BV9" i="10"/>
  <c r="BV10" i="10"/>
  <c r="BV11" i="10"/>
  <c r="BV12" i="10"/>
  <c r="BV13" i="10"/>
  <c r="BV14" i="10"/>
  <c r="BV15" i="10"/>
  <c r="BV16" i="10"/>
  <c r="BV17" i="10"/>
  <c r="BV18" i="10"/>
  <c r="BV19" i="10"/>
  <c r="BV20" i="10"/>
  <c r="BV21" i="10"/>
  <c r="BV22" i="10"/>
  <c r="BV23" i="10"/>
  <c r="BV24" i="10"/>
  <c r="BV25" i="10"/>
  <c r="BV26" i="10"/>
  <c r="BV27" i="10"/>
  <c r="BV28" i="10"/>
  <c r="BV29" i="10"/>
  <c r="BV30" i="10"/>
  <c r="BV31" i="10"/>
  <c r="BV32" i="10"/>
  <c r="BV33" i="10"/>
  <c r="BV34" i="10"/>
  <c r="BV35" i="10"/>
  <c r="BV36" i="10"/>
  <c r="BV37" i="10"/>
  <c r="BV38" i="10"/>
  <c r="BV39" i="10"/>
  <c r="BV40" i="10"/>
  <c r="BV41" i="10"/>
  <c r="BV42" i="10"/>
  <c r="BV43" i="10"/>
  <c r="BV44" i="10"/>
  <c r="BV45" i="10"/>
  <c r="BV46" i="10"/>
  <c r="BV47" i="10"/>
  <c r="BV48" i="10"/>
  <c r="BV49" i="10"/>
  <c r="BV50" i="10"/>
  <c r="BV51" i="10"/>
  <c r="BV52" i="10"/>
  <c r="BV53" i="10"/>
  <c r="BV54" i="10"/>
  <c r="BV55" i="10"/>
  <c r="BV56" i="10"/>
  <c r="BV57" i="10"/>
  <c r="BV58" i="10"/>
  <c r="BV59" i="10"/>
  <c r="BV60" i="10"/>
  <c r="BV61" i="10"/>
  <c r="BV62" i="10"/>
  <c r="BV63" i="10"/>
  <c r="BV64" i="10"/>
  <c r="BV65" i="10"/>
  <c r="BV66" i="10"/>
  <c r="BV67" i="10"/>
  <c r="BV68" i="10"/>
  <c r="BV69" i="10"/>
  <c r="BV70" i="10"/>
  <c r="BV71" i="10"/>
  <c r="BV72" i="10"/>
  <c r="BV73" i="10"/>
  <c r="BV74" i="10"/>
  <c r="BV75" i="10"/>
  <c r="BV76" i="10"/>
  <c r="BV77" i="10"/>
  <c r="BV78" i="10"/>
  <c r="BV79" i="10"/>
  <c r="BV80" i="10"/>
  <c r="BV81" i="10"/>
  <c r="BV82" i="10"/>
  <c r="BV83" i="10"/>
  <c r="BV84" i="10"/>
  <c r="BV85" i="10"/>
  <c r="BV86" i="10"/>
  <c r="BV87" i="10"/>
  <c r="BV88" i="10"/>
  <c r="BV89" i="10"/>
  <c r="BV90" i="10"/>
  <c r="BV91" i="10"/>
  <c r="BV92" i="10"/>
  <c r="BV93" i="10"/>
  <c r="BV94" i="10"/>
  <c r="BV95" i="10"/>
  <c r="BV96" i="10"/>
  <c r="BV97" i="10"/>
  <c r="BV98" i="10"/>
  <c r="BV99" i="10"/>
  <c r="BV100" i="10"/>
  <c r="BV101" i="10"/>
  <c r="BV102" i="10"/>
  <c r="BV103" i="10"/>
  <c r="BV104" i="10"/>
  <c r="BV105" i="10"/>
  <c r="BV106" i="10"/>
  <c r="BV107" i="10"/>
  <c r="BV108" i="10"/>
  <c r="BV109" i="10"/>
  <c r="BV110" i="10"/>
  <c r="BV111" i="10"/>
  <c r="BV112" i="10"/>
  <c r="BV113" i="10"/>
  <c r="BV114" i="10"/>
  <c r="BV115" i="10"/>
  <c r="BV116" i="10"/>
  <c r="BV117" i="10"/>
  <c r="BV118" i="10"/>
  <c r="BV119" i="10"/>
  <c r="BV120" i="10"/>
  <c r="BV121" i="10"/>
  <c r="BV122" i="10"/>
  <c r="BV123" i="10"/>
  <c r="BV124" i="10"/>
  <c r="BV125" i="10"/>
  <c r="BV126" i="10"/>
  <c r="BV127" i="10"/>
  <c r="BV128" i="10"/>
  <c r="BV129" i="10"/>
  <c r="BV130" i="10"/>
  <c r="BV131" i="10"/>
  <c r="BV132" i="10"/>
  <c r="BV133" i="10"/>
  <c r="BV134" i="10"/>
  <c r="BV135" i="10"/>
  <c r="BV136" i="10"/>
  <c r="BV137" i="10"/>
  <c r="BV138" i="10"/>
  <c r="BV139" i="10"/>
  <c r="BV140" i="10"/>
  <c r="BV141" i="10"/>
  <c r="BV142" i="10"/>
  <c r="BV143" i="10"/>
  <c r="BV144" i="10"/>
  <c r="BV145" i="10"/>
  <c r="BV146" i="10"/>
  <c r="BV147" i="10"/>
  <c r="BV148" i="10"/>
  <c r="BV149" i="10"/>
  <c r="BV150" i="10"/>
  <c r="BV151" i="10"/>
  <c r="BV153" i="10"/>
  <c r="BV159" i="10"/>
  <c r="BW8" i="10"/>
  <c r="BW9" i="10"/>
  <c r="BW10" i="10"/>
  <c r="BW11" i="10"/>
  <c r="BW12" i="10"/>
  <c r="BW13" i="10"/>
  <c r="BW14" i="10"/>
  <c r="BW15" i="10"/>
  <c r="BW16" i="10"/>
  <c r="BW17" i="10"/>
  <c r="BW18" i="10"/>
  <c r="BW19" i="10"/>
  <c r="BW20" i="10"/>
  <c r="BW21" i="10"/>
  <c r="BW22" i="10"/>
  <c r="BW23" i="10"/>
  <c r="BW24" i="10"/>
  <c r="BW25" i="10"/>
  <c r="BW26" i="10"/>
  <c r="BW27" i="10"/>
  <c r="BW28" i="10"/>
  <c r="BW29" i="10"/>
  <c r="BW30" i="10"/>
  <c r="BW31" i="10"/>
  <c r="BW32" i="10"/>
  <c r="BW33" i="10"/>
  <c r="BW34" i="10"/>
  <c r="BW35" i="10"/>
  <c r="BW36" i="10"/>
  <c r="BW37" i="10"/>
  <c r="BW38" i="10"/>
  <c r="BW39" i="10"/>
  <c r="BW40" i="10"/>
  <c r="BW41" i="10"/>
  <c r="BW42" i="10"/>
  <c r="BW43" i="10"/>
  <c r="BW44" i="10"/>
  <c r="BW45" i="10"/>
  <c r="BW46" i="10"/>
  <c r="BW47" i="10"/>
  <c r="BW48" i="10"/>
  <c r="BW49" i="10"/>
  <c r="BW50" i="10"/>
  <c r="BW51" i="10"/>
  <c r="BW52" i="10"/>
  <c r="BW53" i="10"/>
  <c r="BW54" i="10"/>
  <c r="BW55" i="10"/>
  <c r="BW56" i="10"/>
  <c r="BW57" i="10"/>
  <c r="BW58" i="10"/>
  <c r="BW59" i="10"/>
  <c r="BW60" i="10"/>
  <c r="BW61" i="10"/>
  <c r="BW62" i="10"/>
  <c r="BW63" i="10"/>
  <c r="BW64" i="10"/>
  <c r="BW65" i="10"/>
  <c r="BW66" i="10"/>
  <c r="BW67" i="10"/>
  <c r="BW68" i="10"/>
  <c r="BW69" i="10"/>
  <c r="BW70" i="10"/>
  <c r="BW71" i="10"/>
  <c r="BW72" i="10"/>
  <c r="BW73" i="10"/>
  <c r="BW74" i="10"/>
  <c r="BW75" i="10"/>
  <c r="BW76" i="10"/>
  <c r="BW77" i="10"/>
  <c r="BW78" i="10"/>
  <c r="BW79" i="10"/>
  <c r="BW80" i="10"/>
  <c r="BW81" i="10"/>
  <c r="BW82" i="10"/>
  <c r="BW83" i="10"/>
  <c r="BW84" i="10"/>
  <c r="BW85" i="10"/>
  <c r="BW86" i="10"/>
  <c r="BW87" i="10"/>
  <c r="BW88" i="10"/>
  <c r="BW89" i="10"/>
  <c r="BW90" i="10"/>
  <c r="BW91" i="10"/>
  <c r="BW92" i="10"/>
  <c r="BW93" i="10"/>
  <c r="BW94" i="10"/>
  <c r="BW95" i="10"/>
  <c r="BW96" i="10"/>
  <c r="BW97" i="10"/>
  <c r="BW98" i="10"/>
  <c r="BW99" i="10"/>
  <c r="BW100" i="10"/>
  <c r="BW101" i="10"/>
  <c r="BW102" i="10"/>
  <c r="BW103" i="10"/>
  <c r="BW104" i="10"/>
  <c r="BW105" i="10"/>
  <c r="BW106" i="10"/>
  <c r="BW107" i="10"/>
  <c r="BW108" i="10"/>
  <c r="BW109" i="10"/>
  <c r="BW110" i="10"/>
  <c r="BW111" i="10"/>
  <c r="BW112" i="10"/>
  <c r="BW113" i="10"/>
  <c r="BW114" i="10"/>
  <c r="BW115" i="10"/>
  <c r="BW116" i="10"/>
  <c r="BW117" i="10"/>
  <c r="BW118" i="10"/>
  <c r="BW119" i="10"/>
  <c r="BW120" i="10"/>
  <c r="BW121" i="10"/>
  <c r="BW122" i="10"/>
  <c r="BW123" i="10"/>
  <c r="BW124" i="10"/>
  <c r="BW125" i="10"/>
  <c r="BW126" i="10"/>
  <c r="BW127" i="10"/>
  <c r="BW128" i="10"/>
  <c r="BW129" i="10"/>
  <c r="BW130" i="10"/>
  <c r="BW131" i="10"/>
  <c r="BW132" i="10"/>
  <c r="BW133" i="10"/>
  <c r="BW134" i="10"/>
  <c r="BW135" i="10"/>
  <c r="BW136" i="10"/>
  <c r="BW137" i="10"/>
  <c r="BW138" i="10"/>
  <c r="BW139" i="10"/>
  <c r="BW140" i="10"/>
  <c r="BW141" i="10"/>
  <c r="BW142" i="10"/>
  <c r="BW143" i="10"/>
  <c r="BW144" i="10"/>
  <c r="BW145" i="10"/>
  <c r="BW146" i="10"/>
  <c r="BW147" i="10"/>
  <c r="BW148" i="10"/>
  <c r="BW149" i="10"/>
  <c r="BW150" i="10"/>
  <c r="BW151" i="10"/>
  <c r="BW153" i="10"/>
  <c r="BW159" i="10"/>
  <c r="BX153" i="10"/>
  <c r="BX159" i="10"/>
  <c r="BY153" i="10"/>
  <c r="BY159" i="10"/>
  <c r="BZ8" i="10"/>
  <c r="BZ9" i="10"/>
  <c r="BZ10" i="10"/>
  <c r="BZ11" i="10"/>
  <c r="BZ12" i="10"/>
  <c r="BZ13" i="10"/>
  <c r="BZ14" i="10"/>
  <c r="BZ15" i="10"/>
  <c r="BZ16" i="10"/>
  <c r="BZ17" i="10"/>
  <c r="BZ18" i="10"/>
  <c r="BZ19" i="10"/>
  <c r="BZ20" i="10"/>
  <c r="BZ21" i="10"/>
  <c r="BZ22" i="10"/>
  <c r="BZ23" i="10"/>
  <c r="BZ24" i="10"/>
  <c r="BZ25" i="10"/>
  <c r="BZ26" i="10"/>
  <c r="BZ27" i="10"/>
  <c r="BZ28" i="10"/>
  <c r="BZ29" i="10"/>
  <c r="BZ30" i="10"/>
  <c r="BZ31" i="10"/>
  <c r="BZ32" i="10"/>
  <c r="BZ33" i="10"/>
  <c r="BZ34" i="10"/>
  <c r="BZ35" i="10"/>
  <c r="BZ36" i="10"/>
  <c r="BZ37" i="10"/>
  <c r="BZ38" i="10"/>
  <c r="BZ39" i="10"/>
  <c r="BZ40" i="10"/>
  <c r="BZ41" i="10"/>
  <c r="BZ42" i="10"/>
  <c r="BZ43" i="10"/>
  <c r="BZ44" i="10"/>
  <c r="BZ45" i="10"/>
  <c r="BZ46" i="10"/>
  <c r="BZ47" i="10"/>
  <c r="BZ48" i="10"/>
  <c r="BZ49" i="10"/>
  <c r="BZ50" i="10"/>
  <c r="BZ51" i="10"/>
  <c r="BZ52" i="10"/>
  <c r="BZ53" i="10"/>
  <c r="BZ54" i="10"/>
  <c r="BZ55" i="10"/>
  <c r="BZ56" i="10"/>
  <c r="BZ57" i="10"/>
  <c r="BZ58" i="10"/>
  <c r="BZ59" i="10"/>
  <c r="BZ60" i="10"/>
  <c r="BZ61" i="10"/>
  <c r="BZ62" i="10"/>
  <c r="BZ63" i="10"/>
  <c r="BZ64" i="10"/>
  <c r="BZ65" i="10"/>
  <c r="BZ66" i="10"/>
  <c r="BZ67" i="10"/>
  <c r="BZ68" i="10"/>
  <c r="BZ69" i="10"/>
  <c r="BZ70" i="10"/>
  <c r="BZ71" i="10"/>
  <c r="BZ72" i="10"/>
  <c r="BZ73" i="10"/>
  <c r="BZ74" i="10"/>
  <c r="BZ75" i="10"/>
  <c r="BZ76" i="10"/>
  <c r="BZ77" i="10"/>
  <c r="BZ78" i="10"/>
  <c r="BZ79" i="10"/>
  <c r="BZ80" i="10"/>
  <c r="BZ81" i="10"/>
  <c r="BZ82" i="10"/>
  <c r="BZ83" i="10"/>
  <c r="BZ84" i="10"/>
  <c r="BZ85" i="10"/>
  <c r="BZ86" i="10"/>
  <c r="BZ87" i="10"/>
  <c r="BZ88" i="10"/>
  <c r="BZ89" i="10"/>
  <c r="BZ90" i="10"/>
  <c r="BZ91" i="10"/>
  <c r="BZ92" i="10"/>
  <c r="BZ93" i="10"/>
  <c r="BZ94" i="10"/>
  <c r="BZ95" i="10"/>
  <c r="BZ96" i="10"/>
  <c r="BZ97" i="10"/>
  <c r="BZ98" i="10"/>
  <c r="BZ99" i="10"/>
  <c r="BZ100" i="10"/>
  <c r="BZ101" i="10"/>
  <c r="BZ102" i="10"/>
  <c r="BZ103" i="10"/>
  <c r="BZ104" i="10"/>
  <c r="BZ105" i="10"/>
  <c r="BZ106" i="10"/>
  <c r="BZ107" i="10"/>
  <c r="BZ108" i="10"/>
  <c r="BZ109" i="10"/>
  <c r="BZ110" i="10"/>
  <c r="BZ111" i="10"/>
  <c r="BZ112" i="10"/>
  <c r="BZ113" i="10"/>
  <c r="BZ114" i="10"/>
  <c r="BZ115" i="10"/>
  <c r="BZ116" i="10"/>
  <c r="BZ117" i="10"/>
  <c r="BZ118" i="10"/>
  <c r="BZ119" i="10"/>
  <c r="BZ120" i="10"/>
  <c r="BZ121" i="10"/>
  <c r="BZ122" i="10"/>
  <c r="BZ123" i="10"/>
  <c r="BZ124" i="10"/>
  <c r="BZ125" i="10"/>
  <c r="BZ126" i="10"/>
  <c r="BZ127" i="10"/>
  <c r="BZ128" i="10"/>
  <c r="BZ129" i="10"/>
  <c r="BZ130" i="10"/>
  <c r="BZ131" i="10"/>
  <c r="BZ132" i="10"/>
  <c r="BZ133" i="10"/>
  <c r="BZ134" i="10"/>
  <c r="BZ135" i="10"/>
  <c r="BZ136" i="10"/>
  <c r="BZ137" i="10"/>
  <c r="BZ138" i="10"/>
  <c r="BZ139" i="10"/>
  <c r="BZ140" i="10"/>
  <c r="BZ141" i="10"/>
  <c r="BZ142" i="10"/>
  <c r="BZ143" i="10"/>
  <c r="BZ144" i="10"/>
  <c r="BZ145" i="10"/>
  <c r="BZ146" i="10"/>
  <c r="BZ147" i="10"/>
  <c r="BZ148" i="10"/>
  <c r="BZ149" i="10"/>
  <c r="BZ150" i="10"/>
  <c r="BZ151" i="10"/>
  <c r="BZ153" i="10"/>
  <c r="BZ159" i="10"/>
  <c r="CA159" i="10"/>
  <c r="C160" i="10"/>
  <c r="D160" i="10"/>
  <c r="E160" i="10"/>
  <c r="F160" i="10"/>
  <c r="G160" i="10"/>
  <c r="H160" i="10"/>
  <c r="I160" i="10"/>
  <c r="J160" i="10"/>
  <c r="K160" i="10"/>
  <c r="L160" i="10"/>
  <c r="M160" i="10"/>
  <c r="N160" i="10"/>
  <c r="O160" i="10"/>
  <c r="P160" i="10"/>
  <c r="Q160" i="10"/>
  <c r="R160" i="10"/>
  <c r="S160" i="10"/>
  <c r="T160" i="10"/>
  <c r="U160" i="10"/>
  <c r="V160" i="10"/>
  <c r="W160" i="10"/>
  <c r="X160" i="10"/>
  <c r="Y160" i="10"/>
  <c r="Z160" i="10"/>
  <c r="AA160" i="10"/>
  <c r="AB160" i="10"/>
  <c r="AC160" i="10"/>
  <c r="AD160" i="10"/>
  <c r="AE160" i="10"/>
  <c r="AF160" i="10"/>
  <c r="AG160" i="10"/>
  <c r="AH160" i="10"/>
  <c r="AI160" i="10"/>
  <c r="AJ160" i="10"/>
  <c r="AK160" i="10"/>
  <c r="AL160" i="10"/>
  <c r="AM160" i="10"/>
  <c r="AN160" i="10"/>
  <c r="AO160" i="10"/>
  <c r="AP160" i="10"/>
  <c r="AQ160" i="10"/>
  <c r="AR160" i="10"/>
  <c r="AS160" i="10"/>
  <c r="AT160" i="10"/>
  <c r="AU160" i="10"/>
  <c r="AV160" i="10"/>
  <c r="AW160" i="10"/>
  <c r="AX160" i="10"/>
  <c r="AY160" i="10"/>
  <c r="AZ160" i="10"/>
  <c r="BA160" i="10"/>
  <c r="BB160" i="10"/>
  <c r="BC160" i="10"/>
  <c r="BD160" i="10"/>
  <c r="BE160" i="10"/>
  <c r="BF160" i="10"/>
  <c r="BG160" i="10"/>
  <c r="BH160" i="10"/>
  <c r="BI160" i="10"/>
  <c r="BJ160" i="10"/>
  <c r="BK160" i="10"/>
  <c r="BL160" i="10"/>
  <c r="BM160" i="10"/>
  <c r="BN160" i="10"/>
  <c r="BO160" i="10"/>
  <c r="BP160" i="10"/>
  <c r="BQ160" i="10"/>
  <c r="BR160" i="10"/>
  <c r="BS160" i="10"/>
  <c r="BT160" i="10"/>
  <c r="BU160" i="10"/>
  <c r="BV160" i="10"/>
  <c r="BW160" i="10"/>
  <c r="BX160" i="10"/>
  <c r="BY160" i="10"/>
  <c r="BZ160" i="10"/>
  <c r="CA160" i="10"/>
  <c r="C52" i="8"/>
  <c r="C57" i="8"/>
  <c r="D52" i="8"/>
  <c r="D5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52" i="8"/>
  <c r="E5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52" i="8"/>
  <c r="F57" i="8"/>
  <c r="G52" i="8"/>
  <c r="G57" i="8"/>
  <c r="H52" i="8"/>
  <c r="H5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52" i="8"/>
  <c r="I5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52" i="8"/>
  <c r="J57" i="8"/>
  <c r="K52" i="8"/>
  <c r="K5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52" i="8"/>
  <c r="L5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52" i="8"/>
  <c r="M57" i="8"/>
  <c r="N52" i="8"/>
  <c r="N5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52" i="8"/>
  <c r="O5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52" i="8"/>
  <c r="P5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52" i="8"/>
  <c r="Q57" i="8"/>
  <c r="R52" i="8"/>
  <c r="R57" i="8"/>
  <c r="S24" i="8"/>
  <c r="S25" i="8"/>
  <c r="S26" i="8"/>
  <c r="S27" i="8"/>
  <c r="S28" i="8"/>
  <c r="S29" i="8"/>
  <c r="S30" i="8"/>
  <c r="S31" i="8"/>
  <c r="S32" i="8"/>
  <c r="S33" i="8"/>
  <c r="S34" i="8"/>
  <c r="S35" i="8"/>
  <c r="S36" i="8"/>
  <c r="S37" i="8"/>
  <c r="S38" i="8"/>
  <c r="S39" i="8"/>
  <c r="S40" i="8"/>
  <c r="S41" i="8"/>
  <c r="S42" i="8"/>
  <c r="S43" i="8"/>
  <c r="S44" i="8"/>
  <c r="S45" i="8"/>
  <c r="S46" i="8"/>
  <c r="S52" i="8"/>
  <c r="S57" i="8"/>
  <c r="T52" i="8"/>
  <c r="T57" i="8"/>
  <c r="U52" i="8"/>
  <c r="U57" i="8"/>
  <c r="V8" i="8"/>
  <c r="V9" i="8"/>
  <c r="V52" i="8"/>
  <c r="V57" i="8"/>
  <c r="W8" i="8"/>
  <c r="W9" i="8"/>
  <c r="W10" i="8"/>
  <c r="W11" i="8"/>
  <c r="W12" i="8"/>
  <c r="W13" i="8"/>
  <c r="W14" i="8"/>
  <c r="W15" i="8"/>
  <c r="W16" i="8"/>
  <c r="W17" i="8"/>
  <c r="W18" i="8"/>
  <c r="W19" i="8"/>
  <c r="W20" i="8"/>
  <c r="W21" i="8"/>
  <c r="W22" i="8"/>
  <c r="W23" i="8"/>
  <c r="W24" i="8"/>
  <c r="W25" i="8"/>
  <c r="W26" i="8"/>
  <c r="W27" i="8"/>
  <c r="W28" i="8"/>
  <c r="W29" i="8"/>
  <c r="W30" i="8"/>
  <c r="W31" i="8"/>
  <c r="W32" i="8"/>
  <c r="W33" i="8"/>
  <c r="W34" i="8"/>
  <c r="W35" i="8"/>
  <c r="W36" i="8"/>
  <c r="W37" i="8"/>
  <c r="W38" i="8"/>
  <c r="W39" i="8"/>
  <c r="W40" i="8"/>
  <c r="W41" i="8"/>
  <c r="W42" i="8"/>
  <c r="W43" i="8"/>
  <c r="W44" i="8"/>
  <c r="W45" i="8"/>
  <c r="W46" i="8"/>
  <c r="W52" i="8"/>
  <c r="W5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52" i="8"/>
  <c r="X57" i="8"/>
  <c r="Y8" i="8"/>
  <c r="Y9" i="8"/>
  <c r="Y10" i="8"/>
  <c r="Y11" i="8"/>
  <c r="Y12" i="8"/>
  <c r="Y13" i="8"/>
  <c r="Y14" i="8"/>
  <c r="Y15" i="8"/>
  <c r="Y16" i="8"/>
  <c r="Y17" i="8"/>
  <c r="Y18" i="8"/>
  <c r="Y19" i="8"/>
  <c r="Y20" i="8"/>
  <c r="Y21" i="8"/>
  <c r="Y22" i="8"/>
  <c r="Y23" i="8"/>
  <c r="Y24" i="8"/>
  <c r="Y25" i="8"/>
  <c r="Y26" i="8"/>
  <c r="Y27" i="8"/>
  <c r="Y28" i="8"/>
  <c r="Y29" i="8"/>
  <c r="Y30" i="8"/>
  <c r="Y31" i="8"/>
  <c r="Y32" i="8"/>
  <c r="Y33" i="8"/>
  <c r="Y34" i="8"/>
  <c r="Y35" i="8"/>
  <c r="Y36" i="8"/>
  <c r="Y37" i="8"/>
  <c r="Y38" i="8"/>
  <c r="Y39" i="8"/>
  <c r="Y40" i="8"/>
  <c r="Y41" i="8"/>
  <c r="Y42" i="8"/>
  <c r="Y43" i="8"/>
  <c r="Y44" i="8"/>
  <c r="Y45" i="8"/>
  <c r="Y46" i="8"/>
  <c r="Y52" i="8"/>
  <c r="Y57" i="8"/>
  <c r="Z8" i="8"/>
  <c r="Z9" i="8"/>
  <c r="Z10" i="8"/>
  <c r="Z11" i="8"/>
  <c r="Z12" i="8"/>
  <c r="Z13" i="8"/>
  <c r="Z14" i="8"/>
  <c r="Z15" i="8"/>
  <c r="Z16" i="8"/>
  <c r="Z17" i="8"/>
  <c r="Z18" i="8"/>
  <c r="Z19" i="8"/>
  <c r="Z20" i="8"/>
  <c r="Z21" i="8"/>
  <c r="Z22" i="8"/>
  <c r="Z23" i="8"/>
  <c r="Z24" i="8"/>
  <c r="Z25" i="8"/>
  <c r="Z26" i="8"/>
  <c r="Z27" i="8"/>
  <c r="Z28" i="8"/>
  <c r="Z29" i="8"/>
  <c r="Z30" i="8"/>
  <c r="Z31" i="8"/>
  <c r="Z32" i="8"/>
  <c r="Z33" i="8"/>
  <c r="Z34" i="8"/>
  <c r="Z35" i="8"/>
  <c r="Z36" i="8"/>
  <c r="Z37" i="8"/>
  <c r="Z38" i="8"/>
  <c r="Z39" i="8"/>
  <c r="Z40" i="8"/>
  <c r="Z41" i="8"/>
  <c r="Z42" i="8"/>
  <c r="Z43" i="8"/>
  <c r="Z44" i="8"/>
  <c r="Z45" i="8"/>
  <c r="Z46" i="8"/>
  <c r="Z52" i="8"/>
  <c r="Z57" i="8"/>
  <c r="AA8" i="8"/>
  <c r="AA9" i="8"/>
  <c r="AA10" i="8"/>
  <c r="AA11" i="8"/>
  <c r="AA12" i="8"/>
  <c r="AA13" i="8"/>
  <c r="AA14" i="8"/>
  <c r="AA15" i="8"/>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52" i="8"/>
  <c r="AA57" i="8"/>
  <c r="AB52" i="8"/>
  <c r="AB5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52" i="8"/>
  <c r="AC57" i="8"/>
  <c r="AD8" i="8"/>
  <c r="AD9" i="8"/>
  <c r="AD10" i="8"/>
  <c r="AD11" i="8"/>
  <c r="AD12" i="8"/>
  <c r="AD13" i="8"/>
  <c r="AD14" i="8"/>
  <c r="AD15" i="8"/>
  <c r="AD16" i="8"/>
  <c r="AD1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2" i="8"/>
  <c r="AD57" i="8"/>
  <c r="AE8" i="8"/>
  <c r="AE9" i="8"/>
  <c r="AE10" i="8"/>
  <c r="AE11" i="8"/>
  <c r="AE12" i="8"/>
  <c r="AE13" i="8"/>
  <c r="AE14" i="8"/>
  <c r="AE15" i="8"/>
  <c r="AE16" i="8"/>
  <c r="AE17" i="8"/>
  <c r="AE18" i="8"/>
  <c r="AE19"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2" i="8"/>
  <c r="AE5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7" i="8"/>
  <c r="AG8" i="8"/>
  <c r="AG9" i="8"/>
  <c r="AG10" i="8"/>
  <c r="AG11" i="8"/>
  <c r="AG12" i="8"/>
  <c r="AG13" i="8"/>
  <c r="AG14" i="8"/>
  <c r="AG15" i="8"/>
  <c r="AG16" i="8"/>
  <c r="AG1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2" i="8"/>
  <c r="AG57" i="8"/>
  <c r="AH8" i="8"/>
  <c r="AH9" i="8"/>
  <c r="AH10" i="8"/>
  <c r="AH11" i="8"/>
  <c r="AH12" i="8"/>
  <c r="AH13" i="8"/>
  <c r="AH14" i="8"/>
  <c r="AH15" i="8"/>
  <c r="AH16" i="8"/>
  <c r="AH17" i="8"/>
  <c r="AH18" i="8"/>
  <c r="AH19" i="8"/>
  <c r="AH20" i="8"/>
  <c r="AH21" i="8"/>
  <c r="AH22" i="8"/>
  <c r="AH23" i="8"/>
  <c r="AH24" i="8"/>
  <c r="AH25" i="8"/>
  <c r="AH26" i="8"/>
  <c r="AH27" i="8"/>
  <c r="AH28" i="8"/>
  <c r="AH29" i="8"/>
  <c r="AH30" i="8"/>
  <c r="AH31" i="8"/>
  <c r="AH32" i="8"/>
  <c r="AH33" i="8"/>
  <c r="AH34" i="8"/>
  <c r="AH35" i="8"/>
  <c r="AH36" i="8"/>
  <c r="AH37" i="8"/>
  <c r="AH38" i="8"/>
  <c r="AH39" i="8"/>
  <c r="AH40" i="8"/>
  <c r="AH41" i="8"/>
  <c r="AH42" i="8"/>
  <c r="AH43" i="8"/>
  <c r="AH44" i="8"/>
  <c r="AH45" i="8"/>
  <c r="AH46" i="8"/>
  <c r="AH47" i="8"/>
  <c r="AH48" i="8"/>
  <c r="AH49" i="8"/>
  <c r="AH50" i="8"/>
  <c r="AH51" i="8"/>
  <c r="AH52" i="8"/>
  <c r="AH57" i="8"/>
  <c r="AI8" i="8"/>
  <c r="AI9" i="8"/>
  <c r="AI10" i="8"/>
  <c r="AI11" i="8"/>
  <c r="AI12" i="8"/>
  <c r="AI13" i="8"/>
  <c r="AI14" i="8"/>
  <c r="AI15" i="8"/>
  <c r="AI16" i="8"/>
  <c r="AI17" i="8"/>
  <c r="AI18" i="8"/>
  <c r="AI19"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2" i="8"/>
  <c r="AI57" i="8"/>
  <c r="AJ8" i="8"/>
  <c r="AJ9" i="8"/>
  <c r="AJ10" i="8"/>
  <c r="AJ11" i="8"/>
  <c r="AJ12" i="8"/>
  <c r="AJ13" i="8"/>
  <c r="AJ14" i="8"/>
  <c r="AJ15" i="8"/>
  <c r="AJ16" i="8"/>
  <c r="AJ17" i="8"/>
  <c r="AJ18" i="8"/>
  <c r="AJ19"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51" i="8"/>
  <c r="AJ52" i="8"/>
  <c r="AJ57" i="8"/>
  <c r="AK8" i="8"/>
  <c r="AK9" i="8"/>
  <c r="AK10" i="8"/>
  <c r="AK11" i="8"/>
  <c r="AK12" i="8"/>
  <c r="AK13" i="8"/>
  <c r="AK14" i="8"/>
  <c r="AK15" i="8"/>
  <c r="AK16" i="8"/>
  <c r="AK17" i="8"/>
  <c r="AK18" i="8"/>
  <c r="AK19"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2" i="8"/>
  <c r="AK57" i="8"/>
  <c r="AL8" i="8"/>
  <c r="AL9" i="8"/>
  <c r="AL10" i="8"/>
  <c r="AL11" i="8"/>
  <c r="AL12" i="8"/>
  <c r="AL13" i="8"/>
  <c r="AL14" i="8"/>
  <c r="AL15" i="8"/>
  <c r="AL16" i="8"/>
  <c r="AL17" i="8"/>
  <c r="AL18" i="8"/>
  <c r="AL19"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2" i="8"/>
  <c r="AL57" i="8"/>
  <c r="AM52" i="8"/>
  <c r="AM57" i="8"/>
  <c r="B52" i="8"/>
  <c r="B57" i="8"/>
  <c r="AM56" i="8" a="1"/>
  <c r="AM56" i="8"/>
  <c r="AL56" i="8" a="1"/>
  <c r="AL56" i="8"/>
  <c r="AK56" i="8" a="1"/>
  <c r="AK56" i="8"/>
  <c r="AJ56" i="8" a="1"/>
  <c r="AJ56" i="8"/>
  <c r="AI56" i="8" a="1"/>
  <c r="AI56" i="8"/>
  <c r="AH56" i="8" a="1"/>
  <c r="AH56" i="8"/>
  <c r="AG56" i="8" a="1"/>
  <c r="AG56" i="8"/>
  <c r="AF56" i="8" a="1"/>
  <c r="AF56" i="8"/>
  <c r="AE56" i="8" a="1"/>
  <c r="AE56" i="8"/>
  <c r="AD56" i="8" a="1"/>
  <c r="AD56" i="8"/>
  <c r="AC56" i="8" a="1"/>
  <c r="AC56" i="8"/>
  <c r="AB56" i="8" a="1"/>
  <c r="AB56" i="8"/>
  <c r="AA56" i="8" a="1"/>
  <c r="AA56" i="8"/>
  <c r="Z56" i="8" a="1"/>
  <c r="Z56" i="8"/>
  <c r="Y56" i="8" a="1"/>
  <c r="Y56" i="8"/>
  <c r="X56" i="8" a="1"/>
  <c r="X56" i="8"/>
  <c r="W56" i="8" a="1"/>
  <c r="W56" i="8"/>
  <c r="V56" i="8" a="1"/>
  <c r="V56" i="8"/>
  <c r="U56" i="8" a="1"/>
  <c r="U56" i="8"/>
  <c r="T56" i="8" a="1"/>
  <c r="T56" i="8"/>
  <c r="S56" i="8" a="1"/>
  <c r="S56" i="8"/>
  <c r="R56" i="8" a="1"/>
  <c r="R56" i="8"/>
  <c r="Q56" i="8" a="1"/>
  <c r="Q56" i="8"/>
  <c r="P56" i="8" a="1"/>
  <c r="P56" i="8"/>
  <c r="O56" i="8" a="1"/>
  <c r="O56" i="8"/>
  <c r="N56" i="8" a="1"/>
  <c r="N56" i="8"/>
  <c r="M56" i="8" a="1"/>
  <c r="M56" i="8"/>
  <c r="L56" i="8" a="1"/>
  <c r="L56" i="8"/>
  <c r="K56" i="8" a="1"/>
  <c r="K56" i="8"/>
  <c r="J56" i="8" a="1"/>
  <c r="J56" i="8"/>
  <c r="I56" i="8" a="1"/>
  <c r="I56" i="8"/>
  <c r="H56" i="8" a="1"/>
  <c r="H56" i="8"/>
  <c r="G56" i="8" a="1"/>
  <c r="G56" i="8"/>
  <c r="F56" i="8" a="1"/>
  <c r="F56" i="8"/>
  <c r="E56" i="8" a="1"/>
  <c r="E56" i="8"/>
  <c r="D56" i="8" a="1"/>
  <c r="D56" i="8"/>
  <c r="C56" i="8" a="1"/>
  <c r="C56" i="8"/>
  <c r="B56" i="8" a="1"/>
  <c r="B56" i="8"/>
  <c r="A321" i="10" a="1"/>
  <c r="A350" i="10"/>
  <c r="BX2" i="10"/>
  <c r="BX320" i="10"/>
  <c r="BX350" i="10"/>
  <c r="BW350" i="10"/>
  <c r="BV350" i="10"/>
  <c r="BU350" i="10"/>
  <c r="BT350" i="10"/>
  <c r="BS350" i="10"/>
  <c r="BR350" i="10"/>
  <c r="BQ350" i="10"/>
  <c r="BP350" i="10"/>
  <c r="BO350" i="10"/>
  <c r="BN350" i="10"/>
  <c r="BM350" i="10"/>
  <c r="BL350" i="10"/>
  <c r="BK350" i="10"/>
  <c r="BJ350" i="10"/>
  <c r="BI350" i="10"/>
  <c r="BH350" i="10"/>
  <c r="BG350" i="10"/>
  <c r="BF350" i="10"/>
  <c r="BE350" i="10"/>
  <c r="BD350" i="10"/>
  <c r="BC350" i="10"/>
  <c r="BB350" i="10"/>
  <c r="BA350" i="10"/>
  <c r="AZ350" i="10"/>
  <c r="AY350" i="10"/>
  <c r="AX350" i="10"/>
  <c r="AW350" i="10"/>
  <c r="AV350" i="10"/>
  <c r="AU350" i="10"/>
  <c r="AT350" i="10"/>
  <c r="AS350" i="10"/>
  <c r="AR350" i="10"/>
  <c r="AQ350" i="10"/>
  <c r="AP350" i="10"/>
  <c r="AO350" i="10"/>
  <c r="AN350" i="10"/>
  <c r="AM350" i="10"/>
  <c r="AL350" i="10"/>
  <c r="AK350" i="10"/>
  <c r="AJ350" i="10"/>
  <c r="AI350" i="10"/>
  <c r="AH350" i="10"/>
  <c r="AG350" i="10"/>
  <c r="AF3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8"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320" i="10"/>
  <c r="AE350" i="10"/>
  <c r="AD350" i="10"/>
  <c r="AC350" i="10"/>
  <c r="AB350" i="10"/>
  <c r="AA350" i="10"/>
  <c r="Z350" i="10"/>
  <c r="Y350" i="10"/>
  <c r="X350" i="10"/>
  <c r="W350" i="10"/>
  <c r="V250" i="10"/>
  <c r="V350" i="10"/>
  <c r="U350" i="10"/>
  <c r="T350" i="10"/>
  <c r="S350" i="10"/>
  <c r="R350" i="10"/>
  <c r="Q350" i="10"/>
  <c r="P350" i="10"/>
  <c r="O350" i="10"/>
  <c r="N270" i="10"/>
  <c r="N275" i="10"/>
  <c r="N350" i="10"/>
  <c r="M350" i="10"/>
  <c r="L350" i="10"/>
  <c r="K350" i="10"/>
  <c r="J350" i="10"/>
  <c r="I350" i="10"/>
  <c r="H350" i="10"/>
  <c r="G350" i="10"/>
  <c r="F350" i="10"/>
  <c r="E350" i="10"/>
  <c r="D172" i="10"/>
  <c r="D199" i="10"/>
  <c r="D209" i="10"/>
  <c r="D215" i="10"/>
  <c r="D219" i="10"/>
  <c r="D228" i="10"/>
  <c r="D235" i="10"/>
  <c r="D240" i="10"/>
  <c r="D242" i="10"/>
  <c r="D250" i="10"/>
  <c r="D251" i="10"/>
  <c r="D253" i="10"/>
  <c r="D255" i="10"/>
  <c r="D268" i="10"/>
  <c r="D350" i="10"/>
  <c r="C350" i="10"/>
  <c r="B172" i="10"/>
  <c r="B199" i="10"/>
  <c r="B209" i="10"/>
  <c r="B215" i="10"/>
  <c r="B219" i="10"/>
  <c r="B228" i="10"/>
  <c r="B235" i="10"/>
  <c r="B240" i="10"/>
  <c r="B242" i="10"/>
  <c r="B250" i="10"/>
  <c r="B251" i="10"/>
  <c r="B253" i="10"/>
  <c r="B255" i="10"/>
  <c r="B268" i="10"/>
  <c r="B350" i="10"/>
  <c r="A251" i="10"/>
  <c r="B29" i="2"/>
  <c r="B30" i="2"/>
  <c r="B31" i="2"/>
  <c r="B56" i="6"/>
  <c r="A157" i="11"/>
  <c r="Z336" i="11"/>
  <c r="T3" i="2" a="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Y336" i="11"/>
  <c r="Y338" i="11"/>
  <c r="Y339" i="11"/>
  <c r="Y340" i="11"/>
  <c r="Y341" i="11"/>
  <c r="Y342" i="11"/>
  <c r="Y343" i="11"/>
  <c r="Y344" i="11"/>
  <c r="Y345" i="11"/>
  <c r="Y346" i="11"/>
  <c r="Y347" i="11"/>
  <c r="Y348" i="11"/>
  <c r="Y349" i="11"/>
  <c r="Y350" i="11"/>
  <c r="Y351" i="11"/>
  <c r="Y352" i="11"/>
  <c r="Y353" i="11"/>
  <c r="Y354" i="11"/>
  <c r="Y355" i="11"/>
  <c r="Y356" i="11"/>
  <c r="Y357" i="11"/>
  <c r="Y358" i="11"/>
  <c r="Y359" i="11"/>
  <c r="Y360" i="11"/>
  <c r="Y361" i="11"/>
  <c r="Y362" i="11"/>
  <c r="Y363" i="11"/>
  <c r="Y364" i="11"/>
  <c r="Y365" i="11"/>
  <c r="Y366" i="11"/>
  <c r="Y367" i="11"/>
  <c r="Y368" i="11"/>
  <c r="Y369" i="11"/>
  <c r="Y370" i="11"/>
  <c r="Y371" i="11"/>
  <c r="Y372" i="11"/>
  <c r="Y373" i="11"/>
  <c r="Y374" i="11"/>
  <c r="Y375" i="11"/>
  <c r="Y376" i="11"/>
  <c r="Y377" i="11"/>
  <c r="Y378" i="11"/>
  <c r="Y379" i="11"/>
  <c r="Y380" i="11"/>
  <c r="Y381" i="11"/>
  <c r="Y382" i="11"/>
  <c r="Y383" i="11"/>
  <c r="Y384" i="11"/>
  <c r="Y385" i="11"/>
  <c r="Y386" i="11"/>
  <c r="Y387" i="11"/>
  <c r="Y388" i="11"/>
  <c r="Y389" i="11"/>
  <c r="Y390" i="11"/>
  <c r="Y391" i="11"/>
  <c r="Y392" i="11"/>
  <c r="Y393" i="11"/>
  <c r="Y394" i="11"/>
  <c r="Y395" i="11"/>
  <c r="Y396" i="11"/>
  <c r="Y397" i="11"/>
  <c r="Y398" i="11"/>
  <c r="Y399" i="11"/>
  <c r="Y400" i="11"/>
  <c r="Y401" i="11"/>
  <c r="Y402" i="11"/>
  <c r="Y403" i="11"/>
  <c r="Y404" i="11"/>
  <c r="Y405" i="11"/>
  <c r="Y406" i="11"/>
  <c r="Y407" i="11"/>
  <c r="Y408" i="11"/>
  <c r="Y409" i="11"/>
  <c r="Y410" i="11"/>
  <c r="Y411" i="11"/>
  <c r="Y412" i="11"/>
  <c r="Y413" i="11"/>
  <c r="Y414" i="11"/>
  <c r="Y415" i="11"/>
  <c r="Y416" i="11"/>
  <c r="Y417" i="11"/>
  <c r="Y418" i="11"/>
  <c r="Y419" i="11"/>
  <c r="Y420" i="11"/>
  <c r="Y421" i="11"/>
  <c r="Y422" i="11"/>
  <c r="Y423" i="11"/>
  <c r="Y424" i="11"/>
  <c r="Y425" i="11"/>
  <c r="Y426" i="11"/>
  <c r="Y427" i="11"/>
  <c r="Y428" i="11"/>
  <c r="Y429" i="11"/>
  <c r="Y430" i="11"/>
  <c r="Y431" i="11"/>
  <c r="Y432" i="11"/>
  <c r="Y433" i="11"/>
  <c r="Y434" i="11"/>
  <c r="Y435" i="11"/>
  <c r="Y436" i="11"/>
  <c r="Y437" i="11"/>
  <c r="Y438" i="11"/>
  <c r="Y439" i="11"/>
  <c r="Y440" i="11"/>
  <c r="Y441" i="11"/>
  <c r="Y442" i="11"/>
  <c r="CF272" i="11"/>
  <c r="CG272" i="11"/>
  <c r="CF271" i="11"/>
  <c r="CG271" i="11"/>
  <c r="CF270" i="11"/>
  <c r="CG270" i="11"/>
  <c r="CF269" i="11"/>
  <c r="CG269" i="11"/>
  <c r="CF268" i="11"/>
  <c r="CG268" i="11"/>
  <c r="CF267" i="11"/>
  <c r="CG267" i="11"/>
  <c r="CF266" i="11"/>
  <c r="CG266" i="11"/>
  <c r="CF265" i="11"/>
  <c r="CG265" i="11"/>
  <c r="CF264" i="11"/>
  <c r="CG264" i="11"/>
  <c r="CF263" i="11"/>
  <c r="CG263" i="11"/>
  <c r="CF262" i="11"/>
  <c r="CG262" i="11"/>
  <c r="CF261" i="11"/>
  <c r="CG261" i="11"/>
  <c r="CF260" i="11"/>
  <c r="CG260" i="11"/>
  <c r="CF259" i="11"/>
  <c r="CG259" i="11"/>
  <c r="CF258" i="11"/>
  <c r="CG258" i="11"/>
  <c r="CF257" i="11"/>
  <c r="CG257" i="11"/>
  <c r="CF256" i="11"/>
  <c r="CG256" i="11"/>
  <c r="CF255" i="11"/>
  <c r="CG255" i="11"/>
  <c r="CF254" i="11"/>
  <c r="CG254" i="11"/>
  <c r="CF253" i="11"/>
  <c r="CG253" i="11"/>
  <c r="CF252" i="11"/>
  <c r="CG252" i="11"/>
  <c r="CF251" i="11"/>
  <c r="CG251" i="11"/>
  <c r="CF250" i="11"/>
  <c r="CG250" i="11"/>
  <c r="CF249" i="11"/>
  <c r="CG249" i="11"/>
  <c r="CF248" i="11"/>
  <c r="CG248" i="11"/>
  <c r="CF247" i="11"/>
  <c r="CG247" i="11"/>
  <c r="CF246" i="11"/>
  <c r="CG246" i="11"/>
  <c r="CF245" i="11"/>
  <c r="CG245" i="11"/>
  <c r="CF244" i="11"/>
  <c r="CG244" i="11"/>
  <c r="CF243" i="11"/>
  <c r="CG243" i="11"/>
  <c r="CF242" i="11"/>
  <c r="CG242" i="11"/>
  <c r="CF241" i="11"/>
  <c r="CG241" i="11"/>
  <c r="CF240" i="11"/>
  <c r="CG240" i="11"/>
  <c r="CF239" i="11"/>
  <c r="CG239" i="11"/>
  <c r="CF238" i="11"/>
  <c r="CG238" i="11"/>
  <c r="CF237" i="11"/>
  <c r="CG237" i="11"/>
  <c r="CF236" i="11"/>
  <c r="CG236" i="11"/>
  <c r="CF235" i="11"/>
  <c r="CG235" i="11"/>
  <c r="CF234" i="11"/>
  <c r="CG234" i="11"/>
  <c r="CF233" i="11"/>
  <c r="CG233" i="11"/>
  <c r="CF232" i="11"/>
  <c r="CG232" i="11"/>
  <c r="CF231" i="11"/>
  <c r="CG231" i="11"/>
  <c r="CF230" i="11"/>
  <c r="CG230" i="11"/>
  <c r="CF229" i="11"/>
  <c r="CG229" i="11"/>
  <c r="CF228" i="11"/>
  <c r="CG228" i="11"/>
  <c r="CF227" i="11"/>
  <c r="CG227" i="11"/>
  <c r="CF226" i="11"/>
  <c r="CG226" i="11"/>
  <c r="CF225" i="11"/>
  <c r="CG225" i="11"/>
  <c r="CF224" i="11"/>
  <c r="CG224" i="11"/>
  <c r="CF223" i="11"/>
  <c r="CG223" i="11"/>
  <c r="CF222" i="11"/>
  <c r="CG222" i="11"/>
  <c r="CF221" i="11"/>
  <c r="CG221" i="11"/>
  <c r="CF220" i="11"/>
  <c r="CG220" i="11"/>
  <c r="CF219" i="11"/>
  <c r="CG219" i="11"/>
  <c r="CF218" i="11"/>
  <c r="CG218" i="11"/>
  <c r="CF217" i="11"/>
  <c r="CG217" i="11"/>
  <c r="CF216" i="11"/>
  <c r="CG216" i="11"/>
  <c r="CF215" i="11"/>
  <c r="CG215" i="11"/>
  <c r="CF214" i="11"/>
  <c r="CG214" i="11"/>
  <c r="CF213" i="11"/>
  <c r="CG213" i="11"/>
  <c r="CF212" i="11"/>
  <c r="CG212" i="11"/>
  <c r="CF211" i="11"/>
  <c r="CG211" i="11"/>
  <c r="CF210" i="11"/>
  <c r="CG210" i="11"/>
  <c r="CF209" i="11"/>
  <c r="CG209" i="11"/>
  <c r="CF208" i="11"/>
  <c r="CG208" i="11"/>
  <c r="CF207" i="11"/>
  <c r="CG207" i="11"/>
  <c r="CF206" i="11"/>
  <c r="CG206" i="11"/>
  <c r="CF205" i="11"/>
  <c r="CG205" i="11"/>
  <c r="CF204" i="11"/>
  <c r="CG204" i="11"/>
  <c r="CF203" i="11"/>
  <c r="CG203" i="11"/>
  <c r="CF202" i="11"/>
  <c r="CG202" i="11"/>
  <c r="CF201" i="11"/>
  <c r="CG201" i="11"/>
  <c r="CF200" i="11"/>
  <c r="CG200" i="11"/>
  <c r="CF199" i="11"/>
  <c r="CG199" i="11"/>
  <c r="CF198" i="11"/>
  <c r="CG198" i="11"/>
  <c r="CF197" i="11"/>
  <c r="CG197" i="11"/>
  <c r="CF196" i="11"/>
  <c r="CG196" i="11"/>
  <c r="CF195" i="11"/>
  <c r="CG195" i="11"/>
  <c r="CF194" i="11"/>
  <c r="CG194" i="11"/>
  <c r="CF193" i="11"/>
  <c r="CG193" i="11"/>
  <c r="CF192" i="11"/>
  <c r="CG192" i="11"/>
  <c r="CF191" i="11"/>
  <c r="CG191" i="11"/>
  <c r="CF190" i="11"/>
  <c r="CG190" i="11"/>
  <c r="CF189" i="11"/>
  <c r="CG189" i="11"/>
  <c r="CF188" i="11"/>
  <c r="CG188" i="11"/>
  <c r="CF187" i="11"/>
  <c r="CG187" i="11"/>
  <c r="CF186" i="11"/>
  <c r="CG186" i="11"/>
  <c r="CF185" i="11"/>
  <c r="CG185" i="11"/>
  <c r="CF184" i="11"/>
  <c r="CG184" i="11"/>
  <c r="CF183" i="11"/>
  <c r="CG183" i="11"/>
  <c r="CF182" i="11"/>
  <c r="CG182" i="11"/>
  <c r="CF181" i="11"/>
  <c r="CG181" i="11"/>
  <c r="CF180" i="11"/>
  <c r="CG180" i="11"/>
  <c r="CF179" i="11"/>
  <c r="CG179" i="11"/>
  <c r="CF178" i="11"/>
  <c r="CG178" i="11"/>
  <c r="CF177" i="11"/>
  <c r="CG177" i="11"/>
  <c r="CF176" i="11"/>
  <c r="CG176" i="11"/>
  <c r="CF175" i="11"/>
  <c r="CG175" i="11"/>
  <c r="CF174" i="11"/>
  <c r="CG174" i="11"/>
  <c r="CF173" i="11"/>
  <c r="CG173" i="11"/>
  <c r="CF172" i="11"/>
  <c r="CG172" i="11"/>
  <c r="CF171" i="11"/>
  <c r="CG171" i="11"/>
  <c r="CF170" i="11"/>
  <c r="CG170" i="11"/>
  <c r="CF169" i="11"/>
  <c r="CG169" i="11"/>
  <c r="X336"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CF110" i="11"/>
  <c r="CG110" i="11"/>
  <c r="CF109" i="11"/>
  <c r="CG109" i="11"/>
  <c r="CF108" i="11"/>
  <c r="CG108" i="11"/>
  <c r="CF107" i="11"/>
  <c r="CG107" i="11"/>
  <c r="CF106" i="11"/>
  <c r="CG106" i="11"/>
  <c r="CF105" i="11"/>
  <c r="CG105" i="11"/>
  <c r="CF104" i="11"/>
  <c r="CG104" i="11"/>
  <c r="CF103" i="11"/>
  <c r="CG103" i="11"/>
  <c r="CF102" i="11"/>
  <c r="CG102" i="11"/>
  <c r="CF101" i="11"/>
  <c r="CG101" i="11"/>
  <c r="CF100" i="11"/>
  <c r="CG100" i="11"/>
  <c r="CF99" i="11"/>
  <c r="CG99" i="11"/>
  <c r="CF98" i="11"/>
  <c r="CG98" i="11"/>
  <c r="CF97" i="11"/>
  <c r="CG97" i="11"/>
  <c r="CF96" i="11"/>
  <c r="CG96" i="11"/>
  <c r="CF95" i="11"/>
  <c r="CG95" i="11"/>
  <c r="CF94" i="11"/>
  <c r="CG94" i="11"/>
  <c r="CF93" i="11"/>
  <c r="CG93" i="11"/>
  <c r="CF92" i="11"/>
  <c r="CG92" i="11"/>
  <c r="CF91" i="11"/>
  <c r="CG91" i="11"/>
  <c r="CF90" i="11"/>
  <c r="CG90" i="11"/>
  <c r="CF89" i="11"/>
  <c r="CG89" i="11"/>
  <c r="CF88" i="11"/>
  <c r="CG88" i="11"/>
  <c r="CF87" i="11"/>
  <c r="CG87" i="11"/>
  <c r="CF86" i="11"/>
  <c r="CG86" i="11"/>
  <c r="CF85" i="11"/>
  <c r="CG85" i="11"/>
  <c r="CF84" i="11"/>
  <c r="CG84" i="11"/>
  <c r="CF83" i="11"/>
  <c r="CG83" i="11"/>
  <c r="CF82" i="11"/>
  <c r="CG82" i="11"/>
  <c r="CF81" i="11"/>
  <c r="CG81" i="11"/>
  <c r="CF80" i="11"/>
  <c r="CG80" i="11"/>
  <c r="CF79" i="11"/>
  <c r="CG79" i="11"/>
  <c r="CF78" i="11"/>
  <c r="CG78" i="11"/>
  <c r="CF77" i="11"/>
  <c r="CG77" i="11"/>
  <c r="CF76" i="11"/>
  <c r="CG76" i="11"/>
  <c r="CF75" i="11"/>
  <c r="CG75" i="11"/>
  <c r="CF74" i="11"/>
  <c r="CG74" i="11"/>
  <c r="CF73" i="11"/>
  <c r="CG73" i="11"/>
  <c r="CF72" i="11"/>
  <c r="CG72" i="11"/>
  <c r="CF71" i="11"/>
  <c r="CG71" i="11"/>
  <c r="CF70" i="11"/>
  <c r="CG70" i="11"/>
  <c r="CF69" i="11"/>
  <c r="CG69" i="11"/>
  <c r="CF68" i="11"/>
  <c r="CG68" i="11"/>
  <c r="CF67" i="11"/>
  <c r="CG67" i="11"/>
  <c r="CF66" i="11"/>
  <c r="CG66" i="11"/>
  <c r="CF65" i="11"/>
  <c r="CG65" i="11"/>
  <c r="CF64" i="11"/>
  <c r="CG64" i="11"/>
  <c r="CF63" i="11"/>
  <c r="CG63" i="11"/>
  <c r="CF62" i="11"/>
  <c r="CG62" i="11"/>
  <c r="CF61" i="11"/>
  <c r="CG61" i="11"/>
  <c r="CF60" i="11"/>
  <c r="CG60" i="11"/>
  <c r="CF59" i="11"/>
  <c r="CG59" i="11"/>
  <c r="CF58" i="11"/>
  <c r="CG58" i="11"/>
  <c r="CF57" i="11"/>
  <c r="CG57" i="11"/>
  <c r="CF56" i="11"/>
  <c r="CG56" i="11"/>
  <c r="CF55" i="11"/>
  <c r="CG55" i="11"/>
  <c r="CF54" i="11"/>
  <c r="CG54" i="11"/>
  <c r="CF53" i="11"/>
  <c r="CG53" i="11"/>
  <c r="CF52" i="11"/>
  <c r="CG52" i="11"/>
  <c r="CF51" i="11"/>
  <c r="CG51" i="11"/>
  <c r="CF50" i="11"/>
  <c r="CG50" i="11"/>
  <c r="CF49" i="11"/>
  <c r="CG49" i="11"/>
  <c r="CF48" i="11"/>
  <c r="CG48" i="11"/>
  <c r="CF47" i="11"/>
  <c r="CG47" i="11"/>
  <c r="CF46" i="11"/>
  <c r="CG46" i="11"/>
  <c r="CF45" i="11"/>
  <c r="CG45" i="11"/>
  <c r="CF44" i="11"/>
  <c r="CG44" i="11"/>
  <c r="CF43" i="11"/>
  <c r="CG43" i="11"/>
  <c r="CF42" i="11"/>
  <c r="CG42" i="11"/>
  <c r="CF41" i="11"/>
  <c r="CG41" i="11"/>
  <c r="CF40" i="11"/>
  <c r="CG40" i="11"/>
  <c r="CF39" i="11"/>
  <c r="CG39" i="11"/>
  <c r="CF38" i="11"/>
  <c r="CG38" i="11"/>
  <c r="CF37" i="11"/>
  <c r="CG37" i="11"/>
  <c r="CF36" i="11"/>
  <c r="CG36" i="11"/>
  <c r="CF35" i="11"/>
  <c r="CG35" i="11"/>
  <c r="CF34" i="11"/>
  <c r="CG34" i="11"/>
  <c r="CF33" i="11"/>
  <c r="CG33" i="11"/>
  <c r="CF32" i="11"/>
  <c r="CG32" i="11"/>
  <c r="CF31" i="11"/>
  <c r="CG31" i="11"/>
  <c r="CF30" i="11"/>
  <c r="CG30" i="11"/>
  <c r="CF29" i="11"/>
  <c r="CG29" i="11"/>
  <c r="CF28" i="11"/>
  <c r="CG28" i="11"/>
  <c r="CF27" i="11"/>
  <c r="CG27" i="11"/>
  <c r="CF26" i="11"/>
  <c r="CG26" i="11"/>
  <c r="CF25" i="11"/>
  <c r="CG25" i="11"/>
  <c r="CF24" i="11"/>
  <c r="CG24" i="11"/>
  <c r="CF23" i="11"/>
  <c r="CG23" i="11"/>
  <c r="CF22" i="11"/>
  <c r="CG22" i="11"/>
  <c r="CF21" i="11"/>
  <c r="CG21" i="11"/>
  <c r="CF20" i="11"/>
  <c r="CG20" i="11"/>
  <c r="CF19" i="11"/>
  <c r="CG19" i="11"/>
  <c r="CF18" i="11"/>
  <c r="CG18" i="11"/>
  <c r="CF17" i="11"/>
  <c r="CG17" i="11"/>
  <c r="CF16" i="11"/>
  <c r="CG16" i="11"/>
  <c r="CF15" i="11"/>
  <c r="CG15" i="11"/>
  <c r="CF14" i="11"/>
  <c r="CG14" i="11"/>
  <c r="CF13" i="11"/>
  <c r="CG13" i="11"/>
  <c r="CF12" i="11"/>
  <c r="CG12" i="11"/>
  <c r="CF11" i="11"/>
  <c r="CG11" i="11"/>
  <c r="CF10" i="11"/>
  <c r="CG10" i="11"/>
  <c r="CF9" i="11"/>
  <c r="CG9" i="11"/>
  <c r="CF8" i="11"/>
  <c r="CG8" i="11"/>
  <c r="CF7" i="11"/>
  <c r="CG7" i="11"/>
  <c r="W336"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V336"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U336"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T336" i="11"/>
  <c r="T338" i="11"/>
  <c r="T339" i="11"/>
  <c r="T340" i="11"/>
  <c r="T341" i="11"/>
  <c r="T342" i="11"/>
  <c r="T343" i="11"/>
  <c r="T344" i="11"/>
  <c r="T345" i="11"/>
  <c r="T346" i="11"/>
  <c r="T347" i="11"/>
  <c r="T348" i="11"/>
  <c r="T349" i="11"/>
  <c r="T350" i="11"/>
  <c r="T351" i="11"/>
  <c r="T352" i="11"/>
  <c r="T353" i="11"/>
  <c r="T354" i="11"/>
  <c r="T355" i="11"/>
  <c r="T356" i="11"/>
  <c r="T357" i="11"/>
  <c r="T358" i="11"/>
  <c r="T359" i="11"/>
  <c r="T360" i="11"/>
  <c r="T361" i="11"/>
  <c r="T362" i="11"/>
  <c r="T363" i="11"/>
  <c r="T364" i="11"/>
  <c r="T365" i="11"/>
  <c r="T366" i="11"/>
  <c r="T367" i="11"/>
  <c r="T368" i="11"/>
  <c r="T369" i="11"/>
  <c r="T370" i="11"/>
  <c r="T371" i="11"/>
  <c r="T372" i="11"/>
  <c r="T373" i="11"/>
  <c r="T374" i="11"/>
  <c r="T375" i="11"/>
  <c r="T376" i="11"/>
  <c r="T377" i="11"/>
  <c r="T378" i="11"/>
  <c r="T379" i="11"/>
  <c r="T380" i="11"/>
  <c r="T381" i="11"/>
  <c r="T382" i="11"/>
  <c r="T383" i="11"/>
  <c r="T384" i="11"/>
  <c r="T385" i="11"/>
  <c r="T386" i="11"/>
  <c r="T387" i="11"/>
  <c r="T388" i="11"/>
  <c r="T389" i="11"/>
  <c r="T390" i="11"/>
  <c r="T391" i="11"/>
  <c r="T392" i="11"/>
  <c r="T393" i="11"/>
  <c r="T394" i="11"/>
  <c r="T395" i="11"/>
  <c r="T396" i="11"/>
  <c r="T397" i="11"/>
  <c r="T398" i="11"/>
  <c r="T399" i="11"/>
  <c r="T400" i="11"/>
  <c r="T401" i="11"/>
  <c r="T402" i="11"/>
  <c r="T403" i="11"/>
  <c r="T404" i="11"/>
  <c r="T405" i="11"/>
  <c r="T406" i="11"/>
  <c r="T407" i="11"/>
  <c r="T408" i="11"/>
  <c r="T409" i="11"/>
  <c r="T410" i="11"/>
  <c r="T411" i="11"/>
  <c r="T412" i="11"/>
  <c r="T413" i="11"/>
  <c r="T414" i="11"/>
  <c r="T415" i="11"/>
  <c r="T416" i="11"/>
  <c r="T417" i="11"/>
  <c r="T418" i="11"/>
  <c r="T419" i="11"/>
  <c r="T420" i="11"/>
  <c r="T421" i="11"/>
  <c r="T422" i="11"/>
  <c r="T423" i="11"/>
  <c r="T424" i="11"/>
  <c r="T425" i="11"/>
  <c r="T426" i="11"/>
  <c r="T427" i="11"/>
  <c r="T428" i="11"/>
  <c r="T429" i="11"/>
  <c r="T430" i="11"/>
  <c r="T431" i="11"/>
  <c r="T432" i="11"/>
  <c r="T433" i="11"/>
  <c r="T434" i="11"/>
  <c r="T435" i="11"/>
  <c r="T436" i="11"/>
  <c r="T437" i="11"/>
  <c r="T438" i="11"/>
  <c r="T439" i="11"/>
  <c r="T440" i="11"/>
  <c r="T441" i="11"/>
  <c r="T442" i="11"/>
  <c r="S336"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Q336" i="11"/>
  <c r="Q338" i="11"/>
  <c r="Q339" i="11"/>
  <c r="Q340" i="11"/>
  <c r="Q341" i="11"/>
  <c r="Q342" i="11"/>
  <c r="Q343" i="11"/>
  <c r="Q344" i="11"/>
  <c r="Q345" i="11"/>
  <c r="Q346" i="11"/>
  <c r="Q347" i="11"/>
  <c r="Q348" i="11"/>
  <c r="Q349" i="11"/>
  <c r="Q350" i="11"/>
  <c r="Q351" i="11"/>
  <c r="Q352" i="11"/>
  <c r="Q353" i="11"/>
  <c r="Q354" i="11"/>
  <c r="Q355" i="11"/>
  <c r="Q356" i="11"/>
  <c r="Q357" i="11"/>
  <c r="Q358" i="11"/>
  <c r="Q359" i="11"/>
  <c r="Q360" i="11"/>
  <c r="Q361" i="11"/>
  <c r="Q362" i="11"/>
  <c r="Q363" i="11"/>
  <c r="Q364" i="11"/>
  <c r="Q365" i="11"/>
  <c r="Q366" i="11"/>
  <c r="Q367" i="11"/>
  <c r="Q368" i="11"/>
  <c r="Q369" i="11"/>
  <c r="Q370" i="11"/>
  <c r="Q371" i="11"/>
  <c r="Q372" i="11"/>
  <c r="Q373" i="11"/>
  <c r="Q374" i="11"/>
  <c r="Q375" i="11"/>
  <c r="Q376" i="11"/>
  <c r="Q377" i="11"/>
  <c r="Q378" i="11"/>
  <c r="Q379" i="11"/>
  <c r="Q380" i="11"/>
  <c r="Q381" i="11"/>
  <c r="Q382" i="11"/>
  <c r="Q383" i="11"/>
  <c r="Q384" i="11"/>
  <c r="Q385" i="11"/>
  <c r="Q386" i="11"/>
  <c r="Q387" i="11"/>
  <c r="Q388" i="11"/>
  <c r="Q389" i="11"/>
  <c r="Q390" i="11"/>
  <c r="Q391" i="11"/>
  <c r="Q392" i="11"/>
  <c r="Q393" i="11"/>
  <c r="Q394" i="11"/>
  <c r="Q395" i="11"/>
  <c r="Q396" i="11"/>
  <c r="Q397" i="11"/>
  <c r="Q398" i="11"/>
  <c r="Q399" i="11"/>
  <c r="Q400" i="11"/>
  <c r="Q401" i="11"/>
  <c r="Q402" i="11"/>
  <c r="Q403" i="11"/>
  <c r="Q404" i="11"/>
  <c r="Q405" i="11"/>
  <c r="Q406" i="11"/>
  <c r="Q407" i="11"/>
  <c r="Q408" i="11"/>
  <c r="Q409" i="11"/>
  <c r="Q410" i="11"/>
  <c r="Q411" i="11"/>
  <c r="Q412" i="11"/>
  <c r="Q413" i="11"/>
  <c r="Q414" i="11"/>
  <c r="Q415" i="11"/>
  <c r="Q416" i="11"/>
  <c r="Q417" i="11"/>
  <c r="Q418" i="11"/>
  <c r="Q419" i="11"/>
  <c r="Q420" i="11"/>
  <c r="Q421" i="11"/>
  <c r="Q422" i="11"/>
  <c r="Q423" i="11"/>
  <c r="Q424" i="11"/>
  <c r="Q425" i="11"/>
  <c r="Q426" i="11"/>
  <c r="Q427" i="11"/>
  <c r="Q428" i="11"/>
  <c r="Q429" i="11"/>
  <c r="Q430" i="11"/>
  <c r="Q431" i="11"/>
  <c r="Q432" i="11"/>
  <c r="Q433" i="11"/>
  <c r="Q434" i="11"/>
  <c r="Q435" i="11"/>
  <c r="Q436" i="11"/>
  <c r="Q437" i="11"/>
  <c r="Q438" i="11"/>
  <c r="Q439" i="11"/>
  <c r="Q440" i="11"/>
  <c r="Q441" i="11"/>
  <c r="Q442" i="11"/>
  <c r="R382" i="11"/>
  <c r="CY19" i="11"/>
  <c r="AH351" i="11"/>
  <c r="CX19" i="11"/>
  <c r="AG351" i="11"/>
  <c r="CW19" i="11"/>
  <c r="AF351" i="11"/>
  <c r="CV19" i="11"/>
  <c r="AE351" i="11"/>
  <c r="CR19" i="11"/>
  <c r="AD351" i="11"/>
  <c r="CQ19" i="11"/>
  <c r="AC351" i="11"/>
  <c r="CP19" i="11"/>
  <c r="AB351" i="11"/>
  <c r="CO19" i="11"/>
  <c r="AA351" i="11"/>
  <c r="CU251" i="11"/>
  <c r="CR251" i="11"/>
  <c r="CQ251" i="11"/>
  <c r="CP251" i="11"/>
  <c r="CO251" i="11"/>
  <c r="CN251" i="11"/>
  <c r="CO250" i="11"/>
  <c r="CN250" i="11"/>
  <c r="CY51" i="11"/>
  <c r="CX51" i="11"/>
  <c r="CW51" i="11"/>
  <c r="CV51" i="11"/>
  <c r="CU51" i="11"/>
  <c r="CR51" i="11"/>
  <c r="CQ51" i="11"/>
  <c r="CP51" i="11"/>
  <c r="CO51" i="11"/>
  <c r="CN51" i="11"/>
  <c r="CP50" i="11"/>
  <c r="CO50" i="11"/>
  <c r="CN50" i="11"/>
  <c r="CI50" i="11"/>
  <c r="CJ50" i="11"/>
  <c r="CK50" i="11"/>
  <c r="CI49" i="11"/>
  <c r="CV48" i="11"/>
  <c r="CO48" i="11"/>
  <c r="CW46" i="11"/>
  <c r="CP46" i="11"/>
  <c r="CX41" i="11"/>
  <c r="CQ41" i="11"/>
  <c r="CY36" i="11"/>
  <c r="CR36" i="11"/>
  <c r="W50" i="2"/>
  <c r="M181" i="3" a="1"/>
  <c r="M181" i="3"/>
  <c r="U181" i="3" a="1"/>
  <c r="U181" i="3"/>
  <c r="V181" i="3" a="1"/>
  <c r="V181" i="3"/>
  <c r="W181" i="3" a="1"/>
  <c r="W181" i="3"/>
  <c r="X181" i="3" a="1"/>
  <c r="X181" i="3"/>
  <c r="Y181" i="3" a="1"/>
  <c r="Y181" i="3"/>
  <c r="U207" i="3" a="1"/>
  <c r="U207" i="3"/>
  <c r="V207" i="3" a="1"/>
  <c r="V207" i="3"/>
  <c r="W207" i="3" a="1"/>
  <c r="W207" i="3"/>
  <c r="X207" i="3" a="1"/>
  <c r="X207" i="3"/>
  <c r="Y207" i="3" a="1"/>
  <c r="Y207" i="3"/>
  <c r="U281" i="3" a="1"/>
  <c r="U281" i="3"/>
  <c r="V281" i="3" a="1"/>
  <c r="V281" i="3"/>
  <c r="W281" i="3" a="1"/>
  <c r="W281" i="3"/>
  <c r="X281" i="3" a="1"/>
  <c r="X281" i="3"/>
  <c r="Y281" i="3" a="1"/>
  <c r="Y281" i="3"/>
  <c r="U307" i="3" a="1"/>
  <c r="U307" i="3"/>
  <c r="V307" i="3" a="1"/>
  <c r="V307" i="3"/>
  <c r="W307" i="3" a="1"/>
  <c r="W307" i="3"/>
  <c r="X307" i="3" a="1"/>
  <c r="X307" i="3"/>
  <c r="Y307" i="3" a="1"/>
  <c r="Y307" i="3"/>
  <c r="CJ49" i="11"/>
  <c r="CY50" i="11"/>
  <c r="CX50" i="11"/>
  <c r="CW50" i="11"/>
  <c r="CV50" i="11"/>
  <c r="CU50" i="11"/>
  <c r="CR50" i="11"/>
  <c r="CQ50" i="11"/>
  <c r="B156" i="11"/>
  <c r="B157" i="11"/>
  <c r="CV248" i="11"/>
  <c r="CO248" i="11"/>
  <c r="CW246" i="11"/>
  <c r="CP246" i="11"/>
  <c r="CX241" i="11"/>
  <c r="CQ241" i="11"/>
  <c r="CY236" i="11"/>
  <c r="CR236" i="11"/>
  <c r="CY250" i="11"/>
  <c r="CX250" i="11"/>
  <c r="CW250" i="11"/>
  <c r="CV250" i="11"/>
  <c r="CU250" i="11"/>
  <c r="CR250" i="11"/>
  <c r="CQ250" i="11"/>
  <c r="CP250" i="11"/>
  <c r="CY251" i="11"/>
  <c r="CX251" i="11"/>
  <c r="CW251" i="11"/>
  <c r="CV251" i="11"/>
  <c r="BZ350" i="10"/>
  <c r="BY350" i="10"/>
  <c r="A351" i="10"/>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CA441" i="10" a="1"/>
  <c r="CA441" i="10"/>
  <c r="BX406" i="10"/>
  <c r="BW441" i="10" a="1"/>
  <c r="BW441" i="10"/>
  <c r="BV441" i="10" a="1"/>
  <c r="BV441" i="10"/>
  <c r="BU441" i="10" a="1"/>
  <c r="BU441" i="10"/>
  <c r="BT441" i="10" a="1"/>
  <c r="BT441" i="10"/>
  <c r="BS441" i="10" a="1"/>
  <c r="BS441" i="10"/>
  <c r="BR441" i="10" a="1"/>
  <c r="BR441" i="10"/>
  <c r="BQ441" i="10" a="1"/>
  <c r="BQ441" i="10"/>
  <c r="BP441" i="10" a="1"/>
  <c r="BP441" i="10"/>
  <c r="BO441" i="10" a="1"/>
  <c r="BO441" i="10"/>
  <c r="BN441" i="10" a="1"/>
  <c r="BN441" i="10"/>
  <c r="BM441" i="10" a="1"/>
  <c r="BM441" i="10"/>
  <c r="BL441" i="10" a="1"/>
  <c r="BL441" i="10"/>
  <c r="BK441" i="10" a="1"/>
  <c r="BK441" i="10"/>
  <c r="BJ441" i="10" a="1"/>
  <c r="BJ441" i="10"/>
  <c r="BI441" i="10" a="1"/>
  <c r="BI441" i="10"/>
  <c r="BH441" i="10" a="1"/>
  <c r="BH441" i="10"/>
  <c r="BG441" i="10" a="1"/>
  <c r="BG441" i="10"/>
  <c r="BF441" i="10" a="1"/>
  <c r="BF441" i="10"/>
  <c r="BE441" i="10" a="1"/>
  <c r="BE441" i="10"/>
  <c r="BD441" i="10" a="1"/>
  <c r="BD441" i="10"/>
  <c r="BC441" i="10" a="1"/>
  <c r="BC441" i="10"/>
  <c r="BB441" i="10" a="1"/>
  <c r="BB441" i="10"/>
  <c r="BA441" i="10" a="1"/>
  <c r="BA441" i="10"/>
  <c r="AZ441" i="10" a="1"/>
  <c r="AZ441" i="10"/>
  <c r="AY441" i="10" a="1"/>
  <c r="AY441" i="10"/>
  <c r="AX441" i="10" a="1"/>
  <c r="AX441" i="10"/>
  <c r="AW441" i="10" a="1"/>
  <c r="AW441" i="10"/>
  <c r="AV441" i="10" a="1"/>
  <c r="AV441" i="10"/>
  <c r="AU441" i="10" a="1"/>
  <c r="AU441" i="10"/>
  <c r="AT441" i="10" a="1"/>
  <c r="AT441" i="10"/>
  <c r="AS441" i="10" a="1"/>
  <c r="AS441" i="10"/>
  <c r="AR441" i="10" a="1"/>
  <c r="AR441" i="10"/>
  <c r="AQ441" i="10" a="1"/>
  <c r="AQ441" i="10"/>
  <c r="CA440" i="10" a="1"/>
  <c r="CA440" i="10"/>
  <c r="BW440" i="10" a="1"/>
  <c r="BW440" i="10"/>
  <c r="BV440" i="10" a="1"/>
  <c r="BV440" i="10"/>
  <c r="BU440" i="10" a="1"/>
  <c r="BU440" i="10"/>
  <c r="BT440" i="10" a="1"/>
  <c r="BT440" i="10"/>
  <c r="BS440" i="10" a="1"/>
  <c r="BS440" i="10"/>
  <c r="BR440" i="10" a="1"/>
  <c r="BR440" i="10"/>
  <c r="BQ440" i="10" a="1"/>
  <c r="BQ440" i="10"/>
  <c r="BP440" i="10" a="1"/>
  <c r="BP440" i="10"/>
  <c r="BO440" i="10" a="1"/>
  <c r="BO440" i="10"/>
  <c r="BN440" i="10" a="1"/>
  <c r="BN440" i="10"/>
  <c r="BM440" i="10" a="1"/>
  <c r="BM440" i="10"/>
  <c r="BL440" i="10" a="1"/>
  <c r="BL440" i="10"/>
  <c r="BK440" i="10" a="1"/>
  <c r="BK440" i="10"/>
  <c r="BJ440" i="10" a="1"/>
  <c r="BJ440" i="10"/>
  <c r="BI440" i="10" a="1"/>
  <c r="BI440" i="10"/>
  <c r="BH440" i="10" a="1"/>
  <c r="BH440" i="10"/>
  <c r="BG440" i="10" a="1"/>
  <c r="BG440" i="10"/>
  <c r="BF440" i="10" a="1"/>
  <c r="BF440" i="10"/>
  <c r="BE440" i="10" a="1"/>
  <c r="BE440" i="10"/>
  <c r="BD440" i="10" a="1"/>
  <c r="BD440" i="10"/>
  <c r="BC440" i="10" a="1"/>
  <c r="BC440" i="10"/>
  <c r="BB440" i="10" a="1"/>
  <c r="BB440" i="10"/>
  <c r="BA440" i="10" a="1"/>
  <c r="BA440" i="10"/>
  <c r="AZ440" i="10" a="1"/>
  <c r="AZ440" i="10"/>
  <c r="AY440" i="10" a="1"/>
  <c r="AY440" i="10"/>
  <c r="AX440" i="10" a="1"/>
  <c r="AX440" i="10"/>
  <c r="AW440" i="10" a="1"/>
  <c r="AW440" i="10"/>
  <c r="AV440" i="10" a="1"/>
  <c r="AV440" i="10"/>
  <c r="AU440" i="10" a="1"/>
  <c r="AU440" i="10"/>
  <c r="AT440" i="10" a="1"/>
  <c r="AT440" i="10"/>
  <c r="AS440" i="10" a="1"/>
  <c r="AS440" i="10"/>
  <c r="AR440" i="10" a="1"/>
  <c r="AR440" i="10"/>
  <c r="AQ440" i="10" a="1"/>
  <c r="AQ440" i="10"/>
  <c r="CA439" i="10" a="1"/>
  <c r="CA439" i="10"/>
  <c r="BW439" i="10" a="1"/>
  <c r="BW439" i="10"/>
  <c r="BV439" i="10" a="1"/>
  <c r="BV439" i="10"/>
  <c r="BU439" i="10" a="1"/>
  <c r="BU439" i="10"/>
  <c r="BT439" i="10" a="1"/>
  <c r="BT439" i="10"/>
  <c r="BS439" i="10" a="1"/>
  <c r="BS439" i="10"/>
  <c r="BR439" i="10" a="1"/>
  <c r="BR439" i="10"/>
  <c r="BQ439" i="10" a="1"/>
  <c r="BQ439" i="10"/>
  <c r="BP439" i="10" a="1"/>
  <c r="BP439" i="10"/>
  <c r="BO439" i="10" a="1"/>
  <c r="BO439" i="10"/>
  <c r="BN439" i="10" a="1"/>
  <c r="BN439" i="10"/>
  <c r="BM439" i="10" a="1"/>
  <c r="BM439" i="10"/>
  <c r="BL439" i="10" a="1"/>
  <c r="BL439" i="10"/>
  <c r="BK439" i="10" a="1"/>
  <c r="BK439" i="10"/>
  <c r="BJ439" i="10" a="1"/>
  <c r="BJ439" i="10"/>
  <c r="BI439" i="10" a="1"/>
  <c r="BI439" i="10"/>
  <c r="BH439" i="10" a="1"/>
  <c r="BH439" i="10"/>
  <c r="BG439" i="10" a="1"/>
  <c r="BG439" i="10"/>
  <c r="BF439" i="10" a="1"/>
  <c r="BF439" i="10"/>
  <c r="BE439" i="10" a="1"/>
  <c r="BE439" i="10"/>
  <c r="BD439" i="10" a="1"/>
  <c r="BD439" i="10"/>
  <c r="BC439" i="10" a="1"/>
  <c r="BC439" i="10"/>
  <c r="BB439" i="10" a="1"/>
  <c r="BB439" i="10"/>
  <c r="BA439" i="10" a="1"/>
  <c r="BA439" i="10"/>
  <c r="AZ439" i="10" a="1"/>
  <c r="AZ439" i="10"/>
  <c r="AY439" i="10" a="1"/>
  <c r="AY439" i="10"/>
  <c r="AX439" i="10" a="1"/>
  <c r="AX439" i="10"/>
  <c r="AW439" i="10" a="1"/>
  <c r="AW439" i="10"/>
  <c r="AV439" i="10" a="1"/>
  <c r="AV439" i="10"/>
  <c r="AU439" i="10" a="1"/>
  <c r="AU439" i="10"/>
  <c r="AT439" i="10" a="1"/>
  <c r="AT439" i="10"/>
  <c r="AS439" i="10" a="1"/>
  <c r="AS439" i="10"/>
  <c r="AR439" i="10" a="1"/>
  <c r="AR439" i="10"/>
  <c r="AQ439" i="10" a="1"/>
  <c r="AQ439" i="10"/>
  <c r="AP439" i="10" a="1"/>
  <c r="AP439" i="10"/>
  <c r="AO439" i="10" a="1"/>
  <c r="AO439" i="10"/>
  <c r="AN439" i="10" a="1"/>
  <c r="AN439" i="10"/>
  <c r="AM439" i="10" a="1"/>
  <c r="AM439" i="10"/>
  <c r="AL439" i="10" a="1"/>
  <c r="AL439" i="10"/>
  <c r="AK439" i="10" a="1"/>
  <c r="AK439" i="10"/>
  <c r="AJ439" i="10" a="1"/>
  <c r="AJ439" i="10"/>
  <c r="AI439" i="10" a="1"/>
  <c r="AI439" i="10"/>
  <c r="AH439" i="10" a="1"/>
  <c r="AH439" i="10"/>
  <c r="AG439" i="10" a="1"/>
  <c r="AG439" i="10"/>
  <c r="AF439" i="10" a="1"/>
  <c r="AF439" i="10"/>
  <c r="AE439" i="10" a="1"/>
  <c r="AE439" i="10"/>
  <c r="AD439" i="10" a="1"/>
  <c r="AD439" i="10"/>
  <c r="AC439" i="10" a="1"/>
  <c r="AC439" i="10"/>
  <c r="AB439" i="10" a="1"/>
  <c r="AB439" i="10"/>
  <c r="AA439" i="10" a="1"/>
  <c r="AA439" i="10"/>
  <c r="Z439" i="10" a="1"/>
  <c r="Z439" i="10"/>
  <c r="Y439" i="10" a="1"/>
  <c r="Y439" i="10"/>
  <c r="X439" i="10" a="1"/>
  <c r="X439" i="10"/>
  <c r="W439" i="10" a="1"/>
  <c r="W439" i="10"/>
  <c r="S439" i="10" a="1"/>
  <c r="S439" i="10"/>
  <c r="R439" i="10" a="1"/>
  <c r="R439" i="10"/>
  <c r="Q439" i="10" a="1"/>
  <c r="Q439" i="10"/>
  <c r="P439" i="10" a="1"/>
  <c r="P439" i="10"/>
  <c r="O439" i="10" a="1"/>
  <c r="O439" i="10"/>
  <c r="N439" i="10" a="1"/>
  <c r="N439" i="10"/>
  <c r="M439" i="10" a="1"/>
  <c r="M439" i="10"/>
  <c r="L439" i="10" a="1"/>
  <c r="L439" i="10"/>
  <c r="K439" i="10" a="1"/>
  <c r="K439" i="10"/>
  <c r="J439" i="10" a="1"/>
  <c r="J439" i="10"/>
  <c r="I439" i="10" a="1"/>
  <c r="I439" i="10"/>
  <c r="H439" i="10" a="1"/>
  <c r="H439" i="10"/>
  <c r="G439" i="10" a="1"/>
  <c r="G439" i="10"/>
  <c r="F439" i="10" a="1"/>
  <c r="F439" i="10"/>
  <c r="E439" i="10" a="1"/>
  <c r="E439" i="10"/>
  <c r="C439" i="10" a="1"/>
  <c r="C439" i="10"/>
  <c r="CA44" i="10"/>
  <c r="CA438" i="10" a="1"/>
  <c r="CA438" i="10"/>
  <c r="BW438" i="10" a="1"/>
  <c r="BW438" i="10"/>
  <c r="BV438" i="10" a="1"/>
  <c r="BV438" i="10"/>
  <c r="BU438" i="10" a="1"/>
  <c r="BU438" i="10"/>
  <c r="BT438" i="10" a="1"/>
  <c r="BT438" i="10"/>
  <c r="BS438" i="10" a="1"/>
  <c r="BS438" i="10"/>
  <c r="BR438" i="10" a="1"/>
  <c r="BR438" i="10"/>
  <c r="BQ438" i="10" a="1"/>
  <c r="BQ438" i="10"/>
  <c r="BP438" i="10" a="1"/>
  <c r="BP438" i="10"/>
  <c r="BO438" i="10" a="1"/>
  <c r="BO438" i="10"/>
  <c r="BN438" i="10" a="1"/>
  <c r="BN438" i="10"/>
  <c r="BM438" i="10" a="1"/>
  <c r="BM438" i="10"/>
  <c r="BL438" i="10" a="1"/>
  <c r="BL438" i="10"/>
  <c r="BK438" i="10" a="1"/>
  <c r="BK438" i="10"/>
  <c r="BJ438" i="10" a="1"/>
  <c r="BJ438" i="10"/>
  <c r="BI438" i="10" a="1"/>
  <c r="BI438" i="10"/>
  <c r="BH438" i="10" a="1"/>
  <c r="BH438" i="10"/>
  <c r="BG438" i="10" a="1"/>
  <c r="BG438" i="10"/>
  <c r="BF438" i="10" a="1"/>
  <c r="BF438" i="10"/>
  <c r="BE438" i="10" a="1"/>
  <c r="BE438" i="10"/>
  <c r="BD438" i="10" a="1"/>
  <c r="BD438" i="10"/>
  <c r="BC438" i="10" a="1"/>
  <c r="BC438" i="10"/>
  <c r="BB438" i="10" a="1"/>
  <c r="BB438" i="10"/>
  <c r="BA438" i="10" a="1"/>
  <c r="BA438" i="10"/>
  <c r="AZ438" i="10" a="1"/>
  <c r="AZ438" i="10"/>
  <c r="AY438" i="10" a="1"/>
  <c r="AY438" i="10"/>
  <c r="AX438" i="10" a="1"/>
  <c r="AX438" i="10"/>
  <c r="AW438" i="10" a="1"/>
  <c r="AW438" i="10"/>
  <c r="AV438" i="10" a="1"/>
  <c r="AV438" i="10"/>
  <c r="AU438" i="10" a="1"/>
  <c r="AU438" i="10"/>
  <c r="AT438" i="10" a="1"/>
  <c r="AT438" i="10"/>
  <c r="AS438" i="10" a="1"/>
  <c r="AS438" i="10"/>
  <c r="AR438" i="10" a="1"/>
  <c r="AR438" i="10"/>
  <c r="AQ438" i="10" a="1"/>
  <c r="AQ438" i="10"/>
  <c r="AP438" i="10" a="1"/>
  <c r="AP438" i="10"/>
  <c r="AO438" i="10" a="1"/>
  <c r="AO438" i="10"/>
  <c r="AN438" i="10" a="1"/>
  <c r="AN438" i="10"/>
  <c r="AM438" i="10" a="1"/>
  <c r="AM438" i="10"/>
  <c r="AL438" i="10" a="1"/>
  <c r="AL438" i="10"/>
  <c r="AK438" i="10" a="1"/>
  <c r="AK438" i="10"/>
  <c r="AJ438" i="10" a="1"/>
  <c r="AJ438" i="10"/>
  <c r="AI438" i="10" a="1"/>
  <c r="AI438" i="10"/>
  <c r="AH438" i="10" a="1"/>
  <c r="AH438" i="10"/>
  <c r="AG438" i="10" a="1"/>
  <c r="AG438" i="10"/>
  <c r="AF438" i="10" a="1"/>
  <c r="AF438" i="10"/>
  <c r="AE438" i="10" a="1"/>
  <c r="AE438" i="10"/>
  <c r="AD438" i="10" a="1"/>
  <c r="AD438" i="10"/>
  <c r="AC438" i="10" a="1"/>
  <c r="AC438" i="10"/>
  <c r="AB438" i="10" a="1"/>
  <c r="AB438" i="10"/>
  <c r="AA438" i="10" a="1"/>
  <c r="AA438" i="10"/>
  <c r="Z438" i="10" a="1"/>
  <c r="Z438" i="10"/>
  <c r="Y438" i="10" a="1"/>
  <c r="Y438" i="10"/>
  <c r="X438" i="10" a="1"/>
  <c r="X438" i="10"/>
  <c r="W438" i="10" a="1"/>
  <c r="W438" i="10"/>
  <c r="S438" i="10" a="1"/>
  <c r="S438" i="10"/>
  <c r="R438" i="10" a="1"/>
  <c r="R438" i="10"/>
  <c r="Q438" i="10" a="1"/>
  <c r="Q438" i="10"/>
  <c r="P438" i="10" a="1"/>
  <c r="P438" i="10"/>
  <c r="O438" i="10" a="1"/>
  <c r="O438" i="10"/>
  <c r="N438" i="10" a="1"/>
  <c r="N438" i="10"/>
  <c r="M438" i="10" a="1"/>
  <c r="M438" i="10"/>
  <c r="L438" i="10" a="1"/>
  <c r="L438" i="10"/>
  <c r="K438" i="10" a="1"/>
  <c r="K438" i="10"/>
  <c r="J438" i="10" a="1"/>
  <c r="J438" i="10"/>
  <c r="I438" i="10" a="1"/>
  <c r="I438" i="10"/>
  <c r="H438" i="10" a="1"/>
  <c r="H438" i="10"/>
  <c r="G438" i="10" a="1"/>
  <c r="G438" i="10"/>
  <c r="F438" i="10" a="1"/>
  <c r="F438" i="10"/>
  <c r="E438" i="10" a="1"/>
  <c r="E438" i="10"/>
  <c r="C438" i="10" a="1"/>
  <c r="C438" i="10"/>
  <c r="CA153" i="10"/>
  <c r="B154"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BY2" i="10"/>
  <c r="BZ2" i="10"/>
  <c r="A170" i="10"/>
  <c r="A171" i="10"/>
  <c r="A172" i="10"/>
  <c r="A173" i="10"/>
  <c r="A174" i="10"/>
  <c r="A175" i="10"/>
  <c r="A176" i="10"/>
  <c r="A177" i="10"/>
  <c r="A178" i="10"/>
  <c r="A179" i="10"/>
  <c r="A180" i="10"/>
  <c r="A181" i="10"/>
  <c r="A182"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C406" i="10"/>
  <c r="CC423" i="10"/>
  <c r="D406" i="10"/>
  <c r="E406" i="10"/>
  <c r="F406" i="10"/>
  <c r="G406" i="10"/>
  <c r="H406" i="10"/>
  <c r="I406" i="10"/>
  <c r="J406" i="10"/>
  <c r="K406" i="10"/>
  <c r="L406" i="10"/>
  <c r="M406" i="10"/>
  <c r="N406" i="10"/>
  <c r="O406" i="10"/>
  <c r="P406" i="10"/>
  <c r="Q406" i="10"/>
  <c r="R406" i="10"/>
  <c r="S406" i="10"/>
  <c r="T406" i="10"/>
  <c r="U406" i="10"/>
  <c r="V406" i="10"/>
  <c r="W406" i="10"/>
  <c r="X406" i="10"/>
  <c r="Y406" i="10"/>
  <c r="Z406" i="10"/>
  <c r="AA406" i="10"/>
  <c r="AB406" i="10"/>
  <c r="AC406" i="10"/>
  <c r="AD406" i="10"/>
  <c r="AE406" i="10"/>
  <c r="AF406" i="10"/>
  <c r="AG406" i="10"/>
  <c r="AH406" i="10"/>
  <c r="AI406" i="10"/>
  <c r="AJ406" i="10"/>
  <c r="AK406" i="10"/>
  <c r="AL406" i="10"/>
  <c r="AM406" i="10"/>
  <c r="AN406" i="10"/>
  <c r="AO406" i="10"/>
  <c r="AP406" i="10"/>
  <c r="AQ406" i="10"/>
  <c r="AQ423" i="10" a="1"/>
  <c r="AQ423" i="10"/>
  <c r="AR406" i="10"/>
  <c r="AR423" i="10" a="1"/>
  <c r="AR423" i="10"/>
  <c r="AS406" i="10"/>
  <c r="AS423" i="10" a="1"/>
  <c r="AS423" i="10"/>
  <c r="AT406" i="10"/>
  <c r="AT423" i="10" a="1"/>
  <c r="AT423" i="10"/>
  <c r="AU406" i="10"/>
  <c r="AU423" i="10" a="1"/>
  <c r="AU423" i="10"/>
  <c r="AV406" i="10"/>
  <c r="AV423" i="10" a="1"/>
  <c r="AV423" i="10"/>
  <c r="AW406" i="10"/>
  <c r="AW423" i="10" a="1"/>
  <c r="AW423" i="10"/>
  <c r="AX406" i="10"/>
  <c r="AX423" i="10" a="1"/>
  <c r="AX423" i="10"/>
  <c r="AY406" i="10"/>
  <c r="AY423" i="10" a="1"/>
  <c r="AY423" i="10"/>
  <c r="AZ406" i="10"/>
  <c r="AZ423" i="10" a="1"/>
  <c r="AZ423" i="10"/>
  <c r="BA406" i="10"/>
  <c r="BA423" i="10" a="1"/>
  <c r="BA423" i="10"/>
  <c r="BB406" i="10"/>
  <c r="BB423" i="10" a="1"/>
  <c r="BB423" i="10"/>
  <c r="BC406" i="10"/>
  <c r="BC423" i="10" a="1"/>
  <c r="BC423" i="10"/>
  <c r="BD406" i="10"/>
  <c r="BD423" i="10" a="1"/>
  <c r="BD423" i="10"/>
  <c r="BE406" i="10"/>
  <c r="BE423" i="10" a="1"/>
  <c r="BE423" i="10"/>
  <c r="BF406" i="10"/>
  <c r="BF423" i="10" a="1"/>
  <c r="BF423" i="10"/>
  <c r="BG406" i="10"/>
  <c r="BG423" i="10" a="1"/>
  <c r="BG423" i="10"/>
  <c r="BH406" i="10"/>
  <c r="BH423" i="10" a="1"/>
  <c r="BH423" i="10"/>
  <c r="BI406" i="10"/>
  <c r="BI423" i="10" a="1"/>
  <c r="BI423" i="10"/>
  <c r="BJ406" i="10"/>
  <c r="BJ423" i="10" a="1"/>
  <c r="BJ423" i="10"/>
  <c r="BK406" i="10"/>
  <c r="BK423" i="10" a="1"/>
  <c r="BK423" i="10"/>
  <c r="BL406" i="10"/>
  <c r="BL423" i="10" a="1"/>
  <c r="BL423" i="10"/>
  <c r="BM406" i="10"/>
  <c r="BM423" i="10" a="1"/>
  <c r="BM423" i="10"/>
  <c r="BN406" i="10"/>
  <c r="BN423" i="10" a="1"/>
  <c r="BN423" i="10"/>
  <c r="BO406" i="10"/>
  <c r="BO423" i="10" a="1"/>
  <c r="BO423" i="10"/>
  <c r="BP406" i="10"/>
  <c r="BP423" i="10" a="1"/>
  <c r="BP423" i="10"/>
  <c r="BQ406" i="10"/>
  <c r="BQ423" i="10" a="1"/>
  <c r="BQ423" i="10"/>
  <c r="BR406" i="10"/>
  <c r="BR423" i="10" a="1"/>
  <c r="BR423" i="10"/>
  <c r="BS406" i="10"/>
  <c r="BS423" i="10" a="1"/>
  <c r="BS423" i="10"/>
  <c r="BT406" i="10"/>
  <c r="BT423" i="10" a="1"/>
  <c r="BT423" i="10"/>
  <c r="BU406" i="10"/>
  <c r="BU423" i="10" a="1"/>
  <c r="BU423" i="10"/>
  <c r="BV406" i="10"/>
  <c r="BV423" i="10" a="1"/>
  <c r="BV423" i="10"/>
  <c r="BW406" i="10"/>
  <c r="BW423" i="10" a="1"/>
  <c r="BW423" i="10"/>
  <c r="BY406" i="10"/>
  <c r="BZ406" i="10"/>
  <c r="CC424" i="10"/>
  <c r="AQ424" i="10" a="1"/>
  <c r="AQ424" i="10"/>
  <c r="AR424" i="10" a="1"/>
  <c r="AR424" i="10"/>
  <c r="AS424" i="10" a="1"/>
  <c r="AS424" i="10"/>
  <c r="AT424" i="10" a="1"/>
  <c r="AT424" i="10"/>
  <c r="AU424" i="10" a="1"/>
  <c r="AU424" i="10"/>
  <c r="AV424" i="10" a="1"/>
  <c r="AV424" i="10"/>
  <c r="AW424" i="10" a="1"/>
  <c r="AW424" i="10"/>
  <c r="AX424" i="10" a="1"/>
  <c r="AX424" i="10"/>
  <c r="AY424" i="10" a="1"/>
  <c r="AY424" i="10"/>
  <c r="AZ424" i="10" a="1"/>
  <c r="AZ424" i="10"/>
  <c r="BA424" i="10" a="1"/>
  <c r="BA424" i="10"/>
  <c r="BB424" i="10" a="1"/>
  <c r="BB424" i="10"/>
  <c r="BC424" i="10" a="1"/>
  <c r="BC424" i="10"/>
  <c r="BD424" i="10" a="1"/>
  <c r="BD424" i="10"/>
  <c r="BE424" i="10" a="1"/>
  <c r="BE424" i="10"/>
  <c r="BF424" i="10" a="1"/>
  <c r="BF424" i="10"/>
  <c r="BG424" i="10" a="1"/>
  <c r="BG424" i="10"/>
  <c r="BH424" i="10" a="1"/>
  <c r="BH424" i="10"/>
  <c r="BI424" i="10" a="1"/>
  <c r="BI424" i="10"/>
  <c r="BJ424" i="10" a="1"/>
  <c r="BJ424" i="10"/>
  <c r="BK424" i="10" a="1"/>
  <c r="BK424" i="10"/>
  <c r="BL424" i="10" a="1"/>
  <c r="BL424" i="10"/>
  <c r="BM424" i="10" a="1"/>
  <c r="BM424" i="10"/>
  <c r="BN424" i="10" a="1"/>
  <c r="BN424" i="10"/>
  <c r="BO424" i="10" a="1"/>
  <c r="BO424" i="10"/>
  <c r="BP424" i="10" a="1"/>
  <c r="BP424" i="10"/>
  <c r="BQ424" i="10" a="1"/>
  <c r="BQ424" i="10"/>
  <c r="BR424" i="10" a="1"/>
  <c r="BR424" i="10"/>
  <c r="BS424" i="10" a="1"/>
  <c r="BS424" i="10"/>
  <c r="BT424" i="10" a="1"/>
  <c r="BT424" i="10"/>
  <c r="BU424" i="10" a="1"/>
  <c r="BU424" i="10"/>
  <c r="BV424" i="10" a="1"/>
  <c r="BV424" i="10"/>
  <c r="BW424" i="10" a="1"/>
  <c r="BW424" i="10"/>
  <c r="CC425" i="10"/>
  <c r="AQ425" i="10" a="1"/>
  <c r="AQ425" i="10"/>
  <c r="AR425" i="10" a="1"/>
  <c r="AR425" i="10"/>
  <c r="AS425" i="10" a="1"/>
  <c r="AS425" i="10"/>
  <c r="AT425" i="10" a="1"/>
  <c r="AT425" i="10"/>
  <c r="AU425" i="10" a="1"/>
  <c r="AU425" i="10"/>
  <c r="AV425" i="10" a="1"/>
  <c r="AV425" i="10"/>
  <c r="AW425" i="10" a="1"/>
  <c r="AW425" i="10"/>
  <c r="AX425" i="10" a="1"/>
  <c r="AX425" i="10"/>
  <c r="AY425" i="10" a="1"/>
  <c r="AY425" i="10"/>
  <c r="AZ425" i="10" a="1"/>
  <c r="AZ425" i="10"/>
  <c r="BA425" i="10" a="1"/>
  <c r="BA425" i="10"/>
  <c r="BB425" i="10" a="1"/>
  <c r="BB425" i="10"/>
  <c r="BC425" i="10" a="1"/>
  <c r="BC425" i="10"/>
  <c r="BD425" i="10" a="1"/>
  <c r="BD425" i="10"/>
  <c r="BE425" i="10" a="1"/>
  <c r="BE425" i="10"/>
  <c r="BF425" i="10" a="1"/>
  <c r="BF425" i="10"/>
  <c r="BG425" i="10" a="1"/>
  <c r="BG425" i="10"/>
  <c r="BH425" i="10" a="1"/>
  <c r="BH425" i="10"/>
  <c r="BI425" i="10" a="1"/>
  <c r="BI425" i="10"/>
  <c r="BJ425" i="10" a="1"/>
  <c r="BJ425" i="10"/>
  <c r="BK425" i="10" a="1"/>
  <c r="BK425" i="10"/>
  <c r="BL425" i="10" a="1"/>
  <c r="BL425" i="10"/>
  <c r="BM425" i="10" a="1"/>
  <c r="BM425" i="10"/>
  <c r="BN425" i="10" a="1"/>
  <c r="BN425" i="10"/>
  <c r="BO425" i="10" a="1"/>
  <c r="BO425" i="10"/>
  <c r="BP425" i="10" a="1"/>
  <c r="BP425" i="10"/>
  <c r="BQ425" i="10" a="1"/>
  <c r="BQ425" i="10"/>
  <c r="BR425" i="10" a="1"/>
  <c r="BR425" i="10"/>
  <c r="BS425" i="10" a="1"/>
  <c r="BS425" i="10"/>
  <c r="BT425" i="10" a="1"/>
  <c r="BT425" i="10"/>
  <c r="BU425" i="10" a="1"/>
  <c r="BU425" i="10"/>
  <c r="BV425" i="10" a="1"/>
  <c r="BV425" i="10"/>
  <c r="BW425" i="10" a="1"/>
  <c r="BW425" i="10"/>
  <c r="CC426" i="10"/>
  <c r="AQ426" i="10" a="1"/>
  <c r="AQ426" i="10"/>
  <c r="AR426" i="10" a="1"/>
  <c r="AR426" i="10"/>
  <c r="AS426" i="10" a="1"/>
  <c r="AS426" i="10"/>
  <c r="AT426" i="10" a="1"/>
  <c r="AT426" i="10"/>
  <c r="AU426" i="10" a="1"/>
  <c r="AU426" i="10"/>
  <c r="AV426" i="10" a="1"/>
  <c r="AV426" i="10"/>
  <c r="AW426" i="10" a="1"/>
  <c r="AW426" i="10"/>
  <c r="AX426" i="10" a="1"/>
  <c r="AX426" i="10"/>
  <c r="AY426" i="10" a="1"/>
  <c r="AY426" i="10"/>
  <c r="AZ426" i="10" a="1"/>
  <c r="AZ426" i="10"/>
  <c r="BA426" i="10" a="1"/>
  <c r="BA426" i="10"/>
  <c r="BB426" i="10" a="1"/>
  <c r="BB426" i="10"/>
  <c r="BC426" i="10" a="1"/>
  <c r="BC426" i="10"/>
  <c r="BD426" i="10" a="1"/>
  <c r="BD426" i="10"/>
  <c r="BE426" i="10" a="1"/>
  <c r="BE426" i="10"/>
  <c r="BF426" i="10" a="1"/>
  <c r="BF426" i="10"/>
  <c r="BG426" i="10" a="1"/>
  <c r="BG426" i="10"/>
  <c r="BH426" i="10" a="1"/>
  <c r="BH426" i="10"/>
  <c r="BI426" i="10" a="1"/>
  <c r="BI426" i="10"/>
  <c r="BJ426" i="10" a="1"/>
  <c r="BJ426" i="10"/>
  <c r="BK426" i="10" a="1"/>
  <c r="BK426" i="10"/>
  <c r="BL426" i="10" a="1"/>
  <c r="BL426" i="10"/>
  <c r="BM426" i="10" a="1"/>
  <c r="BM426" i="10"/>
  <c r="BN426" i="10" a="1"/>
  <c r="BN426" i="10"/>
  <c r="BO426" i="10" a="1"/>
  <c r="BO426" i="10"/>
  <c r="BP426" i="10" a="1"/>
  <c r="BP426" i="10"/>
  <c r="BQ426" i="10" a="1"/>
  <c r="BQ426" i="10"/>
  <c r="BR426" i="10" a="1"/>
  <c r="BR426" i="10"/>
  <c r="BS426" i="10" a="1"/>
  <c r="BS426" i="10"/>
  <c r="BT426" i="10" a="1"/>
  <c r="BT426" i="10"/>
  <c r="BU426" i="10" a="1"/>
  <c r="BU426" i="10"/>
  <c r="BV426" i="10" a="1"/>
  <c r="BV426" i="10"/>
  <c r="BW426" i="10" a="1"/>
  <c r="BW426" i="10"/>
  <c r="B406" i="10"/>
  <c r="A424" i="10"/>
  <c r="A425" i="10"/>
  <c r="A426" i="10"/>
  <c r="A423" i="10"/>
  <c r="AR46" i="7"/>
  <c r="AS46" i="7"/>
  <c r="AT46" i="7"/>
  <c r="AU46" i="7"/>
  <c r="AV46" i="7"/>
  <c r="AW46" i="7"/>
  <c r="AQ46" i="7"/>
  <c r="AR45" i="7"/>
  <c r="AS45" i="7"/>
  <c r="AT45" i="7"/>
  <c r="AU45" i="7"/>
  <c r="AV45" i="7"/>
  <c r="AW45" i="7"/>
  <c r="AQ45" i="7"/>
  <c r="M179" i="3" a="1"/>
  <c r="M179" i="3"/>
  <c r="M180" i="3" a="1"/>
  <c r="M180" i="3"/>
  <c r="H335" i="11"/>
  <c r="BZ1" i="11"/>
  <c r="H334" i="11"/>
  <c r="G335" i="11"/>
  <c r="BY1" i="11"/>
  <c r="G334" i="11"/>
  <c r="F335" i="11"/>
  <c r="BX1" i="11"/>
  <c r="F334" i="11"/>
  <c r="E335" i="11"/>
  <c r="U1" i="11"/>
  <c r="E334" i="11"/>
  <c r="D335" i="11"/>
  <c r="T1" i="11"/>
  <c r="D334" i="11"/>
  <c r="C335" i="11"/>
  <c r="D1" i="11"/>
  <c r="C334" i="11"/>
  <c r="N283" i="10"/>
  <c r="N284" i="10"/>
  <c r="N285" i="10"/>
  <c r="N286" i="10"/>
  <c r="N287" i="10"/>
  <c r="N288" i="10"/>
  <c r="N289" i="10"/>
  <c r="N290" i="10"/>
  <c r="N291" i="10"/>
  <c r="N292" i="10"/>
  <c r="N293" i="10"/>
  <c r="N294" i="10"/>
  <c r="V90" i="3"/>
  <c r="W90" i="3"/>
  <c r="X90" i="3"/>
  <c r="Y90" i="3"/>
  <c r="U90" i="3"/>
  <c r="CI8" i="11"/>
  <c r="CI9" i="11"/>
  <c r="CI10" i="11"/>
  <c r="CI11" i="11"/>
  <c r="CI12" i="11"/>
  <c r="CI13" i="11"/>
  <c r="CI14" i="11"/>
  <c r="CI15" i="11"/>
  <c r="CI16" i="11"/>
  <c r="CI17" i="11"/>
  <c r="CI18" i="11"/>
  <c r="CI19" i="11"/>
  <c r="CI20" i="11"/>
  <c r="CI21" i="11"/>
  <c r="CI22" i="11"/>
  <c r="CI23" i="11"/>
  <c r="CI24" i="11"/>
  <c r="CI25" i="11"/>
  <c r="CI26" i="11"/>
  <c r="CI27" i="11"/>
  <c r="CI28" i="11"/>
  <c r="CI29" i="11"/>
  <c r="CI30" i="11"/>
  <c r="CI31" i="11"/>
  <c r="CI32" i="11"/>
  <c r="CI33" i="11"/>
  <c r="CI34" i="11"/>
  <c r="CI35" i="11"/>
  <c r="CI36" i="11"/>
  <c r="CI37" i="11"/>
  <c r="CI38" i="11"/>
  <c r="CI39" i="11"/>
  <c r="CI40" i="11"/>
  <c r="CI41" i="11"/>
  <c r="CI42" i="11"/>
  <c r="CI43" i="11"/>
  <c r="CI44" i="11"/>
  <c r="CI45" i="11"/>
  <c r="CI46" i="11"/>
  <c r="CI47" i="11"/>
  <c r="CI48" i="11"/>
  <c r="CI153" i="11"/>
  <c r="CI7" i="11"/>
  <c r="CI2" i="11"/>
  <c r="K1" i="11"/>
  <c r="K491" i="11"/>
  <c r="K492" i="11"/>
  <c r="I1" i="11"/>
  <c r="I491" i="11"/>
  <c r="J1" i="11"/>
  <c r="J491" i="11"/>
  <c r="I492" i="11"/>
  <c r="J492" i="11"/>
  <c r="H492" i="11"/>
  <c r="H1" i="11"/>
  <c r="H491" i="11"/>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1" i="10"/>
  <c r="V252" i="10"/>
  <c r="V253" i="10"/>
  <c r="V254" i="10"/>
  <c r="V255" i="10"/>
  <c r="V256" i="10"/>
  <c r="V257" i="10"/>
  <c r="V258" i="10"/>
  <c r="V259" i="10"/>
  <c r="V260" i="10"/>
  <c r="V261" i="10"/>
  <c r="V262" i="10"/>
  <c r="V263" i="10"/>
  <c r="V264" i="10"/>
  <c r="V265" i="10"/>
  <c r="V266" i="10"/>
  <c r="V267" i="10"/>
  <c r="V268" i="10"/>
  <c r="V269" i="10"/>
  <c r="V169" i="10"/>
  <c r="B170" i="10"/>
  <c r="D170" i="10"/>
  <c r="B171" i="10"/>
  <c r="D171" i="10"/>
  <c r="B173" i="10"/>
  <c r="D173" i="10"/>
  <c r="B174" i="10"/>
  <c r="D174" i="10"/>
  <c r="B175" i="10"/>
  <c r="D175" i="10"/>
  <c r="B176" i="10"/>
  <c r="D176" i="10"/>
  <c r="B177" i="10"/>
  <c r="D177" i="10"/>
  <c r="B178" i="10"/>
  <c r="D178" i="10"/>
  <c r="B179" i="10"/>
  <c r="D179" i="10"/>
  <c r="B180" i="10"/>
  <c r="D180" i="10"/>
  <c r="B181" i="10"/>
  <c r="D181" i="10"/>
  <c r="B182" i="10"/>
  <c r="D182" i="10"/>
  <c r="B183" i="10"/>
  <c r="D183" i="10"/>
  <c r="B184" i="10"/>
  <c r="D184" i="10"/>
  <c r="B185" i="10"/>
  <c r="D185" i="10"/>
  <c r="B186" i="10"/>
  <c r="D186" i="10"/>
  <c r="B187" i="10"/>
  <c r="D187" i="10"/>
  <c r="B188" i="10"/>
  <c r="D188" i="10"/>
  <c r="B189" i="10"/>
  <c r="D189" i="10"/>
  <c r="B190" i="10"/>
  <c r="D190" i="10"/>
  <c r="B191" i="10"/>
  <c r="D191" i="10"/>
  <c r="B192" i="10"/>
  <c r="D192" i="10"/>
  <c r="B193" i="10"/>
  <c r="D193" i="10"/>
  <c r="B194" i="10"/>
  <c r="D194" i="10"/>
  <c r="B195" i="10"/>
  <c r="D195" i="10"/>
  <c r="B196" i="10"/>
  <c r="D196" i="10"/>
  <c r="B197" i="10"/>
  <c r="D197" i="10"/>
  <c r="B198" i="10"/>
  <c r="D198" i="10"/>
  <c r="B200" i="10"/>
  <c r="D200" i="10"/>
  <c r="B201" i="10"/>
  <c r="D201" i="10"/>
  <c r="B202" i="10"/>
  <c r="D202" i="10"/>
  <c r="B203" i="10"/>
  <c r="D203" i="10"/>
  <c r="B204" i="10"/>
  <c r="D204" i="10"/>
  <c r="B205" i="10"/>
  <c r="D205" i="10"/>
  <c r="B206" i="10"/>
  <c r="D206" i="10"/>
  <c r="B207" i="10"/>
  <c r="D207" i="10"/>
  <c r="B208" i="10"/>
  <c r="D208" i="10"/>
  <c r="B210" i="10"/>
  <c r="D210" i="10"/>
  <c r="B211" i="10"/>
  <c r="D211" i="10"/>
  <c r="B212" i="10"/>
  <c r="D212" i="10"/>
  <c r="B213" i="10"/>
  <c r="D213" i="10"/>
  <c r="B214" i="10"/>
  <c r="D214" i="10"/>
  <c r="B216" i="10"/>
  <c r="D216" i="10"/>
  <c r="B217" i="10"/>
  <c r="D217" i="10"/>
  <c r="B218" i="10"/>
  <c r="D218" i="10"/>
  <c r="B220" i="10"/>
  <c r="D220" i="10"/>
  <c r="B221" i="10"/>
  <c r="D221" i="10"/>
  <c r="B222" i="10"/>
  <c r="D222" i="10"/>
  <c r="B223" i="10"/>
  <c r="D223" i="10"/>
  <c r="B224" i="10"/>
  <c r="D224" i="10"/>
  <c r="B225" i="10"/>
  <c r="D225" i="10"/>
  <c r="B226" i="10"/>
  <c r="D226" i="10"/>
  <c r="B227" i="10"/>
  <c r="D227" i="10"/>
  <c r="B229" i="10"/>
  <c r="D229" i="10"/>
  <c r="B230" i="10"/>
  <c r="D230" i="10"/>
  <c r="B231" i="10"/>
  <c r="D231" i="10"/>
  <c r="B232" i="10"/>
  <c r="D232" i="10"/>
  <c r="B233" i="10"/>
  <c r="D233" i="10"/>
  <c r="B234" i="10"/>
  <c r="D234" i="10"/>
  <c r="B236" i="10"/>
  <c r="D236" i="10"/>
  <c r="B237" i="10"/>
  <c r="D237" i="10"/>
  <c r="B238" i="10"/>
  <c r="D238" i="10"/>
  <c r="B239" i="10"/>
  <c r="D239" i="10"/>
  <c r="B241" i="10"/>
  <c r="D241" i="10"/>
  <c r="B243" i="10"/>
  <c r="D243" i="10"/>
  <c r="B244" i="10"/>
  <c r="D244" i="10"/>
  <c r="B245" i="10"/>
  <c r="D245" i="10"/>
  <c r="B246" i="10"/>
  <c r="D246" i="10"/>
  <c r="B247" i="10"/>
  <c r="D247" i="10"/>
  <c r="B248" i="10"/>
  <c r="D248" i="10"/>
  <c r="B249" i="10"/>
  <c r="D249" i="10"/>
  <c r="B252" i="10"/>
  <c r="D252" i="10"/>
  <c r="B254" i="10"/>
  <c r="D254" i="10"/>
  <c r="B256" i="10"/>
  <c r="D256" i="10"/>
  <c r="B257" i="10"/>
  <c r="D257" i="10"/>
  <c r="B258" i="10"/>
  <c r="D258" i="10"/>
  <c r="B259" i="10"/>
  <c r="D259" i="10"/>
  <c r="B260" i="10"/>
  <c r="D260" i="10"/>
  <c r="B261" i="10"/>
  <c r="D261" i="10"/>
  <c r="B262" i="10"/>
  <c r="D262" i="10"/>
  <c r="B263" i="10"/>
  <c r="D263" i="10"/>
  <c r="B264" i="10"/>
  <c r="D264" i="10"/>
  <c r="B265" i="10"/>
  <c r="D265" i="10"/>
  <c r="B266" i="10"/>
  <c r="D266" i="10"/>
  <c r="B267" i="10"/>
  <c r="D267" i="10"/>
  <c r="B269" i="10"/>
  <c r="D269" i="10"/>
  <c r="D169" i="10"/>
  <c r="B169" i="10"/>
  <c r="N282" i="10"/>
  <c r="N281" i="10"/>
  <c r="N280" i="10"/>
  <c r="N279" i="10"/>
  <c r="N278" i="10"/>
  <c r="N277" i="10"/>
  <c r="N276" i="10"/>
  <c r="N274" i="10"/>
  <c r="N273" i="10"/>
  <c r="N272" i="10"/>
  <c r="N271" i="10"/>
  <c r="T5" i="3" a="1"/>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L85" i="3"/>
  <c r="M85" i="3"/>
  <c r="N85" i="3"/>
  <c r="O85" i="3"/>
  <c r="P85" i="3"/>
  <c r="U82" i="3"/>
  <c r="U83" i="3"/>
  <c r="V83" i="3"/>
  <c r="W83" i="3"/>
  <c r="X83" i="3"/>
  <c r="Y83" i="3"/>
  <c r="BZ167" i="10"/>
  <c r="BZ168" i="10"/>
  <c r="BZ153" i="11"/>
  <c r="BZ159" i="11"/>
  <c r="BZ160" i="11"/>
  <c r="BZ165" i="11"/>
  <c r="BZ166" i="11"/>
  <c r="BZ167" i="11"/>
  <c r="BZ316" i="11"/>
  <c r="AF1" i="11"/>
  <c r="AG1" i="11"/>
  <c r="AH1" i="11"/>
  <c r="AI1" i="11"/>
  <c r="AJ1" i="11"/>
  <c r="AK1" i="11"/>
  <c r="AL1" i="11"/>
  <c r="AM1" i="11"/>
  <c r="AN1" i="11"/>
  <c r="AO1" i="11"/>
  <c r="AP1" i="11"/>
  <c r="AQ1" i="11"/>
  <c r="AR1" i="11"/>
  <c r="AS1" i="11"/>
  <c r="AT1" i="11"/>
  <c r="AU1" i="11"/>
  <c r="AV1" i="11"/>
  <c r="AW1" i="11"/>
  <c r="AX1" i="11"/>
  <c r="AY1" i="11"/>
  <c r="AZ1" i="11"/>
  <c r="BA1" i="11"/>
  <c r="BB1" i="11"/>
  <c r="BC1" i="11"/>
  <c r="BD1" i="11"/>
  <c r="BE1" i="11"/>
  <c r="BF1" i="11"/>
  <c r="BG1" i="11"/>
  <c r="BH1" i="11"/>
  <c r="BI1" i="11"/>
  <c r="BJ1" i="11"/>
  <c r="BK1" i="11"/>
  <c r="BL1" i="11"/>
  <c r="BM1" i="11"/>
  <c r="BN1" i="11"/>
  <c r="BO1" i="11"/>
  <c r="BP1" i="11"/>
  <c r="BQ1" i="11"/>
  <c r="BR1" i="11"/>
  <c r="BS1" i="11"/>
  <c r="BT1" i="11"/>
  <c r="BU1" i="11"/>
  <c r="BV1" i="11"/>
  <c r="BW1" i="11"/>
  <c r="AF153" i="11"/>
  <c r="AG153" i="11"/>
  <c r="AH153" i="11"/>
  <c r="AI153" i="11"/>
  <c r="AJ153" i="11"/>
  <c r="AK153" i="11"/>
  <c r="AL153" i="11"/>
  <c r="AM153" i="11"/>
  <c r="AN153" i="11"/>
  <c r="AO153" i="11"/>
  <c r="AP153" i="11"/>
  <c r="AQ153" i="11"/>
  <c r="AR153" i="11"/>
  <c r="AS153" i="11"/>
  <c r="AT153" i="11"/>
  <c r="AU153" i="11"/>
  <c r="AV153" i="11"/>
  <c r="AW153" i="11"/>
  <c r="AX153" i="11"/>
  <c r="AY153" i="11"/>
  <c r="AZ153" i="11"/>
  <c r="BA153" i="11"/>
  <c r="BB153" i="11"/>
  <c r="BC153" i="11"/>
  <c r="BD153" i="11"/>
  <c r="BE153" i="11"/>
  <c r="BF153" i="11"/>
  <c r="BG153" i="11"/>
  <c r="BH153" i="11"/>
  <c r="BI153" i="11"/>
  <c r="BJ153" i="11"/>
  <c r="BK153" i="11"/>
  <c r="BL153" i="11"/>
  <c r="BM153" i="11"/>
  <c r="BN153" i="11"/>
  <c r="BO153" i="11"/>
  <c r="BP153" i="11"/>
  <c r="BQ153" i="11"/>
  <c r="BR153" i="11"/>
  <c r="BS153" i="11"/>
  <c r="BT153" i="11"/>
  <c r="BU153" i="11"/>
  <c r="BV153" i="11"/>
  <c r="BW153" i="11"/>
  <c r="BX153" i="11"/>
  <c r="BY153" i="11"/>
  <c r="AF159" i="11"/>
  <c r="AG159" i="11"/>
  <c r="AH159" i="11"/>
  <c r="AI159" i="11"/>
  <c r="AJ159" i="11"/>
  <c r="AK159" i="11"/>
  <c r="AL159" i="11"/>
  <c r="AM159" i="11"/>
  <c r="AN159" i="11"/>
  <c r="AO159" i="11"/>
  <c r="AP159" i="11"/>
  <c r="AQ159" i="11"/>
  <c r="AR159" i="11"/>
  <c r="AS159" i="11"/>
  <c r="AT159" i="11"/>
  <c r="AU159" i="11"/>
  <c r="AV159" i="11"/>
  <c r="AW159" i="11"/>
  <c r="AX159" i="11"/>
  <c r="AY159" i="11"/>
  <c r="AZ159" i="11"/>
  <c r="BA159" i="11"/>
  <c r="BB159" i="11"/>
  <c r="BC159" i="11"/>
  <c r="BD159" i="11"/>
  <c r="BE159" i="11"/>
  <c r="BF159" i="11"/>
  <c r="BG159" i="11"/>
  <c r="BH159" i="11"/>
  <c r="BI159" i="11"/>
  <c r="BJ159" i="11"/>
  <c r="BK159" i="11"/>
  <c r="BL159" i="11"/>
  <c r="BM159" i="11"/>
  <c r="BN159" i="11"/>
  <c r="BO159" i="11"/>
  <c r="BP159" i="11"/>
  <c r="BQ159" i="11"/>
  <c r="BR159" i="11"/>
  <c r="BS159" i="11"/>
  <c r="BT159" i="11"/>
  <c r="BU159" i="11"/>
  <c r="BV159" i="11"/>
  <c r="BW159" i="11"/>
  <c r="BX159" i="11"/>
  <c r="BY159" i="11"/>
  <c r="AF160" i="11"/>
  <c r="AG160" i="11"/>
  <c r="AH160" i="11"/>
  <c r="AI160" i="11"/>
  <c r="AJ160" i="11"/>
  <c r="AK160" i="11"/>
  <c r="AL160" i="11"/>
  <c r="AM160" i="11"/>
  <c r="AN160" i="11"/>
  <c r="AO160" i="11"/>
  <c r="AP160" i="11"/>
  <c r="AQ160" i="11"/>
  <c r="AR160" i="11"/>
  <c r="AS160" i="11"/>
  <c r="AT160" i="11"/>
  <c r="AU160" i="11"/>
  <c r="AV160" i="11"/>
  <c r="AW160" i="11"/>
  <c r="AX160" i="11"/>
  <c r="AY160" i="11"/>
  <c r="AZ160" i="11"/>
  <c r="BA160" i="11"/>
  <c r="BB160" i="11"/>
  <c r="BC160" i="11"/>
  <c r="BD160" i="11"/>
  <c r="BE160" i="11"/>
  <c r="BF160" i="11"/>
  <c r="BG160" i="11"/>
  <c r="BH160" i="11"/>
  <c r="BI160" i="11"/>
  <c r="BJ160" i="11"/>
  <c r="BK160" i="11"/>
  <c r="BL160" i="11"/>
  <c r="BM160" i="11"/>
  <c r="BN160" i="11"/>
  <c r="BO160" i="11"/>
  <c r="BP160" i="11"/>
  <c r="BQ160" i="11"/>
  <c r="BR160" i="11"/>
  <c r="BS160" i="11"/>
  <c r="BT160" i="11"/>
  <c r="BU160" i="11"/>
  <c r="BV160" i="11"/>
  <c r="BW160" i="11"/>
  <c r="BX160" i="11"/>
  <c r="BY160" i="11"/>
  <c r="AF165" i="11"/>
  <c r="AG165" i="11"/>
  <c r="AH165" i="11"/>
  <c r="AI165" i="11"/>
  <c r="AJ165" i="11"/>
  <c r="AK165" i="11"/>
  <c r="AL165" i="11"/>
  <c r="AM165" i="11"/>
  <c r="AN165" i="11"/>
  <c r="AO165" i="11"/>
  <c r="AP165" i="11"/>
  <c r="AQ165" i="11"/>
  <c r="AR165" i="11"/>
  <c r="AS165" i="11"/>
  <c r="AT165" i="11"/>
  <c r="AU165" i="11"/>
  <c r="AV165" i="11"/>
  <c r="AW165" i="11"/>
  <c r="AX165" i="11"/>
  <c r="AY165" i="11"/>
  <c r="AZ165" i="11"/>
  <c r="BA165" i="11"/>
  <c r="BB165" i="11"/>
  <c r="BC165" i="11"/>
  <c r="BD165" i="11"/>
  <c r="BE165" i="11"/>
  <c r="BF165" i="11"/>
  <c r="BG165" i="11"/>
  <c r="BH165" i="11"/>
  <c r="BI165" i="11"/>
  <c r="BJ165" i="11"/>
  <c r="BK165" i="11"/>
  <c r="BL165" i="11"/>
  <c r="BM165" i="11"/>
  <c r="BN165" i="11"/>
  <c r="BO165" i="11"/>
  <c r="BP165" i="11"/>
  <c r="BQ165" i="11"/>
  <c r="BR165" i="11"/>
  <c r="BS165" i="11"/>
  <c r="BT165" i="11"/>
  <c r="BU165" i="11"/>
  <c r="BV165" i="11"/>
  <c r="BW165" i="11"/>
  <c r="BX165" i="11"/>
  <c r="BY165" i="11"/>
  <c r="AF166" i="11"/>
  <c r="AG166" i="11"/>
  <c r="AH166" i="11"/>
  <c r="AI166" i="11"/>
  <c r="AJ166" i="11"/>
  <c r="AK166" i="11"/>
  <c r="AL166" i="11"/>
  <c r="AM166" i="11"/>
  <c r="AN166" i="11"/>
  <c r="AO166" i="11"/>
  <c r="AP166" i="11"/>
  <c r="AQ166" i="11"/>
  <c r="AR166" i="11"/>
  <c r="AS166" i="11"/>
  <c r="AT166" i="11"/>
  <c r="AU166" i="11"/>
  <c r="AV166" i="11"/>
  <c r="AW166" i="11"/>
  <c r="AX166" i="11"/>
  <c r="AY166" i="11"/>
  <c r="AZ166" i="11"/>
  <c r="BA166" i="11"/>
  <c r="BB166" i="11"/>
  <c r="BC166" i="11"/>
  <c r="BD166" i="11"/>
  <c r="BE166" i="11"/>
  <c r="BF166" i="11"/>
  <c r="BG166" i="11"/>
  <c r="BH166" i="11"/>
  <c r="BI166" i="11"/>
  <c r="BJ166" i="11"/>
  <c r="BK166" i="11"/>
  <c r="BL166" i="11"/>
  <c r="BM166" i="11"/>
  <c r="BN166" i="11"/>
  <c r="BO166" i="11"/>
  <c r="BP166" i="11"/>
  <c r="BQ166" i="11"/>
  <c r="BR166" i="11"/>
  <c r="BS166" i="11"/>
  <c r="BT166" i="11"/>
  <c r="BU166" i="11"/>
  <c r="BV166" i="11"/>
  <c r="BW166" i="11"/>
  <c r="BX166" i="11"/>
  <c r="BY166" i="11"/>
  <c r="AF167" i="11"/>
  <c r="AG167" i="11"/>
  <c r="AH167" i="11"/>
  <c r="AI167" i="11"/>
  <c r="AJ167" i="11"/>
  <c r="AK167" i="11"/>
  <c r="AL167" i="11"/>
  <c r="AM167" i="11"/>
  <c r="AN167" i="11"/>
  <c r="AO167" i="11"/>
  <c r="AP167" i="11"/>
  <c r="AQ167" i="11"/>
  <c r="AR167" i="11"/>
  <c r="AS167" i="11"/>
  <c r="AT167" i="11"/>
  <c r="AU167" i="11"/>
  <c r="AV167" i="11"/>
  <c r="AW167" i="11"/>
  <c r="AX167" i="11"/>
  <c r="AY167" i="11"/>
  <c r="AZ167" i="11"/>
  <c r="BA167" i="11"/>
  <c r="BB167" i="11"/>
  <c r="BC167" i="11"/>
  <c r="BD167" i="11"/>
  <c r="BE167" i="11"/>
  <c r="BF167" i="11"/>
  <c r="BG167" i="11"/>
  <c r="BH167" i="11"/>
  <c r="BI167" i="11"/>
  <c r="BJ167" i="11"/>
  <c r="BK167" i="11"/>
  <c r="BL167" i="11"/>
  <c r="BM167" i="11"/>
  <c r="BN167" i="11"/>
  <c r="BO167" i="11"/>
  <c r="BP167" i="11"/>
  <c r="BQ167" i="11"/>
  <c r="BR167" i="11"/>
  <c r="BS167" i="11"/>
  <c r="BT167" i="11"/>
  <c r="BU167" i="11"/>
  <c r="BV167" i="11"/>
  <c r="BW167" i="11"/>
  <c r="BX167" i="11"/>
  <c r="BY167" i="11"/>
  <c r="AF316" i="11"/>
  <c r="AG316" i="11"/>
  <c r="AH316" i="11"/>
  <c r="AI316" i="11"/>
  <c r="AJ316" i="11"/>
  <c r="AK316" i="11"/>
  <c r="AL316" i="11"/>
  <c r="AM316" i="11"/>
  <c r="AN316" i="11"/>
  <c r="AO316" i="11"/>
  <c r="AP316" i="11"/>
  <c r="AQ316" i="11"/>
  <c r="AR316" i="11"/>
  <c r="AS316" i="11"/>
  <c r="AT316" i="11"/>
  <c r="AU316" i="11"/>
  <c r="AV316" i="11"/>
  <c r="AW316" i="11"/>
  <c r="AX316" i="11"/>
  <c r="AY316" i="11"/>
  <c r="AZ316" i="11"/>
  <c r="BA316" i="11"/>
  <c r="BB316" i="11"/>
  <c r="BC316" i="11"/>
  <c r="BD316" i="11"/>
  <c r="BE316" i="11"/>
  <c r="BF316" i="11"/>
  <c r="BG316" i="11"/>
  <c r="BH316" i="11"/>
  <c r="BI316" i="11"/>
  <c r="BJ316" i="11"/>
  <c r="BK316" i="11"/>
  <c r="BL316" i="11"/>
  <c r="BM316" i="11"/>
  <c r="BN316" i="11"/>
  <c r="BO316" i="11"/>
  <c r="BP316" i="11"/>
  <c r="BQ316" i="11"/>
  <c r="BR316" i="11"/>
  <c r="BS316" i="11"/>
  <c r="BT316" i="11"/>
  <c r="BU316" i="11"/>
  <c r="BV316" i="11"/>
  <c r="BW316" i="11"/>
  <c r="X1" i="11"/>
  <c r="W1" i="11"/>
  <c r="G1" i="11"/>
  <c r="V3" i="2" a="1"/>
  <c r="V4" i="2"/>
  <c r="W4" i="2"/>
  <c r="V5" i="2"/>
  <c r="W5" i="2"/>
  <c r="V6" i="2"/>
  <c r="W6" i="2"/>
  <c r="V7" i="2"/>
  <c r="W7" i="2"/>
  <c r="V8" i="2"/>
  <c r="W8" i="2"/>
  <c r="V9" i="2"/>
  <c r="W9" i="2"/>
  <c r="V10" i="2"/>
  <c r="W10" i="2"/>
  <c r="V11" i="2"/>
  <c r="W11" i="2"/>
  <c r="V12" i="2"/>
  <c r="W12" i="2"/>
  <c r="V13" i="2"/>
  <c r="W13" i="2"/>
  <c r="V14" i="2"/>
  <c r="W14" i="2"/>
  <c r="V15" i="2"/>
  <c r="W15" i="2"/>
  <c r="V16" i="2"/>
  <c r="W16" i="2"/>
  <c r="V17" i="2"/>
  <c r="W17" i="2"/>
  <c r="V18" i="2"/>
  <c r="W18" i="2"/>
  <c r="V19" i="2"/>
  <c r="W19" i="2"/>
  <c r="V20" i="2"/>
  <c r="W20" i="2"/>
  <c r="V21" i="2"/>
  <c r="W21" i="2"/>
  <c r="V22" i="2"/>
  <c r="W22" i="2"/>
  <c r="V23" i="2"/>
  <c r="W23" i="2"/>
  <c r="V24" i="2"/>
  <c r="W24" i="2"/>
  <c r="V25" i="2"/>
  <c r="W25" i="2"/>
  <c r="V26" i="2"/>
  <c r="W26" i="2"/>
  <c r="V27" i="2"/>
  <c r="W27" i="2"/>
  <c r="V28" i="2"/>
  <c r="W28" i="2"/>
  <c r="V29" i="2"/>
  <c r="W29" i="2"/>
  <c r="V30" i="2"/>
  <c r="W30" i="2"/>
  <c r="V31" i="2"/>
  <c r="W31" i="2"/>
  <c r="V32" i="2"/>
  <c r="W32" i="2"/>
  <c r="V33" i="2"/>
  <c r="W33" i="2"/>
  <c r="V34" i="2"/>
  <c r="W34" i="2"/>
  <c r="V35" i="2"/>
  <c r="W35" i="2"/>
  <c r="V36" i="2"/>
  <c r="W36" i="2"/>
  <c r="V37" i="2"/>
  <c r="W37" i="2"/>
  <c r="V38" i="2"/>
  <c r="W38" i="2"/>
  <c r="V39" i="2"/>
  <c r="W39" i="2"/>
  <c r="V40" i="2"/>
  <c r="W40" i="2"/>
  <c r="V41" i="2"/>
  <c r="W41" i="2"/>
  <c r="V42" i="2"/>
  <c r="W42" i="2"/>
  <c r="V43" i="2"/>
  <c r="W43" i="2"/>
  <c r="V44" i="2"/>
  <c r="W44" i="2"/>
  <c r="V45" i="2"/>
  <c r="W45" i="2"/>
  <c r="V46" i="2"/>
  <c r="W46" i="2"/>
  <c r="V47" i="2"/>
  <c r="W47" i="2"/>
  <c r="V48" i="2"/>
  <c r="W48" i="2"/>
  <c r="V49" i="2"/>
  <c r="W49" i="2"/>
  <c r="V50" i="2"/>
  <c r="V51" i="2"/>
  <c r="W51" i="2"/>
  <c r="V52" i="2"/>
  <c r="W52" i="2"/>
  <c r="V53" i="2"/>
  <c r="W53" i="2"/>
  <c r="V54" i="2"/>
  <c r="W54" i="2"/>
  <c r="V55" i="2"/>
  <c r="W55" i="2"/>
  <c r="V56" i="2"/>
  <c r="W56" i="2"/>
  <c r="V57" i="2"/>
  <c r="W57" i="2"/>
  <c r="V58" i="2"/>
  <c r="W58" i="2"/>
  <c r="V59" i="2"/>
  <c r="W59" i="2"/>
  <c r="V60" i="2"/>
  <c r="W60" i="2"/>
  <c r="V61" i="2"/>
  <c r="W61" i="2"/>
  <c r="V62" i="2"/>
  <c r="W62" i="2"/>
  <c r="V63" i="2"/>
  <c r="W63" i="2"/>
  <c r="V64" i="2"/>
  <c r="W64" i="2"/>
  <c r="V65" i="2"/>
  <c r="W65" i="2"/>
  <c r="V66" i="2"/>
  <c r="W66" i="2"/>
  <c r="V67" i="2"/>
  <c r="W67" i="2"/>
  <c r="V68" i="2"/>
  <c r="W68" i="2"/>
  <c r="V69" i="2"/>
  <c r="W69" i="2"/>
  <c r="V70" i="2"/>
  <c r="W70" i="2"/>
  <c r="V71" i="2"/>
  <c r="W71" i="2"/>
  <c r="V72" i="2"/>
  <c r="W72" i="2"/>
  <c r="V73" i="2"/>
  <c r="W73" i="2"/>
  <c r="V74" i="2"/>
  <c r="W74" i="2"/>
  <c r="V75" i="2"/>
  <c r="W75" i="2"/>
  <c r="V76" i="2"/>
  <c r="W76" i="2"/>
  <c r="V77" i="2"/>
  <c r="W77" i="2"/>
  <c r="V78" i="2"/>
  <c r="W78" i="2"/>
  <c r="V79" i="2"/>
  <c r="W79" i="2"/>
  <c r="V3" i="2"/>
  <c r="W3" i="2"/>
  <c r="C1" i="11"/>
  <c r="E1" i="11"/>
  <c r="F1" i="11"/>
  <c r="L1" i="11"/>
  <c r="M1" i="11"/>
  <c r="N1" i="11"/>
  <c r="O1" i="11"/>
  <c r="P1" i="11"/>
  <c r="Q1" i="11"/>
  <c r="R1" i="11"/>
  <c r="S1" i="11"/>
  <c r="V1" i="11"/>
  <c r="Y1" i="11"/>
  <c r="Z1" i="11"/>
  <c r="AA1" i="11"/>
  <c r="AB1" i="11"/>
  <c r="AC1" i="11"/>
  <c r="AD1" i="11"/>
  <c r="AE1"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A153" i="11"/>
  <c r="AB153" i="11"/>
  <c r="AC153" i="11"/>
  <c r="AD153" i="11"/>
  <c r="AE153" i="11"/>
  <c r="B153" i="11"/>
  <c r="B1" i="11"/>
  <c r="CC429" i="10"/>
  <c r="AD429" i="10" a="1"/>
  <c r="AD429" i="10"/>
  <c r="AE429" i="10" a="1"/>
  <c r="AE429" i="10"/>
  <c r="AF429" i="10" a="1"/>
  <c r="AF429" i="10"/>
  <c r="AG429" i="10" a="1"/>
  <c r="AG429" i="10"/>
  <c r="AH429" i="10" a="1"/>
  <c r="AH429" i="10"/>
  <c r="AI429" i="10" a="1"/>
  <c r="AI429" i="10"/>
  <c r="AJ429" i="10" a="1"/>
  <c r="AJ429" i="10"/>
  <c r="AK429" i="10" a="1"/>
  <c r="AK429" i="10"/>
  <c r="AL429" i="10" a="1"/>
  <c r="AL429" i="10"/>
  <c r="AM429" i="10" a="1"/>
  <c r="AM429" i="10"/>
  <c r="AN429" i="10" a="1"/>
  <c r="AN429" i="10"/>
  <c r="AO429" i="10" a="1"/>
  <c r="AO429" i="10"/>
  <c r="AP429" i="10" a="1"/>
  <c r="AP429" i="10"/>
  <c r="AQ429" i="10" a="1"/>
  <c r="AQ429" i="10"/>
  <c r="AR429" i="10" a="1"/>
  <c r="AR429" i="10"/>
  <c r="AS429" i="10" a="1"/>
  <c r="AS429" i="10"/>
  <c r="AT429" i="10" a="1"/>
  <c r="AT429" i="10"/>
  <c r="AU429" i="10" a="1"/>
  <c r="AU429" i="10"/>
  <c r="AV429" i="10" a="1"/>
  <c r="AV429" i="10"/>
  <c r="AW429" i="10" a="1"/>
  <c r="AW429" i="10"/>
  <c r="AX429" i="10" a="1"/>
  <c r="AX429" i="10"/>
  <c r="AY429" i="10" a="1"/>
  <c r="AY429" i="10"/>
  <c r="AZ429" i="10" a="1"/>
  <c r="AZ429" i="10"/>
  <c r="BA429" i="10" a="1"/>
  <c r="BA429" i="10"/>
  <c r="BB429" i="10" a="1"/>
  <c r="BB429" i="10"/>
  <c r="BC429" i="10" a="1"/>
  <c r="BC429" i="10"/>
  <c r="BD429" i="10" a="1"/>
  <c r="BD429" i="10"/>
  <c r="BE429" i="10" a="1"/>
  <c r="BE429" i="10"/>
  <c r="BF429" i="10" a="1"/>
  <c r="BF429" i="10"/>
  <c r="BG429" i="10" a="1"/>
  <c r="BG429" i="10"/>
  <c r="BH429" i="10" a="1"/>
  <c r="BH429" i="10"/>
  <c r="BI429" i="10" a="1"/>
  <c r="BI429" i="10"/>
  <c r="BJ429" i="10" a="1"/>
  <c r="BJ429" i="10"/>
  <c r="BK429" i="10" a="1"/>
  <c r="BK429" i="10"/>
  <c r="BL429" i="10" a="1"/>
  <c r="BL429" i="10"/>
  <c r="BM429" i="10" a="1"/>
  <c r="BM429" i="10"/>
  <c r="BN429" i="10" a="1"/>
  <c r="BN429" i="10"/>
  <c r="BO429" i="10" a="1"/>
  <c r="BO429" i="10"/>
  <c r="BP429" i="10" a="1"/>
  <c r="BP429" i="10"/>
  <c r="BQ429" i="10" a="1"/>
  <c r="BQ429" i="10"/>
  <c r="BR429" i="10" a="1"/>
  <c r="BR429" i="10"/>
  <c r="BS429" i="10" a="1"/>
  <c r="BS429" i="10"/>
  <c r="BT429" i="10" a="1"/>
  <c r="BT429" i="10"/>
  <c r="BU429" i="10" a="1"/>
  <c r="BU429" i="10"/>
  <c r="BV429" i="10" a="1"/>
  <c r="BV429" i="10"/>
  <c r="BW429" i="10" a="1"/>
  <c r="BW429" i="10"/>
  <c r="CC430" i="10"/>
  <c r="AD430" i="10" a="1"/>
  <c r="AD430" i="10"/>
  <c r="AE430" i="10" a="1"/>
  <c r="AE430" i="10"/>
  <c r="AF430" i="10" a="1"/>
  <c r="AF430" i="10"/>
  <c r="AG430" i="10" a="1"/>
  <c r="AG430" i="10"/>
  <c r="AH430" i="10" a="1"/>
  <c r="AH430" i="10"/>
  <c r="AI430" i="10" a="1"/>
  <c r="AI430" i="10"/>
  <c r="AJ430" i="10" a="1"/>
  <c r="AJ430" i="10"/>
  <c r="AK430" i="10" a="1"/>
  <c r="AK430" i="10"/>
  <c r="AL430" i="10" a="1"/>
  <c r="AL430" i="10"/>
  <c r="AM430" i="10" a="1"/>
  <c r="AM430" i="10"/>
  <c r="AN430" i="10" a="1"/>
  <c r="AN430" i="10"/>
  <c r="AO430" i="10" a="1"/>
  <c r="AO430" i="10"/>
  <c r="AP430" i="10" a="1"/>
  <c r="AP430" i="10"/>
  <c r="AQ430" i="10" a="1"/>
  <c r="AQ430" i="10"/>
  <c r="AR430" i="10" a="1"/>
  <c r="AR430" i="10"/>
  <c r="AS430" i="10" a="1"/>
  <c r="AS430" i="10"/>
  <c r="AT430" i="10" a="1"/>
  <c r="AT430" i="10"/>
  <c r="AU430" i="10" a="1"/>
  <c r="AU430" i="10"/>
  <c r="AV430" i="10" a="1"/>
  <c r="AV430" i="10"/>
  <c r="AW430" i="10" a="1"/>
  <c r="AW430" i="10"/>
  <c r="AX430" i="10" a="1"/>
  <c r="AX430" i="10"/>
  <c r="AY430" i="10" a="1"/>
  <c r="AY430" i="10"/>
  <c r="AZ430" i="10" a="1"/>
  <c r="AZ430" i="10"/>
  <c r="BA430" i="10" a="1"/>
  <c r="BA430" i="10"/>
  <c r="BB430" i="10" a="1"/>
  <c r="BB430" i="10"/>
  <c r="BC430" i="10" a="1"/>
  <c r="BC430" i="10"/>
  <c r="BD430" i="10" a="1"/>
  <c r="BD430" i="10"/>
  <c r="BE430" i="10" a="1"/>
  <c r="BE430" i="10"/>
  <c r="BF430" i="10" a="1"/>
  <c r="BF430" i="10"/>
  <c r="BG430" i="10" a="1"/>
  <c r="BG430" i="10"/>
  <c r="BH430" i="10" a="1"/>
  <c r="BH430" i="10"/>
  <c r="BI430" i="10" a="1"/>
  <c r="BI430" i="10"/>
  <c r="BJ430" i="10" a="1"/>
  <c r="BJ430" i="10"/>
  <c r="BK430" i="10" a="1"/>
  <c r="BK430" i="10"/>
  <c r="BL430" i="10" a="1"/>
  <c r="BL430" i="10"/>
  <c r="BM430" i="10" a="1"/>
  <c r="BM430" i="10"/>
  <c r="BN430" i="10" a="1"/>
  <c r="BN430" i="10"/>
  <c r="BO430" i="10" a="1"/>
  <c r="BO430" i="10"/>
  <c r="BP430" i="10" a="1"/>
  <c r="BP430" i="10"/>
  <c r="BQ430" i="10" a="1"/>
  <c r="BQ430" i="10"/>
  <c r="BR430" i="10" a="1"/>
  <c r="BR430" i="10"/>
  <c r="BS430" i="10" a="1"/>
  <c r="BS430" i="10"/>
  <c r="BT430" i="10" a="1"/>
  <c r="BT430" i="10"/>
  <c r="BU430" i="10" a="1"/>
  <c r="BU430" i="10"/>
  <c r="BV430" i="10" a="1"/>
  <c r="BV430" i="10"/>
  <c r="BW430" i="10" a="1"/>
  <c r="BW430" i="10"/>
  <c r="CC431" i="10"/>
  <c r="AD431" i="10" a="1"/>
  <c r="AD431" i="10"/>
  <c r="AE431" i="10" a="1"/>
  <c r="AE431" i="10"/>
  <c r="AF431" i="10" a="1"/>
  <c r="AF431" i="10"/>
  <c r="AG431" i="10" a="1"/>
  <c r="AG431" i="10"/>
  <c r="AH431" i="10" a="1"/>
  <c r="AH431" i="10"/>
  <c r="AI431" i="10" a="1"/>
  <c r="AI431" i="10"/>
  <c r="AJ431" i="10" a="1"/>
  <c r="AJ431" i="10"/>
  <c r="AK431" i="10" a="1"/>
  <c r="AK431" i="10"/>
  <c r="AL431" i="10" a="1"/>
  <c r="AL431" i="10"/>
  <c r="AM431" i="10" a="1"/>
  <c r="AM431" i="10"/>
  <c r="AN431" i="10" a="1"/>
  <c r="AN431" i="10"/>
  <c r="AO431" i="10" a="1"/>
  <c r="AO431" i="10"/>
  <c r="AP431" i="10" a="1"/>
  <c r="AP431" i="10"/>
  <c r="AQ431" i="10" a="1"/>
  <c r="AQ431" i="10"/>
  <c r="AR431" i="10" a="1"/>
  <c r="AR431" i="10"/>
  <c r="AS431" i="10" a="1"/>
  <c r="AS431" i="10"/>
  <c r="AT431" i="10" a="1"/>
  <c r="AT431" i="10"/>
  <c r="AU431" i="10" a="1"/>
  <c r="AU431" i="10"/>
  <c r="AV431" i="10" a="1"/>
  <c r="AV431" i="10"/>
  <c r="AW431" i="10" a="1"/>
  <c r="AW431" i="10"/>
  <c r="AX431" i="10" a="1"/>
  <c r="AX431" i="10"/>
  <c r="AY431" i="10" a="1"/>
  <c r="AY431" i="10"/>
  <c r="AZ431" i="10" a="1"/>
  <c r="AZ431" i="10"/>
  <c r="BA431" i="10" a="1"/>
  <c r="BA431" i="10"/>
  <c r="BB431" i="10" a="1"/>
  <c r="BB431" i="10"/>
  <c r="BC431" i="10" a="1"/>
  <c r="BC431" i="10"/>
  <c r="BD431" i="10" a="1"/>
  <c r="BD431" i="10"/>
  <c r="BE431" i="10" a="1"/>
  <c r="BE431" i="10"/>
  <c r="BF431" i="10" a="1"/>
  <c r="BF431" i="10"/>
  <c r="BG431" i="10" a="1"/>
  <c r="BG431" i="10"/>
  <c r="BH431" i="10" a="1"/>
  <c r="BH431" i="10"/>
  <c r="BI431" i="10" a="1"/>
  <c r="BI431" i="10"/>
  <c r="BJ431" i="10" a="1"/>
  <c r="BJ431" i="10"/>
  <c r="BK431" i="10" a="1"/>
  <c r="BK431" i="10"/>
  <c r="BL431" i="10" a="1"/>
  <c r="BL431" i="10"/>
  <c r="BM431" i="10" a="1"/>
  <c r="BM431" i="10"/>
  <c r="BN431" i="10" a="1"/>
  <c r="BN431" i="10"/>
  <c r="BO431" i="10" a="1"/>
  <c r="BO431" i="10"/>
  <c r="BP431" i="10" a="1"/>
  <c r="BP431" i="10"/>
  <c r="BQ431" i="10" a="1"/>
  <c r="BQ431" i="10"/>
  <c r="BR431" i="10" a="1"/>
  <c r="BR431" i="10"/>
  <c r="BS431" i="10" a="1"/>
  <c r="BS431" i="10"/>
  <c r="BT431" i="10" a="1"/>
  <c r="BT431" i="10"/>
  <c r="BU431" i="10" a="1"/>
  <c r="BU431" i="10"/>
  <c r="BV431" i="10" a="1"/>
  <c r="BV431" i="10"/>
  <c r="BW431" i="10" a="1"/>
  <c r="BW431" i="10"/>
  <c r="CC432" i="10"/>
  <c r="AQ432" i="10" a="1"/>
  <c r="AQ432" i="10"/>
  <c r="AR432" i="10" a="1"/>
  <c r="AR432" i="10"/>
  <c r="AS432" i="10" a="1"/>
  <c r="AS432" i="10"/>
  <c r="AT432" i="10" a="1"/>
  <c r="AT432" i="10"/>
  <c r="AU432" i="10" a="1"/>
  <c r="AU432" i="10"/>
  <c r="AV432" i="10" a="1"/>
  <c r="AV432" i="10"/>
  <c r="AW432" i="10" a="1"/>
  <c r="AW432" i="10"/>
  <c r="AX432" i="10" a="1"/>
  <c r="AX432" i="10"/>
  <c r="AY432" i="10" a="1"/>
  <c r="AY432" i="10"/>
  <c r="AZ432" i="10" a="1"/>
  <c r="AZ432" i="10"/>
  <c r="BA432" i="10" a="1"/>
  <c r="BA432" i="10"/>
  <c r="BB432" i="10" a="1"/>
  <c r="BB432" i="10"/>
  <c r="BC432" i="10" a="1"/>
  <c r="BC432" i="10"/>
  <c r="BD432" i="10" a="1"/>
  <c r="BD432" i="10"/>
  <c r="BE432" i="10" a="1"/>
  <c r="BE432" i="10"/>
  <c r="BF432" i="10" a="1"/>
  <c r="BF432" i="10"/>
  <c r="BG432" i="10" a="1"/>
  <c r="BG432" i="10"/>
  <c r="BH432" i="10" a="1"/>
  <c r="BH432" i="10"/>
  <c r="BI432" i="10" a="1"/>
  <c r="BI432" i="10"/>
  <c r="BJ432" i="10" a="1"/>
  <c r="BJ432" i="10"/>
  <c r="BK432" i="10" a="1"/>
  <c r="BK432" i="10"/>
  <c r="BL432" i="10" a="1"/>
  <c r="BL432" i="10"/>
  <c r="BM432" i="10" a="1"/>
  <c r="BM432" i="10"/>
  <c r="BN432" i="10" a="1"/>
  <c r="BN432" i="10"/>
  <c r="BO432" i="10" a="1"/>
  <c r="BO432" i="10"/>
  <c r="BP432" i="10" a="1"/>
  <c r="BP432" i="10"/>
  <c r="BQ432" i="10" a="1"/>
  <c r="BQ432" i="10"/>
  <c r="BR432" i="10" a="1"/>
  <c r="BR432" i="10"/>
  <c r="BS432" i="10" a="1"/>
  <c r="BS432" i="10"/>
  <c r="BT432" i="10" a="1"/>
  <c r="BT432" i="10"/>
  <c r="BU432" i="10" a="1"/>
  <c r="BU432" i="10"/>
  <c r="BV432" i="10" a="1"/>
  <c r="BV432" i="10"/>
  <c r="BW432" i="10" a="1"/>
  <c r="BW432" i="10"/>
  <c r="CC433" i="10"/>
  <c r="AQ433" i="10" a="1"/>
  <c r="AQ433" i="10"/>
  <c r="AR433" i="10" a="1"/>
  <c r="AR433" i="10"/>
  <c r="AS433" i="10" a="1"/>
  <c r="AS433" i="10"/>
  <c r="AT433" i="10" a="1"/>
  <c r="AT433" i="10"/>
  <c r="AU433" i="10" a="1"/>
  <c r="AU433" i="10"/>
  <c r="AV433" i="10" a="1"/>
  <c r="AV433" i="10"/>
  <c r="AW433" i="10" a="1"/>
  <c r="AW433" i="10"/>
  <c r="AX433" i="10" a="1"/>
  <c r="AX433" i="10"/>
  <c r="AY433" i="10" a="1"/>
  <c r="AY433" i="10"/>
  <c r="AZ433" i="10" a="1"/>
  <c r="AZ433" i="10"/>
  <c r="BA433" i="10" a="1"/>
  <c r="BA433" i="10"/>
  <c r="BB433" i="10" a="1"/>
  <c r="BB433" i="10"/>
  <c r="BC433" i="10" a="1"/>
  <c r="BC433" i="10"/>
  <c r="BD433" i="10" a="1"/>
  <c r="BD433" i="10"/>
  <c r="BE433" i="10" a="1"/>
  <c r="BE433" i="10"/>
  <c r="BF433" i="10" a="1"/>
  <c r="BF433" i="10"/>
  <c r="BG433" i="10" a="1"/>
  <c r="BG433" i="10"/>
  <c r="BH433" i="10" a="1"/>
  <c r="BH433" i="10"/>
  <c r="BI433" i="10" a="1"/>
  <c r="BI433" i="10"/>
  <c r="BJ433" i="10" a="1"/>
  <c r="BJ433" i="10"/>
  <c r="BK433" i="10" a="1"/>
  <c r="BK433" i="10"/>
  <c r="BL433" i="10" a="1"/>
  <c r="BL433" i="10"/>
  <c r="BM433" i="10" a="1"/>
  <c r="BM433" i="10"/>
  <c r="BN433" i="10" a="1"/>
  <c r="BN433" i="10"/>
  <c r="BO433" i="10" a="1"/>
  <c r="BO433" i="10"/>
  <c r="BP433" i="10" a="1"/>
  <c r="BP433" i="10"/>
  <c r="BQ433" i="10" a="1"/>
  <c r="BQ433" i="10"/>
  <c r="BR433" i="10" a="1"/>
  <c r="BR433" i="10"/>
  <c r="BS433" i="10" a="1"/>
  <c r="BS433" i="10"/>
  <c r="BT433" i="10" a="1"/>
  <c r="BT433" i="10"/>
  <c r="BU433" i="10" a="1"/>
  <c r="BU433" i="10"/>
  <c r="BV433" i="10" a="1"/>
  <c r="BV433" i="10"/>
  <c r="BW433" i="10" a="1"/>
  <c r="BW433" i="10"/>
  <c r="CC434" i="10"/>
  <c r="AQ434" i="10" a="1"/>
  <c r="AQ434" i="10"/>
  <c r="AR434" i="10" a="1"/>
  <c r="AR434" i="10"/>
  <c r="AS434" i="10" a="1"/>
  <c r="AS434" i="10"/>
  <c r="AT434" i="10" a="1"/>
  <c r="AT434" i="10"/>
  <c r="AU434" i="10" a="1"/>
  <c r="AU434" i="10"/>
  <c r="AV434" i="10" a="1"/>
  <c r="AV434" i="10"/>
  <c r="AW434" i="10" a="1"/>
  <c r="AW434" i="10"/>
  <c r="AX434" i="10" a="1"/>
  <c r="AX434" i="10"/>
  <c r="AY434" i="10" a="1"/>
  <c r="AY434" i="10"/>
  <c r="AZ434" i="10" a="1"/>
  <c r="AZ434" i="10"/>
  <c r="BA434" i="10" a="1"/>
  <c r="BA434" i="10"/>
  <c r="BB434" i="10" a="1"/>
  <c r="BB434" i="10"/>
  <c r="BC434" i="10" a="1"/>
  <c r="BC434" i="10"/>
  <c r="BD434" i="10" a="1"/>
  <c r="BD434" i="10"/>
  <c r="BE434" i="10" a="1"/>
  <c r="BE434" i="10"/>
  <c r="BF434" i="10" a="1"/>
  <c r="BF434" i="10"/>
  <c r="BG434" i="10" a="1"/>
  <c r="BG434" i="10"/>
  <c r="BH434" i="10" a="1"/>
  <c r="BH434" i="10"/>
  <c r="BI434" i="10" a="1"/>
  <c r="BI434" i="10"/>
  <c r="BJ434" i="10" a="1"/>
  <c r="BJ434" i="10"/>
  <c r="BK434" i="10" a="1"/>
  <c r="BK434" i="10"/>
  <c r="BL434" i="10" a="1"/>
  <c r="BL434" i="10"/>
  <c r="BM434" i="10" a="1"/>
  <c r="BM434" i="10"/>
  <c r="BN434" i="10" a="1"/>
  <c r="BN434" i="10"/>
  <c r="BO434" i="10" a="1"/>
  <c r="BO434" i="10"/>
  <c r="BP434" i="10" a="1"/>
  <c r="BP434" i="10"/>
  <c r="BQ434" i="10" a="1"/>
  <c r="BQ434" i="10"/>
  <c r="BR434" i="10" a="1"/>
  <c r="BR434" i="10"/>
  <c r="BS434" i="10" a="1"/>
  <c r="BS434" i="10"/>
  <c r="BT434" i="10" a="1"/>
  <c r="BT434" i="10"/>
  <c r="BU434" i="10" a="1"/>
  <c r="BU434" i="10"/>
  <c r="BV434" i="10" a="1"/>
  <c r="BV434" i="10"/>
  <c r="BW434" i="10" a="1"/>
  <c r="BW434" i="10"/>
  <c r="CC435" i="10"/>
  <c r="AQ435" i="10" a="1"/>
  <c r="AQ435" i="10"/>
  <c r="AR435" i="10" a="1"/>
  <c r="AR435" i="10"/>
  <c r="AS435" i="10" a="1"/>
  <c r="AS435" i="10"/>
  <c r="AT435" i="10" a="1"/>
  <c r="AT435" i="10"/>
  <c r="AU435" i="10" a="1"/>
  <c r="AU435" i="10"/>
  <c r="AV435" i="10" a="1"/>
  <c r="AV435" i="10"/>
  <c r="AW435" i="10" a="1"/>
  <c r="AW435" i="10"/>
  <c r="AX435" i="10" a="1"/>
  <c r="AX435" i="10"/>
  <c r="AY435" i="10" a="1"/>
  <c r="AY435" i="10"/>
  <c r="AZ435" i="10" a="1"/>
  <c r="AZ435" i="10"/>
  <c r="BA435" i="10" a="1"/>
  <c r="BA435" i="10"/>
  <c r="BB435" i="10" a="1"/>
  <c r="BB435" i="10"/>
  <c r="BC435" i="10" a="1"/>
  <c r="BC435" i="10"/>
  <c r="BD435" i="10" a="1"/>
  <c r="BD435" i="10"/>
  <c r="BE435" i="10" a="1"/>
  <c r="BE435" i="10"/>
  <c r="BF435" i="10" a="1"/>
  <c r="BF435" i="10"/>
  <c r="BG435" i="10" a="1"/>
  <c r="BG435" i="10"/>
  <c r="BH435" i="10" a="1"/>
  <c r="BH435" i="10"/>
  <c r="BI435" i="10" a="1"/>
  <c r="BI435" i="10"/>
  <c r="BJ435" i="10" a="1"/>
  <c r="BJ435" i="10"/>
  <c r="BK435" i="10" a="1"/>
  <c r="BK435" i="10"/>
  <c r="BL435" i="10" a="1"/>
  <c r="BL435" i="10"/>
  <c r="BM435" i="10" a="1"/>
  <c r="BM435" i="10"/>
  <c r="BN435" i="10" a="1"/>
  <c r="BN435" i="10"/>
  <c r="BO435" i="10" a="1"/>
  <c r="BO435" i="10"/>
  <c r="BP435" i="10" a="1"/>
  <c r="BP435" i="10"/>
  <c r="BQ435" i="10" a="1"/>
  <c r="BQ435" i="10"/>
  <c r="BR435" i="10" a="1"/>
  <c r="BR435" i="10"/>
  <c r="BS435" i="10" a="1"/>
  <c r="BS435" i="10"/>
  <c r="BT435" i="10" a="1"/>
  <c r="BT435" i="10"/>
  <c r="BU435" i="10" a="1"/>
  <c r="BU435" i="10"/>
  <c r="BV435" i="10" a="1"/>
  <c r="BV435" i="10"/>
  <c r="BW435" i="10" a="1"/>
  <c r="BW435" i="10"/>
  <c r="CC436" i="10"/>
  <c r="AQ436" i="10" a="1"/>
  <c r="AQ436" i="10"/>
  <c r="AR436" i="10" a="1"/>
  <c r="AR436" i="10"/>
  <c r="AS436" i="10" a="1"/>
  <c r="AS436" i="10"/>
  <c r="AT436" i="10" a="1"/>
  <c r="AT436" i="10"/>
  <c r="AU436" i="10" a="1"/>
  <c r="AU436" i="10"/>
  <c r="AV436" i="10" a="1"/>
  <c r="AV436" i="10"/>
  <c r="AW436" i="10" a="1"/>
  <c r="AW436" i="10"/>
  <c r="AX436" i="10" a="1"/>
  <c r="AX436" i="10"/>
  <c r="AY436" i="10" a="1"/>
  <c r="AY436" i="10"/>
  <c r="AZ436" i="10" a="1"/>
  <c r="AZ436" i="10"/>
  <c r="BA436" i="10" a="1"/>
  <c r="BA436" i="10"/>
  <c r="BB436" i="10" a="1"/>
  <c r="BB436" i="10"/>
  <c r="BC436" i="10" a="1"/>
  <c r="BC436" i="10"/>
  <c r="BD436" i="10" a="1"/>
  <c r="BD436" i="10"/>
  <c r="BE436" i="10" a="1"/>
  <c r="BE436" i="10"/>
  <c r="BF436" i="10" a="1"/>
  <c r="BF436" i="10"/>
  <c r="BG436" i="10" a="1"/>
  <c r="BG436" i="10"/>
  <c r="BH436" i="10" a="1"/>
  <c r="BH436" i="10"/>
  <c r="BI436" i="10" a="1"/>
  <c r="BI436" i="10"/>
  <c r="BJ436" i="10" a="1"/>
  <c r="BJ436" i="10"/>
  <c r="BK436" i="10" a="1"/>
  <c r="BK436" i="10"/>
  <c r="BL436" i="10" a="1"/>
  <c r="BL436" i="10"/>
  <c r="BM436" i="10" a="1"/>
  <c r="BM436" i="10"/>
  <c r="BN436" i="10" a="1"/>
  <c r="BN436" i="10"/>
  <c r="BO436" i="10" a="1"/>
  <c r="BO436" i="10"/>
  <c r="BP436" i="10" a="1"/>
  <c r="BP436" i="10"/>
  <c r="BQ436" i="10" a="1"/>
  <c r="BQ436" i="10"/>
  <c r="BR436" i="10" a="1"/>
  <c r="BR436" i="10"/>
  <c r="BS436" i="10" a="1"/>
  <c r="BS436" i="10"/>
  <c r="BT436" i="10" a="1"/>
  <c r="BT436" i="10"/>
  <c r="BU436" i="10" a="1"/>
  <c r="BU436" i="10"/>
  <c r="BV436" i="10" a="1"/>
  <c r="BV436" i="10"/>
  <c r="BW436" i="10" a="1"/>
  <c r="BW436" i="10"/>
  <c r="A435" i="10"/>
  <c r="A436" i="10"/>
  <c r="A430" i="10"/>
  <c r="A431" i="10"/>
  <c r="A432" i="10"/>
  <c r="A433" i="10"/>
  <c r="A434" i="10"/>
  <c r="A429" i="10"/>
  <c r="CC321" i="10"/>
  <c r="CC322" i="10"/>
  <c r="CC323" i="10"/>
  <c r="CC324" i="10"/>
  <c r="CC325" i="10"/>
  <c r="CC326" i="10"/>
  <c r="CC327" i="10"/>
  <c r="CC328" i="10"/>
  <c r="CC329" i="10"/>
  <c r="CC330" i="10"/>
  <c r="CC331" i="10"/>
  <c r="CC332" i="10"/>
  <c r="CC333" i="10"/>
  <c r="CC334" i="10"/>
  <c r="CC335" i="10"/>
  <c r="CC336" i="10"/>
  <c r="CC337" i="10"/>
  <c r="CC338" i="10"/>
  <c r="CC339" i="10"/>
  <c r="CC340" i="10"/>
  <c r="CC341" i="10"/>
  <c r="CC342" i="10"/>
  <c r="CC343" i="10"/>
  <c r="CC344" i="10"/>
  <c r="CC345" i="10"/>
  <c r="CC346" i="10"/>
  <c r="CC347" i="10"/>
  <c r="CC348" i="10"/>
  <c r="CC349" i="10"/>
  <c r="CC350" i="10"/>
  <c r="CC351" i="10"/>
  <c r="CC352" i="10"/>
  <c r="CC353" i="10"/>
  <c r="CC354" i="10"/>
  <c r="CC355" i="10"/>
  <c r="CC356" i="10"/>
  <c r="CC357" i="10"/>
  <c r="CC358" i="10"/>
  <c r="CC359" i="10"/>
  <c r="CC360" i="10"/>
  <c r="CC361" i="10"/>
  <c r="CC362" i="10"/>
  <c r="CC363" i="10"/>
  <c r="CC364" i="10"/>
  <c r="CC365" i="10"/>
  <c r="CC366" i="10"/>
  <c r="CC367" i="10"/>
  <c r="CC368" i="10"/>
  <c r="CC369" i="10"/>
  <c r="CC370" i="10"/>
  <c r="CC371" i="10"/>
  <c r="CC372" i="10"/>
  <c r="CC373" i="10"/>
  <c r="CC374" i="10"/>
  <c r="CC375" i="10"/>
  <c r="CC376" i="10"/>
  <c r="CC377" i="10"/>
  <c r="CC378" i="10"/>
  <c r="CC379" i="10"/>
  <c r="CC380" i="10"/>
  <c r="CC381" i="10"/>
  <c r="CC382" i="10"/>
  <c r="CC383" i="10"/>
  <c r="CC384" i="10"/>
  <c r="CC385" i="10"/>
  <c r="CC386" i="10"/>
  <c r="CC387" i="10"/>
  <c r="CC388" i="10"/>
  <c r="CC389" i="10"/>
  <c r="CC390" i="10"/>
  <c r="CC391" i="10"/>
  <c r="CC392" i="10"/>
  <c r="CC393" i="10"/>
  <c r="CC394" i="10"/>
  <c r="CC395" i="10"/>
  <c r="CC396" i="10"/>
  <c r="CC397" i="10"/>
  <c r="CA9" i="10"/>
  <c r="CA10" i="10"/>
  <c r="CA11" i="10"/>
  <c r="CA12" i="10"/>
  <c r="CA13" i="10"/>
  <c r="CA14" i="10"/>
  <c r="CA15" i="10"/>
  <c r="CA16" i="10"/>
  <c r="CA17" i="10"/>
  <c r="CA18" i="10"/>
  <c r="CA19" i="10"/>
  <c r="CA20" i="10"/>
  <c r="CA21" i="10"/>
  <c r="CA22" i="10"/>
  <c r="CA23" i="10"/>
  <c r="CA24" i="10"/>
  <c r="CA25" i="10"/>
  <c r="CA26" i="10"/>
  <c r="CA27" i="10"/>
  <c r="CA28" i="10"/>
  <c r="CA29" i="10"/>
  <c r="CA30" i="10"/>
  <c r="CA31" i="10"/>
  <c r="CA32" i="10"/>
  <c r="CA33" i="10"/>
  <c r="CA34" i="10"/>
  <c r="CA35" i="10"/>
  <c r="CA36" i="10"/>
  <c r="CA37" i="10"/>
  <c r="CA38" i="10"/>
  <c r="CA39" i="10"/>
  <c r="CA40" i="10"/>
  <c r="CA41" i="10"/>
  <c r="CA42" i="10"/>
  <c r="CA43" i="10"/>
  <c r="CA45" i="10"/>
  <c r="CA46" i="10"/>
  <c r="CA47" i="10"/>
  <c r="CA48" i="10"/>
  <c r="CA49" i="10"/>
  <c r="CA50" i="10"/>
  <c r="CA406" i="10"/>
  <c r="CA8" i="10"/>
  <c r="CC407" i="10"/>
  <c r="CA407" i="10" a="1"/>
  <c r="CA407" i="10"/>
  <c r="CC408" i="10"/>
  <c r="CA408" i="10" a="1"/>
  <c r="CA408" i="10"/>
  <c r="CC409" i="10"/>
  <c r="CA409" i="10" a="1"/>
  <c r="CA409" i="10"/>
  <c r="CC410" i="10"/>
  <c r="CA410" i="10" a="1"/>
  <c r="CA410" i="10"/>
  <c r="CC411" i="10"/>
  <c r="CA411" i="10" a="1"/>
  <c r="CA411" i="10"/>
  <c r="CC412" i="10"/>
  <c r="CA412" i="10" a="1"/>
  <c r="CA412" i="10"/>
  <c r="CC413" i="10"/>
  <c r="CA413" i="10" a="1"/>
  <c r="CA413" i="10"/>
  <c r="CC414" i="10"/>
  <c r="CA414" i="10" a="1"/>
  <c r="CA414" i="10"/>
  <c r="CC415" i="10"/>
  <c r="CA415" i="10" a="1"/>
  <c r="CA415" i="10"/>
  <c r="CC416" i="10"/>
  <c r="CA416" i="10" a="1"/>
  <c r="CA416" i="10"/>
  <c r="CC417" i="10"/>
  <c r="CA417" i="10" a="1"/>
  <c r="CA417" i="10"/>
  <c r="CC418" i="10"/>
  <c r="CA418" i="10" a="1"/>
  <c r="CA418" i="10"/>
  <c r="CC419" i="10"/>
  <c r="CA419" i="10" a="1"/>
  <c r="CA419" i="10"/>
  <c r="CC420" i="10"/>
  <c r="CA420" i="10" a="1"/>
  <c r="CA420" i="10"/>
  <c r="AT6" i="10"/>
  <c r="AU6" i="10"/>
  <c r="AV6" i="10"/>
  <c r="AW6" i="10"/>
  <c r="AX6" i="10"/>
  <c r="AY6" i="10"/>
  <c r="AZ6" i="10"/>
  <c r="BA6" i="10"/>
  <c r="BB6" i="10"/>
  <c r="BC6" i="10"/>
  <c r="BD6" i="10"/>
  <c r="BE6" i="10"/>
  <c r="BF6" i="10"/>
  <c r="BG6" i="10"/>
  <c r="BH6" i="10"/>
  <c r="BI6" i="10"/>
  <c r="BJ6" i="10"/>
  <c r="BK6" i="10"/>
  <c r="BL6" i="10"/>
  <c r="BM6" i="10"/>
  <c r="BN6" i="10"/>
  <c r="BO6" i="10"/>
  <c r="BP6" i="10"/>
  <c r="BQ6" i="10"/>
  <c r="BR6" i="10"/>
  <c r="BS6" i="10"/>
  <c r="BT6" i="10"/>
  <c r="BU6" i="10"/>
  <c r="BV6" i="10"/>
  <c r="BW6" i="10"/>
  <c r="AU154" i="10"/>
  <c r="AV154" i="10"/>
  <c r="AW154" i="10"/>
  <c r="AX154" i="10"/>
  <c r="AY154" i="10"/>
  <c r="AZ154" i="10"/>
  <c r="BA154" i="10"/>
  <c r="BB154" i="10"/>
  <c r="BC154" i="10"/>
  <c r="BD154" i="10"/>
  <c r="BE154" i="10"/>
  <c r="BF154" i="10"/>
  <c r="BG154" i="10"/>
  <c r="BH154" i="10"/>
  <c r="BI154" i="10"/>
  <c r="BJ154" i="10"/>
  <c r="BK154" i="10"/>
  <c r="BL154" i="10"/>
  <c r="BM154" i="10"/>
  <c r="BN154" i="10"/>
  <c r="BO154" i="10"/>
  <c r="BP154" i="10"/>
  <c r="BQ154" i="10"/>
  <c r="BR154" i="10"/>
  <c r="BS154" i="10"/>
  <c r="BT154" i="10"/>
  <c r="BU154" i="10"/>
  <c r="BV154" i="10"/>
  <c r="BW154" i="10"/>
  <c r="BX154" i="10"/>
  <c r="BY154" i="10"/>
  <c r="BZ154" i="10"/>
  <c r="AU155" i="10"/>
  <c r="AV155" i="10"/>
  <c r="AW155" i="10"/>
  <c r="AX155" i="10"/>
  <c r="AY155" i="10"/>
  <c r="AZ155" i="10"/>
  <c r="BA155" i="10"/>
  <c r="BB155" i="10"/>
  <c r="BC155" i="10"/>
  <c r="BD155" i="10"/>
  <c r="BE155" i="10"/>
  <c r="BF155" i="10"/>
  <c r="BG155" i="10"/>
  <c r="BH155" i="10"/>
  <c r="BI155" i="10"/>
  <c r="BJ155" i="10"/>
  <c r="BK155" i="10"/>
  <c r="BL155" i="10"/>
  <c r="BM155" i="10"/>
  <c r="BN155" i="10"/>
  <c r="BO155" i="10"/>
  <c r="BP155" i="10"/>
  <c r="BQ155" i="10"/>
  <c r="BR155" i="10"/>
  <c r="BS155" i="10"/>
  <c r="BT155" i="10"/>
  <c r="BU155" i="10"/>
  <c r="BV155" i="10"/>
  <c r="BW155" i="10"/>
  <c r="AU156" i="10"/>
  <c r="AV156" i="10"/>
  <c r="AW156" i="10"/>
  <c r="AX156" i="10"/>
  <c r="AY156" i="10"/>
  <c r="AZ156" i="10"/>
  <c r="BA156" i="10"/>
  <c r="BB156" i="10"/>
  <c r="BC156" i="10"/>
  <c r="BD156" i="10"/>
  <c r="BE156" i="10"/>
  <c r="BF156" i="10"/>
  <c r="BG156" i="10"/>
  <c r="BH156" i="10"/>
  <c r="BI156" i="10"/>
  <c r="BJ156" i="10"/>
  <c r="BK156" i="10"/>
  <c r="BL156" i="10"/>
  <c r="BM156" i="10"/>
  <c r="BN156" i="10"/>
  <c r="BO156" i="10"/>
  <c r="BP156" i="10"/>
  <c r="BQ156" i="10"/>
  <c r="BR156" i="10"/>
  <c r="BS156" i="10"/>
  <c r="BT156" i="10"/>
  <c r="BU156" i="10"/>
  <c r="BV156" i="10"/>
  <c r="BW156" i="10"/>
  <c r="AU158" i="10" a="1"/>
  <c r="AU158" i="10"/>
  <c r="AV158" i="10" a="1"/>
  <c r="AV158" i="10"/>
  <c r="AW158" i="10" a="1"/>
  <c r="AW158" i="10"/>
  <c r="AX158" i="10" a="1"/>
  <c r="AX158" i="10"/>
  <c r="AY158" i="10" a="1"/>
  <c r="AY158" i="10"/>
  <c r="AZ158" i="10" a="1"/>
  <c r="AZ158" i="10"/>
  <c r="BA158" i="10" a="1"/>
  <c r="BA158" i="10"/>
  <c r="BB158" i="10" a="1"/>
  <c r="BB158" i="10"/>
  <c r="BC158" i="10" a="1"/>
  <c r="BC158" i="10"/>
  <c r="BD158" i="10" a="1"/>
  <c r="BD158" i="10"/>
  <c r="BE158" i="10" a="1"/>
  <c r="BE158" i="10"/>
  <c r="BF158" i="10" a="1"/>
  <c r="BF158" i="10"/>
  <c r="BG158" i="10" a="1"/>
  <c r="BG158" i="10"/>
  <c r="BH158" i="10" a="1"/>
  <c r="BH158" i="10"/>
  <c r="BI158" i="10" a="1"/>
  <c r="BI158" i="10"/>
  <c r="BJ158" i="10" a="1"/>
  <c r="BJ158" i="10"/>
  <c r="BK158" i="10" a="1"/>
  <c r="BK158" i="10"/>
  <c r="BL158" i="10" a="1"/>
  <c r="BL158" i="10"/>
  <c r="BM158" i="10" a="1"/>
  <c r="BM158" i="10"/>
  <c r="BN158" i="10" a="1"/>
  <c r="BN158" i="10"/>
  <c r="BO158" i="10" a="1"/>
  <c r="BO158" i="10"/>
  <c r="BP158" i="10" a="1"/>
  <c r="BP158" i="10"/>
  <c r="BQ158" i="10" a="1"/>
  <c r="BQ158" i="10"/>
  <c r="BR158" i="10" a="1"/>
  <c r="BR158" i="10"/>
  <c r="BS158" i="10" a="1"/>
  <c r="BS158" i="10"/>
  <c r="BT158" i="10" a="1"/>
  <c r="BT158" i="10"/>
  <c r="BU158" i="10" a="1"/>
  <c r="BU158" i="10"/>
  <c r="BV158" i="10" a="1"/>
  <c r="BV158" i="10"/>
  <c r="BW158" i="10" a="1"/>
  <c r="BW158" i="10"/>
  <c r="AU161" i="10"/>
  <c r="AV161" i="10"/>
  <c r="AW161" i="10"/>
  <c r="AX161" i="10"/>
  <c r="AY161" i="10"/>
  <c r="AZ161" i="10"/>
  <c r="BA161" i="10"/>
  <c r="BB161" i="10"/>
  <c r="BC161" i="10"/>
  <c r="BD161" i="10"/>
  <c r="BE161" i="10"/>
  <c r="BF161" i="10"/>
  <c r="BG161" i="10"/>
  <c r="BH161" i="10"/>
  <c r="BI161" i="10"/>
  <c r="BJ161" i="10"/>
  <c r="BK161" i="10"/>
  <c r="BL161" i="10"/>
  <c r="BM161" i="10"/>
  <c r="BN161" i="10"/>
  <c r="BO161" i="10"/>
  <c r="BP161" i="10"/>
  <c r="BQ161" i="10"/>
  <c r="BR161" i="10"/>
  <c r="BS161" i="10"/>
  <c r="BT161" i="10"/>
  <c r="BU161" i="10"/>
  <c r="BV161" i="10"/>
  <c r="BW161" i="10"/>
  <c r="AU167" i="10"/>
  <c r="AV167" i="10"/>
  <c r="AW167" i="10"/>
  <c r="AX167" i="10"/>
  <c r="AY167" i="10"/>
  <c r="AZ167" i="10"/>
  <c r="BA167" i="10"/>
  <c r="BB167" i="10"/>
  <c r="BC167" i="10"/>
  <c r="BD167" i="10"/>
  <c r="BE167" i="10"/>
  <c r="BF167" i="10"/>
  <c r="BG167" i="10"/>
  <c r="BH167" i="10"/>
  <c r="BI167" i="10"/>
  <c r="BJ167" i="10"/>
  <c r="BK167" i="10"/>
  <c r="BL167" i="10"/>
  <c r="BM167" i="10"/>
  <c r="BN167" i="10"/>
  <c r="BO167" i="10"/>
  <c r="BP167" i="10"/>
  <c r="BQ167" i="10"/>
  <c r="BR167" i="10"/>
  <c r="BS167" i="10"/>
  <c r="BT167" i="10"/>
  <c r="BU167" i="10"/>
  <c r="BV167" i="10"/>
  <c r="BW167" i="10"/>
  <c r="BX167" i="10"/>
  <c r="BY167" i="10"/>
  <c r="AU168" i="10"/>
  <c r="AV168" i="10"/>
  <c r="AW168" i="10"/>
  <c r="AX168" i="10"/>
  <c r="AY168" i="10"/>
  <c r="AZ168" i="10"/>
  <c r="BA168" i="10"/>
  <c r="BB168" i="10"/>
  <c r="BC168" i="10"/>
  <c r="BD168" i="10"/>
  <c r="BE168" i="10"/>
  <c r="BF168" i="10"/>
  <c r="BG168" i="10"/>
  <c r="BH168" i="10"/>
  <c r="BI168" i="10"/>
  <c r="BJ168" i="10"/>
  <c r="BK168" i="10"/>
  <c r="BL168" i="10"/>
  <c r="BM168" i="10"/>
  <c r="BN168" i="10"/>
  <c r="BO168" i="10"/>
  <c r="BP168" i="10"/>
  <c r="BQ168" i="10"/>
  <c r="BR168" i="10"/>
  <c r="BS168" i="10"/>
  <c r="BT168" i="10"/>
  <c r="BU168" i="10"/>
  <c r="BV168" i="10"/>
  <c r="BW168" i="10"/>
  <c r="BX168" i="10"/>
  <c r="BY168" i="10"/>
  <c r="AU320" i="10"/>
  <c r="AV320" i="10"/>
  <c r="AW320" i="10"/>
  <c r="AX320" i="10"/>
  <c r="AY320" i="10"/>
  <c r="AZ320" i="10"/>
  <c r="BA320" i="10"/>
  <c r="BB320" i="10"/>
  <c r="BC320" i="10"/>
  <c r="BD320" i="10"/>
  <c r="BE320" i="10"/>
  <c r="BF320" i="10"/>
  <c r="BG320" i="10"/>
  <c r="BH320" i="10"/>
  <c r="BI320" i="10"/>
  <c r="BJ320" i="10"/>
  <c r="BK320" i="10"/>
  <c r="BL320" i="10"/>
  <c r="BM320" i="10"/>
  <c r="BN320" i="10"/>
  <c r="BO320" i="10"/>
  <c r="BP320" i="10"/>
  <c r="BQ320" i="10"/>
  <c r="BR320" i="10"/>
  <c r="BS320" i="10"/>
  <c r="BT320" i="10"/>
  <c r="BU320" i="10"/>
  <c r="BV320" i="10"/>
  <c r="BW320" i="10"/>
  <c r="BY320" i="10"/>
  <c r="BZ320" i="10"/>
  <c r="AU405" i="10"/>
  <c r="AV405" i="10"/>
  <c r="AW405" i="10"/>
  <c r="AX405" i="10"/>
  <c r="AY405" i="10"/>
  <c r="AZ405" i="10"/>
  <c r="BA405" i="10"/>
  <c r="BB405" i="10"/>
  <c r="BC405" i="10"/>
  <c r="BD405" i="10"/>
  <c r="BE405" i="10"/>
  <c r="BF405" i="10"/>
  <c r="BG405" i="10"/>
  <c r="BH405" i="10"/>
  <c r="BI405" i="10"/>
  <c r="BJ405" i="10"/>
  <c r="BK405" i="10"/>
  <c r="BL405" i="10"/>
  <c r="BM405" i="10"/>
  <c r="BN405" i="10"/>
  <c r="BO405" i="10"/>
  <c r="BP405" i="10"/>
  <c r="BQ405" i="10"/>
  <c r="BR405" i="10"/>
  <c r="BS405" i="10"/>
  <c r="BT405" i="10"/>
  <c r="BU405" i="10"/>
  <c r="BV405" i="10"/>
  <c r="BW405" i="10"/>
  <c r="BX405" i="10"/>
  <c r="BY405" i="10"/>
  <c r="BZ405" i="10"/>
  <c r="AU407" i="10" a="1"/>
  <c r="AU407" i="10"/>
  <c r="AV407" i="10" a="1"/>
  <c r="AV407" i="10"/>
  <c r="AW407" i="10" a="1"/>
  <c r="AW407" i="10"/>
  <c r="AX407" i="10" a="1"/>
  <c r="AX407" i="10"/>
  <c r="AY407" i="10" a="1"/>
  <c r="AY407" i="10"/>
  <c r="AZ407" i="10" a="1"/>
  <c r="AZ407" i="10"/>
  <c r="BA407" i="10" a="1"/>
  <c r="BA407" i="10"/>
  <c r="BB407" i="10" a="1"/>
  <c r="BB407" i="10"/>
  <c r="BC407" i="10" a="1"/>
  <c r="BC407" i="10"/>
  <c r="BD407" i="10" a="1"/>
  <c r="BD407" i="10"/>
  <c r="BE407" i="10" a="1"/>
  <c r="BE407" i="10"/>
  <c r="BF407" i="10" a="1"/>
  <c r="BF407" i="10"/>
  <c r="BG407" i="10" a="1"/>
  <c r="BG407" i="10"/>
  <c r="BH407" i="10" a="1"/>
  <c r="BH407" i="10"/>
  <c r="BI407" i="10" a="1"/>
  <c r="BI407" i="10"/>
  <c r="BJ407" i="10" a="1"/>
  <c r="BJ407" i="10"/>
  <c r="BK407" i="10" a="1"/>
  <c r="BK407" i="10"/>
  <c r="BL407" i="10" a="1"/>
  <c r="BL407" i="10"/>
  <c r="BM407" i="10" a="1"/>
  <c r="BM407" i="10"/>
  <c r="BN407" i="10" a="1"/>
  <c r="BN407" i="10"/>
  <c r="BO407" i="10" a="1"/>
  <c r="BO407" i="10"/>
  <c r="BP407" i="10" a="1"/>
  <c r="BP407" i="10"/>
  <c r="BQ407" i="10" a="1"/>
  <c r="BQ407" i="10"/>
  <c r="BR407" i="10" a="1"/>
  <c r="BR407" i="10"/>
  <c r="BS407" i="10" a="1"/>
  <c r="BS407" i="10"/>
  <c r="BT407" i="10" a="1"/>
  <c r="BT407" i="10"/>
  <c r="BU407" i="10" a="1"/>
  <c r="BU407" i="10"/>
  <c r="BV407" i="10" a="1"/>
  <c r="BV407" i="10"/>
  <c r="BW407" i="10" a="1"/>
  <c r="BW407" i="10"/>
  <c r="BX407" i="10" a="1"/>
  <c r="BX407" i="10"/>
  <c r="BY407" i="10" a="1"/>
  <c r="BY407" i="10"/>
  <c r="BZ407" i="10" a="1"/>
  <c r="BZ407" i="10"/>
  <c r="AU408" i="10" a="1"/>
  <c r="AU408" i="10"/>
  <c r="AV408" i="10" a="1"/>
  <c r="AV408" i="10"/>
  <c r="AW408" i="10" a="1"/>
  <c r="AW408" i="10"/>
  <c r="AX408" i="10" a="1"/>
  <c r="AX408" i="10"/>
  <c r="AY408" i="10" a="1"/>
  <c r="AY408" i="10"/>
  <c r="AZ408" i="10" a="1"/>
  <c r="AZ408" i="10"/>
  <c r="BA408" i="10" a="1"/>
  <c r="BA408" i="10"/>
  <c r="BB408" i="10" a="1"/>
  <c r="BB408" i="10"/>
  <c r="BC408" i="10" a="1"/>
  <c r="BC408" i="10"/>
  <c r="BD408" i="10" a="1"/>
  <c r="BD408" i="10"/>
  <c r="BE408" i="10" a="1"/>
  <c r="BE408" i="10"/>
  <c r="BF408" i="10" a="1"/>
  <c r="BF408" i="10"/>
  <c r="BG408" i="10" a="1"/>
  <c r="BG408" i="10"/>
  <c r="BH408" i="10" a="1"/>
  <c r="BH408" i="10"/>
  <c r="BI408" i="10" a="1"/>
  <c r="BI408" i="10"/>
  <c r="BJ408" i="10" a="1"/>
  <c r="BJ408" i="10"/>
  <c r="BK408" i="10" a="1"/>
  <c r="BK408" i="10"/>
  <c r="BL408" i="10" a="1"/>
  <c r="BL408" i="10"/>
  <c r="BM408" i="10" a="1"/>
  <c r="BM408" i="10"/>
  <c r="BN408" i="10" a="1"/>
  <c r="BN408" i="10"/>
  <c r="BO408" i="10" a="1"/>
  <c r="BO408" i="10"/>
  <c r="BP408" i="10" a="1"/>
  <c r="BP408" i="10"/>
  <c r="BQ408" i="10" a="1"/>
  <c r="BQ408" i="10"/>
  <c r="BR408" i="10" a="1"/>
  <c r="BR408" i="10"/>
  <c r="BS408" i="10" a="1"/>
  <c r="BS408" i="10"/>
  <c r="BT408" i="10" a="1"/>
  <c r="BT408" i="10"/>
  <c r="BU408" i="10" a="1"/>
  <c r="BU408" i="10"/>
  <c r="BV408" i="10" a="1"/>
  <c r="BV408" i="10"/>
  <c r="BW408" i="10" a="1"/>
  <c r="BW408" i="10"/>
  <c r="BX408" i="10" a="1"/>
  <c r="BX408" i="10"/>
  <c r="BY408" i="10" a="1"/>
  <c r="BY408" i="10"/>
  <c r="BZ408" i="10" a="1"/>
  <c r="BZ408" i="10"/>
  <c r="AU409" i="10" a="1"/>
  <c r="AU409" i="10"/>
  <c r="AV409" i="10" a="1"/>
  <c r="AV409" i="10"/>
  <c r="AW409" i="10" a="1"/>
  <c r="AW409" i="10"/>
  <c r="AX409" i="10" a="1"/>
  <c r="AX409" i="10"/>
  <c r="AY409" i="10" a="1"/>
  <c r="AY409" i="10"/>
  <c r="AZ409" i="10" a="1"/>
  <c r="AZ409" i="10"/>
  <c r="BA409" i="10" a="1"/>
  <c r="BA409" i="10"/>
  <c r="BB409" i="10" a="1"/>
  <c r="BB409" i="10"/>
  <c r="BC409" i="10" a="1"/>
  <c r="BC409" i="10"/>
  <c r="BD409" i="10" a="1"/>
  <c r="BD409" i="10"/>
  <c r="BE409" i="10" a="1"/>
  <c r="BE409" i="10"/>
  <c r="BF409" i="10" a="1"/>
  <c r="BF409" i="10"/>
  <c r="BG409" i="10" a="1"/>
  <c r="BG409" i="10"/>
  <c r="BH409" i="10" a="1"/>
  <c r="BH409" i="10"/>
  <c r="BI409" i="10" a="1"/>
  <c r="BI409" i="10"/>
  <c r="BJ409" i="10" a="1"/>
  <c r="BJ409" i="10"/>
  <c r="BK409" i="10" a="1"/>
  <c r="BK409" i="10"/>
  <c r="BL409" i="10" a="1"/>
  <c r="BL409" i="10"/>
  <c r="BM409" i="10" a="1"/>
  <c r="BM409" i="10"/>
  <c r="BN409" i="10" a="1"/>
  <c r="BN409" i="10"/>
  <c r="BO409" i="10" a="1"/>
  <c r="BO409" i="10"/>
  <c r="BP409" i="10" a="1"/>
  <c r="BP409" i="10"/>
  <c r="BQ409" i="10" a="1"/>
  <c r="BQ409" i="10"/>
  <c r="BR409" i="10" a="1"/>
  <c r="BR409" i="10"/>
  <c r="BS409" i="10" a="1"/>
  <c r="BS409" i="10"/>
  <c r="BT409" i="10" a="1"/>
  <c r="BT409" i="10"/>
  <c r="BU409" i="10" a="1"/>
  <c r="BU409" i="10"/>
  <c r="BV409" i="10" a="1"/>
  <c r="BV409" i="10"/>
  <c r="BW409" i="10" a="1"/>
  <c r="BW409" i="10"/>
  <c r="BX409" i="10" a="1"/>
  <c r="BX409" i="10"/>
  <c r="BY409" i="10" a="1"/>
  <c r="BY409" i="10"/>
  <c r="BZ409" i="10" a="1"/>
  <c r="BZ409" i="10"/>
  <c r="AU410" i="10" a="1"/>
  <c r="AU410" i="10"/>
  <c r="AV410" i="10" a="1"/>
  <c r="AV410" i="10"/>
  <c r="AW410" i="10" a="1"/>
  <c r="AW410" i="10"/>
  <c r="AX410" i="10" a="1"/>
  <c r="AX410" i="10"/>
  <c r="AY410" i="10" a="1"/>
  <c r="AY410" i="10"/>
  <c r="AZ410" i="10" a="1"/>
  <c r="AZ410" i="10"/>
  <c r="BA410" i="10" a="1"/>
  <c r="BA410" i="10"/>
  <c r="BB410" i="10" a="1"/>
  <c r="BB410" i="10"/>
  <c r="BC410" i="10" a="1"/>
  <c r="BC410" i="10"/>
  <c r="BD410" i="10" a="1"/>
  <c r="BD410" i="10"/>
  <c r="BE410" i="10" a="1"/>
  <c r="BE410" i="10"/>
  <c r="BF410" i="10" a="1"/>
  <c r="BF410" i="10"/>
  <c r="BG410" i="10" a="1"/>
  <c r="BG410" i="10"/>
  <c r="BH410" i="10" a="1"/>
  <c r="BH410" i="10"/>
  <c r="BI410" i="10" a="1"/>
  <c r="BI410" i="10"/>
  <c r="BJ410" i="10" a="1"/>
  <c r="BJ410" i="10"/>
  <c r="BK410" i="10" a="1"/>
  <c r="BK410" i="10"/>
  <c r="BL410" i="10" a="1"/>
  <c r="BL410" i="10"/>
  <c r="BM410" i="10" a="1"/>
  <c r="BM410" i="10"/>
  <c r="BN410" i="10" a="1"/>
  <c r="BN410" i="10"/>
  <c r="BO410" i="10" a="1"/>
  <c r="BO410" i="10"/>
  <c r="BP410" i="10" a="1"/>
  <c r="BP410" i="10"/>
  <c r="BQ410" i="10" a="1"/>
  <c r="BQ410" i="10"/>
  <c r="BR410" i="10" a="1"/>
  <c r="BR410" i="10"/>
  <c r="BS410" i="10" a="1"/>
  <c r="BS410" i="10"/>
  <c r="BT410" i="10" a="1"/>
  <c r="BT410" i="10"/>
  <c r="BU410" i="10" a="1"/>
  <c r="BU410" i="10"/>
  <c r="BV410" i="10" a="1"/>
  <c r="BV410" i="10"/>
  <c r="BW410" i="10" a="1"/>
  <c r="BW410" i="10"/>
  <c r="BX410" i="10" a="1"/>
  <c r="BX410" i="10"/>
  <c r="BY410" i="10" a="1"/>
  <c r="BY410" i="10"/>
  <c r="BZ410" i="10" a="1"/>
  <c r="BZ410" i="10"/>
  <c r="AU411" i="10" a="1"/>
  <c r="AU411" i="10"/>
  <c r="AV411" i="10" a="1"/>
  <c r="AV411" i="10"/>
  <c r="AW411" i="10" a="1"/>
  <c r="AW411" i="10"/>
  <c r="AX411" i="10" a="1"/>
  <c r="AX411" i="10"/>
  <c r="AY411" i="10" a="1"/>
  <c r="AY411" i="10"/>
  <c r="AZ411" i="10" a="1"/>
  <c r="AZ411" i="10"/>
  <c r="BA411" i="10" a="1"/>
  <c r="BA411" i="10"/>
  <c r="BB411" i="10" a="1"/>
  <c r="BB411" i="10"/>
  <c r="BC411" i="10" a="1"/>
  <c r="BC411" i="10"/>
  <c r="BD411" i="10" a="1"/>
  <c r="BD411" i="10"/>
  <c r="BE411" i="10" a="1"/>
  <c r="BE411" i="10"/>
  <c r="BF411" i="10" a="1"/>
  <c r="BF411" i="10"/>
  <c r="BG411" i="10" a="1"/>
  <c r="BG411" i="10"/>
  <c r="BH411" i="10" a="1"/>
  <c r="BH411" i="10"/>
  <c r="BI411" i="10" a="1"/>
  <c r="BI411" i="10"/>
  <c r="BJ411" i="10" a="1"/>
  <c r="BJ411" i="10"/>
  <c r="BK411" i="10" a="1"/>
  <c r="BK411" i="10"/>
  <c r="BL411" i="10" a="1"/>
  <c r="BL411" i="10"/>
  <c r="BM411" i="10" a="1"/>
  <c r="BM411" i="10"/>
  <c r="BN411" i="10" a="1"/>
  <c r="BN411" i="10"/>
  <c r="BO411" i="10" a="1"/>
  <c r="BO411" i="10"/>
  <c r="BP411" i="10" a="1"/>
  <c r="BP411" i="10"/>
  <c r="BQ411" i="10" a="1"/>
  <c r="BQ411" i="10"/>
  <c r="BR411" i="10" a="1"/>
  <c r="BR411" i="10"/>
  <c r="BS411" i="10" a="1"/>
  <c r="BS411" i="10"/>
  <c r="BT411" i="10" a="1"/>
  <c r="BT411" i="10"/>
  <c r="BU411" i="10" a="1"/>
  <c r="BU411" i="10"/>
  <c r="BV411" i="10" a="1"/>
  <c r="BV411" i="10"/>
  <c r="BW411" i="10" a="1"/>
  <c r="BW411" i="10"/>
  <c r="AU412" i="10" a="1"/>
  <c r="AU412" i="10"/>
  <c r="AV412" i="10" a="1"/>
  <c r="AV412" i="10"/>
  <c r="AW412" i="10" a="1"/>
  <c r="AW412" i="10"/>
  <c r="AX412" i="10" a="1"/>
  <c r="AX412" i="10"/>
  <c r="AY412" i="10" a="1"/>
  <c r="AY412" i="10"/>
  <c r="AZ412" i="10" a="1"/>
  <c r="AZ412" i="10"/>
  <c r="BA412" i="10" a="1"/>
  <c r="BA412" i="10"/>
  <c r="BB412" i="10" a="1"/>
  <c r="BB412" i="10"/>
  <c r="BC412" i="10" a="1"/>
  <c r="BC412" i="10"/>
  <c r="BD412" i="10" a="1"/>
  <c r="BD412" i="10"/>
  <c r="BE412" i="10" a="1"/>
  <c r="BE412" i="10"/>
  <c r="BF412" i="10" a="1"/>
  <c r="BF412" i="10"/>
  <c r="BG412" i="10" a="1"/>
  <c r="BG412" i="10"/>
  <c r="BH412" i="10" a="1"/>
  <c r="BH412" i="10"/>
  <c r="BI412" i="10" a="1"/>
  <c r="BI412" i="10"/>
  <c r="BJ412" i="10" a="1"/>
  <c r="BJ412" i="10"/>
  <c r="BK412" i="10" a="1"/>
  <c r="BK412" i="10"/>
  <c r="BL412" i="10" a="1"/>
  <c r="BL412" i="10"/>
  <c r="BM412" i="10" a="1"/>
  <c r="BM412" i="10"/>
  <c r="BN412" i="10" a="1"/>
  <c r="BN412" i="10"/>
  <c r="BO412" i="10" a="1"/>
  <c r="BO412" i="10"/>
  <c r="BP412" i="10" a="1"/>
  <c r="BP412" i="10"/>
  <c r="BQ412" i="10" a="1"/>
  <c r="BQ412" i="10"/>
  <c r="BR412" i="10" a="1"/>
  <c r="BR412" i="10"/>
  <c r="BS412" i="10" a="1"/>
  <c r="BS412" i="10"/>
  <c r="BT412" i="10" a="1"/>
  <c r="BT412" i="10"/>
  <c r="BU412" i="10" a="1"/>
  <c r="BU412" i="10"/>
  <c r="BV412" i="10" a="1"/>
  <c r="BV412" i="10"/>
  <c r="BW412" i="10" a="1"/>
  <c r="BW412" i="10"/>
  <c r="AU413" i="10" a="1"/>
  <c r="AU413" i="10"/>
  <c r="AV413" i="10" a="1"/>
  <c r="AV413" i="10"/>
  <c r="AW413" i="10" a="1"/>
  <c r="AW413" i="10"/>
  <c r="AX413" i="10" a="1"/>
  <c r="AX413" i="10"/>
  <c r="AY413" i="10" a="1"/>
  <c r="AY413" i="10"/>
  <c r="AZ413" i="10" a="1"/>
  <c r="AZ413" i="10"/>
  <c r="BA413" i="10" a="1"/>
  <c r="BA413" i="10"/>
  <c r="BB413" i="10" a="1"/>
  <c r="BB413" i="10"/>
  <c r="BC413" i="10" a="1"/>
  <c r="BC413" i="10"/>
  <c r="BD413" i="10" a="1"/>
  <c r="BD413" i="10"/>
  <c r="BE413" i="10" a="1"/>
  <c r="BE413" i="10"/>
  <c r="BF413" i="10" a="1"/>
  <c r="BF413" i="10"/>
  <c r="BG413" i="10" a="1"/>
  <c r="BG413" i="10"/>
  <c r="BH413" i="10" a="1"/>
  <c r="BH413" i="10"/>
  <c r="BI413" i="10" a="1"/>
  <c r="BI413" i="10"/>
  <c r="BJ413" i="10" a="1"/>
  <c r="BJ413" i="10"/>
  <c r="BK413" i="10" a="1"/>
  <c r="BK413" i="10"/>
  <c r="BL413" i="10" a="1"/>
  <c r="BL413" i="10"/>
  <c r="BM413" i="10" a="1"/>
  <c r="BM413" i="10"/>
  <c r="BN413" i="10" a="1"/>
  <c r="BN413" i="10"/>
  <c r="BO413" i="10" a="1"/>
  <c r="BO413" i="10"/>
  <c r="BP413" i="10" a="1"/>
  <c r="BP413" i="10"/>
  <c r="BQ413" i="10" a="1"/>
  <c r="BQ413" i="10"/>
  <c r="BR413" i="10" a="1"/>
  <c r="BR413" i="10"/>
  <c r="BS413" i="10" a="1"/>
  <c r="BS413" i="10"/>
  <c r="BT413" i="10" a="1"/>
  <c r="BT413" i="10"/>
  <c r="BU413" i="10" a="1"/>
  <c r="BU413" i="10"/>
  <c r="BV413" i="10" a="1"/>
  <c r="BV413" i="10"/>
  <c r="BW413" i="10" a="1"/>
  <c r="BW413" i="10"/>
  <c r="AU414" i="10" a="1"/>
  <c r="AU414" i="10"/>
  <c r="AV414" i="10" a="1"/>
  <c r="AV414" i="10"/>
  <c r="AW414" i="10" a="1"/>
  <c r="AW414" i="10"/>
  <c r="AX414" i="10" a="1"/>
  <c r="AX414" i="10"/>
  <c r="AY414" i="10" a="1"/>
  <c r="AY414" i="10"/>
  <c r="AZ414" i="10" a="1"/>
  <c r="AZ414" i="10"/>
  <c r="BA414" i="10" a="1"/>
  <c r="BA414" i="10"/>
  <c r="BB414" i="10" a="1"/>
  <c r="BB414" i="10"/>
  <c r="BC414" i="10" a="1"/>
  <c r="BC414" i="10"/>
  <c r="BD414" i="10" a="1"/>
  <c r="BD414" i="10"/>
  <c r="BE414" i="10" a="1"/>
  <c r="BE414" i="10"/>
  <c r="BF414" i="10" a="1"/>
  <c r="BF414" i="10"/>
  <c r="BG414" i="10" a="1"/>
  <c r="BG414" i="10"/>
  <c r="BH414" i="10" a="1"/>
  <c r="BH414" i="10"/>
  <c r="BI414" i="10" a="1"/>
  <c r="BI414" i="10"/>
  <c r="BJ414" i="10" a="1"/>
  <c r="BJ414" i="10"/>
  <c r="BK414" i="10" a="1"/>
  <c r="BK414" i="10"/>
  <c r="BL414" i="10" a="1"/>
  <c r="BL414" i="10"/>
  <c r="BM414" i="10" a="1"/>
  <c r="BM414" i="10"/>
  <c r="BN414" i="10" a="1"/>
  <c r="BN414" i="10"/>
  <c r="BO414" i="10" a="1"/>
  <c r="BO414" i="10"/>
  <c r="BP414" i="10" a="1"/>
  <c r="BP414" i="10"/>
  <c r="BQ414" i="10" a="1"/>
  <c r="BQ414" i="10"/>
  <c r="BR414" i="10" a="1"/>
  <c r="BR414" i="10"/>
  <c r="BS414" i="10" a="1"/>
  <c r="BS414" i="10"/>
  <c r="BT414" i="10" a="1"/>
  <c r="BT414" i="10"/>
  <c r="BU414" i="10" a="1"/>
  <c r="BU414" i="10"/>
  <c r="BV414" i="10" a="1"/>
  <c r="BV414" i="10"/>
  <c r="BW414" i="10" a="1"/>
  <c r="BW414" i="10"/>
  <c r="AU415" i="10" a="1"/>
  <c r="AU415" i="10"/>
  <c r="AV415" i="10" a="1"/>
  <c r="AV415" i="10"/>
  <c r="AW415" i="10" a="1"/>
  <c r="AW415" i="10"/>
  <c r="AX415" i="10" a="1"/>
  <c r="AX415" i="10"/>
  <c r="AY415" i="10" a="1"/>
  <c r="AY415" i="10"/>
  <c r="AZ415" i="10" a="1"/>
  <c r="AZ415" i="10"/>
  <c r="BA415" i="10" a="1"/>
  <c r="BA415" i="10"/>
  <c r="BB415" i="10" a="1"/>
  <c r="BB415" i="10"/>
  <c r="BC415" i="10" a="1"/>
  <c r="BC415" i="10"/>
  <c r="BD415" i="10" a="1"/>
  <c r="BD415" i="10"/>
  <c r="BE415" i="10" a="1"/>
  <c r="BE415" i="10"/>
  <c r="BF415" i="10" a="1"/>
  <c r="BF415" i="10"/>
  <c r="BG415" i="10" a="1"/>
  <c r="BG415" i="10"/>
  <c r="BH415" i="10" a="1"/>
  <c r="BH415" i="10"/>
  <c r="BI415" i="10" a="1"/>
  <c r="BI415" i="10"/>
  <c r="BJ415" i="10" a="1"/>
  <c r="BJ415" i="10"/>
  <c r="BK415" i="10" a="1"/>
  <c r="BK415" i="10"/>
  <c r="BL415" i="10" a="1"/>
  <c r="BL415" i="10"/>
  <c r="BM415" i="10" a="1"/>
  <c r="BM415" i="10"/>
  <c r="BN415" i="10" a="1"/>
  <c r="BN415" i="10"/>
  <c r="BO415" i="10" a="1"/>
  <c r="BO415" i="10"/>
  <c r="BP415" i="10" a="1"/>
  <c r="BP415" i="10"/>
  <c r="BQ415" i="10" a="1"/>
  <c r="BQ415" i="10"/>
  <c r="BR415" i="10" a="1"/>
  <c r="BR415" i="10"/>
  <c r="BS415" i="10" a="1"/>
  <c r="BS415" i="10"/>
  <c r="BT415" i="10" a="1"/>
  <c r="BT415" i="10"/>
  <c r="BU415" i="10" a="1"/>
  <c r="BU415" i="10"/>
  <c r="BV415" i="10" a="1"/>
  <c r="BV415" i="10"/>
  <c r="BW415" i="10" a="1"/>
  <c r="BW415" i="10"/>
  <c r="AU416" i="10" a="1"/>
  <c r="AU416" i="10"/>
  <c r="AV416" i="10" a="1"/>
  <c r="AV416" i="10"/>
  <c r="AW416" i="10" a="1"/>
  <c r="AW416" i="10"/>
  <c r="AX416" i="10" a="1"/>
  <c r="AX416" i="10"/>
  <c r="AY416" i="10" a="1"/>
  <c r="AY416" i="10"/>
  <c r="AZ416" i="10" a="1"/>
  <c r="AZ416" i="10"/>
  <c r="BA416" i="10" a="1"/>
  <c r="BA416" i="10"/>
  <c r="BB416" i="10" a="1"/>
  <c r="BB416" i="10"/>
  <c r="BC416" i="10" a="1"/>
  <c r="BC416" i="10"/>
  <c r="BD416" i="10" a="1"/>
  <c r="BD416" i="10"/>
  <c r="BE416" i="10" a="1"/>
  <c r="BE416" i="10"/>
  <c r="BF416" i="10" a="1"/>
  <c r="BF416" i="10"/>
  <c r="BG416" i="10" a="1"/>
  <c r="BG416" i="10"/>
  <c r="BH416" i="10" a="1"/>
  <c r="BH416" i="10"/>
  <c r="BI416" i="10" a="1"/>
  <c r="BI416" i="10"/>
  <c r="BJ416" i="10" a="1"/>
  <c r="BJ416" i="10"/>
  <c r="BK416" i="10" a="1"/>
  <c r="BK416" i="10"/>
  <c r="BL416" i="10" a="1"/>
  <c r="BL416" i="10"/>
  <c r="BM416" i="10" a="1"/>
  <c r="BM416" i="10"/>
  <c r="BN416" i="10" a="1"/>
  <c r="BN416" i="10"/>
  <c r="BO416" i="10" a="1"/>
  <c r="BO416" i="10"/>
  <c r="BP416" i="10" a="1"/>
  <c r="BP416" i="10"/>
  <c r="BQ416" i="10" a="1"/>
  <c r="BQ416" i="10"/>
  <c r="BR416" i="10" a="1"/>
  <c r="BR416" i="10"/>
  <c r="BS416" i="10" a="1"/>
  <c r="BS416" i="10"/>
  <c r="BT416" i="10" a="1"/>
  <c r="BT416" i="10"/>
  <c r="BU416" i="10" a="1"/>
  <c r="BU416" i="10"/>
  <c r="BV416" i="10" a="1"/>
  <c r="BV416" i="10"/>
  <c r="BW416" i="10" a="1"/>
  <c r="BW416" i="10"/>
  <c r="AU417" i="10" a="1"/>
  <c r="AU417" i="10"/>
  <c r="AV417" i="10" a="1"/>
  <c r="AV417" i="10"/>
  <c r="AW417" i="10" a="1"/>
  <c r="AW417" i="10"/>
  <c r="AX417" i="10" a="1"/>
  <c r="AX417" i="10"/>
  <c r="AY417" i="10" a="1"/>
  <c r="AY417" i="10"/>
  <c r="AZ417" i="10" a="1"/>
  <c r="AZ417" i="10"/>
  <c r="BA417" i="10" a="1"/>
  <c r="BA417" i="10"/>
  <c r="BB417" i="10" a="1"/>
  <c r="BB417" i="10"/>
  <c r="BC417" i="10" a="1"/>
  <c r="BC417" i="10"/>
  <c r="BD417" i="10" a="1"/>
  <c r="BD417" i="10"/>
  <c r="BE417" i="10" a="1"/>
  <c r="BE417" i="10"/>
  <c r="BF417" i="10" a="1"/>
  <c r="BF417" i="10"/>
  <c r="BG417" i="10" a="1"/>
  <c r="BG417" i="10"/>
  <c r="BH417" i="10" a="1"/>
  <c r="BH417" i="10"/>
  <c r="BI417" i="10" a="1"/>
  <c r="BI417" i="10"/>
  <c r="BJ417" i="10" a="1"/>
  <c r="BJ417" i="10"/>
  <c r="BK417" i="10" a="1"/>
  <c r="BK417" i="10"/>
  <c r="BL417" i="10" a="1"/>
  <c r="BL417" i="10"/>
  <c r="BM417" i="10" a="1"/>
  <c r="BM417" i="10"/>
  <c r="BN417" i="10" a="1"/>
  <c r="BN417" i="10"/>
  <c r="BO417" i="10" a="1"/>
  <c r="BO417" i="10"/>
  <c r="BP417" i="10" a="1"/>
  <c r="BP417" i="10"/>
  <c r="BQ417" i="10" a="1"/>
  <c r="BQ417" i="10"/>
  <c r="BR417" i="10" a="1"/>
  <c r="BR417" i="10"/>
  <c r="BS417" i="10" a="1"/>
  <c r="BS417" i="10"/>
  <c r="BT417" i="10" a="1"/>
  <c r="BT417" i="10"/>
  <c r="BU417" i="10" a="1"/>
  <c r="BU417" i="10"/>
  <c r="BV417" i="10" a="1"/>
  <c r="BV417" i="10"/>
  <c r="BW417" i="10" a="1"/>
  <c r="BW417" i="10"/>
  <c r="AU418" i="10" a="1"/>
  <c r="AU418" i="10"/>
  <c r="AV418" i="10" a="1"/>
  <c r="AV418" i="10"/>
  <c r="AW418" i="10" a="1"/>
  <c r="AW418" i="10"/>
  <c r="AX418" i="10" a="1"/>
  <c r="AX418" i="10"/>
  <c r="AY418" i="10" a="1"/>
  <c r="AY418" i="10"/>
  <c r="AZ418" i="10" a="1"/>
  <c r="AZ418" i="10"/>
  <c r="BA418" i="10" a="1"/>
  <c r="BA418" i="10"/>
  <c r="BB418" i="10" a="1"/>
  <c r="BB418" i="10"/>
  <c r="BC418" i="10" a="1"/>
  <c r="BC418" i="10"/>
  <c r="BD418" i="10" a="1"/>
  <c r="BD418" i="10"/>
  <c r="BE418" i="10" a="1"/>
  <c r="BE418" i="10"/>
  <c r="BF418" i="10" a="1"/>
  <c r="BF418" i="10"/>
  <c r="BG418" i="10" a="1"/>
  <c r="BG418" i="10"/>
  <c r="BH418" i="10" a="1"/>
  <c r="BH418" i="10"/>
  <c r="BI418" i="10" a="1"/>
  <c r="BI418" i="10"/>
  <c r="BJ418" i="10" a="1"/>
  <c r="BJ418" i="10"/>
  <c r="BK418" i="10" a="1"/>
  <c r="BK418" i="10"/>
  <c r="BL418" i="10" a="1"/>
  <c r="BL418" i="10"/>
  <c r="BM418" i="10" a="1"/>
  <c r="BM418" i="10"/>
  <c r="BN418" i="10" a="1"/>
  <c r="BN418" i="10"/>
  <c r="BO418" i="10" a="1"/>
  <c r="BO418" i="10"/>
  <c r="BP418" i="10" a="1"/>
  <c r="BP418" i="10"/>
  <c r="BQ418" i="10" a="1"/>
  <c r="BQ418" i="10"/>
  <c r="BR418" i="10" a="1"/>
  <c r="BR418" i="10"/>
  <c r="BS418" i="10" a="1"/>
  <c r="BS418" i="10"/>
  <c r="BT418" i="10" a="1"/>
  <c r="BT418" i="10"/>
  <c r="BU418" i="10" a="1"/>
  <c r="BU418" i="10"/>
  <c r="BV418" i="10" a="1"/>
  <c r="BV418" i="10"/>
  <c r="BW418" i="10" a="1"/>
  <c r="BW418" i="10"/>
  <c r="AU419" i="10" a="1"/>
  <c r="AU419" i="10"/>
  <c r="AV419" i="10" a="1"/>
  <c r="AV419" i="10"/>
  <c r="AW419" i="10" a="1"/>
  <c r="AW419" i="10"/>
  <c r="AX419" i="10" a="1"/>
  <c r="AX419" i="10"/>
  <c r="AY419" i="10" a="1"/>
  <c r="AY419" i="10"/>
  <c r="AZ419" i="10" a="1"/>
  <c r="AZ419" i="10"/>
  <c r="BA419" i="10" a="1"/>
  <c r="BA419" i="10"/>
  <c r="BB419" i="10" a="1"/>
  <c r="BB419" i="10"/>
  <c r="BC419" i="10" a="1"/>
  <c r="BC419" i="10"/>
  <c r="BD419" i="10" a="1"/>
  <c r="BD419" i="10"/>
  <c r="BE419" i="10" a="1"/>
  <c r="BE419" i="10"/>
  <c r="BF419" i="10" a="1"/>
  <c r="BF419" i="10"/>
  <c r="BG419" i="10" a="1"/>
  <c r="BG419" i="10"/>
  <c r="BH419" i="10" a="1"/>
  <c r="BH419" i="10"/>
  <c r="BI419" i="10" a="1"/>
  <c r="BI419" i="10"/>
  <c r="BJ419" i="10" a="1"/>
  <c r="BJ419" i="10"/>
  <c r="BK419" i="10" a="1"/>
  <c r="BK419" i="10"/>
  <c r="BL419" i="10" a="1"/>
  <c r="BL419" i="10"/>
  <c r="BM419" i="10" a="1"/>
  <c r="BM419" i="10"/>
  <c r="BN419" i="10" a="1"/>
  <c r="BN419" i="10"/>
  <c r="BO419" i="10" a="1"/>
  <c r="BO419" i="10"/>
  <c r="BP419" i="10" a="1"/>
  <c r="BP419" i="10"/>
  <c r="BQ419" i="10" a="1"/>
  <c r="BQ419" i="10"/>
  <c r="BR419" i="10" a="1"/>
  <c r="BR419" i="10"/>
  <c r="BS419" i="10" a="1"/>
  <c r="BS419" i="10"/>
  <c r="BT419" i="10" a="1"/>
  <c r="BT419" i="10"/>
  <c r="BU419" i="10" a="1"/>
  <c r="BU419" i="10"/>
  <c r="BV419" i="10" a="1"/>
  <c r="BV419" i="10"/>
  <c r="BW419" i="10" a="1"/>
  <c r="BW419" i="10"/>
  <c r="AU420" i="10" a="1"/>
  <c r="AU420" i="10"/>
  <c r="AV420" i="10" a="1"/>
  <c r="AV420" i="10"/>
  <c r="AW420" i="10" a="1"/>
  <c r="AW420" i="10"/>
  <c r="AX420" i="10" a="1"/>
  <c r="AX420" i="10"/>
  <c r="AY420" i="10" a="1"/>
  <c r="AY420" i="10"/>
  <c r="AZ420" i="10" a="1"/>
  <c r="AZ420" i="10"/>
  <c r="BA420" i="10" a="1"/>
  <c r="BA420" i="10"/>
  <c r="BB420" i="10" a="1"/>
  <c r="BB420" i="10"/>
  <c r="BC420" i="10" a="1"/>
  <c r="BC420" i="10"/>
  <c r="BD420" i="10" a="1"/>
  <c r="BD420" i="10"/>
  <c r="BE420" i="10" a="1"/>
  <c r="BE420" i="10"/>
  <c r="BF420" i="10" a="1"/>
  <c r="BF420" i="10"/>
  <c r="BG420" i="10" a="1"/>
  <c r="BG420" i="10"/>
  <c r="BH420" i="10" a="1"/>
  <c r="BH420" i="10"/>
  <c r="BI420" i="10" a="1"/>
  <c r="BI420" i="10"/>
  <c r="BJ420" i="10" a="1"/>
  <c r="BJ420" i="10"/>
  <c r="BK420" i="10" a="1"/>
  <c r="BK420" i="10"/>
  <c r="BL420" i="10" a="1"/>
  <c r="BL420" i="10"/>
  <c r="BM420" i="10" a="1"/>
  <c r="BM420" i="10"/>
  <c r="BN420" i="10" a="1"/>
  <c r="BN420" i="10"/>
  <c r="BO420" i="10" a="1"/>
  <c r="BO420" i="10"/>
  <c r="BP420" i="10" a="1"/>
  <c r="BP420" i="10"/>
  <c r="BQ420" i="10" a="1"/>
  <c r="BQ420" i="10"/>
  <c r="BR420" i="10" a="1"/>
  <c r="BR420" i="10"/>
  <c r="BS420" i="10" a="1"/>
  <c r="BS420" i="10"/>
  <c r="BT420" i="10" a="1"/>
  <c r="BT420" i="10"/>
  <c r="BU420" i="10" a="1"/>
  <c r="BU420" i="10"/>
  <c r="BV420" i="10" a="1"/>
  <c r="BV420" i="10"/>
  <c r="BW420" i="10" a="1"/>
  <c r="BW420" i="10"/>
  <c r="D405" i="10"/>
  <c r="C405" i="10"/>
  <c r="B405" i="10"/>
  <c r="D320" i="10"/>
  <c r="C320" i="10"/>
  <c r="B320" i="10"/>
  <c r="D168" i="10"/>
  <c r="C168" i="10"/>
  <c r="B168" i="10"/>
  <c r="D167" i="10"/>
  <c r="C167" i="10"/>
  <c r="B167" i="10"/>
  <c r="D154" i="10"/>
  <c r="C154" i="10"/>
  <c r="AQ6" i="10"/>
  <c r="AR6" i="10"/>
  <c r="AS6" i="10"/>
  <c r="T154" i="10"/>
  <c r="U154" i="10"/>
  <c r="V154" i="10"/>
  <c r="W154" i="10"/>
  <c r="X154" i="10"/>
  <c r="Y154" i="10"/>
  <c r="Z154" i="10"/>
  <c r="AA154" i="10"/>
  <c r="AB154" i="10"/>
  <c r="AC154" i="10"/>
  <c r="AD154" i="10"/>
  <c r="AE154" i="10"/>
  <c r="AF154" i="10"/>
  <c r="AG154" i="10"/>
  <c r="AH154" i="10"/>
  <c r="AI154" i="10"/>
  <c r="AJ154" i="10"/>
  <c r="AK154" i="10"/>
  <c r="AL154" i="10"/>
  <c r="AM154" i="10"/>
  <c r="AN154" i="10"/>
  <c r="AO154" i="10"/>
  <c r="AP154" i="10"/>
  <c r="AQ154" i="10"/>
  <c r="AR154" i="10"/>
  <c r="AS154" i="10"/>
  <c r="AT154" i="10"/>
  <c r="AQ155" i="10"/>
  <c r="AR155" i="10"/>
  <c r="AS155" i="10"/>
  <c r="AT155" i="10"/>
  <c r="AQ156" i="10"/>
  <c r="AR156" i="10"/>
  <c r="AS156" i="10"/>
  <c r="AT156" i="10"/>
  <c r="AQ158" i="10" a="1"/>
  <c r="AQ158" i="10"/>
  <c r="AR158" i="10" a="1"/>
  <c r="AR158" i="10"/>
  <c r="AS158" i="10" a="1"/>
  <c r="AS158" i="10"/>
  <c r="AT158" i="10" a="1"/>
  <c r="AT158" i="10"/>
  <c r="AQ161" i="10"/>
  <c r="AR161" i="10"/>
  <c r="AS161" i="10"/>
  <c r="AT161" i="10"/>
  <c r="T167" i="10"/>
  <c r="U167" i="10"/>
  <c r="V167" i="10"/>
  <c r="W167" i="10"/>
  <c r="X167" i="10"/>
  <c r="Y167" i="10"/>
  <c r="Z167" i="10"/>
  <c r="AA167" i="10"/>
  <c r="AB167" i="10"/>
  <c r="AC167" i="10"/>
  <c r="AD167" i="10"/>
  <c r="AE167" i="10"/>
  <c r="AF167" i="10"/>
  <c r="AG167" i="10"/>
  <c r="AH167" i="10"/>
  <c r="AI167" i="10"/>
  <c r="AJ167" i="10"/>
  <c r="AK167" i="10"/>
  <c r="AL167" i="10"/>
  <c r="AM167" i="10"/>
  <c r="AN167" i="10"/>
  <c r="AO167" i="10"/>
  <c r="AP167" i="10"/>
  <c r="AQ167" i="10"/>
  <c r="AR167" i="10"/>
  <c r="AS167" i="10"/>
  <c r="AT167" i="10"/>
  <c r="T168" i="10"/>
  <c r="U168" i="10"/>
  <c r="V168" i="10"/>
  <c r="W168" i="10"/>
  <c r="X168" i="10"/>
  <c r="Y168" i="10"/>
  <c r="Z168" i="10"/>
  <c r="AA168" i="10"/>
  <c r="AB168" i="10"/>
  <c r="AC168" i="10"/>
  <c r="AD168" i="10"/>
  <c r="AE168" i="10"/>
  <c r="AF168" i="10"/>
  <c r="AG168" i="10"/>
  <c r="AH168" i="10"/>
  <c r="AI168" i="10"/>
  <c r="AJ168" i="10"/>
  <c r="AK168" i="10"/>
  <c r="AL168" i="10"/>
  <c r="AM168" i="10"/>
  <c r="AN168" i="10"/>
  <c r="AO168" i="10"/>
  <c r="AP168" i="10"/>
  <c r="AQ168" i="10"/>
  <c r="AR168" i="10"/>
  <c r="AS168" i="10"/>
  <c r="AT168" i="10"/>
  <c r="T320" i="10"/>
  <c r="U320" i="10"/>
  <c r="V320" i="10"/>
  <c r="W320" i="10"/>
  <c r="X320" i="10"/>
  <c r="Y320" i="10"/>
  <c r="Z320" i="10"/>
  <c r="AA320" i="10"/>
  <c r="AB320" i="10"/>
  <c r="AC320" i="10"/>
  <c r="AD320" i="10"/>
  <c r="AE320" i="10"/>
  <c r="AF320" i="10"/>
  <c r="AG320" i="10"/>
  <c r="AH320" i="10"/>
  <c r="AI320" i="10"/>
  <c r="AJ320" i="10"/>
  <c r="AK320" i="10"/>
  <c r="AL320" i="10"/>
  <c r="AM320" i="10"/>
  <c r="AN320" i="10"/>
  <c r="AO320" i="10"/>
  <c r="AP320" i="10"/>
  <c r="AQ320" i="10"/>
  <c r="AR320" i="10"/>
  <c r="AS320" i="10"/>
  <c r="AT320" i="10"/>
  <c r="T405" i="10"/>
  <c r="U405" i="10"/>
  <c r="V405" i="10"/>
  <c r="W405" i="10"/>
  <c r="X405" i="10"/>
  <c r="Y405" i="10"/>
  <c r="Z405" i="10"/>
  <c r="AA405" i="10"/>
  <c r="AB405" i="10"/>
  <c r="AC405" i="10"/>
  <c r="AD405" i="10"/>
  <c r="AE405" i="10"/>
  <c r="AF405" i="10"/>
  <c r="AG405" i="10"/>
  <c r="AH405" i="10"/>
  <c r="AI405" i="10"/>
  <c r="AJ405" i="10"/>
  <c r="AK405" i="10"/>
  <c r="AL405" i="10"/>
  <c r="AM405" i="10"/>
  <c r="AN405" i="10"/>
  <c r="AO405" i="10"/>
  <c r="AP405" i="10"/>
  <c r="AQ405" i="10"/>
  <c r="AR405" i="10"/>
  <c r="AS405" i="10"/>
  <c r="AT405" i="10"/>
  <c r="T407" i="10" a="1"/>
  <c r="T407" i="10"/>
  <c r="U407" i="10" a="1"/>
  <c r="U407" i="10"/>
  <c r="W407" i="10" a="1"/>
  <c r="W407" i="10"/>
  <c r="X407" i="10" a="1"/>
  <c r="X407" i="10"/>
  <c r="Y407" i="10" a="1"/>
  <c r="Y407" i="10"/>
  <c r="Z407" i="10" a="1"/>
  <c r="Z407" i="10"/>
  <c r="AA407" i="10" a="1"/>
  <c r="AA407" i="10"/>
  <c r="AB407" i="10" a="1"/>
  <c r="AB407" i="10"/>
  <c r="AC407" i="10" a="1"/>
  <c r="AC407" i="10"/>
  <c r="AD407" i="10" a="1"/>
  <c r="AD407" i="10"/>
  <c r="AE407" i="10" a="1"/>
  <c r="AE407" i="10"/>
  <c r="AF407" i="10" a="1"/>
  <c r="AF407" i="10"/>
  <c r="AG407" i="10" a="1"/>
  <c r="AG407" i="10"/>
  <c r="AH407" i="10" a="1"/>
  <c r="AH407" i="10"/>
  <c r="AI407" i="10" a="1"/>
  <c r="AI407" i="10"/>
  <c r="AJ407" i="10" a="1"/>
  <c r="AJ407" i="10"/>
  <c r="AK407" i="10" a="1"/>
  <c r="AK407" i="10"/>
  <c r="AL407" i="10" a="1"/>
  <c r="AL407" i="10"/>
  <c r="AM407" i="10" a="1"/>
  <c r="AM407" i="10"/>
  <c r="AN407" i="10" a="1"/>
  <c r="AN407" i="10"/>
  <c r="AO407" i="10" a="1"/>
  <c r="AO407" i="10"/>
  <c r="AP407" i="10" a="1"/>
  <c r="AP407" i="10"/>
  <c r="AQ407" i="10" a="1"/>
  <c r="AQ407" i="10"/>
  <c r="AR407" i="10" a="1"/>
  <c r="AR407" i="10"/>
  <c r="AS407" i="10" a="1"/>
  <c r="AS407" i="10"/>
  <c r="AT407" i="10" a="1"/>
  <c r="AT407" i="10"/>
  <c r="T408" i="10" a="1"/>
  <c r="T408" i="10"/>
  <c r="U408" i="10" a="1"/>
  <c r="U408" i="10"/>
  <c r="W408" i="10" a="1"/>
  <c r="W408" i="10"/>
  <c r="X408" i="10" a="1"/>
  <c r="X408" i="10"/>
  <c r="Y408" i="10" a="1"/>
  <c r="Y408" i="10"/>
  <c r="Z408" i="10" a="1"/>
  <c r="Z408" i="10"/>
  <c r="AA408" i="10" a="1"/>
  <c r="AA408" i="10"/>
  <c r="AB408" i="10" a="1"/>
  <c r="AB408" i="10"/>
  <c r="AC408" i="10" a="1"/>
  <c r="AC408" i="10"/>
  <c r="AD408" i="10" a="1"/>
  <c r="AD408" i="10"/>
  <c r="AE408" i="10" a="1"/>
  <c r="AE408" i="10"/>
  <c r="AF408" i="10" a="1"/>
  <c r="AF408" i="10"/>
  <c r="AG408" i="10" a="1"/>
  <c r="AG408" i="10"/>
  <c r="AH408" i="10" a="1"/>
  <c r="AH408" i="10"/>
  <c r="AI408" i="10" a="1"/>
  <c r="AI408" i="10"/>
  <c r="AJ408" i="10" a="1"/>
  <c r="AJ408" i="10"/>
  <c r="AK408" i="10" a="1"/>
  <c r="AK408" i="10"/>
  <c r="AL408" i="10" a="1"/>
  <c r="AL408" i="10"/>
  <c r="AM408" i="10" a="1"/>
  <c r="AM408" i="10"/>
  <c r="AN408" i="10" a="1"/>
  <c r="AN408" i="10"/>
  <c r="AO408" i="10" a="1"/>
  <c r="AO408" i="10"/>
  <c r="AP408" i="10" a="1"/>
  <c r="AP408" i="10"/>
  <c r="AQ408" i="10" a="1"/>
  <c r="AQ408" i="10"/>
  <c r="AR408" i="10" a="1"/>
  <c r="AR408" i="10"/>
  <c r="AS408" i="10" a="1"/>
  <c r="AS408" i="10"/>
  <c r="AT408" i="10" a="1"/>
  <c r="AT408" i="10"/>
  <c r="T409" i="10" a="1"/>
  <c r="T409" i="10"/>
  <c r="U409" i="10" a="1"/>
  <c r="U409" i="10"/>
  <c r="W409" i="10" a="1"/>
  <c r="W409" i="10"/>
  <c r="X409" i="10" a="1"/>
  <c r="X409" i="10"/>
  <c r="Y409" i="10" a="1"/>
  <c r="Y409" i="10"/>
  <c r="Z409" i="10" a="1"/>
  <c r="Z409" i="10"/>
  <c r="AA409" i="10" a="1"/>
  <c r="AA409" i="10"/>
  <c r="AB409" i="10" a="1"/>
  <c r="AB409" i="10"/>
  <c r="AC409" i="10" a="1"/>
  <c r="AC409" i="10"/>
  <c r="AD409" i="10" a="1"/>
  <c r="AD409" i="10"/>
  <c r="AE409" i="10" a="1"/>
  <c r="AE409" i="10"/>
  <c r="AF409" i="10" a="1"/>
  <c r="AF409" i="10"/>
  <c r="AG409" i="10" a="1"/>
  <c r="AG409" i="10"/>
  <c r="AH409" i="10" a="1"/>
  <c r="AH409" i="10"/>
  <c r="AI409" i="10" a="1"/>
  <c r="AI409" i="10"/>
  <c r="AJ409" i="10" a="1"/>
  <c r="AJ409" i="10"/>
  <c r="AK409" i="10" a="1"/>
  <c r="AK409" i="10"/>
  <c r="AL409" i="10" a="1"/>
  <c r="AL409" i="10"/>
  <c r="AM409" i="10" a="1"/>
  <c r="AM409" i="10"/>
  <c r="AN409" i="10" a="1"/>
  <c r="AN409" i="10"/>
  <c r="AO409" i="10" a="1"/>
  <c r="AO409" i="10"/>
  <c r="AP409" i="10" a="1"/>
  <c r="AP409" i="10"/>
  <c r="AQ409" i="10" a="1"/>
  <c r="AQ409" i="10"/>
  <c r="AR409" i="10" a="1"/>
  <c r="AR409" i="10"/>
  <c r="AS409" i="10" a="1"/>
  <c r="AS409" i="10"/>
  <c r="AT409" i="10" a="1"/>
  <c r="AT409" i="10"/>
  <c r="T410" i="10" a="1"/>
  <c r="T410" i="10"/>
  <c r="U410" i="10" a="1"/>
  <c r="U410" i="10"/>
  <c r="W410" i="10" a="1"/>
  <c r="W410" i="10"/>
  <c r="X410" i="10" a="1"/>
  <c r="X410" i="10"/>
  <c r="Y410" i="10" a="1"/>
  <c r="Y410" i="10"/>
  <c r="Z410" i="10" a="1"/>
  <c r="Z410" i="10"/>
  <c r="AA410" i="10" a="1"/>
  <c r="AA410" i="10"/>
  <c r="AB410" i="10" a="1"/>
  <c r="AB410" i="10"/>
  <c r="AC410" i="10" a="1"/>
  <c r="AC410" i="10"/>
  <c r="AD410" i="10" a="1"/>
  <c r="AD410" i="10"/>
  <c r="AE410" i="10" a="1"/>
  <c r="AE410" i="10"/>
  <c r="AF410" i="10" a="1"/>
  <c r="AF410" i="10"/>
  <c r="AG410" i="10" a="1"/>
  <c r="AG410" i="10"/>
  <c r="AH410" i="10" a="1"/>
  <c r="AH410" i="10"/>
  <c r="AI410" i="10" a="1"/>
  <c r="AI410" i="10"/>
  <c r="AJ410" i="10" a="1"/>
  <c r="AJ410" i="10"/>
  <c r="AK410" i="10" a="1"/>
  <c r="AK410" i="10"/>
  <c r="AL410" i="10" a="1"/>
  <c r="AL410" i="10"/>
  <c r="AM410" i="10" a="1"/>
  <c r="AM410" i="10"/>
  <c r="AN410" i="10" a="1"/>
  <c r="AN410" i="10"/>
  <c r="AO410" i="10" a="1"/>
  <c r="AO410" i="10"/>
  <c r="AP410" i="10" a="1"/>
  <c r="AP410" i="10"/>
  <c r="AQ410" i="10" a="1"/>
  <c r="AQ410" i="10"/>
  <c r="AR410" i="10" a="1"/>
  <c r="AR410" i="10"/>
  <c r="AS410" i="10" a="1"/>
  <c r="AS410" i="10"/>
  <c r="AT410" i="10" a="1"/>
  <c r="AT410" i="10"/>
  <c r="W411" i="10" a="1"/>
  <c r="W411" i="10"/>
  <c r="X411" i="10" a="1"/>
  <c r="X411" i="10"/>
  <c r="Y411" i="10" a="1"/>
  <c r="Y411" i="10"/>
  <c r="Z411" i="10" a="1"/>
  <c r="Z411" i="10"/>
  <c r="AA411" i="10" a="1"/>
  <c r="AA411" i="10"/>
  <c r="AB411" i="10" a="1"/>
  <c r="AB411" i="10"/>
  <c r="AC411" i="10" a="1"/>
  <c r="AC411" i="10"/>
  <c r="AD411" i="10" a="1"/>
  <c r="AD411" i="10"/>
  <c r="AE411" i="10" a="1"/>
  <c r="AE411" i="10"/>
  <c r="AF411" i="10" a="1"/>
  <c r="AF411" i="10"/>
  <c r="AG411" i="10" a="1"/>
  <c r="AG411" i="10"/>
  <c r="AH411" i="10" a="1"/>
  <c r="AH411" i="10"/>
  <c r="AI411" i="10" a="1"/>
  <c r="AI411" i="10"/>
  <c r="AJ411" i="10" a="1"/>
  <c r="AJ411" i="10"/>
  <c r="AK411" i="10" a="1"/>
  <c r="AK411" i="10"/>
  <c r="AL411" i="10" a="1"/>
  <c r="AL411" i="10"/>
  <c r="AM411" i="10" a="1"/>
  <c r="AM411" i="10"/>
  <c r="AN411" i="10" a="1"/>
  <c r="AN411" i="10"/>
  <c r="AO411" i="10" a="1"/>
  <c r="AO411" i="10"/>
  <c r="AP411" i="10" a="1"/>
  <c r="AP411" i="10"/>
  <c r="AQ411" i="10" a="1"/>
  <c r="AQ411" i="10"/>
  <c r="AR411" i="10" a="1"/>
  <c r="AR411" i="10"/>
  <c r="AS411" i="10" a="1"/>
  <c r="AS411" i="10"/>
  <c r="AT411" i="10" a="1"/>
  <c r="AT411" i="10"/>
  <c r="W412" i="10" a="1"/>
  <c r="W412" i="10"/>
  <c r="X412" i="10" a="1"/>
  <c r="X412" i="10"/>
  <c r="Y412" i="10" a="1"/>
  <c r="Y412" i="10"/>
  <c r="Z412" i="10" a="1"/>
  <c r="Z412" i="10"/>
  <c r="AA412" i="10" a="1"/>
  <c r="AA412" i="10"/>
  <c r="AB412" i="10" a="1"/>
  <c r="AB412" i="10"/>
  <c r="AC412" i="10" a="1"/>
  <c r="AC412" i="10"/>
  <c r="AD412" i="10" a="1"/>
  <c r="AD412" i="10"/>
  <c r="AE412" i="10" a="1"/>
  <c r="AE412" i="10"/>
  <c r="AF412" i="10" a="1"/>
  <c r="AF412" i="10"/>
  <c r="AG412" i="10" a="1"/>
  <c r="AG412" i="10"/>
  <c r="AH412" i="10" a="1"/>
  <c r="AH412" i="10"/>
  <c r="AI412" i="10" a="1"/>
  <c r="AI412" i="10"/>
  <c r="AJ412" i="10" a="1"/>
  <c r="AJ412" i="10"/>
  <c r="AK412" i="10" a="1"/>
  <c r="AK412" i="10"/>
  <c r="AL412" i="10" a="1"/>
  <c r="AL412" i="10"/>
  <c r="AM412" i="10" a="1"/>
  <c r="AM412" i="10"/>
  <c r="AN412" i="10" a="1"/>
  <c r="AN412" i="10"/>
  <c r="AO412" i="10" a="1"/>
  <c r="AO412" i="10"/>
  <c r="AP412" i="10" a="1"/>
  <c r="AP412" i="10"/>
  <c r="AQ412" i="10" a="1"/>
  <c r="AQ412" i="10"/>
  <c r="AR412" i="10" a="1"/>
  <c r="AR412" i="10"/>
  <c r="AS412" i="10" a="1"/>
  <c r="AS412" i="10"/>
  <c r="AT412" i="10" a="1"/>
  <c r="AT412" i="10"/>
  <c r="W413" i="10" a="1"/>
  <c r="W413" i="10"/>
  <c r="X413" i="10" a="1"/>
  <c r="X413" i="10"/>
  <c r="Y413" i="10" a="1"/>
  <c r="Y413" i="10"/>
  <c r="Z413" i="10" a="1"/>
  <c r="Z413" i="10"/>
  <c r="AA413" i="10" a="1"/>
  <c r="AA413" i="10"/>
  <c r="AB413" i="10" a="1"/>
  <c r="AB413" i="10"/>
  <c r="AC413" i="10" a="1"/>
  <c r="AC413" i="10"/>
  <c r="AD413" i="10" a="1"/>
  <c r="AD413" i="10"/>
  <c r="AE413" i="10" a="1"/>
  <c r="AE413" i="10"/>
  <c r="AF413" i="10" a="1"/>
  <c r="AF413" i="10"/>
  <c r="AG413" i="10" a="1"/>
  <c r="AG413" i="10"/>
  <c r="AH413" i="10" a="1"/>
  <c r="AH413" i="10"/>
  <c r="AI413" i="10" a="1"/>
  <c r="AI413" i="10"/>
  <c r="AJ413" i="10" a="1"/>
  <c r="AJ413" i="10"/>
  <c r="AK413" i="10" a="1"/>
  <c r="AK413" i="10"/>
  <c r="AL413" i="10" a="1"/>
  <c r="AL413" i="10"/>
  <c r="AM413" i="10" a="1"/>
  <c r="AM413" i="10"/>
  <c r="AN413" i="10" a="1"/>
  <c r="AN413" i="10"/>
  <c r="AO413" i="10" a="1"/>
  <c r="AO413" i="10"/>
  <c r="AP413" i="10" a="1"/>
  <c r="AP413" i="10"/>
  <c r="AQ413" i="10" a="1"/>
  <c r="AQ413" i="10"/>
  <c r="AR413" i="10" a="1"/>
  <c r="AR413" i="10"/>
  <c r="AS413" i="10" a="1"/>
  <c r="AS413" i="10"/>
  <c r="AT413" i="10" a="1"/>
  <c r="AT413" i="10"/>
  <c r="W414" i="10" a="1"/>
  <c r="W414" i="10"/>
  <c r="X414" i="10" a="1"/>
  <c r="X414" i="10"/>
  <c r="Y414" i="10" a="1"/>
  <c r="Y414" i="10"/>
  <c r="Z414" i="10" a="1"/>
  <c r="Z414" i="10"/>
  <c r="AA414" i="10" a="1"/>
  <c r="AA414" i="10"/>
  <c r="AB414" i="10" a="1"/>
  <c r="AB414" i="10"/>
  <c r="AC414" i="10" a="1"/>
  <c r="AC414" i="10"/>
  <c r="AD414" i="10" a="1"/>
  <c r="AD414" i="10"/>
  <c r="AE414" i="10" a="1"/>
  <c r="AE414" i="10"/>
  <c r="AF414" i="10" a="1"/>
  <c r="AF414" i="10"/>
  <c r="AG414" i="10" a="1"/>
  <c r="AG414" i="10"/>
  <c r="AH414" i="10" a="1"/>
  <c r="AH414" i="10"/>
  <c r="AI414" i="10" a="1"/>
  <c r="AI414" i="10"/>
  <c r="AJ414" i="10" a="1"/>
  <c r="AJ414" i="10"/>
  <c r="AK414" i="10" a="1"/>
  <c r="AK414" i="10"/>
  <c r="AL414" i="10" a="1"/>
  <c r="AL414" i="10"/>
  <c r="AM414" i="10" a="1"/>
  <c r="AM414" i="10"/>
  <c r="AN414" i="10" a="1"/>
  <c r="AN414" i="10"/>
  <c r="AO414" i="10" a="1"/>
  <c r="AO414" i="10"/>
  <c r="AP414" i="10" a="1"/>
  <c r="AP414" i="10"/>
  <c r="AQ414" i="10" a="1"/>
  <c r="AQ414" i="10"/>
  <c r="AR414" i="10" a="1"/>
  <c r="AR414" i="10"/>
  <c r="AS414" i="10" a="1"/>
  <c r="AS414" i="10"/>
  <c r="AT414" i="10" a="1"/>
  <c r="AT414" i="10"/>
  <c r="W415" i="10" a="1"/>
  <c r="W415" i="10"/>
  <c r="X415" i="10" a="1"/>
  <c r="X415" i="10"/>
  <c r="Y415" i="10" a="1"/>
  <c r="Y415" i="10"/>
  <c r="Z415" i="10" a="1"/>
  <c r="Z415" i="10"/>
  <c r="AA415" i="10" a="1"/>
  <c r="AA415" i="10"/>
  <c r="AB415" i="10" a="1"/>
  <c r="AB415" i="10"/>
  <c r="AC415" i="10" a="1"/>
  <c r="AC415" i="10"/>
  <c r="AD415" i="10" a="1"/>
  <c r="AD415" i="10"/>
  <c r="AE415" i="10" a="1"/>
  <c r="AE415" i="10"/>
  <c r="AF415" i="10" a="1"/>
  <c r="AF415" i="10"/>
  <c r="AG415" i="10" a="1"/>
  <c r="AG415" i="10"/>
  <c r="AH415" i="10" a="1"/>
  <c r="AH415" i="10"/>
  <c r="AI415" i="10" a="1"/>
  <c r="AI415" i="10"/>
  <c r="AJ415" i="10" a="1"/>
  <c r="AJ415" i="10"/>
  <c r="AK415" i="10" a="1"/>
  <c r="AK415" i="10"/>
  <c r="AL415" i="10" a="1"/>
  <c r="AL415" i="10"/>
  <c r="AM415" i="10" a="1"/>
  <c r="AM415" i="10"/>
  <c r="AN415" i="10" a="1"/>
  <c r="AN415" i="10"/>
  <c r="AO415" i="10" a="1"/>
  <c r="AO415" i="10"/>
  <c r="AP415" i="10" a="1"/>
  <c r="AP415" i="10"/>
  <c r="AQ415" i="10" a="1"/>
  <c r="AQ415" i="10"/>
  <c r="AR415" i="10" a="1"/>
  <c r="AR415" i="10"/>
  <c r="AS415" i="10" a="1"/>
  <c r="AS415" i="10"/>
  <c r="AT415" i="10" a="1"/>
  <c r="AT415" i="10"/>
  <c r="W416" i="10" a="1"/>
  <c r="W416" i="10"/>
  <c r="X416" i="10" a="1"/>
  <c r="X416" i="10"/>
  <c r="Y416" i="10" a="1"/>
  <c r="Y416" i="10"/>
  <c r="Z416" i="10" a="1"/>
  <c r="Z416" i="10"/>
  <c r="AA416" i="10" a="1"/>
  <c r="AA416" i="10"/>
  <c r="AB416" i="10" a="1"/>
  <c r="AB416" i="10"/>
  <c r="AC416" i="10" a="1"/>
  <c r="AC416" i="10"/>
  <c r="AD416" i="10" a="1"/>
  <c r="AD416" i="10"/>
  <c r="AE416" i="10" a="1"/>
  <c r="AE416" i="10"/>
  <c r="AF416" i="10" a="1"/>
  <c r="AF416" i="10"/>
  <c r="AG416" i="10" a="1"/>
  <c r="AG416" i="10"/>
  <c r="AH416" i="10" a="1"/>
  <c r="AH416" i="10"/>
  <c r="AI416" i="10" a="1"/>
  <c r="AI416" i="10"/>
  <c r="AJ416" i="10" a="1"/>
  <c r="AJ416" i="10"/>
  <c r="AK416" i="10" a="1"/>
  <c r="AK416" i="10"/>
  <c r="AL416" i="10" a="1"/>
  <c r="AL416" i="10"/>
  <c r="AM416" i="10" a="1"/>
  <c r="AM416" i="10"/>
  <c r="AN416" i="10" a="1"/>
  <c r="AN416" i="10"/>
  <c r="AO416" i="10" a="1"/>
  <c r="AO416" i="10"/>
  <c r="AP416" i="10" a="1"/>
  <c r="AP416" i="10"/>
  <c r="AQ416" i="10" a="1"/>
  <c r="AQ416" i="10"/>
  <c r="AR416" i="10" a="1"/>
  <c r="AR416" i="10"/>
  <c r="AS416" i="10" a="1"/>
  <c r="AS416" i="10"/>
  <c r="AT416" i="10" a="1"/>
  <c r="AT416" i="10"/>
  <c r="W417" i="10" a="1"/>
  <c r="W417" i="10"/>
  <c r="X417" i="10" a="1"/>
  <c r="X417" i="10"/>
  <c r="Y417" i="10" a="1"/>
  <c r="Y417" i="10"/>
  <c r="Z417" i="10" a="1"/>
  <c r="Z417" i="10"/>
  <c r="AA417" i="10" a="1"/>
  <c r="AA417" i="10"/>
  <c r="AB417" i="10" a="1"/>
  <c r="AB417" i="10"/>
  <c r="AC417" i="10" a="1"/>
  <c r="AC417" i="10"/>
  <c r="AD417" i="10" a="1"/>
  <c r="AD417" i="10"/>
  <c r="AE417" i="10" a="1"/>
  <c r="AE417" i="10"/>
  <c r="AF417" i="10" a="1"/>
  <c r="AF417" i="10"/>
  <c r="AG417" i="10" a="1"/>
  <c r="AG417" i="10"/>
  <c r="AH417" i="10" a="1"/>
  <c r="AH417" i="10"/>
  <c r="AI417" i="10" a="1"/>
  <c r="AI417" i="10"/>
  <c r="AJ417" i="10" a="1"/>
  <c r="AJ417" i="10"/>
  <c r="AK417" i="10" a="1"/>
  <c r="AK417" i="10"/>
  <c r="AL417" i="10" a="1"/>
  <c r="AL417" i="10"/>
  <c r="AM417" i="10" a="1"/>
  <c r="AM417" i="10"/>
  <c r="AN417" i="10" a="1"/>
  <c r="AN417" i="10"/>
  <c r="AO417" i="10" a="1"/>
  <c r="AO417" i="10"/>
  <c r="AP417" i="10" a="1"/>
  <c r="AP417" i="10"/>
  <c r="AQ417" i="10" a="1"/>
  <c r="AQ417" i="10"/>
  <c r="AR417" i="10" a="1"/>
  <c r="AR417" i="10"/>
  <c r="AS417" i="10" a="1"/>
  <c r="AS417" i="10"/>
  <c r="AT417" i="10" a="1"/>
  <c r="AT417" i="10"/>
  <c r="AD418" i="10" a="1"/>
  <c r="AD418" i="10"/>
  <c r="AE418" i="10" a="1"/>
  <c r="AE418" i="10"/>
  <c r="AF418" i="10" a="1"/>
  <c r="AF418" i="10"/>
  <c r="AG418" i="10" a="1"/>
  <c r="AG418" i="10"/>
  <c r="AH418" i="10" a="1"/>
  <c r="AH418" i="10"/>
  <c r="AI418" i="10" a="1"/>
  <c r="AI418" i="10"/>
  <c r="AJ418" i="10" a="1"/>
  <c r="AJ418" i="10"/>
  <c r="AK418" i="10" a="1"/>
  <c r="AK418" i="10"/>
  <c r="AL418" i="10" a="1"/>
  <c r="AL418" i="10"/>
  <c r="AM418" i="10" a="1"/>
  <c r="AM418" i="10"/>
  <c r="AN418" i="10" a="1"/>
  <c r="AN418" i="10"/>
  <c r="AO418" i="10" a="1"/>
  <c r="AO418" i="10"/>
  <c r="AP418" i="10" a="1"/>
  <c r="AP418" i="10"/>
  <c r="AQ418" i="10" a="1"/>
  <c r="AQ418" i="10"/>
  <c r="AR418" i="10" a="1"/>
  <c r="AR418" i="10"/>
  <c r="AS418" i="10" a="1"/>
  <c r="AS418" i="10"/>
  <c r="AT418" i="10" a="1"/>
  <c r="AT418" i="10"/>
  <c r="AQ419" i="10" a="1"/>
  <c r="AQ419" i="10"/>
  <c r="AR419" i="10" a="1"/>
  <c r="AR419" i="10"/>
  <c r="AS419" i="10" a="1"/>
  <c r="AS419" i="10"/>
  <c r="AT419" i="10" a="1"/>
  <c r="AT419" i="10"/>
  <c r="AQ420" i="10" a="1"/>
  <c r="AQ420" i="10"/>
  <c r="AR420" i="10" a="1"/>
  <c r="AR420" i="10"/>
  <c r="AS420" i="10" a="1"/>
  <c r="AS420" i="10"/>
  <c r="AT420" i="10" a="1"/>
  <c r="AT420" i="10"/>
  <c r="C56" i="6"/>
  <c r="AL122" i="6" a="1"/>
  <c r="AL122" i="6"/>
  <c r="AK122" i="6" a="1"/>
  <c r="AK122" i="6"/>
  <c r="AJ122" i="6" a="1"/>
  <c r="AJ122" i="6"/>
  <c r="AI122" i="6" a="1"/>
  <c r="AI122" i="6"/>
  <c r="AH122" i="6" a="1"/>
  <c r="AH122" i="6"/>
  <c r="AG122" i="6" a="1"/>
  <c r="AG122" i="6"/>
  <c r="AF122" i="6" a="1"/>
  <c r="AF122" i="6"/>
  <c r="AE122" i="6" a="1"/>
  <c r="AE122" i="6"/>
  <c r="AD122" i="6" a="1"/>
  <c r="AD122" i="6"/>
  <c r="D90" i="3"/>
  <c r="E90" i="3"/>
  <c r="F90" i="3"/>
  <c r="G90" i="3"/>
  <c r="B43" i="7"/>
  <c r="A43" i="7"/>
  <c r="C43" i="7"/>
  <c r="P90" i="3"/>
  <c r="O90" i="3"/>
  <c r="N90" i="3"/>
  <c r="M90" i="3"/>
  <c r="L90" i="3"/>
  <c r="F45" i="9" a="1"/>
  <c r="F45" i="9"/>
  <c r="G45" i="9" a="1"/>
  <c r="G45" i="9"/>
  <c r="H45" i="9" a="1"/>
  <c r="H45" i="9"/>
  <c r="I45" i="9" a="1"/>
  <c r="I45" i="9"/>
  <c r="J45" i="9" a="1"/>
  <c r="J45" i="9"/>
  <c r="K45" i="9" a="1"/>
  <c r="K45" i="9"/>
  <c r="L45" i="9" a="1"/>
  <c r="L45" i="9"/>
  <c r="M45" i="9" a="1"/>
  <c r="M45" i="9"/>
  <c r="N45" i="9" a="1"/>
  <c r="N45" i="9"/>
  <c r="O45" i="9" a="1"/>
  <c r="O45" i="9"/>
  <c r="P45" i="9" a="1"/>
  <c r="P45" i="9"/>
  <c r="Q45" i="9" a="1"/>
  <c r="Q45" i="9"/>
  <c r="R45" i="9" a="1"/>
  <c r="R45" i="9"/>
  <c r="S45" i="9" a="1"/>
  <c r="S45" i="9"/>
  <c r="T45" i="9" a="1"/>
  <c r="T45" i="9"/>
  <c r="U45" i="9" a="1"/>
  <c r="U45" i="9"/>
  <c r="V45" i="9" a="1"/>
  <c r="V45" i="9"/>
  <c r="W45" i="9" a="1"/>
  <c r="W45" i="9"/>
  <c r="X45" i="9" a="1"/>
  <c r="X45" i="9"/>
  <c r="Y45" i="9" a="1"/>
  <c r="Y45" i="9"/>
  <c r="Z45" i="9" a="1"/>
  <c r="Z45" i="9"/>
  <c r="AA45" i="9" a="1"/>
  <c r="AA45" i="9"/>
  <c r="AB45" i="9" a="1"/>
  <c r="AB45" i="9"/>
  <c r="AC45" i="9" a="1"/>
  <c r="AC45" i="9"/>
  <c r="AD45" i="9" a="1"/>
  <c r="AD45" i="9"/>
  <c r="AE45" i="9" a="1"/>
  <c r="AE45" i="9"/>
  <c r="AF45" i="9" a="1"/>
  <c r="AF45" i="9"/>
  <c r="AG45" i="9" a="1"/>
  <c r="AG45" i="9"/>
  <c r="AH45" i="9" a="1"/>
  <c r="AH45" i="9"/>
  <c r="AI45" i="9" a="1"/>
  <c r="AI45" i="9"/>
  <c r="AJ45" i="9" a="1"/>
  <c r="AJ45" i="9"/>
  <c r="AK45" i="9" a="1"/>
  <c r="AK45" i="9"/>
  <c r="AL45" i="9" a="1"/>
  <c r="AL45" i="9"/>
  <c r="AM45" i="9" a="1"/>
  <c r="AM45" i="9"/>
  <c r="AN45" i="9" a="1"/>
  <c r="AN45" i="9"/>
  <c r="AO45" i="9" a="1"/>
  <c r="AO45" i="9"/>
  <c r="AP45" i="9" a="1"/>
  <c r="AP45" i="9"/>
  <c r="AQ45" i="9" a="1"/>
  <c r="AQ45" i="9"/>
  <c r="AR45" i="9" a="1"/>
  <c r="AR45" i="9"/>
  <c r="AS45" i="9" a="1"/>
  <c r="AS45" i="9"/>
  <c r="AT45" i="9" a="1"/>
  <c r="AT45" i="9"/>
  <c r="AU45" i="9" a="1"/>
  <c r="AU45" i="9"/>
  <c r="AV45" i="9" a="1"/>
  <c r="AV45" i="9"/>
  <c r="AW45" i="9" a="1"/>
  <c r="AW45" i="9"/>
  <c r="AX45" i="9" a="1"/>
  <c r="AX45" i="9"/>
  <c r="AY45" i="9" a="1"/>
  <c r="AY45" i="9"/>
  <c r="AZ45" i="9" a="1"/>
  <c r="AZ45" i="9"/>
  <c r="C45" i="9" a="1"/>
  <c r="C45" i="9"/>
  <c r="D45" i="9" a="1"/>
  <c r="D45" i="9"/>
  <c r="E45" i="9" a="1"/>
  <c r="E45" i="9"/>
  <c r="B45" i="9" a="1"/>
  <c r="B45" i="9"/>
  <c r="F154" i="10"/>
  <c r="G154" i="10"/>
  <c r="H154" i="10"/>
  <c r="I154" i="10"/>
  <c r="J154" i="10"/>
  <c r="K154" i="10"/>
  <c r="L154" i="10"/>
  <c r="M154" i="10"/>
  <c r="N154" i="10"/>
  <c r="O154" i="10"/>
  <c r="P154" i="10"/>
  <c r="Q154" i="10"/>
  <c r="R154" i="10"/>
  <c r="S154" i="10"/>
  <c r="CA154" i="10"/>
  <c r="E154" i="10"/>
  <c r="CA158" i="10" a="1"/>
  <c r="CA158" i="10"/>
  <c r="T85" i="2"/>
  <c r="CA161" i="10"/>
  <c r="CA155" i="10"/>
  <c r="CA156" i="10"/>
  <c r="E408" i="10" a="1"/>
  <c r="E408" i="10"/>
  <c r="G408" i="10" a="1"/>
  <c r="G408" i="10"/>
  <c r="I408" i="10" a="1"/>
  <c r="I408" i="10"/>
  <c r="E409" i="10" a="1"/>
  <c r="E409" i="10"/>
  <c r="G409" i="10" a="1"/>
  <c r="G409" i="10"/>
  <c r="I409" i="10" a="1"/>
  <c r="I409" i="10"/>
  <c r="E410" i="10" a="1"/>
  <c r="E410" i="10"/>
  <c r="G410" i="10" a="1"/>
  <c r="G410" i="10"/>
  <c r="I410" i="10" a="1"/>
  <c r="I410" i="10"/>
  <c r="E411" i="10" a="1"/>
  <c r="E411" i="10"/>
  <c r="G411" i="10" a="1"/>
  <c r="G411" i="10"/>
  <c r="I411" i="10" a="1"/>
  <c r="I411" i="10"/>
  <c r="E412" i="10" a="1"/>
  <c r="E412" i="10"/>
  <c r="G412" i="10" a="1"/>
  <c r="G412" i="10"/>
  <c r="I412" i="10" a="1"/>
  <c r="I412" i="10"/>
  <c r="E413" i="10" a="1"/>
  <c r="E413" i="10"/>
  <c r="G413" i="10" a="1"/>
  <c r="G413" i="10"/>
  <c r="I413" i="10" a="1"/>
  <c r="I413" i="10"/>
  <c r="E414" i="10" a="1"/>
  <c r="E414" i="10"/>
  <c r="G414" i="10" a="1"/>
  <c r="G414" i="10"/>
  <c r="I414" i="10" a="1"/>
  <c r="I414" i="10"/>
  <c r="E415" i="10" a="1"/>
  <c r="E415" i="10"/>
  <c r="G415" i="10" a="1"/>
  <c r="G415" i="10"/>
  <c r="I415" i="10" a="1"/>
  <c r="I415" i="10"/>
  <c r="E416" i="10" a="1"/>
  <c r="E416" i="10"/>
  <c r="G416" i="10" a="1"/>
  <c r="G416" i="10"/>
  <c r="I416" i="10" a="1"/>
  <c r="I416" i="10"/>
  <c r="E417" i="10" a="1"/>
  <c r="E417" i="10"/>
  <c r="G417" i="10" a="1"/>
  <c r="G417" i="10"/>
  <c r="I417" i="10" a="1"/>
  <c r="I417" i="10"/>
  <c r="G407" i="10" a="1"/>
  <c r="G407" i="10"/>
  <c r="I407" i="10" a="1"/>
  <c r="I407" i="10"/>
  <c r="E407" i="10" a="1"/>
  <c r="E407" i="10"/>
  <c r="Q167" i="10"/>
  <c r="R167" i="10"/>
  <c r="S167" i="10"/>
  <c r="Q168" i="10"/>
  <c r="R168" i="10"/>
  <c r="S168" i="10"/>
  <c r="K320" i="10"/>
  <c r="L320" i="10"/>
  <c r="M320" i="10"/>
  <c r="N320" i="10"/>
  <c r="O320" i="10"/>
  <c r="P320" i="10"/>
  <c r="Q320" i="10"/>
  <c r="R320" i="10"/>
  <c r="S320" i="10"/>
  <c r="Y157" i="11"/>
  <c r="U157" i="11"/>
  <c r="Y43" i="7"/>
  <c r="U43" i="7"/>
  <c r="Y56" i="6"/>
  <c r="U56" i="6"/>
  <c r="I157" i="11"/>
  <c r="E157" i="11"/>
  <c r="I56" i="6"/>
  <c r="I43" i="7"/>
  <c r="E43" i="7"/>
  <c r="E56" i="6"/>
  <c r="B94" i="7"/>
  <c r="K85" i="2"/>
  <c r="C94" i="7"/>
  <c r="B93" i="7"/>
  <c r="C93" i="7"/>
  <c r="BA91" i="7"/>
  <c r="AR56" i="7"/>
  <c r="AQ56" i="7"/>
  <c r="AP56" i="7"/>
  <c r="AN56" i="7"/>
  <c r="AM56" i="7"/>
  <c r="AL56" i="7"/>
  <c r="AK56" i="7"/>
  <c r="AJ56" i="7"/>
  <c r="AI56" i="7"/>
  <c r="AH56" i="7"/>
  <c r="AG56" i="7"/>
  <c r="AF56" i="7"/>
  <c r="AE56" i="7"/>
  <c r="AD56" i="7"/>
  <c r="AC56" i="7"/>
  <c r="AB56" i="7"/>
  <c r="AA56" i="7"/>
  <c r="Z56" i="7"/>
  <c r="Y56" i="7"/>
  <c r="X56" i="7"/>
  <c r="V56" i="7"/>
  <c r="U56" i="7"/>
  <c r="T56" i="7"/>
  <c r="R56" i="7"/>
  <c r="Q56" i="7"/>
  <c r="P56" i="7"/>
  <c r="O56" i="7"/>
  <c r="N56" i="7"/>
  <c r="M56" i="7"/>
  <c r="L56" i="7"/>
  <c r="K56" i="7"/>
  <c r="J56" i="7"/>
  <c r="I56" i="7"/>
  <c r="H56" i="7"/>
  <c r="G56" i="7"/>
  <c r="E56" i="7"/>
  <c r="D56" i="7"/>
  <c r="C56" i="7"/>
  <c r="B56" i="7"/>
  <c r="B42" i="7" a="1"/>
  <c r="B42" i="7"/>
  <c r="C42" i="7"/>
  <c r="AZ3" i="7"/>
  <c r="B41" i="7"/>
  <c r="C41"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P67" i="6"/>
  <c r="CD168" i="11"/>
  <c r="BC56" i="7"/>
  <c r="AY56" i="7"/>
  <c r="AX56" i="7"/>
  <c r="AW56" i="7"/>
  <c r="AV56" i="7"/>
  <c r="AU56" i="7"/>
  <c r="AT56" i="7"/>
  <c r="AS56" i="7"/>
  <c r="AZ91" i="7"/>
  <c r="I111" i="7"/>
  <c r="B149" i="7"/>
  <c r="C149" i="7"/>
  <c r="B148" i="7"/>
  <c r="C148" i="7"/>
  <c r="K103" i="9"/>
  <c r="J103" i="9"/>
  <c r="I103" i="9"/>
  <c r="H103" i="9"/>
  <c r="G103" i="9"/>
  <c r="F103" i="9"/>
  <c r="E103" i="9"/>
  <c r="D103" i="9"/>
  <c r="C103" i="9"/>
  <c r="B103" i="9"/>
  <c r="C153" i="9"/>
  <c r="D153" i="9"/>
  <c r="E153" i="9"/>
  <c r="F153" i="9"/>
  <c r="G153" i="9"/>
  <c r="H153" i="9"/>
  <c r="I153" i="9"/>
  <c r="J153" i="9"/>
  <c r="K153" i="9"/>
  <c r="L153" i="9"/>
  <c r="M153" i="9"/>
  <c r="N153" i="9"/>
  <c r="O153" i="9"/>
  <c r="P153" i="9"/>
  <c r="Q153" i="9"/>
  <c r="R153" i="9"/>
  <c r="S153" i="9"/>
  <c r="T153" i="9"/>
  <c r="U153" i="9"/>
  <c r="V153" i="9"/>
  <c r="W153" i="9"/>
  <c r="X153" i="9"/>
  <c r="Y153" i="9"/>
  <c r="Z153" i="9"/>
  <c r="AA153" i="9"/>
  <c r="AB153" i="9"/>
  <c r="AC153" i="9"/>
  <c r="AD153" i="9"/>
  <c r="AE153" i="9"/>
  <c r="AF153" i="9"/>
  <c r="AG153" i="9"/>
  <c r="AH153" i="9"/>
  <c r="AI153" i="9"/>
  <c r="AJ153" i="9"/>
  <c r="AK153" i="9"/>
  <c r="AL153" i="9"/>
  <c r="AM153" i="9"/>
  <c r="AN153" i="9"/>
  <c r="AO153" i="9"/>
  <c r="AP153" i="9"/>
  <c r="AQ153" i="9"/>
  <c r="AR153" i="9"/>
  <c r="AS153" i="9"/>
  <c r="AT153" i="9"/>
  <c r="AU153" i="9"/>
  <c r="AV153" i="9"/>
  <c r="AW153" i="9"/>
  <c r="AX153" i="9"/>
  <c r="AY153" i="9"/>
  <c r="C154" i="9"/>
  <c r="D154" i="9"/>
  <c r="E154" i="9"/>
  <c r="F154" i="9"/>
  <c r="G154" i="9"/>
  <c r="H154" i="9"/>
  <c r="I154" i="9"/>
  <c r="J154" i="9"/>
  <c r="K154" i="9"/>
  <c r="L154" i="9"/>
  <c r="M154" i="9"/>
  <c r="N154" i="9"/>
  <c r="O154" i="9"/>
  <c r="P154" i="9"/>
  <c r="Q154" i="9"/>
  <c r="R154" i="9"/>
  <c r="S154" i="9"/>
  <c r="T154" i="9"/>
  <c r="U154" i="9"/>
  <c r="V154" i="9"/>
  <c r="W154" i="9"/>
  <c r="X154" i="9"/>
  <c r="Y154" i="9"/>
  <c r="Z154" i="9"/>
  <c r="AA154" i="9"/>
  <c r="AB154" i="9"/>
  <c r="AC154" i="9"/>
  <c r="AD154" i="9"/>
  <c r="AE154" i="9"/>
  <c r="AF154" i="9"/>
  <c r="AG154" i="9"/>
  <c r="AH154" i="9"/>
  <c r="AI154" i="9"/>
  <c r="AJ154" i="9"/>
  <c r="AK154" i="9"/>
  <c r="AL154" i="9"/>
  <c r="AM154" i="9"/>
  <c r="AN154" i="9"/>
  <c r="AO154" i="9"/>
  <c r="AP154" i="9"/>
  <c r="AQ154" i="9"/>
  <c r="AR154" i="9"/>
  <c r="AS154" i="9"/>
  <c r="AT154" i="9"/>
  <c r="AU154" i="9"/>
  <c r="AV154" i="9"/>
  <c r="AW154" i="9"/>
  <c r="AX154" i="9"/>
  <c r="AY154" i="9"/>
  <c r="B154" i="9"/>
  <c r="B153" i="9"/>
  <c r="I165" i="8" a="1"/>
  <c r="I165" i="8"/>
  <c r="I166" i="8" a="1"/>
  <c r="I166" i="8"/>
  <c r="J163" i="8"/>
  <c r="K163" i="8"/>
  <c r="L163" i="8"/>
  <c r="M163" i="8"/>
  <c r="N163" i="8"/>
  <c r="O163" i="8"/>
  <c r="P163" i="8"/>
  <c r="Q163" i="8"/>
  <c r="R163" i="8"/>
  <c r="S163" i="8"/>
  <c r="T163" i="8"/>
  <c r="U163" i="8"/>
  <c r="V163" i="8"/>
  <c r="W163" i="8"/>
  <c r="X163" i="8"/>
  <c r="Y163" i="8"/>
  <c r="Z163" i="8"/>
  <c r="AA163" i="8"/>
  <c r="AB163" i="8"/>
  <c r="AC163" i="8"/>
  <c r="AD163" i="8"/>
  <c r="AE163" i="8"/>
  <c r="AF163" i="8"/>
  <c r="AG163" i="8"/>
  <c r="AH163" i="8"/>
  <c r="AI163" i="8"/>
  <c r="AJ163" i="8"/>
  <c r="AK163" i="8"/>
  <c r="AL163" i="8"/>
  <c r="J164" i="8"/>
  <c r="K164" i="8"/>
  <c r="L164" i="8"/>
  <c r="M164" i="8"/>
  <c r="N164" i="8"/>
  <c r="O164" i="8"/>
  <c r="P164" i="8"/>
  <c r="Q164" i="8"/>
  <c r="R164" i="8"/>
  <c r="S164" i="8"/>
  <c r="T164" i="8"/>
  <c r="U164" i="8"/>
  <c r="V164" i="8"/>
  <c r="W164" i="8"/>
  <c r="X164" i="8"/>
  <c r="Y164" i="8"/>
  <c r="Z164" i="8"/>
  <c r="AA164" i="8"/>
  <c r="AB164" i="8"/>
  <c r="AC164" i="8"/>
  <c r="AD164" i="8"/>
  <c r="AE164" i="8"/>
  <c r="AF164" i="8"/>
  <c r="AG164" i="8"/>
  <c r="AH164" i="8"/>
  <c r="AI164" i="8"/>
  <c r="AJ164" i="8"/>
  <c r="AK164" i="8"/>
  <c r="AL164" i="8"/>
  <c r="I163" i="8"/>
  <c r="I164" i="8"/>
  <c r="A406" i="10"/>
  <c r="A414" i="10"/>
  <c r="A415" i="10"/>
  <c r="A416" i="10"/>
  <c r="A417" i="10"/>
  <c r="A418" i="10"/>
  <c r="A419" i="10"/>
  <c r="A420" i="10"/>
  <c r="A408" i="10"/>
  <c r="A409" i="10"/>
  <c r="A410" i="10"/>
  <c r="A411" i="10"/>
  <c r="A412" i="10"/>
  <c r="A413" i="10"/>
  <c r="A407" i="10"/>
  <c r="CA405" i="10"/>
  <c r="CA167" i="10"/>
  <c r="CA168" i="10"/>
  <c r="P168" i="10"/>
  <c r="O168" i="10"/>
  <c r="N168" i="10"/>
  <c r="M168" i="10"/>
  <c r="L168" i="10"/>
  <c r="K168" i="10"/>
  <c r="J168" i="10"/>
  <c r="I168" i="10"/>
  <c r="H168" i="10"/>
  <c r="G168" i="10"/>
  <c r="F168" i="10"/>
  <c r="E168" i="10"/>
  <c r="P167" i="10"/>
  <c r="O167" i="10"/>
  <c r="N167" i="10"/>
  <c r="M167" i="10"/>
  <c r="L167" i="10"/>
  <c r="K167" i="10"/>
  <c r="J167" i="10"/>
  <c r="I167" i="10"/>
  <c r="H167" i="10"/>
  <c r="G167" i="10"/>
  <c r="F167" i="10"/>
  <c r="E167" i="10"/>
  <c r="J320" i="10"/>
  <c r="I320" i="10"/>
  <c r="H320" i="10"/>
  <c r="G320" i="10"/>
  <c r="F320" i="10"/>
  <c r="E320" i="10"/>
  <c r="F405" i="10"/>
  <c r="G405" i="10"/>
  <c r="H405" i="10"/>
  <c r="I405" i="10"/>
  <c r="J405" i="10"/>
  <c r="K405" i="10"/>
  <c r="L405" i="10"/>
  <c r="M405" i="10"/>
  <c r="N405" i="10"/>
  <c r="O405" i="10"/>
  <c r="P405" i="10"/>
  <c r="Q405" i="10"/>
  <c r="R405" i="10"/>
  <c r="S405" i="10"/>
  <c r="E405" i="10"/>
  <c r="BE57" i="7"/>
  <c r="BF57" i="7"/>
  <c r="BE58" i="7"/>
  <c r="BF58" i="7"/>
  <c r="BE59" i="7"/>
  <c r="BF59" i="7"/>
  <c r="BF54" i="7"/>
  <c r="BD55" i="7"/>
  <c r="C54" i="7"/>
  <c r="C55" i="7"/>
  <c r="D54" i="7"/>
  <c r="D55" i="7"/>
  <c r="E54" i="7"/>
  <c r="E55" i="7"/>
  <c r="F54" i="7"/>
  <c r="F55" i="7"/>
  <c r="G54" i="7"/>
  <c r="G55" i="7"/>
  <c r="H54" i="7"/>
  <c r="H55" i="7"/>
  <c r="I54" i="7"/>
  <c r="I55" i="7"/>
  <c r="J54" i="7"/>
  <c r="J55" i="7"/>
  <c r="K54" i="7"/>
  <c r="K55" i="7"/>
  <c r="L54" i="7"/>
  <c r="L55" i="7"/>
  <c r="M54" i="7"/>
  <c r="M55" i="7"/>
  <c r="N54" i="7"/>
  <c r="N55" i="7"/>
  <c r="O54" i="7"/>
  <c r="O55" i="7"/>
  <c r="P54" i="7"/>
  <c r="P55" i="7"/>
  <c r="Q54" i="7"/>
  <c r="Q55" i="7"/>
  <c r="R54" i="7"/>
  <c r="R55" i="7"/>
  <c r="S54" i="7"/>
  <c r="S55" i="7"/>
  <c r="T54" i="7"/>
  <c r="T55" i="7"/>
  <c r="U54" i="7"/>
  <c r="U55" i="7"/>
  <c r="V54" i="7"/>
  <c r="V55" i="7"/>
  <c r="W54" i="7"/>
  <c r="W55" i="7"/>
  <c r="X54" i="7"/>
  <c r="X55" i="7"/>
  <c r="Y54" i="7"/>
  <c r="Y55" i="7"/>
  <c r="Z54" i="7"/>
  <c r="Z55" i="7"/>
  <c r="AA54" i="7"/>
  <c r="AA55" i="7"/>
  <c r="AB54" i="7"/>
  <c r="AB55" i="7"/>
  <c r="AC54" i="7"/>
  <c r="AC55" i="7"/>
  <c r="AD54" i="7"/>
  <c r="AD55" i="7"/>
  <c r="AE54" i="7"/>
  <c r="AE55" i="7"/>
  <c r="AF54" i="7"/>
  <c r="AF55" i="7"/>
  <c r="AG54" i="7"/>
  <c r="AG55" i="7"/>
  <c r="AH54" i="7"/>
  <c r="AH55" i="7"/>
  <c r="AI54" i="7"/>
  <c r="AI55" i="7"/>
  <c r="AJ54" i="7"/>
  <c r="AJ55" i="7"/>
  <c r="AK54" i="7"/>
  <c r="AK55" i="7"/>
  <c r="AL54" i="7"/>
  <c r="AL55" i="7"/>
  <c r="AM54" i="7"/>
  <c r="AM55" i="7"/>
  <c r="AN54" i="7"/>
  <c r="AN55" i="7"/>
  <c r="AO54" i="7"/>
  <c r="AO55" i="7"/>
  <c r="AP54" i="7"/>
  <c r="AP55" i="7"/>
  <c r="AQ54" i="7"/>
  <c r="AQ55" i="7"/>
  <c r="AR54" i="7"/>
  <c r="AR55" i="7"/>
  <c r="AS54" i="7"/>
  <c r="AS55" i="7"/>
  <c r="AT54" i="7"/>
  <c r="AT55" i="7"/>
  <c r="AU54" i="7"/>
  <c r="AU55" i="7"/>
  <c r="AV54" i="7"/>
  <c r="AV55" i="7"/>
  <c r="AW54" i="7"/>
  <c r="AW55" i="7"/>
  <c r="AX54" i="7"/>
  <c r="AX55" i="7"/>
  <c r="AY54" i="7"/>
  <c r="AY55" i="7"/>
  <c r="B54" i="7"/>
  <c r="B55" i="7"/>
  <c r="BJ7" i="7"/>
  <c r="BJ8" i="7"/>
  <c r="BJ9" i="7"/>
  <c r="BJ10" i="7"/>
  <c r="BJ11" i="7"/>
  <c r="BJ12" i="7"/>
  <c r="BJ13" i="7"/>
  <c r="BJ14" i="7"/>
  <c r="BJ15" i="7"/>
  <c r="BJ16" i="7"/>
  <c r="BJ17" i="7"/>
  <c r="BJ18" i="7"/>
  <c r="BJ19" i="7"/>
  <c r="BJ20" i="7"/>
  <c r="BJ21" i="7"/>
  <c r="BJ22" i="7"/>
  <c r="BJ23" i="7"/>
  <c r="BJ24" i="7"/>
  <c r="BJ25" i="7"/>
  <c r="BJ26" i="7"/>
  <c r="BJ27" i="7"/>
  <c r="BJ28" i="7"/>
  <c r="BJ29" i="7"/>
  <c r="BJ30" i="7"/>
  <c r="BJ31" i="7"/>
  <c r="BJ32" i="7"/>
  <c r="BJ33" i="7"/>
  <c r="BJ5" i="7"/>
  <c r="BE7" i="7"/>
  <c r="BF7" i="7"/>
  <c r="BE8" i="7"/>
  <c r="BF8" i="7"/>
  <c r="BE9" i="7"/>
  <c r="BF9" i="7"/>
  <c r="BD3" i="7"/>
  <c r="D43" i="3"/>
  <c r="E43" i="3"/>
  <c r="F43" i="3"/>
  <c r="G43" i="3"/>
  <c r="C43" i="3"/>
  <c r="Y82" i="3"/>
  <c r="X82" i="3"/>
  <c r="W82" i="3"/>
  <c r="V82" i="3"/>
  <c r="C42" i="3"/>
  <c r="CJ7" i="11"/>
  <c r="CJ8" i="11"/>
  <c r="CJ9" i="11"/>
  <c r="CJ10" i="11"/>
  <c r="CJ11" i="11"/>
  <c r="CJ12" i="11"/>
  <c r="CJ13" i="11"/>
  <c r="CJ14" i="11"/>
  <c r="CJ15" i="11"/>
  <c r="CJ16" i="11"/>
  <c r="CJ17" i="11"/>
  <c r="CJ18" i="11"/>
  <c r="CJ19" i="11"/>
  <c r="CJ20" i="11"/>
  <c r="CJ21" i="11"/>
  <c r="CJ22" i="11"/>
  <c r="CJ23" i="11"/>
  <c r="CJ24" i="11"/>
  <c r="CJ25" i="11"/>
  <c r="CJ26" i="11"/>
  <c r="CJ27" i="11"/>
  <c r="CJ28" i="11"/>
  <c r="CJ29" i="11"/>
  <c r="CJ30" i="11"/>
  <c r="CJ31" i="11"/>
  <c r="CJ32" i="11"/>
  <c r="CJ33" i="11"/>
  <c r="CJ34" i="11"/>
  <c r="CJ35" i="11"/>
  <c r="CJ36" i="11"/>
  <c r="CJ37" i="11"/>
  <c r="CJ38" i="11"/>
  <c r="CJ39" i="11"/>
  <c r="CJ40" i="11"/>
  <c r="CJ41" i="11"/>
  <c r="CJ42" i="11"/>
  <c r="CJ43" i="11"/>
  <c r="CJ44" i="11"/>
  <c r="CJ45" i="11"/>
  <c r="CJ46" i="11"/>
  <c r="CJ47" i="11"/>
  <c r="CJ48" i="11"/>
  <c r="CJ153" i="11"/>
  <c r="R340" i="11"/>
  <c r="CO8" i="11"/>
  <c r="AA340" i="11"/>
  <c r="CP8" i="11"/>
  <c r="AB340" i="11"/>
  <c r="CQ8" i="11"/>
  <c r="AC340" i="11"/>
  <c r="CR8" i="11"/>
  <c r="AD340" i="11"/>
  <c r="CV8" i="11"/>
  <c r="AE340" i="11"/>
  <c r="CW8" i="11"/>
  <c r="AF340" i="11"/>
  <c r="CX8" i="11"/>
  <c r="AG340" i="11"/>
  <c r="CY8" i="11"/>
  <c r="AH340" i="11"/>
  <c r="R341" i="11"/>
  <c r="CO9" i="11"/>
  <c r="AA341" i="11"/>
  <c r="CP9" i="11"/>
  <c r="AB341" i="11"/>
  <c r="CQ9" i="11"/>
  <c r="AC341" i="11"/>
  <c r="CR9" i="11"/>
  <c r="AD341" i="11"/>
  <c r="CV9" i="11"/>
  <c r="AE341" i="11"/>
  <c r="CW9" i="11"/>
  <c r="AF341" i="11"/>
  <c r="CX9" i="11"/>
  <c r="AG341" i="11"/>
  <c r="CY9" i="11"/>
  <c r="AH341" i="11"/>
  <c r="R342" i="11"/>
  <c r="CO10" i="11"/>
  <c r="AA342" i="11"/>
  <c r="CP10" i="11"/>
  <c r="AB342" i="11"/>
  <c r="CQ10" i="11"/>
  <c r="AC342" i="11"/>
  <c r="CR10" i="11"/>
  <c r="AD342" i="11"/>
  <c r="CV10" i="11"/>
  <c r="AE342" i="11"/>
  <c r="CW10" i="11"/>
  <c r="AF342" i="11"/>
  <c r="CX10" i="11"/>
  <c r="AG342" i="11"/>
  <c r="CY10" i="11"/>
  <c r="AH342" i="11"/>
  <c r="R343" i="11"/>
  <c r="CO11" i="11"/>
  <c r="AA343" i="11"/>
  <c r="CP11" i="11"/>
  <c r="AB343" i="11"/>
  <c r="CQ11" i="11"/>
  <c r="AC343" i="11"/>
  <c r="CR11" i="11"/>
  <c r="AD343" i="11"/>
  <c r="CV11" i="11"/>
  <c r="AE343" i="11"/>
  <c r="CW11" i="11"/>
  <c r="AF343" i="11"/>
  <c r="CX11" i="11"/>
  <c r="AG343" i="11"/>
  <c r="CY11" i="11"/>
  <c r="AH343" i="11"/>
  <c r="R344" i="11"/>
  <c r="CO12" i="11"/>
  <c r="AA344" i="11"/>
  <c r="CP12" i="11"/>
  <c r="AB344" i="11"/>
  <c r="CQ12" i="11"/>
  <c r="AC344" i="11"/>
  <c r="CR12" i="11"/>
  <c r="AD344" i="11"/>
  <c r="CV12" i="11"/>
  <c r="AE344" i="11"/>
  <c r="CW12" i="11"/>
  <c r="AF344" i="11"/>
  <c r="CX12" i="11"/>
  <c r="AG344" i="11"/>
  <c r="CY12" i="11"/>
  <c r="AH344" i="11"/>
  <c r="R345" i="11"/>
  <c r="CO13" i="11"/>
  <c r="AA345" i="11"/>
  <c r="CP13" i="11"/>
  <c r="AB345" i="11"/>
  <c r="CQ13" i="11"/>
  <c r="AC345" i="11"/>
  <c r="CR13" i="11"/>
  <c r="AD345" i="11"/>
  <c r="CV13" i="11"/>
  <c r="AE345" i="11"/>
  <c r="CW13" i="11"/>
  <c r="AF345" i="11"/>
  <c r="CX13" i="11"/>
  <c r="AG345" i="11"/>
  <c r="CY13" i="11"/>
  <c r="AH345" i="11"/>
  <c r="R346" i="11"/>
  <c r="CO14" i="11"/>
  <c r="AA346" i="11"/>
  <c r="CP14" i="11"/>
  <c r="AB346" i="11"/>
  <c r="CQ14" i="11"/>
  <c r="AC346" i="11"/>
  <c r="CR14" i="11"/>
  <c r="AD346" i="11"/>
  <c r="CV14" i="11"/>
  <c r="AE346" i="11"/>
  <c r="CW14" i="11"/>
  <c r="AF346" i="11"/>
  <c r="CX14" i="11"/>
  <c r="AG346" i="11"/>
  <c r="CY14" i="11"/>
  <c r="AH346" i="11"/>
  <c r="R347" i="11"/>
  <c r="CO15" i="11"/>
  <c r="AA347" i="11"/>
  <c r="CP15" i="11"/>
  <c r="AB347" i="11"/>
  <c r="CQ15" i="11"/>
  <c r="AC347" i="11"/>
  <c r="CR15" i="11"/>
  <c r="AD347" i="11"/>
  <c r="CV15" i="11"/>
  <c r="AE347" i="11"/>
  <c r="CW15" i="11"/>
  <c r="AF347" i="11"/>
  <c r="CX15" i="11"/>
  <c r="AG347" i="11"/>
  <c r="CY15" i="11"/>
  <c r="AH347" i="11"/>
  <c r="R348" i="11"/>
  <c r="CO16" i="11"/>
  <c r="AA348" i="11"/>
  <c r="CP16" i="11"/>
  <c r="AB348" i="11"/>
  <c r="CQ16" i="11"/>
  <c r="AC348" i="11"/>
  <c r="CR16" i="11"/>
  <c r="AD348" i="11"/>
  <c r="CV16" i="11"/>
  <c r="AE348" i="11"/>
  <c r="CW16" i="11"/>
  <c r="AF348" i="11"/>
  <c r="CX16" i="11"/>
  <c r="AG348" i="11"/>
  <c r="CY16" i="11"/>
  <c r="AH348" i="11"/>
  <c r="R349" i="11"/>
  <c r="CO17" i="11"/>
  <c r="AA349" i="11"/>
  <c r="CP17" i="11"/>
  <c r="AB349" i="11"/>
  <c r="CQ17" i="11"/>
  <c r="AC349" i="11"/>
  <c r="CR17" i="11"/>
  <c r="AD349" i="11"/>
  <c r="CV17" i="11"/>
  <c r="AE349" i="11"/>
  <c r="CW17" i="11"/>
  <c r="AF349" i="11"/>
  <c r="CX17" i="11"/>
  <c r="AG349" i="11"/>
  <c r="CY17" i="11"/>
  <c r="AH349" i="11"/>
  <c r="R350" i="11"/>
  <c r="CO18" i="11"/>
  <c r="AA350" i="11"/>
  <c r="CP18" i="11"/>
  <c r="AB350" i="11"/>
  <c r="CQ18" i="11"/>
  <c r="AC350" i="11"/>
  <c r="CR18" i="11"/>
  <c r="AD350" i="11"/>
  <c r="CV18" i="11"/>
  <c r="AE350" i="11"/>
  <c r="CW18" i="11"/>
  <c r="AF350" i="11"/>
  <c r="CX18" i="11"/>
  <c r="AG350" i="11"/>
  <c r="CY18" i="11"/>
  <c r="AH350" i="11"/>
  <c r="R351" i="11"/>
  <c r="R352" i="11"/>
  <c r="CO20" i="11"/>
  <c r="CP20" i="11"/>
  <c r="CQ20" i="11"/>
  <c r="CR20" i="11"/>
  <c r="CV20" i="11"/>
  <c r="CW20" i="11"/>
  <c r="CX20" i="11"/>
  <c r="CY20" i="11"/>
  <c r="R353" i="11"/>
  <c r="CO21" i="11"/>
  <c r="CP21" i="11"/>
  <c r="CQ21" i="11"/>
  <c r="CR21" i="11"/>
  <c r="CV21" i="11"/>
  <c r="CW21" i="11"/>
  <c r="CX21" i="11"/>
  <c r="CY21" i="11"/>
  <c r="R354" i="11"/>
  <c r="CO22" i="11"/>
  <c r="CP22" i="11"/>
  <c r="CQ22" i="11"/>
  <c r="CR22" i="11"/>
  <c r="CV22" i="11"/>
  <c r="CW22" i="11"/>
  <c r="CX22" i="11"/>
  <c r="CY22" i="11"/>
  <c r="R355" i="11"/>
  <c r="CO23" i="11"/>
  <c r="CP23" i="11"/>
  <c r="CQ23" i="11"/>
  <c r="CR23" i="11"/>
  <c r="CV23" i="11"/>
  <c r="CW23" i="11"/>
  <c r="CX23" i="11"/>
  <c r="CY23" i="11"/>
  <c r="R356" i="11"/>
  <c r="CO24" i="11"/>
  <c r="CP24" i="11"/>
  <c r="CQ24" i="11"/>
  <c r="CR24" i="11"/>
  <c r="CV24" i="11"/>
  <c r="CW24" i="11"/>
  <c r="CX24" i="11"/>
  <c r="CY24" i="11"/>
  <c r="R357" i="11"/>
  <c r="CO25" i="11"/>
  <c r="CP25" i="11"/>
  <c r="CQ25" i="11"/>
  <c r="CR25" i="11"/>
  <c r="CV25" i="11"/>
  <c r="CW25" i="11"/>
  <c r="CX25" i="11"/>
  <c r="CY25" i="11"/>
  <c r="R358" i="11"/>
  <c r="CO26" i="11"/>
  <c r="CP26" i="11"/>
  <c r="CQ26" i="11"/>
  <c r="CR26" i="11"/>
  <c r="CV26" i="11"/>
  <c r="CW26" i="11"/>
  <c r="CX26" i="11"/>
  <c r="CY26" i="11"/>
  <c r="R359" i="11"/>
  <c r="CO27" i="11"/>
  <c r="CP27" i="11"/>
  <c r="CQ27" i="11"/>
  <c r="CR27" i="11"/>
  <c r="CV27" i="11"/>
  <c r="CW27" i="11"/>
  <c r="CX27" i="11"/>
  <c r="CY27" i="11"/>
  <c r="R360" i="11"/>
  <c r="CO28" i="11"/>
  <c r="CP28" i="11"/>
  <c r="CQ28" i="11"/>
  <c r="CR28" i="11"/>
  <c r="CV28" i="11"/>
  <c r="CW28" i="11"/>
  <c r="CX28" i="11"/>
  <c r="CY28" i="11"/>
  <c r="R361" i="11"/>
  <c r="CO29" i="11"/>
  <c r="CP29" i="11"/>
  <c r="CQ29" i="11"/>
  <c r="CR29" i="11"/>
  <c r="CV29" i="11"/>
  <c r="CW29" i="11"/>
  <c r="CX29" i="11"/>
  <c r="CY29" i="11"/>
  <c r="R362" i="11"/>
  <c r="CO30" i="11"/>
  <c r="CP30" i="11"/>
  <c r="CQ30" i="11"/>
  <c r="CR30" i="11"/>
  <c r="CV30" i="11"/>
  <c r="CW30" i="11"/>
  <c r="CX30" i="11"/>
  <c r="CY30" i="11"/>
  <c r="R363" i="11"/>
  <c r="CO31" i="11"/>
  <c r="CP31" i="11"/>
  <c r="CQ31" i="11"/>
  <c r="CR31" i="11"/>
  <c r="CV31" i="11"/>
  <c r="CW31" i="11"/>
  <c r="CX31" i="11"/>
  <c r="CY31" i="11"/>
  <c r="R364" i="11"/>
  <c r="CO32" i="11"/>
  <c r="CP32" i="11"/>
  <c r="CQ32" i="11"/>
  <c r="CR32" i="11"/>
  <c r="CV32" i="11"/>
  <c r="CW32" i="11"/>
  <c r="CX32" i="11"/>
  <c r="CY32" i="11"/>
  <c r="R365" i="11"/>
  <c r="CO33" i="11"/>
  <c r="CP33" i="11"/>
  <c r="CQ33" i="11"/>
  <c r="CR33" i="11"/>
  <c r="CV33" i="11"/>
  <c r="CW33" i="11"/>
  <c r="CX33" i="11"/>
  <c r="CY33" i="11"/>
  <c r="R366" i="11"/>
  <c r="CO34" i="11"/>
  <c r="CP34" i="11"/>
  <c r="CQ34" i="11"/>
  <c r="CR34" i="11"/>
  <c r="CV34" i="11"/>
  <c r="CW34" i="11"/>
  <c r="CX34" i="11"/>
  <c r="CY34" i="11"/>
  <c r="R367" i="11"/>
  <c r="CO35" i="11"/>
  <c r="CP35" i="11"/>
  <c r="CQ35" i="11"/>
  <c r="CR35" i="11"/>
  <c r="CV35" i="11"/>
  <c r="CW35" i="11"/>
  <c r="CX35" i="11"/>
  <c r="CY35" i="11"/>
  <c r="R368" i="11"/>
  <c r="CO36" i="11"/>
  <c r="CP36" i="11"/>
  <c r="CQ36" i="11"/>
  <c r="CV36" i="11"/>
  <c r="CW36" i="11"/>
  <c r="CX36" i="11"/>
  <c r="R369" i="11"/>
  <c r="CO37" i="11"/>
  <c r="CP37" i="11"/>
  <c r="CQ37" i="11"/>
  <c r="CR37" i="11"/>
  <c r="CV37" i="11"/>
  <c r="CW37" i="11"/>
  <c r="CX37" i="11"/>
  <c r="CY37" i="11"/>
  <c r="R370" i="11"/>
  <c r="CO38" i="11"/>
  <c r="CP38" i="11"/>
  <c r="CQ38" i="11"/>
  <c r="CR38" i="11"/>
  <c r="CV38" i="11"/>
  <c r="CW38" i="11"/>
  <c r="CX38" i="11"/>
  <c r="CY38" i="11"/>
  <c r="R371" i="11"/>
  <c r="CO39" i="11"/>
  <c r="CP39" i="11"/>
  <c r="CQ39" i="11"/>
  <c r="CR39" i="11"/>
  <c r="CV39" i="11"/>
  <c r="CW39" i="11"/>
  <c r="CX39" i="11"/>
  <c r="CY39" i="11"/>
  <c r="R372" i="11"/>
  <c r="CO40" i="11"/>
  <c r="CP40" i="11"/>
  <c r="CQ40" i="11"/>
  <c r="CR40" i="11"/>
  <c r="CV40" i="11"/>
  <c r="CW40" i="11"/>
  <c r="CX40" i="11"/>
  <c r="CY40" i="11"/>
  <c r="R373" i="11"/>
  <c r="CO41" i="11"/>
  <c r="CP41" i="11"/>
  <c r="CR41" i="11"/>
  <c r="CV41" i="11"/>
  <c r="CW41" i="11"/>
  <c r="CY41" i="11"/>
  <c r="R374" i="11"/>
  <c r="CO42" i="11"/>
  <c r="CP42" i="11"/>
  <c r="CQ42" i="11"/>
  <c r="CR42" i="11"/>
  <c r="CV42" i="11"/>
  <c r="CW42" i="11"/>
  <c r="CX42" i="11"/>
  <c r="CY42" i="11"/>
  <c r="R375" i="11"/>
  <c r="CO43" i="11"/>
  <c r="CP43" i="11"/>
  <c r="CQ43" i="11"/>
  <c r="CR43" i="11"/>
  <c r="CV43" i="11"/>
  <c r="CW43" i="11"/>
  <c r="CX43" i="11"/>
  <c r="CY43" i="11"/>
  <c r="R376" i="11"/>
  <c r="CO44" i="11"/>
  <c r="CP44" i="11"/>
  <c r="CQ44" i="11"/>
  <c r="CR44" i="11"/>
  <c r="CV44" i="11"/>
  <c r="CW44" i="11"/>
  <c r="CX44" i="11"/>
  <c r="CY44" i="11"/>
  <c r="R377" i="11"/>
  <c r="CO45" i="11"/>
  <c r="CP45" i="11"/>
  <c r="CQ45" i="11"/>
  <c r="CR45" i="11"/>
  <c r="CV45" i="11"/>
  <c r="CW45" i="11"/>
  <c r="CX45" i="11"/>
  <c r="CY45" i="11"/>
  <c r="R378" i="11"/>
  <c r="CO46" i="11"/>
  <c r="CQ46" i="11"/>
  <c r="CR46" i="11"/>
  <c r="CV46" i="11"/>
  <c r="CX46" i="11"/>
  <c r="CY46" i="11"/>
  <c r="R379" i="11"/>
  <c r="CO47" i="11"/>
  <c r="CP47" i="11"/>
  <c r="CQ47" i="11"/>
  <c r="CR47" i="11"/>
  <c r="CV47" i="11"/>
  <c r="CW47" i="11"/>
  <c r="CX47" i="11"/>
  <c r="CY47" i="11"/>
  <c r="R380" i="11"/>
  <c r="CP48" i="11"/>
  <c r="CQ48" i="11"/>
  <c r="CR48" i="11"/>
  <c r="CW48" i="11"/>
  <c r="CX48" i="11"/>
  <c r="CY48" i="11"/>
  <c r="R381" i="11"/>
  <c r="CO49" i="11"/>
  <c r="CP49" i="11"/>
  <c r="CQ49" i="11"/>
  <c r="CR49" i="11"/>
  <c r="CV49" i="11"/>
  <c r="CW49" i="11"/>
  <c r="CX49" i="11"/>
  <c r="CY49" i="11"/>
  <c r="G492" i="11"/>
  <c r="F492" i="11"/>
  <c r="E492" i="11"/>
  <c r="D492" i="11"/>
  <c r="C492" i="11"/>
  <c r="B492" i="11"/>
  <c r="G491" i="11"/>
  <c r="F491" i="11"/>
  <c r="E491" i="11"/>
  <c r="D491" i="11"/>
  <c r="C491" i="11"/>
  <c r="B491" i="11"/>
  <c r="B39" i="2"/>
  <c r="A29" i="2"/>
  <c r="A30" i="2"/>
  <c r="A31" i="2"/>
  <c r="A32" i="2"/>
  <c r="B32" i="2"/>
  <c r="A33" i="2"/>
  <c r="B33" i="2"/>
  <c r="A34" i="2"/>
  <c r="B34" i="2"/>
  <c r="A35" i="2"/>
  <c r="B35" i="2"/>
  <c r="A36" i="2"/>
  <c r="B36" i="2"/>
  <c r="A37" i="2"/>
  <c r="B37" i="2"/>
  <c r="A38" i="2"/>
  <c r="B38" i="2"/>
  <c r="A39" i="2"/>
  <c r="A186" i="6"/>
  <c r="CK7" i="11"/>
  <c r="CK8" i="11"/>
  <c r="CK9" i="11"/>
  <c r="CK10" i="11"/>
  <c r="CK11" i="11"/>
  <c r="CK12" i="11"/>
  <c r="CK13" i="11"/>
  <c r="CK14" i="11"/>
  <c r="CK15" i="11"/>
  <c r="CK16" i="11"/>
  <c r="CK17" i="11"/>
  <c r="CK18" i="11"/>
  <c r="CK19" i="11"/>
  <c r="CK20" i="11"/>
  <c r="CK21" i="11"/>
  <c r="CK22" i="11"/>
  <c r="CK23" i="11"/>
  <c r="CK24" i="11"/>
  <c r="CK25" i="11"/>
  <c r="CK26" i="11"/>
  <c r="CK27" i="11"/>
  <c r="CK28" i="11"/>
  <c r="CK29" i="11"/>
  <c r="CK30" i="11"/>
  <c r="CK31" i="11"/>
  <c r="CK32" i="11"/>
  <c r="CK33" i="11"/>
  <c r="CK34" i="11"/>
  <c r="CK35" i="11"/>
  <c r="CK36" i="11"/>
  <c r="CK37" i="11"/>
  <c r="CK38" i="11"/>
  <c r="CK39" i="11"/>
  <c r="CK40" i="11"/>
  <c r="CK41" i="11"/>
  <c r="CK42" i="11"/>
  <c r="CK43" i="11"/>
  <c r="CK44" i="11"/>
  <c r="CK45" i="11"/>
  <c r="CK46" i="11"/>
  <c r="CK47" i="11"/>
  <c r="CK48" i="11"/>
  <c r="CK49" i="11"/>
  <c r="I336" i="11"/>
  <c r="Q95" i="7"/>
  <c r="I95" i="7"/>
  <c r="A158" i="7"/>
  <c r="A157" i="7"/>
  <c r="Q43" i="7"/>
  <c r="M43" i="7"/>
  <c r="AM3" i="6"/>
  <c r="B54" i="6"/>
  <c r="M56" i="6"/>
  <c r="B66" i="6"/>
  <c r="D66" i="6"/>
  <c r="N66" i="6"/>
  <c r="C66" i="6"/>
  <c r="E66" i="6"/>
  <c r="F66" i="6"/>
  <c r="G66" i="6"/>
  <c r="H66" i="6"/>
  <c r="I66" i="6"/>
  <c r="J66" i="6"/>
  <c r="K66" i="6"/>
  <c r="L66" i="6"/>
  <c r="M66" i="6"/>
  <c r="O66" i="6"/>
  <c r="P66" i="6"/>
  <c r="Q66" i="6"/>
  <c r="R66" i="6"/>
  <c r="S66" i="6"/>
  <c r="T66" i="6"/>
  <c r="U66" i="6"/>
  <c r="V66" i="6"/>
  <c r="W66" i="6"/>
  <c r="X66" i="6"/>
  <c r="Y66" i="6"/>
  <c r="Z66" i="6"/>
  <c r="AA66" i="6"/>
  <c r="AB66" i="6"/>
  <c r="AC66" i="6"/>
  <c r="AD66" i="6"/>
  <c r="AE66" i="6"/>
  <c r="AF66" i="6"/>
  <c r="AG66" i="6"/>
  <c r="AN66" i="6"/>
  <c r="B118" i="6"/>
  <c r="Q119" i="6"/>
  <c r="B117" i="6"/>
  <c r="I119" i="6"/>
  <c r="I134" i="6"/>
  <c r="AE114" i="8"/>
  <c r="AD114" i="8"/>
  <c r="I185" i="6"/>
  <c r="L184" i="6"/>
  <c r="I184" i="6"/>
  <c r="BG108" i="6"/>
  <c r="AZ108" i="6"/>
  <c r="AL108" i="6"/>
  <c r="AK108" i="6"/>
  <c r="AJ108" i="6"/>
  <c r="AI108" i="6"/>
  <c r="AH108" i="6"/>
  <c r="BH107" i="6"/>
  <c r="BG107" i="6"/>
  <c r="BA107" i="6"/>
  <c r="AZ107" i="6"/>
  <c r="AL107" i="6"/>
  <c r="AK107" i="6"/>
  <c r="AJ107" i="6"/>
  <c r="AI107" i="6"/>
  <c r="AH107" i="6"/>
  <c r="BH106" i="6"/>
  <c r="BG106" i="6"/>
  <c r="BA106" i="6"/>
  <c r="AZ106" i="6"/>
  <c r="AL106" i="6"/>
  <c r="AK106" i="6"/>
  <c r="AJ106" i="6"/>
  <c r="AI106" i="6"/>
  <c r="AH106" i="6"/>
  <c r="BI105" i="6"/>
  <c r="BH105" i="6"/>
  <c r="BG105" i="6"/>
  <c r="BB105" i="6"/>
  <c r="BA105" i="6"/>
  <c r="AZ105" i="6"/>
  <c r="AL105" i="6"/>
  <c r="AK105" i="6"/>
  <c r="AJ105" i="6"/>
  <c r="AI105" i="6"/>
  <c r="AH105" i="6"/>
  <c r="BI104" i="6"/>
  <c r="BH104" i="6"/>
  <c r="BG104" i="6"/>
  <c r="BB104" i="6"/>
  <c r="BA104" i="6"/>
  <c r="AZ104" i="6"/>
  <c r="AL104" i="6"/>
  <c r="AK104" i="6"/>
  <c r="AJ104" i="6"/>
  <c r="AI104" i="6"/>
  <c r="AH104" i="6"/>
  <c r="BI103" i="6"/>
  <c r="BH103" i="6"/>
  <c r="BG103" i="6"/>
  <c r="BB103" i="6"/>
  <c r="BA103" i="6"/>
  <c r="AZ103" i="6"/>
  <c r="AL103" i="6"/>
  <c r="AK103" i="6"/>
  <c r="AJ103" i="6"/>
  <c r="AI103" i="6"/>
  <c r="AH103" i="6"/>
  <c r="BI102" i="6"/>
  <c r="BH102" i="6"/>
  <c r="BG102" i="6"/>
  <c r="BB102" i="6"/>
  <c r="BA102" i="6"/>
  <c r="AZ102" i="6"/>
  <c r="AL102" i="6"/>
  <c r="AK102" i="6"/>
  <c r="AJ102" i="6"/>
  <c r="AI102" i="6"/>
  <c r="AH102" i="6"/>
  <c r="BI101" i="6"/>
  <c r="BH101" i="6"/>
  <c r="BG101" i="6"/>
  <c r="BB101" i="6"/>
  <c r="BA101" i="6"/>
  <c r="AZ101" i="6"/>
  <c r="AL101" i="6"/>
  <c r="AK101" i="6"/>
  <c r="AJ101" i="6"/>
  <c r="AI101" i="6"/>
  <c r="AH101" i="6"/>
  <c r="BJ100" i="6"/>
  <c r="BI100" i="6"/>
  <c r="BH100" i="6"/>
  <c r="BG100" i="6"/>
  <c r="BC100" i="6"/>
  <c r="BB100" i="6"/>
  <c r="BA100" i="6"/>
  <c r="AZ100" i="6"/>
  <c r="AL100" i="6"/>
  <c r="AK100" i="6"/>
  <c r="AJ100" i="6"/>
  <c r="AI100" i="6"/>
  <c r="AH100" i="6"/>
  <c r="BJ99" i="6"/>
  <c r="BI99" i="6"/>
  <c r="BH99" i="6"/>
  <c r="BG99" i="6"/>
  <c r="BC99" i="6"/>
  <c r="BB99" i="6"/>
  <c r="BA99" i="6"/>
  <c r="AZ99" i="6"/>
  <c r="AL99" i="6"/>
  <c r="AK99" i="6"/>
  <c r="AJ99" i="6"/>
  <c r="AI99" i="6"/>
  <c r="AH99" i="6"/>
  <c r="BJ98" i="6"/>
  <c r="BI98" i="6"/>
  <c r="BH98" i="6"/>
  <c r="BG98" i="6"/>
  <c r="BC98" i="6"/>
  <c r="BB98" i="6"/>
  <c r="BA98" i="6"/>
  <c r="AZ98" i="6"/>
  <c r="AL98" i="6"/>
  <c r="AK98" i="6"/>
  <c r="AJ98" i="6"/>
  <c r="AI98" i="6"/>
  <c r="AH98" i="6"/>
  <c r="BJ97" i="6"/>
  <c r="BI97" i="6"/>
  <c r="BH97" i="6"/>
  <c r="BG97" i="6"/>
  <c r="BC97" i="6"/>
  <c r="BB97" i="6"/>
  <c r="BA97" i="6"/>
  <c r="AZ97" i="6"/>
  <c r="AL97" i="6"/>
  <c r="AK97" i="6"/>
  <c r="AJ97" i="6"/>
  <c r="AI97" i="6"/>
  <c r="AH97" i="6"/>
  <c r="BJ96" i="6"/>
  <c r="BI96" i="6"/>
  <c r="BH96" i="6"/>
  <c r="BG96" i="6"/>
  <c r="BC96" i="6"/>
  <c r="BB96" i="6"/>
  <c r="BA96" i="6"/>
  <c r="AZ96" i="6"/>
  <c r="AL96" i="6"/>
  <c r="AK96" i="6"/>
  <c r="AJ96" i="6"/>
  <c r="AI96" i="6"/>
  <c r="AH96" i="6"/>
  <c r="BK95" i="6"/>
  <c r="BJ95" i="6"/>
  <c r="BI95" i="6"/>
  <c r="BH95" i="6"/>
  <c r="BG95" i="6"/>
  <c r="BD95" i="6"/>
  <c r="BC95" i="6"/>
  <c r="BB95" i="6"/>
  <c r="BA95" i="6"/>
  <c r="AZ95" i="6"/>
  <c r="AL95" i="6"/>
  <c r="AK95" i="6"/>
  <c r="AJ95" i="6"/>
  <c r="AI95" i="6"/>
  <c r="AH95" i="6"/>
  <c r="BK94" i="6"/>
  <c r="BJ94" i="6"/>
  <c r="BI94" i="6"/>
  <c r="BH94" i="6"/>
  <c r="BG94" i="6"/>
  <c r="BD94" i="6"/>
  <c r="BC94" i="6"/>
  <c r="BB94" i="6"/>
  <c r="BA94" i="6"/>
  <c r="AZ94" i="6"/>
  <c r="AL94" i="6"/>
  <c r="AK94" i="6"/>
  <c r="AJ94" i="6"/>
  <c r="AI94" i="6"/>
  <c r="AH94" i="6"/>
  <c r="BK93" i="6"/>
  <c r="BJ93" i="6"/>
  <c r="BI93" i="6"/>
  <c r="BH93" i="6"/>
  <c r="BG93" i="6"/>
  <c r="BD93" i="6"/>
  <c r="BC93" i="6"/>
  <c r="BB93" i="6"/>
  <c r="BA93" i="6"/>
  <c r="AZ93" i="6"/>
  <c r="AL93" i="6"/>
  <c r="AK93" i="6"/>
  <c r="AJ93" i="6"/>
  <c r="AI93" i="6"/>
  <c r="AH93" i="6"/>
  <c r="BK92" i="6"/>
  <c r="BJ92" i="6"/>
  <c r="BI92" i="6"/>
  <c r="BH92" i="6"/>
  <c r="BG92" i="6"/>
  <c r="BD92" i="6"/>
  <c r="BC92" i="6"/>
  <c r="BB92" i="6"/>
  <c r="BA92" i="6"/>
  <c r="AZ92" i="6"/>
  <c r="AL92" i="6"/>
  <c r="AK92" i="6"/>
  <c r="AJ92" i="6"/>
  <c r="AI92" i="6"/>
  <c r="AH92" i="6"/>
  <c r="BK91" i="6"/>
  <c r="BJ91" i="6"/>
  <c r="BI91" i="6"/>
  <c r="BH91" i="6"/>
  <c r="BG91" i="6"/>
  <c r="BD91" i="6"/>
  <c r="BC91" i="6"/>
  <c r="BB91" i="6"/>
  <c r="BA91" i="6"/>
  <c r="AZ91" i="6"/>
  <c r="AL91" i="6"/>
  <c r="AK91" i="6"/>
  <c r="AJ91" i="6"/>
  <c r="AI91" i="6"/>
  <c r="AH91" i="6"/>
  <c r="BK90" i="6"/>
  <c r="BJ90" i="6"/>
  <c r="BI90" i="6"/>
  <c r="BH90" i="6"/>
  <c r="BG90" i="6"/>
  <c r="BD90" i="6"/>
  <c r="BC90" i="6"/>
  <c r="BB90" i="6"/>
  <c r="BA90" i="6"/>
  <c r="AZ90" i="6"/>
  <c r="AL90" i="6"/>
  <c r="AK90" i="6"/>
  <c r="AJ90" i="6"/>
  <c r="AI90" i="6"/>
  <c r="AH90" i="6"/>
  <c r="BK89" i="6"/>
  <c r="BJ89" i="6"/>
  <c r="BI89" i="6"/>
  <c r="BH89" i="6"/>
  <c r="BG89" i="6"/>
  <c r="BD89" i="6"/>
  <c r="BC89" i="6"/>
  <c r="BB89" i="6"/>
  <c r="BA89" i="6"/>
  <c r="AZ89" i="6"/>
  <c r="AL89" i="6"/>
  <c r="AK89" i="6"/>
  <c r="AJ89" i="6"/>
  <c r="AI89" i="6"/>
  <c r="AH89" i="6"/>
  <c r="BK88" i="6"/>
  <c r="BJ88" i="6"/>
  <c r="BI88" i="6"/>
  <c r="BH88" i="6"/>
  <c r="BG88" i="6"/>
  <c r="BD88" i="6"/>
  <c r="BC88" i="6"/>
  <c r="BB88" i="6"/>
  <c r="BA88" i="6"/>
  <c r="AZ88" i="6"/>
  <c r="AL88" i="6"/>
  <c r="AK88" i="6"/>
  <c r="AJ88" i="6"/>
  <c r="AI88" i="6"/>
  <c r="AH88" i="6"/>
  <c r="BK87" i="6"/>
  <c r="BJ87" i="6"/>
  <c r="BI87" i="6"/>
  <c r="BH87" i="6"/>
  <c r="BG87" i="6"/>
  <c r="BD87" i="6"/>
  <c r="BC87" i="6"/>
  <c r="BB87" i="6"/>
  <c r="BA87" i="6"/>
  <c r="AZ87" i="6"/>
  <c r="AL87" i="6"/>
  <c r="AK87" i="6"/>
  <c r="AJ87" i="6"/>
  <c r="AI87" i="6"/>
  <c r="AH87" i="6"/>
  <c r="BK86" i="6"/>
  <c r="BJ86" i="6"/>
  <c r="BI86" i="6"/>
  <c r="BH86" i="6"/>
  <c r="BG86" i="6"/>
  <c r="BD86" i="6"/>
  <c r="BC86" i="6"/>
  <c r="BB86" i="6"/>
  <c r="BA86" i="6"/>
  <c r="AZ86" i="6"/>
  <c r="AL86" i="6"/>
  <c r="AK86" i="6"/>
  <c r="AJ86" i="6"/>
  <c r="AI86" i="6"/>
  <c r="AH86" i="6"/>
  <c r="BK85" i="6"/>
  <c r="BJ85" i="6"/>
  <c r="BI85" i="6"/>
  <c r="BH85" i="6"/>
  <c r="BG85" i="6"/>
  <c r="BD85" i="6"/>
  <c r="BC85" i="6"/>
  <c r="BB85" i="6"/>
  <c r="BA85" i="6"/>
  <c r="AZ85" i="6"/>
  <c r="AL85" i="6"/>
  <c r="AK85" i="6"/>
  <c r="AJ85" i="6"/>
  <c r="AI85" i="6"/>
  <c r="AH85" i="6"/>
  <c r="BK84" i="6"/>
  <c r="BJ84" i="6"/>
  <c r="BI84" i="6"/>
  <c r="BH84" i="6"/>
  <c r="BG84" i="6"/>
  <c r="BD84" i="6"/>
  <c r="BC84" i="6"/>
  <c r="BB84" i="6"/>
  <c r="BA84" i="6"/>
  <c r="AZ84" i="6"/>
  <c r="AL84" i="6"/>
  <c r="AK84" i="6"/>
  <c r="AJ84" i="6"/>
  <c r="AI84" i="6"/>
  <c r="AH84" i="6"/>
  <c r="BK83" i="6"/>
  <c r="BJ83" i="6"/>
  <c r="BI83" i="6"/>
  <c r="BH83" i="6"/>
  <c r="BG83" i="6"/>
  <c r="BD83" i="6"/>
  <c r="BC83" i="6"/>
  <c r="BB83" i="6"/>
  <c r="BA83" i="6"/>
  <c r="AZ83" i="6"/>
  <c r="AL83" i="6"/>
  <c r="AK83" i="6"/>
  <c r="AJ83" i="6"/>
  <c r="AI83" i="6"/>
  <c r="AH83" i="6"/>
  <c r="BK82" i="6"/>
  <c r="BJ82" i="6"/>
  <c r="BI82" i="6"/>
  <c r="BH82" i="6"/>
  <c r="BG82" i="6"/>
  <c r="BD82" i="6"/>
  <c r="BC82" i="6"/>
  <c r="BB82" i="6"/>
  <c r="BA82" i="6"/>
  <c r="AZ82" i="6"/>
  <c r="AL82" i="6"/>
  <c r="AK82" i="6"/>
  <c r="AJ82" i="6"/>
  <c r="AI82" i="6"/>
  <c r="AH82" i="6"/>
  <c r="BK81" i="6"/>
  <c r="BJ81" i="6"/>
  <c r="BI81" i="6"/>
  <c r="BH81" i="6"/>
  <c r="BG81" i="6"/>
  <c r="BD81" i="6"/>
  <c r="BC81" i="6"/>
  <c r="BB81" i="6"/>
  <c r="BA81" i="6"/>
  <c r="AZ81" i="6"/>
  <c r="AL81" i="6"/>
  <c r="AK81" i="6"/>
  <c r="AJ81" i="6"/>
  <c r="AI81" i="6"/>
  <c r="AH81" i="6"/>
  <c r="BK80" i="6"/>
  <c r="BJ80" i="6"/>
  <c r="BI80" i="6"/>
  <c r="BH80" i="6"/>
  <c r="BG80" i="6"/>
  <c r="BD80" i="6"/>
  <c r="BC80" i="6"/>
  <c r="BB80" i="6"/>
  <c r="BA80" i="6"/>
  <c r="AZ80" i="6"/>
  <c r="AL80" i="6"/>
  <c r="AK80" i="6"/>
  <c r="AJ80" i="6"/>
  <c r="AI80" i="6"/>
  <c r="AH80" i="6"/>
  <c r="BK79" i="6"/>
  <c r="BJ79" i="6"/>
  <c r="BI79" i="6"/>
  <c r="BH79" i="6"/>
  <c r="BG79" i="6"/>
  <c r="BD79" i="6"/>
  <c r="BC79" i="6"/>
  <c r="BB79" i="6"/>
  <c r="BA79" i="6"/>
  <c r="AZ79" i="6"/>
  <c r="AL79" i="6"/>
  <c r="AK79" i="6"/>
  <c r="AJ79" i="6"/>
  <c r="AI79" i="6"/>
  <c r="AH79" i="6"/>
  <c r="BK78" i="6"/>
  <c r="BJ78" i="6"/>
  <c r="BI78" i="6"/>
  <c r="BH78" i="6"/>
  <c r="BG78" i="6"/>
  <c r="BD78" i="6"/>
  <c r="BC78" i="6"/>
  <c r="BB78" i="6"/>
  <c r="BA78" i="6"/>
  <c r="AZ78" i="6"/>
  <c r="AL78" i="6"/>
  <c r="AK78" i="6"/>
  <c r="AJ78" i="6"/>
  <c r="AI78" i="6"/>
  <c r="AH78" i="6"/>
  <c r="BK77" i="6"/>
  <c r="BJ77" i="6"/>
  <c r="BI77" i="6"/>
  <c r="BH77" i="6"/>
  <c r="BG77" i="6"/>
  <c r="BD77" i="6"/>
  <c r="BC77" i="6"/>
  <c r="BB77" i="6"/>
  <c r="BA77" i="6"/>
  <c r="AZ77" i="6"/>
  <c r="AL77" i="6"/>
  <c r="AK77" i="6"/>
  <c r="AJ77" i="6"/>
  <c r="AI77" i="6"/>
  <c r="AH77" i="6"/>
  <c r="BK76" i="6"/>
  <c r="BJ76" i="6"/>
  <c r="BI76" i="6"/>
  <c r="BH76" i="6"/>
  <c r="BG76" i="6"/>
  <c r="BD76" i="6"/>
  <c r="BC76" i="6"/>
  <c r="BB76" i="6"/>
  <c r="BA76" i="6"/>
  <c r="AZ76" i="6"/>
  <c r="AL76" i="6"/>
  <c r="AK76" i="6"/>
  <c r="AJ76" i="6"/>
  <c r="AI76" i="6"/>
  <c r="AH76" i="6"/>
  <c r="BK75" i="6"/>
  <c r="BJ75" i="6"/>
  <c r="BI75" i="6"/>
  <c r="BH75" i="6"/>
  <c r="BG75" i="6"/>
  <c r="BD75" i="6"/>
  <c r="BC75" i="6"/>
  <c r="BB75" i="6"/>
  <c r="BA75" i="6"/>
  <c r="AZ75" i="6"/>
  <c r="AL75" i="6"/>
  <c r="AK75" i="6"/>
  <c r="AJ75" i="6"/>
  <c r="AI75" i="6"/>
  <c r="AH75" i="6"/>
  <c r="BK74" i="6"/>
  <c r="BJ74" i="6"/>
  <c r="BI74" i="6"/>
  <c r="BH74" i="6"/>
  <c r="BG74" i="6"/>
  <c r="BD74" i="6"/>
  <c r="BC74" i="6"/>
  <c r="BB74" i="6"/>
  <c r="BA74" i="6"/>
  <c r="AZ74" i="6"/>
  <c r="AL74" i="6"/>
  <c r="AK74" i="6"/>
  <c r="AJ74" i="6"/>
  <c r="AI74" i="6"/>
  <c r="AH74" i="6"/>
  <c r="BK73" i="6"/>
  <c r="BJ73" i="6"/>
  <c r="BI73" i="6"/>
  <c r="BH73" i="6"/>
  <c r="BG73" i="6"/>
  <c r="BD73" i="6"/>
  <c r="BC73" i="6"/>
  <c r="BB73" i="6"/>
  <c r="BA73" i="6"/>
  <c r="AZ73" i="6"/>
  <c r="AL73" i="6"/>
  <c r="AK73" i="6"/>
  <c r="AJ73" i="6"/>
  <c r="AI73" i="6"/>
  <c r="AH73" i="6"/>
  <c r="BK72" i="6"/>
  <c r="BJ72" i="6"/>
  <c r="BI72" i="6"/>
  <c r="BH72" i="6"/>
  <c r="BG72" i="6"/>
  <c r="BD72" i="6"/>
  <c r="BC72" i="6"/>
  <c r="BB72" i="6"/>
  <c r="BA72" i="6"/>
  <c r="AZ72" i="6"/>
  <c r="AL72" i="6"/>
  <c r="AK72" i="6"/>
  <c r="AJ72" i="6"/>
  <c r="AI72" i="6"/>
  <c r="AH72" i="6"/>
  <c r="BK71" i="6"/>
  <c r="BJ71" i="6"/>
  <c r="BI71" i="6"/>
  <c r="BH71" i="6"/>
  <c r="BG71" i="6"/>
  <c r="BD71" i="6"/>
  <c r="BC71" i="6"/>
  <c r="BB71" i="6"/>
  <c r="BA71" i="6"/>
  <c r="AZ71" i="6"/>
  <c r="AL71" i="6"/>
  <c r="AK71" i="6"/>
  <c r="AJ71" i="6"/>
  <c r="AI71" i="6"/>
  <c r="AH71" i="6"/>
  <c r="BK70" i="6"/>
  <c r="BJ70" i="6"/>
  <c r="BI70" i="6"/>
  <c r="BH70" i="6"/>
  <c r="BG70" i="6"/>
  <c r="BD70" i="6"/>
  <c r="BC70" i="6"/>
  <c r="BB70" i="6"/>
  <c r="BA70" i="6"/>
  <c r="AZ70" i="6"/>
  <c r="AL70" i="6"/>
  <c r="AK70" i="6"/>
  <c r="AJ70" i="6"/>
  <c r="AI70" i="6"/>
  <c r="AH70" i="6"/>
  <c r="BK69" i="6"/>
  <c r="BJ69" i="6"/>
  <c r="BI69" i="6"/>
  <c r="BH69" i="6"/>
  <c r="BG69" i="6"/>
  <c r="BD69" i="6"/>
  <c r="BC69" i="6"/>
  <c r="BB69" i="6"/>
  <c r="BA69" i="6"/>
  <c r="AZ69" i="6"/>
  <c r="AR69" i="6"/>
  <c r="AS69" i="6"/>
  <c r="AL69" i="6"/>
  <c r="AK69" i="6"/>
  <c r="AJ69" i="6"/>
  <c r="AI69" i="6"/>
  <c r="AH69" i="6"/>
  <c r="BK68" i="6"/>
  <c r="BJ68" i="6"/>
  <c r="BI68" i="6"/>
  <c r="BH68" i="6"/>
  <c r="BG68" i="6"/>
  <c r="BD68" i="6"/>
  <c r="BC68" i="6"/>
  <c r="BB68" i="6"/>
  <c r="BA68" i="6"/>
  <c r="AZ68" i="6"/>
  <c r="AR68" i="6"/>
  <c r="AS68" i="6"/>
  <c r="AL68" i="6"/>
  <c r="AK68" i="6"/>
  <c r="AJ68" i="6"/>
  <c r="AI68" i="6"/>
  <c r="AH68" i="6"/>
  <c r="AU52" i="6"/>
  <c r="Y52" i="6"/>
  <c r="X52" i="6"/>
  <c r="W52" i="6"/>
  <c r="V52" i="6"/>
  <c r="U52" i="6"/>
  <c r="T52" i="6"/>
  <c r="S52" i="6"/>
  <c r="R52" i="6"/>
  <c r="N52" i="6"/>
  <c r="L52" i="6"/>
  <c r="K52" i="6"/>
  <c r="J52" i="6"/>
  <c r="I52" i="6"/>
  <c r="H52" i="6"/>
  <c r="G52" i="6"/>
  <c r="F52" i="6"/>
  <c r="E52" i="6"/>
  <c r="D52" i="6"/>
  <c r="C52" i="6"/>
  <c r="B52" i="6"/>
  <c r="BJ8" i="6"/>
  <c r="BI8" i="6"/>
  <c r="BH8" i="6"/>
  <c r="BG8" i="6"/>
  <c r="BD8" i="6"/>
  <c r="BC8" i="6"/>
  <c r="BB8" i="6"/>
  <c r="BA8" i="6"/>
  <c r="AZ8" i="6"/>
  <c r="AU8" i="6"/>
  <c r="AV8" i="6"/>
  <c r="AW8" i="6"/>
  <c r="AR8" i="6"/>
  <c r="AS8" i="6"/>
  <c r="BC7" i="6"/>
  <c r="BB7" i="6"/>
  <c r="BA7" i="6"/>
  <c r="AZ7" i="6"/>
  <c r="AU7" i="6"/>
  <c r="AV7" i="6"/>
  <c r="AW7" i="6"/>
  <c r="AR7" i="6"/>
  <c r="AS7" i="6"/>
  <c r="L488" i="11"/>
  <c r="I488" i="11"/>
  <c r="L487" i="11"/>
  <c r="I487" i="11"/>
  <c r="BK7" i="6"/>
  <c r="BJ7" i="6"/>
  <c r="BI7" i="6"/>
  <c r="BH7" i="6"/>
  <c r="BG7" i="6"/>
  <c r="BD7" i="6"/>
  <c r="BK8" i="6"/>
  <c r="L185" i="6"/>
  <c r="L149" i="7"/>
  <c r="I149" i="7"/>
  <c r="L148" i="7"/>
  <c r="I148" i="7"/>
  <c r="I146" i="7"/>
  <c r="H146" i="7"/>
  <c r="G146" i="7"/>
  <c r="AL114" i="8"/>
  <c r="AK114" i="8"/>
  <c r="AJ114" i="8"/>
  <c r="AI114" i="8"/>
  <c r="AH114" i="8"/>
  <c r="AG114" i="8"/>
  <c r="AF114" i="8"/>
  <c r="B335" i="11"/>
  <c r="B334" i="11"/>
  <c r="Z316" i="11"/>
  <c r="Y316" i="11"/>
  <c r="X316" i="11"/>
  <c r="W316" i="11"/>
  <c r="V316" i="11"/>
  <c r="U316" i="11"/>
  <c r="T316" i="11"/>
  <c r="S316" i="11"/>
  <c r="R316" i="11"/>
  <c r="Q316" i="11"/>
  <c r="P316" i="11"/>
  <c r="O316" i="11"/>
  <c r="N316" i="11"/>
  <c r="M316" i="11"/>
  <c r="L316" i="11"/>
  <c r="K316" i="11"/>
  <c r="J316" i="11"/>
  <c r="I316" i="11"/>
  <c r="H316" i="11"/>
  <c r="G316" i="11"/>
  <c r="F316" i="11"/>
  <c r="E316" i="11"/>
  <c r="D316" i="11"/>
  <c r="C316" i="11"/>
  <c r="B316" i="11"/>
  <c r="B167"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A167" i="11"/>
  <c r="AB167" i="11"/>
  <c r="AC167" i="11"/>
  <c r="AD167" i="11"/>
  <c r="AE167" i="11"/>
  <c r="CB167" i="11"/>
  <c r="CA3" i="11"/>
  <c r="CP169" i="11"/>
  <c r="CN170" i="11"/>
  <c r="CO170" i="11"/>
  <c r="CP170" i="11"/>
  <c r="CQ170" i="11"/>
  <c r="CR170" i="11"/>
  <c r="CU170" i="11"/>
  <c r="CV170" i="11"/>
  <c r="CW170" i="11"/>
  <c r="CX170" i="11"/>
  <c r="CY170" i="11"/>
  <c r="CN171" i="11"/>
  <c r="CO171" i="11"/>
  <c r="CP171" i="11"/>
  <c r="CQ171" i="11"/>
  <c r="CR171" i="11"/>
  <c r="CU171" i="11"/>
  <c r="CV171" i="11"/>
  <c r="CW171" i="11"/>
  <c r="CX171" i="11"/>
  <c r="CY171" i="11"/>
  <c r="CN172" i="11"/>
  <c r="CO172" i="11"/>
  <c r="CP172" i="11"/>
  <c r="CQ172" i="11"/>
  <c r="CR172" i="11"/>
  <c r="CU172" i="11"/>
  <c r="CV172" i="11"/>
  <c r="CW172" i="11"/>
  <c r="CX172" i="11"/>
  <c r="CY172" i="11"/>
  <c r="CN173" i="11"/>
  <c r="CO173" i="11"/>
  <c r="CP173" i="11"/>
  <c r="CQ173" i="11"/>
  <c r="CR173" i="11"/>
  <c r="CU173" i="11"/>
  <c r="CV173" i="11"/>
  <c r="CW173" i="11"/>
  <c r="CX173" i="11"/>
  <c r="CY173" i="11"/>
  <c r="CN174" i="11"/>
  <c r="CO174" i="11"/>
  <c r="CP174" i="11"/>
  <c r="CQ174" i="11"/>
  <c r="CR174" i="11"/>
  <c r="CU174" i="11"/>
  <c r="CV174" i="11"/>
  <c r="CW174" i="11"/>
  <c r="CX174" i="11"/>
  <c r="CY174" i="11"/>
  <c r="CN175" i="11"/>
  <c r="CO175" i="11"/>
  <c r="CP175" i="11"/>
  <c r="CQ175" i="11"/>
  <c r="CR175" i="11"/>
  <c r="CU175" i="11"/>
  <c r="CV175" i="11"/>
  <c r="CW175" i="11"/>
  <c r="CX175" i="11"/>
  <c r="CY175" i="11"/>
  <c r="CN176" i="11"/>
  <c r="CO176" i="11"/>
  <c r="CP176" i="11"/>
  <c r="CQ176" i="11"/>
  <c r="CR176" i="11"/>
  <c r="CU176" i="11"/>
  <c r="CV176" i="11"/>
  <c r="CW176" i="11"/>
  <c r="CX176" i="11"/>
  <c r="CY176" i="11"/>
  <c r="CN177" i="11"/>
  <c r="CO177" i="11"/>
  <c r="CP177" i="11"/>
  <c r="CQ177" i="11"/>
  <c r="CR177" i="11"/>
  <c r="CU177" i="11"/>
  <c r="CV177" i="11"/>
  <c r="CW177" i="11"/>
  <c r="CX177" i="11"/>
  <c r="CY177" i="11"/>
  <c r="CN178" i="11"/>
  <c r="CO178" i="11"/>
  <c r="CP178" i="11"/>
  <c r="CQ178" i="11"/>
  <c r="CR178" i="11"/>
  <c r="CU178" i="11"/>
  <c r="CV178" i="11"/>
  <c r="CW178" i="11"/>
  <c r="CX178" i="11"/>
  <c r="CY178" i="11"/>
  <c r="CN179" i="11"/>
  <c r="CO179" i="11"/>
  <c r="CP179" i="11"/>
  <c r="CQ179" i="11"/>
  <c r="CR179" i="11"/>
  <c r="CU179" i="11"/>
  <c r="CV179" i="11"/>
  <c r="CW179" i="11"/>
  <c r="CX179" i="11"/>
  <c r="CY179" i="11"/>
  <c r="CN180" i="11"/>
  <c r="CO180" i="11"/>
  <c r="CP180" i="11"/>
  <c r="CQ180" i="11"/>
  <c r="CR180" i="11"/>
  <c r="CU180" i="11"/>
  <c r="CV180" i="11"/>
  <c r="CW180" i="11"/>
  <c r="CX180" i="11"/>
  <c r="CY180" i="11"/>
  <c r="CN181" i="11"/>
  <c r="CO181" i="11"/>
  <c r="CP181" i="11"/>
  <c r="CQ181" i="11"/>
  <c r="CR181" i="11"/>
  <c r="CU181" i="11"/>
  <c r="CV181" i="11"/>
  <c r="CW181" i="11"/>
  <c r="CX181" i="11"/>
  <c r="CY181" i="11"/>
  <c r="CN182" i="11"/>
  <c r="CO182" i="11"/>
  <c r="CP182" i="11"/>
  <c r="CQ182" i="11"/>
  <c r="CR182" i="11"/>
  <c r="CU182" i="11"/>
  <c r="CV182" i="11"/>
  <c r="CW182" i="11"/>
  <c r="CX182" i="11"/>
  <c r="CY182" i="11"/>
  <c r="CN183" i="11"/>
  <c r="CO183" i="11"/>
  <c r="CP183" i="11"/>
  <c r="CQ183" i="11"/>
  <c r="CR183" i="11"/>
  <c r="CU183" i="11"/>
  <c r="CV183" i="11"/>
  <c r="CW183" i="11"/>
  <c r="CX183" i="11"/>
  <c r="CY183" i="11"/>
  <c r="CN184" i="11"/>
  <c r="CO184" i="11"/>
  <c r="CP184" i="11"/>
  <c r="CQ184" i="11"/>
  <c r="CR184" i="11"/>
  <c r="CU184" i="11"/>
  <c r="CV184" i="11"/>
  <c r="CW184" i="11"/>
  <c r="CX184" i="11"/>
  <c r="CY184" i="11"/>
  <c r="CN185" i="11"/>
  <c r="CO185" i="11"/>
  <c r="CP185" i="11"/>
  <c r="CQ185" i="11"/>
  <c r="CR185" i="11"/>
  <c r="CU185" i="11"/>
  <c r="CV185" i="11"/>
  <c r="CW185" i="11"/>
  <c r="CX185" i="11"/>
  <c r="CY185" i="11"/>
  <c r="CN186" i="11"/>
  <c r="CO186" i="11"/>
  <c r="CP186" i="11"/>
  <c r="CQ186" i="11"/>
  <c r="CR186" i="11"/>
  <c r="CU186" i="11"/>
  <c r="CV186" i="11"/>
  <c r="CW186" i="11"/>
  <c r="CX186" i="11"/>
  <c r="CY186" i="11"/>
  <c r="CN187" i="11"/>
  <c r="CO187" i="11"/>
  <c r="CP187" i="11"/>
  <c r="CQ187" i="11"/>
  <c r="CR187" i="11"/>
  <c r="CU187" i="11"/>
  <c r="CV187" i="11"/>
  <c r="CW187" i="11"/>
  <c r="CX187" i="11"/>
  <c r="CY187" i="11"/>
  <c r="CN188" i="11"/>
  <c r="CO188" i="11"/>
  <c r="CP188" i="11"/>
  <c r="CQ188" i="11"/>
  <c r="CR188" i="11"/>
  <c r="CU188" i="11"/>
  <c r="CV188" i="11"/>
  <c r="CW188" i="11"/>
  <c r="CX188" i="11"/>
  <c r="CY188" i="11"/>
  <c r="CN189" i="11"/>
  <c r="CO189" i="11"/>
  <c r="CP189" i="11"/>
  <c r="CQ189" i="11"/>
  <c r="CR189" i="11"/>
  <c r="CU189" i="11"/>
  <c r="CV189" i="11"/>
  <c r="CW189" i="11"/>
  <c r="CX189" i="11"/>
  <c r="CY189" i="11"/>
  <c r="CN190" i="11"/>
  <c r="CO190" i="11"/>
  <c r="CP190" i="11"/>
  <c r="CQ190" i="11"/>
  <c r="CR190" i="11"/>
  <c r="CU190" i="11"/>
  <c r="CV190" i="11"/>
  <c r="CW190" i="11"/>
  <c r="CX190" i="11"/>
  <c r="CY190" i="11"/>
  <c r="CN191" i="11"/>
  <c r="CO191" i="11"/>
  <c r="CP191" i="11"/>
  <c r="CQ191" i="11"/>
  <c r="CR191" i="11"/>
  <c r="CU191" i="11"/>
  <c r="CV191" i="11"/>
  <c r="CW191" i="11"/>
  <c r="CX191" i="11"/>
  <c r="CY191" i="11"/>
  <c r="CN192" i="11"/>
  <c r="CO192" i="11"/>
  <c r="CP192" i="11"/>
  <c r="CQ192" i="11"/>
  <c r="CR192" i="11"/>
  <c r="CU192" i="11"/>
  <c r="CV192" i="11"/>
  <c r="CW192" i="11"/>
  <c r="CX192" i="11"/>
  <c r="CY192" i="11"/>
  <c r="CN193" i="11"/>
  <c r="CO193" i="11"/>
  <c r="CP193" i="11"/>
  <c r="CQ193" i="11"/>
  <c r="CR193" i="11"/>
  <c r="CU193" i="11"/>
  <c r="CV193" i="11"/>
  <c r="CW193" i="11"/>
  <c r="CX193" i="11"/>
  <c r="CY193" i="11"/>
  <c r="CN194" i="11"/>
  <c r="CO194" i="11"/>
  <c r="CP194" i="11"/>
  <c r="CQ194" i="11"/>
  <c r="CR194" i="11"/>
  <c r="CU194" i="11"/>
  <c r="CV194" i="11"/>
  <c r="CW194" i="11"/>
  <c r="CX194" i="11"/>
  <c r="CY194" i="11"/>
  <c r="CN195" i="11"/>
  <c r="CO195" i="11"/>
  <c r="CP195" i="11"/>
  <c r="CQ195" i="11"/>
  <c r="CR195" i="11"/>
  <c r="CU195" i="11"/>
  <c r="CV195" i="11"/>
  <c r="CW195" i="11"/>
  <c r="CX195" i="11"/>
  <c r="CY195" i="11"/>
  <c r="CN196" i="11"/>
  <c r="CO196" i="11"/>
  <c r="CP196" i="11"/>
  <c r="CQ196" i="11"/>
  <c r="CR196" i="11"/>
  <c r="CU196" i="11"/>
  <c r="CV196" i="11"/>
  <c r="CW196" i="11"/>
  <c r="CX196" i="11"/>
  <c r="CY196" i="11"/>
  <c r="CN197" i="11"/>
  <c r="CO197" i="11"/>
  <c r="CP197" i="11"/>
  <c r="CQ197" i="11"/>
  <c r="CR197" i="11"/>
  <c r="CU197" i="11"/>
  <c r="CV197" i="11"/>
  <c r="CW197" i="11"/>
  <c r="CX197" i="11"/>
  <c r="CY197" i="11"/>
  <c r="CN198" i="11"/>
  <c r="CO198" i="11"/>
  <c r="CP198" i="11"/>
  <c r="CQ198" i="11"/>
  <c r="CR198" i="11"/>
  <c r="CU198" i="11"/>
  <c r="CV198" i="11"/>
  <c r="CW198" i="11"/>
  <c r="CX198" i="11"/>
  <c r="CY198" i="11"/>
  <c r="CN199" i="11"/>
  <c r="CO199" i="11"/>
  <c r="CP199" i="11"/>
  <c r="CQ199" i="11"/>
  <c r="CR199" i="11"/>
  <c r="CU199" i="11"/>
  <c r="CV199" i="11"/>
  <c r="CW199" i="11"/>
  <c r="CX199" i="11"/>
  <c r="CY199" i="11"/>
  <c r="CN200" i="11"/>
  <c r="CO200" i="11"/>
  <c r="CP200" i="11"/>
  <c r="CQ200" i="11"/>
  <c r="CR200" i="11"/>
  <c r="CU200" i="11"/>
  <c r="CV200" i="11"/>
  <c r="CW200" i="11"/>
  <c r="CX200" i="11"/>
  <c r="CY200" i="11"/>
  <c r="CN201" i="11"/>
  <c r="CO201" i="11"/>
  <c r="CP201" i="11"/>
  <c r="CQ201" i="11"/>
  <c r="CR201" i="11"/>
  <c r="CU201" i="11"/>
  <c r="CV201" i="11"/>
  <c r="CW201" i="11"/>
  <c r="CX201" i="11"/>
  <c r="CY201" i="11"/>
  <c r="CN202" i="11"/>
  <c r="CO202" i="11"/>
  <c r="CP202" i="11"/>
  <c r="CQ202" i="11"/>
  <c r="CR202" i="11"/>
  <c r="CU202" i="11"/>
  <c r="CV202" i="11"/>
  <c r="CW202" i="11"/>
  <c r="CX202" i="11"/>
  <c r="CY202" i="11"/>
  <c r="CN203" i="11"/>
  <c r="CO203" i="11"/>
  <c r="CP203" i="11"/>
  <c r="CQ203" i="11"/>
  <c r="CR203" i="11"/>
  <c r="CU203" i="11"/>
  <c r="CV203" i="11"/>
  <c r="CW203" i="11"/>
  <c r="CX203" i="11"/>
  <c r="CY203" i="11"/>
  <c r="CN204" i="11"/>
  <c r="CO204" i="11"/>
  <c r="CP204" i="11"/>
  <c r="CQ204" i="11"/>
  <c r="CR204" i="11"/>
  <c r="CU204" i="11"/>
  <c r="CV204" i="11"/>
  <c r="CW204" i="11"/>
  <c r="CX204" i="11"/>
  <c r="CY204" i="11"/>
  <c r="CN205" i="11"/>
  <c r="CO205" i="11"/>
  <c r="CP205" i="11"/>
  <c r="CQ205" i="11"/>
  <c r="CR205" i="11"/>
  <c r="CU205" i="11"/>
  <c r="CV205" i="11"/>
  <c r="CW205" i="11"/>
  <c r="CX205" i="11"/>
  <c r="CY205" i="11"/>
  <c r="CN206" i="11"/>
  <c r="CO206" i="11"/>
  <c r="CP206" i="11"/>
  <c r="CQ206" i="11"/>
  <c r="CR206" i="11"/>
  <c r="CU206" i="11"/>
  <c r="CV206" i="11"/>
  <c r="CW206" i="11"/>
  <c r="CX206" i="11"/>
  <c r="CY206" i="11"/>
  <c r="CN207" i="11"/>
  <c r="CO207" i="11"/>
  <c r="CP207" i="11"/>
  <c r="CQ207" i="11"/>
  <c r="CR207" i="11"/>
  <c r="CU207" i="11"/>
  <c r="CV207" i="11"/>
  <c r="CW207" i="11"/>
  <c r="CX207" i="11"/>
  <c r="CY207" i="11"/>
  <c r="CN208" i="11"/>
  <c r="CO208" i="11"/>
  <c r="CP208" i="11"/>
  <c r="CQ208" i="11"/>
  <c r="CR208" i="11"/>
  <c r="CU208" i="11"/>
  <c r="CV208" i="11"/>
  <c r="CW208" i="11"/>
  <c r="CX208" i="11"/>
  <c r="CY208" i="11"/>
  <c r="CN209" i="11"/>
  <c r="CO209" i="11"/>
  <c r="CP209" i="11"/>
  <c r="CQ209" i="11"/>
  <c r="CR209" i="11"/>
  <c r="CU209" i="11"/>
  <c r="CV209" i="11"/>
  <c r="CW209" i="11"/>
  <c r="CX209" i="11"/>
  <c r="CY209" i="11"/>
  <c r="CN210" i="11"/>
  <c r="CO210" i="11"/>
  <c r="CP210" i="11"/>
  <c r="CQ210" i="11"/>
  <c r="CR210" i="11"/>
  <c r="CU210" i="11"/>
  <c r="CV210" i="11"/>
  <c r="CW210" i="11"/>
  <c r="CX210" i="11"/>
  <c r="CY210" i="11"/>
  <c r="CN211" i="11"/>
  <c r="CO211" i="11"/>
  <c r="CP211" i="11"/>
  <c r="CQ211" i="11"/>
  <c r="CR211" i="11"/>
  <c r="CU211" i="11"/>
  <c r="CV211" i="11"/>
  <c r="CW211" i="11"/>
  <c r="CX211" i="11"/>
  <c r="CY211" i="11"/>
  <c r="CN212" i="11"/>
  <c r="CO212" i="11"/>
  <c r="CP212" i="11"/>
  <c r="CQ212" i="11"/>
  <c r="CR212" i="11"/>
  <c r="CU212" i="11"/>
  <c r="CV212" i="11"/>
  <c r="CW212" i="11"/>
  <c r="CX212" i="11"/>
  <c r="CY212" i="11"/>
  <c r="CN213" i="11"/>
  <c r="CO213" i="11"/>
  <c r="CP213" i="11"/>
  <c r="CQ213" i="11"/>
  <c r="CR213" i="11"/>
  <c r="CU213" i="11"/>
  <c r="CV213" i="11"/>
  <c r="CW213" i="11"/>
  <c r="CX213" i="11"/>
  <c r="CY213" i="11"/>
  <c r="CN214" i="11"/>
  <c r="CO214" i="11"/>
  <c r="CP214" i="11"/>
  <c r="CQ214" i="11"/>
  <c r="CR214" i="11"/>
  <c r="CU214" i="11"/>
  <c r="CV214" i="11"/>
  <c r="CW214" i="11"/>
  <c r="CX214" i="11"/>
  <c r="CY214" i="11"/>
  <c r="CN215" i="11"/>
  <c r="CO215" i="11"/>
  <c r="CP215" i="11"/>
  <c r="CQ215" i="11"/>
  <c r="CR215" i="11"/>
  <c r="CU215" i="11"/>
  <c r="CV215" i="11"/>
  <c r="CW215" i="11"/>
  <c r="CX215" i="11"/>
  <c r="CY215" i="11"/>
  <c r="CN216" i="11"/>
  <c r="CO216" i="11"/>
  <c r="CP216" i="11"/>
  <c r="CQ216" i="11"/>
  <c r="CR216" i="11"/>
  <c r="CU216" i="11"/>
  <c r="CV216" i="11"/>
  <c r="CW216" i="11"/>
  <c r="CX216" i="11"/>
  <c r="CY216" i="11"/>
  <c r="CN217" i="11"/>
  <c r="CO217" i="11"/>
  <c r="CP217" i="11"/>
  <c r="CQ217" i="11"/>
  <c r="CR217" i="11"/>
  <c r="CU217" i="11"/>
  <c r="CV217" i="11"/>
  <c r="CW217" i="11"/>
  <c r="CX217" i="11"/>
  <c r="CY217" i="11"/>
  <c r="CN218" i="11"/>
  <c r="CO218" i="11"/>
  <c r="CP218" i="11"/>
  <c r="CQ218" i="11"/>
  <c r="CR218" i="11"/>
  <c r="CU218" i="11"/>
  <c r="CV218" i="11"/>
  <c r="CW218" i="11"/>
  <c r="CX218" i="11"/>
  <c r="CY218" i="11"/>
  <c r="CN219" i="11"/>
  <c r="CO219" i="11"/>
  <c r="CP219" i="11"/>
  <c r="CQ219" i="11"/>
  <c r="CR219" i="11"/>
  <c r="CU219" i="11"/>
  <c r="CV219" i="11"/>
  <c r="CW219" i="11"/>
  <c r="CX219" i="11"/>
  <c r="CY219" i="11"/>
  <c r="CN220" i="11"/>
  <c r="CO220" i="11"/>
  <c r="CP220" i="11"/>
  <c r="CQ220" i="11"/>
  <c r="CR220" i="11"/>
  <c r="CU220" i="11"/>
  <c r="CV220" i="11"/>
  <c r="CW220" i="11"/>
  <c r="CX220" i="11"/>
  <c r="CY220" i="11"/>
  <c r="CN221" i="11"/>
  <c r="CO221" i="11"/>
  <c r="CP221" i="11"/>
  <c r="CQ221" i="11"/>
  <c r="CR221" i="11"/>
  <c r="CU221" i="11"/>
  <c r="CV221" i="11"/>
  <c r="CW221" i="11"/>
  <c r="CX221" i="11"/>
  <c r="CY221" i="11"/>
  <c r="CN222" i="11"/>
  <c r="CO222" i="11"/>
  <c r="CP222" i="11"/>
  <c r="CQ222" i="11"/>
  <c r="CR222" i="11"/>
  <c r="CU222" i="11"/>
  <c r="CV222" i="11"/>
  <c r="CW222" i="11"/>
  <c r="CX222" i="11"/>
  <c r="CY222" i="11"/>
  <c r="CN223" i="11"/>
  <c r="CO223" i="11"/>
  <c r="CP223" i="11"/>
  <c r="CQ223" i="11"/>
  <c r="CR223" i="11"/>
  <c r="CU223" i="11"/>
  <c r="CV223" i="11"/>
  <c r="CW223" i="11"/>
  <c r="CX223" i="11"/>
  <c r="CY223" i="11"/>
  <c r="CN224" i="11"/>
  <c r="CO224" i="11"/>
  <c r="CP224" i="11"/>
  <c r="CQ224" i="11"/>
  <c r="CR224" i="11"/>
  <c r="CU224" i="11"/>
  <c r="CV224" i="11"/>
  <c r="CW224" i="11"/>
  <c r="CX224" i="11"/>
  <c r="CY224" i="11"/>
  <c r="CN225" i="11"/>
  <c r="CO225" i="11"/>
  <c r="CP225" i="11"/>
  <c r="CQ225" i="11"/>
  <c r="CR225" i="11"/>
  <c r="CU225" i="11"/>
  <c r="CV225" i="11"/>
  <c r="CW225" i="11"/>
  <c r="CX225" i="11"/>
  <c r="CY225" i="11"/>
  <c r="CN226" i="11"/>
  <c r="CO226" i="11"/>
  <c r="CP226" i="11"/>
  <c r="CQ226" i="11"/>
  <c r="CR226" i="11"/>
  <c r="CU226" i="11"/>
  <c r="CV226" i="11"/>
  <c r="CW226" i="11"/>
  <c r="CX226" i="11"/>
  <c r="CY226" i="11"/>
  <c r="CN227" i="11"/>
  <c r="CO227" i="11"/>
  <c r="CP227" i="11"/>
  <c r="CQ227" i="11"/>
  <c r="CR227" i="11"/>
  <c r="CU227" i="11"/>
  <c r="CV227" i="11"/>
  <c r="CW227" i="11"/>
  <c r="CX227" i="11"/>
  <c r="CY227" i="11"/>
  <c r="CN228" i="11"/>
  <c r="CO228" i="11"/>
  <c r="CP228" i="11"/>
  <c r="CQ228" i="11"/>
  <c r="CR228" i="11"/>
  <c r="CU228" i="11"/>
  <c r="CV228" i="11"/>
  <c r="CW228" i="11"/>
  <c r="CX228" i="11"/>
  <c r="CY228" i="11"/>
  <c r="CN229" i="11"/>
  <c r="CO229" i="11"/>
  <c r="CP229" i="11"/>
  <c r="CQ229" i="11"/>
  <c r="CR229" i="11"/>
  <c r="CU229" i="11"/>
  <c r="CV229" i="11"/>
  <c r="CW229" i="11"/>
  <c r="CX229" i="11"/>
  <c r="CY229" i="11"/>
  <c r="CN230" i="11"/>
  <c r="CO230" i="11"/>
  <c r="CP230" i="11"/>
  <c r="CQ230" i="11"/>
  <c r="CR230" i="11"/>
  <c r="CU230" i="11"/>
  <c r="CV230" i="11"/>
  <c r="CW230" i="11"/>
  <c r="CX230" i="11"/>
  <c r="CY230" i="11"/>
  <c r="CN231" i="11"/>
  <c r="CO231" i="11"/>
  <c r="CP231" i="11"/>
  <c r="CQ231" i="11"/>
  <c r="CR231" i="11"/>
  <c r="CU231" i="11"/>
  <c r="CV231" i="11"/>
  <c r="CW231" i="11"/>
  <c r="CX231" i="11"/>
  <c r="CY231" i="11"/>
  <c r="CN232" i="11"/>
  <c r="CO232" i="11"/>
  <c r="CP232" i="11"/>
  <c r="CQ232" i="11"/>
  <c r="CR232" i="11"/>
  <c r="CU232" i="11"/>
  <c r="CV232" i="11"/>
  <c r="CW232" i="11"/>
  <c r="CX232" i="11"/>
  <c r="CY232" i="11"/>
  <c r="CN233" i="11"/>
  <c r="CO233" i="11"/>
  <c r="CP233" i="11"/>
  <c r="CQ233" i="11"/>
  <c r="CR233" i="11"/>
  <c r="CU233" i="11"/>
  <c r="CV233" i="11"/>
  <c r="CW233" i="11"/>
  <c r="CX233" i="11"/>
  <c r="CY233" i="11"/>
  <c r="CN234" i="11"/>
  <c r="CO234" i="11"/>
  <c r="CP234" i="11"/>
  <c r="CQ234" i="11"/>
  <c r="CR234" i="11"/>
  <c r="CU234" i="11"/>
  <c r="CV234" i="11"/>
  <c r="CW234" i="11"/>
  <c r="CX234" i="11"/>
  <c r="CY234" i="11"/>
  <c r="CN235" i="11"/>
  <c r="CO235" i="11"/>
  <c r="CP235" i="11"/>
  <c r="CQ235" i="11"/>
  <c r="CR235" i="11"/>
  <c r="CU235" i="11"/>
  <c r="CV235" i="11"/>
  <c r="CW235" i="11"/>
  <c r="CX235" i="11"/>
  <c r="CY235" i="11"/>
  <c r="CN236" i="11"/>
  <c r="CO236" i="11"/>
  <c r="CP236" i="11"/>
  <c r="CQ236" i="11"/>
  <c r="CU236" i="11"/>
  <c r="CV236" i="11"/>
  <c r="CW236" i="11"/>
  <c r="CX236" i="11"/>
  <c r="CN237" i="11"/>
  <c r="CO237" i="11"/>
  <c r="CP237" i="11"/>
  <c r="CQ237" i="11"/>
  <c r="CR237" i="11"/>
  <c r="CU237" i="11"/>
  <c r="CV237" i="11"/>
  <c r="CW237" i="11"/>
  <c r="CX237" i="11"/>
  <c r="CY237" i="11"/>
  <c r="CN238" i="11"/>
  <c r="CO238" i="11"/>
  <c r="CP238" i="11"/>
  <c r="CQ238" i="11"/>
  <c r="CR238" i="11"/>
  <c r="CU238" i="11"/>
  <c r="CV238" i="11"/>
  <c r="CW238" i="11"/>
  <c r="CX238" i="11"/>
  <c r="CY238" i="11"/>
  <c r="CN239" i="11"/>
  <c r="CO239" i="11"/>
  <c r="CP239" i="11"/>
  <c r="CQ239" i="11"/>
  <c r="CR239" i="11"/>
  <c r="CU239" i="11"/>
  <c r="CV239" i="11"/>
  <c r="CW239" i="11"/>
  <c r="CX239" i="11"/>
  <c r="CY239" i="11"/>
  <c r="CN240" i="11"/>
  <c r="CO240" i="11"/>
  <c r="CP240" i="11"/>
  <c r="CQ240" i="11"/>
  <c r="CR240" i="11"/>
  <c r="CU240" i="11"/>
  <c r="CV240" i="11"/>
  <c r="CW240" i="11"/>
  <c r="CX240" i="11"/>
  <c r="CY240" i="11"/>
  <c r="CN241" i="11"/>
  <c r="CO241" i="11"/>
  <c r="CP241" i="11"/>
  <c r="CR241" i="11"/>
  <c r="CU241" i="11"/>
  <c r="CV241" i="11"/>
  <c r="CW241" i="11"/>
  <c r="CY241" i="11"/>
  <c r="CN242" i="11"/>
  <c r="CO242" i="11"/>
  <c r="CP242" i="11"/>
  <c r="CQ242" i="11"/>
  <c r="CR242" i="11"/>
  <c r="CU242" i="11"/>
  <c r="CV242" i="11"/>
  <c r="CW242" i="11"/>
  <c r="CX242" i="11"/>
  <c r="CY242" i="11"/>
  <c r="CN243" i="11"/>
  <c r="CO243" i="11"/>
  <c r="CP243" i="11"/>
  <c r="CQ243" i="11"/>
  <c r="CR243" i="11"/>
  <c r="CU243" i="11"/>
  <c r="CV243" i="11"/>
  <c r="CW243" i="11"/>
  <c r="CX243" i="11"/>
  <c r="CY243" i="11"/>
  <c r="CN244" i="11"/>
  <c r="CO244" i="11"/>
  <c r="CP244" i="11"/>
  <c r="CQ244" i="11"/>
  <c r="CR244" i="11"/>
  <c r="CU244" i="11"/>
  <c r="CV244" i="11"/>
  <c r="CW244" i="11"/>
  <c r="CX244" i="11"/>
  <c r="CY244" i="11"/>
  <c r="CN245" i="11"/>
  <c r="CO245" i="11"/>
  <c r="CP245" i="11"/>
  <c r="CQ245" i="11"/>
  <c r="CR245" i="11"/>
  <c r="CU245" i="11"/>
  <c r="CV245" i="11"/>
  <c r="CW245" i="11"/>
  <c r="CX245" i="11"/>
  <c r="CY245" i="11"/>
  <c r="CN246" i="11"/>
  <c r="CO246" i="11"/>
  <c r="CQ246" i="11"/>
  <c r="CR246" i="11"/>
  <c r="CU246" i="11"/>
  <c r="CV246" i="11"/>
  <c r="CX246" i="11"/>
  <c r="CY246" i="11"/>
  <c r="CN247" i="11"/>
  <c r="CO247" i="11"/>
  <c r="CP247" i="11"/>
  <c r="CQ247" i="11"/>
  <c r="CR247" i="11"/>
  <c r="CU247" i="11"/>
  <c r="CV247" i="11"/>
  <c r="CW247" i="11"/>
  <c r="CX247" i="11"/>
  <c r="CY247" i="11"/>
  <c r="CN248" i="11"/>
  <c r="CP248" i="11"/>
  <c r="CQ248" i="11"/>
  <c r="CR248" i="11"/>
  <c r="CU248" i="11"/>
  <c r="CW248" i="11"/>
  <c r="CX248" i="11"/>
  <c r="CY248" i="11"/>
  <c r="CN249" i="11"/>
  <c r="CO249" i="11"/>
  <c r="CP249" i="11"/>
  <c r="CQ249" i="11"/>
  <c r="CR249" i="11"/>
  <c r="CU249" i="11"/>
  <c r="CV249" i="11"/>
  <c r="CW249" i="11"/>
  <c r="CX249" i="11"/>
  <c r="CY249" i="11"/>
  <c r="CN8" i="11"/>
  <c r="CU8" i="11"/>
  <c r="CN9" i="11"/>
  <c r="CU9" i="11"/>
  <c r="CN10" i="11"/>
  <c r="CU10" i="11"/>
  <c r="CN11" i="11"/>
  <c r="CU11" i="11"/>
  <c r="CN12" i="11"/>
  <c r="CU12" i="11"/>
  <c r="CN13" i="11"/>
  <c r="CU13" i="11"/>
  <c r="CN14" i="11"/>
  <c r="CU14" i="11"/>
  <c r="CN15" i="11"/>
  <c r="CU15" i="11"/>
  <c r="CN16" i="11"/>
  <c r="CU16" i="11"/>
  <c r="CN17" i="11"/>
  <c r="CU17" i="11"/>
  <c r="CN18" i="11"/>
  <c r="CU18" i="11"/>
  <c r="CN19" i="11"/>
  <c r="CU19" i="11"/>
  <c r="CN20" i="11"/>
  <c r="CU20" i="11"/>
  <c r="CN21" i="11"/>
  <c r="CU21" i="11"/>
  <c r="CN22" i="11"/>
  <c r="CU22" i="11"/>
  <c r="CN23" i="11"/>
  <c r="CU23" i="11"/>
  <c r="CN24" i="11"/>
  <c r="CU24" i="11"/>
  <c r="CN25" i="11"/>
  <c r="CU25" i="11"/>
  <c r="CN26" i="11"/>
  <c r="CU26" i="11"/>
  <c r="CN27" i="11"/>
  <c r="CU27" i="11"/>
  <c r="CN28" i="11"/>
  <c r="CU28" i="11"/>
  <c r="CN29" i="11"/>
  <c r="CU29" i="11"/>
  <c r="CN30" i="11"/>
  <c r="CU30" i="11"/>
  <c r="CN31" i="11"/>
  <c r="CU31" i="11"/>
  <c r="CN32" i="11"/>
  <c r="CU32" i="11"/>
  <c r="CN33" i="11"/>
  <c r="CU33" i="11"/>
  <c r="CN34" i="11"/>
  <c r="CU34" i="11"/>
  <c r="CN35" i="11"/>
  <c r="CU35" i="11"/>
  <c r="CN36" i="11"/>
  <c r="CU36" i="11"/>
  <c r="CN37" i="11"/>
  <c r="CU37" i="11"/>
  <c r="CN38" i="11"/>
  <c r="CU38" i="11"/>
  <c r="CN39" i="11"/>
  <c r="CU39" i="11"/>
  <c r="CN40" i="11"/>
  <c r="CU40" i="11"/>
  <c r="CN41" i="11"/>
  <c r="CU41" i="11"/>
  <c r="CN42" i="11"/>
  <c r="CU42" i="11"/>
  <c r="CN43" i="11"/>
  <c r="CU43" i="11"/>
  <c r="CN44" i="11"/>
  <c r="CU44" i="11"/>
  <c r="CN45" i="11"/>
  <c r="CU45" i="11"/>
  <c r="CN46" i="11"/>
  <c r="CU46" i="11"/>
  <c r="CN47" i="11"/>
  <c r="CU47" i="11"/>
  <c r="CN48" i="11"/>
  <c r="CU48" i="11"/>
  <c r="CN49" i="11"/>
  <c r="CU49" i="11"/>
  <c r="CG153" i="11"/>
  <c r="CE153" i="11"/>
  <c r="CF153" i="11"/>
  <c r="CY169" i="11"/>
  <c r="CX169" i="11"/>
  <c r="CW169" i="11"/>
  <c r="CV169" i="11"/>
  <c r="CU169" i="11"/>
  <c r="CR169" i="11"/>
  <c r="CQ169" i="11"/>
  <c r="CO169" i="11"/>
  <c r="CN169" i="11"/>
  <c r="CY7" i="11"/>
  <c r="CX7" i="11"/>
  <c r="CW7" i="11"/>
  <c r="CV7" i="11"/>
  <c r="CU7" i="11"/>
  <c r="CR7" i="11"/>
  <c r="CQ7" i="11"/>
  <c r="CP7" i="11"/>
  <c r="CO7" i="11"/>
  <c r="CN7" i="11"/>
  <c r="AE316" i="11"/>
  <c r="AD316" i="11"/>
  <c r="AC316" i="11"/>
  <c r="AB316" i="11"/>
  <c r="AA316" i="11"/>
  <c r="AE166" i="11"/>
  <c r="AD166" i="11"/>
  <c r="AC166" i="11"/>
  <c r="AB166" i="11"/>
  <c r="AA166" i="11"/>
  <c r="Z166" i="11"/>
  <c r="Y166" i="11"/>
  <c r="X166" i="11"/>
  <c r="W166" i="11"/>
  <c r="V166" i="11"/>
  <c r="U166" i="11"/>
  <c r="T166" i="11"/>
  <c r="S166" i="11"/>
  <c r="R166" i="11"/>
  <c r="Q166" i="11"/>
  <c r="P166" i="11"/>
  <c r="O166" i="11"/>
  <c r="N166" i="11"/>
  <c r="M166" i="11"/>
  <c r="L166" i="11"/>
  <c r="K166" i="11"/>
  <c r="J166" i="11"/>
  <c r="I166" i="11"/>
  <c r="H166" i="11"/>
  <c r="G166" i="11"/>
  <c r="F166" i="11"/>
  <c r="E166" i="11"/>
  <c r="D166" i="11"/>
  <c r="C166" i="11"/>
  <c r="B166" i="11"/>
  <c r="AE165" i="11"/>
  <c r="AD165" i="11"/>
  <c r="AC165" i="11"/>
  <c r="AB165" i="11"/>
  <c r="AA165" i="11"/>
  <c r="Z165" i="11"/>
  <c r="Y165" i="11"/>
  <c r="X165" i="11"/>
  <c r="W165" i="11"/>
  <c r="V165" i="11"/>
  <c r="U165" i="11"/>
  <c r="T165" i="11"/>
  <c r="S165" i="11"/>
  <c r="R165" i="11"/>
  <c r="Q165" i="11"/>
  <c r="P165" i="11"/>
  <c r="O165" i="11"/>
  <c r="N165" i="11"/>
  <c r="M165" i="11"/>
  <c r="L165" i="11"/>
  <c r="K165" i="11"/>
  <c r="J165" i="11"/>
  <c r="I165" i="11"/>
  <c r="H165" i="11"/>
  <c r="G165" i="11"/>
  <c r="F165" i="11"/>
  <c r="E165" i="11"/>
  <c r="D165" i="11"/>
  <c r="C165" i="11"/>
  <c r="B165"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A159" i="11"/>
  <c r="AB159" i="11"/>
  <c r="AC159" i="11"/>
  <c r="AD159" i="11"/>
  <c r="AE159"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A160" i="11"/>
  <c r="AB160" i="11"/>
  <c r="AC160" i="11"/>
  <c r="AD160" i="11"/>
  <c r="AE160" i="11"/>
  <c r="B160" i="11"/>
  <c r="B159" i="11"/>
  <c r="CA153" i="11"/>
  <c r="CC153" i="11"/>
  <c r="CE1" i="11"/>
  <c r="AH339" i="11"/>
  <c r="AG339" i="11"/>
  <c r="AF339" i="11"/>
  <c r="AE339" i="11"/>
  <c r="AD339" i="11"/>
  <c r="AC339" i="11"/>
  <c r="AB339" i="11"/>
  <c r="AA339" i="11"/>
  <c r="R339" i="11"/>
  <c r="CE165" i="11"/>
  <c r="A168" i="10"/>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O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H66" i="8"/>
  <c r="E48" i="9"/>
  <c r="I48" i="9"/>
  <c r="M48" i="9"/>
  <c r="Q48" i="9"/>
  <c r="U48" i="9"/>
  <c r="Y48" i="9"/>
  <c r="AI127" i="9"/>
  <c r="AZ43" i="9"/>
  <c r="AZ42" i="9"/>
  <c r="AM55" i="8"/>
  <c r="AL55" i="8"/>
  <c r="AK55" i="8"/>
  <c r="AJ55" i="8"/>
  <c r="AI55" i="8"/>
  <c r="AH55" i="8"/>
  <c r="AG55" i="8"/>
  <c r="AF55" i="8"/>
  <c r="AE55" i="8"/>
  <c r="AD55" i="8"/>
  <c r="AM54" i="8"/>
  <c r="AL54" i="8"/>
  <c r="AK54" i="8"/>
  <c r="AJ54" i="8"/>
  <c r="AI54" i="8"/>
  <c r="AH54" i="8"/>
  <c r="AG54" i="8"/>
  <c r="AF54" i="8"/>
  <c r="AE54" i="8"/>
  <c r="AD54" i="8"/>
  <c r="Z110" i="7"/>
  <c r="Y110" i="7"/>
  <c r="X110" i="7"/>
  <c r="W110" i="7"/>
  <c r="V110" i="7"/>
  <c r="U110" i="7"/>
  <c r="T110" i="7"/>
  <c r="S110" i="7"/>
  <c r="Q110" i="7"/>
  <c r="Z134" i="6"/>
  <c r="Y134" i="6"/>
  <c r="X134" i="6"/>
  <c r="W134" i="6"/>
  <c r="V134" i="6"/>
  <c r="U134" i="6"/>
  <c r="T134" i="6"/>
  <c r="S134" i="6"/>
  <c r="Q134" i="6"/>
  <c r="A31" i="3"/>
  <c r="B31" i="3"/>
  <c r="A32" i="3"/>
  <c r="B32" i="3"/>
  <c r="A33" i="3"/>
  <c r="B33" i="3"/>
  <c r="A34" i="3"/>
  <c r="B34" i="3"/>
  <c r="A35" i="3"/>
  <c r="B35" i="3"/>
  <c r="A36" i="3"/>
  <c r="B36" i="3"/>
  <c r="A37" i="3"/>
  <c r="B37" i="3"/>
  <c r="A38" i="3"/>
  <c r="B38" i="3"/>
  <c r="A39" i="3"/>
  <c r="B39" i="3"/>
  <c r="A40" i="3"/>
  <c r="B40" i="3"/>
  <c r="A41" i="3"/>
  <c r="B41" i="3"/>
  <c r="D42" i="3"/>
  <c r="E42" i="3"/>
  <c r="F42" i="3"/>
  <c r="G42" i="3"/>
  <c r="J42" i="3"/>
  <c r="K42" i="3"/>
  <c r="J43" i="3"/>
  <c r="K43" i="3"/>
  <c r="J44" i="3"/>
  <c r="K44" i="3"/>
  <c r="J45" i="3"/>
  <c r="K45" i="3"/>
  <c r="J46" i="3"/>
  <c r="K46" i="3"/>
  <c r="J47" i="3"/>
  <c r="K47" i="3"/>
  <c r="J48" i="3"/>
  <c r="K48" i="3"/>
  <c r="J49" i="3"/>
  <c r="K49" i="3"/>
  <c r="J50" i="3"/>
  <c r="K50" i="3"/>
  <c r="J51" i="3"/>
  <c r="K51" i="3"/>
  <c r="J52" i="3"/>
  <c r="K52" i="3"/>
  <c r="J53" i="3"/>
  <c r="K53" i="3"/>
  <c r="J54" i="3"/>
  <c r="K54" i="3"/>
  <c r="L55" i="3"/>
  <c r="M55" i="3"/>
  <c r="N55" i="3"/>
  <c r="O55" i="3"/>
  <c r="P55" i="3"/>
  <c r="AD148" i="8"/>
  <c r="AD152" i="8"/>
  <c r="AD154" i="8"/>
  <c r="AD155" i="8"/>
  <c r="B53" i="8"/>
  <c r="C53" i="8"/>
  <c r="D53"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AH53" i="8"/>
  <c r="AI53" i="8"/>
  <c r="AJ53" i="8"/>
  <c r="AK53" i="8"/>
  <c r="AL53" i="8"/>
  <c r="B66" i="8"/>
  <c r="C66" i="8"/>
  <c r="D66" i="8"/>
  <c r="E66" i="8"/>
  <c r="F66" i="8"/>
  <c r="G66" i="8"/>
  <c r="I66" i="8"/>
  <c r="J66" i="8"/>
  <c r="K66" i="8"/>
  <c r="L66" i="8"/>
  <c r="M66" i="8"/>
  <c r="N66" i="8"/>
  <c r="O66" i="8"/>
  <c r="P66" i="8"/>
  <c r="Q66" i="8"/>
  <c r="R66" i="8"/>
  <c r="S66" i="8"/>
  <c r="T66" i="8"/>
  <c r="U66" i="8"/>
  <c r="V66" i="8"/>
  <c r="W66" i="8"/>
  <c r="X66" i="8"/>
  <c r="Y66" i="8"/>
  <c r="Z66" i="8"/>
  <c r="AA66" i="8"/>
  <c r="AB66" i="8"/>
  <c r="AC66" i="8"/>
  <c r="AD66" i="8"/>
  <c r="AE66" i="8"/>
  <c r="AF66" i="8"/>
  <c r="AG66" i="8"/>
  <c r="AH66" i="8"/>
  <c r="AI66" i="8"/>
  <c r="AJ66" i="8"/>
  <c r="AK66" i="8"/>
  <c r="AL66" i="8"/>
  <c r="A67" i="8"/>
  <c r="B67" i="8"/>
  <c r="C67" i="8"/>
  <c r="D67" i="8"/>
  <c r="E67" i="8"/>
  <c r="F67" i="8"/>
  <c r="G67" i="8"/>
  <c r="H67" i="8"/>
  <c r="I67" i="8"/>
  <c r="J67" i="8"/>
  <c r="K67" i="8"/>
  <c r="L67" i="8"/>
  <c r="M67" i="8"/>
  <c r="N67" i="8"/>
  <c r="O67" i="8"/>
  <c r="P67" i="8"/>
  <c r="Q67" i="8"/>
  <c r="R67" i="8"/>
  <c r="S67" i="8"/>
  <c r="T67" i="8"/>
  <c r="U67" i="8"/>
  <c r="V67" i="8"/>
  <c r="W67" i="8"/>
  <c r="X67" i="8"/>
  <c r="Y67" i="8"/>
  <c r="Z67" i="8"/>
  <c r="AA67" i="8"/>
  <c r="AB67" i="8"/>
  <c r="AC67" i="8"/>
  <c r="AD67" i="8"/>
  <c r="AE67" i="8"/>
  <c r="AF67" i="8"/>
  <c r="AG67" i="8"/>
  <c r="AH67" i="8"/>
  <c r="AI67" i="8"/>
  <c r="AJ67" i="8"/>
  <c r="AK67" i="8"/>
  <c r="AL67" i="8"/>
  <c r="AM67" i="8"/>
  <c r="B118" i="8"/>
  <c r="C118" i="8"/>
  <c r="D118" i="8"/>
  <c r="E118" i="8"/>
  <c r="F118" i="8"/>
  <c r="G118" i="8"/>
  <c r="H118" i="8"/>
  <c r="I118" i="8"/>
  <c r="J118" i="8"/>
  <c r="K118" i="8"/>
  <c r="L118" i="8"/>
  <c r="M118" i="8"/>
  <c r="N118" i="8"/>
  <c r="O118" i="8"/>
  <c r="P118" i="8"/>
  <c r="Q118" i="8"/>
  <c r="R118" i="8"/>
  <c r="S118" i="8"/>
  <c r="T118" i="8"/>
  <c r="U118" i="8"/>
  <c r="V118" i="8"/>
  <c r="W118" i="8"/>
  <c r="X118" i="8"/>
  <c r="Y118" i="8"/>
  <c r="Z118" i="8"/>
  <c r="AA118" i="8"/>
  <c r="AB118" i="8"/>
  <c r="AC118" i="8"/>
  <c r="A146" i="8"/>
  <c r="AD118" i="8"/>
  <c r="AE118" i="8"/>
  <c r="AF118" i="8"/>
  <c r="AG118" i="8"/>
  <c r="A150" i="8"/>
  <c r="AH118" i="8"/>
  <c r="AI118" i="8"/>
  <c r="AJ118" i="8"/>
  <c r="AK118" i="8"/>
  <c r="AL118" i="8"/>
  <c r="A145" i="8"/>
  <c r="A147" i="8"/>
  <c r="A148" i="8"/>
  <c r="AE148" i="8"/>
  <c r="A149" i="8"/>
  <c r="AD149" i="8"/>
  <c r="AF149" i="8"/>
  <c r="AD150" i="8"/>
  <c r="AF150" i="8"/>
  <c r="A151" i="8"/>
  <c r="AE151" i="8"/>
  <c r="AG151" i="8"/>
  <c r="A152" i="8"/>
  <c r="AE152" i="8"/>
  <c r="AH152" i="8"/>
  <c r="AI152" i="8"/>
  <c r="A153" i="8"/>
  <c r="A154" i="8"/>
  <c r="AE154" i="8"/>
  <c r="AG154" i="8"/>
  <c r="AJ154" i="8"/>
  <c r="AK154" i="8"/>
  <c r="A155" i="8"/>
  <c r="AE155" i="8"/>
  <c r="AF155" i="8"/>
  <c r="AH155" i="8"/>
  <c r="AI155" i="8"/>
  <c r="AJ155" i="8"/>
  <c r="AK155" i="8"/>
  <c r="B163" i="8"/>
  <c r="C163" i="8"/>
  <c r="D163" i="8"/>
  <c r="E163" i="8"/>
  <c r="F163" i="8"/>
  <c r="G163" i="8"/>
  <c r="H163" i="8"/>
  <c r="AM163" i="8"/>
  <c r="B164" i="8"/>
  <c r="C164" i="8"/>
  <c r="D164" i="8"/>
  <c r="E164" i="8"/>
  <c r="F164" i="8"/>
  <c r="G164" i="8"/>
  <c r="H164" i="8"/>
  <c r="AM164" i="8"/>
  <c r="AM165" i="8" a="1"/>
  <c r="AM165" i="8"/>
  <c r="AM166" i="8" a="1"/>
  <c r="AM166" i="8"/>
  <c r="AM167" i="8" a="1"/>
  <c r="AM167" i="8"/>
  <c r="AM168" i="8" a="1"/>
  <c r="AM168" i="8"/>
  <c r="AM169" i="8" a="1"/>
  <c r="AM169" i="8"/>
  <c r="AM170" i="8" a="1"/>
  <c r="AM170" i="8"/>
  <c r="AM171" i="8" a="1"/>
  <c r="AM171" i="8"/>
  <c r="AM172" i="8" a="1"/>
  <c r="AM172" i="8"/>
  <c r="AM175" i="8" a="1"/>
  <c r="AM175" i="8"/>
  <c r="AM176" i="8" a="1"/>
  <c r="AM176" i="8"/>
  <c r="AM177" i="8" a="1"/>
  <c r="AM177" i="8"/>
  <c r="AM178" i="8" a="1"/>
  <c r="AM178" i="8"/>
  <c r="C48" i="9"/>
  <c r="G48" i="9"/>
  <c r="K48" i="9"/>
  <c r="O48" i="9"/>
  <c r="S48" i="9"/>
  <c r="W48" i="9"/>
  <c r="AD43" i="9"/>
  <c r="AF43" i="9"/>
  <c r="AH43" i="9"/>
  <c r="AJ43" i="9"/>
  <c r="AL43" i="9"/>
  <c r="AN43" i="9"/>
  <c r="AP43" i="9"/>
  <c r="AR43" i="9"/>
  <c r="AT43" i="9"/>
  <c r="AV43" i="9"/>
  <c r="AX43" i="9"/>
  <c r="B41" i="9"/>
  <c r="C41" i="9"/>
  <c r="D41" i="9"/>
  <c r="E41" i="9"/>
  <c r="F41" i="9"/>
  <c r="G41" i="9"/>
  <c r="H41" i="9"/>
  <c r="I41" i="9"/>
  <c r="J41" i="9"/>
  <c r="K41" i="9"/>
  <c r="L41" i="9"/>
  <c r="M41" i="9"/>
  <c r="N41" i="9"/>
  <c r="O41" i="9"/>
  <c r="P41" i="9"/>
  <c r="Q41" i="9"/>
  <c r="R41" i="9"/>
  <c r="S41" i="9"/>
  <c r="T41" i="9"/>
  <c r="U41" i="9"/>
  <c r="V41" i="9"/>
  <c r="W41" i="9"/>
  <c r="X41" i="9"/>
  <c r="Y41" i="9"/>
  <c r="Z41" i="9"/>
  <c r="AA41" i="9"/>
  <c r="AB41" i="9"/>
  <c r="AC41" i="9"/>
  <c r="AD41" i="9"/>
  <c r="AE41" i="9"/>
  <c r="AF41" i="9"/>
  <c r="AG41" i="9"/>
  <c r="AH41" i="9"/>
  <c r="AI41" i="9"/>
  <c r="AJ41" i="9"/>
  <c r="AK41" i="9"/>
  <c r="AL41" i="9"/>
  <c r="AM41" i="9"/>
  <c r="AN41" i="9"/>
  <c r="AO41" i="9"/>
  <c r="AP41" i="9"/>
  <c r="AQ41" i="9"/>
  <c r="AR41" i="9"/>
  <c r="AS41" i="9"/>
  <c r="AT41" i="9"/>
  <c r="AU41" i="9"/>
  <c r="AV41" i="9"/>
  <c r="AW41" i="9"/>
  <c r="AX41" i="9"/>
  <c r="AY41" i="9"/>
  <c r="E7" i="4"/>
  <c r="E8" i="4"/>
  <c r="B54" i="9"/>
  <c r="C54" i="9"/>
  <c r="D54" i="9"/>
  <c r="E54" i="9"/>
  <c r="F54" i="9"/>
  <c r="G54" i="9"/>
  <c r="H54" i="9"/>
  <c r="I54" i="9"/>
  <c r="J54" i="9"/>
  <c r="K54" i="9"/>
  <c r="L54" i="9"/>
  <c r="M54" i="9"/>
  <c r="N54" i="9"/>
  <c r="O54" i="9"/>
  <c r="P54" i="9"/>
  <c r="Q54" i="9"/>
  <c r="R54" i="9"/>
  <c r="S54" i="9"/>
  <c r="T54" i="9"/>
  <c r="U54" i="9"/>
  <c r="V54" i="9"/>
  <c r="W54" i="9"/>
  <c r="X54" i="9"/>
  <c r="Y54" i="9"/>
  <c r="Z54" i="9"/>
  <c r="AA54" i="9"/>
  <c r="AB54" i="9"/>
  <c r="AC54" i="9"/>
  <c r="AD54" i="9"/>
  <c r="AE54" i="9"/>
  <c r="AF54" i="9"/>
  <c r="AG54" i="9"/>
  <c r="AH54" i="9"/>
  <c r="AI54" i="9"/>
  <c r="AJ54" i="9"/>
  <c r="AK54" i="9"/>
  <c r="AL54" i="9"/>
  <c r="AM54" i="9"/>
  <c r="AN54" i="9"/>
  <c r="AO54" i="9"/>
  <c r="AP54" i="9"/>
  <c r="AQ54" i="9"/>
  <c r="AR54" i="9"/>
  <c r="AS54" i="9"/>
  <c r="AT54" i="9"/>
  <c r="AU54" i="9"/>
  <c r="AV54" i="9"/>
  <c r="AW54" i="9"/>
  <c r="AX54" i="9"/>
  <c r="AY54" i="9"/>
  <c r="A55" i="9"/>
  <c r="B55" i="9"/>
  <c r="C55" i="9"/>
  <c r="D55" i="9"/>
  <c r="E55" i="9"/>
  <c r="F55" i="9"/>
  <c r="G55" i="9"/>
  <c r="H55" i="9"/>
  <c r="I55" i="9"/>
  <c r="J55" i="9"/>
  <c r="K55" i="9"/>
  <c r="L55" i="9"/>
  <c r="M55" i="9"/>
  <c r="N55" i="9"/>
  <c r="O55" i="9"/>
  <c r="P55" i="9"/>
  <c r="Q55" i="9"/>
  <c r="R55" i="9"/>
  <c r="S55" i="9"/>
  <c r="T55" i="9"/>
  <c r="U55" i="9"/>
  <c r="V55" i="9"/>
  <c r="W55" i="9"/>
  <c r="X55" i="9"/>
  <c r="Y55" i="9"/>
  <c r="Z55" i="9"/>
  <c r="AA55" i="9"/>
  <c r="AB55" i="9"/>
  <c r="AC55" i="9"/>
  <c r="AD55" i="9"/>
  <c r="AE55" i="9"/>
  <c r="AF55" i="9"/>
  <c r="AG55" i="9"/>
  <c r="AH55" i="9"/>
  <c r="AI55" i="9"/>
  <c r="AJ55" i="9"/>
  <c r="AK55" i="9"/>
  <c r="AL55" i="9"/>
  <c r="AM55" i="9"/>
  <c r="AN55" i="9"/>
  <c r="AO55" i="9"/>
  <c r="AP55" i="9"/>
  <c r="AQ55" i="9"/>
  <c r="AR55" i="9"/>
  <c r="AS55" i="9"/>
  <c r="AT55" i="9"/>
  <c r="AU55" i="9"/>
  <c r="AV55" i="9"/>
  <c r="AW55" i="9"/>
  <c r="AX55" i="9"/>
  <c r="AY55" i="9"/>
  <c r="AZ55" i="9"/>
  <c r="B93" i="9"/>
  <c r="C93" i="9"/>
  <c r="D93" i="9"/>
  <c r="E93" i="9"/>
  <c r="F93" i="9"/>
  <c r="G93" i="9"/>
  <c r="H93" i="9"/>
  <c r="I93" i="9"/>
  <c r="J93" i="9"/>
  <c r="K93" i="9"/>
  <c r="L93" i="9"/>
  <c r="M93" i="9"/>
  <c r="N93" i="9"/>
  <c r="O93" i="9"/>
  <c r="P93" i="9"/>
  <c r="Q93" i="9"/>
  <c r="R93" i="9"/>
  <c r="S93" i="9"/>
  <c r="T93" i="9"/>
  <c r="U93" i="9"/>
  <c r="V93" i="9"/>
  <c r="W93" i="9"/>
  <c r="X93" i="9"/>
  <c r="Y93" i="9"/>
  <c r="Z93" i="9"/>
  <c r="AA93" i="9"/>
  <c r="AB93" i="9"/>
  <c r="AC93" i="9"/>
  <c r="AD93" i="9"/>
  <c r="AE93" i="9"/>
  <c r="AF93" i="9"/>
  <c r="AG93" i="9"/>
  <c r="AH93" i="9"/>
  <c r="AI93" i="9"/>
  <c r="AJ93" i="9"/>
  <c r="AK93" i="9"/>
  <c r="AL93" i="9"/>
  <c r="AM93" i="9"/>
  <c r="AN93" i="9"/>
  <c r="AO93" i="9"/>
  <c r="AP93" i="9"/>
  <c r="AQ93" i="9"/>
  <c r="AR93" i="9"/>
  <c r="AS93" i="9"/>
  <c r="AT93" i="9"/>
  <c r="A138" i="9"/>
  <c r="AU93" i="9"/>
  <c r="AV93" i="9"/>
  <c r="AW93" i="9"/>
  <c r="AX93" i="9"/>
  <c r="AY93" i="9"/>
  <c r="A143" i="9"/>
  <c r="A132" i="9"/>
  <c r="A133" i="9"/>
  <c r="A134" i="9"/>
  <c r="A135" i="9"/>
  <c r="A136" i="9"/>
  <c r="A137" i="9"/>
  <c r="A139" i="9"/>
  <c r="C139" i="9"/>
  <c r="D139" i="9"/>
  <c r="E139" i="9"/>
  <c r="F139" i="9"/>
  <c r="G139" i="9"/>
  <c r="H139" i="9"/>
  <c r="I139" i="9"/>
  <c r="J139" i="9"/>
  <c r="K139" i="9"/>
  <c r="L139" i="9"/>
  <c r="M139" i="9"/>
  <c r="N139" i="9"/>
  <c r="O139" i="9"/>
  <c r="P139" i="9"/>
  <c r="Q139" i="9"/>
  <c r="R139" i="9"/>
  <c r="S139" i="9"/>
  <c r="T139" i="9"/>
  <c r="U139" i="9"/>
  <c r="V139" i="9"/>
  <c r="W139" i="9"/>
  <c r="X139" i="9"/>
  <c r="Y139" i="9"/>
  <c r="Z139" i="9"/>
  <c r="AA139" i="9"/>
  <c r="AB139" i="9"/>
  <c r="AC139" i="9"/>
  <c r="AD139" i="9"/>
  <c r="AE139" i="9"/>
  <c r="AF139" i="9"/>
  <c r="AG139" i="9"/>
  <c r="AH139" i="9"/>
  <c r="AI139" i="9"/>
  <c r="AJ139" i="9"/>
  <c r="AK139" i="9"/>
  <c r="AL139" i="9"/>
  <c r="AM139" i="9"/>
  <c r="AN139" i="9"/>
  <c r="AO139" i="9"/>
  <c r="AP139" i="9"/>
  <c r="AQ139" i="9"/>
  <c r="AR139" i="9"/>
  <c r="AS139" i="9"/>
  <c r="AT139" i="9"/>
  <c r="AU139" i="9"/>
  <c r="A140" i="9"/>
  <c r="AT140" i="9"/>
  <c r="A141" i="9"/>
  <c r="AS141" i="9"/>
  <c r="AT141" i="9"/>
  <c r="AV141" i="9"/>
  <c r="A142" i="9"/>
  <c r="AS142" i="9"/>
  <c r="AT142" i="9"/>
  <c r="AU142" i="9"/>
  <c r="AQ143" i="9"/>
  <c r="AX143" i="9"/>
  <c r="AZ153" i="9"/>
  <c r="AZ154" i="9"/>
  <c r="F4" i="4"/>
  <c r="A11" i="4"/>
  <c r="A12" i="4"/>
  <c r="A13" i="4"/>
  <c r="C95" i="4"/>
  <c r="D95" i="4"/>
  <c r="E95" i="4"/>
  <c r="F95" i="4"/>
  <c r="G95" i="4"/>
  <c r="H95" i="4"/>
  <c r="I95" i="4"/>
  <c r="J95" i="4"/>
  <c r="K95" i="4"/>
  <c r="L95" i="4"/>
  <c r="M95" i="4"/>
  <c r="N95" i="4"/>
  <c r="O95" i="4"/>
  <c r="P95" i="4"/>
  <c r="Q95" i="4"/>
  <c r="R95" i="4"/>
  <c r="S95" i="4"/>
  <c r="T95" i="4"/>
  <c r="U95" i="4"/>
  <c r="V95" i="4"/>
  <c r="W95" i="4"/>
  <c r="X95" i="4"/>
  <c r="Y95" i="4"/>
  <c r="Z95" i="4"/>
  <c r="AA95" i="4"/>
  <c r="C99" i="4"/>
  <c r="D99" i="4"/>
  <c r="E99" i="4"/>
  <c r="F99" i="4"/>
  <c r="G99" i="4"/>
  <c r="H99" i="4"/>
  <c r="I99" i="4"/>
  <c r="J99" i="4"/>
  <c r="K99" i="4"/>
  <c r="L99" i="4"/>
  <c r="M99" i="4"/>
  <c r="N99" i="4"/>
  <c r="O99" i="4"/>
  <c r="P99" i="4"/>
  <c r="Q99" i="4"/>
  <c r="R99" i="4"/>
  <c r="S99" i="4"/>
  <c r="T99" i="4"/>
  <c r="U99" i="4"/>
  <c r="V99" i="4"/>
  <c r="W99" i="4"/>
  <c r="X99" i="4"/>
  <c r="Y99" i="4"/>
  <c r="Z99" i="4"/>
  <c r="AA99" i="4"/>
  <c r="C100" i="4"/>
  <c r="D100" i="4"/>
  <c r="E100" i="4"/>
  <c r="F100" i="4"/>
  <c r="G100" i="4"/>
  <c r="H100" i="4"/>
  <c r="I100" i="4"/>
  <c r="J100" i="4"/>
  <c r="K100" i="4"/>
  <c r="L100" i="4"/>
  <c r="M100" i="4"/>
  <c r="N100" i="4"/>
  <c r="O100" i="4"/>
  <c r="P100" i="4"/>
  <c r="Q100" i="4"/>
  <c r="R100" i="4"/>
  <c r="S100" i="4"/>
  <c r="T100" i="4"/>
  <c r="U100" i="4"/>
  <c r="V100" i="4"/>
  <c r="W100" i="4"/>
  <c r="X100" i="4"/>
  <c r="Y100" i="4"/>
  <c r="Z100" i="4"/>
  <c r="AA100" i="4"/>
  <c r="C116" i="4" a="1"/>
  <c r="C116" i="4"/>
  <c r="D116" i="4" a="1"/>
  <c r="D116" i="4"/>
  <c r="E116" i="4" a="1"/>
  <c r="E116" i="4"/>
  <c r="F116" i="4" a="1"/>
  <c r="F116" i="4"/>
  <c r="G116" i="4" a="1"/>
  <c r="G116" i="4"/>
  <c r="H116" i="4" a="1"/>
  <c r="H116" i="4"/>
  <c r="I116" i="4" a="1"/>
  <c r="I116" i="4"/>
  <c r="J116" i="4" a="1"/>
  <c r="J116" i="4"/>
  <c r="K116" i="4" a="1"/>
  <c r="K116" i="4"/>
  <c r="L116" i="4" a="1"/>
  <c r="L116" i="4"/>
  <c r="M116" i="4" a="1"/>
  <c r="M116" i="4"/>
  <c r="N116" i="4" a="1"/>
  <c r="N116" i="4"/>
  <c r="O116" i="4" a="1"/>
  <c r="O116" i="4"/>
  <c r="P116" i="4" a="1"/>
  <c r="P116" i="4"/>
  <c r="Q116" i="4" a="1"/>
  <c r="Q116" i="4"/>
  <c r="R116" i="4" a="1"/>
  <c r="R116" i="4"/>
  <c r="S116" i="4" a="1"/>
  <c r="S116" i="4"/>
  <c r="T116" i="4" a="1"/>
  <c r="T116" i="4"/>
  <c r="U116" i="4" a="1"/>
  <c r="U116" i="4"/>
  <c r="V116" i="4" a="1"/>
  <c r="V116" i="4"/>
  <c r="W116" i="4" a="1"/>
  <c r="W116" i="4"/>
  <c r="X116" i="4" a="1"/>
  <c r="X116" i="4"/>
  <c r="Y116" i="4" a="1"/>
  <c r="Y116" i="4"/>
  <c r="Z116" i="4" a="1"/>
  <c r="Z116" i="4"/>
  <c r="AA116" i="4" a="1"/>
  <c r="AA116" i="4"/>
  <c r="B117" i="4"/>
  <c r="C40" i="2"/>
  <c r="J40" i="2"/>
  <c r="J41" i="2"/>
  <c r="J42" i="2"/>
  <c r="J43" i="2"/>
  <c r="J44" i="2"/>
  <c r="J45" i="2"/>
  <c r="K45" i="2"/>
  <c r="J46" i="2"/>
  <c r="K46" i="2"/>
  <c r="J47" i="2"/>
  <c r="K47" i="2"/>
  <c r="J48" i="2"/>
  <c r="K48" i="2"/>
  <c r="J49" i="2"/>
  <c r="K49" i="2"/>
  <c r="J50" i="2"/>
  <c r="K50" i="2"/>
  <c r="J51" i="2"/>
  <c r="K51" i="2"/>
  <c r="J52" i="2"/>
  <c r="K52" i="2"/>
  <c r="L53" i="2"/>
  <c r="K92" i="2"/>
  <c r="L92" i="2"/>
  <c r="M92" i="2"/>
  <c r="N92" i="2"/>
  <c r="N1" i="6"/>
  <c r="AB1" i="6"/>
  <c r="AC1" i="6"/>
  <c r="AD1" i="6"/>
  <c r="AE1" i="6"/>
  <c r="AF1" i="6"/>
  <c r="AG1" i="6"/>
  <c r="AH1" i="6"/>
  <c r="AI1" i="6"/>
  <c r="AJ1" i="6"/>
  <c r="AK1" i="6"/>
  <c r="AL1" i="6"/>
  <c r="G4" i="6"/>
  <c r="W4" i="6"/>
  <c r="B4" i="6"/>
  <c r="D4" i="6"/>
  <c r="H4" i="6"/>
  <c r="J4" i="6"/>
  <c r="L4" i="6"/>
  <c r="N4" i="6"/>
  <c r="P4" i="6"/>
  <c r="R4" i="6"/>
  <c r="T4" i="6"/>
  <c r="X4" i="6"/>
  <c r="Z4" i="6"/>
  <c r="AL4" i="6"/>
  <c r="AB58" i="6"/>
  <c r="AC58" i="6"/>
  <c r="AD58" i="6"/>
  <c r="AE58" i="6"/>
  <c r="AF58" i="6"/>
  <c r="AG58" i="6"/>
  <c r="AH58" i="6"/>
  <c r="AI58" i="6"/>
  <c r="AJ58" i="6"/>
  <c r="AK58" i="6"/>
  <c r="AL58" i="6"/>
  <c r="AB59" i="6"/>
  <c r="AC59" i="6"/>
  <c r="AD59" i="6"/>
  <c r="AE59" i="6"/>
  <c r="AF59" i="6"/>
  <c r="AG59" i="6"/>
  <c r="AH59" i="6"/>
  <c r="AI59" i="6"/>
  <c r="AJ59" i="6"/>
  <c r="AK59" i="6"/>
  <c r="AL59" i="6"/>
  <c r="AB64" i="6"/>
  <c r="AC64" i="6"/>
  <c r="AD64" i="6"/>
  <c r="AE64" i="6"/>
  <c r="AF64" i="6"/>
  <c r="AG64" i="6"/>
  <c r="AH64" i="6"/>
  <c r="AI64" i="6"/>
  <c r="AJ64" i="6"/>
  <c r="AK64" i="6"/>
  <c r="AL64" i="6"/>
  <c r="B65" i="6"/>
  <c r="C65" i="6"/>
  <c r="D65" i="6"/>
  <c r="E65" i="6"/>
  <c r="F65" i="6"/>
  <c r="G65" i="6"/>
  <c r="H65" i="6"/>
  <c r="I65" i="6"/>
  <c r="J65" i="6"/>
  <c r="K65" i="6"/>
  <c r="L65" i="6"/>
  <c r="M65" i="6"/>
  <c r="N65" i="6"/>
  <c r="O65" i="6"/>
  <c r="P65" i="6"/>
  <c r="Q65" i="6"/>
  <c r="R65" i="6"/>
  <c r="S65" i="6"/>
  <c r="T65" i="6"/>
  <c r="U65" i="6"/>
  <c r="V65" i="6"/>
  <c r="W65" i="6"/>
  <c r="X65" i="6"/>
  <c r="Y65" i="6"/>
  <c r="Z65" i="6"/>
  <c r="AA65" i="6"/>
  <c r="AB65" i="6"/>
  <c r="AC65" i="6"/>
  <c r="AD65" i="6"/>
  <c r="AE65" i="6"/>
  <c r="AF65" i="6"/>
  <c r="AG65" i="6"/>
  <c r="AH65" i="6"/>
  <c r="AI65" i="6"/>
  <c r="AJ65" i="6"/>
  <c r="AK65" i="6"/>
  <c r="AL65" i="6"/>
  <c r="AH66" i="6"/>
  <c r="AI66" i="6"/>
  <c r="AJ66" i="6"/>
  <c r="AK66" i="6"/>
  <c r="AL66" i="6"/>
  <c r="AL67" i="6"/>
  <c r="B1" i="7"/>
  <c r="C1" i="7"/>
  <c r="D1" i="7"/>
  <c r="E1" i="7"/>
  <c r="F1" i="7"/>
  <c r="G1" i="7"/>
  <c r="H1" i="7"/>
  <c r="I1" i="7"/>
  <c r="J1" i="7"/>
  <c r="K1" i="7"/>
  <c r="L1" i="7"/>
  <c r="M1" i="7"/>
  <c r="N1" i="7"/>
  <c r="O1" i="7"/>
  <c r="P1"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BI7" i="7"/>
  <c r="AM45" i="7"/>
  <c r="AN45" i="7"/>
  <c r="AO45" i="7"/>
  <c r="AP45" i="7"/>
  <c r="AM46" i="7"/>
  <c r="AN46" i="7"/>
  <c r="AO46" i="7"/>
  <c r="AP46"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BD53" i="7"/>
  <c r="AT57" i="7"/>
  <c r="AV57" i="7"/>
  <c r="AW57" i="7"/>
  <c r="AX57" i="7"/>
  <c r="AS58" i="7"/>
  <c r="AT58" i="7"/>
  <c r="AV58" i="7"/>
  <c r="AW58" i="7"/>
  <c r="AX58" i="7"/>
  <c r="AW59"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B146" i="7"/>
  <c r="C146" i="7"/>
  <c r="D146" i="7"/>
  <c r="E146" i="7"/>
  <c r="F146" i="7"/>
  <c r="A150" i="7"/>
  <c r="BK7" i="7"/>
  <c r="BD1" i="7"/>
  <c r="AT59" i="7"/>
  <c r="AS57" i="7"/>
  <c r="AU59" i="7"/>
  <c r="AY59" i="7"/>
  <c r="AS59" i="7"/>
  <c r="AV59" i="7"/>
  <c r="AX59" i="7"/>
  <c r="AU57" i="7"/>
  <c r="AE4" i="6"/>
  <c r="V4" i="6"/>
  <c r="F4" i="6"/>
  <c r="AZ55" i="7"/>
  <c r="AY58" i="7"/>
  <c r="AY57" i="7"/>
  <c r="AD4" i="6"/>
  <c r="U4" i="6"/>
  <c r="M4" i="6"/>
  <c r="E4" i="6"/>
  <c r="AU58" i="7"/>
  <c r="AQ1" i="6"/>
  <c r="AQ64" i="6"/>
  <c r="AB4" i="6"/>
  <c r="B118" i="4"/>
  <c r="AA4" i="6"/>
  <c r="S4" i="6"/>
  <c r="K4" i="6"/>
  <c r="C4" i="6"/>
  <c r="AF4" i="6"/>
  <c r="Y4" i="6"/>
  <c r="Q4" i="6"/>
  <c r="I4" i="6"/>
  <c r="AQ141" i="9"/>
  <c r="AR141" i="9"/>
  <c r="AW141" i="9"/>
  <c r="AW142" i="9"/>
  <c r="AW143" i="9"/>
  <c r="AU141" i="9"/>
  <c r="AR136" i="9"/>
  <c r="AS137" i="9"/>
  <c r="AQ137" i="9"/>
  <c r="AR137" i="9"/>
  <c r="AS140" i="9"/>
  <c r="AS143" i="9"/>
  <c r="A20" i="4"/>
  <c r="AY143" i="9"/>
  <c r="AQ135" i="9"/>
  <c r="AQ138" i="9"/>
  <c r="AR140" i="9"/>
  <c r="AQ136" i="9"/>
  <c r="AR142" i="9"/>
  <c r="AQ140" i="9"/>
  <c r="AV143" i="9"/>
  <c r="AX142" i="9"/>
  <c r="AQ142" i="9"/>
  <c r="AV142" i="9"/>
  <c r="AR138" i="9"/>
  <c r="AT138" i="9"/>
  <c r="AT143" i="9"/>
  <c r="AU140" i="9"/>
  <c r="I117" i="4" a="1"/>
  <c r="I117" i="4"/>
  <c r="AF154" i="8"/>
  <c r="AF151" i="8"/>
  <c r="AG150" i="8"/>
  <c r="AD147" i="8"/>
  <c r="AG155" i="8"/>
  <c r="AD151" i="8"/>
  <c r="AE150" i="8"/>
  <c r="AE149" i="8"/>
  <c r="AL155" i="8"/>
  <c r="AI154" i="8"/>
  <c r="AG152" i="8"/>
  <c r="AH154" i="8"/>
  <c r="AF152" i="8"/>
  <c r="AH151" i="8"/>
  <c r="Z117" i="4" a="1"/>
  <c r="Z117" i="4"/>
  <c r="L117" i="4" a="1"/>
  <c r="L117" i="4"/>
  <c r="G117" i="4" a="1"/>
  <c r="G117" i="4"/>
  <c r="J117" i="4" a="1"/>
  <c r="J117" i="4"/>
  <c r="H117" i="4" a="1"/>
  <c r="H117" i="4"/>
  <c r="C117" i="4" a="1"/>
  <c r="C117" i="4"/>
  <c r="V117" i="4" a="1"/>
  <c r="V117" i="4"/>
  <c r="D117" i="4" a="1"/>
  <c r="D117" i="4"/>
  <c r="Y117" i="4" a="1"/>
  <c r="Y117" i="4"/>
  <c r="N117" i="4" a="1"/>
  <c r="N117" i="4"/>
  <c r="AA117" i="4" a="1"/>
  <c r="AA117" i="4"/>
  <c r="U117" i="4" a="1"/>
  <c r="U117" i="4"/>
  <c r="BI8" i="7"/>
  <c r="R117" i="4" a="1"/>
  <c r="R117" i="4"/>
  <c r="Q117" i="4" a="1"/>
  <c r="Q117" i="4"/>
  <c r="M117" i="4" a="1"/>
  <c r="M117" i="4"/>
  <c r="T117" i="4" a="1"/>
  <c r="T117" i="4"/>
  <c r="O117" i="4" a="1"/>
  <c r="O117" i="4"/>
  <c r="F117" i="4" a="1"/>
  <c r="F117" i="4"/>
  <c r="W117" i="4" a="1"/>
  <c r="W117" i="4"/>
  <c r="AY60" i="7"/>
  <c r="AU60" i="7"/>
  <c r="AW60" i="7"/>
  <c r="AT60" i="7"/>
  <c r="AV60" i="7"/>
  <c r="AS60" i="7"/>
  <c r="AX60" i="7"/>
  <c r="X117" i="4" a="1"/>
  <c r="X117" i="4"/>
  <c r="S117" i="4" a="1"/>
  <c r="S117" i="4"/>
  <c r="B119" i="4"/>
  <c r="K118" i="4" a="1"/>
  <c r="K118" i="4"/>
  <c r="L118" i="4" a="1"/>
  <c r="L118" i="4"/>
  <c r="H118" i="4" a="1"/>
  <c r="H118" i="4"/>
  <c r="AA118" i="4" a="1"/>
  <c r="AA118" i="4"/>
  <c r="V118" i="4" a="1"/>
  <c r="V118" i="4"/>
  <c r="J118" i="4" a="1"/>
  <c r="J118" i="4"/>
  <c r="M118" i="4" a="1"/>
  <c r="M118" i="4"/>
  <c r="Y118" i="4" a="1"/>
  <c r="Y118" i="4"/>
  <c r="S118" i="4" a="1"/>
  <c r="S118" i="4"/>
  <c r="F118" i="4" a="1"/>
  <c r="F118" i="4"/>
  <c r="P117" i="4" a="1"/>
  <c r="P117" i="4"/>
  <c r="K117" i="4" a="1"/>
  <c r="K117" i="4"/>
  <c r="E117" i="4" a="1"/>
  <c r="E117" i="4"/>
  <c r="AU61" i="7"/>
  <c r="AY61" i="7"/>
  <c r="AS61" i="7"/>
  <c r="AX61" i="7"/>
  <c r="AV61" i="7"/>
  <c r="AT61" i="7"/>
  <c r="AW61" i="7"/>
  <c r="BK8" i="7"/>
  <c r="T118" i="4" a="1"/>
  <c r="T118" i="4"/>
  <c r="W118" i="4" a="1"/>
  <c r="W118" i="4"/>
  <c r="N118" i="4" a="1"/>
  <c r="N118" i="4"/>
  <c r="B120" i="4"/>
  <c r="Q119" i="4" a="1"/>
  <c r="Q119" i="4"/>
  <c r="V119" i="4" a="1"/>
  <c r="V119" i="4"/>
  <c r="G118" i="4" a="1"/>
  <c r="G118" i="4"/>
  <c r="D118" i="4" a="1"/>
  <c r="D118" i="4"/>
  <c r="R118" i="4" a="1"/>
  <c r="R118" i="4"/>
  <c r="BI9" i="7"/>
  <c r="BK9" i="7"/>
  <c r="P118" i="4" a="1"/>
  <c r="P118" i="4"/>
  <c r="U118" i="4" a="1"/>
  <c r="U118" i="4"/>
  <c r="I118" i="4" a="1"/>
  <c r="I118" i="4"/>
  <c r="X118" i="4" a="1"/>
  <c r="X118" i="4"/>
  <c r="BI10" i="7"/>
  <c r="BK10" i="7"/>
  <c r="O118" i="4" a="1"/>
  <c r="O118" i="4"/>
  <c r="E118" i="4" a="1"/>
  <c r="E118" i="4"/>
  <c r="Z118" i="4" a="1"/>
  <c r="Z118" i="4"/>
  <c r="C118" i="4" a="1"/>
  <c r="C118" i="4"/>
  <c r="Q118" i="4" a="1"/>
  <c r="Q118" i="4"/>
  <c r="G165" i="8" a="1"/>
  <c r="G165" i="8"/>
  <c r="N165" i="8" a="1"/>
  <c r="N165" i="8"/>
  <c r="X165" i="8" a="1"/>
  <c r="X165" i="8"/>
  <c r="K165" i="8" a="1"/>
  <c r="K165" i="8"/>
  <c r="E165" i="8" a="1"/>
  <c r="E165" i="8"/>
  <c r="G119" i="4" a="1"/>
  <c r="G119" i="4"/>
  <c r="L119" i="4" a="1"/>
  <c r="L119" i="4"/>
  <c r="B165" i="8" a="1"/>
  <c r="B165" i="8"/>
  <c r="O165" i="8" a="1"/>
  <c r="O165" i="8"/>
  <c r="AB165" i="8" a="1"/>
  <c r="AB165" i="8"/>
  <c r="O119" i="4" a="1"/>
  <c r="O119" i="4"/>
  <c r="H119" i="4" a="1"/>
  <c r="H119" i="4"/>
  <c r="BI11" i="7"/>
  <c r="S119" i="4" a="1"/>
  <c r="S119" i="4"/>
  <c r="D119" i="4" a="1"/>
  <c r="D119" i="4"/>
  <c r="K119" i="4" a="1"/>
  <c r="K119" i="4"/>
  <c r="N119" i="4" a="1"/>
  <c r="N119" i="4"/>
  <c r="U119" i="4" a="1"/>
  <c r="U119" i="4"/>
  <c r="F119" i="4" a="1"/>
  <c r="F119" i="4"/>
  <c r="Z165" i="8" a="1"/>
  <c r="Z165" i="8"/>
  <c r="P165" i="8" a="1"/>
  <c r="P165" i="8"/>
  <c r="Q165" i="8" a="1"/>
  <c r="Q165" i="8"/>
  <c r="X162" i="9" a="1"/>
  <c r="X162" i="9"/>
  <c r="I162" i="9" a="1"/>
  <c r="I162" i="9"/>
  <c r="K162" i="9" a="1"/>
  <c r="K162" i="9"/>
  <c r="M119" i="4" a="1"/>
  <c r="M119" i="4"/>
  <c r="F165" i="8" a="1"/>
  <c r="F165" i="8"/>
  <c r="W165" i="8" a="1"/>
  <c r="W165" i="8"/>
  <c r="M165" i="8" a="1"/>
  <c r="M165" i="8"/>
  <c r="T119" i="4" a="1"/>
  <c r="T119" i="4"/>
  <c r="U165" i="8" a="1"/>
  <c r="U165" i="8"/>
  <c r="J165" i="8" a="1"/>
  <c r="J165" i="8"/>
  <c r="L165" i="8" a="1"/>
  <c r="L165" i="8"/>
  <c r="C119" i="4" a="1"/>
  <c r="C119" i="4"/>
  <c r="E119" i="4" a="1"/>
  <c r="E119" i="4"/>
  <c r="H165" i="8" a="1"/>
  <c r="H165" i="8"/>
  <c r="Y165" i="8" a="1"/>
  <c r="Y165" i="8"/>
  <c r="D165" i="8" a="1"/>
  <c r="D165" i="8"/>
  <c r="AA119" i="4" a="1"/>
  <c r="AA119" i="4"/>
  <c r="X119" i="4" a="1"/>
  <c r="X119" i="4"/>
  <c r="R119" i="4" a="1"/>
  <c r="R119" i="4"/>
  <c r="AU62" i="7"/>
  <c r="AW62" i="7"/>
  <c r="AT62" i="7"/>
  <c r="AX62" i="7"/>
  <c r="AY62" i="7"/>
  <c r="AS62" i="7"/>
  <c r="AV62" i="7"/>
  <c r="AC165" i="8" a="1"/>
  <c r="AC165" i="8"/>
  <c r="C165" i="8" a="1"/>
  <c r="C165" i="8"/>
  <c r="AA165" i="8" a="1"/>
  <c r="AA165" i="8"/>
  <c r="B121" i="4"/>
  <c r="Y119" i="4" a="1"/>
  <c r="Y119" i="4"/>
  <c r="P119" i="4" a="1"/>
  <c r="P119" i="4"/>
  <c r="J119" i="4" a="1"/>
  <c r="J119" i="4"/>
  <c r="R165" i="8" a="1"/>
  <c r="R165" i="8"/>
  <c r="S165" i="8" a="1"/>
  <c r="S165" i="8"/>
  <c r="V165" i="8" a="1"/>
  <c r="V165" i="8"/>
  <c r="T165" i="8" a="1"/>
  <c r="T165" i="8"/>
  <c r="F162" i="9" a="1"/>
  <c r="F162" i="9"/>
  <c r="AC162" i="9" a="1"/>
  <c r="AC162" i="9"/>
  <c r="AG162" i="9" a="1"/>
  <c r="AG162" i="9"/>
  <c r="W119" i="4" a="1"/>
  <c r="W119" i="4"/>
  <c r="I119" i="4" a="1"/>
  <c r="I119" i="4"/>
  <c r="Z119" i="4" a="1"/>
  <c r="Z119" i="4"/>
  <c r="J162" i="9" a="1"/>
  <c r="J162" i="9"/>
  <c r="S120" i="4" a="1"/>
  <c r="S120" i="4"/>
  <c r="W120" i="4" a="1"/>
  <c r="W120" i="4"/>
  <c r="U120" i="4" a="1"/>
  <c r="U120" i="4"/>
  <c r="E120" i="4" a="1"/>
  <c r="E120" i="4"/>
  <c r="W155" i="9" a="1"/>
  <c r="W155" i="9"/>
  <c r="AA162" i="9" a="1"/>
  <c r="AA162" i="9"/>
  <c r="L162" i="9" a="1"/>
  <c r="L162" i="9"/>
  <c r="AP162" i="9" a="1"/>
  <c r="AP162" i="9"/>
  <c r="AI155" i="9" a="1"/>
  <c r="AI155" i="9"/>
  <c r="Y155" i="9" a="1"/>
  <c r="Y155" i="9"/>
  <c r="Y162" i="9" a="1"/>
  <c r="Y162" i="9"/>
  <c r="D162" i="9" a="1"/>
  <c r="D162" i="9"/>
  <c r="O120" i="4" a="1"/>
  <c r="O120" i="4"/>
  <c r="J120" i="4" a="1"/>
  <c r="J120" i="4"/>
  <c r="N120" i="4" a="1"/>
  <c r="N120" i="4"/>
  <c r="O121" i="4" a="1"/>
  <c r="O121" i="4"/>
  <c r="W121" i="4" a="1"/>
  <c r="W121" i="4"/>
  <c r="Y121" i="4" a="1"/>
  <c r="Y121" i="4"/>
  <c r="J121" i="4" a="1"/>
  <c r="J121" i="4"/>
  <c r="L121" i="4" a="1"/>
  <c r="L121" i="4"/>
  <c r="AA121" i="4" a="1"/>
  <c r="AA121" i="4"/>
  <c r="B122" i="4"/>
  <c r="AF155" i="9" a="1"/>
  <c r="AF155" i="9"/>
  <c r="AY63" i="7"/>
  <c r="AS63" i="7"/>
  <c r="AT63" i="7"/>
  <c r="AU63" i="7"/>
  <c r="AW63" i="7"/>
  <c r="AV63" i="7"/>
  <c r="AX63" i="7"/>
  <c r="AM162" i="9" a="1"/>
  <c r="AM162" i="9"/>
  <c r="AP155" i="9" a="1"/>
  <c r="AP155" i="9"/>
  <c r="I155" i="9" a="1"/>
  <c r="I155" i="9"/>
  <c r="Z155" i="9" a="1"/>
  <c r="Z155" i="9"/>
  <c r="AK162" i="9" a="1"/>
  <c r="AK162" i="9"/>
  <c r="I120" i="4" a="1"/>
  <c r="I120" i="4"/>
  <c r="Q120" i="4" a="1"/>
  <c r="Q120" i="4"/>
  <c r="H120" i="4" a="1"/>
  <c r="H120" i="4"/>
  <c r="AM155" i="9" a="1"/>
  <c r="AM155" i="9"/>
  <c r="R162" i="9" a="1"/>
  <c r="R162" i="9"/>
  <c r="P162" i="9" a="1"/>
  <c r="P162" i="9"/>
  <c r="L155" i="9" a="1"/>
  <c r="L155" i="9"/>
  <c r="AH155" i="9" a="1"/>
  <c r="AH155" i="9"/>
  <c r="AE155" i="9" a="1"/>
  <c r="AE155" i="9"/>
  <c r="M162" i="9" a="1"/>
  <c r="M162" i="9"/>
  <c r="G120" i="4" a="1"/>
  <c r="G120" i="4"/>
  <c r="D120" i="4" a="1"/>
  <c r="D120" i="4"/>
  <c r="Y120" i="4" a="1"/>
  <c r="Y120" i="4"/>
  <c r="AF162" i="9" a="1"/>
  <c r="AF162" i="9"/>
  <c r="U162" i="9" a="1"/>
  <c r="U162" i="9"/>
  <c r="B162" i="9" a="1"/>
  <c r="B162" i="9"/>
  <c r="AA155" i="9" a="1"/>
  <c r="AA155" i="9"/>
  <c r="P155" i="9" a="1"/>
  <c r="P155" i="9"/>
  <c r="F155" i="9" a="1"/>
  <c r="F155" i="9"/>
  <c r="G162" i="9" a="1"/>
  <c r="G162" i="9"/>
  <c r="AZ155" i="9" a="1"/>
  <c r="AZ155" i="9"/>
  <c r="N162" i="9" a="1"/>
  <c r="N162" i="9"/>
  <c r="AH162" i="9" a="1"/>
  <c r="AH162" i="9"/>
  <c r="AD155" i="9" a="1"/>
  <c r="AD155" i="9"/>
  <c r="AE162" i="9" a="1"/>
  <c r="AE162" i="9"/>
  <c r="BK11" i="7"/>
  <c r="F120" i="4" a="1"/>
  <c r="F120" i="4"/>
  <c r="V120" i="4" a="1"/>
  <c r="V120" i="4"/>
  <c r="R120" i="4" a="1"/>
  <c r="R120" i="4"/>
  <c r="C162" i="9" a="1"/>
  <c r="C162" i="9"/>
  <c r="AN162" i="9" a="1"/>
  <c r="AN162" i="9"/>
  <c r="V162" i="9" a="1"/>
  <c r="V162" i="9"/>
  <c r="AJ162" i="9" a="1"/>
  <c r="AJ162" i="9"/>
  <c r="T120" i="4" a="1"/>
  <c r="T120" i="4"/>
  <c r="P120" i="4" a="1"/>
  <c r="P120" i="4"/>
  <c r="L120" i="4" a="1"/>
  <c r="L120" i="4"/>
  <c r="Q155" i="9" a="1"/>
  <c r="Q155" i="9"/>
  <c r="AO162" i="9" a="1"/>
  <c r="AO162" i="9"/>
  <c r="C155" i="9" a="1"/>
  <c r="C155" i="9"/>
  <c r="O162" i="9" a="1"/>
  <c r="O162" i="9"/>
  <c r="Z162" i="9" a="1"/>
  <c r="Z162" i="9"/>
  <c r="AZ162" i="9" a="1"/>
  <c r="AZ162" i="9"/>
  <c r="AI162" i="9" a="1"/>
  <c r="AI162" i="9"/>
  <c r="W162" i="9" a="1"/>
  <c r="W162" i="9"/>
  <c r="Q162" i="9" a="1"/>
  <c r="Q162" i="9"/>
  <c r="AB155" i="9" a="1"/>
  <c r="AB155" i="9"/>
  <c r="AB162" i="9" a="1"/>
  <c r="AB162" i="9"/>
  <c r="M120" i="4" a="1"/>
  <c r="M120" i="4"/>
  <c r="C120" i="4" a="1"/>
  <c r="C120" i="4"/>
  <c r="X120" i="4" a="1"/>
  <c r="X120" i="4"/>
  <c r="AN155" i="9" a="1"/>
  <c r="AN155" i="9"/>
  <c r="AL162" i="9" a="1"/>
  <c r="AL162" i="9"/>
  <c r="H162" i="9" a="1"/>
  <c r="H162" i="9"/>
  <c r="H155" i="9" a="1"/>
  <c r="H155" i="9"/>
  <c r="T162" i="9" a="1"/>
  <c r="T162" i="9"/>
  <c r="T155" i="9" a="1"/>
  <c r="T155" i="9"/>
  <c r="Z120" i="4" a="1"/>
  <c r="Z120" i="4"/>
  <c r="AA120" i="4" a="1"/>
  <c r="AA120" i="4"/>
  <c r="K120" i="4" a="1"/>
  <c r="K120" i="4"/>
  <c r="E162" i="9" a="1"/>
  <c r="E162" i="9"/>
  <c r="E155" i="9" a="1"/>
  <c r="E155" i="9"/>
  <c r="S162" i="9" a="1"/>
  <c r="S162" i="9"/>
  <c r="K155" i="9" a="1"/>
  <c r="K155" i="9"/>
  <c r="AD162" i="9" a="1"/>
  <c r="AD162" i="9"/>
  <c r="T121" i="4" a="1"/>
  <c r="T121" i="4"/>
  <c r="Z121" i="4" a="1"/>
  <c r="Z121" i="4"/>
  <c r="Q121" i="4" a="1"/>
  <c r="Q121" i="4"/>
  <c r="G121" i="4" a="1"/>
  <c r="G121" i="4"/>
  <c r="V155" i="9" a="1"/>
  <c r="V155" i="9"/>
  <c r="B123" i="4"/>
  <c r="V121" i="4" a="1"/>
  <c r="V121" i="4"/>
  <c r="M121" i="4" a="1"/>
  <c r="M121" i="4"/>
  <c r="C121" i="4" a="1"/>
  <c r="C121" i="4"/>
  <c r="AC155" i="9" a="1"/>
  <c r="AC155" i="9"/>
  <c r="M155" i="9" a="1"/>
  <c r="M155" i="9"/>
  <c r="D121" i="4" a="1"/>
  <c r="D121" i="4"/>
  <c r="R121" i="4" a="1"/>
  <c r="R121" i="4"/>
  <c r="I121" i="4" a="1"/>
  <c r="I121" i="4"/>
  <c r="N155" i="9" a="1"/>
  <c r="N155" i="9"/>
  <c r="S155" i="9" a="1"/>
  <c r="S155" i="9"/>
  <c r="AO155" i="9" a="1"/>
  <c r="AO155" i="9"/>
  <c r="G155" i="9" a="1"/>
  <c r="G155" i="9"/>
  <c r="X155" i="9" a="1"/>
  <c r="X155" i="9"/>
  <c r="AK155" i="9" a="1"/>
  <c r="AK155" i="9"/>
  <c r="AU64" i="7"/>
  <c r="AW64" i="7"/>
  <c r="AX64" i="7"/>
  <c r="AV64" i="7"/>
  <c r="AY64" i="7"/>
  <c r="AS64" i="7"/>
  <c r="AT64" i="7"/>
  <c r="P121" i="4" a="1"/>
  <c r="P121" i="4"/>
  <c r="N121" i="4" a="1"/>
  <c r="N121" i="4"/>
  <c r="E121" i="4" a="1"/>
  <c r="E121" i="4"/>
  <c r="BI13" i="7"/>
  <c r="BI12" i="7"/>
  <c r="BK12" i="7"/>
  <c r="AL155" i="9" a="1"/>
  <c r="AL155" i="9"/>
  <c r="AJ155" i="9" a="1"/>
  <c r="AJ155" i="9"/>
  <c r="H121" i="4" a="1"/>
  <c r="H121" i="4"/>
  <c r="F121" i="4" a="1"/>
  <c r="F121" i="4"/>
  <c r="S121" i="4" a="1"/>
  <c r="S121" i="4"/>
  <c r="AG155" i="9" a="1"/>
  <c r="AG155" i="9"/>
  <c r="O155" i="9" a="1"/>
  <c r="O155" i="9"/>
  <c r="J155" i="9" a="1"/>
  <c r="J155" i="9"/>
  <c r="B155" i="9" a="1"/>
  <c r="B155" i="9"/>
  <c r="X121" i="4" a="1"/>
  <c r="X121" i="4"/>
  <c r="U121" i="4" a="1"/>
  <c r="U121" i="4"/>
  <c r="K121" i="4" a="1"/>
  <c r="K121" i="4"/>
  <c r="D155" i="9" a="1"/>
  <c r="D155" i="9"/>
  <c r="R155" i="9" a="1"/>
  <c r="R155" i="9"/>
  <c r="U155" i="9" a="1"/>
  <c r="U155" i="9"/>
  <c r="G175" i="8" a="1"/>
  <c r="G175" i="8"/>
  <c r="M175" i="8" a="1"/>
  <c r="M175" i="8"/>
  <c r="W122" i="4" a="1"/>
  <c r="W122" i="4"/>
  <c r="U122" i="4" a="1"/>
  <c r="U122" i="4"/>
  <c r="I122" i="4" a="1"/>
  <c r="I122" i="4"/>
  <c r="K175" i="8" a="1"/>
  <c r="K175" i="8"/>
  <c r="AY65" i="7"/>
  <c r="AX65" i="7"/>
  <c r="AU65" i="7"/>
  <c r="AW65" i="7"/>
  <c r="AS65" i="7"/>
  <c r="AV65" i="7"/>
  <c r="AT65" i="7"/>
  <c r="P122" i="4" a="1"/>
  <c r="P122" i="4"/>
  <c r="L122" i="4" a="1"/>
  <c r="L122" i="4"/>
  <c r="V122" i="4" a="1"/>
  <c r="V122" i="4"/>
  <c r="N175" i="8" a="1"/>
  <c r="N175" i="8"/>
  <c r="BK13" i="7"/>
  <c r="S122" i="4" a="1"/>
  <c r="S122" i="4"/>
  <c r="G122" i="4" a="1"/>
  <c r="G122" i="4"/>
  <c r="M122" i="4" a="1"/>
  <c r="M122" i="4"/>
  <c r="F175" i="8" a="1"/>
  <c r="F175" i="8"/>
  <c r="Q175" i="8" a="1"/>
  <c r="Q175" i="8"/>
  <c r="X122" i="4" a="1"/>
  <c r="X122" i="4"/>
  <c r="J122" i="4" a="1"/>
  <c r="J122" i="4"/>
  <c r="T122" i="4" a="1"/>
  <c r="T122" i="4"/>
  <c r="D122" i="4" a="1"/>
  <c r="D122" i="4"/>
  <c r="AC175" i="8" a="1"/>
  <c r="AC175" i="8"/>
  <c r="X175" i="8" a="1"/>
  <c r="X175" i="8"/>
  <c r="U175" i="8" a="1"/>
  <c r="U175" i="8"/>
  <c r="J175" i="8" a="1"/>
  <c r="J175" i="8"/>
  <c r="N122" i="4" a="1"/>
  <c r="N122" i="4"/>
  <c r="Z122" i="4" a="1"/>
  <c r="Z122" i="4"/>
  <c r="O122" i="4" a="1"/>
  <c r="O122" i="4"/>
  <c r="F123" i="4" a="1"/>
  <c r="F123" i="4"/>
  <c r="N123" i="4" a="1"/>
  <c r="N123" i="4"/>
  <c r="V123" i="4" a="1"/>
  <c r="V123" i="4"/>
  <c r="O123" i="4" a="1"/>
  <c r="O123" i="4"/>
  <c r="K123" i="4" a="1"/>
  <c r="K123" i="4"/>
  <c r="H123" i="4" a="1"/>
  <c r="H123" i="4"/>
  <c r="I123" i="4" a="1"/>
  <c r="I123" i="4"/>
  <c r="B124" i="4"/>
  <c r="S123" i="4" a="1"/>
  <c r="S123" i="4"/>
  <c r="L123" i="4" a="1"/>
  <c r="L123" i="4"/>
  <c r="G123" i="4" a="1"/>
  <c r="G123" i="4"/>
  <c r="M123" i="4" a="1"/>
  <c r="M123" i="4"/>
  <c r="D123" i="4" a="1"/>
  <c r="D123" i="4"/>
  <c r="E122" i="4" a="1"/>
  <c r="E122" i="4"/>
  <c r="Q122" i="4" a="1"/>
  <c r="Q122" i="4"/>
  <c r="F122" i="4" a="1"/>
  <c r="F122" i="4"/>
  <c r="BI14" i="7"/>
  <c r="BK14" i="7"/>
  <c r="Y122" i="4" a="1"/>
  <c r="Y122" i="4"/>
  <c r="H122" i="4" a="1"/>
  <c r="H122" i="4"/>
  <c r="AA122" i="4" a="1"/>
  <c r="AA122" i="4"/>
  <c r="P175" i="8" a="1"/>
  <c r="P175" i="8"/>
  <c r="K122" i="4" a="1"/>
  <c r="K122" i="4"/>
  <c r="C122" i="4" a="1"/>
  <c r="C122" i="4"/>
  <c r="R122" i="4" a="1"/>
  <c r="R122" i="4"/>
  <c r="R175" i="8" a="1"/>
  <c r="R175" i="8"/>
  <c r="T175" i="8" a="1"/>
  <c r="T175" i="8"/>
  <c r="D175" i="8" a="1"/>
  <c r="D175" i="8"/>
  <c r="U123" i="4" a="1"/>
  <c r="U123" i="4"/>
  <c r="Q123" i="4" a="1"/>
  <c r="Q123" i="4"/>
  <c r="R123" i="4" a="1"/>
  <c r="R123" i="4"/>
  <c r="O175" i="8" a="1"/>
  <c r="O175" i="8"/>
  <c r="I175" i="8" a="1"/>
  <c r="I175" i="8"/>
  <c r="Y175" i="8" a="1"/>
  <c r="Y175" i="8"/>
  <c r="B175" i="8" a="1"/>
  <c r="B175" i="8"/>
  <c r="AB175" i="8" a="1"/>
  <c r="AB175" i="8"/>
  <c r="AA123" i="4" a="1"/>
  <c r="AA123" i="4"/>
  <c r="C123" i="4" a="1"/>
  <c r="C123" i="4"/>
  <c r="T123" i="4" a="1"/>
  <c r="T123" i="4"/>
  <c r="J123" i="4" a="1"/>
  <c r="J123" i="4"/>
  <c r="H175" i="8" a="1"/>
  <c r="H175" i="8"/>
  <c r="H166" i="8" a="1"/>
  <c r="H166" i="8"/>
  <c r="S175" i="8" a="1"/>
  <c r="S175" i="8"/>
  <c r="G166" i="8" a="1"/>
  <c r="G166" i="8"/>
  <c r="Y166" i="8" a="1"/>
  <c r="Y166" i="8"/>
  <c r="Y123" i="4" a="1"/>
  <c r="Y123" i="4"/>
  <c r="E123" i="4" a="1"/>
  <c r="E123" i="4"/>
  <c r="X123" i="4" a="1"/>
  <c r="X123" i="4"/>
  <c r="X166" i="8" a="1"/>
  <c r="X166" i="8"/>
  <c r="AB166" i="8" a="1"/>
  <c r="AB166" i="8"/>
  <c r="W175" i="8" a="1"/>
  <c r="W175" i="8"/>
  <c r="V175" i="8" a="1"/>
  <c r="V175" i="8"/>
  <c r="L124" i="4" a="1"/>
  <c r="L124" i="4"/>
  <c r="Z124" i="4" a="1"/>
  <c r="Z124" i="4"/>
  <c r="M124" i="4" a="1"/>
  <c r="M124" i="4"/>
  <c r="J124" i="4" a="1"/>
  <c r="J124" i="4"/>
  <c r="K124" i="4" a="1"/>
  <c r="K124" i="4"/>
  <c r="Y124" i="4" a="1"/>
  <c r="Y124" i="4"/>
  <c r="P124" i="4" a="1"/>
  <c r="P124" i="4"/>
  <c r="E124" i="4" a="1"/>
  <c r="E124" i="4"/>
  <c r="W124" i="4" a="1"/>
  <c r="W124" i="4"/>
  <c r="O124" i="4" a="1"/>
  <c r="O124" i="4"/>
  <c r="F124" i="4" a="1"/>
  <c r="F124" i="4"/>
  <c r="B125" i="4"/>
  <c r="R124" i="4" a="1"/>
  <c r="R124" i="4"/>
  <c r="I124" i="4" a="1"/>
  <c r="I124" i="4"/>
  <c r="AU66" i="7"/>
  <c r="AT66" i="7"/>
  <c r="AW66" i="7"/>
  <c r="AS66" i="7"/>
  <c r="AV66" i="7"/>
  <c r="AX66" i="7"/>
  <c r="AY66" i="7"/>
  <c r="L166" i="8" a="1"/>
  <c r="L166" i="8"/>
  <c r="L175" i="8" a="1"/>
  <c r="L175" i="8"/>
  <c r="E175" i="8" a="1"/>
  <c r="E175" i="8"/>
  <c r="R166" i="8" a="1"/>
  <c r="R166" i="8"/>
  <c r="P123" i="4" a="1"/>
  <c r="P123" i="4"/>
  <c r="W123" i="4" a="1"/>
  <c r="W123" i="4"/>
  <c r="Z123" i="4" a="1"/>
  <c r="Z123" i="4"/>
  <c r="Z166" i="8" a="1"/>
  <c r="Z166" i="8"/>
  <c r="Z175" i="8" a="1"/>
  <c r="Z175" i="8"/>
  <c r="AA166" i="8" a="1"/>
  <c r="AA166" i="8"/>
  <c r="AA175" i="8" a="1"/>
  <c r="AA175" i="8"/>
  <c r="C175" i="8" a="1"/>
  <c r="C175" i="8"/>
  <c r="M166" i="8" a="1"/>
  <c r="M166" i="8"/>
  <c r="K166" i="8" a="1"/>
  <c r="K166" i="8"/>
  <c r="P166" i="8" a="1"/>
  <c r="P166" i="8"/>
  <c r="D124" i="4" a="1"/>
  <c r="D124" i="4"/>
  <c r="G124" i="4" a="1"/>
  <c r="G124" i="4"/>
  <c r="H124" i="4" a="1"/>
  <c r="H124" i="4"/>
  <c r="D166" i="8" a="1"/>
  <c r="D166" i="8"/>
  <c r="W166" i="8" a="1"/>
  <c r="W166" i="8"/>
  <c r="AY67" i="7"/>
  <c r="AS67" i="7"/>
  <c r="AX67" i="7"/>
  <c r="AT67" i="7"/>
  <c r="AV67" i="7"/>
  <c r="AU67" i="7"/>
  <c r="AW67" i="7"/>
  <c r="S166" i="8" a="1"/>
  <c r="S166" i="8"/>
  <c r="C166" i="8" a="1"/>
  <c r="C166" i="8"/>
  <c r="F166" i="8" a="1"/>
  <c r="F166" i="8"/>
  <c r="BI16" i="7"/>
  <c r="BK16" i="7"/>
  <c r="X124" i="4" a="1"/>
  <c r="X124" i="4"/>
  <c r="T124" i="4" a="1"/>
  <c r="T124" i="4"/>
  <c r="Q124" i="4" a="1"/>
  <c r="Q124" i="4"/>
  <c r="J166" i="8" a="1"/>
  <c r="J166" i="8"/>
  <c r="O166" i="8" a="1"/>
  <c r="O166" i="8"/>
  <c r="Q166" i="8" a="1"/>
  <c r="Q166" i="8"/>
  <c r="AA124" i="4" a="1"/>
  <c r="AA124" i="4"/>
  <c r="N124" i="4" a="1"/>
  <c r="N124" i="4"/>
  <c r="S124" i="4" a="1"/>
  <c r="S124" i="4"/>
  <c r="C124" i="4" a="1"/>
  <c r="C124" i="4"/>
  <c r="AC166" i="8" a="1"/>
  <c r="AC166" i="8"/>
  <c r="V166" i="8" a="1"/>
  <c r="V166" i="8"/>
  <c r="N166" i="8" a="1"/>
  <c r="N166" i="8"/>
  <c r="U166" i="8" a="1"/>
  <c r="U166" i="8"/>
  <c r="E166" i="8" a="1"/>
  <c r="E166" i="8"/>
  <c r="BI15" i="7"/>
  <c r="BK15" i="7"/>
  <c r="G125" i="4" a="1"/>
  <c r="G125" i="4"/>
  <c r="O125" i="4" a="1"/>
  <c r="O125" i="4"/>
  <c r="E125" i="4" a="1"/>
  <c r="E125" i="4"/>
  <c r="J125" i="4" a="1"/>
  <c r="J125" i="4"/>
  <c r="L125" i="4" a="1"/>
  <c r="L125" i="4"/>
  <c r="V125" i="4" a="1"/>
  <c r="V125" i="4"/>
  <c r="R125" i="4" a="1"/>
  <c r="R125" i="4"/>
  <c r="B126" i="4"/>
  <c r="P125" i="4" a="1"/>
  <c r="P125" i="4"/>
  <c r="Z125" i="4" a="1"/>
  <c r="Z125" i="4"/>
  <c r="F125" i="4" a="1"/>
  <c r="F125" i="4"/>
  <c r="U124" i="4" a="1"/>
  <c r="U124" i="4"/>
  <c r="V124" i="4" a="1"/>
  <c r="V124" i="4"/>
  <c r="T166" i="8" a="1"/>
  <c r="T166" i="8"/>
  <c r="B166" i="8" a="1"/>
  <c r="B166" i="8"/>
  <c r="I156" i="9" a="1"/>
  <c r="I156" i="9"/>
  <c r="S156" i="9" a="1"/>
  <c r="S156" i="9"/>
  <c r="K156" i="9" a="1"/>
  <c r="K156" i="9"/>
  <c r="W156" i="9" a="1"/>
  <c r="W156" i="9"/>
  <c r="AA156" i="9" a="1"/>
  <c r="AA156" i="9"/>
  <c r="AI156" i="9" a="1"/>
  <c r="AI156" i="9"/>
  <c r="E156" i="9" a="1"/>
  <c r="E156" i="9"/>
  <c r="AC156" i="9" a="1"/>
  <c r="AC156" i="9"/>
  <c r="AL156" i="9" a="1"/>
  <c r="AL156" i="9"/>
  <c r="AF156" i="9" a="1"/>
  <c r="AF156" i="9"/>
  <c r="V156" i="9" a="1"/>
  <c r="V156" i="9"/>
  <c r="AH156" i="9" a="1"/>
  <c r="AH156" i="9"/>
  <c r="Q156" i="9" a="1"/>
  <c r="Q156" i="9"/>
  <c r="X156" i="9" a="1"/>
  <c r="X156" i="9"/>
  <c r="AZ156" i="9" a="1"/>
  <c r="AZ156" i="9"/>
  <c r="P156" i="9" a="1"/>
  <c r="P156" i="9"/>
  <c r="O156" i="9" a="1"/>
  <c r="O156" i="9"/>
  <c r="U126" i="4" a="1"/>
  <c r="U126" i="4"/>
  <c r="B127" i="4"/>
  <c r="X126" i="4" a="1"/>
  <c r="X126" i="4"/>
  <c r="J126" i="4" a="1"/>
  <c r="J126" i="4"/>
  <c r="X125" i="4" a="1"/>
  <c r="X125" i="4"/>
  <c r="K125" i="4" a="1"/>
  <c r="K125" i="4"/>
  <c r="AG156" i="9" a="1"/>
  <c r="AG156" i="9"/>
  <c r="R156" i="9" a="1"/>
  <c r="R156" i="9"/>
  <c r="Q125" i="4" a="1"/>
  <c r="Q125" i="4"/>
  <c r="I125" i="4" a="1"/>
  <c r="I125" i="4"/>
  <c r="N125" i="4" a="1"/>
  <c r="N125" i="4"/>
  <c r="C125" i="4" a="1"/>
  <c r="C125" i="4"/>
  <c r="AO156" i="9" a="1"/>
  <c r="AO156" i="9"/>
  <c r="AU68" i="7"/>
  <c r="AV68" i="7"/>
  <c r="AX68" i="7"/>
  <c r="AS68" i="7"/>
  <c r="AY68" i="7"/>
  <c r="AT68" i="7"/>
  <c r="AW68" i="7"/>
  <c r="AP156" i="9" a="1"/>
  <c r="AP156" i="9"/>
  <c r="M125" i="4" a="1"/>
  <c r="M125" i="4"/>
  <c r="AA125" i="4" a="1"/>
  <c r="AA125" i="4"/>
  <c r="L156" i="9" a="1"/>
  <c r="L156" i="9"/>
  <c r="B156" i="9" a="1"/>
  <c r="B156" i="9"/>
  <c r="T125" i="4" a="1"/>
  <c r="T125" i="4"/>
  <c r="D125" i="4" a="1"/>
  <c r="D125" i="4"/>
  <c r="W125" i="4" a="1"/>
  <c r="W125" i="4"/>
  <c r="BI17" i="7"/>
  <c r="BK17" i="7"/>
  <c r="C156" i="9" a="1"/>
  <c r="C156" i="9"/>
  <c r="H125" i="4" a="1"/>
  <c r="H125" i="4"/>
  <c r="AM156" i="9" a="1"/>
  <c r="AM156" i="9"/>
  <c r="AB156" i="9" a="1"/>
  <c r="AB156" i="9"/>
  <c r="Y125" i="4" a="1"/>
  <c r="Y125" i="4"/>
  <c r="U125" i="4" a="1"/>
  <c r="U125" i="4"/>
  <c r="S125" i="4" a="1"/>
  <c r="S125" i="4"/>
  <c r="F156" i="9" a="1"/>
  <c r="F156" i="9"/>
  <c r="D126" i="4" a="1"/>
  <c r="D126" i="4"/>
  <c r="AA126" i="4" a="1"/>
  <c r="AA126" i="4"/>
  <c r="W126" i="4" a="1"/>
  <c r="W126" i="4"/>
  <c r="P126" i="4" a="1"/>
  <c r="P126" i="4"/>
  <c r="AK156" i="9" a="1"/>
  <c r="AK156" i="9"/>
  <c r="Y156" i="9" a="1"/>
  <c r="Y156" i="9"/>
  <c r="V126" i="4" a="1"/>
  <c r="V126" i="4"/>
  <c r="R126" i="4" a="1"/>
  <c r="R126" i="4"/>
  <c r="N126" i="4" a="1"/>
  <c r="N126" i="4"/>
  <c r="G126" i="4" a="1"/>
  <c r="G126" i="4"/>
  <c r="T156" i="9" a="1"/>
  <c r="T156" i="9"/>
  <c r="AU69" i="7"/>
  <c r="AW69" i="7"/>
  <c r="AS69" i="7"/>
  <c r="AX69" i="7"/>
  <c r="AY69" i="7"/>
  <c r="AT69" i="7"/>
  <c r="AV69" i="7"/>
  <c r="M126" i="4" a="1"/>
  <c r="M126" i="4"/>
  <c r="T126" i="4" a="1"/>
  <c r="T126" i="4"/>
  <c r="I126" i="4" a="1"/>
  <c r="I126" i="4"/>
  <c r="H156" i="9" a="1"/>
  <c r="H156" i="9"/>
  <c r="AN156" i="9" a="1"/>
  <c r="AN156" i="9"/>
  <c r="U156" i="9" a="1"/>
  <c r="U156" i="9"/>
  <c r="D156" i="9" a="1"/>
  <c r="D156" i="9"/>
  <c r="S126" i="4" a="1"/>
  <c r="S126" i="4"/>
  <c r="K126" i="4" a="1"/>
  <c r="K126" i="4"/>
  <c r="Z126" i="4" a="1"/>
  <c r="Z126" i="4"/>
  <c r="Z156" i="9" a="1"/>
  <c r="Z156" i="9"/>
  <c r="M156" i="9" a="1"/>
  <c r="M156" i="9"/>
  <c r="AE156" i="9" a="1"/>
  <c r="AE156" i="9"/>
  <c r="O126" i="4" a="1"/>
  <c r="O126" i="4"/>
  <c r="L126" i="4" a="1"/>
  <c r="L126" i="4"/>
  <c r="AJ156" i="9" a="1"/>
  <c r="AJ156" i="9"/>
  <c r="H126" i="4" a="1"/>
  <c r="H126" i="4"/>
  <c r="F126" i="4" a="1"/>
  <c r="F126" i="4"/>
  <c r="C126" i="4" a="1"/>
  <c r="C126" i="4"/>
  <c r="J156" i="9" a="1"/>
  <c r="J156" i="9"/>
  <c r="G156" i="9" a="1"/>
  <c r="G156" i="9"/>
  <c r="E126" i="4" a="1"/>
  <c r="E126" i="4"/>
  <c r="Q126" i="4" a="1"/>
  <c r="Q126" i="4"/>
  <c r="B128" i="4"/>
  <c r="Y126" i="4" a="1"/>
  <c r="Y126" i="4"/>
  <c r="AD156" i="9" a="1"/>
  <c r="AD156" i="9"/>
  <c r="BI18" i="7"/>
  <c r="N156" i="9" a="1"/>
  <c r="N156" i="9"/>
  <c r="C127" i="4" a="1"/>
  <c r="C127" i="4"/>
  <c r="O127" i="4" a="1"/>
  <c r="O127" i="4"/>
  <c r="Y127" i="4" a="1"/>
  <c r="Y127" i="4"/>
  <c r="I127" i="4" a="1"/>
  <c r="I127" i="4"/>
  <c r="AY70" i="7"/>
  <c r="AS70" i="7"/>
  <c r="AX70" i="7"/>
  <c r="AT70" i="7"/>
  <c r="AV70" i="7"/>
  <c r="AU70" i="7"/>
  <c r="AW70" i="7"/>
  <c r="P127" i="4" a="1"/>
  <c r="P127" i="4"/>
  <c r="G127" i="4" a="1"/>
  <c r="G127" i="4"/>
  <c r="R127" i="4" a="1"/>
  <c r="R127" i="4"/>
  <c r="U127" i="4" a="1"/>
  <c r="U127" i="4"/>
  <c r="K127" i="4" a="1"/>
  <c r="K127" i="4"/>
  <c r="X127" i="4" a="1"/>
  <c r="X127" i="4"/>
  <c r="F127" i="4" a="1"/>
  <c r="F127" i="4"/>
  <c r="P128" i="4" a="1"/>
  <c r="P128" i="4"/>
  <c r="S128" i="4" a="1"/>
  <c r="S128" i="4"/>
  <c r="B129" i="4"/>
  <c r="T127" i="4" a="1"/>
  <c r="T127" i="4"/>
  <c r="W127" i="4" a="1"/>
  <c r="W127" i="4"/>
  <c r="M127" i="4" a="1"/>
  <c r="M127" i="4"/>
  <c r="L127" i="4" a="1"/>
  <c r="L127" i="4"/>
  <c r="S127" i="4" a="1"/>
  <c r="S127" i="4"/>
  <c r="Z127" i="4" a="1"/>
  <c r="Z127" i="4"/>
  <c r="E127" i="4" a="1"/>
  <c r="E127" i="4"/>
  <c r="H127" i="4" a="1"/>
  <c r="H127" i="4"/>
  <c r="BI19" i="7"/>
  <c r="V127" i="4" a="1"/>
  <c r="V127" i="4"/>
  <c r="N127" i="4" a="1"/>
  <c r="N127" i="4"/>
  <c r="J127" i="4" a="1"/>
  <c r="J127" i="4"/>
  <c r="Q127" i="4" a="1"/>
  <c r="Q127" i="4"/>
  <c r="AA127" i="4" a="1"/>
  <c r="AA127" i="4"/>
  <c r="D127" i="4" a="1"/>
  <c r="D127" i="4"/>
  <c r="X167" i="8" a="1"/>
  <c r="X167" i="8"/>
  <c r="R167" i="8" a="1"/>
  <c r="R167" i="8"/>
  <c r="G167" i="8" a="1"/>
  <c r="G167" i="8"/>
  <c r="I167" i="8" a="1"/>
  <c r="I167" i="8"/>
  <c r="L128" i="4" a="1"/>
  <c r="L128" i="4"/>
  <c r="I128" i="4" a="1"/>
  <c r="I128" i="4"/>
  <c r="V128" i="4" a="1"/>
  <c r="V128" i="4"/>
  <c r="F128" i="4" a="1"/>
  <c r="F128" i="4"/>
  <c r="Q128" i="4" a="1"/>
  <c r="Q128" i="4"/>
  <c r="J128" i="4" a="1"/>
  <c r="J128" i="4"/>
  <c r="M128" i="4" a="1"/>
  <c r="M128" i="4"/>
  <c r="H128" i="4" a="1"/>
  <c r="H128" i="4"/>
  <c r="X128" i="4" a="1"/>
  <c r="X128" i="4"/>
  <c r="D128" i="4" a="1"/>
  <c r="D128" i="4"/>
  <c r="AU71" i="7"/>
  <c r="AW71" i="7"/>
  <c r="AT71" i="7"/>
  <c r="AV71" i="7"/>
  <c r="AX71" i="7"/>
  <c r="AY71" i="7"/>
  <c r="AS71" i="7"/>
  <c r="U128" i="4" a="1"/>
  <c r="U128" i="4"/>
  <c r="O128" i="4" a="1"/>
  <c r="O128" i="4"/>
  <c r="Y128" i="4" a="1"/>
  <c r="Y128" i="4"/>
  <c r="N167" i="8" a="1"/>
  <c r="N167" i="8"/>
  <c r="B130" i="4"/>
  <c r="N128" i="4" a="1"/>
  <c r="N128" i="4"/>
  <c r="C128" i="4" a="1"/>
  <c r="C128" i="4"/>
  <c r="E128" i="4" a="1"/>
  <c r="E128" i="4"/>
  <c r="T128" i="4" a="1"/>
  <c r="T128" i="4"/>
  <c r="Y167" i="8" a="1"/>
  <c r="Y167" i="8"/>
  <c r="T167" i="8" a="1"/>
  <c r="T167" i="8"/>
  <c r="F167" i="8" a="1"/>
  <c r="F167" i="8"/>
  <c r="O167" i="8" a="1"/>
  <c r="O167" i="8"/>
  <c r="M167" i="8" a="1"/>
  <c r="M167" i="8"/>
  <c r="S167" i="8" a="1"/>
  <c r="S167" i="8"/>
  <c r="P167" i="8" a="1"/>
  <c r="P167" i="8"/>
  <c r="AB167" i="8" a="1"/>
  <c r="AB167" i="8"/>
  <c r="Z128" i="4" a="1"/>
  <c r="Z128" i="4"/>
  <c r="G128" i="4" a="1"/>
  <c r="G128" i="4"/>
  <c r="M129" i="4" a="1"/>
  <c r="M129" i="4"/>
  <c r="BI20" i="7"/>
  <c r="BK20" i="7"/>
  <c r="D167" i="8" a="1"/>
  <c r="D167" i="8"/>
  <c r="BK19" i="7"/>
  <c r="W128" i="4" a="1"/>
  <c r="W128" i="4"/>
  <c r="R128" i="4" a="1"/>
  <c r="R128" i="4"/>
  <c r="AA128" i="4" a="1"/>
  <c r="AA128" i="4"/>
  <c r="K128" i="4" a="1"/>
  <c r="K128" i="4"/>
  <c r="U167" i="8" a="1"/>
  <c r="U167" i="8"/>
  <c r="Q167" i="8" a="1"/>
  <c r="Q167" i="8"/>
  <c r="T129" i="4" a="1"/>
  <c r="T129" i="4"/>
  <c r="C129" i="4" a="1"/>
  <c r="C129" i="4"/>
  <c r="R129" i="4" a="1"/>
  <c r="R129" i="4"/>
  <c r="I129" i="4" a="1"/>
  <c r="I129" i="4"/>
  <c r="L167" i="8" a="1"/>
  <c r="L167" i="8"/>
  <c r="J129" i="4" a="1"/>
  <c r="J129" i="4"/>
  <c r="Z129" i="4" a="1"/>
  <c r="Z129" i="4"/>
  <c r="D129" i="4" a="1"/>
  <c r="D129" i="4"/>
  <c r="E129" i="4" a="1"/>
  <c r="E129" i="4"/>
  <c r="AA167" i="8" a="1"/>
  <c r="AA167" i="8"/>
  <c r="C167" i="8" a="1"/>
  <c r="C167" i="8"/>
  <c r="K129" i="4" a="1"/>
  <c r="K129" i="4"/>
  <c r="P129" i="4" a="1"/>
  <c r="P129" i="4"/>
  <c r="V129" i="4" a="1"/>
  <c r="V129" i="4"/>
  <c r="Z167" i="8" a="1"/>
  <c r="Z167" i="8"/>
  <c r="V167" i="8" a="1"/>
  <c r="V167" i="8"/>
  <c r="AC167" i="8" a="1"/>
  <c r="AC167" i="8"/>
  <c r="B131" i="4"/>
  <c r="G129" i="4" a="1"/>
  <c r="G129" i="4"/>
  <c r="H129" i="4" a="1"/>
  <c r="H129" i="4"/>
  <c r="H167" i="8" a="1"/>
  <c r="H167" i="8"/>
  <c r="W129" i="4" a="1"/>
  <c r="W129" i="4"/>
  <c r="X129" i="4" a="1"/>
  <c r="X129" i="4"/>
  <c r="Y129" i="4" a="1"/>
  <c r="Y129" i="4"/>
  <c r="W167" i="8" a="1"/>
  <c r="W167" i="8"/>
  <c r="E167" i="8" a="1"/>
  <c r="E167" i="8"/>
  <c r="K167" i="8" a="1"/>
  <c r="K167" i="8"/>
  <c r="S129" i="4" a="1"/>
  <c r="S129" i="4"/>
  <c r="O129" i="4" a="1"/>
  <c r="O129" i="4"/>
  <c r="U129" i="4" a="1"/>
  <c r="U129" i="4"/>
  <c r="AW72" i="7"/>
  <c r="AX72" i="7"/>
  <c r="AS72" i="7"/>
  <c r="AU72" i="7"/>
  <c r="AT72" i="7"/>
  <c r="AY72" i="7"/>
  <c r="AV72" i="7"/>
  <c r="B167" i="8" a="1"/>
  <c r="B167" i="8"/>
  <c r="N129" i="4" a="1"/>
  <c r="N129" i="4"/>
  <c r="F129" i="4" a="1"/>
  <c r="F129" i="4"/>
  <c r="Q129" i="4" a="1"/>
  <c r="Q129" i="4"/>
  <c r="S163" i="9" a="1"/>
  <c r="S163" i="9"/>
  <c r="AA163" i="9" a="1"/>
  <c r="AA163" i="9"/>
  <c r="AI163" i="9" a="1"/>
  <c r="AI163" i="9"/>
  <c r="E163" i="9" a="1"/>
  <c r="E163" i="9"/>
  <c r="M163" i="9" a="1"/>
  <c r="M163" i="9"/>
  <c r="AC163" i="9" a="1"/>
  <c r="AC163" i="9"/>
  <c r="AK163" i="9" a="1"/>
  <c r="AK163" i="9"/>
  <c r="F163" i="9" a="1"/>
  <c r="F163" i="9"/>
  <c r="P163" i="9" a="1"/>
  <c r="P163" i="9"/>
  <c r="Z163" i="9" a="1"/>
  <c r="Z163" i="9"/>
  <c r="AL163" i="9" a="1"/>
  <c r="AL163" i="9"/>
  <c r="Q163" i="9" a="1"/>
  <c r="Q163" i="9"/>
  <c r="AB163" i="9" a="1"/>
  <c r="AB163" i="9"/>
  <c r="AM163" i="9" a="1"/>
  <c r="AM163" i="9"/>
  <c r="J163" i="9" a="1"/>
  <c r="J163" i="9"/>
  <c r="V163" i="9" a="1"/>
  <c r="V163" i="9"/>
  <c r="AF163" i="9" a="1"/>
  <c r="AF163" i="9"/>
  <c r="B163" i="9" a="1"/>
  <c r="B163" i="9"/>
  <c r="X163" i="9" a="1"/>
  <c r="X163" i="9"/>
  <c r="AH163" i="9" a="1"/>
  <c r="AH163" i="9"/>
  <c r="O163" i="9" a="1"/>
  <c r="O163" i="9"/>
  <c r="R163" i="9" a="1"/>
  <c r="R163" i="9"/>
  <c r="AN163" i="9" a="1"/>
  <c r="AN163" i="9"/>
  <c r="Y163" i="9" a="1"/>
  <c r="Y163" i="9"/>
  <c r="I163" i="9" a="1"/>
  <c r="I163" i="9"/>
  <c r="AE163" i="9" a="1"/>
  <c r="AE163" i="9"/>
  <c r="L163" i="9" a="1"/>
  <c r="L163" i="9"/>
  <c r="AD163" i="9" a="1"/>
  <c r="AD163" i="9"/>
  <c r="T163" i="9" a="1"/>
  <c r="T163" i="9"/>
  <c r="AO163" i="9" a="1"/>
  <c r="AO163" i="9"/>
  <c r="J167" i="8" a="1"/>
  <c r="J167" i="8"/>
  <c r="L129" i="4" a="1"/>
  <c r="L129" i="4"/>
  <c r="AA129" i="4" a="1"/>
  <c r="AA129" i="4"/>
  <c r="K163" i="9" a="1"/>
  <c r="K163" i="9"/>
  <c r="Y130" i="4" a="1"/>
  <c r="Y130" i="4"/>
  <c r="AA130" i="4" a="1"/>
  <c r="AA130" i="4"/>
  <c r="O130" i="4" a="1"/>
  <c r="O130" i="4"/>
  <c r="D163" i="9" a="1"/>
  <c r="D163" i="9"/>
  <c r="C163" i="9" a="1"/>
  <c r="C163" i="9"/>
  <c r="U130" i="4" a="1"/>
  <c r="U130" i="4"/>
  <c r="R130" i="4" a="1"/>
  <c r="R130" i="4"/>
  <c r="F130" i="4" a="1"/>
  <c r="F130" i="4"/>
  <c r="M157" i="9" a="1"/>
  <c r="M157" i="9"/>
  <c r="BI21" i="7"/>
  <c r="BK21" i="7"/>
  <c r="L130" i="4" a="1"/>
  <c r="L130" i="4"/>
  <c r="I130" i="4" a="1"/>
  <c r="I130" i="4"/>
  <c r="X130" i="4" a="1"/>
  <c r="X130" i="4"/>
  <c r="AG163" i="9" a="1"/>
  <c r="AG163" i="9"/>
  <c r="AP163" i="9" a="1"/>
  <c r="AP163" i="9"/>
  <c r="AP157" i="9" a="1"/>
  <c r="AP157" i="9"/>
  <c r="Y157" i="9" a="1"/>
  <c r="Y157" i="9"/>
  <c r="V130" i="4" a="1"/>
  <c r="V130" i="4"/>
  <c r="Z130" i="4" a="1"/>
  <c r="Z130" i="4"/>
  <c r="S130" i="4" a="1"/>
  <c r="S130" i="4"/>
  <c r="G163" i="9" a="1"/>
  <c r="G163" i="9"/>
  <c r="AB157" i="9" a="1"/>
  <c r="AB157" i="9"/>
  <c r="W163" i="9" a="1"/>
  <c r="W163" i="9"/>
  <c r="AJ163" i="9" a="1"/>
  <c r="AJ163" i="9"/>
  <c r="M130" i="4" a="1"/>
  <c r="M130" i="4"/>
  <c r="G130" i="4" a="1"/>
  <c r="G130" i="4"/>
  <c r="Q130" i="4" a="1"/>
  <c r="Q130" i="4"/>
  <c r="J130" i="4" a="1"/>
  <c r="J130" i="4"/>
  <c r="H163" i="9" a="1"/>
  <c r="H163" i="9"/>
  <c r="H157" i="9" a="1"/>
  <c r="H157" i="9"/>
  <c r="AI157" i="9" a="1"/>
  <c r="AI157" i="9"/>
  <c r="D130" i="4" a="1"/>
  <c r="D130" i="4"/>
  <c r="W130" i="4" a="1"/>
  <c r="W130" i="4"/>
  <c r="H130" i="4" a="1"/>
  <c r="H130" i="4"/>
  <c r="B132" i="4"/>
  <c r="U163" i="9" a="1"/>
  <c r="U163" i="9"/>
  <c r="AZ163" i="9" a="1"/>
  <c r="AZ163" i="9"/>
  <c r="B157" i="9" a="1"/>
  <c r="B157" i="9"/>
  <c r="AU73" i="7"/>
  <c r="AV73" i="7"/>
  <c r="AY73" i="7"/>
  <c r="AS73" i="7"/>
  <c r="AW73" i="7"/>
  <c r="AX73" i="7"/>
  <c r="AT73" i="7"/>
  <c r="K157" i="9" a="1"/>
  <c r="K157" i="9"/>
  <c r="T157" i="9" a="1"/>
  <c r="T157" i="9"/>
  <c r="P130" i="4" a="1"/>
  <c r="P130" i="4"/>
  <c r="N130" i="4" a="1"/>
  <c r="N130" i="4"/>
  <c r="C130" i="4" a="1"/>
  <c r="C130" i="4"/>
  <c r="G157" i="9" a="1"/>
  <c r="G157" i="9"/>
  <c r="V131" i="4" a="1"/>
  <c r="V131" i="4"/>
  <c r="X157" i="9" a="1"/>
  <c r="X157" i="9"/>
  <c r="AH157" i="9" a="1"/>
  <c r="AH157" i="9"/>
  <c r="F131" i="4" a="1"/>
  <c r="F131" i="4"/>
  <c r="AC157" i="9" a="1"/>
  <c r="AC157" i="9"/>
  <c r="AL157" i="9" a="1"/>
  <c r="AL157" i="9"/>
  <c r="U157" i="9" a="1"/>
  <c r="U157" i="9"/>
  <c r="AN157" i="9" a="1"/>
  <c r="AN157" i="9"/>
  <c r="L157" i="9" a="1"/>
  <c r="L157" i="9"/>
  <c r="AJ157" i="9" a="1"/>
  <c r="AJ157" i="9"/>
  <c r="K130" i="4" a="1"/>
  <c r="K130" i="4"/>
  <c r="E130" i="4" a="1"/>
  <c r="E130" i="4"/>
  <c r="T130" i="4" a="1"/>
  <c r="T130" i="4"/>
  <c r="N163" i="9" a="1"/>
  <c r="N163" i="9"/>
  <c r="C157" i="9" a="1"/>
  <c r="C157" i="9"/>
  <c r="AF157" i="9" a="1"/>
  <c r="AF157" i="9"/>
  <c r="U131" i="4" a="1"/>
  <c r="U131" i="4"/>
  <c r="AK157" i="9" a="1"/>
  <c r="AK157" i="9"/>
  <c r="M131" i="4" a="1"/>
  <c r="M131" i="4"/>
  <c r="S131" i="4" a="1"/>
  <c r="S131" i="4"/>
  <c r="R157" i="9" a="1"/>
  <c r="R157" i="9"/>
  <c r="AE157" i="9" a="1"/>
  <c r="AE157" i="9"/>
  <c r="AO157" i="9" a="1"/>
  <c r="AO157" i="9"/>
  <c r="B133" i="4"/>
  <c r="E131" i="4" a="1"/>
  <c r="E131" i="4"/>
  <c r="R131" i="4" a="1"/>
  <c r="R131" i="4"/>
  <c r="E157" i="9" a="1"/>
  <c r="E157" i="9"/>
  <c r="P131" i="4" a="1"/>
  <c r="P131" i="4"/>
  <c r="AD157" i="9" a="1"/>
  <c r="AD157" i="9"/>
  <c r="V157" i="9" a="1"/>
  <c r="V157" i="9"/>
  <c r="Z157" i="9" a="1"/>
  <c r="Z157" i="9"/>
  <c r="I131" i="4" a="1"/>
  <c r="I131" i="4"/>
  <c r="Q131" i="4" a="1"/>
  <c r="Q131" i="4"/>
  <c r="N131" i="4" a="1"/>
  <c r="N131" i="4"/>
  <c r="AG157" i="9" a="1"/>
  <c r="AG157" i="9"/>
  <c r="N157" i="9" a="1"/>
  <c r="N157" i="9"/>
  <c r="D131" i="4" a="1"/>
  <c r="D131" i="4"/>
  <c r="Y131" i="4" a="1"/>
  <c r="Y131" i="4"/>
  <c r="H131" i="4" a="1"/>
  <c r="H131" i="4"/>
  <c r="J131" i="4" a="1"/>
  <c r="J131" i="4"/>
  <c r="BI22" i="7"/>
  <c r="D157" i="9" a="1"/>
  <c r="D157" i="9"/>
  <c r="AS74" i="7"/>
  <c r="AT74" i="7"/>
  <c r="AW74" i="7"/>
  <c r="AY74" i="7"/>
  <c r="AU74" i="7"/>
  <c r="AX74" i="7"/>
  <c r="AV74" i="7"/>
  <c r="X131" i="4" a="1"/>
  <c r="X131" i="4"/>
  <c r="W131" i="4" a="1"/>
  <c r="W131" i="4"/>
  <c r="G131" i="4" a="1"/>
  <c r="G131" i="4"/>
  <c r="L131" i="4" a="1"/>
  <c r="L131" i="4"/>
  <c r="BI23" i="7"/>
  <c r="BK23" i="7"/>
  <c r="AA157" i="9" a="1"/>
  <c r="AA157" i="9"/>
  <c r="G132" i="4" a="1"/>
  <c r="G132" i="4"/>
  <c r="S157" i="9" a="1"/>
  <c r="S157" i="9"/>
  <c r="AZ157" i="9" a="1"/>
  <c r="AZ157" i="9"/>
  <c r="O131" i="4" a="1"/>
  <c r="O131" i="4"/>
  <c r="T131" i="4" a="1"/>
  <c r="T131" i="4"/>
  <c r="C131" i="4" a="1"/>
  <c r="C131" i="4"/>
  <c r="W157" i="9" a="1"/>
  <c r="W157" i="9"/>
  <c r="Q157" i="9" a="1"/>
  <c r="Q157" i="9"/>
  <c r="AM157" i="9" a="1"/>
  <c r="AM157" i="9"/>
  <c r="P157" i="9" a="1"/>
  <c r="P157" i="9"/>
  <c r="I157" i="9" a="1"/>
  <c r="I157" i="9"/>
  <c r="F157" i="9" a="1"/>
  <c r="F157" i="9"/>
  <c r="J157" i="9" a="1"/>
  <c r="J157" i="9"/>
  <c r="O157" i="9" a="1"/>
  <c r="O157" i="9"/>
  <c r="AA131" i="4" a="1"/>
  <c r="AA131" i="4"/>
  <c r="K131" i="4" a="1"/>
  <c r="K131" i="4"/>
  <c r="Z131" i="4" a="1"/>
  <c r="Z131" i="4"/>
  <c r="C132" i="4" a="1"/>
  <c r="C132" i="4"/>
  <c r="AA132" i="4" a="1"/>
  <c r="AA132" i="4"/>
  <c r="P132" i="4" a="1"/>
  <c r="P132" i="4"/>
  <c r="E176" i="8" a="1"/>
  <c r="E176" i="8"/>
  <c r="F176" i="8" a="1"/>
  <c r="F176" i="8"/>
  <c r="O176" i="8" a="1"/>
  <c r="O176" i="8"/>
  <c r="W176" i="8" a="1"/>
  <c r="W176" i="8"/>
  <c r="J176" i="8" a="1"/>
  <c r="J176" i="8"/>
  <c r="R176" i="8" a="1"/>
  <c r="R176" i="8"/>
  <c r="Z176" i="8" a="1"/>
  <c r="Z176" i="8"/>
  <c r="L176" i="8" a="1"/>
  <c r="L176" i="8"/>
  <c r="T176" i="8" a="1"/>
  <c r="T176" i="8"/>
  <c r="AB176" i="8" a="1"/>
  <c r="AB176" i="8"/>
  <c r="I176" i="8" a="1"/>
  <c r="I176" i="8"/>
  <c r="Y176" i="8" a="1"/>
  <c r="Y176" i="8"/>
  <c r="B176" i="8" a="1"/>
  <c r="B176" i="8"/>
  <c r="S176" i="8" a="1"/>
  <c r="S176" i="8"/>
  <c r="X176" i="8" a="1"/>
  <c r="X176" i="8"/>
  <c r="AA176" i="8" a="1"/>
  <c r="AA176" i="8"/>
  <c r="AC176" i="8" a="1"/>
  <c r="AC176" i="8"/>
  <c r="Q176" i="8" a="1"/>
  <c r="Q176" i="8"/>
  <c r="M176" i="8" a="1"/>
  <c r="M176" i="8"/>
  <c r="X132" i="4" a="1"/>
  <c r="X132" i="4"/>
  <c r="R132" i="4" a="1"/>
  <c r="R132" i="4"/>
  <c r="L132" i="4" a="1"/>
  <c r="L132" i="4"/>
  <c r="I132" i="4" a="1"/>
  <c r="I132" i="4"/>
  <c r="S132" i="4" a="1"/>
  <c r="S132" i="4"/>
  <c r="BI24" i="7"/>
  <c r="Q132" i="4" a="1"/>
  <c r="Q132" i="4"/>
  <c r="D132" i="4" a="1"/>
  <c r="D132" i="4"/>
  <c r="J132" i="4" a="1"/>
  <c r="J132" i="4"/>
  <c r="V132" i="4" a="1"/>
  <c r="V132" i="4"/>
  <c r="K133" i="4" a="1"/>
  <c r="K133" i="4"/>
  <c r="U133" i="4" a="1"/>
  <c r="U133" i="4"/>
  <c r="B134" i="4"/>
  <c r="D133" i="4" a="1"/>
  <c r="D133" i="4"/>
  <c r="Y132" i="4" a="1"/>
  <c r="Y132" i="4"/>
  <c r="W132" i="4" a="1"/>
  <c r="W132" i="4"/>
  <c r="AY75" i="7"/>
  <c r="AU75" i="7"/>
  <c r="AW75" i="7"/>
  <c r="AS75" i="7"/>
  <c r="AV75" i="7"/>
  <c r="AX75" i="7"/>
  <c r="AT75" i="7"/>
  <c r="BK22" i="7"/>
  <c r="O132" i="4" a="1"/>
  <c r="O132" i="4"/>
  <c r="T132" i="4" a="1"/>
  <c r="T132" i="4"/>
  <c r="H132" i="4" a="1"/>
  <c r="H132" i="4"/>
  <c r="N132" i="4" a="1"/>
  <c r="N132" i="4"/>
  <c r="F132" i="4" a="1"/>
  <c r="F132" i="4"/>
  <c r="M132" i="4" a="1"/>
  <c r="M132" i="4"/>
  <c r="Z132" i="4" a="1"/>
  <c r="Z132" i="4"/>
  <c r="K132" i="4" a="1"/>
  <c r="K132" i="4"/>
  <c r="U132" i="4" a="1"/>
  <c r="U132" i="4"/>
  <c r="E132" i="4" a="1"/>
  <c r="E132" i="4"/>
  <c r="E133" i="4" a="1"/>
  <c r="E133" i="4"/>
  <c r="J133" i="4" a="1"/>
  <c r="J133" i="4"/>
  <c r="AA133" i="4" a="1"/>
  <c r="AA133" i="4"/>
  <c r="H176" i="8" a="1"/>
  <c r="H176" i="8"/>
  <c r="H168" i="8" a="1"/>
  <c r="H168" i="8"/>
  <c r="V176" i="8" a="1"/>
  <c r="V176" i="8"/>
  <c r="J168" i="8" a="1"/>
  <c r="J168" i="8"/>
  <c r="N133" i="4" a="1"/>
  <c r="N133" i="4"/>
  <c r="B135" i="4"/>
  <c r="W133" i="4" a="1"/>
  <c r="W133" i="4"/>
  <c r="P176" i="8" a="1"/>
  <c r="P176" i="8"/>
  <c r="C176" i="8" a="1"/>
  <c r="C176" i="8"/>
  <c r="V133" i="4" a="1"/>
  <c r="V133" i="4"/>
  <c r="R133" i="4" a="1"/>
  <c r="R133" i="4"/>
  <c r="S133" i="4" a="1"/>
  <c r="S133" i="4"/>
  <c r="K176" i="8" a="1"/>
  <c r="K176" i="8"/>
  <c r="M133" i="4" a="1"/>
  <c r="M133" i="4"/>
  <c r="I133" i="4" a="1"/>
  <c r="I133" i="4"/>
  <c r="O133" i="4" a="1"/>
  <c r="O133" i="4"/>
  <c r="BK24" i="7"/>
  <c r="K168" i="8" a="1"/>
  <c r="K168" i="8"/>
  <c r="R168" i="8" a="1"/>
  <c r="R168" i="8"/>
  <c r="BI25" i="7"/>
  <c r="U176" i="8" a="1"/>
  <c r="U176" i="8"/>
  <c r="T133" i="4" a="1"/>
  <c r="T133" i="4"/>
  <c r="G133" i="4" a="1"/>
  <c r="G133" i="4"/>
  <c r="H133" i="4" a="1"/>
  <c r="H133" i="4"/>
  <c r="F133" i="4" a="1"/>
  <c r="F133" i="4"/>
  <c r="Y133" i="4" a="1"/>
  <c r="Y133" i="4"/>
  <c r="C133" i="4" a="1"/>
  <c r="C133" i="4"/>
  <c r="Q134" i="4" a="1"/>
  <c r="Q134" i="4"/>
  <c r="N176" i="8" a="1"/>
  <c r="N176" i="8"/>
  <c r="AW76" i="7"/>
  <c r="AX76" i="7"/>
  <c r="AS76" i="7"/>
  <c r="AU76" i="7"/>
  <c r="AT76" i="7"/>
  <c r="AV76" i="7"/>
  <c r="AY76" i="7"/>
  <c r="Z133" i="4" a="1"/>
  <c r="Z133" i="4"/>
  <c r="L133" i="4" a="1"/>
  <c r="L133" i="4"/>
  <c r="D176" i="8" a="1"/>
  <c r="D176" i="8"/>
  <c r="U168" i="8" a="1"/>
  <c r="U168" i="8"/>
  <c r="Q133" i="4" a="1"/>
  <c r="Q133" i="4"/>
  <c r="X133" i="4" a="1"/>
  <c r="X133" i="4"/>
  <c r="P133" i="4" a="1"/>
  <c r="P133" i="4"/>
  <c r="G176" i="8" a="1"/>
  <c r="G176" i="8"/>
  <c r="T168" i="8" a="1"/>
  <c r="T168" i="8"/>
  <c r="AC168" i="8" a="1"/>
  <c r="AC168" i="8"/>
  <c r="X135" i="4" a="1"/>
  <c r="X135" i="4"/>
  <c r="G134" i="4" a="1"/>
  <c r="G134" i="4"/>
  <c r="V134" i="4" a="1"/>
  <c r="V134" i="4"/>
  <c r="K134" i="4" a="1"/>
  <c r="K134" i="4"/>
  <c r="D134" i="4" a="1"/>
  <c r="D134" i="4"/>
  <c r="Q168" i="8" a="1"/>
  <c r="Q168" i="8"/>
  <c r="X168" i="8" a="1"/>
  <c r="X168" i="8"/>
  <c r="Y134" i="4" a="1"/>
  <c r="Y134" i="4"/>
  <c r="F135" i="4" a="1"/>
  <c r="F135" i="4"/>
  <c r="W135" i="4" a="1"/>
  <c r="W135" i="4"/>
  <c r="B136" i="4"/>
  <c r="R135" i="4" a="1"/>
  <c r="R135" i="4"/>
  <c r="AB168" i="8" a="1"/>
  <c r="AB168" i="8"/>
  <c r="M168" i="8" a="1"/>
  <c r="M168" i="8"/>
  <c r="P134" i="4" a="1"/>
  <c r="P134" i="4"/>
  <c r="H134" i="4" a="1"/>
  <c r="H134" i="4"/>
  <c r="W134" i="4" a="1"/>
  <c r="W134" i="4"/>
  <c r="Z168" i="8" a="1"/>
  <c r="Z168" i="8"/>
  <c r="L168" i="8" a="1"/>
  <c r="L168" i="8"/>
  <c r="E168" i="8" a="1"/>
  <c r="E168" i="8"/>
  <c r="J134" i="4" a="1"/>
  <c r="J134" i="4"/>
  <c r="Z134" i="4" a="1"/>
  <c r="Z134" i="4"/>
  <c r="N134" i="4" a="1"/>
  <c r="N134" i="4"/>
  <c r="V168" i="8" a="1"/>
  <c r="V168" i="8"/>
  <c r="W168" i="8" a="1"/>
  <c r="W168" i="8"/>
  <c r="U134" i="4" a="1"/>
  <c r="U134" i="4"/>
  <c r="O168" i="8" a="1"/>
  <c r="O168" i="8"/>
  <c r="X134" i="4" a="1"/>
  <c r="X134" i="4"/>
  <c r="AA134" i="4" a="1"/>
  <c r="AA134" i="4"/>
  <c r="D168" i="8" a="1"/>
  <c r="D168" i="8"/>
  <c r="G168" i="8" a="1"/>
  <c r="G168" i="8"/>
  <c r="B168" i="8" a="1"/>
  <c r="B168" i="8"/>
  <c r="BI26" i="7"/>
  <c r="BK26" i="7"/>
  <c r="O134" i="4" a="1"/>
  <c r="O134" i="4"/>
  <c r="C134" i="4" a="1"/>
  <c r="C134" i="4"/>
  <c r="R134" i="4" a="1"/>
  <c r="R134" i="4"/>
  <c r="AU77" i="7"/>
  <c r="AV77" i="7"/>
  <c r="AY77" i="7"/>
  <c r="AS77" i="7"/>
  <c r="AT77" i="7"/>
  <c r="AW77" i="7"/>
  <c r="AX77" i="7"/>
  <c r="I168" i="8" a="1"/>
  <c r="I168" i="8"/>
  <c r="AA168" i="8" a="1"/>
  <c r="AA168" i="8"/>
  <c r="S134" i="4" a="1"/>
  <c r="S134" i="4"/>
  <c r="I134" i="4" a="1"/>
  <c r="I134" i="4"/>
  <c r="F168" i="8" a="1"/>
  <c r="F168" i="8"/>
  <c r="S168" i="8" a="1"/>
  <c r="S168" i="8"/>
  <c r="L134" i="4" a="1"/>
  <c r="L134" i="4"/>
  <c r="Y168" i="8" a="1"/>
  <c r="Y168" i="8"/>
  <c r="C168" i="8" a="1"/>
  <c r="C168" i="8"/>
  <c r="N168" i="8" a="1"/>
  <c r="N168" i="8"/>
  <c r="BK25" i="7"/>
  <c r="P168" i="8" a="1"/>
  <c r="P168" i="8"/>
  <c r="E134" i="4" a="1"/>
  <c r="E134" i="4"/>
  <c r="F134" i="4" a="1"/>
  <c r="F134" i="4"/>
  <c r="T134" i="4" a="1"/>
  <c r="T134" i="4"/>
  <c r="M134" i="4" a="1"/>
  <c r="M134" i="4"/>
  <c r="AL158" i="9" a="1"/>
  <c r="AL158" i="9"/>
  <c r="AU78" i="7"/>
  <c r="AV78" i="7"/>
  <c r="AY78" i="7"/>
  <c r="AS78" i="7"/>
  <c r="AT78" i="7"/>
  <c r="AW78" i="7"/>
  <c r="AX78" i="7"/>
  <c r="T158" i="9" a="1"/>
  <c r="T158" i="9"/>
  <c r="AA135" i="4" a="1"/>
  <c r="AA135" i="4"/>
  <c r="N135" i="4" a="1"/>
  <c r="N135" i="4"/>
  <c r="AD158" i="9" a="1"/>
  <c r="AD158" i="9"/>
  <c r="G135" i="4" a="1"/>
  <c r="G135" i="4"/>
  <c r="E135" i="4" a="1"/>
  <c r="E135" i="4"/>
  <c r="T135" i="4" a="1"/>
  <c r="T135" i="4"/>
  <c r="AJ158" i="9" a="1"/>
  <c r="AJ158" i="9"/>
  <c r="Z135" i="4" a="1"/>
  <c r="Z135" i="4"/>
  <c r="V135" i="4" a="1"/>
  <c r="V135" i="4"/>
  <c r="P135" i="4" a="1"/>
  <c r="P135" i="4"/>
  <c r="Q135" i="4" a="1"/>
  <c r="Q135" i="4"/>
  <c r="M135" i="4" a="1"/>
  <c r="M135" i="4"/>
  <c r="L135" i="4" a="1"/>
  <c r="L135" i="4"/>
  <c r="I158" i="9" a="1"/>
  <c r="I158" i="9"/>
  <c r="O158" i="9" a="1"/>
  <c r="O158" i="9"/>
  <c r="W158" i="9" a="1"/>
  <c r="W158" i="9"/>
  <c r="AZ158" i="9" a="1"/>
  <c r="AZ158" i="9"/>
  <c r="X158" i="9" a="1"/>
  <c r="X158" i="9"/>
  <c r="BI27" i="7"/>
  <c r="I135" i="4" a="1"/>
  <c r="I135" i="4"/>
  <c r="S135" i="4" a="1"/>
  <c r="S135" i="4"/>
  <c r="Y135" i="4" a="1"/>
  <c r="Y135" i="4"/>
  <c r="H135" i="4" a="1"/>
  <c r="H135" i="4"/>
  <c r="Z158" i="9" a="1"/>
  <c r="Z158" i="9"/>
  <c r="Q158" i="9" a="1"/>
  <c r="Q158" i="9"/>
  <c r="U135" i="4" a="1"/>
  <c r="U135" i="4"/>
  <c r="J135" i="4" a="1"/>
  <c r="J135" i="4"/>
  <c r="K135" i="4" a="1"/>
  <c r="K135" i="4"/>
  <c r="D135" i="4" a="1"/>
  <c r="D135" i="4"/>
  <c r="AA158" i="9" a="1"/>
  <c r="AA158" i="9"/>
  <c r="Y158" i="9" a="1"/>
  <c r="Y158" i="9"/>
  <c r="C135" i="4" a="1"/>
  <c r="C135" i="4"/>
  <c r="O136" i="4" a="1"/>
  <c r="O136" i="4"/>
  <c r="B137" i="4"/>
  <c r="S136" i="4" a="1"/>
  <c r="S136" i="4"/>
  <c r="R136" i="4" a="1"/>
  <c r="R136" i="4"/>
  <c r="O135" i="4" a="1"/>
  <c r="O135" i="4"/>
  <c r="D158" i="9" a="1"/>
  <c r="D158" i="9"/>
  <c r="Y136" i="4" a="1"/>
  <c r="Y136" i="4"/>
  <c r="T136" i="4" a="1"/>
  <c r="T136" i="4"/>
  <c r="L136" i="4" a="1"/>
  <c r="L136" i="4"/>
  <c r="V136" i="4" a="1"/>
  <c r="V136" i="4"/>
  <c r="M158" i="9" a="1"/>
  <c r="M158" i="9"/>
  <c r="L158" i="9" a="1"/>
  <c r="L158" i="9"/>
  <c r="F158" i="9" a="1"/>
  <c r="F158" i="9"/>
  <c r="G158" i="9" a="1"/>
  <c r="G158" i="9"/>
  <c r="AE158" i="9" a="1"/>
  <c r="AE158" i="9"/>
  <c r="H158" i="9" a="1"/>
  <c r="H158" i="9"/>
  <c r="AI158" i="9" a="1"/>
  <c r="AI158" i="9"/>
  <c r="X136" i="4" a="1"/>
  <c r="X136" i="4"/>
  <c r="P136" i="4" a="1"/>
  <c r="P136" i="4"/>
  <c r="D136" i="4" a="1"/>
  <c r="D136" i="4"/>
  <c r="AN158" i="9" a="1"/>
  <c r="AN158" i="9"/>
  <c r="S158" i="9" a="1"/>
  <c r="S158" i="9"/>
  <c r="AK158" i="9" a="1"/>
  <c r="AK158" i="9"/>
  <c r="R158" i="9" a="1"/>
  <c r="R158" i="9"/>
  <c r="AF158" i="9" a="1"/>
  <c r="AF158" i="9"/>
  <c r="M136" i="4" a="1"/>
  <c r="M136" i="4"/>
  <c r="W136" i="4" a="1"/>
  <c r="W136" i="4"/>
  <c r="Q136" i="4" a="1"/>
  <c r="Q136" i="4"/>
  <c r="V158" i="9" a="1"/>
  <c r="V158" i="9"/>
  <c r="K158" i="9" a="1"/>
  <c r="K158" i="9"/>
  <c r="AO158" i="9" a="1"/>
  <c r="AO158" i="9"/>
  <c r="E136" i="4" a="1"/>
  <c r="E136" i="4"/>
  <c r="C136" i="4" a="1"/>
  <c r="C136" i="4"/>
  <c r="K136" i="4" a="1"/>
  <c r="K136" i="4"/>
  <c r="G136" i="4" a="1"/>
  <c r="G136" i="4"/>
  <c r="C158" i="9" a="1"/>
  <c r="C158" i="9"/>
  <c r="AC158" i="9" a="1"/>
  <c r="AC158" i="9"/>
  <c r="J158" i="9" a="1"/>
  <c r="J158" i="9"/>
  <c r="F136" i="4" a="1"/>
  <c r="F136" i="4"/>
  <c r="AA136" i="4" a="1"/>
  <c r="AA136" i="4"/>
  <c r="J137" i="4" a="1"/>
  <c r="J137" i="4"/>
  <c r="O137" i="4" a="1"/>
  <c r="O137" i="4"/>
  <c r="B138" i="4"/>
  <c r="Q137" i="4" a="1"/>
  <c r="Q137" i="4"/>
  <c r="H136" i="4" a="1"/>
  <c r="H136" i="4"/>
  <c r="BI28" i="7"/>
  <c r="AM158" i="9" a="1"/>
  <c r="AM158" i="9"/>
  <c r="U158" i="9" a="1"/>
  <c r="U158" i="9"/>
  <c r="B158" i="9" a="1"/>
  <c r="B158" i="9"/>
  <c r="AH158" i="9" a="1"/>
  <c r="AH158" i="9"/>
  <c r="N158" i="9" a="1"/>
  <c r="N158" i="9"/>
  <c r="N136" i="4" a="1"/>
  <c r="N136" i="4"/>
  <c r="J136" i="4" a="1"/>
  <c r="J136" i="4"/>
  <c r="P158" i="9" a="1"/>
  <c r="P158" i="9"/>
  <c r="E158" i="9" a="1"/>
  <c r="E158" i="9"/>
  <c r="AG158" i="9" a="1"/>
  <c r="AG158" i="9"/>
  <c r="I136" i="4" a="1"/>
  <c r="I136" i="4"/>
  <c r="U136" i="4" a="1"/>
  <c r="U136" i="4"/>
  <c r="Z136" i="4" a="1"/>
  <c r="Z136" i="4"/>
  <c r="AB158" i="9" a="1"/>
  <c r="AB158" i="9"/>
  <c r="AP158" i="9" a="1"/>
  <c r="AP158" i="9"/>
  <c r="AU79" i="7"/>
  <c r="AV79" i="7"/>
  <c r="AY79" i="7"/>
  <c r="AS79" i="7"/>
  <c r="AT79" i="7"/>
  <c r="AW79" i="7"/>
  <c r="AX79" i="7"/>
  <c r="E137" i="4" a="1"/>
  <c r="E137" i="4"/>
  <c r="K137" i="4" a="1"/>
  <c r="K137" i="4"/>
  <c r="F137" i="4" a="1"/>
  <c r="F137" i="4"/>
  <c r="Y137" i="4" a="1"/>
  <c r="Y137" i="4"/>
  <c r="G137" i="4" a="1"/>
  <c r="G137" i="4"/>
  <c r="X137" i="4" a="1"/>
  <c r="X137" i="4"/>
  <c r="C138" i="4" a="1"/>
  <c r="C138" i="4"/>
  <c r="AU80" i="7"/>
  <c r="AV80" i="7"/>
  <c r="AY80" i="7"/>
  <c r="AS80" i="7"/>
  <c r="AT80" i="7"/>
  <c r="AW80" i="7"/>
  <c r="AX80" i="7"/>
  <c r="M137" i="4" a="1"/>
  <c r="M137" i="4"/>
  <c r="C137" i="4" a="1"/>
  <c r="C137" i="4"/>
  <c r="T137" i="4" a="1"/>
  <c r="T137" i="4"/>
  <c r="P137" i="4" a="1"/>
  <c r="P137" i="4"/>
  <c r="AA137" i="4" a="1"/>
  <c r="AA137" i="4"/>
  <c r="Z137" i="4" a="1"/>
  <c r="Z137" i="4"/>
  <c r="BK28" i="7"/>
  <c r="L137" i="4" a="1"/>
  <c r="L137" i="4"/>
  <c r="I137" i="4" a="1"/>
  <c r="I137" i="4"/>
  <c r="W137" i="4" a="1"/>
  <c r="W137" i="4"/>
  <c r="R137" i="4" a="1"/>
  <c r="R137" i="4"/>
  <c r="H137" i="4" a="1"/>
  <c r="H137" i="4"/>
  <c r="BI29" i="7"/>
  <c r="W138" i="4" a="1"/>
  <c r="W138" i="4"/>
  <c r="H138" i="4" a="1"/>
  <c r="H138" i="4"/>
  <c r="U138" i="4" a="1"/>
  <c r="U138" i="4"/>
  <c r="B139" i="4"/>
  <c r="V137" i="4" a="1"/>
  <c r="V137" i="4"/>
  <c r="U137" i="4" a="1"/>
  <c r="U137" i="4"/>
  <c r="S137" i="4" a="1"/>
  <c r="S137" i="4"/>
  <c r="N137" i="4" a="1"/>
  <c r="N137" i="4"/>
  <c r="D137" i="4" a="1"/>
  <c r="D137" i="4"/>
  <c r="BK29" i="7"/>
  <c r="G169" i="8" a="1"/>
  <c r="G169" i="8"/>
  <c r="T138" i="4" a="1"/>
  <c r="T138" i="4"/>
  <c r="V138" i="4" a="1"/>
  <c r="V138" i="4"/>
  <c r="S138" i="4" a="1"/>
  <c r="S138" i="4"/>
  <c r="L169" i="8" a="1"/>
  <c r="L169" i="8"/>
  <c r="Q138" i="4" a="1"/>
  <c r="Q138" i="4"/>
  <c r="N138" i="4" a="1"/>
  <c r="N138" i="4"/>
  <c r="O138" i="4" a="1"/>
  <c r="O138" i="4"/>
  <c r="O139" i="4" a="1"/>
  <c r="O139" i="4"/>
  <c r="B140" i="4"/>
  <c r="O140" i="4" a="1"/>
  <c r="O140" i="4"/>
  <c r="B141" i="4"/>
  <c r="O141" i="4" a="1"/>
  <c r="O141" i="4"/>
  <c r="B142" i="4"/>
  <c r="O142" i="4" a="1"/>
  <c r="O142" i="4"/>
  <c r="B143" i="4"/>
  <c r="O143" i="4" a="1"/>
  <c r="O143" i="4"/>
  <c r="B144" i="4"/>
  <c r="O144" i="4" a="1"/>
  <c r="O144" i="4"/>
  <c r="B145" i="4"/>
  <c r="O145" i="4" a="1"/>
  <c r="O145" i="4"/>
  <c r="O112" i="4" a="1"/>
  <c r="O112" i="4"/>
  <c r="N23" i="4"/>
  <c r="I139" i="4" a="1"/>
  <c r="I139" i="4"/>
  <c r="D138" i="4" a="1"/>
  <c r="D138" i="4"/>
  <c r="F138" i="4" a="1"/>
  <c r="F138" i="4"/>
  <c r="K138" i="4" a="1"/>
  <c r="K138" i="4"/>
  <c r="AU81" i="7"/>
  <c r="AV81" i="7"/>
  <c r="AY81" i="7"/>
  <c r="AS81" i="7"/>
  <c r="AT81" i="7"/>
  <c r="AW81" i="7"/>
  <c r="AX81" i="7"/>
  <c r="Z138" i="4" a="1"/>
  <c r="Z138" i="4"/>
  <c r="T169" i="8" a="1"/>
  <c r="T169" i="8"/>
  <c r="Y169" i="8" a="1"/>
  <c r="Y169" i="8"/>
  <c r="L138" i="4" a="1"/>
  <c r="L138" i="4"/>
  <c r="AC169" i="8" a="1"/>
  <c r="AC169" i="8"/>
  <c r="D169" i="8" a="1"/>
  <c r="D169" i="8"/>
  <c r="I138" i="4" a="1"/>
  <c r="I138" i="4"/>
  <c r="G138" i="4" a="1"/>
  <c r="G138" i="4"/>
  <c r="BI30" i="7"/>
  <c r="BK30" i="7"/>
  <c r="M138" i="4" a="1"/>
  <c r="M138" i="4"/>
  <c r="E138" i="4" a="1"/>
  <c r="E138" i="4"/>
  <c r="X138" i="4" a="1"/>
  <c r="X138" i="4"/>
  <c r="J138" i="4" a="1"/>
  <c r="J138" i="4"/>
  <c r="Q169" i="8" a="1"/>
  <c r="Q169" i="8"/>
  <c r="Y138" i="4" a="1"/>
  <c r="Y138" i="4"/>
  <c r="R138" i="4" a="1"/>
  <c r="R138" i="4"/>
  <c r="U139" i="4" a="1"/>
  <c r="U139" i="4"/>
  <c r="AA139" i="4" a="1"/>
  <c r="AA139" i="4"/>
  <c r="R139" i="4" a="1"/>
  <c r="R139" i="4"/>
  <c r="P138" i="4" a="1"/>
  <c r="P138" i="4"/>
  <c r="AA138" i="4" a="1"/>
  <c r="AA138" i="4"/>
  <c r="AB169" i="8" a="1"/>
  <c r="AB169" i="8"/>
  <c r="K139" i="4" a="1"/>
  <c r="K139" i="4"/>
  <c r="V169" i="8" a="1"/>
  <c r="V169" i="8"/>
  <c r="F169" i="8" a="1"/>
  <c r="F169" i="8"/>
  <c r="M139" i="4" a="1"/>
  <c r="M139" i="4"/>
  <c r="B150" i="7"/>
  <c r="C150" i="7"/>
  <c r="P139" i="4" a="1"/>
  <c r="P139" i="4"/>
  <c r="X169" i="8" a="1"/>
  <c r="X169" i="8"/>
  <c r="V139" i="4" a="1"/>
  <c r="V139" i="4"/>
  <c r="G139" i="4" a="1"/>
  <c r="G139" i="4"/>
  <c r="J139" i="4" a="1"/>
  <c r="J139" i="4"/>
  <c r="H139" i="4" a="1"/>
  <c r="H139" i="4"/>
  <c r="C139" i="4" a="1"/>
  <c r="C139" i="4"/>
  <c r="R169" i="8" a="1"/>
  <c r="R169" i="8"/>
  <c r="U169" i="8" a="1"/>
  <c r="U169" i="8"/>
  <c r="I164" i="9" a="1"/>
  <c r="I164" i="9"/>
  <c r="AO164" i="9" a="1"/>
  <c r="AO164" i="9"/>
  <c r="B164" i="9" a="1"/>
  <c r="B164" i="9"/>
  <c r="J164" i="9" a="1"/>
  <c r="J164" i="9"/>
  <c r="R164" i="9" a="1"/>
  <c r="R164" i="9"/>
  <c r="Z164" i="9" a="1"/>
  <c r="Z164" i="9"/>
  <c r="AH164" i="9" a="1"/>
  <c r="AH164" i="9"/>
  <c r="E164" i="9" a="1"/>
  <c r="E164" i="9"/>
  <c r="M164" i="9" a="1"/>
  <c r="M164" i="9"/>
  <c r="AC164" i="9" a="1"/>
  <c r="AC164" i="9"/>
  <c r="AK164" i="9" a="1"/>
  <c r="AK164" i="9"/>
  <c r="W164" i="9" a="1"/>
  <c r="W164" i="9"/>
  <c r="AE164" i="9" a="1"/>
  <c r="AE164" i="9"/>
  <c r="AM164" i="9" a="1"/>
  <c r="AM164" i="9"/>
  <c r="AD164" i="9" a="1"/>
  <c r="AD164" i="9"/>
  <c r="P164" i="9" a="1"/>
  <c r="P164" i="9"/>
  <c r="AF164" i="9" a="1"/>
  <c r="AF164" i="9"/>
  <c r="F164" i="9" a="1"/>
  <c r="F164" i="9"/>
  <c r="V164" i="9" a="1"/>
  <c r="V164" i="9"/>
  <c r="AL164" i="9" a="1"/>
  <c r="AL164" i="9"/>
  <c r="AA164" i="9" a="1"/>
  <c r="AA164" i="9"/>
  <c r="AI164" i="9" a="1"/>
  <c r="AI164" i="9"/>
  <c r="AJ164" i="9" a="1"/>
  <c r="AJ164" i="9"/>
  <c r="S164" i="9" a="1"/>
  <c r="S164" i="9"/>
  <c r="AZ164" i="9" a="1"/>
  <c r="AZ164" i="9"/>
  <c r="X164" i="9" a="1"/>
  <c r="X164" i="9"/>
  <c r="T164" i="9" a="1"/>
  <c r="T164" i="9"/>
  <c r="L164" i="9" a="1"/>
  <c r="L164" i="9"/>
  <c r="AB164" i="9" a="1"/>
  <c r="AB164" i="9"/>
  <c r="X139" i="4" a="1"/>
  <c r="X139" i="4"/>
  <c r="N139" i="4" a="1"/>
  <c r="N139" i="4"/>
  <c r="E139" i="4" a="1"/>
  <c r="E139" i="4"/>
  <c r="L139" i="4" a="1"/>
  <c r="L139" i="4"/>
  <c r="F139" i="4" a="1"/>
  <c r="F139" i="4"/>
  <c r="D139" i="4" a="1"/>
  <c r="D139" i="4"/>
  <c r="Y139" i="4" a="1"/>
  <c r="Y139" i="4"/>
  <c r="Z169" i="8" a="1"/>
  <c r="Z169" i="8"/>
  <c r="O169" i="8" a="1"/>
  <c r="O169" i="8"/>
  <c r="J169" i="8" a="1"/>
  <c r="J169" i="8"/>
  <c r="M169" i="8" a="1"/>
  <c r="M169" i="8"/>
  <c r="E169" i="8" a="1"/>
  <c r="E169" i="8"/>
  <c r="Q164" i="9" a="1"/>
  <c r="Q164" i="9"/>
  <c r="Z139" i="4" a="1"/>
  <c r="Z139" i="4"/>
  <c r="W139" i="4" a="1"/>
  <c r="W139" i="4"/>
  <c r="Q139" i="4" a="1"/>
  <c r="Q139" i="4"/>
  <c r="B169" i="8" a="1"/>
  <c r="B169" i="8"/>
  <c r="K169" i="8" a="1"/>
  <c r="K169" i="8"/>
  <c r="AU82" i="7"/>
  <c r="AV82" i="7"/>
  <c r="AY82" i="7"/>
  <c r="AS82" i="7"/>
  <c r="AT82" i="7"/>
  <c r="AW82" i="7"/>
  <c r="AX82" i="7"/>
  <c r="S169" i="8" a="1"/>
  <c r="S169" i="8"/>
  <c r="AA169" i="8" a="1"/>
  <c r="AA169" i="8"/>
  <c r="S139" i="4" a="1"/>
  <c r="S139" i="4"/>
  <c r="BI31" i="7"/>
  <c r="H169" i="8" a="1"/>
  <c r="H169" i="8"/>
  <c r="W169" i="8" a="1"/>
  <c r="W169" i="8"/>
  <c r="P140" i="4" a="1"/>
  <c r="P140" i="4"/>
  <c r="S140" i="4" a="1"/>
  <c r="S140" i="4"/>
  <c r="N140" i="4" a="1"/>
  <c r="N140" i="4"/>
  <c r="T139" i="4" a="1"/>
  <c r="T139" i="4"/>
  <c r="I169" i="8" a="1"/>
  <c r="I169" i="8"/>
  <c r="N169" i="8" a="1"/>
  <c r="N169" i="8"/>
  <c r="P169" i="8" a="1"/>
  <c r="P169" i="8"/>
  <c r="C169" i="8" a="1"/>
  <c r="C169" i="8"/>
  <c r="N159" i="9" a="1"/>
  <c r="N159" i="9"/>
  <c r="J140" i="4" a="1"/>
  <c r="J140" i="4"/>
  <c r="K140" i="4" a="1"/>
  <c r="K140" i="4"/>
  <c r="L140" i="4" a="1"/>
  <c r="L140" i="4"/>
  <c r="AZ159" i="9" a="1"/>
  <c r="AZ159" i="9"/>
  <c r="AG164" i="9" a="1"/>
  <c r="AG164" i="9"/>
  <c r="C140" i="4" a="1"/>
  <c r="C140" i="4"/>
  <c r="AO159" i="9" a="1"/>
  <c r="AO159" i="9"/>
  <c r="O164" i="9" a="1"/>
  <c r="O164" i="9"/>
  <c r="AP164" i="9" a="1"/>
  <c r="AP164" i="9"/>
  <c r="Y164" i="9" a="1"/>
  <c r="Y164" i="9"/>
  <c r="R140" i="4" a="1"/>
  <c r="R140" i="4"/>
  <c r="Y140" i="4" a="1"/>
  <c r="Y140" i="4"/>
  <c r="W140" i="4" a="1"/>
  <c r="W140" i="4"/>
  <c r="D140" i="4" a="1"/>
  <c r="D140" i="4"/>
  <c r="AW83" i="7"/>
  <c r="AX83" i="7"/>
  <c r="AS83" i="7"/>
  <c r="AU83" i="7"/>
  <c r="AT83" i="7"/>
  <c r="AV83" i="7"/>
  <c r="AY83" i="7"/>
  <c r="J159" i="9" a="1"/>
  <c r="J159" i="9"/>
  <c r="Z159" i="9" a="1"/>
  <c r="Z159" i="9"/>
  <c r="D164" i="9" a="1"/>
  <c r="D164" i="9"/>
  <c r="G164" i="9" a="1"/>
  <c r="G164" i="9"/>
  <c r="I140" i="4" a="1"/>
  <c r="I140" i="4"/>
  <c r="M140" i="4" a="1"/>
  <c r="M140" i="4"/>
  <c r="AN164" i="9" a="1"/>
  <c r="AN164" i="9"/>
  <c r="C164" i="9" a="1"/>
  <c r="C164" i="9"/>
  <c r="H140" i="4" a="1"/>
  <c r="H140" i="4"/>
  <c r="H164" i="9" a="1"/>
  <c r="H164" i="9"/>
  <c r="E159" i="9" a="1"/>
  <c r="E159" i="9"/>
  <c r="M159" i="9" a="1"/>
  <c r="M159" i="9"/>
  <c r="AC159" i="9" a="1"/>
  <c r="AC159" i="9"/>
  <c r="AK159" i="9" a="1"/>
  <c r="AK159" i="9"/>
  <c r="V159" i="9" a="1"/>
  <c r="V159" i="9"/>
  <c r="AD159" i="9" a="1"/>
  <c r="AD159" i="9"/>
  <c r="I159" i="9" a="1"/>
  <c r="I159" i="9"/>
  <c r="Q159" i="9" a="1"/>
  <c r="Q159" i="9"/>
  <c r="Y159" i="9" a="1"/>
  <c r="Y159" i="9"/>
  <c r="AG159" i="9" a="1"/>
  <c r="AG159" i="9"/>
  <c r="S159" i="9" a="1"/>
  <c r="S159" i="9"/>
  <c r="AA159" i="9" a="1"/>
  <c r="AA159" i="9"/>
  <c r="AI159" i="9" a="1"/>
  <c r="AI159" i="9"/>
  <c r="B159" i="9" a="1"/>
  <c r="B159" i="9"/>
  <c r="R159" i="9" a="1"/>
  <c r="R159" i="9"/>
  <c r="AH159" i="9" a="1"/>
  <c r="AH159" i="9"/>
  <c r="T159" i="9" a="1"/>
  <c r="T159" i="9"/>
  <c r="AJ159" i="9" a="1"/>
  <c r="AJ159" i="9"/>
  <c r="AP159" i="9" a="1"/>
  <c r="AP159" i="9"/>
  <c r="O159" i="9" a="1"/>
  <c r="O159" i="9"/>
  <c r="AE159" i="9" a="1"/>
  <c r="AE159" i="9"/>
  <c r="P159" i="9" a="1"/>
  <c r="P159" i="9"/>
  <c r="AF159" i="9" a="1"/>
  <c r="AF159" i="9"/>
  <c r="AN159" i="9" a="1"/>
  <c r="AN159" i="9"/>
  <c r="AM159" i="9" a="1"/>
  <c r="AM159" i="9"/>
  <c r="X159" i="9" a="1"/>
  <c r="X159" i="9"/>
  <c r="L159" i="9" a="1"/>
  <c r="L159" i="9"/>
  <c r="AB159" i="9" a="1"/>
  <c r="AB159" i="9"/>
  <c r="BI32" i="7"/>
  <c r="BK32" i="7"/>
  <c r="F140" i="4" a="1"/>
  <c r="F140" i="4"/>
  <c r="E140" i="4" a="1"/>
  <c r="E140" i="4"/>
  <c r="X140" i="4" a="1"/>
  <c r="X140" i="4"/>
  <c r="BK31" i="7"/>
  <c r="N164" i="9" a="1"/>
  <c r="N164" i="9"/>
  <c r="Q140" i="4" a="1"/>
  <c r="Q140" i="4"/>
  <c r="U140" i="4" a="1"/>
  <c r="U140" i="4"/>
  <c r="AL159" i="9" a="1"/>
  <c r="AL159" i="9"/>
  <c r="Z140" i="4" a="1"/>
  <c r="Z140" i="4"/>
  <c r="G140" i="4" a="1"/>
  <c r="G140" i="4"/>
  <c r="V140" i="4" a="1"/>
  <c r="V140" i="4"/>
  <c r="AA140" i="4" a="1"/>
  <c r="AA140" i="4"/>
  <c r="T140" i="4" a="1"/>
  <c r="T140" i="4"/>
  <c r="K164" i="9" a="1"/>
  <c r="K164" i="9"/>
  <c r="U164" i="9" a="1"/>
  <c r="U164" i="9"/>
  <c r="F159" i="9" a="1"/>
  <c r="F159" i="9"/>
  <c r="X141" i="4" a="1"/>
  <c r="X141" i="4"/>
  <c r="B195" i="7"/>
  <c r="T141" i="4" a="1"/>
  <c r="T141" i="4"/>
  <c r="N141" i="4" a="1"/>
  <c r="N141" i="4"/>
  <c r="Q142" i="4" a="1"/>
  <c r="Q142" i="4"/>
  <c r="J142" i="4" a="1"/>
  <c r="J142" i="4"/>
  <c r="R141" i="4" a="1"/>
  <c r="R141" i="4"/>
  <c r="BI33" i="7"/>
  <c r="Y141" i="4" a="1"/>
  <c r="Y141" i="4"/>
  <c r="P141" i="4" a="1"/>
  <c r="P141" i="4"/>
  <c r="J141" i="4" a="1"/>
  <c r="J141" i="4"/>
  <c r="W159" i="9" a="1"/>
  <c r="W159" i="9"/>
  <c r="U159" i="9" a="1"/>
  <c r="U159" i="9"/>
  <c r="S141" i="4" a="1"/>
  <c r="S141" i="4"/>
  <c r="U141" i="4" a="1"/>
  <c r="U141" i="4"/>
  <c r="L141" i="4" a="1"/>
  <c r="L141" i="4"/>
  <c r="F141" i="4" a="1"/>
  <c r="F141" i="4"/>
  <c r="H141" i="4" a="1"/>
  <c r="H141" i="4"/>
  <c r="C159" i="9" a="1"/>
  <c r="C159" i="9"/>
  <c r="K141" i="4" a="1"/>
  <c r="K141" i="4"/>
  <c r="M141" i="4" a="1"/>
  <c r="M141" i="4"/>
  <c r="D141" i="4" a="1"/>
  <c r="D141" i="4"/>
  <c r="G159" i="9" a="1"/>
  <c r="G159" i="9"/>
  <c r="H159" i="9" a="1"/>
  <c r="H159" i="9"/>
  <c r="K159" i="9" a="1"/>
  <c r="K159" i="9"/>
  <c r="Q141" i="4" a="1"/>
  <c r="Q141" i="4"/>
  <c r="W141" i="4" a="1"/>
  <c r="W141" i="4"/>
  <c r="I141" i="4" a="1"/>
  <c r="I141" i="4"/>
  <c r="Z141" i="4" a="1"/>
  <c r="Z141" i="4"/>
  <c r="G141" i="4" a="1"/>
  <c r="G141" i="4"/>
  <c r="C141" i="4" a="1"/>
  <c r="C141" i="4"/>
  <c r="D159" i="9" a="1"/>
  <c r="D159" i="9"/>
  <c r="AA141" i="4" a="1"/>
  <c r="AA141" i="4"/>
  <c r="E141" i="4" a="1"/>
  <c r="E141" i="4"/>
  <c r="V141" i="4" a="1"/>
  <c r="V141" i="4"/>
  <c r="AR134" i="9"/>
  <c r="AT134" i="9"/>
  <c r="Y142" i="4" a="1"/>
  <c r="Y142" i="4"/>
  <c r="AB177" i="8" a="1"/>
  <c r="AB177" i="8"/>
  <c r="P177" i="8" a="1"/>
  <c r="P177" i="8"/>
  <c r="O177" i="8" a="1"/>
  <c r="O177" i="8"/>
  <c r="Y177" i="8" a="1"/>
  <c r="Y177" i="8"/>
  <c r="R177" i="8" a="1"/>
  <c r="R177" i="8"/>
  <c r="B177" i="8" a="1"/>
  <c r="B177" i="8"/>
  <c r="AA177" i="8" a="1"/>
  <c r="AA177" i="8"/>
  <c r="K142" i="4" a="1"/>
  <c r="K142" i="4"/>
  <c r="X142" i="4" a="1"/>
  <c r="X142" i="4"/>
  <c r="U142" i="4" a="1"/>
  <c r="U142" i="4"/>
  <c r="G143" i="4" a="1"/>
  <c r="G143" i="4"/>
  <c r="W142" i="4" a="1"/>
  <c r="W142" i="4"/>
  <c r="P142" i="4" a="1"/>
  <c r="P142" i="4"/>
  <c r="R142" i="4" a="1"/>
  <c r="R142" i="4"/>
  <c r="Q143" i="4" a="1"/>
  <c r="Q143" i="4"/>
  <c r="Z143" i="4" a="1"/>
  <c r="Z143" i="4"/>
  <c r="C142" i="4" a="1"/>
  <c r="C142" i="4"/>
  <c r="S142" i="4" a="1"/>
  <c r="S142" i="4"/>
  <c r="V142" i="4" a="1"/>
  <c r="V142" i="4"/>
  <c r="T142" i="4" a="1"/>
  <c r="T142" i="4"/>
  <c r="I142" i="4" a="1"/>
  <c r="I142" i="4"/>
  <c r="G177" i="8" a="1"/>
  <c r="G177" i="8"/>
  <c r="BK33" i="7"/>
  <c r="AA142" i="4" a="1"/>
  <c r="AA142" i="4"/>
  <c r="G142" i="4" a="1"/>
  <c r="G142" i="4"/>
  <c r="L142" i="4" a="1"/>
  <c r="L142" i="4"/>
  <c r="E142" i="4" a="1"/>
  <c r="E142" i="4"/>
  <c r="F142" i="4" a="1"/>
  <c r="F142" i="4"/>
  <c r="U177" i="8" a="1"/>
  <c r="U177" i="8"/>
  <c r="H142" i="4" a="1"/>
  <c r="H142" i="4"/>
  <c r="M142" i="4" a="1"/>
  <c r="M142" i="4"/>
  <c r="N142" i="4" a="1"/>
  <c r="N142" i="4"/>
  <c r="Z142" i="4" a="1"/>
  <c r="Z142" i="4"/>
  <c r="D142" i="4" a="1"/>
  <c r="D142" i="4"/>
  <c r="C170" i="8" a="1"/>
  <c r="C170" i="8"/>
  <c r="V143" i="4" a="1"/>
  <c r="V143" i="4"/>
  <c r="M143" i="4" a="1"/>
  <c r="M143" i="4"/>
  <c r="K143" i="4" a="1"/>
  <c r="K143" i="4"/>
  <c r="AC177" i="8" a="1"/>
  <c r="AC177" i="8"/>
  <c r="L177" i="8" a="1"/>
  <c r="L177" i="8"/>
  <c r="X143" i="4" a="1"/>
  <c r="X143" i="4"/>
  <c r="I143" i="4" a="1"/>
  <c r="I143" i="4"/>
  <c r="X177" i="8" a="1"/>
  <c r="X177" i="8"/>
  <c r="S177" i="8" a="1"/>
  <c r="S177" i="8"/>
  <c r="S170" i="8" a="1"/>
  <c r="S170" i="8"/>
  <c r="D177" i="8" a="1"/>
  <c r="D177" i="8"/>
  <c r="R143" i="4" a="1"/>
  <c r="R143" i="4"/>
  <c r="V170" i="8" a="1"/>
  <c r="V170" i="8"/>
  <c r="D143" i="4" a="1"/>
  <c r="D143" i="4"/>
  <c r="N143" i="4" a="1"/>
  <c r="N143" i="4"/>
  <c r="E143" i="4" a="1"/>
  <c r="E143" i="4"/>
  <c r="C143" i="4" a="1"/>
  <c r="C143" i="4"/>
  <c r="S131" i="9"/>
  <c r="K177" i="8" a="1"/>
  <c r="K177" i="8"/>
  <c r="Q177" i="8" a="1"/>
  <c r="Q177" i="8"/>
  <c r="L143" i="4" a="1"/>
  <c r="L143" i="4"/>
  <c r="F177" i="8" a="1"/>
  <c r="F177" i="8"/>
  <c r="I177" i="8" a="1"/>
  <c r="I177" i="8"/>
  <c r="T143" i="4" a="1"/>
  <c r="T143" i="4"/>
  <c r="F143" i="4" a="1"/>
  <c r="F143" i="4"/>
  <c r="AA143" i="4" a="1"/>
  <c r="AA143" i="4"/>
  <c r="C177" i="8" a="1"/>
  <c r="C177" i="8"/>
  <c r="H170" i="8" a="1"/>
  <c r="H170" i="8"/>
  <c r="H177" i="8" a="1"/>
  <c r="H177" i="8"/>
  <c r="P143" i="4" a="1"/>
  <c r="P143" i="4"/>
  <c r="Y143" i="4" a="1"/>
  <c r="Y143" i="4"/>
  <c r="W143" i="4" a="1"/>
  <c r="W143" i="4"/>
  <c r="N177" i="8" a="1"/>
  <c r="N177" i="8"/>
  <c r="M170" i="8" a="1"/>
  <c r="M170" i="8"/>
  <c r="L170" i="8" a="1"/>
  <c r="L170" i="8"/>
  <c r="X170" i="8" a="1"/>
  <c r="X170" i="8"/>
  <c r="Z170" i="8" a="1"/>
  <c r="Z170" i="8"/>
  <c r="E177" i="8" a="1"/>
  <c r="E177" i="8"/>
  <c r="J143" i="4" a="1"/>
  <c r="J143" i="4"/>
  <c r="Z177" i="8" a="1"/>
  <c r="Z177" i="8"/>
  <c r="H143" i="4" a="1"/>
  <c r="H143" i="4"/>
  <c r="U143" i="4" a="1"/>
  <c r="U143" i="4"/>
  <c r="S143" i="4" a="1"/>
  <c r="S143" i="4"/>
  <c r="J177" i="8" a="1"/>
  <c r="J177" i="8"/>
  <c r="W177" i="8" a="1"/>
  <c r="W177" i="8"/>
  <c r="V177" i="8" a="1"/>
  <c r="V177" i="8"/>
  <c r="M177" i="8" a="1"/>
  <c r="M177" i="8"/>
  <c r="T177" i="8" a="1"/>
  <c r="T177" i="8"/>
  <c r="K131" i="9"/>
  <c r="AC131" i="9"/>
  <c r="AI131" i="9"/>
  <c r="H131" i="9"/>
  <c r="AL131" i="9"/>
  <c r="R131" i="9"/>
  <c r="O131" i="9"/>
  <c r="N131" i="9"/>
  <c r="Y131" i="9"/>
  <c r="AJ131" i="9"/>
  <c r="D131" i="9"/>
  <c r="M131" i="9"/>
  <c r="AG131" i="9"/>
  <c r="T131" i="9"/>
  <c r="Z131" i="9"/>
  <c r="AM141" i="9"/>
  <c r="AM142" i="9"/>
  <c r="AB131" i="9"/>
  <c r="F131" i="9"/>
  <c r="AM138" i="9"/>
  <c r="W131" i="9"/>
  <c r="AE131" i="9"/>
  <c r="E131" i="9"/>
  <c r="AM143" i="9"/>
  <c r="V131" i="9"/>
  <c r="B131" i="9"/>
  <c r="AM140" i="9"/>
  <c r="AM131" i="9"/>
  <c r="AM137" i="9"/>
  <c r="AM136" i="9"/>
  <c r="Q131" i="9"/>
  <c r="AM134" i="9"/>
  <c r="B170" i="8" a="1"/>
  <c r="B170" i="8"/>
  <c r="G170" i="8" a="1"/>
  <c r="G170" i="8"/>
  <c r="U116" i="9"/>
  <c r="X138" i="9"/>
  <c r="G116" i="9"/>
  <c r="Q116" i="9"/>
  <c r="X137" i="9"/>
  <c r="X140" i="9"/>
  <c r="S116" i="9"/>
  <c r="L116" i="9"/>
  <c r="D116" i="9"/>
  <c r="C116" i="9"/>
  <c r="T116" i="9"/>
  <c r="M116" i="9"/>
  <c r="X116" i="9"/>
  <c r="X143" i="9"/>
  <c r="K116" i="9"/>
  <c r="X141" i="9"/>
  <c r="E116" i="9"/>
  <c r="X135" i="9"/>
  <c r="X142" i="9"/>
  <c r="F116" i="9"/>
  <c r="W116" i="9"/>
  <c r="X132" i="9"/>
  <c r="X136" i="9"/>
  <c r="B116" i="9"/>
  <c r="H116" i="9"/>
  <c r="N116" i="9"/>
  <c r="S125" i="9"/>
  <c r="S115" i="9"/>
  <c r="I111" i="9"/>
  <c r="S126" i="9"/>
  <c r="G111" i="9"/>
  <c r="D111" i="9"/>
  <c r="S138" i="9"/>
  <c r="P111" i="9"/>
  <c r="S142" i="9"/>
  <c r="S136" i="9"/>
  <c r="Q111" i="9"/>
  <c r="K111" i="9"/>
  <c r="E111" i="9"/>
  <c r="S135" i="9"/>
  <c r="C111" i="9"/>
  <c r="S111" i="9"/>
  <c r="N111" i="9"/>
  <c r="M111" i="9"/>
  <c r="S143" i="9"/>
  <c r="S137" i="9"/>
  <c r="O111" i="9"/>
  <c r="S140" i="9"/>
  <c r="L111" i="9"/>
  <c r="S141" i="9"/>
  <c r="S122" i="9"/>
  <c r="AA123" i="9"/>
  <c r="Y123" i="9"/>
  <c r="G123" i="9"/>
  <c r="AC123" i="9"/>
  <c r="AE137" i="9"/>
  <c r="D123" i="9"/>
  <c r="S123" i="9"/>
  <c r="I123" i="9"/>
  <c r="W123" i="9"/>
  <c r="E123" i="9"/>
  <c r="R123" i="9"/>
  <c r="O123" i="9"/>
  <c r="U123" i="9"/>
  <c r="H123" i="9"/>
  <c r="Z123" i="9"/>
  <c r="P123" i="9"/>
  <c r="AD123" i="9"/>
  <c r="F123" i="9"/>
  <c r="V123" i="9"/>
  <c r="N123" i="9"/>
  <c r="K123" i="9"/>
  <c r="X123" i="9"/>
  <c r="C123" i="9"/>
  <c r="AE141" i="9"/>
  <c r="AE136" i="9"/>
  <c r="AE140" i="9"/>
  <c r="Q123" i="9"/>
  <c r="AE143" i="9"/>
  <c r="AE142" i="9"/>
  <c r="M123" i="9"/>
  <c r="AE123" i="9"/>
  <c r="L123" i="9"/>
  <c r="AE135" i="9"/>
  <c r="AE138" i="9"/>
  <c r="T123" i="9"/>
  <c r="AB123" i="9"/>
  <c r="E105" i="9"/>
  <c r="K105" i="9"/>
  <c r="M118" i="9"/>
  <c r="G105" i="9"/>
  <c r="I105" i="9"/>
  <c r="L105" i="9"/>
  <c r="M141" i="9"/>
  <c r="M136" i="9"/>
  <c r="M137" i="9"/>
  <c r="D105" i="9"/>
  <c r="B105" i="9"/>
  <c r="M105" i="9"/>
  <c r="M115" i="9"/>
  <c r="H105" i="9"/>
  <c r="M140" i="9"/>
  <c r="F105" i="9"/>
  <c r="M135" i="9"/>
  <c r="M143" i="9"/>
  <c r="C105" i="9"/>
  <c r="M142" i="9"/>
  <c r="M138" i="9"/>
  <c r="B133" i="9"/>
  <c r="AA133" i="9"/>
  <c r="AK133" i="9"/>
  <c r="R133" i="9"/>
  <c r="Q133" i="9"/>
  <c r="S133" i="9"/>
  <c r="V133" i="9"/>
  <c r="AF133" i="9"/>
  <c r="X133" i="9"/>
  <c r="AB133" i="9"/>
  <c r="M133" i="9"/>
  <c r="AL133" i="9"/>
  <c r="Z133" i="9"/>
  <c r="O133" i="9"/>
  <c r="AO142" i="9"/>
  <c r="AH133" i="9"/>
  <c r="AM133" i="9"/>
  <c r="AE133" i="9"/>
  <c r="AC133" i="9"/>
  <c r="K133" i="9"/>
  <c r="Y133" i="9"/>
  <c r="AI133" i="9"/>
  <c r="AO137" i="9"/>
  <c r="C133" i="9"/>
  <c r="AO141" i="9"/>
  <c r="AO138" i="9"/>
  <c r="AO136" i="9"/>
  <c r="AO140" i="9"/>
  <c r="N133" i="9"/>
  <c r="T133" i="9"/>
  <c r="AO143" i="9"/>
  <c r="P133" i="9"/>
  <c r="H133" i="9"/>
  <c r="W133" i="9"/>
  <c r="I133" i="9"/>
  <c r="AN133" i="9"/>
  <c r="AG133" i="9"/>
  <c r="G133" i="9"/>
  <c r="L133" i="9"/>
  <c r="AO133" i="9"/>
  <c r="AD133" i="9"/>
  <c r="AO135" i="9"/>
  <c r="M127" i="9"/>
  <c r="AE127" i="9"/>
  <c r="K127" i="9"/>
  <c r="R127" i="9"/>
  <c r="O127" i="9"/>
  <c r="D127" i="9"/>
  <c r="H127" i="9"/>
  <c r="N127" i="9"/>
  <c r="I127" i="9"/>
  <c r="B127" i="9"/>
  <c r="U127" i="9"/>
  <c r="AI136" i="9"/>
  <c r="AA127" i="9"/>
  <c r="C127" i="9"/>
  <c r="AD127" i="9"/>
  <c r="S127" i="9"/>
  <c r="AI128" i="9"/>
  <c r="Y127" i="9"/>
  <c r="W127" i="9"/>
  <c r="AI135" i="9"/>
  <c r="Z127" i="9"/>
  <c r="AG127" i="9"/>
  <c r="P127" i="9"/>
  <c r="AC127" i="9"/>
  <c r="Q127" i="9"/>
  <c r="T127" i="9"/>
  <c r="AI137" i="9"/>
  <c r="X127" i="9"/>
  <c r="AF127" i="9"/>
  <c r="AI141" i="9"/>
  <c r="F127" i="9"/>
  <c r="AI138" i="9"/>
  <c r="L127" i="9"/>
  <c r="AI140" i="9"/>
  <c r="AI143" i="9"/>
  <c r="AI142" i="9"/>
  <c r="AB127" i="9"/>
  <c r="B98" i="9"/>
  <c r="B95" i="9"/>
  <c r="B134" i="9"/>
  <c r="B129" i="9"/>
  <c r="B123" i="9"/>
  <c r="B136" i="9"/>
  <c r="B106" i="9"/>
  <c r="B128" i="9"/>
  <c r="B142" i="9"/>
  <c r="B121" i="9"/>
  <c r="B140" i="9"/>
  <c r="B111" i="9"/>
  <c r="B138" i="9"/>
  <c r="B135" i="9"/>
  <c r="B99" i="9"/>
  <c r="B137" i="9"/>
  <c r="B139" i="9"/>
  <c r="B115" i="9"/>
  <c r="B141" i="9"/>
  <c r="B143" i="9"/>
  <c r="Q170" i="8" a="1"/>
  <c r="Q170" i="8"/>
  <c r="N137" i="9"/>
  <c r="G106" i="9"/>
  <c r="C106" i="9"/>
  <c r="E106" i="9"/>
  <c r="K106" i="9"/>
  <c r="M106" i="9"/>
  <c r="N141" i="9"/>
  <c r="N143" i="9"/>
  <c r="N138" i="9"/>
  <c r="N106" i="9"/>
  <c r="N142" i="9"/>
  <c r="I106" i="9"/>
  <c r="N118" i="9"/>
  <c r="N114" i="9"/>
  <c r="N112" i="9"/>
  <c r="N135" i="9"/>
  <c r="F106" i="9"/>
  <c r="N121" i="9"/>
  <c r="N136" i="9"/>
  <c r="N140" i="9"/>
  <c r="C120" i="9"/>
  <c r="C109" i="9"/>
  <c r="C143" i="9"/>
  <c r="C142" i="9"/>
  <c r="C100" i="9"/>
  <c r="C137" i="9"/>
  <c r="C141" i="9"/>
  <c r="C95" i="9"/>
  <c r="C135" i="9"/>
  <c r="C138" i="9"/>
  <c r="C140" i="9"/>
  <c r="C136" i="9"/>
  <c r="V115" i="9"/>
  <c r="I115" i="9"/>
  <c r="P115" i="9"/>
  <c r="W135" i="9"/>
  <c r="O115" i="9"/>
  <c r="D115" i="9"/>
  <c r="K115" i="9"/>
  <c r="W137" i="9"/>
  <c r="H115" i="9"/>
  <c r="G115" i="9"/>
  <c r="T115" i="9"/>
  <c r="W138" i="9"/>
  <c r="N115" i="9"/>
  <c r="W140" i="9"/>
  <c r="C115" i="9"/>
  <c r="R115" i="9"/>
  <c r="W143" i="9"/>
  <c r="W141" i="9"/>
  <c r="W136" i="9"/>
  <c r="W142" i="9"/>
  <c r="W115" i="9"/>
  <c r="Q115" i="9"/>
  <c r="F115" i="9"/>
  <c r="E127" i="9"/>
  <c r="E143" i="9"/>
  <c r="E117" i="9"/>
  <c r="E140" i="9"/>
  <c r="E101" i="9"/>
  <c r="E129" i="9"/>
  <c r="B97" i="9"/>
  <c r="E142" i="9"/>
  <c r="D97" i="9"/>
  <c r="E115" i="9"/>
  <c r="E133" i="9"/>
  <c r="E136" i="9"/>
  <c r="E108" i="9"/>
  <c r="E112" i="9"/>
  <c r="C97" i="9"/>
  <c r="E135" i="9"/>
  <c r="E97" i="9"/>
  <c r="E98" i="9"/>
  <c r="E141" i="9"/>
  <c r="E137" i="9"/>
  <c r="E138" i="9"/>
  <c r="E109" i="9"/>
  <c r="O125" i="9"/>
  <c r="D125" i="9"/>
  <c r="K125" i="9"/>
  <c r="AA125" i="9"/>
  <c r="B125" i="9"/>
  <c r="AE125" i="9"/>
  <c r="L125" i="9"/>
  <c r="P125" i="9"/>
  <c r="R125" i="9"/>
  <c r="N125" i="9"/>
  <c r="Y125" i="9"/>
  <c r="E125" i="9"/>
  <c r="U125" i="9"/>
  <c r="V125" i="9"/>
  <c r="Q125" i="9"/>
  <c r="AG135" i="9"/>
  <c r="W125" i="9"/>
  <c r="AD125" i="9"/>
  <c r="AG137" i="9"/>
  <c r="C125" i="9"/>
  <c r="T125" i="9"/>
  <c r="H125" i="9"/>
  <c r="X125" i="9"/>
  <c r="AG125" i="9"/>
  <c r="F125" i="9"/>
  <c r="AG142" i="9"/>
  <c r="G125" i="9"/>
  <c r="AG140" i="9"/>
  <c r="AG143" i="9"/>
  <c r="AG136" i="9"/>
  <c r="AG138" i="9"/>
  <c r="M125" i="9"/>
  <c r="AC125" i="9"/>
  <c r="Z125" i="9"/>
  <c r="I125" i="9"/>
  <c r="AG141" i="9"/>
  <c r="D145" i="4" a="1"/>
  <c r="D145" i="4"/>
  <c r="H145" i="4" a="1"/>
  <c r="H145" i="4"/>
  <c r="L145" i="4" a="1"/>
  <c r="L145" i="4"/>
  <c r="P145" i="4" a="1"/>
  <c r="P145" i="4"/>
  <c r="T145" i="4" a="1"/>
  <c r="T145" i="4"/>
  <c r="X145" i="4" a="1"/>
  <c r="X145" i="4"/>
  <c r="F145" i="4" a="1"/>
  <c r="F145" i="4"/>
  <c r="J145" i="4" a="1"/>
  <c r="J145" i="4"/>
  <c r="N145" i="4" a="1"/>
  <c r="N145" i="4"/>
  <c r="R145" i="4" a="1"/>
  <c r="R145" i="4"/>
  <c r="V145" i="4" a="1"/>
  <c r="V145" i="4"/>
  <c r="Z145" i="4" a="1"/>
  <c r="Z145" i="4"/>
  <c r="C145" i="4" a="1"/>
  <c r="C145" i="4"/>
  <c r="G145" i="4" a="1"/>
  <c r="G145" i="4"/>
  <c r="K145" i="4" a="1"/>
  <c r="K145" i="4"/>
  <c r="S145" i="4" a="1"/>
  <c r="S145" i="4"/>
  <c r="W145" i="4" a="1"/>
  <c r="W145" i="4"/>
  <c r="AA145" i="4" a="1"/>
  <c r="AA145" i="4"/>
  <c r="M145" i="4" a="1"/>
  <c r="M145" i="4"/>
  <c r="E145" i="4" a="1"/>
  <c r="E145" i="4"/>
  <c r="I145" i="4" a="1"/>
  <c r="I145" i="4"/>
  <c r="U145" i="4" a="1"/>
  <c r="U145" i="4"/>
  <c r="Q145" i="4" a="1"/>
  <c r="Q145" i="4"/>
  <c r="Y145" i="4" a="1"/>
  <c r="Y145" i="4"/>
  <c r="E170" i="8" a="1"/>
  <c r="E170" i="8"/>
  <c r="AA170" i="8" a="1"/>
  <c r="AA170" i="8"/>
  <c r="W170" i="8" a="1"/>
  <c r="W170" i="8"/>
  <c r="H112" i="9"/>
  <c r="Q112" i="9"/>
  <c r="C112" i="9"/>
  <c r="D112" i="9"/>
  <c r="K112" i="9"/>
  <c r="L112" i="9"/>
  <c r="G112" i="9"/>
  <c r="S112" i="9"/>
  <c r="P112" i="9"/>
  <c r="O112" i="9"/>
  <c r="B112" i="9"/>
  <c r="T141" i="9"/>
  <c r="T143" i="9"/>
  <c r="R112" i="9"/>
  <c r="T138" i="9"/>
  <c r="M112" i="9"/>
  <c r="T112" i="9"/>
  <c r="T137" i="9"/>
  <c r="T140" i="9"/>
  <c r="T135" i="9"/>
  <c r="T142" i="9"/>
  <c r="T136" i="9"/>
  <c r="AK132" i="9"/>
  <c r="AB132" i="9"/>
  <c r="K132" i="9"/>
  <c r="AM132" i="9"/>
  <c r="S132" i="9"/>
  <c r="C132" i="9"/>
  <c r="AC132" i="9"/>
  <c r="V132" i="9"/>
  <c r="AN140" i="9"/>
  <c r="AJ132" i="9"/>
  <c r="U132" i="9"/>
  <c r="AN142" i="9"/>
  <c r="Y132" i="9"/>
  <c r="N132" i="9"/>
  <c r="I132" i="9"/>
  <c r="AN136" i="9"/>
  <c r="AN135" i="9"/>
  <c r="AN138" i="9"/>
  <c r="T132" i="9"/>
  <c r="AN137" i="9"/>
  <c r="W132" i="9"/>
  <c r="AN141" i="9"/>
  <c r="AN143" i="9"/>
  <c r="AE132" i="9"/>
  <c r="P132" i="9"/>
  <c r="AN134" i="9"/>
  <c r="Q132" i="9"/>
  <c r="AI132" i="9"/>
  <c r="AH132" i="9"/>
  <c r="E132" i="9"/>
  <c r="M132" i="9"/>
  <c r="AN132" i="9"/>
  <c r="AF132" i="9"/>
  <c r="H132" i="9"/>
  <c r="AG132" i="9"/>
  <c r="G132" i="9"/>
  <c r="AL132" i="9"/>
  <c r="AD132" i="9"/>
  <c r="Z132" i="9"/>
  <c r="AA132" i="9"/>
  <c r="B132" i="9"/>
  <c r="O120" i="9"/>
  <c r="D107" i="9"/>
  <c r="O141" i="9"/>
  <c r="G107" i="9"/>
  <c r="F107" i="9"/>
  <c r="O138" i="9"/>
  <c r="O116" i="9"/>
  <c r="H107" i="9"/>
  <c r="O143" i="9"/>
  <c r="K107" i="9"/>
  <c r="O121" i="9"/>
  <c r="C107" i="9"/>
  <c r="O107" i="9"/>
  <c r="I107" i="9"/>
  <c r="O135" i="9"/>
  <c r="O140" i="9"/>
  <c r="B107" i="9"/>
  <c r="O137" i="9"/>
  <c r="O132" i="9"/>
  <c r="L107" i="9"/>
  <c r="O122" i="9"/>
  <c r="N107" i="9"/>
  <c r="M107" i="9"/>
  <c r="E107" i="9"/>
  <c r="O142" i="9"/>
  <c r="O136" i="9"/>
  <c r="O108" i="9"/>
  <c r="O134" i="9"/>
  <c r="C134" i="9"/>
  <c r="Q134" i="9"/>
  <c r="AK134" i="9"/>
  <c r="M134" i="9"/>
  <c r="AE134" i="9"/>
  <c r="P134" i="9"/>
  <c r="D134" i="9"/>
  <c r="AG134" i="9"/>
  <c r="AA134" i="9"/>
  <c r="Y134" i="9"/>
  <c r="AI134" i="9"/>
  <c r="L134" i="9"/>
  <c r="E134" i="9"/>
  <c r="R134" i="9"/>
  <c r="AF134" i="9"/>
  <c r="AL134" i="9"/>
  <c r="AB134" i="9"/>
  <c r="K134" i="9"/>
  <c r="AD134" i="9"/>
  <c r="AP137" i="9"/>
  <c r="AO134" i="9"/>
  <c r="N134" i="9"/>
  <c r="W134" i="9"/>
  <c r="I134" i="9"/>
  <c r="G134" i="9"/>
  <c r="S134" i="9"/>
  <c r="AP135" i="9"/>
  <c r="AJ134" i="9"/>
  <c r="AP138" i="9"/>
  <c r="X134" i="9"/>
  <c r="AP134" i="9"/>
  <c r="AP143" i="9"/>
  <c r="Z134" i="9"/>
  <c r="H134" i="9"/>
  <c r="U134" i="9"/>
  <c r="V134" i="9"/>
  <c r="AC134" i="9"/>
  <c r="F134" i="9"/>
  <c r="AP140" i="9"/>
  <c r="AP142" i="9"/>
  <c r="AP141" i="9"/>
  <c r="T134" i="9"/>
  <c r="AP136" i="9"/>
  <c r="I117" i="9"/>
  <c r="N117" i="9"/>
  <c r="F117" i="9"/>
  <c r="B117" i="9"/>
  <c r="D117" i="9"/>
  <c r="O117" i="9"/>
  <c r="K117" i="9"/>
  <c r="Q117" i="9"/>
  <c r="L117" i="9"/>
  <c r="H117" i="9"/>
  <c r="Y136" i="9"/>
  <c r="R117" i="9"/>
  <c r="S117" i="9"/>
  <c r="C117" i="9"/>
  <c r="V117" i="9"/>
  <c r="G117" i="9"/>
  <c r="W117" i="9"/>
  <c r="Y140" i="9"/>
  <c r="X117" i="9"/>
  <c r="Y117" i="9"/>
  <c r="Y142" i="9"/>
  <c r="Y135" i="9"/>
  <c r="T117" i="9"/>
  <c r="Y138" i="9"/>
  <c r="U117" i="9"/>
  <c r="M117" i="9"/>
  <c r="Y137" i="9"/>
  <c r="Y141" i="9"/>
  <c r="Y143" i="9"/>
  <c r="N170" i="8" a="1"/>
  <c r="N170" i="8"/>
  <c r="AA126" i="9"/>
  <c r="AH127" i="9"/>
  <c r="R126" i="9"/>
  <c r="N126" i="9"/>
  <c r="C126" i="9"/>
  <c r="O126" i="9"/>
  <c r="H126" i="9"/>
  <c r="W126" i="9"/>
  <c r="T126" i="9"/>
  <c r="D126" i="9"/>
  <c r="Z126" i="9"/>
  <c r="U126" i="9"/>
  <c r="AH126" i="9"/>
  <c r="AH135" i="9"/>
  <c r="E126" i="9"/>
  <c r="AC126" i="9"/>
  <c r="AD126" i="9"/>
  <c r="AH143" i="9"/>
  <c r="AG126" i="9"/>
  <c r="AH137" i="9"/>
  <c r="AH142" i="9"/>
  <c r="B126" i="9"/>
  <c r="K126" i="9"/>
  <c r="Y126" i="9"/>
  <c r="G126" i="9"/>
  <c r="AH134" i="9"/>
  <c r="AH131" i="9"/>
  <c r="Q126" i="9"/>
  <c r="AB126" i="9"/>
  <c r="AE126" i="9"/>
  <c r="AH141" i="9"/>
  <c r="X126" i="9"/>
  <c r="P126" i="9"/>
  <c r="F126" i="9"/>
  <c r="AH136" i="9"/>
  <c r="M126" i="9"/>
  <c r="AH140" i="9"/>
  <c r="I126" i="9"/>
  <c r="AF126" i="9"/>
  <c r="AH138" i="9"/>
  <c r="C96" i="9"/>
  <c r="D140" i="9"/>
  <c r="D122" i="9"/>
  <c r="D99" i="9"/>
  <c r="D106" i="9"/>
  <c r="D142" i="9"/>
  <c r="D132" i="9"/>
  <c r="D119" i="9"/>
  <c r="D135" i="9"/>
  <c r="D143" i="9"/>
  <c r="D138" i="9"/>
  <c r="D141" i="9"/>
  <c r="D136" i="9"/>
  <c r="D96" i="9"/>
  <c r="D137" i="9"/>
  <c r="B96" i="9"/>
  <c r="D133" i="9"/>
  <c r="F130" i="9"/>
  <c r="H130" i="9"/>
  <c r="S130" i="9"/>
  <c r="W130" i="9"/>
  <c r="I130" i="9"/>
  <c r="R130" i="9"/>
  <c r="P130" i="9"/>
  <c r="AJ130" i="9"/>
  <c r="O130" i="9"/>
  <c r="T130" i="9"/>
  <c r="AL136" i="9"/>
  <c r="C130" i="9"/>
  <c r="AL138" i="9"/>
  <c r="AH130" i="9"/>
  <c r="AA130" i="9"/>
  <c r="U130" i="9"/>
  <c r="AG130" i="9"/>
  <c r="AL140" i="9"/>
  <c r="Y130" i="9"/>
  <c r="K130" i="9"/>
  <c r="X130" i="9"/>
  <c r="AL137" i="9"/>
  <c r="N130" i="9"/>
  <c r="G130" i="9"/>
  <c r="M130" i="9"/>
  <c r="D130" i="9"/>
  <c r="AF130" i="9"/>
  <c r="B130" i="9"/>
  <c r="E130" i="9"/>
  <c r="AE130" i="9"/>
  <c r="AL135" i="9"/>
  <c r="AK130" i="9"/>
  <c r="AL143" i="9"/>
  <c r="Z130" i="9"/>
  <c r="Q130" i="9"/>
  <c r="AL130" i="9"/>
  <c r="AL142" i="9"/>
  <c r="L130" i="9"/>
  <c r="AD130" i="9"/>
  <c r="AI130" i="9"/>
  <c r="AL141" i="9"/>
  <c r="D104" i="9"/>
  <c r="B104" i="9"/>
  <c r="L106" i="9"/>
  <c r="L129" i="9"/>
  <c r="G104" i="9"/>
  <c r="L131" i="9"/>
  <c r="C104" i="9"/>
  <c r="L115" i="9"/>
  <c r="L138" i="9"/>
  <c r="L135" i="9"/>
  <c r="K104" i="9"/>
  <c r="L143" i="9"/>
  <c r="L142" i="9"/>
  <c r="L104" i="9"/>
  <c r="L136" i="9"/>
  <c r="L126" i="9"/>
  <c r="L140" i="9"/>
  <c r="E104" i="9"/>
  <c r="L132" i="9"/>
  <c r="L141" i="9"/>
  <c r="I104" i="9"/>
  <c r="H104" i="9"/>
  <c r="L137" i="9"/>
  <c r="N89" i="9"/>
  <c r="P89" i="9"/>
  <c r="U89" i="9"/>
  <c r="AE89" i="9"/>
  <c r="AC89" i="9"/>
  <c r="AN89" i="9"/>
  <c r="AL89" i="9"/>
  <c r="I89" i="9"/>
  <c r="AP89" i="9"/>
  <c r="X89" i="9"/>
  <c r="AM89" i="9"/>
  <c r="G89" i="9"/>
  <c r="AI89" i="9"/>
  <c r="AA89" i="9"/>
  <c r="AS89" i="9"/>
  <c r="W89" i="9"/>
  <c r="AQ89" i="9"/>
  <c r="F89" i="9"/>
  <c r="Y89" i="9"/>
  <c r="Z89" i="9"/>
  <c r="D89" i="9"/>
  <c r="V89" i="9"/>
  <c r="AY89" i="9"/>
  <c r="AB89" i="9"/>
  <c r="AJ89" i="9"/>
  <c r="T89" i="9"/>
  <c r="AV89" i="9"/>
  <c r="AF89" i="9"/>
  <c r="AT89" i="9"/>
  <c r="AK89" i="9"/>
  <c r="AU89" i="9"/>
  <c r="AO89" i="9"/>
  <c r="AG89" i="9"/>
  <c r="E89" i="9"/>
  <c r="AH89" i="9"/>
  <c r="C89" i="9"/>
  <c r="L89" i="9"/>
  <c r="AW89" i="9"/>
  <c r="AD89" i="9"/>
  <c r="H89" i="9"/>
  <c r="S89" i="9"/>
  <c r="M89" i="9"/>
  <c r="O89" i="9"/>
  <c r="AR89" i="9"/>
  <c r="R89" i="9"/>
  <c r="Q89" i="9"/>
  <c r="B89" i="9"/>
  <c r="AX89" i="9"/>
  <c r="K89" i="9"/>
  <c r="G118" i="9"/>
  <c r="Q118" i="9"/>
  <c r="B118" i="9"/>
  <c r="O118" i="9"/>
  <c r="I118" i="9"/>
  <c r="Y118" i="9"/>
  <c r="V118" i="9"/>
  <c r="D118" i="9"/>
  <c r="T118" i="9"/>
  <c r="U118" i="9"/>
  <c r="C118" i="9"/>
  <c r="S118" i="9"/>
  <c r="K118" i="9"/>
  <c r="X118" i="9"/>
  <c r="Z135" i="9"/>
  <c r="P118" i="9"/>
  <c r="L118" i="9"/>
  <c r="E118" i="9"/>
  <c r="W118" i="9"/>
  <c r="R118" i="9"/>
  <c r="Z142" i="9"/>
  <c r="Z138" i="9"/>
  <c r="Z141" i="9"/>
  <c r="Z143" i="9"/>
  <c r="H118" i="9"/>
  <c r="Z136" i="9"/>
  <c r="Z118" i="9"/>
  <c r="Z137" i="9"/>
  <c r="Z140" i="9"/>
  <c r="I121" i="9"/>
  <c r="B101" i="9"/>
  <c r="I131" i="9"/>
  <c r="I114" i="9"/>
  <c r="I101" i="9"/>
  <c r="I140" i="9"/>
  <c r="I138" i="9"/>
  <c r="I112" i="9"/>
  <c r="D101" i="9"/>
  <c r="I116" i="9"/>
  <c r="F101" i="9"/>
  <c r="I108" i="9"/>
  <c r="G101" i="9"/>
  <c r="I142" i="9"/>
  <c r="C101" i="9"/>
  <c r="I135" i="9"/>
  <c r="I137" i="9"/>
  <c r="I136" i="9"/>
  <c r="H101" i="9"/>
  <c r="I141" i="9"/>
  <c r="I143" i="9"/>
  <c r="N195" i="7"/>
  <c r="P170" i="8" a="1"/>
  <c r="P170" i="8"/>
  <c r="AF142" i="9"/>
  <c r="O124" i="9"/>
  <c r="Z124" i="9"/>
  <c r="N124" i="9"/>
  <c r="X124" i="9"/>
  <c r="C124" i="9"/>
  <c r="K124" i="9"/>
  <c r="AF129" i="9"/>
  <c r="J124" i="9"/>
  <c r="AE124" i="9"/>
  <c r="AB124" i="9"/>
  <c r="AD124" i="9"/>
  <c r="AF131" i="9"/>
  <c r="D124" i="9"/>
  <c r="AF136" i="9"/>
  <c r="G124" i="9"/>
  <c r="S124" i="9"/>
  <c r="H124" i="9"/>
  <c r="AF135" i="9"/>
  <c r="AF143" i="9"/>
  <c r="AA124" i="9"/>
  <c r="M124" i="9"/>
  <c r="L124" i="9"/>
  <c r="P124" i="9"/>
  <c r="Y124" i="9"/>
  <c r="U124" i="9"/>
  <c r="B124" i="9"/>
  <c r="V124" i="9"/>
  <c r="AC124" i="9"/>
  <c r="W124" i="9"/>
  <c r="AF141" i="9"/>
  <c r="AF137" i="9"/>
  <c r="AF125" i="9"/>
  <c r="T124" i="9"/>
  <c r="E124" i="9"/>
  <c r="AF128" i="9"/>
  <c r="Q124" i="9"/>
  <c r="F124" i="9"/>
  <c r="I124" i="9"/>
  <c r="AF124" i="9"/>
  <c r="R124" i="9"/>
  <c r="AF140" i="9"/>
  <c r="AF138" i="9"/>
  <c r="H113" i="9"/>
  <c r="U129" i="9"/>
  <c r="L113" i="9"/>
  <c r="C113" i="9"/>
  <c r="B113" i="9"/>
  <c r="P113" i="9"/>
  <c r="D113" i="9"/>
  <c r="O113" i="9"/>
  <c r="U113" i="9"/>
  <c r="U119" i="9"/>
  <c r="N113" i="9"/>
  <c r="E113" i="9"/>
  <c r="K113" i="9"/>
  <c r="M113" i="9"/>
  <c r="I113" i="9"/>
  <c r="U137" i="9"/>
  <c r="U133" i="9"/>
  <c r="R113" i="9"/>
  <c r="G113" i="9"/>
  <c r="U138" i="9"/>
  <c r="U142" i="9"/>
  <c r="U131" i="9"/>
  <c r="U115" i="9"/>
  <c r="U140" i="9"/>
  <c r="Q113" i="9"/>
  <c r="F113" i="9"/>
  <c r="U141" i="9"/>
  <c r="U136" i="9"/>
  <c r="U135" i="9"/>
  <c r="S113" i="9"/>
  <c r="T113" i="9"/>
  <c r="U143" i="9"/>
  <c r="H100" i="9"/>
  <c r="H106" i="9"/>
  <c r="B100" i="9"/>
  <c r="H140" i="9"/>
  <c r="D100" i="9"/>
  <c r="G100" i="9"/>
  <c r="F100" i="9"/>
  <c r="H135" i="9"/>
  <c r="H143" i="9"/>
  <c r="E100" i="9"/>
  <c r="H111" i="9"/>
  <c r="H141" i="9"/>
  <c r="H142" i="9"/>
  <c r="H138" i="9"/>
  <c r="H137" i="9"/>
  <c r="H136" i="9"/>
  <c r="L120" i="9"/>
  <c r="I120" i="9"/>
  <c r="K120" i="9"/>
  <c r="P120" i="9"/>
  <c r="V120" i="9"/>
  <c r="N120" i="9"/>
  <c r="AB141" i="9"/>
  <c r="AB130" i="9"/>
  <c r="AB136" i="9"/>
  <c r="AB120" i="9"/>
  <c r="Y120" i="9"/>
  <c r="F120" i="9"/>
  <c r="Q120" i="9"/>
  <c r="AA120" i="9"/>
  <c r="AB122" i="9"/>
  <c r="S120" i="9"/>
  <c r="T120" i="9"/>
  <c r="R120" i="9"/>
  <c r="W120" i="9"/>
  <c r="AB135" i="9"/>
  <c r="X120" i="9"/>
  <c r="H120" i="9"/>
  <c r="M120" i="9"/>
  <c r="B120" i="9"/>
  <c r="E120" i="9"/>
  <c r="Z120" i="9"/>
  <c r="D120" i="9"/>
  <c r="U120" i="9"/>
  <c r="AB140" i="9"/>
  <c r="AB138" i="9"/>
  <c r="AB142" i="9"/>
  <c r="AB143" i="9"/>
  <c r="AB137" i="9"/>
  <c r="AB125" i="9"/>
  <c r="K109" i="9"/>
  <c r="M109" i="9"/>
  <c r="N109" i="9"/>
  <c r="F109" i="9"/>
  <c r="I109" i="9"/>
  <c r="G109" i="9"/>
  <c r="P109" i="9"/>
  <c r="H109" i="9"/>
  <c r="O109" i="9"/>
  <c r="L109" i="9"/>
  <c r="Q143" i="9"/>
  <c r="B109" i="9"/>
  <c r="Q140" i="9"/>
  <c r="Q136" i="9"/>
  <c r="D109" i="9"/>
  <c r="Q109" i="9"/>
  <c r="Q137" i="9"/>
  <c r="Q141" i="9"/>
  <c r="Q142" i="9"/>
  <c r="Q138" i="9"/>
  <c r="Q135" i="9"/>
  <c r="I170" i="8" a="1"/>
  <c r="I170" i="8"/>
  <c r="T170" i="8" a="1"/>
  <c r="T170" i="8"/>
  <c r="D170" i="8" a="1"/>
  <c r="D170" i="8"/>
  <c r="O170" i="8" a="1"/>
  <c r="O170" i="8"/>
  <c r="J170" i="8" a="1"/>
  <c r="J170" i="8"/>
  <c r="AC170" i="8" a="1"/>
  <c r="AC170" i="8"/>
  <c r="D108" i="9"/>
  <c r="K108" i="9"/>
  <c r="G108" i="9"/>
  <c r="P140" i="9"/>
  <c r="P136" i="9"/>
  <c r="C108" i="9"/>
  <c r="P138" i="9"/>
  <c r="P135" i="9"/>
  <c r="P129" i="9"/>
  <c r="P143" i="9"/>
  <c r="P108" i="9"/>
  <c r="P117" i="9"/>
  <c r="P141" i="9"/>
  <c r="P116" i="9"/>
  <c r="B108" i="9"/>
  <c r="H108" i="9"/>
  <c r="P142" i="9"/>
  <c r="N108" i="9"/>
  <c r="F108" i="9"/>
  <c r="L108" i="9"/>
  <c r="P137" i="9"/>
  <c r="M108" i="9"/>
  <c r="K114" i="9"/>
  <c r="O114" i="9"/>
  <c r="C114" i="9"/>
  <c r="V126" i="9"/>
  <c r="B114" i="9"/>
  <c r="V137" i="9"/>
  <c r="F114" i="9"/>
  <c r="V136" i="9"/>
  <c r="Q114" i="9"/>
  <c r="V141" i="9"/>
  <c r="V114" i="9"/>
  <c r="V130" i="9"/>
  <c r="R114" i="9"/>
  <c r="T114" i="9"/>
  <c r="S114" i="9"/>
  <c r="U114" i="9"/>
  <c r="V142" i="9"/>
  <c r="V127" i="9"/>
  <c r="P114" i="9"/>
  <c r="V140" i="9"/>
  <c r="H114" i="9"/>
  <c r="V116" i="9"/>
  <c r="V138" i="9"/>
  <c r="V143" i="9"/>
  <c r="E114" i="9"/>
  <c r="V135" i="9"/>
  <c r="M114" i="9"/>
  <c r="D114" i="9"/>
  <c r="L114" i="9"/>
  <c r="G114" i="9"/>
  <c r="Q119" i="9"/>
  <c r="I119" i="9"/>
  <c r="AA140" i="9"/>
  <c r="K119" i="9"/>
  <c r="E119" i="9"/>
  <c r="X119" i="9"/>
  <c r="AA129" i="9"/>
  <c r="N119" i="9"/>
  <c r="O119" i="9"/>
  <c r="C119" i="9"/>
  <c r="B119" i="9"/>
  <c r="P119" i="9"/>
  <c r="L119" i="9"/>
  <c r="AA136" i="9"/>
  <c r="Y119" i="9"/>
  <c r="G119" i="9"/>
  <c r="M119" i="9"/>
  <c r="S119" i="9"/>
  <c r="V119" i="9"/>
  <c r="AA135" i="9"/>
  <c r="AA119" i="9"/>
  <c r="AA142" i="9"/>
  <c r="AA138" i="9"/>
  <c r="AA141" i="9"/>
  <c r="R119" i="9"/>
  <c r="T119" i="9"/>
  <c r="W119" i="9"/>
  <c r="AA143" i="9"/>
  <c r="H119" i="9"/>
  <c r="Z119" i="9"/>
  <c r="AA137" i="9"/>
  <c r="R129" i="9"/>
  <c r="W129" i="9"/>
  <c r="AB129" i="9"/>
  <c r="AK137" i="9"/>
  <c r="AK138" i="9"/>
  <c r="V129" i="9"/>
  <c r="H129" i="9"/>
  <c r="Z129" i="9"/>
  <c r="AC129" i="9"/>
  <c r="M129" i="9"/>
  <c r="G129" i="9"/>
  <c r="AK140" i="9"/>
  <c r="X129" i="9"/>
  <c r="Y129" i="9"/>
  <c r="K129" i="9"/>
  <c r="D129" i="9"/>
  <c r="AJ129" i="9"/>
  <c r="AD129" i="9"/>
  <c r="S129" i="9"/>
  <c r="AH129" i="9"/>
  <c r="C129" i="9"/>
  <c r="AE129" i="9"/>
  <c r="T129" i="9"/>
  <c r="I129" i="9"/>
  <c r="AK136" i="9"/>
  <c r="O129" i="9"/>
  <c r="AK141" i="9"/>
  <c r="AK129" i="9"/>
  <c r="N129" i="9"/>
  <c r="AI129" i="9"/>
  <c r="Q129" i="9"/>
  <c r="AK143" i="9"/>
  <c r="AK142" i="9"/>
  <c r="AK135" i="9"/>
  <c r="AG129" i="9"/>
  <c r="B110" i="9"/>
  <c r="O110" i="9"/>
  <c r="R116" i="9"/>
  <c r="G110" i="9"/>
  <c r="D110" i="9"/>
  <c r="E110" i="9"/>
  <c r="R137" i="9"/>
  <c r="H110" i="9"/>
  <c r="Q110" i="9"/>
  <c r="R111" i="9"/>
  <c r="I110" i="9"/>
  <c r="K110" i="9"/>
  <c r="P110" i="9"/>
  <c r="R140" i="9"/>
  <c r="R132" i="9"/>
  <c r="M110" i="9"/>
  <c r="R135" i="9"/>
  <c r="R141" i="9"/>
  <c r="N110" i="9"/>
  <c r="R142" i="9"/>
  <c r="C110" i="9"/>
  <c r="R143" i="9"/>
  <c r="R138" i="9"/>
  <c r="R136" i="9"/>
  <c r="L110" i="9"/>
  <c r="R110" i="9"/>
  <c r="AB170" i="8" a="1"/>
  <c r="AB170" i="8"/>
  <c r="AA128" i="9"/>
  <c r="G128" i="9"/>
  <c r="C128" i="9"/>
  <c r="W128" i="9"/>
  <c r="N128" i="9"/>
  <c r="K128" i="9"/>
  <c r="AC128" i="9"/>
  <c r="F128" i="9"/>
  <c r="R128" i="9"/>
  <c r="I128" i="9"/>
  <c r="O128" i="9"/>
  <c r="U128" i="9"/>
  <c r="AJ143" i="9"/>
  <c r="L128" i="9"/>
  <c r="H128" i="9"/>
  <c r="S128" i="9"/>
  <c r="AJ135" i="9"/>
  <c r="P128" i="9"/>
  <c r="AJ136" i="9"/>
  <c r="Y128" i="9"/>
  <c r="AJ138" i="9"/>
  <c r="D128" i="9"/>
  <c r="AJ137" i="9"/>
  <c r="AH128" i="9"/>
  <c r="AJ133" i="9"/>
  <c r="AB128" i="9"/>
  <c r="AE128" i="9"/>
  <c r="T128" i="9"/>
  <c r="Q128" i="9"/>
  <c r="V128" i="9"/>
  <c r="E128" i="9"/>
  <c r="M128" i="9"/>
  <c r="AJ128" i="9"/>
  <c r="AJ142" i="9"/>
  <c r="X128" i="9"/>
  <c r="Z128" i="9"/>
  <c r="AD128" i="9"/>
  <c r="AJ140" i="9"/>
  <c r="AG128" i="9"/>
  <c r="AJ141" i="9"/>
  <c r="E99" i="9"/>
  <c r="G120" i="9"/>
  <c r="G127" i="9"/>
  <c r="C99" i="9"/>
  <c r="G141" i="9"/>
  <c r="G140" i="9"/>
  <c r="G137" i="9"/>
  <c r="G135" i="9"/>
  <c r="G138" i="9"/>
  <c r="G99" i="9"/>
  <c r="G136" i="9"/>
  <c r="G142" i="9"/>
  <c r="F99" i="9"/>
  <c r="G143" i="9"/>
  <c r="V144" i="4" a="1"/>
  <c r="V144" i="4"/>
  <c r="R170" i="8" a="1"/>
  <c r="R170" i="8"/>
  <c r="F170" i="8" a="1"/>
  <c r="F170" i="8"/>
  <c r="K170" i="8" a="1"/>
  <c r="K170" i="8"/>
  <c r="Y170" i="8" a="1"/>
  <c r="Y170" i="8"/>
  <c r="U170" i="8" a="1"/>
  <c r="U170" i="8"/>
  <c r="P122" i="9"/>
  <c r="M122" i="9"/>
  <c r="V122" i="9"/>
  <c r="F122" i="9"/>
  <c r="W122" i="9"/>
  <c r="K122" i="9"/>
  <c r="U122" i="9"/>
  <c r="B122" i="9"/>
  <c r="Z122" i="9"/>
  <c r="AD136" i="9"/>
  <c r="AA122" i="9"/>
  <c r="Q122" i="9"/>
  <c r="AD140" i="9"/>
  <c r="AD138" i="9"/>
  <c r="X122" i="9"/>
  <c r="AD137" i="9"/>
  <c r="C122" i="9"/>
  <c r="AD141" i="9"/>
  <c r="I122" i="9"/>
  <c r="N122" i="9"/>
  <c r="Y122" i="9"/>
  <c r="R122" i="9"/>
  <c r="E122" i="9"/>
  <c r="T122" i="9"/>
  <c r="AC122" i="9"/>
  <c r="L122" i="9"/>
  <c r="AD131" i="9"/>
  <c r="G122" i="9"/>
  <c r="AD143" i="9"/>
  <c r="AD135" i="9"/>
  <c r="AD142" i="9"/>
  <c r="AD122" i="9"/>
  <c r="H122" i="9"/>
  <c r="F119" i="9"/>
  <c r="F118" i="9"/>
  <c r="F112" i="9"/>
  <c r="F132" i="9"/>
  <c r="F129" i="9"/>
  <c r="F121" i="9"/>
  <c r="C98" i="9"/>
  <c r="F104" i="9"/>
  <c r="D98" i="9"/>
  <c r="F111" i="9"/>
  <c r="F133" i="9"/>
  <c r="F110" i="9"/>
  <c r="F136" i="9"/>
  <c r="F98" i="9"/>
  <c r="F142" i="9"/>
  <c r="F143" i="9"/>
  <c r="F141" i="9"/>
  <c r="F138" i="9"/>
  <c r="F140" i="9"/>
  <c r="F137" i="9"/>
  <c r="F135" i="9"/>
  <c r="K136" i="9"/>
  <c r="K143" i="9"/>
  <c r="K140" i="9"/>
  <c r="K135" i="9"/>
  <c r="K137" i="9"/>
  <c r="K141" i="9"/>
  <c r="K142" i="9"/>
  <c r="K138" i="9"/>
  <c r="T121" i="9"/>
  <c r="AC137" i="9"/>
  <c r="R121" i="9"/>
  <c r="H121" i="9"/>
  <c r="P121" i="9"/>
  <c r="U121" i="9"/>
  <c r="AA121" i="9"/>
  <c r="V121" i="9"/>
  <c r="Y121" i="9"/>
  <c r="G121" i="9"/>
  <c r="X121" i="9"/>
  <c r="AC135" i="9"/>
  <c r="AB121" i="9"/>
  <c r="K121" i="9"/>
  <c r="AC141" i="9"/>
  <c r="W121" i="9"/>
  <c r="D121" i="9"/>
  <c r="AC143" i="9"/>
  <c r="AC138" i="9"/>
  <c r="E121" i="9"/>
  <c r="AC142" i="9"/>
  <c r="AC121" i="9"/>
  <c r="Q121" i="9"/>
  <c r="AC140" i="9"/>
  <c r="S121" i="9"/>
  <c r="M121" i="9"/>
  <c r="Z121" i="9"/>
  <c r="AC130" i="9"/>
  <c r="L121" i="9"/>
  <c r="C121" i="9"/>
  <c r="AC136" i="9"/>
  <c r="J136" i="9"/>
  <c r="BI5" i="7"/>
  <c r="X171" i="8" a="1"/>
  <c r="X171" i="8"/>
  <c r="T171" i="8" a="1"/>
  <c r="T171" i="8"/>
  <c r="I171" i="8" a="1"/>
  <c r="I171" i="8"/>
  <c r="Q171" i="8" a="1"/>
  <c r="Q171" i="8"/>
  <c r="Y171" i="8" a="1"/>
  <c r="Y171" i="8"/>
  <c r="S171" i="8" a="1"/>
  <c r="S171" i="8"/>
  <c r="AA171" i="8" a="1"/>
  <c r="AA171" i="8"/>
  <c r="F171" i="8" a="1"/>
  <c r="F171" i="8"/>
  <c r="P171" i="8" a="1"/>
  <c r="P171" i="8"/>
  <c r="R171" i="8" a="1"/>
  <c r="R171" i="8"/>
  <c r="J171" i="8" a="1"/>
  <c r="J171" i="8"/>
  <c r="Z171" i="8" a="1"/>
  <c r="Z171" i="8"/>
  <c r="M171" i="8" a="1"/>
  <c r="M171" i="8"/>
  <c r="AC171" i="8" a="1"/>
  <c r="AC171" i="8"/>
  <c r="E171" i="8" a="1"/>
  <c r="E171" i="8"/>
  <c r="AB171" i="8" a="1"/>
  <c r="AB171" i="8"/>
  <c r="H171" i="8" a="1"/>
  <c r="H171" i="8"/>
  <c r="L171" i="8" a="1"/>
  <c r="L171" i="8"/>
  <c r="C171" i="8" a="1"/>
  <c r="C171" i="8"/>
  <c r="D171" i="8" a="1"/>
  <c r="D171" i="8"/>
  <c r="V171" i="8" a="1"/>
  <c r="V171" i="8"/>
  <c r="N171" i="8" a="1"/>
  <c r="N171" i="8"/>
  <c r="B171" i="8" a="1"/>
  <c r="B171" i="8"/>
  <c r="O171" i="8" a="1"/>
  <c r="O171" i="8"/>
  <c r="K171" i="8" a="1"/>
  <c r="K171" i="8"/>
  <c r="G171" i="8" a="1"/>
  <c r="G171" i="8"/>
  <c r="W171" i="8" a="1"/>
  <c r="W171" i="8"/>
  <c r="U171" i="8" a="1"/>
  <c r="U171" i="8"/>
  <c r="E178" i="8" a="1"/>
  <c r="E178" i="8"/>
  <c r="AC178" i="8" a="1"/>
  <c r="AC178" i="8"/>
  <c r="O178" i="8" a="1"/>
  <c r="O178" i="8"/>
  <c r="W178" i="8" a="1"/>
  <c r="W178" i="8"/>
  <c r="B178" i="8" a="1"/>
  <c r="B178" i="8"/>
  <c r="J178" i="8" a="1"/>
  <c r="J178" i="8"/>
  <c r="Z178" i="8" a="1"/>
  <c r="Z178" i="8"/>
  <c r="L178" i="8" a="1"/>
  <c r="L178" i="8"/>
  <c r="T178" i="8" a="1"/>
  <c r="T178" i="8"/>
  <c r="AB178" i="8" a="1"/>
  <c r="AB178" i="8"/>
  <c r="P178" i="8" a="1"/>
  <c r="P178" i="8"/>
  <c r="Q178" i="8" a="1"/>
  <c r="Q178" i="8"/>
  <c r="X178" i="8" a="1"/>
  <c r="X178" i="8"/>
  <c r="AA178" i="8" a="1"/>
  <c r="AA178" i="8"/>
  <c r="F178" i="8" a="1"/>
  <c r="F178" i="8"/>
  <c r="I178" i="8" a="1"/>
  <c r="I178" i="8"/>
  <c r="S178" i="8" a="1"/>
  <c r="S178" i="8"/>
  <c r="Y178" i="8" a="1"/>
  <c r="Y178" i="8"/>
  <c r="R178" i="8" a="1"/>
  <c r="R178" i="8"/>
  <c r="K178" i="8" a="1"/>
  <c r="K178" i="8"/>
  <c r="G178" i="8" a="1"/>
  <c r="G178" i="8"/>
  <c r="H178" i="8" a="1"/>
  <c r="H178" i="8"/>
  <c r="M178" i="8" a="1"/>
  <c r="M178" i="8"/>
  <c r="M172" i="8" a="1"/>
  <c r="M172" i="8"/>
  <c r="V178" i="8" a="1"/>
  <c r="V178" i="8"/>
  <c r="D178" i="8" a="1"/>
  <c r="D178" i="8"/>
  <c r="F172" i="8" a="1"/>
  <c r="F172" i="8"/>
  <c r="P172" i="8" a="1"/>
  <c r="P172" i="8"/>
  <c r="X172" i="8" a="1"/>
  <c r="X172" i="8"/>
  <c r="S172" i="8" a="1"/>
  <c r="S172" i="8"/>
  <c r="AA172" i="8" a="1"/>
  <c r="AA172" i="8"/>
  <c r="E172" i="8" a="1"/>
  <c r="E172" i="8"/>
  <c r="AC172" i="8" a="1"/>
  <c r="AC172" i="8"/>
  <c r="L172" i="8" a="1"/>
  <c r="L172" i="8"/>
  <c r="AB172" i="8" a="1"/>
  <c r="AB172" i="8"/>
  <c r="O172" i="8" a="1"/>
  <c r="O172" i="8"/>
  <c r="Q172" i="8" a="1"/>
  <c r="Q172" i="8"/>
  <c r="W172" i="8" a="1"/>
  <c r="W172" i="8"/>
  <c r="Z172" i="8" a="1"/>
  <c r="Z172" i="8"/>
  <c r="I172" i="8" a="1"/>
  <c r="I172" i="8"/>
  <c r="Y172" i="8" a="1"/>
  <c r="Y172" i="8"/>
  <c r="U178" i="8" a="1"/>
  <c r="U178" i="8"/>
  <c r="D172" i="8" a="1"/>
  <c r="D172" i="8"/>
  <c r="K172" i="8" a="1"/>
  <c r="K172" i="8"/>
  <c r="J172" i="8" a="1"/>
  <c r="J172" i="8"/>
  <c r="C178" i="8" a="1"/>
  <c r="C178" i="8"/>
  <c r="N178" i="8" a="1"/>
  <c r="N178" i="8"/>
  <c r="G172" i="8" a="1"/>
  <c r="G172" i="8"/>
  <c r="H172" i="8" a="1"/>
  <c r="H172" i="8"/>
  <c r="C172" i="8" a="1"/>
  <c r="C172" i="8"/>
  <c r="U172" i="8" a="1"/>
  <c r="U172" i="8"/>
  <c r="T172" i="8" a="1"/>
  <c r="T172" i="8"/>
  <c r="V172" i="8" a="1"/>
  <c r="V172" i="8"/>
  <c r="R172" i="8" a="1"/>
  <c r="R172" i="8"/>
  <c r="N172" i="8" a="1"/>
  <c r="N172" i="8"/>
  <c r="AM135" i="9"/>
  <c r="G131" i="9"/>
  <c r="P131" i="9"/>
  <c r="X131" i="9"/>
  <c r="AA131" i="9"/>
  <c r="C131" i="9"/>
  <c r="AK131" i="9"/>
  <c r="J131" i="9"/>
  <c r="Q144" i="4" a="1"/>
  <c r="Q144" i="4"/>
  <c r="J106" i="9"/>
  <c r="J115" i="9"/>
  <c r="C144" i="4" a="1"/>
  <c r="C144" i="4"/>
  <c r="J117" i="9"/>
  <c r="J130" i="9"/>
  <c r="F144" i="4" a="1"/>
  <c r="F144" i="4"/>
  <c r="J144" i="4" a="1"/>
  <c r="J144" i="4"/>
  <c r="S144" i="4" a="1"/>
  <c r="S144" i="4"/>
  <c r="P144" i="4" a="1"/>
  <c r="P144" i="4"/>
  <c r="U144" i="4" a="1"/>
  <c r="U144" i="4"/>
  <c r="J89" i="9"/>
  <c r="J109" i="9"/>
  <c r="R144" i="4" a="1"/>
  <c r="R144" i="4"/>
  <c r="J110" i="9"/>
  <c r="L144" i="4" a="1"/>
  <c r="L144" i="4"/>
  <c r="J123" i="9"/>
  <c r="J105" i="9"/>
  <c r="J127" i="9"/>
  <c r="B102" i="9"/>
  <c r="J126" i="9"/>
  <c r="J113" i="9"/>
  <c r="T144" i="4" a="1"/>
  <c r="T144" i="4"/>
  <c r="W144" i="4" a="1"/>
  <c r="W144" i="4"/>
  <c r="J128" i="9"/>
  <c r="E144" i="4" a="1"/>
  <c r="E144" i="4"/>
  <c r="I102" i="9"/>
  <c r="J118" i="9"/>
  <c r="J119" i="9"/>
  <c r="J116" i="9"/>
  <c r="J140" i="9"/>
  <c r="D144" i="4" a="1"/>
  <c r="D144" i="4"/>
  <c r="X144" i="4" a="1"/>
  <c r="X144" i="4"/>
  <c r="J133" i="9"/>
  <c r="I144" i="4" a="1"/>
  <c r="I144" i="4"/>
  <c r="J112" i="9"/>
  <c r="J108" i="9"/>
  <c r="J129" i="9"/>
  <c r="K144" i="4" a="1"/>
  <c r="K144" i="4"/>
  <c r="E102" i="9"/>
  <c r="H102" i="9"/>
  <c r="J142" i="9"/>
  <c r="J141" i="9"/>
  <c r="J122" i="9"/>
  <c r="F102" i="9"/>
  <c r="J104" i="9"/>
  <c r="J143" i="9"/>
  <c r="Y144" i="4" a="1"/>
  <c r="Y144" i="4"/>
  <c r="J107" i="9"/>
  <c r="J114" i="9"/>
  <c r="G102" i="9"/>
  <c r="J135" i="9"/>
  <c r="J132" i="9"/>
  <c r="J134" i="9"/>
  <c r="J137" i="9"/>
  <c r="M144" i="4" a="1"/>
  <c r="M144" i="4"/>
  <c r="M112" i="4" a="1"/>
  <c r="M112" i="4"/>
  <c r="N21" i="4"/>
  <c r="Z144" i="4" a="1"/>
  <c r="Z144" i="4"/>
  <c r="J121" i="9"/>
  <c r="J138" i="9"/>
  <c r="G144" i="4" a="1"/>
  <c r="G144" i="4"/>
  <c r="J111" i="9"/>
  <c r="D102" i="9"/>
  <c r="H144" i="4" a="1"/>
  <c r="H144" i="4"/>
  <c r="J120" i="9"/>
  <c r="AA144" i="4" a="1"/>
  <c r="AA144" i="4"/>
  <c r="J102" i="9"/>
  <c r="C102" i="9"/>
  <c r="N144" i="4" a="1"/>
  <c r="N144" i="4"/>
  <c r="J125" i="9"/>
  <c r="AV5" i="6"/>
  <c r="Q136" i="6"/>
  <c r="W113" i="7"/>
  <c r="W136" i="6"/>
  <c r="V112" i="7"/>
  <c r="W137" i="6"/>
  <c r="W112" i="7"/>
  <c r="X136" i="6"/>
  <c r="Q112" i="7"/>
  <c r="V113" i="7"/>
  <c r="W114" i="7"/>
  <c r="Z112" i="4" a="1"/>
  <c r="Z112" i="4"/>
  <c r="N34" i="4"/>
  <c r="D112" i="4" a="1"/>
  <c r="D112" i="4"/>
  <c r="N12" i="4"/>
  <c r="Y112" i="4" a="1"/>
  <c r="Y112" i="4"/>
  <c r="N33" i="4"/>
  <c r="BK27" i="7"/>
  <c r="BK18" i="7"/>
  <c r="R110" i="4" a="1"/>
  <c r="R110" i="4"/>
  <c r="L26" i="4"/>
  <c r="R104" i="4" a="1"/>
  <c r="R104" i="4"/>
  <c r="F26" i="4"/>
  <c r="R113" i="4" a="1"/>
  <c r="R113" i="4"/>
  <c r="O26" i="4"/>
  <c r="P103" i="4" a="1"/>
  <c r="P103" i="4"/>
  <c r="P110" i="4" a="1"/>
  <c r="P110" i="4"/>
  <c r="L24" i="4"/>
  <c r="P105" i="4" a="1"/>
  <c r="P105" i="4"/>
  <c r="G24" i="4"/>
  <c r="P113" i="4" a="1"/>
  <c r="P113" i="4"/>
  <c r="O24" i="4"/>
  <c r="P109" i="4"/>
  <c r="K24" i="4"/>
  <c r="P108" i="4"/>
  <c r="J24" i="4"/>
  <c r="P112" i="4" a="1"/>
  <c r="P112" i="4"/>
  <c r="N24" i="4"/>
  <c r="P104" i="4" a="1"/>
  <c r="P104" i="4"/>
  <c r="F24" i="4"/>
  <c r="F113" i="4" a="1"/>
  <c r="F113" i="4"/>
  <c r="O14" i="4"/>
  <c r="F103" i="4" a="1"/>
  <c r="F103" i="4"/>
  <c r="E14" i="4"/>
  <c r="F104" i="4" a="1"/>
  <c r="F104" i="4"/>
  <c r="F14" i="4"/>
  <c r="F109" i="4"/>
  <c r="K14" i="4"/>
  <c r="F108" i="4"/>
  <c r="J14" i="4"/>
  <c r="F105" i="4" a="1"/>
  <c r="F105" i="4"/>
  <c r="G14" i="4"/>
  <c r="F112" i="4" a="1"/>
  <c r="F112" i="4"/>
  <c r="N14" i="4"/>
  <c r="F110" i="4" a="1"/>
  <c r="F110" i="4"/>
  <c r="L14" i="4"/>
  <c r="BN57" i="7"/>
  <c r="AV140" i="9"/>
  <c r="N104" i="4" a="1"/>
  <c r="N104" i="4"/>
  <c r="F22" i="4"/>
  <c r="N112" i="4" a="1"/>
  <c r="N112" i="4"/>
  <c r="N22" i="4"/>
  <c r="N105" i="4" a="1"/>
  <c r="N105" i="4"/>
  <c r="G22" i="4"/>
  <c r="N110" i="4" a="1"/>
  <c r="N110" i="4"/>
  <c r="L22" i="4"/>
  <c r="N108" i="4"/>
  <c r="J22" i="4"/>
  <c r="N109" i="4"/>
  <c r="K22" i="4"/>
  <c r="N113" i="4" a="1"/>
  <c r="N113" i="4"/>
  <c r="O22" i="4"/>
  <c r="N103" i="4" a="1"/>
  <c r="N103" i="4"/>
  <c r="D108" i="4"/>
  <c r="J12" i="4"/>
  <c r="D105" i="4" a="1"/>
  <c r="D105" i="4"/>
  <c r="G12" i="4"/>
  <c r="D110" i="4" a="1"/>
  <c r="D110" i="4"/>
  <c r="L12" i="4"/>
  <c r="D104" i="4" a="1"/>
  <c r="D104" i="4"/>
  <c r="F12" i="4"/>
  <c r="D113" i="4" a="1"/>
  <c r="D113" i="4"/>
  <c r="O12" i="4"/>
  <c r="D103" i="4" a="1"/>
  <c r="D103" i="4"/>
  <c r="D109" i="4"/>
  <c r="K12" i="4"/>
  <c r="U104" i="4" a="1"/>
  <c r="U104" i="4"/>
  <c r="F29" i="4"/>
  <c r="U110" i="4" a="1"/>
  <c r="U110" i="4"/>
  <c r="L29" i="4"/>
  <c r="U108" i="4"/>
  <c r="J29" i="4"/>
  <c r="U113" i="4" a="1"/>
  <c r="U113" i="4"/>
  <c r="O29" i="4"/>
  <c r="U112" i="4" a="1"/>
  <c r="U112" i="4"/>
  <c r="N29" i="4"/>
  <c r="U105" i="4" a="1"/>
  <c r="U105" i="4"/>
  <c r="G29" i="4"/>
  <c r="U103" i="4" a="1"/>
  <c r="U103" i="4"/>
  <c r="U109" i="4"/>
  <c r="K29" i="4"/>
  <c r="L108" i="4"/>
  <c r="J20" i="4"/>
  <c r="L113" i="4" a="1"/>
  <c r="L113" i="4"/>
  <c r="O20" i="4"/>
  <c r="L112" i="4" a="1"/>
  <c r="L112" i="4"/>
  <c r="N20" i="4"/>
  <c r="L110" i="4" a="1"/>
  <c r="L110" i="4"/>
  <c r="L20" i="4"/>
  <c r="L109" i="4"/>
  <c r="K20" i="4"/>
  <c r="L103" i="4" a="1"/>
  <c r="L103" i="4"/>
  <c r="E20" i="4"/>
  <c r="L104" i="4" a="1"/>
  <c r="L104" i="4"/>
  <c r="F20" i="4"/>
  <c r="L105" i="4" a="1"/>
  <c r="L105" i="4"/>
  <c r="G20" i="4"/>
  <c r="C154" i="7"/>
  <c r="H154" i="7"/>
  <c r="D148" i="7"/>
  <c r="M95" i="2"/>
  <c r="G148" i="7"/>
  <c r="P95" i="2"/>
  <c r="H148" i="7"/>
  <c r="Q95" i="2"/>
  <c r="D154" i="7"/>
  <c r="E148" i="7"/>
  <c r="N95" i="2"/>
  <c r="B154" i="7"/>
  <c r="I154" i="7"/>
  <c r="F148" i="7" a="1"/>
  <c r="F148" i="7"/>
  <c r="O95" i="2"/>
  <c r="E154" i="7"/>
  <c r="G154" i="7"/>
  <c r="M108" i="4"/>
  <c r="J21" i="4"/>
  <c r="M109" i="4"/>
  <c r="K21" i="4"/>
  <c r="M105" i="4" a="1"/>
  <c r="M105" i="4"/>
  <c r="G21" i="4"/>
  <c r="M110" i="4" a="1"/>
  <c r="M110" i="4"/>
  <c r="L21" i="4"/>
  <c r="M113" i="4" a="1"/>
  <c r="M113" i="4"/>
  <c r="O21" i="4"/>
  <c r="M103" i="4" a="1"/>
  <c r="M103" i="4"/>
  <c r="E21" i="4"/>
  <c r="M104" i="4" a="1"/>
  <c r="M104" i="4"/>
  <c r="F21" i="4"/>
  <c r="S104" i="4" a="1"/>
  <c r="S104" i="4"/>
  <c r="F27" i="4"/>
  <c r="S110" i="4" a="1"/>
  <c r="S110" i="4"/>
  <c r="L27" i="4"/>
  <c r="S109" i="4"/>
  <c r="K27" i="4"/>
  <c r="S112" i="4" a="1"/>
  <c r="S112" i="4"/>
  <c r="N27" i="4"/>
  <c r="S105" i="4" a="1"/>
  <c r="S105" i="4"/>
  <c r="G27" i="4"/>
  <c r="S103" i="4" a="1"/>
  <c r="S103" i="4"/>
  <c r="S108" i="4"/>
  <c r="J27" i="4"/>
  <c r="S113" i="4" a="1"/>
  <c r="S113" i="4"/>
  <c r="O27" i="4"/>
  <c r="Y110" i="4" a="1"/>
  <c r="Y110" i="4"/>
  <c r="L33" i="4"/>
  <c r="Y108" i="4"/>
  <c r="J33" i="4"/>
  <c r="Y109" i="4"/>
  <c r="K33" i="4"/>
  <c r="Y103" i="4" a="1"/>
  <c r="Y103" i="4"/>
  <c r="E33" i="4"/>
  <c r="Y105" i="4" a="1"/>
  <c r="Y105" i="4"/>
  <c r="G33" i="4"/>
  <c r="Y104" i="4" a="1"/>
  <c r="Y104" i="4"/>
  <c r="F33" i="4"/>
  <c r="Y113" i="4" a="1"/>
  <c r="Y113" i="4"/>
  <c r="O33" i="4"/>
  <c r="E110" i="4" a="1"/>
  <c r="E110" i="4"/>
  <c r="L13" i="4"/>
  <c r="E103" i="4" a="1"/>
  <c r="E103" i="4"/>
  <c r="E13" i="4"/>
  <c r="E108" i="4"/>
  <c r="J13" i="4"/>
  <c r="E105" i="4" a="1"/>
  <c r="E105" i="4"/>
  <c r="G13" i="4"/>
  <c r="E104" i="4" a="1"/>
  <c r="E104" i="4"/>
  <c r="F13" i="4"/>
  <c r="E113" i="4" a="1"/>
  <c r="E113" i="4"/>
  <c r="O13" i="4"/>
  <c r="E109" i="4"/>
  <c r="K13" i="4"/>
  <c r="E112" i="4" a="1"/>
  <c r="E112" i="4"/>
  <c r="N13" i="4"/>
  <c r="C108" i="4"/>
  <c r="J11" i="4"/>
  <c r="C113" i="4" a="1"/>
  <c r="C113" i="4"/>
  <c r="O11" i="4"/>
  <c r="C105" i="4" a="1"/>
  <c r="C105" i="4"/>
  <c r="G11" i="4"/>
  <c r="C109" i="4"/>
  <c r="K11" i="4"/>
  <c r="C110" i="4" a="1"/>
  <c r="C110" i="4"/>
  <c r="L11" i="4"/>
  <c r="C103" i="4" a="1"/>
  <c r="C103" i="4"/>
  <c r="E11" i="4"/>
  <c r="C104" i="4" a="1"/>
  <c r="C104" i="4"/>
  <c r="F11" i="4"/>
  <c r="C112" i="4" a="1"/>
  <c r="C112" i="4"/>
  <c r="N11" i="4"/>
  <c r="Z110" i="4" a="1"/>
  <c r="Z110" i="4"/>
  <c r="L34" i="4"/>
  <c r="Z109" i="4"/>
  <c r="K34" i="4"/>
  <c r="Z103" i="4" a="1"/>
  <c r="Z103" i="4"/>
  <c r="E34" i="4"/>
  <c r="Z104" i="4" a="1"/>
  <c r="Z104" i="4"/>
  <c r="F34" i="4"/>
  <c r="Z108" i="4"/>
  <c r="J34" i="4"/>
  <c r="Z113" i="4" a="1"/>
  <c r="Z113" i="4"/>
  <c r="O34" i="4"/>
  <c r="Z105" i="4" a="1"/>
  <c r="Z105" i="4"/>
  <c r="G34" i="4"/>
  <c r="W108" i="4"/>
  <c r="J31" i="4"/>
  <c r="W103" i="4" a="1"/>
  <c r="W103" i="4"/>
  <c r="E31" i="4"/>
  <c r="W104" i="4" a="1"/>
  <c r="W104" i="4"/>
  <c r="F31" i="4"/>
  <c r="W110" i="4" a="1"/>
  <c r="W110" i="4"/>
  <c r="L31" i="4"/>
  <c r="W113" i="4" a="1"/>
  <c r="W113" i="4"/>
  <c r="O31" i="4"/>
  <c r="W109" i="4"/>
  <c r="K31" i="4"/>
  <c r="W105" i="4" a="1"/>
  <c r="W105" i="4"/>
  <c r="G31" i="4"/>
  <c r="W112" i="4" a="1"/>
  <c r="W112" i="4"/>
  <c r="N31" i="4"/>
  <c r="AA109" i="4"/>
  <c r="K35" i="4"/>
  <c r="AA108" i="4"/>
  <c r="J35" i="4"/>
  <c r="AA113" i="4" a="1"/>
  <c r="AA113" i="4"/>
  <c r="O35" i="4"/>
  <c r="AA103" i="4" a="1"/>
  <c r="AA103" i="4"/>
  <c r="E35" i="4"/>
  <c r="AA104" i="4" a="1"/>
  <c r="AA104" i="4"/>
  <c r="F35" i="4"/>
  <c r="AA112" i="4" a="1"/>
  <c r="AA112" i="4"/>
  <c r="N35" i="4"/>
  <c r="AA110" i="4" a="1"/>
  <c r="AA110" i="4"/>
  <c r="L35" i="4"/>
  <c r="AA105" i="4" a="1"/>
  <c r="AA105" i="4"/>
  <c r="G35" i="4"/>
  <c r="X103" i="4" a="1"/>
  <c r="X103" i="4"/>
  <c r="E32" i="4"/>
  <c r="X112" i="4" a="1"/>
  <c r="X112" i="4"/>
  <c r="N32" i="4"/>
  <c r="X110" i="4" a="1"/>
  <c r="X110" i="4"/>
  <c r="L32" i="4"/>
  <c r="X108" i="4"/>
  <c r="J32" i="4"/>
  <c r="X105" i="4" a="1"/>
  <c r="X105" i="4"/>
  <c r="G32" i="4"/>
  <c r="X113" i="4" a="1"/>
  <c r="X113" i="4"/>
  <c r="O32" i="4"/>
  <c r="X109" i="4"/>
  <c r="K32" i="4"/>
  <c r="X104" i="4" a="1"/>
  <c r="X104" i="4"/>
  <c r="F32" i="4"/>
  <c r="BI6" i="7"/>
  <c r="H103" i="4" a="1"/>
  <c r="H103" i="4"/>
  <c r="E16" i="4"/>
  <c r="H112" i="4" a="1"/>
  <c r="H112" i="4"/>
  <c r="N16" i="4"/>
  <c r="H105" i="4" a="1"/>
  <c r="H105" i="4"/>
  <c r="G16" i="4"/>
  <c r="H108" i="4"/>
  <c r="J16" i="4"/>
  <c r="H110" i="4" a="1"/>
  <c r="H110" i="4"/>
  <c r="L16" i="4"/>
  <c r="H113" i="4" a="1"/>
  <c r="H113" i="4"/>
  <c r="O16" i="4"/>
  <c r="H104" i="4" a="1"/>
  <c r="H104" i="4"/>
  <c r="F16" i="4"/>
  <c r="H109" i="4"/>
  <c r="K16" i="4"/>
  <c r="R105" i="4" a="1"/>
  <c r="R105" i="4"/>
  <c r="G26" i="4"/>
  <c r="R112" i="4" a="1"/>
  <c r="R112" i="4"/>
  <c r="N26" i="4"/>
  <c r="R108" i="4"/>
  <c r="J26" i="4"/>
  <c r="R109" i="4"/>
  <c r="K26" i="4"/>
  <c r="R103" i="4" a="1"/>
  <c r="R103" i="4"/>
  <c r="E26" i="4"/>
  <c r="K112" i="4" a="1"/>
  <c r="K112" i="4"/>
  <c r="N19" i="4"/>
  <c r="K103" i="4" a="1"/>
  <c r="K103" i="4"/>
  <c r="E19" i="4"/>
  <c r="K104" i="4" a="1"/>
  <c r="K104" i="4"/>
  <c r="F19" i="4"/>
  <c r="K110" i="4" a="1"/>
  <c r="K110" i="4"/>
  <c r="L19" i="4"/>
  <c r="K108" i="4"/>
  <c r="J19" i="4"/>
  <c r="K113" i="4" a="1"/>
  <c r="K113" i="4"/>
  <c r="O19" i="4"/>
  <c r="K105" i="4" a="1"/>
  <c r="K105" i="4"/>
  <c r="G19" i="4"/>
  <c r="K109" i="4"/>
  <c r="K19" i="4"/>
  <c r="O104" i="4" a="1"/>
  <c r="O104" i="4"/>
  <c r="F23" i="4"/>
  <c r="O109" i="4"/>
  <c r="K23" i="4"/>
  <c r="O108" i="4"/>
  <c r="J23" i="4"/>
  <c r="O113" i="4" a="1"/>
  <c r="O113" i="4"/>
  <c r="O23" i="4"/>
  <c r="O110" i="4" a="1"/>
  <c r="O110" i="4"/>
  <c r="L23" i="4"/>
  <c r="O105" i="4" a="1"/>
  <c r="O105" i="4"/>
  <c r="G23" i="4"/>
  <c r="O103" i="4" a="1"/>
  <c r="O103" i="4"/>
  <c r="E23" i="4"/>
  <c r="G104" i="4" a="1"/>
  <c r="G104" i="4"/>
  <c r="F15" i="4"/>
  <c r="G105" i="4" a="1"/>
  <c r="G105" i="4"/>
  <c r="G15" i="4"/>
  <c r="G113" i="4" a="1"/>
  <c r="G113" i="4"/>
  <c r="O15" i="4"/>
  <c r="G103" i="4" a="1"/>
  <c r="G103" i="4"/>
  <c r="E15" i="4"/>
  <c r="G108" i="4"/>
  <c r="J15" i="4"/>
  <c r="G109" i="4"/>
  <c r="K15" i="4"/>
  <c r="G112" i="4" a="1"/>
  <c r="G112" i="4"/>
  <c r="N15" i="4"/>
  <c r="G110" i="4" a="1"/>
  <c r="G110" i="4"/>
  <c r="L15" i="4"/>
  <c r="I110" i="4" a="1"/>
  <c r="I110" i="4"/>
  <c r="L17" i="4"/>
  <c r="I103" i="4" a="1"/>
  <c r="I103" i="4"/>
  <c r="E17" i="4"/>
  <c r="I112" i="4" a="1"/>
  <c r="I112" i="4"/>
  <c r="N17" i="4"/>
  <c r="I108" i="4"/>
  <c r="J17" i="4"/>
  <c r="I104" i="4" a="1"/>
  <c r="I104" i="4"/>
  <c r="F17" i="4"/>
  <c r="I109" i="4"/>
  <c r="K17" i="4"/>
  <c r="I113" i="4" a="1"/>
  <c r="I113" i="4"/>
  <c r="O17" i="4"/>
  <c r="I105" i="4" a="1"/>
  <c r="I105" i="4"/>
  <c r="G17" i="4"/>
  <c r="Q108" i="4"/>
  <c r="J25" i="4"/>
  <c r="Q109" i="4"/>
  <c r="K25" i="4"/>
  <c r="Q103" i="4" a="1"/>
  <c r="Q103" i="4"/>
  <c r="E25" i="4"/>
  <c r="Q112" i="4" a="1"/>
  <c r="Q112" i="4"/>
  <c r="N25" i="4"/>
  <c r="Q105" i="4" a="1"/>
  <c r="Q105" i="4"/>
  <c r="G25" i="4"/>
  <c r="Q110" i="4" a="1"/>
  <c r="Q110" i="4"/>
  <c r="L25" i="4"/>
  <c r="Q113" i="4" a="1"/>
  <c r="Q113" i="4"/>
  <c r="O25" i="4"/>
  <c r="Q104" i="4" a="1"/>
  <c r="Q104" i="4"/>
  <c r="F25" i="4"/>
  <c r="J109" i="4"/>
  <c r="K18" i="4"/>
  <c r="J103" i="4" a="1"/>
  <c r="J103" i="4"/>
  <c r="E18" i="4"/>
  <c r="J112" i="4" a="1"/>
  <c r="J112" i="4"/>
  <c r="N18" i="4"/>
  <c r="J113" i="4" a="1"/>
  <c r="J113" i="4"/>
  <c r="O18" i="4"/>
  <c r="J105" i="4" a="1"/>
  <c r="J105" i="4"/>
  <c r="G18" i="4"/>
  <c r="J108" i="4"/>
  <c r="J18" i="4"/>
  <c r="J110" i="4" a="1"/>
  <c r="J110" i="4"/>
  <c r="L18" i="4"/>
  <c r="J104" i="4" a="1"/>
  <c r="J104" i="4"/>
  <c r="F18" i="4"/>
  <c r="T113" i="4" a="1"/>
  <c r="T113" i="4"/>
  <c r="O28" i="4"/>
  <c r="T105" i="4" a="1"/>
  <c r="T105" i="4"/>
  <c r="G28" i="4"/>
  <c r="T104" i="4" a="1"/>
  <c r="T104" i="4"/>
  <c r="F28" i="4"/>
  <c r="T108" i="4"/>
  <c r="J28" i="4"/>
  <c r="T109" i="4"/>
  <c r="K28" i="4"/>
  <c r="T103" i="4" a="1"/>
  <c r="T103" i="4"/>
  <c r="E28" i="4"/>
  <c r="T110" i="4" a="1"/>
  <c r="T110" i="4"/>
  <c r="L28" i="4"/>
  <c r="T112" i="4" a="1"/>
  <c r="T112" i="4"/>
  <c r="N28" i="4"/>
  <c r="V109" i="4"/>
  <c r="K30" i="4"/>
  <c r="V110" i="4" a="1"/>
  <c r="V110" i="4"/>
  <c r="L30" i="4"/>
  <c r="V105" i="4" a="1"/>
  <c r="V105" i="4"/>
  <c r="G30" i="4"/>
  <c r="V104" i="4" a="1"/>
  <c r="V104" i="4"/>
  <c r="F30" i="4"/>
  <c r="V112" i="4" a="1"/>
  <c r="V112" i="4"/>
  <c r="N30" i="4"/>
  <c r="V103" i="4" a="1"/>
  <c r="V103" i="4"/>
  <c r="E30" i="4"/>
  <c r="V113" i="4" a="1"/>
  <c r="V113" i="4"/>
  <c r="O30" i="4"/>
  <c r="V108" i="4"/>
  <c r="J30" i="4"/>
  <c r="Y102" i="4"/>
  <c r="D33" i="4"/>
  <c r="Q102" i="4"/>
  <c r="D25" i="4"/>
  <c r="U102" i="4"/>
  <c r="D29" i="4"/>
  <c r="I102" i="4"/>
  <c r="D17" i="4"/>
  <c r="E102" i="4"/>
  <c r="D13" i="4"/>
  <c r="M102" i="4"/>
  <c r="D21" i="4"/>
  <c r="BU7" i="7"/>
  <c r="AD42" i="9"/>
  <c r="AF42" i="9"/>
  <c r="AH42" i="9"/>
  <c r="AJ42" i="9"/>
  <c r="AL42" i="9"/>
  <c r="AN42" i="9"/>
  <c r="AP42" i="9"/>
  <c r="AR42" i="9"/>
  <c r="AT42" i="9"/>
  <c r="AV42" i="9"/>
  <c r="AX42" i="9"/>
  <c r="AE43" i="9"/>
  <c r="AG43" i="9"/>
  <c r="AI43" i="9"/>
  <c r="AK43" i="9"/>
  <c r="AM43" i="9"/>
  <c r="AO43" i="9"/>
  <c r="AQ43" i="9"/>
  <c r="AS43" i="9"/>
  <c r="AU43" i="9"/>
  <c r="AW43" i="9"/>
  <c r="AY43" i="9"/>
  <c r="AR143" i="9"/>
  <c r="AS138" i="9"/>
  <c r="AU143" i="9"/>
  <c r="AE42" i="9"/>
  <c r="AG42" i="9"/>
  <c r="AI42" i="9"/>
  <c r="AK42" i="9"/>
  <c r="AM42" i="9"/>
  <c r="AO42" i="9"/>
  <c r="AQ42" i="9"/>
  <c r="AS42" i="9"/>
  <c r="AU42" i="9"/>
  <c r="AW42" i="9"/>
  <c r="AY42" i="9"/>
  <c r="AA102" i="4"/>
  <c r="D35" i="4"/>
  <c r="AA101" i="4"/>
  <c r="AA107" i="4"/>
  <c r="I35" i="4"/>
  <c r="S102" i="4"/>
  <c r="D27" i="4"/>
  <c r="S101" i="4"/>
  <c r="S107" i="4"/>
  <c r="I27" i="4"/>
  <c r="K102" i="4"/>
  <c r="D19" i="4"/>
  <c r="K101" i="4"/>
  <c r="C101" i="4"/>
  <c r="C102" i="4"/>
  <c r="D11" i="4"/>
  <c r="V102" i="4"/>
  <c r="D30" i="4"/>
  <c r="V101" i="4"/>
  <c r="N102" i="4"/>
  <c r="D22" i="4"/>
  <c r="N101" i="4"/>
  <c r="F101" i="4"/>
  <c r="F102" i="4"/>
  <c r="D14" i="4"/>
  <c r="T102" i="4"/>
  <c r="D28" i="4"/>
  <c r="T101" i="4"/>
  <c r="L102" i="4"/>
  <c r="D20" i="4"/>
  <c r="L101" i="4"/>
  <c r="D102" i="4"/>
  <c r="D12" i="4"/>
  <c r="D101" i="4"/>
  <c r="C107" i="4"/>
  <c r="I11" i="4"/>
  <c r="W102" i="4"/>
  <c r="D31" i="4"/>
  <c r="W101" i="4"/>
  <c r="O102" i="4"/>
  <c r="D23" i="4"/>
  <c r="O101" i="4"/>
  <c r="G102" i="4"/>
  <c r="D15" i="4"/>
  <c r="G101" i="4"/>
  <c r="Z102" i="4"/>
  <c r="D34" i="4"/>
  <c r="Z101" i="4"/>
  <c r="Z107" i="4"/>
  <c r="I34" i="4"/>
  <c r="R102" i="4"/>
  <c r="D26" i="4"/>
  <c r="R101" i="4"/>
  <c r="J101" i="4"/>
  <c r="J102" i="4"/>
  <c r="D18" i="4"/>
  <c r="X101" i="4"/>
  <c r="X102" i="4"/>
  <c r="D32" i="4"/>
  <c r="P102" i="4"/>
  <c r="P101" i="4"/>
  <c r="H102" i="4"/>
  <c r="D16" i="4"/>
  <c r="H101" i="4"/>
  <c r="H107" i="4"/>
  <c r="I16" i="4"/>
  <c r="AB48" i="9"/>
  <c r="Z48" i="9"/>
  <c r="X48" i="9"/>
  <c r="AY48" i="9"/>
  <c r="AW48" i="9"/>
  <c r="AU48" i="9"/>
  <c r="AS48" i="9"/>
  <c r="AQ48" i="9"/>
  <c r="AO48" i="9"/>
  <c r="AM48" i="9"/>
  <c r="AK48" i="9"/>
  <c r="AI48" i="9"/>
  <c r="AG48" i="9"/>
  <c r="AE48" i="9"/>
  <c r="AZ48" i="9"/>
  <c r="AX48" i="9"/>
  <c r="AV48" i="9"/>
  <c r="AT48" i="9"/>
  <c r="AR48" i="9"/>
  <c r="AP48" i="9"/>
  <c r="AN48" i="9"/>
  <c r="AL48" i="9"/>
  <c r="AJ48" i="9"/>
  <c r="AH48" i="9"/>
  <c r="AF48" i="9"/>
  <c r="AD48" i="9"/>
  <c r="V48" i="9"/>
  <c r="T48" i="9"/>
  <c r="R48" i="9"/>
  <c r="P48" i="9"/>
  <c r="N48" i="9"/>
  <c r="L48" i="9"/>
  <c r="J48" i="9"/>
  <c r="H48" i="9"/>
  <c r="F48" i="9"/>
  <c r="D48" i="9"/>
  <c r="AY46" i="9"/>
  <c r="AW46" i="9"/>
  <c r="AU46" i="9"/>
  <c r="AS46" i="9"/>
  <c r="AQ46" i="9"/>
  <c r="AO46" i="9"/>
  <c r="AM46" i="9"/>
  <c r="AK46" i="9"/>
  <c r="AI46" i="9"/>
  <c r="AG46" i="9"/>
  <c r="AE46" i="9"/>
  <c r="AC46" i="9"/>
  <c r="AA46" i="9"/>
  <c r="Y46" i="9"/>
  <c r="W46" i="9"/>
  <c r="U46" i="9"/>
  <c r="S46" i="9"/>
  <c r="Q46" i="9"/>
  <c r="O46" i="9"/>
  <c r="M46" i="9"/>
  <c r="K46" i="9"/>
  <c r="I46" i="9"/>
  <c r="G46" i="9"/>
  <c r="E46" i="9"/>
  <c r="C46" i="9"/>
  <c r="AZ46" i="9"/>
  <c r="AX46" i="9"/>
  <c r="AV46" i="9"/>
  <c r="AT46" i="9"/>
  <c r="AR46" i="9"/>
  <c r="AP46" i="9"/>
  <c r="AN46" i="9"/>
  <c r="AL46" i="9"/>
  <c r="AJ46" i="9"/>
  <c r="AH46" i="9"/>
  <c r="AF46" i="9"/>
  <c r="AD46" i="9"/>
  <c r="AB46" i="9"/>
  <c r="Z46" i="9"/>
  <c r="X46" i="9"/>
  <c r="V46" i="9"/>
  <c r="T46" i="9"/>
  <c r="R46" i="9"/>
  <c r="P46" i="9"/>
  <c r="N46" i="9"/>
  <c r="L46" i="9"/>
  <c r="J46" i="9"/>
  <c r="H46" i="9"/>
  <c r="F46" i="9"/>
  <c r="D46" i="9"/>
  <c r="E101" i="4"/>
  <c r="I101" i="4"/>
  <c r="I107" i="4"/>
  <c r="I17" i="4"/>
  <c r="B43" i="9"/>
  <c r="B46" i="9"/>
  <c r="B48" i="9"/>
  <c r="D42" i="9"/>
  <c r="F42" i="9"/>
  <c r="H42" i="9"/>
  <c r="J42" i="9"/>
  <c r="L42" i="9"/>
  <c r="N42" i="9"/>
  <c r="P42" i="9"/>
  <c r="R42" i="9"/>
  <c r="T42" i="9"/>
  <c r="V42" i="9"/>
  <c r="X42" i="9"/>
  <c r="Z42" i="9"/>
  <c r="AB42" i="9"/>
  <c r="D43" i="9"/>
  <c r="F43" i="9"/>
  <c r="H43" i="9"/>
  <c r="J43" i="9"/>
  <c r="L43" i="9"/>
  <c r="N43" i="9"/>
  <c r="P43" i="9"/>
  <c r="R43" i="9"/>
  <c r="T43" i="9"/>
  <c r="V43" i="9"/>
  <c r="X43" i="9"/>
  <c r="Z43" i="9"/>
  <c r="AB43" i="9"/>
  <c r="AC48" i="9"/>
  <c r="AA48" i="9"/>
  <c r="M101" i="4"/>
  <c r="Q101" i="4"/>
  <c r="U101" i="4"/>
  <c r="Y101" i="4"/>
  <c r="B42" i="9"/>
  <c r="C42" i="9"/>
  <c r="E42" i="9"/>
  <c r="G42" i="9"/>
  <c r="I42" i="9"/>
  <c r="K42" i="9"/>
  <c r="M42" i="9"/>
  <c r="O42" i="9"/>
  <c r="Q42" i="9"/>
  <c r="S42" i="9"/>
  <c r="U42" i="9"/>
  <c r="W42" i="9"/>
  <c r="Y42" i="9"/>
  <c r="AA42" i="9"/>
  <c r="AC42" i="9"/>
  <c r="C43" i="9"/>
  <c r="E43" i="9"/>
  <c r="G43" i="9"/>
  <c r="I43" i="9"/>
  <c r="K43" i="9"/>
  <c r="M43" i="9"/>
  <c r="O43" i="9"/>
  <c r="Q43" i="9"/>
  <c r="S43" i="9"/>
  <c r="U43" i="9"/>
  <c r="W43" i="9"/>
  <c r="Y43" i="9"/>
  <c r="AA43" i="9"/>
  <c r="AC43" i="9"/>
  <c r="E24" i="4"/>
  <c r="AK4" i="6"/>
  <c r="AK67" i="6"/>
  <c r="O4" i="6"/>
  <c r="U107" i="4"/>
  <c r="I29" i="4"/>
  <c r="E29" i="4"/>
  <c r="N107" i="4"/>
  <c r="I22" i="4"/>
  <c r="E22" i="4"/>
  <c r="L107" i="4"/>
  <c r="I20" i="4"/>
  <c r="E27" i="4"/>
  <c r="G107" i="4"/>
  <c r="I15" i="4"/>
  <c r="E12" i="4"/>
  <c r="D107" i="4"/>
  <c r="I12" i="4"/>
  <c r="X112" i="7"/>
  <c r="X113" i="7"/>
  <c r="U112" i="7"/>
  <c r="U113" i="7"/>
  <c r="Z112" i="7"/>
  <c r="Z113" i="7"/>
  <c r="V114" i="7"/>
  <c r="U114" i="7"/>
  <c r="T112" i="7"/>
  <c r="T113" i="7"/>
  <c r="S113" i="7"/>
  <c r="S112" i="7"/>
  <c r="Q113" i="7"/>
  <c r="T136" i="6"/>
  <c r="T137" i="6"/>
  <c r="V107" i="4"/>
  <c r="I30" i="4"/>
  <c r="Q107" i="4"/>
  <c r="I25" i="4"/>
  <c r="X107" i="4"/>
  <c r="I32" i="4"/>
  <c r="Y107" i="4"/>
  <c r="I33" i="4"/>
  <c r="K107" i="4"/>
  <c r="I19" i="4"/>
  <c r="R107" i="4"/>
  <c r="I26" i="4"/>
  <c r="F107" i="4"/>
  <c r="I14" i="4"/>
  <c r="E107" i="4"/>
  <c r="I13" i="4"/>
  <c r="BU57" i="7"/>
  <c r="R113" i="7"/>
  <c r="BN7" i="7"/>
  <c r="C165" i="7"/>
  <c r="D165" i="7"/>
  <c r="G149" i="7"/>
  <c r="P96" i="2"/>
  <c r="F149" i="7" a="1"/>
  <c r="F149" i="7"/>
  <c r="O96" i="2"/>
  <c r="H149" i="7"/>
  <c r="Q96" i="2"/>
  <c r="D149" i="7"/>
  <c r="M96" i="2"/>
  <c r="E149" i="7"/>
  <c r="N96" i="2"/>
  <c r="E42" i="7"/>
  <c r="N94" i="2"/>
  <c r="F42" i="7" a="1"/>
  <c r="F42" i="7"/>
  <c r="O94" i="2"/>
  <c r="W47" i="7"/>
  <c r="M47" i="7"/>
  <c r="AT47" i="7"/>
  <c r="P47" i="7"/>
  <c r="AK47" i="7"/>
  <c r="AP47" i="7"/>
  <c r="D47" i="7"/>
  <c r="AS47" i="7"/>
  <c r="N47" i="7"/>
  <c r="T47" i="7"/>
  <c r="AO47" i="7"/>
  <c r="F41" i="7" a="1"/>
  <c r="F41" i="7"/>
  <c r="O93" i="2"/>
  <c r="E41" i="7"/>
  <c r="N93" i="2"/>
  <c r="G41" i="7"/>
  <c r="P93" i="2"/>
  <c r="E47" i="7"/>
  <c r="H41" i="7"/>
  <c r="Q93" i="2"/>
  <c r="AI47" i="7"/>
  <c r="AL47" i="7"/>
  <c r="Q47" i="7"/>
  <c r="AF47" i="7"/>
  <c r="R47" i="7"/>
  <c r="AG47" i="7"/>
  <c r="AN47" i="7"/>
  <c r="AV47" i="7"/>
  <c r="AR47" i="7"/>
  <c r="S47" i="7"/>
  <c r="X47" i="7"/>
  <c r="O47" i="7"/>
  <c r="P165" i="7"/>
  <c r="BN58" i="7"/>
  <c r="G42" i="7"/>
  <c r="P94" i="2"/>
  <c r="D42" i="7"/>
  <c r="M94" i="2"/>
  <c r="BU8" i="7"/>
  <c r="H42" i="7"/>
  <c r="Q94" i="2"/>
  <c r="J47" i="7"/>
  <c r="AU47" i="7"/>
  <c r="AC47" i="7"/>
  <c r="H47" i="7"/>
  <c r="F47" i="7"/>
  <c r="L47" i="7"/>
  <c r="AE47" i="7"/>
  <c r="AH47" i="7"/>
  <c r="AB47" i="7"/>
  <c r="AM47" i="7"/>
  <c r="C47" i="7"/>
  <c r="AA47" i="7"/>
  <c r="AD47" i="7"/>
  <c r="AJ47" i="7"/>
  <c r="U47" i="7"/>
  <c r="D41" i="7"/>
  <c r="M93" i="2"/>
  <c r="B47" i="7"/>
  <c r="I47" i="7"/>
  <c r="K47" i="7"/>
  <c r="Z47" i="7"/>
  <c r="Y47" i="7"/>
  <c r="G47" i="7"/>
  <c r="AW47" i="7"/>
  <c r="AQ47" i="7"/>
  <c r="V47" i="7"/>
  <c r="Y106" i="4"/>
  <c r="H33" i="4"/>
  <c r="C33" i="4"/>
  <c r="Q106" i="4"/>
  <c r="H25" i="4"/>
  <c r="C25" i="4"/>
  <c r="I106" i="4"/>
  <c r="H17" i="4"/>
  <c r="C17" i="4"/>
  <c r="C16" i="4"/>
  <c r="H106" i="4"/>
  <c r="H16" i="4"/>
  <c r="P106" i="4"/>
  <c r="H24" i="4"/>
  <c r="C24" i="4"/>
  <c r="R106" i="4"/>
  <c r="H26" i="4"/>
  <c r="C26" i="4"/>
  <c r="Z106" i="4"/>
  <c r="H34" i="4"/>
  <c r="C34" i="4"/>
  <c r="C15" i="4"/>
  <c r="G106" i="4"/>
  <c r="H15" i="4"/>
  <c r="O106" i="4"/>
  <c r="H23" i="4"/>
  <c r="C23" i="4"/>
  <c r="W106" i="4"/>
  <c r="H31" i="4"/>
  <c r="W107" i="4"/>
  <c r="I31" i="4"/>
  <c r="C31" i="4"/>
  <c r="F106" i="4"/>
  <c r="H14" i="4"/>
  <c r="C14" i="4"/>
  <c r="C11" i="4"/>
  <c r="C106" i="4"/>
  <c r="H11" i="4"/>
  <c r="O107" i="4"/>
  <c r="I23" i="4"/>
  <c r="U106" i="4"/>
  <c r="H29" i="4"/>
  <c r="C29" i="4"/>
  <c r="M106" i="4"/>
  <c r="H21" i="4"/>
  <c r="M107" i="4"/>
  <c r="I21" i="4"/>
  <c r="C21" i="4"/>
  <c r="C13" i="4"/>
  <c r="E106" i="4"/>
  <c r="H13" i="4"/>
  <c r="C32" i="4"/>
  <c r="X106" i="4"/>
  <c r="H32" i="4"/>
  <c r="J106" i="4"/>
  <c r="H18" i="4"/>
  <c r="C18" i="4"/>
  <c r="J107" i="4"/>
  <c r="I18" i="4"/>
  <c r="P107" i="4"/>
  <c r="I24" i="4"/>
  <c r="C12" i="4"/>
  <c r="D106" i="4"/>
  <c r="H12" i="4"/>
  <c r="L106" i="4"/>
  <c r="H20" i="4"/>
  <c r="C20" i="4"/>
  <c r="T106" i="4"/>
  <c r="H28" i="4"/>
  <c r="C28" i="4"/>
  <c r="C22" i="4"/>
  <c r="N106" i="4"/>
  <c r="H22" i="4"/>
  <c r="V106" i="4"/>
  <c r="H30" i="4"/>
  <c r="C30" i="4"/>
  <c r="K106" i="4"/>
  <c r="H19" i="4"/>
  <c r="C19" i="4"/>
  <c r="S106" i="4"/>
  <c r="H27" i="4"/>
  <c r="C27" i="4"/>
  <c r="AA106" i="4"/>
  <c r="H35" i="4"/>
  <c r="C35" i="4"/>
  <c r="T107" i="4"/>
  <c r="I28" i="4"/>
  <c r="AJ4" i="6"/>
  <c r="AJ67" i="6"/>
  <c r="AG4" i="6"/>
  <c r="AC4" i="6"/>
  <c r="AH4" i="6"/>
  <c r="AH67" i="6"/>
  <c r="AI67" i="6"/>
  <c r="AI4" i="6"/>
  <c r="U115" i="7"/>
  <c r="S114" i="7"/>
  <c r="Q114" i="7"/>
  <c r="Y112" i="7"/>
  <c r="Y113" i="7"/>
  <c r="T114" i="7"/>
  <c r="V115" i="7"/>
  <c r="W115" i="7"/>
  <c r="U136" i="6"/>
  <c r="U137" i="6"/>
  <c r="U138" i="6"/>
  <c r="T138" i="6"/>
  <c r="Y136" i="6"/>
  <c r="Y137" i="6"/>
  <c r="BV7" i="7"/>
  <c r="BU9" i="7"/>
  <c r="BN60" i="7"/>
  <c r="BO58" i="7"/>
  <c r="R114" i="7"/>
  <c r="BN8" i="7"/>
  <c r="BN59" i="7"/>
  <c r="BO57" i="7"/>
  <c r="AE113" i="7"/>
  <c r="T115" i="7"/>
  <c r="S115" i="7"/>
  <c r="Q115" i="7"/>
  <c r="Y114" i="7"/>
  <c r="Q137" i="6"/>
  <c r="S136" i="6"/>
  <c r="S137" i="6"/>
  <c r="V136" i="6"/>
  <c r="V137" i="6"/>
  <c r="Y138" i="6"/>
  <c r="Q165" i="7"/>
  <c r="BP57" i="7"/>
  <c r="BN61" i="7"/>
  <c r="BO59" i="7"/>
  <c r="BV8" i="7"/>
  <c r="BU10" i="7"/>
  <c r="R115" i="7"/>
  <c r="BO7" i="7"/>
  <c r="BN9" i="7"/>
  <c r="R137" i="6"/>
  <c r="AE114" i="7"/>
  <c r="X114" i="7"/>
  <c r="AA113" i="7"/>
  <c r="Z114" i="7"/>
  <c r="Y115" i="7"/>
  <c r="V138" i="6"/>
  <c r="Q138" i="6"/>
  <c r="S138" i="6"/>
  <c r="W138" i="6"/>
  <c r="BO8" i="7"/>
  <c r="BN10" i="7"/>
  <c r="BW7" i="7"/>
  <c r="BU11" i="7"/>
  <c r="BV9" i="7"/>
  <c r="BU58" i="7"/>
  <c r="E165" i="7"/>
  <c r="BP58" i="7"/>
  <c r="BN62" i="7"/>
  <c r="BO60" i="7"/>
  <c r="R138" i="6"/>
  <c r="AA114" i="7"/>
  <c r="AE115" i="7"/>
  <c r="X115" i="7"/>
  <c r="AF113" i="7"/>
  <c r="Z115" i="7"/>
  <c r="Z136" i="6"/>
  <c r="Z137" i="6"/>
  <c r="BV57" i="7"/>
  <c r="BU59" i="7"/>
  <c r="BW8" i="7"/>
  <c r="BU12" i="7"/>
  <c r="BP59" i="7"/>
  <c r="BN63" i="7"/>
  <c r="BO61" i="7"/>
  <c r="BN11" i="7"/>
  <c r="BP7" i="7"/>
  <c r="BO9" i="7"/>
  <c r="R165" i="7"/>
  <c r="AB113" i="7"/>
  <c r="AF114" i="7"/>
  <c r="AA115" i="7"/>
  <c r="Z138" i="6"/>
  <c r="AA137" i="6"/>
  <c r="AE137" i="6"/>
  <c r="BO62" i="7"/>
  <c r="BP60" i="7"/>
  <c r="BN64" i="7"/>
  <c r="BP8" i="7"/>
  <c r="BN12" i="7"/>
  <c r="F165" i="7"/>
  <c r="BU13" i="7"/>
  <c r="BW9" i="7"/>
  <c r="BV58" i="7"/>
  <c r="BU60" i="7"/>
  <c r="AB114" i="7"/>
  <c r="AF115" i="7"/>
  <c r="AA138" i="6"/>
  <c r="AE138" i="6"/>
  <c r="BU14" i="7"/>
  <c r="BP9" i="7"/>
  <c r="BN13" i="7"/>
  <c r="BO63" i="7"/>
  <c r="BP61" i="7"/>
  <c r="BN65" i="7"/>
  <c r="BV59" i="7"/>
  <c r="BW57" i="7"/>
  <c r="BU61" i="7"/>
  <c r="AB115" i="7"/>
  <c r="AF137" i="6"/>
  <c r="AB137" i="6"/>
  <c r="BQ57" i="7"/>
  <c r="BO64" i="7"/>
  <c r="BP62" i="7"/>
  <c r="BN66" i="7"/>
  <c r="BV60" i="7"/>
  <c r="BW58" i="7"/>
  <c r="BU62" i="7"/>
  <c r="BN14" i="7"/>
  <c r="BU15" i="7"/>
  <c r="AB138" i="6"/>
  <c r="AF138" i="6"/>
  <c r="BX7" i="7"/>
  <c r="BU16" i="7"/>
  <c r="BN15" i="7"/>
  <c r="BQ58" i="7"/>
  <c r="BO65" i="7"/>
  <c r="BP63" i="7"/>
  <c r="BN67" i="7"/>
  <c r="BW59" i="7"/>
  <c r="BU63" i="7"/>
  <c r="BV61" i="7"/>
  <c r="AG113" i="7"/>
  <c r="BW60" i="7"/>
  <c r="BU64" i="7"/>
  <c r="BV62" i="7"/>
  <c r="S165" i="7"/>
  <c r="BQ59" i="7"/>
  <c r="BO66" i="7"/>
  <c r="BP64" i="7"/>
  <c r="BN68" i="7"/>
  <c r="BU17" i="7"/>
  <c r="BX8" i="7"/>
  <c r="BQ7" i="7"/>
  <c r="BN16" i="7"/>
  <c r="AG114" i="7"/>
  <c r="AC113" i="7"/>
  <c r="BQ8" i="7"/>
  <c r="BN17" i="7"/>
  <c r="BP65" i="7"/>
  <c r="BN69" i="7"/>
  <c r="BQ60" i="7"/>
  <c r="BO67" i="7"/>
  <c r="BU18" i="7"/>
  <c r="BX9" i="7"/>
  <c r="BW61" i="7"/>
  <c r="BU65" i="7"/>
  <c r="BV63" i="7"/>
  <c r="G165" i="7"/>
  <c r="AC114" i="7"/>
  <c r="AG115" i="7"/>
  <c r="BQ61" i="7"/>
  <c r="BO68" i="7"/>
  <c r="BN70" i="7"/>
  <c r="BP66" i="7"/>
  <c r="BN18" i="7"/>
  <c r="BQ9" i="7"/>
  <c r="BX57" i="7"/>
  <c r="BV64" i="7"/>
  <c r="BW62" i="7"/>
  <c r="BU66" i="7"/>
  <c r="BU19" i="7"/>
  <c r="AC115" i="7"/>
  <c r="AC137" i="6"/>
  <c r="AG137" i="6"/>
  <c r="BR57" i="7"/>
  <c r="BP67" i="7"/>
  <c r="BQ62" i="7"/>
  <c r="BO69" i="7"/>
  <c r="BX58" i="7"/>
  <c r="BV65" i="7"/>
  <c r="BW63" i="7"/>
  <c r="BU67" i="7"/>
  <c r="BU20" i="7"/>
  <c r="AG138" i="6"/>
  <c r="AC138" i="6"/>
  <c r="BY7" i="7"/>
  <c r="BR58" i="7"/>
  <c r="BP68" i="7"/>
  <c r="BQ63" i="7"/>
  <c r="BO70" i="7"/>
  <c r="BX59" i="7"/>
  <c r="BV66" i="7"/>
  <c r="BW64" i="7"/>
  <c r="BU68" i="7"/>
  <c r="AH113" i="7"/>
  <c r="BR7" i="7"/>
  <c r="BW65" i="7"/>
  <c r="BU69" i="7"/>
  <c r="BX60" i="7"/>
  <c r="BV67" i="7"/>
  <c r="T165" i="7"/>
  <c r="BY8" i="7"/>
  <c r="BQ64" i="7"/>
  <c r="BR59" i="7"/>
  <c r="BP69" i="7"/>
  <c r="AD113" i="7"/>
  <c r="AH114" i="7"/>
  <c r="BR8" i="7"/>
  <c r="H165" i="7"/>
  <c r="BY9" i="7"/>
  <c r="BR60" i="7"/>
  <c r="BP70" i="7"/>
  <c r="BQ65" i="7"/>
  <c r="BW66" i="7"/>
  <c r="BU70" i="7"/>
  <c r="BX61" i="7"/>
  <c r="BV68" i="7"/>
  <c r="AD114" i="7"/>
  <c r="AH115" i="7"/>
  <c r="BY57" i="7"/>
  <c r="BW67" i="7"/>
  <c r="BX62" i="7"/>
  <c r="BV69" i="7"/>
  <c r="BR9" i="7"/>
  <c r="BR61" i="7"/>
  <c r="BQ66" i="7"/>
  <c r="AD115" i="7"/>
  <c r="AH137" i="6"/>
  <c r="AD137" i="6"/>
  <c r="BX63" i="7"/>
  <c r="BV70" i="7"/>
  <c r="BY58" i="7"/>
  <c r="BW68" i="7"/>
  <c r="BR62" i="7"/>
  <c r="BQ67" i="7"/>
  <c r="AH138" i="6"/>
  <c r="AD138" i="6"/>
  <c r="BY59" i="7"/>
  <c r="BW69" i="7"/>
  <c r="BX64" i="7"/>
  <c r="BR63" i="7"/>
  <c r="BQ68" i="7"/>
  <c r="BR64" i="7"/>
  <c r="BQ69" i="7"/>
  <c r="BY60" i="7"/>
  <c r="BW70" i="7"/>
  <c r="BX65" i="7"/>
  <c r="BR65" i="7"/>
  <c r="BQ70" i="7"/>
  <c r="BX66" i="7"/>
  <c r="BY61" i="7"/>
  <c r="BX67" i="7"/>
  <c r="BY62" i="7"/>
  <c r="BR66" i="7"/>
  <c r="BX68" i="7"/>
  <c r="BY63" i="7"/>
  <c r="BR67" i="7"/>
  <c r="BR68" i="7"/>
  <c r="BY64" i="7"/>
  <c r="BX69" i="7"/>
  <c r="BR69" i="7"/>
  <c r="BX70" i="7"/>
  <c r="BY65" i="7"/>
  <c r="BR70" i="7"/>
  <c r="BY66" i="7"/>
  <c r="BF2" i="7"/>
  <c r="BD4" i="7"/>
  <c r="H93" i="7"/>
  <c r="Q98" i="2"/>
  <c r="BY67" i="7"/>
  <c r="BY68" i="7"/>
  <c r="G94" i="7"/>
  <c r="P99" i="2"/>
  <c r="D93" i="7"/>
  <c r="M98" i="2"/>
  <c r="F93" i="7" a="1"/>
  <c r="F93" i="7"/>
  <c r="O98" i="2"/>
  <c r="E93" i="7"/>
  <c r="N98" i="2"/>
  <c r="G93" i="7"/>
  <c r="P98" i="2"/>
  <c r="K98" i="2"/>
  <c r="L98" i="2"/>
  <c r="BY69" i="7"/>
  <c r="F94" i="7" a="1"/>
  <c r="F94" i="7"/>
  <c r="O99" i="2"/>
  <c r="E94" i="7"/>
  <c r="N99" i="2"/>
  <c r="D94" i="7"/>
  <c r="M99" i="2"/>
  <c r="K94" i="2"/>
  <c r="L94" i="2"/>
  <c r="H94" i="7"/>
  <c r="Q99" i="2"/>
  <c r="K95" i="2"/>
  <c r="L95" i="2"/>
  <c r="BY70" i="7"/>
  <c r="BD56" i="7"/>
  <c r="K93" i="2"/>
  <c r="L93" i="2"/>
  <c r="L96" i="2"/>
  <c r="K96" i="2"/>
  <c r="L99" i="2"/>
  <c r="K99" i="2"/>
  <c r="C117" i="6"/>
  <c r="C98" i="2"/>
  <c r="B98" i="2"/>
  <c r="B93" i="2"/>
  <c r="C54" i="6"/>
  <c r="C93" i="2"/>
  <c r="C118" i="6"/>
  <c r="C99" i="2"/>
  <c r="B99" i="2"/>
  <c r="B94" i="9"/>
  <c r="X137" i="6"/>
  <c r="X138" i="6"/>
  <c r="AQ66" i="6"/>
  <c r="F154" i="7"/>
  <c r="S407" i="10" a="1"/>
  <c r="S407" i="10"/>
  <c r="R407" i="10" a="1"/>
  <c r="R407" i="10"/>
  <c r="M407" i="10" a="1"/>
  <c r="M407" i="10"/>
  <c r="L407" i="10" a="1"/>
  <c r="L407" i="10"/>
  <c r="J407" i="10" a="1"/>
  <c r="J407" i="10"/>
  <c r="H407" i="10" a="1"/>
  <c r="H407" i="10"/>
  <c r="F407" i="10" a="1"/>
  <c r="F407" i="10"/>
  <c r="S417" i="10" a="1"/>
  <c r="S417" i="10"/>
  <c r="R417" i="10" a="1"/>
  <c r="R417" i="10"/>
  <c r="Q417" i="10" a="1"/>
  <c r="Q417" i="10"/>
  <c r="P417" i="10" a="1"/>
  <c r="P417" i="10"/>
  <c r="O417" i="10" a="1"/>
  <c r="O417" i="10"/>
  <c r="N417" i="10" a="1"/>
  <c r="N417" i="10"/>
  <c r="M417" i="10" a="1"/>
  <c r="M417" i="10"/>
  <c r="L417" i="10" a="1"/>
  <c r="L417" i="10"/>
  <c r="K417" i="10" a="1"/>
  <c r="K417" i="10"/>
  <c r="J417" i="10" a="1"/>
  <c r="J417" i="10"/>
  <c r="H417" i="10" a="1"/>
  <c r="H417" i="10"/>
  <c r="F417" i="10" a="1"/>
  <c r="F417" i="10"/>
  <c r="S416" i="10" a="1"/>
  <c r="S416" i="10"/>
  <c r="R416" i="10" a="1"/>
  <c r="R416" i="10"/>
  <c r="Q416" i="10" a="1"/>
  <c r="Q416" i="10"/>
  <c r="P416" i="10" a="1"/>
  <c r="P416" i="10"/>
  <c r="O416" i="10" a="1"/>
  <c r="O416" i="10"/>
  <c r="N416" i="10" a="1"/>
  <c r="N416" i="10"/>
  <c r="M416" i="10" a="1"/>
  <c r="M416" i="10"/>
  <c r="L416" i="10" a="1"/>
  <c r="L416" i="10"/>
  <c r="K416" i="10" a="1"/>
  <c r="K416" i="10"/>
  <c r="J416" i="10" a="1"/>
  <c r="J416" i="10"/>
  <c r="H416" i="10" a="1"/>
  <c r="H416" i="10"/>
  <c r="F416" i="10" a="1"/>
  <c r="F416" i="10"/>
  <c r="S415" i="10" a="1"/>
  <c r="S415" i="10"/>
  <c r="R415" i="10" a="1"/>
  <c r="R415" i="10"/>
  <c r="Q415" i="10" a="1"/>
  <c r="Q415" i="10"/>
  <c r="P415" i="10" a="1"/>
  <c r="P415" i="10"/>
  <c r="O415" i="10" a="1"/>
  <c r="O415" i="10"/>
  <c r="N415" i="10" a="1"/>
  <c r="N415" i="10"/>
  <c r="M415" i="10" a="1"/>
  <c r="M415" i="10"/>
  <c r="L415" i="10" a="1"/>
  <c r="L415" i="10"/>
  <c r="K415" i="10" a="1"/>
  <c r="K415" i="10"/>
  <c r="J415" i="10" a="1"/>
  <c r="J415" i="10"/>
  <c r="H415" i="10" a="1"/>
  <c r="H415" i="10"/>
  <c r="F415" i="10" a="1"/>
  <c r="F415" i="10"/>
  <c r="S414" i="10" a="1"/>
  <c r="S414" i="10"/>
  <c r="R414" i="10" a="1"/>
  <c r="R414" i="10"/>
  <c r="Q414" i="10" a="1"/>
  <c r="Q414" i="10"/>
  <c r="P414" i="10" a="1"/>
  <c r="P414" i="10"/>
  <c r="O414" i="10" a="1"/>
  <c r="O414" i="10"/>
  <c r="N414" i="10" a="1"/>
  <c r="N414" i="10"/>
  <c r="M414" i="10" a="1"/>
  <c r="M414" i="10"/>
  <c r="L414" i="10" a="1"/>
  <c r="L414" i="10"/>
  <c r="K414" i="10" a="1"/>
  <c r="K414" i="10"/>
  <c r="J414" i="10" a="1"/>
  <c r="J414" i="10"/>
  <c r="H414" i="10" a="1"/>
  <c r="H414" i="10"/>
  <c r="F414" i="10" a="1"/>
  <c r="F414" i="10"/>
  <c r="S413" i="10" a="1"/>
  <c r="S413" i="10"/>
  <c r="R413" i="10" a="1"/>
  <c r="R413" i="10"/>
  <c r="Q413" i="10" a="1"/>
  <c r="Q413" i="10"/>
  <c r="P413" i="10" a="1"/>
  <c r="P413" i="10"/>
  <c r="O413" i="10" a="1"/>
  <c r="O413" i="10"/>
  <c r="N413" i="10" a="1"/>
  <c r="N413" i="10"/>
  <c r="M413" i="10" a="1"/>
  <c r="M413" i="10"/>
  <c r="L413" i="10" a="1"/>
  <c r="L413" i="10"/>
  <c r="K413" i="10" a="1"/>
  <c r="K413" i="10"/>
  <c r="J413" i="10" a="1"/>
  <c r="J413" i="10"/>
  <c r="H413" i="10" a="1"/>
  <c r="H413" i="10"/>
  <c r="F413" i="10" a="1"/>
  <c r="F413" i="10"/>
  <c r="S412" i="10" a="1"/>
  <c r="S412" i="10"/>
  <c r="R412" i="10" a="1"/>
  <c r="R412" i="10"/>
  <c r="Q412" i="10" a="1"/>
  <c r="Q412" i="10"/>
  <c r="P412" i="10" a="1"/>
  <c r="P412" i="10"/>
  <c r="O412" i="10" a="1"/>
  <c r="O412" i="10"/>
  <c r="N412" i="10" a="1"/>
  <c r="N412" i="10"/>
  <c r="M412" i="10" a="1"/>
  <c r="M412" i="10"/>
  <c r="L412" i="10" a="1"/>
  <c r="L412" i="10"/>
  <c r="K412" i="10" a="1"/>
  <c r="K412" i="10"/>
  <c r="J412" i="10" a="1"/>
  <c r="J412" i="10"/>
  <c r="H412" i="10" a="1"/>
  <c r="H412" i="10"/>
  <c r="F412" i="10" a="1"/>
  <c r="F412" i="10"/>
  <c r="S411" i="10" a="1"/>
  <c r="S411" i="10"/>
  <c r="R411" i="10" a="1"/>
  <c r="R411" i="10"/>
  <c r="Q411" i="10" a="1"/>
  <c r="Q411" i="10"/>
  <c r="P411" i="10" a="1"/>
  <c r="P411" i="10"/>
  <c r="O411" i="10" a="1"/>
  <c r="O411" i="10"/>
  <c r="N411" i="10" a="1"/>
  <c r="N411" i="10"/>
  <c r="M411" i="10" a="1"/>
  <c r="M411" i="10"/>
  <c r="L411" i="10" a="1"/>
  <c r="L411" i="10"/>
  <c r="K411" i="10" a="1"/>
  <c r="K411" i="10"/>
  <c r="J411" i="10" a="1"/>
  <c r="J411" i="10"/>
  <c r="H411" i="10" a="1"/>
  <c r="H411" i="10"/>
  <c r="F411" i="10" a="1"/>
  <c r="F411" i="10"/>
  <c r="S410" i="10" a="1"/>
  <c r="S410" i="10"/>
  <c r="R410" i="10" a="1"/>
  <c r="R410" i="10"/>
  <c r="Q410" i="10" a="1"/>
  <c r="Q410" i="10"/>
  <c r="P410" i="10" a="1"/>
  <c r="P410" i="10"/>
  <c r="O410" i="10" a="1"/>
  <c r="O410" i="10"/>
  <c r="N410" i="10" a="1"/>
  <c r="N410" i="10"/>
  <c r="M410" i="10" a="1"/>
  <c r="M410" i="10"/>
  <c r="L410" i="10" a="1"/>
  <c r="L410" i="10"/>
  <c r="K410" i="10" a="1"/>
  <c r="K410" i="10"/>
  <c r="J410" i="10" a="1"/>
  <c r="J410" i="10"/>
  <c r="H410" i="10" a="1"/>
  <c r="H410" i="10"/>
  <c r="F410" i="10" a="1"/>
  <c r="F410" i="10"/>
  <c r="S409" i="10" a="1"/>
  <c r="S409" i="10"/>
  <c r="R409" i="10" a="1"/>
  <c r="R409" i="10"/>
  <c r="Q409" i="10" a="1"/>
  <c r="Q409" i="10"/>
  <c r="P409" i="10" a="1"/>
  <c r="P409" i="10"/>
  <c r="O409" i="10" a="1"/>
  <c r="O409" i="10"/>
  <c r="N409" i="10" a="1"/>
  <c r="N409" i="10"/>
  <c r="M409" i="10" a="1"/>
  <c r="M409" i="10"/>
  <c r="L409" i="10" a="1"/>
  <c r="L409" i="10"/>
  <c r="K409" i="10" a="1"/>
  <c r="K409" i="10"/>
  <c r="J409" i="10" a="1"/>
  <c r="J409" i="10"/>
  <c r="H409" i="10" a="1"/>
  <c r="H409" i="10"/>
  <c r="F409" i="10" a="1"/>
  <c r="F409" i="10"/>
  <c r="S408" i="10" a="1"/>
  <c r="S408" i="10"/>
  <c r="R408" i="10" a="1"/>
  <c r="R408" i="10"/>
  <c r="Q408" i="10" a="1"/>
  <c r="Q408" i="10"/>
  <c r="P408" i="10" a="1"/>
  <c r="P408" i="10"/>
  <c r="O408" i="10" a="1"/>
  <c r="O408" i="10"/>
  <c r="N408" i="10" a="1"/>
  <c r="N408" i="10"/>
  <c r="M408" i="10" a="1"/>
  <c r="M408" i="10"/>
  <c r="L408" i="10" a="1"/>
  <c r="L408" i="10"/>
  <c r="K408" i="10" a="1"/>
  <c r="K408" i="10"/>
  <c r="J408" i="10" a="1"/>
  <c r="J408" i="10"/>
  <c r="H408" i="10" a="1"/>
  <c r="H408" i="10"/>
  <c r="F408" i="10" a="1"/>
  <c r="F408" i="10"/>
  <c r="Q407" i="10" a="1"/>
  <c r="Q407" i="10"/>
  <c r="P407" i="10" a="1"/>
  <c r="P407" i="10"/>
  <c r="O407" i="10" a="1"/>
  <c r="O407" i="10"/>
  <c r="N407" i="10" a="1"/>
  <c r="N407" i="10"/>
  <c r="K407" i="10" a="1"/>
  <c r="K407" i="10"/>
  <c r="AY104" i="7" a="1"/>
  <c r="AY104" i="7"/>
  <c r="AX104" i="7" a="1"/>
  <c r="AX104" i="7"/>
  <c r="AW104" i="7" a="1"/>
  <c r="AW104" i="7"/>
  <c r="AV104" i="7" a="1"/>
  <c r="AV104" i="7"/>
  <c r="AU104" i="7" a="1"/>
  <c r="AU104" i="7"/>
  <c r="AT104" i="7" a="1"/>
  <c r="AT104" i="7"/>
  <c r="AS104" i="7" a="1"/>
  <c r="AS104" i="7"/>
  <c r="AR104" i="7" a="1"/>
  <c r="AR104" i="7"/>
  <c r="AQ104" i="7" a="1"/>
  <c r="AQ104" i="7"/>
  <c r="AP104" i="7" a="1"/>
  <c r="AP104" i="7"/>
  <c r="AO104" i="7" a="1"/>
  <c r="AO104" i="7"/>
  <c r="AN104" i="7" a="1"/>
  <c r="AN104" i="7"/>
  <c r="AM104" i="7" a="1"/>
  <c r="AM104" i="7"/>
  <c r="AL104" i="7" a="1"/>
  <c r="AL104" i="7"/>
  <c r="AK104" i="7" a="1"/>
  <c r="AK104" i="7"/>
  <c r="AJ104" i="7" a="1"/>
  <c r="AJ104" i="7"/>
  <c r="AI104" i="7" a="1"/>
  <c r="AI104" i="7"/>
  <c r="AH104" i="7" a="1"/>
  <c r="AH104" i="7"/>
  <c r="AG104" i="7" a="1"/>
  <c r="AG104" i="7"/>
  <c r="AF104" i="7" a="1"/>
  <c r="AF104" i="7"/>
  <c r="AE104" i="7" a="1"/>
  <c r="AE104" i="7"/>
  <c r="AD104" i="7" a="1"/>
  <c r="AD104" i="7"/>
  <c r="AC104" i="7" a="1"/>
  <c r="AC104" i="7"/>
  <c r="AB104" i="7" a="1"/>
  <c r="AB104" i="7"/>
  <c r="AA104" i="7" a="1"/>
  <c r="AA104" i="7"/>
  <c r="Z104" i="7" a="1"/>
  <c r="Z104" i="7"/>
  <c r="Y104" i="7" a="1"/>
  <c r="Y104" i="7"/>
  <c r="X104" i="7" a="1"/>
  <c r="X104" i="7"/>
  <c r="W104" i="7" a="1"/>
  <c r="W104" i="7"/>
  <c r="V104" i="7" a="1"/>
  <c r="V104" i="7"/>
  <c r="U104" i="7" a="1"/>
  <c r="U104" i="7"/>
  <c r="T104" i="7" a="1"/>
  <c r="T104" i="7"/>
  <c r="S104" i="7" a="1"/>
  <c r="S104" i="7"/>
  <c r="R104" i="7" a="1"/>
  <c r="R104" i="7"/>
  <c r="Q104" i="7" a="1"/>
  <c r="Q104" i="7"/>
  <c r="P104" i="7" a="1"/>
  <c r="P104" i="7"/>
  <c r="O104" i="7" a="1"/>
  <c r="O104" i="7"/>
  <c r="N104" i="7" a="1"/>
  <c r="N104" i="7"/>
  <c r="M104" i="7" a="1"/>
  <c r="M104" i="7"/>
  <c r="L104" i="7" a="1"/>
  <c r="L104" i="7"/>
  <c r="K104" i="7" a="1"/>
  <c r="K104" i="7"/>
  <c r="J104" i="7" a="1"/>
  <c r="J104" i="7"/>
  <c r="I104" i="7" a="1"/>
  <c r="I104" i="7"/>
  <c r="H104" i="7" a="1"/>
  <c r="H104" i="7"/>
  <c r="G104" i="7" a="1"/>
  <c r="G104" i="7"/>
  <c r="F104" i="7" a="1"/>
  <c r="F104" i="7"/>
  <c r="E104" i="7" a="1"/>
  <c r="E104" i="7"/>
  <c r="D104" i="7" a="1"/>
  <c r="D104" i="7"/>
  <c r="C104" i="7" a="1"/>
  <c r="C104" i="7"/>
  <c r="B104" i="7" a="1"/>
  <c r="B104" i="7"/>
  <c r="L111" i="4" a="1"/>
  <c r="L111" i="4"/>
  <c r="M20" i="4"/>
  <c r="X111" i="4" a="1"/>
  <c r="X111" i="4"/>
  <c r="M32" i="4"/>
  <c r="F111" i="4" a="1"/>
  <c r="F111" i="4"/>
  <c r="M14" i="4"/>
  <c r="Q111" i="4" a="1"/>
  <c r="Q111" i="4"/>
  <c r="M25" i="4"/>
  <c r="G111" i="4" a="1"/>
  <c r="G111" i="4"/>
  <c r="M15" i="4"/>
  <c r="P111" i="4" a="1"/>
  <c r="P111" i="4"/>
  <c r="M24" i="4"/>
  <c r="T111" i="4" a="1"/>
  <c r="T111" i="4"/>
  <c r="M28" i="4"/>
  <c r="Z111" i="4" a="1"/>
  <c r="Z111" i="4"/>
  <c r="M34" i="4"/>
  <c r="U111" i="4" a="1"/>
  <c r="U111" i="4"/>
  <c r="M29" i="4"/>
  <c r="D111" i="4" a="1"/>
  <c r="D111" i="4"/>
  <c r="M12" i="4"/>
  <c r="H111" i="4" a="1"/>
  <c r="H111" i="4"/>
  <c r="M16" i="4"/>
  <c r="W111" i="4" a="1"/>
  <c r="W111" i="4"/>
  <c r="M31" i="4"/>
  <c r="AA111" i="4" a="1"/>
  <c r="AA111" i="4"/>
  <c r="M35" i="4"/>
  <c r="S111" i="4" a="1"/>
  <c r="S111" i="4"/>
  <c r="M27" i="4"/>
  <c r="I111" i="4" a="1"/>
  <c r="I111" i="4"/>
  <c r="M17" i="4"/>
  <c r="J111" i="4" a="1"/>
  <c r="J111" i="4"/>
  <c r="M18" i="4"/>
  <c r="E111" i="4" a="1"/>
  <c r="E111" i="4"/>
  <c r="M13" i="4"/>
  <c r="O111" i="4" a="1"/>
  <c r="O111" i="4"/>
  <c r="M23" i="4"/>
  <c r="R111" i="4" a="1"/>
  <c r="R111" i="4"/>
  <c r="M26" i="4"/>
  <c r="K111" i="4" a="1"/>
  <c r="K111" i="4"/>
  <c r="M19" i="4"/>
  <c r="C111" i="4" a="1"/>
  <c r="C111" i="4"/>
  <c r="M11" i="4"/>
  <c r="Y111" i="4" a="1"/>
  <c r="Y111" i="4"/>
  <c r="M33" i="4"/>
  <c r="N111" i="4" a="1"/>
  <c r="N111" i="4"/>
  <c r="M22" i="4"/>
  <c r="V111" i="4" a="1"/>
  <c r="V111" i="4"/>
  <c r="M30" i="4"/>
  <c r="M111" i="4" a="1"/>
  <c r="M111" i="4"/>
  <c r="M21" i="4"/>
  <c r="B98" i="7" a="1"/>
  <c r="B98" i="7"/>
  <c r="C98" i="7" a="1"/>
  <c r="C98" i="7"/>
  <c r="D98" i="7" a="1"/>
  <c r="D98" i="7"/>
  <c r="E98" i="7" a="1"/>
  <c r="E98" i="7"/>
  <c r="F98" i="7" a="1"/>
  <c r="F98" i="7"/>
  <c r="G98" i="7" a="1"/>
  <c r="G98" i="7"/>
  <c r="H98" i="7" a="1"/>
  <c r="H98" i="7"/>
  <c r="I98" i="7" a="1"/>
  <c r="I98" i="7"/>
  <c r="J98" i="7" a="1"/>
  <c r="J98" i="7"/>
  <c r="K98" i="7" a="1"/>
  <c r="K98" i="7"/>
  <c r="L98" i="7" a="1"/>
  <c r="L98" i="7"/>
  <c r="M98" i="7" a="1"/>
  <c r="M98" i="7"/>
  <c r="N98" i="7" a="1"/>
  <c r="N98" i="7"/>
  <c r="O98" i="7" a="1"/>
  <c r="O98" i="7"/>
  <c r="P98" i="7" a="1"/>
  <c r="P98" i="7"/>
  <c r="Q98" i="7" a="1"/>
  <c r="Q98" i="7"/>
  <c r="R98" i="7" a="1"/>
  <c r="R98" i="7"/>
  <c r="S98" i="7" a="1"/>
  <c r="S98" i="7"/>
  <c r="T98" i="7" a="1"/>
  <c r="T98" i="7"/>
  <c r="U98" i="7" a="1"/>
  <c r="U98" i="7"/>
  <c r="V98" i="7" a="1"/>
  <c r="V98" i="7"/>
  <c r="W98" i="7" a="1"/>
  <c r="W98" i="7"/>
  <c r="X98" i="7" a="1"/>
  <c r="X98" i="7"/>
  <c r="Y98" i="7" a="1"/>
  <c r="Y98" i="7"/>
  <c r="Z98" i="7" a="1"/>
  <c r="Z98" i="7"/>
  <c r="AA98" i="7" a="1"/>
  <c r="AA98" i="7"/>
  <c r="AB98" i="7" a="1"/>
  <c r="AB98" i="7"/>
  <c r="AC98" i="7" a="1"/>
  <c r="AC98" i="7"/>
  <c r="AD98" i="7" a="1"/>
  <c r="AD98" i="7"/>
  <c r="AE98" i="7" a="1"/>
  <c r="AE98" i="7"/>
  <c r="AF98" i="7" a="1"/>
  <c r="AF98" i="7"/>
  <c r="AG98" i="7" a="1"/>
  <c r="AG98" i="7"/>
  <c r="AH98" i="7" a="1"/>
  <c r="AH98" i="7"/>
  <c r="AI98" i="7" a="1"/>
  <c r="AI98" i="7"/>
  <c r="AJ98" i="7" a="1"/>
  <c r="AJ98" i="7"/>
  <c r="AK98" i="7" a="1"/>
  <c r="AK98" i="7"/>
  <c r="AL98" i="7" a="1"/>
  <c r="AL98" i="7"/>
  <c r="AM98" i="7" a="1"/>
  <c r="AM98" i="7"/>
  <c r="AN98" i="7" a="1"/>
  <c r="AN98" i="7"/>
  <c r="AO98" i="7" a="1"/>
  <c r="AO98" i="7"/>
  <c r="AP98" i="7" a="1"/>
  <c r="AP98" i="7"/>
  <c r="AQ98" i="7" a="1"/>
  <c r="AQ98" i="7"/>
  <c r="AR98" i="7" a="1"/>
  <c r="AR98" i="7"/>
  <c r="AS98" i="7" a="1"/>
  <c r="AS98" i="7"/>
  <c r="AT98" i="7" a="1"/>
  <c r="AT98" i="7"/>
  <c r="AU98" i="7" a="1"/>
  <c r="AU98" i="7"/>
  <c r="AV98" i="7" a="1"/>
  <c r="AV98" i="7"/>
  <c r="AW98" i="7" a="1"/>
  <c r="AW98" i="7"/>
  <c r="AX98" i="7" a="1"/>
  <c r="AX98" i="7"/>
  <c r="AY98" i="7" a="1"/>
  <c r="AY98" i="7"/>
  <c r="C407" i="10" a="1"/>
  <c r="C407" i="10"/>
  <c r="C408" i="10" a="1"/>
  <c r="C408" i="10"/>
  <c r="C409" i="10" a="1"/>
  <c r="C409" i="10"/>
  <c r="C410" i="10" a="1"/>
  <c r="C410" i="10"/>
  <c r="C411" i="10" a="1"/>
  <c r="C411" i="10"/>
  <c r="C412" i="10" a="1"/>
  <c r="C412" i="10"/>
  <c r="C413" i="10" a="1"/>
  <c r="C413" i="10"/>
  <c r="C414" i="10" a="1"/>
  <c r="C414" i="10"/>
  <c r="C415" i="10" a="1"/>
  <c r="C415" i="10"/>
  <c r="C416" i="10" a="1"/>
  <c r="C416" i="10"/>
  <c r="C417" i="10" a="1"/>
  <c r="C417" i="10"/>
  <c r="D410" i="10" a="1"/>
  <c r="D410" i="10"/>
  <c r="B410" i="10" a="1"/>
  <c r="B410" i="10"/>
  <c r="D409" i="10" a="1"/>
  <c r="D409" i="10"/>
  <c r="B409" i="10" a="1"/>
  <c r="B409" i="10"/>
  <c r="D408" i="10" a="1"/>
  <c r="D408" i="10"/>
  <c r="B408" i="10" a="1"/>
  <c r="B408" i="10"/>
  <c r="D407" i="10" a="1"/>
  <c r="D407" i="10"/>
  <c r="B407" i="10" a="1"/>
  <c r="B407" i="10"/>
  <c r="V410" i="10" a="1"/>
  <c r="V410" i="10"/>
  <c r="V409" i="10" a="1"/>
  <c r="V409" i="10"/>
  <c r="V408" i="10" a="1"/>
  <c r="V408" i="10"/>
  <c r="V407" i="10" a="1"/>
  <c r="V407" i="10"/>
  <c r="V166" i="3" a="1"/>
  <c r="V166" i="3"/>
  <c r="V167" i="3" a="1"/>
  <c r="V167" i="3"/>
  <c r="V168" i="3" a="1"/>
  <c r="V169" i="3" a="1"/>
  <c r="V170" i="3" a="1"/>
  <c r="V171" i="3" a="1"/>
  <c r="V172" i="3" a="1"/>
  <c r="V173" i="3" a="1"/>
  <c r="V174" i="3" a="1"/>
  <c r="V175" i="3" a="1"/>
  <c r="V176" i="3" a="1"/>
  <c r="V177" i="3" a="1"/>
  <c r="V178" i="3" a="1"/>
  <c r="V179" i="3" a="1"/>
  <c r="V180" i="3" a="1"/>
  <c r="V168" i="3"/>
  <c r="V169" i="3"/>
  <c r="V170" i="3"/>
  <c r="V171" i="3"/>
  <c r="V172" i="3"/>
  <c r="V173" i="3"/>
  <c r="V174" i="3"/>
  <c r="V175" i="3"/>
  <c r="V176" i="3"/>
  <c r="V177" i="3"/>
  <c r="V178" i="3"/>
  <c r="V179" i="3"/>
  <c r="V180" i="3"/>
  <c r="W166" i="3" a="1"/>
  <c r="W166" i="3"/>
  <c r="W167" i="3" a="1"/>
  <c r="W167" i="3"/>
  <c r="W168" i="3" a="1"/>
  <c r="W168" i="3"/>
  <c r="W169" i="3" a="1"/>
  <c r="W169" i="3"/>
  <c r="W170" i="3" a="1"/>
  <c r="W170" i="3"/>
  <c r="W171" i="3" a="1"/>
  <c r="W171" i="3"/>
  <c r="W172" i="3" a="1"/>
  <c r="W172" i="3"/>
  <c r="W173" i="3" a="1"/>
  <c r="W173" i="3"/>
  <c r="W174" i="3" a="1"/>
  <c r="W174" i="3"/>
  <c r="W175" i="3" a="1"/>
  <c r="W175" i="3"/>
  <c r="W176" i="3" a="1"/>
  <c r="W176" i="3"/>
  <c r="W177" i="3" a="1"/>
  <c r="W177" i="3"/>
  <c r="W178" i="3" a="1"/>
  <c r="W178" i="3"/>
  <c r="W179" i="3" a="1"/>
  <c r="W179" i="3"/>
  <c r="W180" i="3" a="1"/>
  <c r="W180" i="3"/>
  <c r="X166" i="3" a="1"/>
  <c r="X166" i="3"/>
  <c r="X167" i="3" a="1"/>
  <c r="X167" i="3"/>
  <c r="X168" i="3" a="1"/>
  <c r="X168" i="3"/>
  <c r="X169" i="3" a="1"/>
  <c r="X169" i="3"/>
  <c r="X170" i="3" a="1"/>
  <c r="X170" i="3"/>
  <c r="X171" i="3" a="1"/>
  <c r="X171" i="3"/>
  <c r="X172" i="3" a="1"/>
  <c r="X172" i="3"/>
  <c r="X173" i="3" a="1"/>
  <c r="X173" i="3"/>
  <c r="X174" i="3" a="1"/>
  <c r="X174" i="3"/>
  <c r="X175" i="3" a="1"/>
  <c r="X175" i="3"/>
  <c r="X176" i="3" a="1"/>
  <c r="X176" i="3"/>
  <c r="X177" i="3" a="1"/>
  <c r="X177" i="3"/>
  <c r="X178" i="3" a="1"/>
  <c r="X178" i="3"/>
  <c r="X179" i="3" a="1"/>
  <c r="X179" i="3"/>
  <c r="X180" i="3" a="1"/>
  <c r="X180" i="3"/>
  <c r="Y166" i="3" a="1"/>
  <c r="Y166" i="3"/>
  <c r="Y167" i="3" a="1"/>
  <c r="Y167" i="3"/>
  <c r="Y168" i="3" a="1"/>
  <c r="Y168" i="3"/>
  <c r="Y169" i="3" a="1"/>
  <c r="Y169" i="3"/>
  <c r="Y170" i="3" a="1"/>
  <c r="Y170" i="3"/>
  <c r="Y171" i="3" a="1"/>
  <c r="Y171" i="3"/>
  <c r="Y172" i="3" a="1"/>
  <c r="Y172" i="3"/>
  <c r="Y173" i="3" a="1"/>
  <c r="Y173" i="3"/>
  <c r="Y174" i="3" a="1"/>
  <c r="Y174" i="3"/>
  <c r="Y175" i="3" a="1"/>
  <c r="Y175" i="3"/>
  <c r="Y176" i="3" a="1"/>
  <c r="Y176" i="3"/>
  <c r="Y177" i="3" a="1"/>
  <c r="Y177" i="3"/>
  <c r="Y178" i="3" a="1"/>
  <c r="Y178" i="3"/>
  <c r="Y179" i="3" a="1"/>
  <c r="Y179" i="3"/>
  <c r="Y180" i="3" a="1"/>
  <c r="Y180" i="3"/>
  <c r="U166" i="3" a="1"/>
  <c r="U166" i="3"/>
  <c r="U167" i="3" a="1"/>
  <c r="U167" i="3"/>
  <c r="U168" i="3" a="1"/>
  <c r="U168" i="3"/>
  <c r="U169" i="3" a="1"/>
  <c r="U169" i="3"/>
  <c r="U170" i="3" a="1"/>
  <c r="U170" i="3"/>
  <c r="U171" i="3" a="1"/>
  <c r="U171" i="3"/>
  <c r="U172" i="3" a="1"/>
  <c r="U172" i="3"/>
  <c r="U173" i="3" a="1"/>
  <c r="U173" i="3"/>
  <c r="U174" i="3" a="1"/>
  <c r="U174" i="3"/>
  <c r="U175" i="3" a="1"/>
  <c r="U175" i="3"/>
  <c r="U176" i="3" a="1"/>
  <c r="U176" i="3"/>
  <c r="U177" i="3" a="1"/>
  <c r="U177" i="3"/>
  <c r="U178" i="3" a="1"/>
  <c r="U178" i="3"/>
  <c r="U179" i="3" a="1"/>
  <c r="U179" i="3"/>
  <c r="U180" i="3" a="1"/>
  <c r="U180" i="3"/>
  <c r="CA436" i="10" a="1"/>
  <c r="CA436" i="10"/>
  <c r="CA435" i="10" a="1"/>
  <c r="CA435" i="10"/>
  <c r="CA434" i="10" a="1"/>
  <c r="CA434" i="10"/>
  <c r="CA433" i="10" a="1"/>
  <c r="CA433" i="10"/>
  <c r="CA432" i="10" a="1"/>
  <c r="CA432" i="10"/>
  <c r="CA431" i="10" a="1"/>
  <c r="CA431" i="10"/>
  <c r="CA430" i="10" a="1"/>
  <c r="CA430" i="10"/>
  <c r="CA429" i="10" a="1"/>
  <c r="CA429" i="10"/>
  <c r="V165" i="3" a="1"/>
  <c r="V165" i="3"/>
  <c r="W165" i="3" a="1"/>
  <c r="W165" i="3"/>
  <c r="X165" i="3" a="1"/>
  <c r="X165" i="3"/>
  <c r="Y165" i="3" a="1"/>
  <c r="Y165" i="3"/>
  <c r="U165" i="3" a="1"/>
  <c r="U165" i="3"/>
  <c r="CA426" i="10" a="1"/>
  <c r="CA426" i="10"/>
  <c r="CA425" i="10" a="1"/>
  <c r="CA425" i="10"/>
  <c r="CA424" i="10" a="1"/>
  <c r="CA424" i="10"/>
  <c r="AP424" i="10" a="1"/>
  <c r="AP424" i="10"/>
  <c r="AO424" i="10" a="1"/>
  <c r="AO424" i="10"/>
  <c r="AN424" i="10" a="1"/>
  <c r="AN424" i="10"/>
  <c r="AM424" i="10" a="1"/>
  <c r="AM424" i="10"/>
  <c r="AL424" i="10" a="1"/>
  <c r="AL424" i="10"/>
  <c r="AK424" i="10" a="1"/>
  <c r="AK424" i="10"/>
  <c r="AJ424" i="10" a="1"/>
  <c r="AJ424" i="10"/>
  <c r="AI424" i="10" a="1"/>
  <c r="AI424" i="10"/>
  <c r="AH424" i="10" a="1"/>
  <c r="AH424" i="10"/>
  <c r="AG424" i="10" a="1"/>
  <c r="AG424" i="10"/>
  <c r="AF424" i="10" a="1"/>
  <c r="AF424" i="10"/>
  <c r="AE424" i="10" a="1"/>
  <c r="AE424" i="10"/>
  <c r="AD424" i="10" a="1"/>
  <c r="AD424" i="10"/>
  <c r="CA423" i="10" a="1"/>
  <c r="CA423" i="10"/>
  <c r="AP423" i="10" a="1"/>
  <c r="AP423" i="10"/>
  <c r="AO423" i="10" a="1"/>
  <c r="AO423" i="10"/>
  <c r="AN423" i="10" a="1"/>
  <c r="AN423" i="10"/>
  <c r="AM423" i="10" a="1"/>
  <c r="AM423" i="10"/>
  <c r="AL423" i="10" a="1"/>
  <c r="AL423" i="10"/>
  <c r="AK423" i="10" a="1"/>
  <c r="AK423" i="10"/>
  <c r="AJ423" i="10" a="1"/>
  <c r="AJ423" i="10"/>
  <c r="AI423" i="10" a="1"/>
  <c r="AI423" i="10"/>
  <c r="AH423" i="10" a="1"/>
  <c r="AH423" i="10"/>
  <c r="AG423" i="10" a="1"/>
  <c r="AG423" i="10"/>
  <c r="AF423" i="10" a="1"/>
  <c r="AF423" i="10"/>
  <c r="AE423" i="10" a="1"/>
  <c r="AE423" i="10"/>
  <c r="AD423" i="10" a="1"/>
  <c r="AD423" i="10"/>
  <c r="A321" i="10"/>
  <c r="A397" i="10"/>
  <c r="A396" i="10"/>
  <c r="A395" i="10"/>
  <c r="A394" i="10"/>
  <c r="B394" i="10"/>
  <c r="A393" i="10"/>
  <c r="B393" i="10"/>
  <c r="A392" i="10"/>
  <c r="B392" i="10"/>
  <c r="A391" i="10"/>
  <c r="B391" i="10"/>
  <c r="A390" i="10"/>
  <c r="B390" i="10"/>
  <c r="A389" i="10"/>
  <c r="B389" i="10"/>
  <c r="A388" i="10"/>
  <c r="B388" i="10"/>
  <c r="A387" i="10"/>
  <c r="B387" i="10"/>
  <c r="A386" i="10"/>
  <c r="B386" i="10"/>
  <c r="A385" i="10"/>
  <c r="B385" i="10"/>
  <c r="A384" i="10"/>
  <c r="B384" i="10"/>
  <c r="A383" i="10"/>
  <c r="B383" i="10"/>
  <c r="A382" i="10"/>
  <c r="B382" i="10"/>
  <c r="A381" i="10"/>
  <c r="B381" i="10"/>
  <c r="A380" i="10"/>
  <c r="B380" i="10"/>
  <c r="A379" i="10"/>
  <c r="B379" i="10"/>
  <c r="A378" i="10"/>
  <c r="B378" i="10"/>
  <c r="A377" i="10"/>
  <c r="B377" i="10"/>
  <c r="A376" i="10"/>
  <c r="B376" i="10"/>
  <c r="A375" i="10"/>
  <c r="B375" i="10"/>
  <c r="A374" i="10"/>
  <c r="B374" i="10"/>
  <c r="A373" i="10"/>
  <c r="B373" i="10"/>
  <c r="A372" i="10"/>
  <c r="B372" i="10"/>
  <c r="A371" i="10"/>
  <c r="B371" i="10"/>
  <c r="A370" i="10"/>
  <c r="B370" i="10"/>
  <c r="A369" i="10"/>
  <c r="B369" i="10"/>
  <c r="A368" i="10"/>
  <c r="B368" i="10"/>
  <c r="A367" i="10"/>
  <c r="B367" i="10"/>
  <c r="A366" i="10"/>
  <c r="B366" i="10"/>
  <c r="A365" i="10"/>
  <c r="B365" i="10"/>
  <c r="A364" i="10"/>
  <c r="B364" i="10"/>
  <c r="A363" i="10"/>
  <c r="B363" i="10"/>
  <c r="A362" i="10"/>
  <c r="B362" i="10"/>
  <c r="A361" i="10"/>
  <c r="A360" i="10"/>
  <c r="A359" i="10"/>
  <c r="A358" i="10"/>
  <c r="A357" i="10"/>
  <c r="A356" i="10"/>
  <c r="A355" i="10"/>
  <c r="A354" i="10"/>
  <c r="A353" i="10"/>
  <c r="A352"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BW397" i="10"/>
  <c r="BV397" i="10"/>
  <c r="BU397" i="10"/>
  <c r="BT397" i="10"/>
  <c r="BS397" i="10"/>
  <c r="BR397" i="10"/>
  <c r="BQ397" i="10"/>
  <c r="BP397" i="10"/>
  <c r="BO397" i="10"/>
  <c r="BN397" i="10"/>
  <c r="BM397" i="10"/>
  <c r="BL397" i="10"/>
  <c r="BK397" i="10"/>
  <c r="BJ397" i="10"/>
  <c r="BI397" i="10"/>
  <c r="BH397" i="10"/>
  <c r="BG397" i="10"/>
  <c r="BF397" i="10"/>
  <c r="BE397" i="10"/>
  <c r="BD397" i="10"/>
  <c r="BC397" i="10"/>
  <c r="BB397" i="10"/>
  <c r="BA397" i="10"/>
  <c r="AZ397" i="10"/>
  <c r="AY397" i="10"/>
  <c r="AX397" i="10"/>
  <c r="AW397" i="10"/>
  <c r="AV397" i="10"/>
  <c r="AU397" i="10"/>
  <c r="AT397" i="10"/>
  <c r="AS397" i="10"/>
  <c r="AR397" i="10"/>
  <c r="AQ397" i="10"/>
  <c r="BZ396" i="10"/>
  <c r="BW396" i="10"/>
  <c r="BV396" i="10"/>
  <c r="BU396" i="10"/>
  <c r="BT396" i="10"/>
  <c r="BS396" i="10"/>
  <c r="BR396" i="10"/>
  <c r="BQ396" i="10"/>
  <c r="BP396" i="10"/>
  <c r="BO396" i="10"/>
  <c r="BN396" i="10"/>
  <c r="BM396" i="10"/>
  <c r="BL396" i="10"/>
  <c r="BK396" i="10"/>
  <c r="BJ396" i="10"/>
  <c r="BI396" i="10"/>
  <c r="BH396" i="10"/>
  <c r="BG396" i="10"/>
  <c r="BF396" i="10"/>
  <c r="BE396" i="10"/>
  <c r="BD396" i="10"/>
  <c r="BC396" i="10"/>
  <c r="BB396" i="10"/>
  <c r="BA396" i="10"/>
  <c r="AZ396" i="10"/>
  <c r="AY396" i="10"/>
  <c r="AX396" i="10"/>
  <c r="AW396" i="10"/>
  <c r="AV396" i="10"/>
  <c r="AU396" i="10"/>
  <c r="AT396" i="10"/>
  <c r="AS396" i="10"/>
  <c r="AR396" i="10"/>
  <c r="AQ396" i="10"/>
  <c r="BZ395" i="10"/>
  <c r="BY395" i="10"/>
  <c r="BW395" i="10"/>
  <c r="BV395" i="10"/>
  <c r="BU395" i="10"/>
  <c r="BT395" i="10"/>
  <c r="BS395" i="10"/>
  <c r="BR395" i="10"/>
  <c r="BQ395" i="10"/>
  <c r="BP395" i="10"/>
  <c r="BO395" i="10"/>
  <c r="BN395" i="10"/>
  <c r="BM395" i="10"/>
  <c r="BL395" i="10"/>
  <c r="BK395" i="10"/>
  <c r="BJ395" i="10"/>
  <c r="BI395" i="10"/>
  <c r="BH395" i="10"/>
  <c r="BG395" i="10"/>
  <c r="BF395" i="10"/>
  <c r="BE395" i="10"/>
  <c r="BD395" i="10"/>
  <c r="BC395" i="10"/>
  <c r="BB395" i="10"/>
  <c r="BA395" i="10"/>
  <c r="AZ395" i="10"/>
  <c r="AY395" i="10"/>
  <c r="AX395" i="10"/>
  <c r="AW395" i="10"/>
  <c r="AV395" i="10"/>
  <c r="AU395" i="10"/>
  <c r="AT395" i="10"/>
  <c r="AS395" i="10"/>
  <c r="AR395" i="10"/>
  <c r="AQ395" i="10"/>
  <c r="BZ394" i="10"/>
  <c r="BY394" i="10"/>
  <c r="BX394" i="10"/>
  <c r="BW394" i="10"/>
  <c r="BV394" i="10"/>
  <c r="BU394" i="10"/>
  <c r="BT394" i="10"/>
  <c r="BS394" i="10"/>
  <c r="BR394" i="10"/>
  <c r="BQ394" i="10"/>
  <c r="BP394" i="10"/>
  <c r="BO394" i="10"/>
  <c r="BN394" i="10"/>
  <c r="BM394" i="10"/>
  <c r="BL394" i="10"/>
  <c r="BK394" i="10"/>
  <c r="BJ394" i="10"/>
  <c r="BI394" i="10"/>
  <c r="BH394" i="10"/>
  <c r="BG394" i="10"/>
  <c r="BF394" i="10"/>
  <c r="BE394" i="10"/>
  <c r="BD394" i="10"/>
  <c r="BC394" i="10"/>
  <c r="BB394" i="10"/>
  <c r="BA394" i="10"/>
  <c r="AZ394" i="10"/>
  <c r="AY394" i="10"/>
  <c r="AX394" i="10"/>
  <c r="AW394" i="10"/>
  <c r="AV394" i="10"/>
  <c r="AU394" i="10"/>
  <c r="AT394" i="10"/>
  <c r="AS394" i="10"/>
  <c r="AR394" i="10"/>
  <c r="AQ394" i="10"/>
  <c r="AP394" i="10"/>
  <c r="AO394" i="10"/>
  <c r="AN394" i="10"/>
  <c r="AM394" i="10"/>
  <c r="AL394" i="10"/>
  <c r="AK394" i="10"/>
  <c r="AJ394" i="10"/>
  <c r="AI394" i="10"/>
  <c r="AH394" i="10"/>
  <c r="AG394" i="10"/>
  <c r="AF394" i="10"/>
  <c r="AE394" i="10"/>
  <c r="AD394" i="10"/>
  <c r="AC394" i="10"/>
  <c r="AB394" i="10"/>
  <c r="AA394" i="10"/>
  <c r="Z394" i="10"/>
  <c r="Y394" i="10"/>
  <c r="X394" i="10"/>
  <c r="W394" i="10"/>
  <c r="V394" i="10"/>
  <c r="U394" i="10"/>
  <c r="T394" i="10"/>
  <c r="S394" i="10"/>
  <c r="R394" i="10"/>
  <c r="Q394" i="10"/>
  <c r="P394" i="10"/>
  <c r="O394" i="10"/>
  <c r="N394" i="10"/>
  <c r="M394" i="10"/>
  <c r="L394" i="10"/>
  <c r="K394" i="10"/>
  <c r="J394" i="10"/>
  <c r="I394" i="10"/>
  <c r="H394" i="10"/>
  <c r="G394" i="10"/>
  <c r="F394" i="10"/>
  <c r="E394" i="10"/>
  <c r="D394" i="10"/>
  <c r="C394" i="10"/>
  <c r="BZ393" i="10"/>
  <c r="BY393" i="10"/>
  <c r="BX393" i="10"/>
  <c r="BW393" i="10"/>
  <c r="BV393" i="10"/>
  <c r="BU393" i="10"/>
  <c r="BT393" i="10"/>
  <c r="BS393" i="10"/>
  <c r="BR393" i="10"/>
  <c r="BQ393" i="10"/>
  <c r="BP393" i="10"/>
  <c r="BO393" i="10"/>
  <c r="BN393" i="10"/>
  <c r="BM393" i="10"/>
  <c r="BL393" i="10"/>
  <c r="BK393" i="10"/>
  <c r="BJ393" i="10"/>
  <c r="BI393" i="10"/>
  <c r="BH393" i="10"/>
  <c r="BG393" i="10"/>
  <c r="BF393" i="10"/>
  <c r="BE393" i="10"/>
  <c r="BD393" i="10"/>
  <c r="BC393" i="10"/>
  <c r="BB393" i="10"/>
  <c r="BA393" i="10"/>
  <c r="AZ393" i="10"/>
  <c r="AY393" i="10"/>
  <c r="AX393" i="10"/>
  <c r="AW393" i="10"/>
  <c r="AV393" i="10"/>
  <c r="AU393" i="10"/>
  <c r="AT393" i="10"/>
  <c r="AS393" i="10"/>
  <c r="AR393" i="10"/>
  <c r="AQ393" i="10"/>
  <c r="AP393" i="10"/>
  <c r="AO393" i="10"/>
  <c r="AN393" i="10"/>
  <c r="AM393" i="10"/>
  <c r="AL393" i="10"/>
  <c r="AK393" i="10"/>
  <c r="AJ393" i="10"/>
  <c r="AI393" i="10"/>
  <c r="AH393" i="10"/>
  <c r="AG393" i="10"/>
  <c r="AF393" i="10"/>
  <c r="AE393" i="10"/>
  <c r="AD393" i="10"/>
  <c r="AC393" i="10"/>
  <c r="AB393" i="10"/>
  <c r="AA393" i="10"/>
  <c r="Z393" i="10"/>
  <c r="Y393" i="10"/>
  <c r="X393" i="10"/>
  <c r="W393" i="10"/>
  <c r="V393" i="10"/>
  <c r="U393" i="10"/>
  <c r="T393" i="10"/>
  <c r="S393" i="10"/>
  <c r="R393" i="10"/>
  <c r="Q393" i="10"/>
  <c r="P393" i="10"/>
  <c r="O393" i="10"/>
  <c r="N393" i="10"/>
  <c r="M393" i="10"/>
  <c r="L393" i="10"/>
  <c r="K393" i="10"/>
  <c r="J393" i="10"/>
  <c r="I393" i="10"/>
  <c r="H393" i="10"/>
  <c r="G393" i="10"/>
  <c r="F393" i="10"/>
  <c r="E393" i="10"/>
  <c r="D393" i="10"/>
  <c r="C393" i="10"/>
  <c r="BZ392" i="10"/>
  <c r="BY392" i="10"/>
  <c r="BX392" i="10"/>
  <c r="BW392" i="10"/>
  <c r="BV392" i="10"/>
  <c r="BU392" i="10"/>
  <c r="BT392" i="10"/>
  <c r="BS392" i="10"/>
  <c r="BR392" i="10"/>
  <c r="BQ392" i="10"/>
  <c r="BP392" i="10"/>
  <c r="BO392" i="10"/>
  <c r="BN392" i="10"/>
  <c r="BM392" i="10"/>
  <c r="BL392" i="10"/>
  <c r="BK392" i="10"/>
  <c r="BJ392" i="10"/>
  <c r="BI392" i="10"/>
  <c r="BH392" i="10"/>
  <c r="BG392" i="10"/>
  <c r="BF392" i="10"/>
  <c r="BE392" i="10"/>
  <c r="BD392" i="10"/>
  <c r="BC392" i="10"/>
  <c r="BB392" i="10"/>
  <c r="BA392" i="10"/>
  <c r="AZ392" i="10"/>
  <c r="AY392" i="10"/>
  <c r="AX392" i="10"/>
  <c r="AW392" i="10"/>
  <c r="AV392" i="10"/>
  <c r="AU392" i="10"/>
  <c r="AT392" i="10"/>
  <c r="AS392" i="10"/>
  <c r="AR392" i="10"/>
  <c r="AQ392" i="10"/>
  <c r="AP392" i="10"/>
  <c r="AO392" i="10"/>
  <c r="AN392" i="10"/>
  <c r="AM392" i="10"/>
  <c r="AL392" i="10"/>
  <c r="AK392" i="10"/>
  <c r="AJ392" i="10"/>
  <c r="AI392" i="10"/>
  <c r="AH392" i="10"/>
  <c r="AG392" i="10"/>
  <c r="AF392" i="10"/>
  <c r="AE392" i="10"/>
  <c r="AD392" i="10"/>
  <c r="AC392" i="10"/>
  <c r="AB392" i="10"/>
  <c r="AA392" i="10"/>
  <c r="Z392" i="10"/>
  <c r="Y392" i="10"/>
  <c r="X392" i="10"/>
  <c r="W392" i="10"/>
  <c r="V392" i="10"/>
  <c r="U392" i="10"/>
  <c r="T392" i="10"/>
  <c r="S392" i="10"/>
  <c r="R392" i="10"/>
  <c r="Q392" i="10"/>
  <c r="P392" i="10"/>
  <c r="O392" i="10"/>
  <c r="N392" i="10"/>
  <c r="M392" i="10"/>
  <c r="L392" i="10"/>
  <c r="K392" i="10"/>
  <c r="J392" i="10"/>
  <c r="I392" i="10"/>
  <c r="H392" i="10"/>
  <c r="G392" i="10"/>
  <c r="F392" i="10"/>
  <c r="E392" i="10"/>
  <c r="D392" i="10"/>
  <c r="C392" i="10"/>
  <c r="BZ391" i="10"/>
  <c r="BY391" i="10"/>
  <c r="BX391" i="10"/>
  <c r="BW391" i="10"/>
  <c r="BV391" i="10"/>
  <c r="BU391" i="10"/>
  <c r="BT391" i="10"/>
  <c r="BS391" i="10"/>
  <c r="BR391" i="10"/>
  <c r="BQ391" i="10"/>
  <c r="BP391" i="10"/>
  <c r="BO391" i="10"/>
  <c r="BN391" i="10"/>
  <c r="BM391" i="10"/>
  <c r="BL391" i="10"/>
  <c r="BK391" i="10"/>
  <c r="BJ391" i="10"/>
  <c r="BI391" i="10"/>
  <c r="BH391" i="10"/>
  <c r="BG391" i="10"/>
  <c r="BF391" i="10"/>
  <c r="BE391" i="10"/>
  <c r="BD391" i="10"/>
  <c r="BC391" i="10"/>
  <c r="BB391" i="10"/>
  <c r="BA391" i="10"/>
  <c r="AZ391" i="10"/>
  <c r="AY391" i="10"/>
  <c r="AX391" i="10"/>
  <c r="AW391" i="10"/>
  <c r="AV391" i="10"/>
  <c r="AU391" i="10"/>
  <c r="AT391" i="10"/>
  <c r="AS391" i="10"/>
  <c r="AR391" i="10"/>
  <c r="AQ391" i="10"/>
  <c r="AP391" i="10"/>
  <c r="AO391" i="10"/>
  <c r="AN391" i="10"/>
  <c r="AM391" i="10"/>
  <c r="AL391" i="10"/>
  <c r="AK391" i="10"/>
  <c r="AJ391" i="10"/>
  <c r="AI391" i="10"/>
  <c r="AH391" i="10"/>
  <c r="AG391" i="10"/>
  <c r="AF391" i="10"/>
  <c r="AE391" i="10"/>
  <c r="AD391" i="10"/>
  <c r="AC391" i="10"/>
  <c r="AB391" i="10"/>
  <c r="AA391" i="10"/>
  <c r="Z391" i="10"/>
  <c r="Y391" i="10"/>
  <c r="X391" i="10"/>
  <c r="W391" i="10"/>
  <c r="V391" i="10"/>
  <c r="U391" i="10"/>
  <c r="T391" i="10"/>
  <c r="S391" i="10"/>
  <c r="R391" i="10"/>
  <c r="Q391" i="10"/>
  <c r="P391" i="10"/>
  <c r="O391" i="10"/>
  <c r="N391" i="10"/>
  <c r="M391" i="10"/>
  <c r="L391" i="10"/>
  <c r="K391" i="10"/>
  <c r="J391" i="10"/>
  <c r="I391" i="10"/>
  <c r="H391" i="10"/>
  <c r="G391" i="10"/>
  <c r="F391" i="10"/>
  <c r="E391" i="10"/>
  <c r="D391" i="10"/>
  <c r="C391" i="10"/>
  <c r="BZ390" i="10"/>
  <c r="BY390" i="10"/>
  <c r="BX390" i="10"/>
  <c r="BW390" i="10"/>
  <c r="BV390" i="10"/>
  <c r="BU390" i="10"/>
  <c r="BT390" i="10"/>
  <c r="BS390" i="10"/>
  <c r="BR390" i="10"/>
  <c r="BQ390" i="10"/>
  <c r="BP390" i="10"/>
  <c r="BO390" i="10"/>
  <c r="BN390" i="10"/>
  <c r="BM390" i="10"/>
  <c r="BL390" i="10"/>
  <c r="BK390" i="10"/>
  <c r="BJ390" i="10"/>
  <c r="BI390" i="10"/>
  <c r="BH390" i="10"/>
  <c r="BG390" i="10"/>
  <c r="BF390" i="10"/>
  <c r="BE390" i="10"/>
  <c r="BD390" i="10"/>
  <c r="BC390" i="10"/>
  <c r="BB390" i="10"/>
  <c r="BA390" i="10"/>
  <c r="AZ390" i="10"/>
  <c r="AY390" i="10"/>
  <c r="AX390" i="10"/>
  <c r="AW390" i="10"/>
  <c r="AV390" i="10"/>
  <c r="AU390" i="10"/>
  <c r="AT390" i="10"/>
  <c r="AS390" i="10"/>
  <c r="AR390" i="10"/>
  <c r="AQ390" i="10"/>
  <c r="AP390" i="10"/>
  <c r="AO390" i="10"/>
  <c r="AN390" i="10"/>
  <c r="AM390" i="10"/>
  <c r="AL390" i="10"/>
  <c r="AK390" i="10"/>
  <c r="AJ390" i="10"/>
  <c r="AI390" i="10"/>
  <c r="AH390" i="10"/>
  <c r="AG390" i="10"/>
  <c r="AF390" i="10"/>
  <c r="AE390" i="10"/>
  <c r="AD390" i="10"/>
  <c r="AC390" i="10"/>
  <c r="AB390" i="10"/>
  <c r="AA390" i="10"/>
  <c r="Z390" i="10"/>
  <c r="Y390" i="10"/>
  <c r="X390" i="10"/>
  <c r="W390" i="10"/>
  <c r="V390" i="10"/>
  <c r="U390" i="10"/>
  <c r="T390" i="10"/>
  <c r="S390" i="10"/>
  <c r="R390" i="10"/>
  <c r="Q390" i="10"/>
  <c r="P390" i="10"/>
  <c r="O390" i="10"/>
  <c r="N390" i="10"/>
  <c r="M390" i="10"/>
  <c r="L390" i="10"/>
  <c r="K390" i="10"/>
  <c r="J390" i="10"/>
  <c r="I390" i="10"/>
  <c r="H390" i="10"/>
  <c r="G390" i="10"/>
  <c r="F390" i="10"/>
  <c r="E390" i="10"/>
  <c r="D390" i="10"/>
  <c r="C390" i="10"/>
  <c r="BZ389" i="10"/>
  <c r="BY389" i="10"/>
  <c r="BX389" i="10"/>
  <c r="BW389" i="10"/>
  <c r="BV389" i="10"/>
  <c r="BU389" i="10"/>
  <c r="BT389" i="10"/>
  <c r="BS389" i="10"/>
  <c r="BR389" i="10"/>
  <c r="BQ389" i="10"/>
  <c r="BP389" i="10"/>
  <c r="BO389" i="10"/>
  <c r="BN389" i="10"/>
  <c r="BM389" i="10"/>
  <c r="BL389" i="10"/>
  <c r="BK389" i="10"/>
  <c r="BJ389" i="10"/>
  <c r="BI389" i="10"/>
  <c r="BH389" i="10"/>
  <c r="BG389" i="10"/>
  <c r="BF389" i="10"/>
  <c r="BE389" i="10"/>
  <c r="BD389" i="10"/>
  <c r="BC389" i="10"/>
  <c r="BB389" i="10"/>
  <c r="BA389" i="10"/>
  <c r="AZ389" i="10"/>
  <c r="AY389" i="10"/>
  <c r="AX389" i="10"/>
  <c r="AW389" i="10"/>
  <c r="AV389" i="10"/>
  <c r="AU389" i="10"/>
  <c r="AT389" i="10"/>
  <c r="AS389" i="10"/>
  <c r="AR389" i="10"/>
  <c r="AQ389" i="10"/>
  <c r="AP389" i="10"/>
  <c r="AO389" i="10"/>
  <c r="AN389" i="10"/>
  <c r="AM389" i="10"/>
  <c r="AL389" i="10"/>
  <c r="AK389" i="10"/>
  <c r="AJ389" i="10"/>
  <c r="AI389" i="10"/>
  <c r="AH389" i="10"/>
  <c r="AG389" i="10"/>
  <c r="AF389" i="10"/>
  <c r="AE389" i="10"/>
  <c r="AD389" i="10"/>
  <c r="AC389" i="10"/>
  <c r="AB389" i="10"/>
  <c r="AA389" i="10"/>
  <c r="Z389" i="10"/>
  <c r="Y389" i="10"/>
  <c r="X389" i="10"/>
  <c r="W389" i="10"/>
  <c r="V389" i="10"/>
  <c r="U389" i="10"/>
  <c r="T389" i="10"/>
  <c r="S389" i="10"/>
  <c r="R389" i="10"/>
  <c r="Q389" i="10"/>
  <c r="P389" i="10"/>
  <c r="O389" i="10"/>
  <c r="N389" i="10"/>
  <c r="M389" i="10"/>
  <c r="L389" i="10"/>
  <c r="K389" i="10"/>
  <c r="J389" i="10"/>
  <c r="I389" i="10"/>
  <c r="H389" i="10"/>
  <c r="G389" i="10"/>
  <c r="F389" i="10"/>
  <c r="E389" i="10"/>
  <c r="D389" i="10"/>
  <c r="C389" i="10"/>
  <c r="BZ388" i="10"/>
  <c r="BY388" i="10"/>
  <c r="BX388" i="10"/>
  <c r="BW388" i="10"/>
  <c r="BV388" i="10"/>
  <c r="BU388" i="10"/>
  <c r="BT388" i="10"/>
  <c r="BS388" i="10"/>
  <c r="BR388" i="10"/>
  <c r="BQ388" i="10"/>
  <c r="BP388" i="10"/>
  <c r="BO388" i="10"/>
  <c r="BN388" i="10"/>
  <c r="BM388" i="10"/>
  <c r="BL388" i="10"/>
  <c r="BK388" i="10"/>
  <c r="BJ388" i="10"/>
  <c r="BI388" i="10"/>
  <c r="BH388" i="10"/>
  <c r="BG388" i="10"/>
  <c r="BF388" i="10"/>
  <c r="BE388" i="10"/>
  <c r="BD388" i="10"/>
  <c r="BC388" i="10"/>
  <c r="BB388" i="10"/>
  <c r="BA388" i="10"/>
  <c r="AZ388" i="10"/>
  <c r="AY388" i="10"/>
  <c r="AX388" i="10"/>
  <c r="AW388" i="10"/>
  <c r="AV388" i="10"/>
  <c r="AU388" i="10"/>
  <c r="AT388" i="10"/>
  <c r="AS388" i="10"/>
  <c r="AR388" i="10"/>
  <c r="AQ388" i="10"/>
  <c r="AP388" i="10"/>
  <c r="AO388" i="10"/>
  <c r="AN388" i="10"/>
  <c r="AM388" i="10"/>
  <c r="AL388" i="10"/>
  <c r="AK388" i="10"/>
  <c r="AJ388" i="10"/>
  <c r="AI388" i="10"/>
  <c r="AH388" i="10"/>
  <c r="AG388" i="10"/>
  <c r="AF388" i="10"/>
  <c r="AE388" i="10"/>
  <c r="AD388" i="10"/>
  <c r="AC388" i="10"/>
  <c r="AB388" i="10"/>
  <c r="AA388" i="10"/>
  <c r="Z388" i="10"/>
  <c r="Y388" i="10"/>
  <c r="X388" i="10"/>
  <c r="W388" i="10"/>
  <c r="V388" i="10"/>
  <c r="U388" i="10"/>
  <c r="T388" i="10"/>
  <c r="S388" i="10"/>
  <c r="R388" i="10"/>
  <c r="Q388" i="10"/>
  <c r="P388" i="10"/>
  <c r="O388" i="10"/>
  <c r="N388" i="10"/>
  <c r="M388" i="10"/>
  <c r="L388" i="10"/>
  <c r="K388" i="10"/>
  <c r="J388" i="10"/>
  <c r="I388" i="10"/>
  <c r="H388" i="10"/>
  <c r="G388" i="10"/>
  <c r="F388" i="10"/>
  <c r="E388" i="10"/>
  <c r="D388" i="10"/>
  <c r="C388" i="10"/>
  <c r="BZ387" i="10"/>
  <c r="BY387" i="10"/>
  <c r="BX387" i="10"/>
  <c r="BW387" i="10"/>
  <c r="BV387" i="10"/>
  <c r="BU387" i="10"/>
  <c r="BT387" i="10"/>
  <c r="BS387" i="10"/>
  <c r="BR387" i="10"/>
  <c r="BQ387" i="10"/>
  <c r="BP387" i="10"/>
  <c r="BO387" i="10"/>
  <c r="BN387" i="10"/>
  <c r="BM387" i="10"/>
  <c r="BL387" i="10"/>
  <c r="BK387" i="10"/>
  <c r="BJ387" i="10"/>
  <c r="BI387" i="10"/>
  <c r="BH387" i="10"/>
  <c r="BG387" i="10"/>
  <c r="BF387" i="10"/>
  <c r="BE387" i="10"/>
  <c r="BD387" i="10"/>
  <c r="BC387" i="10"/>
  <c r="BB387" i="10"/>
  <c r="BA387" i="10"/>
  <c r="AZ387" i="10"/>
  <c r="AY387" i="10"/>
  <c r="AX387" i="10"/>
  <c r="AW387" i="10"/>
  <c r="AV387" i="10"/>
  <c r="AU387" i="10"/>
  <c r="AT387" i="10"/>
  <c r="AS387" i="10"/>
  <c r="AR387" i="10"/>
  <c r="AQ387" i="10"/>
  <c r="AP387" i="10"/>
  <c r="AO387" i="10"/>
  <c r="AN387" i="10"/>
  <c r="AM387" i="10"/>
  <c r="AL387" i="10"/>
  <c r="AK387" i="10"/>
  <c r="AJ387" i="10"/>
  <c r="AI387" i="10"/>
  <c r="AH387" i="10"/>
  <c r="AG387" i="10"/>
  <c r="AF387" i="10"/>
  <c r="AE387" i="10"/>
  <c r="AD387" i="10"/>
  <c r="AC387" i="10"/>
  <c r="AB387" i="10"/>
  <c r="AA387" i="10"/>
  <c r="Z387" i="10"/>
  <c r="Y387" i="10"/>
  <c r="X387" i="10"/>
  <c r="W387" i="10"/>
  <c r="V387" i="10"/>
  <c r="U387" i="10"/>
  <c r="T387" i="10"/>
  <c r="S387" i="10"/>
  <c r="R387" i="10"/>
  <c r="Q387" i="10"/>
  <c r="P387" i="10"/>
  <c r="O387" i="10"/>
  <c r="N387" i="10"/>
  <c r="M387" i="10"/>
  <c r="L387" i="10"/>
  <c r="K387" i="10"/>
  <c r="J387" i="10"/>
  <c r="I387" i="10"/>
  <c r="H387" i="10"/>
  <c r="G387" i="10"/>
  <c r="F387" i="10"/>
  <c r="E387" i="10"/>
  <c r="D387" i="10"/>
  <c r="C387" i="10"/>
  <c r="BZ386" i="10"/>
  <c r="BY386" i="10"/>
  <c r="BX386" i="10"/>
  <c r="BW386" i="10"/>
  <c r="BV386" i="10"/>
  <c r="BU386" i="10"/>
  <c r="BT386" i="10"/>
  <c r="BS386" i="10"/>
  <c r="BR386" i="10"/>
  <c r="BQ386" i="10"/>
  <c r="BP386" i="10"/>
  <c r="BO386" i="10"/>
  <c r="BN386" i="10"/>
  <c r="BM386" i="10"/>
  <c r="BL386" i="10"/>
  <c r="BK386" i="10"/>
  <c r="BJ386" i="10"/>
  <c r="BI386" i="10"/>
  <c r="BH386" i="10"/>
  <c r="BG386" i="10"/>
  <c r="BF386" i="10"/>
  <c r="BE386" i="10"/>
  <c r="BD386" i="10"/>
  <c r="BC386" i="10"/>
  <c r="BB386" i="10"/>
  <c r="BA386" i="10"/>
  <c r="AZ386" i="10"/>
  <c r="AY386" i="10"/>
  <c r="AX386" i="10"/>
  <c r="AW386" i="10"/>
  <c r="AV386" i="10"/>
  <c r="AU386" i="10"/>
  <c r="AT386" i="10"/>
  <c r="AS386" i="10"/>
  <c r="AR386" i="10"/>
  <c r="AQ386" i="10"/>
  <c r="AP386" i="10"/>
  <c r="AO386" i="10"/>
  <c r="AN386" i="10"/>
  <c r="AM386" i="10"/>
  <c r="AL386" i="10"/>
  <c r="AK386" i="10"/>
  <c r="AJ386" i="10"/>
  <c r="AI386" i="10"/>
  <c r="AH386" i="10"/>
  <c r="AG386" i="10"/>
  <c r="AF386" i="10"/>
  <c r="AE386" i="10"/>
  <c r="AD386" i="10"/>
  <c r="AC386" i="10"/>
  <c r="AB386" i="10"/>
  <c r="AA386" i="10"/>
  <c r="Z386" i="10"/>
  <c r="Y386" i="10"/>
  <c r="X386" i="10"/>
  <c r="W386" i="10"/>
  <c r="V386" i="10"/>
  <c r="U386" i="10"/>
  <c r="T386" i="10"/>
  <c r="S386" i="10"/>
  <c r="R386" i="10"/>
  <c r="Q386" i="10"/>
  <c r="P386" i="10"/>
  <c r="O386" i="10"/>
  <c r="N386" i="10"/>
  <c r="M386" i="10"/>
  <c r="L386" i="10"/>
  <c r="K386" i="10"/>
  <c r="J386" i="10"/>
  <c r="I386" i="10"/>
  <c r="H386" i="10"/>
  <c r="G386" i="10"/>
  <c r="F386" i="10"/>
  <c r="E386" i="10"/>
  <c r="D386" i="10"/>
  <c r="C386" i="10"/>
  <c r="BZ385" i="10"/>
  <c r="BY385" i="10"/>
  <c r="BX385" i="10"/>
  <c r="BW385" i="10"/>
  <c r="BV385" i="10"/>
  <c r="BU385" i="10"/>
  <c r="BT385" i="10"/>
  <c r="BS385" i="10"/>
  <c r="BR385" i="10"/>
  <c r="BQ385" i="10"/>
  <c r="BP385" i="10"/>
  <c r="BO385" i="10"/>
  <c r="BN385" i="10"/>
  <c r="BM385" i="10"/>
  <c r="BL385" i="10"/>
  <c r="BK385" i="10"/>
  <c r="BJ385" i="10"/>
  <c r="BI385" i="10"/>
  <c r="BH385" i="10"/>
  <c r="BG385" i="10"/>
  <c r="BF385" i="10"/>
  <c r="BE385" i="10"/>
  <c r="BD385" i="10"/>
  <c r="BC385" i="10"/>
  <c r="BB385" i="10"/>
  <c r="BA385" i="10"/>
  <c r="AZ385" i="10"/>
  <c r="AY385" i="10"/>
  <c r="AX385" i="10"/>
  <c r="AW385" i="10"/>
  <c r="AV385" i="10"/>
  <c r="AU385" i="10"/>
  <c r="AT385" i="10"/>
  <c r="AS385" i="10"/>
  <c r="AR385" i="10"/>
  <c r="AQ385" i="10"/>
  <c r="AP385" i="10"/>
  <c r="AO385" i="10"/>
  <c r="AN385" i="10"/>
  <c r="AM385" i="10"/>
  <c r="AL385" i="10"/>
  <c r="AK385" i="10"/>
  <c r="AJ385" i="10"/>
  <c r="AI385" i="10"/>
  <c r="AH385" i="10"/>
  <c r="AG385" i="10"/>
  <c r="AF385" i="10"/>
  <c r="AE385" i="10"/>
  <c r="AD385" i="10"/>
  <c r="AC385" i="10"/>
  <c r="AB385" i="10"/>
  <c r="AA385" i="10"/>
  <c r="Z385" i="10"/>
  <c r="Y385" i="10"/>
  <c r="X385" i="10"/>
  <c r="W385" i="10"/>
  <c r="V385" i="10"/>
  <c r="U385" i="10"/>
  <c r="T385" i="10"/>
  <c r="S385" i="10"/>
  <c r="R385" i="10"/>
  <c r="Q385" i="10"/>
  <c r="P385" i="10"/>
  <c r="O385" i="10"/>
  <c r="N385" i="10"/>
  <c r="M385" i="10"/>
  <c r="L385" i="10"/>
  <c r="K385" i="10"/>
  <c r="J385" i="10"/>
  <c r="I385" i="10"/>
  <c r="H385" i="10"/>
  <c r="G385" i="10"/>
  <c r="F385" i="10"/>
  <c r="E385" i="10"/>
  <c r="D385" i="10"/>
  <c r="C385" i="10"/>
  <c r="BZ384" i="10"/>
  <c r="BY384" i="10"/>
  <c r="BX384" i="10"/>
  <c r="BW384" i="10"/>
  <c r="BV384" i="10"/>
  <c r="BU384" i="10"/>
  <c r="BT384" i="10"/>
  <c r="BS384" i="10"/>
  <c r="BR384" i="10"/>
  <c r="BQ384" i="10"/>
  <c r="BP384" i="10"/>
  <c r="BO384" i="10"/>
  <c r="BN384" i="10"/>
  <c r="BM384" i="10"/>
  <c r="BL384" i="10"/>
  <c r="BK384" i="10"/>
  <c r="BJ384" i="10"/>
  <c r="BI384" i="10"/>
  <c r="BH384" i="10"/>
  <c r="BG384" i="10"/>
  <c r="BF384" i="10"/>
  <c r="BE384" i="10"/>
  <c r="BD384" i="10"/>
  <c r="BC384" i="10"/>
  <c r="BB384" i="10"/>
  <c r="BA384" i="10"/>
  <c r="AZ384" i="10"/>
  <c r="AY384" i="10"/>
  <c r="AX384" i="10"/>
  <c r="AW384" i="10"/>
  <c r="AV384" i="10"/>
  <c r="AU384" i="10"/>
  <c r="AT384" i="10"/>
  <c r="AS384" i="10"/>
  <c r="AR384" i="10"/>
  <c r="AQ384" i="10"/>
  <c r="AP384" i="10"/>
  <c r="AO384" i="10"/>
  <c r="AN384" i="10"/>
  <c r="AM384" i="10"/>
  <c r="AL384" i="10"/>
  <c r="AK384" i="10"/>
  <c r="AJ384" i="10"/>
  <c r="AI384" i="10"/>
  <c r="AH384" i="10"/>
  <c r="AG384" i="10"/>
  <c r="AF384" i="10"/>
  <c r="AE384" i="10"/>
  <c r="AD384" i="10"/>
  <c r="AC384" i="10"/>
  <c r="AB384" i="10"/>
  <c r="AA384" i="10"/>
  <c r="Z384" i="10"/>
  <c r="Y384" i="10"/>
  <c r="X384" i="10"/>
  <c r="W384" i="10"/>
  <c r="V384" i="10"/>
  <c r="U384" i="10"/>
  <c r="T384" i="10"/>
  <c r="S384" i="10"/>
  <c r="R384" i="10"/>
  <c r="Q384" i="10"/>
  <c r="P384" i="10"/>
  <c r="O384" i="10"/>
  <c r="N384" i="10"/>
  <c r="M384" i="10"/>
  <c r="L384" i="10"/>
  <c r="K384" i="10"/>
  <c r="J384" i="10"/>
  <c r="I384" i="10"/>
  <c r="H384" i="10"/>
  <c r="G384" i="10"/>
  <c r="F384" i="10"/>
  <c r="E384" i="10"/>
  <c r="D384" i="10"/>
  <c r="C384" i="10"/>
  <c r="BZ383" i="10"/>
  <c r="BY383" i="10"/>
  <c r="BX383" i="10"/>
  <c r="BW383" i="10"/>
  <c r="BV383" i="10"/>
  <c r="BU383" i="10"/>
  <c r="BT383" i="10"/>
  <c r="BS383" i="10"/>
  <c r="BR383" i="10"/>
  <c r="BQ383" i="10"/>
  <c r="BP383" i="10"/>
  <c r="BO383" i="10"/>
  <c r="BN383" i="10"/>
  <c r="BM383" i="10"/>
  <c r="BL383" i="10"/>
  <c r="BK383" i="10"/>
  <c r="BJ383" i="10"/>
  <c r="BI383" i="10"/>
  <c r="BH383" i="10"/>
  <c r="BG383" i="10"/>
  <c r="BF383" i="10"/>
  <c r="BE383" i="10"/>
  <c r="BD383" i="10"/>
  <c r="BC383" i="10"/>
  <c r="BB383" i="10"/>
  <c r="BA383" i="10"/>
  <c r="AZ383" i="10"/>
  <c r="AY383" i="10"/>
  <c r="AX383" i="10"/>
  <c r="AW383" i="10"/>
  <c r="AV383" i="10"/>
  <c r="AU383" i="10"/>
  <c r="AT383" i="10"/>
  <c r="AS383" i="10"/>
  <c r="AR383" i="10"/>
  <c r="AQ383" i="10"/>
  <c r="AP383" i="10"/>
  <c r="AO383" i="10"/>
  <c r="AN383" i="10"/>
  <c r="AM383" i="10"/>
  <c r="AL383" i="10"/>
  <c r="AK383" i="10"/>
  <c r="AJ383" i="10"/>
  <c r="AI383" i="10"/>
  <c r="AH383" i="10"/>
  <c r="AG383" i="10"/>
  <c r="AF383" i="10"/>
  <c r="AE383" i="10"/>
  <c r="AD383" i="10"/>
  <c r="AC383" i="10"/>
  <c r="AB383" i="10"/>
  <c r="AA383" i="10"/>
  <c r="Z383" i="10"/>
  <c r="Y383" i="10"/>
  <c r="X383" i="10"/>
  <c r="W383" i="10"/>
  <c r="V383" i="10"/>
  <c r="U383" i="10"/>
  <c r="T383" i="10"/>
  <c r="S383" i="10"/>
  <c r="R383" i="10"/>
  <c r="Q383" i="10"/>
  <c r="P383" i="10"/>
  <c r="O383" i="10"/>
  <c r="N383" i="10"/>
  <c r="M383" i="10"/>
  <c r="L383" i="10"/>
  <c r="K383" i="10"/>
  <c r="J383" i="10"/>
  <c r="I383" i="10"/>
  <c r="H383" i="10"/>
  <c r="G383" i="10"/>
  <c r="F383" i="10"/>
  <c r="E383" i="10"/>
  <c r="D383" i="10"/>
  <c r="C383" i="10"/>
  <c r="BZ382" i="10"/>
  <c r="BY382" i="10"/>
  <c r="BX382" i="10"/>
  <c r="BW382" i="10"/>
  <c r="BV382" i="10"/>
  <c r="BU382" i="10"/>
  <c r="BT382" i="10"/>
  <c r="BS382" i="10"/>
  <c r="BR382" i="10"/>
  <c r="BQ382" i="10"/>
  <c r="BP382" i="10"/>
  <c r="BO382" i="10"/>
  <c r="BN382" i="10"/>
  <c r="BM382" i="10"/>
  <c r="BL382" i="10"/>
  <c r="BK382" i="10"/>
  <c r="BJ382" i="10"/>
  <c r="BI382" i="10"/>
  <c r="BH382" i="10"/>
  <c r="BG382" i="10"/>
  <c r="BF382" i="10"/>
  <c r="BE382" i="10"/>
  <c r="BD382" i="10"/>
  <c r="BC382" i="10"/>
  <c r="BB382" i="10"/>
  <c r="BA382" i="10"/>
  <c r="AZ382" i="10"/>
  <c r="AY382" i="10"/>
  <c r="AX382" i="10"/>
  <c r="AW382" i="10"/>
  <c r="AV382" i="10"/>
  <c r="AU382" i="10"/>
  <c r="AT382" i="10"/>
  <c r="AS382" i="10"/>
  <c r="AR382" i="10"/>
  <c r="AQ382" i="10"/>
  <c r="AP382" i="10"/>
  <c r="AO382" i="10"/>
  <c r="AN382" i="10"/>
  <c r="AM382" i="10"/>
  <c r="AL382" i="10"/>
  <c r="AK382" i="10"/>
  <c r="AJ382" i="10"/>
  <c r="AI382" i="10"/>
  <c r="AH382" i="10"/>
  <c r="AG382" i="10"/>
  <c r="AF382" i="10"/>
  <c r="AE382" i="10"/>
  <c r="AD382" i="10"/>
  <c r="AC382" i="10"/>
  <c r="AB382" i="10"/>
  <c r="AA382" i="10"/>
  <c r="Z382" i="10"/>
  <c r="Y382" i="10"/>
  <c r="X382" i="10"/>
  <c r="W382" i="10"/>
  <c r="V382" i="10"/>
  <c r="U382" i="10"/>
  <c r="T382" i="10"/>
  <c r="S382" i="10"/>
  <c r="R382" i="10"/>
  <c r="Q382" i="10"/>
  <c r="P382" i="10"/>
  <c r="O382" i="10"/>
  <c r="N382" i="10"/>
  <c r="M382" i="10"/>
  <c r="L382" i="10"/>
  <c r="K382" i="10"/>
  <c r="J382" i="10"/>
  <c r="I382" i="10"/>
  <c r="H382" i="10"/>
  <c r="G382" i="10"/>
  <c r="F382" i="10"/>
  <c r="E382" i="10"/>
  <c r="D382" i="10"/>
  <c r="C382" i="10"/>
  <c r="BZ381" i="10"/>
  <c r="BY381" i="10"/>
  <c r="BX381" i="10"/>
  <c r="BW381" i="10"/>
  <c r="BV381" i="10"/>
  <c r="BU381" i="10"/>
  <c r="BT381" i="10"/>
  <c r="BS381" i="10"/>
  <c r="BR381" i="10"/>
  <c r="BQ381" i="10"/>
  <c r="BP381" i="10"/>
  <c r="BO381" i="10"/>
  <c r="BN381" i="10"/>
  <c r="BM381" i="10"/>
  <c r="BL381" i="10"/>
  <c r="BK381" i="10"/>
  <c r="BJ381" i="10"/>
  <c r="BI381" i="10"/>
  <c r="BH381" i="10"/>
  <c r="BG381" i="10"/>
  <c r="BF381" i="10"/>
  <c r="BE381" i="10"/>
  <c r="BD381" i="10"/>
  <c r="BC381" i="10"/>
  <c r="BB381" i="10"/>
  <c r="BA381" i="10"/>
  <c r="AZ381" i="10"/>
  <c r="AY381" i="10"/>
  <c r="AX381" i="10"/>
  <c r="AW381" i="10"/>
  <c r="AV381" i="10"/>
  <c r="AU381" i="10"/>
  <c r="AT381" i="10"/>
  <c r="AS381" i="10"/>
  <c r="AR381" i="10"/>
  <c r="AQ381" i="10"/>
  <c r="AP381" i="10"/>
  <c r="AO381" i="10"/>
  <c r="AN381" i="10"/>
  <c r="AM381" i="10"/>
  <c r="AL381" i="10"/>
  <c r="AK381" i="10"/>
  <c r="AJ381" i="10"/>
  <c r="AI381" i="10"/>
  <c r="AH381" i="10"/>
  <c r="AG381" i="10"/>
  <c r="AF381" i="10"/>
  <c r="AE381" i="10"/>
  <c r="AD381" i="10"/>
  <c r="AC381" i="10"/>
  <c r="AB381" i="10"/>
  <c r="AA381" i="10"/>
  <c r="Z381" i="10"/>
  <c r="Y381" i="10"/>
  <c r="X381" i="10"/>
  <c r="W381" i="10"/>
  <c r="V381" i="10"/>
  <c r="U381" i="10"/>
  <c r="T381" i="10"/>
  <c r="S381" i="10"/>
  <c r="R381" i="10"/>
  <c r="Q381" i="10"/>
  <c r="P381" i="10"/>
  <c r="O381" i="10"/>
  <c r="N381" i="10"/>
  <c r="M381" i="10"/>
  <c r="L381" i="10"/>
  <c r="K381" i="10"/>
  <c r="J381" i="10"/>
  <c r="I381" i="10"/>
  <c r="H381" i="10"/>
  <c r="G381" i="10"/>
  <c r="F381" i="10"/>
  <c r="E381" i="10"/>
  <c r="D381" i="10"/>
  <c r="C381" i="10"/>
  <c r="BZ380" i="10"/>
  <c r="BY380" i="10"/>
  <c r="BX380" i="10"/>
  <c r="BW380" i="10"/>
  <c r="BV380" i="10"/>
  <c r="BU380" i="10"/>
  <c r="BT380" i="10"/>
  <c r="BS380" i="10"/>
  <c r="BR380" i="10"/>
  <c r="BQ380" i="10"/>
  <c r="BP380" i="10"/>
  <c r="BO380" i="10"/>
  <c r="BN380" i="10"/>
  <c r="BM380" i="10"/>
  <c r="BL380" i="10"/>
  <c r="BK380" i="10"/>
  <c r="BJ380" i="10"/>
  <c r="BI380" i="10"/>
  <c r="BH380" i="10"/>
  <c r="BG380" i="10"/>
  <c r="BF380" i="10"/>
  <c r="BE380" i="10"/>
  <c r="BD380" i="10"/>
  <c r="BC380" i="10"/>
  <c r="BB380" i="10"/>
  <c r="BA380" i="10"/>
  <c r="AZ380" i="10"/>
  <c r="AY380" i="10"/>
  <c r="AX380" i="10"/>
  <c r="AW380" i="10"/>
  <c r="AV380" i="10"/>
  <c r="AU380" i="10"/>
  <c r="AT380" i="10"/>
  <c r="AS380" i="10"/>
  <c r="AR380" i="10"/>
  <c r="AQ380" i="10"/>
  <c r="AP380" i="10"/>
  <c r="AO380" i="10"/>
  <c r="AN380" i="10"/>
  <c r="AM380" i="10"/>
  <c r="AL380" i="10"/>
  <c r="AK380" i="10"/>
  <c r="AJ380" i="10"/>
  <c r="AI380" i="10"/>
  <c r="AH380" i="10"/>
  <c r="AG380" i="10"/>
  <c r="AF380" i="10"/>
  <c r="AE380" i="10"/>
  <c r="AD380" i="10"/>
  <c r="AC380" i="10"/>
  <c r="AB380" i="10"/>
  <c r="AA380" i="10"/>
  <c r="Z380" i="10"/>
  <c r="Y380" i="10"/>
  <c r="X380" i="10"/>
  <c r="W380" i="10"/>
  <c r="V380" i="10"/>
  <c r="U380" i="10"/>
  <c r="T380" i="10"/>
  <c r="S380" i="10"/>
  <c r="R380" i="10"/>
  <c r="Q380" i="10"/>
  <c r="P380" i="10"/>
  <c r="O380" i="10"/>
  <c r="N380" i="10"/>
  <c r="M380" i="10"/>
  <c r="L380" i="10"/>
  <c r="K380" i="10"/>
  <c r="J380" i="10"/>
  <c r="I380" i="10"/>
  <c r="H380" i="10"/>
  <c r="G380" i="10"/>
  <c r="F380" i="10"/>
  <c r="E380" i="10"/>
  <c r="D380" i="10"/>
  <c r="C380" i="10"/>
  <c r="BZ379" i="10"/>
  <c r="BY379" i="10"/>
  <c r="BX379" i="10"/>
  <c r="BW379" i="10"/>
  <c r="BV379" i="10"/>
  <c r="BU379" i="10"/>
  <c r="BT379" i="10"/>
  <c r="BS379" i="10"/>
  <c r="BR379" i="10"/>
  <c r="BQ379" i="10"/>
  <c r="BP379" i="10"/>
  <c r="BO379" i="10"/>
  <c r="BN379" i="10"/>
  <c r="BM379" i="10"/>
  <c r="BL379" i="10"/>
  <c r="BK379" i="10"/>
  <c r="BJ379" i="10"/>
  <c r="BI379" i="10"/>
  <c r="BH379" i="10"/>
  <c r="BG379" i="10"/>
  <c r="BF379" i="10"/>
  <c r="BE379" i="10"/>
  <c r="BD379" i="10"/>
  <c r="BC379" i="10"/>
  <c r="BB379" i="10"/>
  <c r="BA379" i="10"/>
  <c r="AZ379" i="10"/>
  <c r="AY379" i="10"/>
  <c r="AX379" i="10"/>
  <c r="AW379" i="10"/>
  <c r="AV379" i="10"/>
  <c r="AU379" i="10"/>
  <c r="AT379" i="10"/>
  <c r="AS379" i="10"/>
  <c r="AR379" i="10"/>
  <c r="AQ379" i="10"/>
  <c r="AP379" i="10"/>
  <c r="AO379" i="10"/>
  <c r="AN379" i="10"/>
  <c r="AM379" i="10"/>
  <c r="AL379" i="10"/>
  <c r="AK379" i="10"/>
  <c r="AJ379" i="10"/>
  <c r="AI379" i="10"/>
  <c r="AH379" i="10"/>
  <c r="AG379" i="10"/>
  <c r="AF379" i="10"/>
  <c r="AE379" i="10"/>
  <c r="AD379" i="10"/>
  <c r="AC379" i="10"/>
  <c r="AB379" i="10"/>
  <c r="AA379" i="10"/>
  <c r="Z379" i="10"/>
  <c r="Y379" i="10"/>
  <c r="X379" i="10"/>
  <c r="W379" i="10"/>
  <c r="V379" i="10"/>
  <c r="U379" i="10"/>
  <c r="T379" i="10"/>
  <c r="S379" i="10"/>
  <c r="R379" i="10"/>
  <c r="Q379" i="10"/>
  <c r="P379" i="10"/>
  <c r="O379" i="10"/>
  <c r="N379" i="10"/>
  <c r="M379" i="10"/>
  <c r="L379" i="10"/>
  <c r="K379" i="10"/>
  <c r="J379" i="10"/>
  <c r="I379" i="10"/>
  <c r="H379" i="10"/>
  <c r="G379" i="10"/>
  <c r="F379" i="10"/>
  <c r="E379" i="10"/>
  <c r="D379" i="10"/>
  <c r="C379" i="10"/>
  <c r="BZ378" i="10"/>
  <c r="BY378" i="10"/>
  <c r="BX378" i="10"/>
  <c r="BW378" i="10"/>
  <c r="BV378" i="10"/>
  <c r="BU378" i="10"/>
  <c r="BT378" i="10"/>
  <c r="BS378" i="10"/>
  <c r="BR378" i="10"/>
  <c r="BQ378" i="10"/>
  <c r="BP378" i="10"/>
  <c r="BO378" i="10"/>
  <c r="BN378" i="10"/>
  <c r="BM378" i="10"/>
  <c r="BL378" i="10"/>
  <c r="BK378" i="10"/>
  <c r="BJ378" i="10"/>
  <c r="BI378" i="10"/>
  <c r="BH378" i="10"/>
  <c r="BG378" i="10"/>
  <c r="BF378" i="10"/>
  <c r="BE378" i="10"/>
  <c r="BD378" i="10"/>
  <c r="BC378" i="10"/>
  <c r="BB378" i="10"/>
  <c r="BA378" i="10"/>
  <c r="AZ378" i="10"/>
  <c r="AY378" i="10"/>
  <c r="AX378" i="10"/>
  <c r="AW378" i="10"/>
  <c r="AV378" i="10"/>
  <c r="AU378" i="10"/>
  <c r="AT378" i="10"/>
  <c r="AS378" i="10"/>
  <c r="AR378" i="10"/>
  <c r="AQ378" i="10"/>
  <c r="AP378" i="10"/>
  <c r="AO378" i="10"/>
  <c r="AN378" i="10"/>
  <c r="AM378" i="10"/>
  <c r="AL378" i="10"/>
  <c r="AK378" i="10"/>
  <c r="AJ378" i="10"/>
  <c r="AI378" i="10"/>
  <c r="AH378" i="10"/>
  <c r="AG378" i="10"/>
  <c r="AF378" i="10"/>
  <c r="AE378" i="10"/>
  <c r="AD378" i="10"/>
  <c r="AC378" i="10"/>
  <c r="AB378" i="10"/>
  <c r="AA378" i="10"/>
  <c r="Z378" i="10"/>
  <c r="Y378" i="10"/>
  <c r="X378" i="10"/>
  <c r="W378" i="10"/>
  <c r="V378" i="10"/>
  <c r="U378" i="10"/>
  <c r="T378" i="10"/>
  <c r="S378" i="10"/>
  <c r="R378" i="10"/>
  <c r="Q378" i="10"/>
  <c r="P378" i="10"/>
  <c r="O378" i="10"/>
  <c r="N378" i="10"/>
  <c r="M378" i="10"/>
  <c r="L378" i="10"/>
  <c r="K378" i="10"/>
  <c r="J378" i="10"/>
  <c r="I378" i="10"/>
  <c r="H378" i="10"/>
  <c r="G378" i="10"/>
  <c r="F378" i="10"/>
  <c r="E378" i="10"/>
  <c r="D378" i="10"/>
  <c r="C378" i="10"/>
  <c r="BZ377" i="10"/>
  <c r="BY377" i="10"/>
  <c r="BX377" i="10"/>
  <c r="BW377" i="10"/>
  <c r="BV377" i="10"/>
  <c r="BU377" i="10"/>
  <c r="BT377" i="10"/>
  <c r="BS377" i="10"/>
  <c r="BR377" i="10"/>
  <c r="BQ377" i="10"/>
  <c r="BP377" i="10"/>
  <c r="BO377" i="10"/>
  <c r="BN377" i="10"/>
  <c r="BM377" i="10"/>
  <c r="BL377" i="10"/>
  <c r="BK377" i="10"/>
  <c r="BJ377" i="10"/>
  <c r="BI377" i="10"/>
  <c r="BH377" i="10"/>
  <c r="BG377" i="10"/>
  <c r="BF377" i="10"/>
  <c r="BE377" i="10"/>
  <c r="BD377" i="10"/>
  <c r="BC377" i="10"/>
  <c r="BB377" i="10"/>
  <c r="BA377" i="10"/>
  <c r="AZ377" i="10"/>
  <c r="AY377" i="10"/>
  <c r="AX377" i="10"/>
  <c r="AW377" i="10"/>
  <c r="AV377" i="10"/>
  <c r="AU377" i="10"/>
  <c r="AT377" i="10"/>
  <c r="AS377" i="10"/>
  <c r="AR377" i="10"/>
  <c r="AQ377" i="10"/>
  <c r="AP377" i="10"/>
  <c r="AO377" i="10"/>
  <c r="AN377" i="10"/>
  <c r="AM377" i="10"/>
  <c r="AL377" i="10"/>
  <c r="AK377" i="10"/>
  <c r="AJ377" i="10"/>
  <c r="AI377" i="10"/>
  <c r="AH377" i="10"/>
  <c r="AG377" i="10"/>
  <c r="AF377" i="10"/>
  <c r="AE377" i="10"/>
  <c r="AD377" i="10"/>
  <c r="AC377" i="10"/>
  <c r="AB377" i="10"/>
  <c r="AA377" i="10"/>
  <c r="Z377" i="10"/>
  <c r="Y377" i="10"/>
  <c r="X377" i="10"/>
  <c r="W377" i="10"/>
  <c r="V377" i="10"/>
  <c r="U377" i="10"/>
  <c r="T377" i="10"/>
  <c r="S377" i="10"/>
  <c r="R377" i="10"/>
  <c r="Q377" i="10"/>
  <c r="P377" i="10"/>
  <c r="O377" i="10"/>
  <c r="N377" i="10"/>
  <c r="M377" i="10"/>
  <c r="L377" i="10"/>
  <c r="K377" i="10"/>
  <c r="J377" i="10"/>
  <c r="I377" i="10"/>
  <c r="H377" i="10"/>
  <c r="G377" i="10"/>
  <c r="F377" i="10"/>
  <c r="E377" i="10"/>
  <c r="D377" i="10"/>
  <c r="C377" i="10"/>
  <c r="BZ376" i="10"/>
  <c r="BY376" i="10"/>
  <c r="BX376" i="10"/>
  <c r="BW376" i="10"/>
  <c r="BV376" i="10"/>
  <c r="BU376" i="10"/>
  <c r="BT376" i="10"/>
  <c r="BS376" i="10"/>
  <c r="BR376" i="10"/>
  <c r="BQ376" i="10"/>
  <c r="BP376" i="10"/>
  <c r="BO376" i="10"/>
  <c r="BN376" i="10"/>
  <c r="BM376" i="10"/>
  <c r="BL376" i="10"/>
  <c r="BK376" i="10"/>
  <c r="BJ376" i="10"/>
  <c r="BI376" i="10"/>
  <c r="BH376" i="10"/>
  <c r="BG376" i="10"/>
  <c r="BF376" i="10"/>
  <c r="BE376" i="10"/>
  <c r="BD376" i="10"/>
  <c r="BC376" i="10"/>
  <c r="BB376" i="10"/>
  <c r="BA376" i="10"/>
  <c r="AZ376" i="10"/>
  <c r="AY376" i="10"/>
  <c r="AX376" i="10"/>
  <c r="AW376" i="10"/>
  <c r="AV376" i="10"/>
  <c r="AU376" i="10"/>
  <c r="AT376" i="10"/>
  <c r="AS376" i="10"/>
  <c r="AR376" i="10"/>
  <c r="AQ376" i="10"/>
  <c r="AP376" i="10"/>
  <c r="AO376" i="10"/>
  <c r="AN376" i="10"/>
  <c r="AM376" i="10"/>
  <c r="AL376" i="10"/>
  <c r="AK376" i="10"/>
  <c r="AJ376" i="10"/>
  <c r="AI376" i="10"/>
  <c r="AH376" i="10"/>
  <c r="AG376" i="10"/>
  <c r="AF376" i="10"/>
  <c r="AE376" i="10"/>
  <c r="AD376" i="10"/>
  <c r="AC376" i="10"/>
  <c r="AB376" i="10"/>
  <c r="AA376" i="10"/>
  <c r="Z376" i="10"/>
  <c r="Y376" i="10"/>
  <c r="X376" i="10"/>
  <c r="W376" i="10"/>
  <c r="V376" i="10"/>
  <c r="U376" i="10"/>
  <c r="T376" i="10"/>
  <c r="S376" i="10"/>
  <c r="R376" i="10"/>
  <c r="Q376" i="10"/>
  <c r="P376" i="10"/>
  <c r="O376" i="10"/>
  <c r="N376" i="10"/>
  <c r="M376" i="10"/>
  <c r="L376" i="10"/>
  <c r="K376" i="10"/>
  <c r="J376" i="10"/>
  <c r="I376" i="10"/>
  <c r="H376" i="10"/>
  <c r="G376" i="10"/>
  <c r="F376" i="10"/>
  <c r="E376" i="10"/>
  <c r="D376" i="10"/>
  <c r="C376" i="10"/>
  <c r="BZ375" i="10"/>
  <c r="BY375" i="10"/>
  <c r="BX375" i="10"/>
  <c r="BW375" i="10"/>
  <c r="BV375" i="10"/>
  <c r="BU375" i="10"/>
  <c r="BT375" i="10"/>
  <c r="BS375" i="10"/>
  <c r="BR375" i="10"/>
  <c r="BQ375" i="10"/>
  <c r="BP375" i="10"/>
  <c r="BO375" i="10"/>
  <c r="BN375" i="10"/>
  <c r="BM375" i="10"/>
  <c r="BL375" i="10"/>
  <c r="BK375" i="10"/>
  <c r="BJ375" i="10"/>
  <c r="BI375" i="10"/>
  <c r="BH375" i="10"/>
  <c r="BG375" i="10"/>
  <c r="BF375" i="10"/>
  <c r="BE375" i="10"/>
  <c r="BD375" i="10"/>
  <c r="BC375" i="10"/>
  <c r="BB375" i="10"/>
  <c r="BA375" i="10"/>
  <c r="AZ375" i="10"/>
  <c r="AY375" i="10"/>
  <c r="AX375" i="10"/>
  <c r="AW375" i="10"/>
  <c r="AV375" i="10"/>
  <c r="AU375" i="10"/>
  <c r="AT375" i="10"/>
  <c r="AS375" i="10"/>
  <c r="AR375" i="10"/>
  <c r="AQ375" i="10"/>
  <c r="AP375" i="10"/>
  <c r="AO375" i="10"/>
  <c r="AN375" i="10"/>
  <c r="AM375" i="10"/>
  <c r="AL375" i="10"/>
  <c r="AK375" i="10"/>
  <c r="AJ375" i="10"/>
  <c r="AI375" i="10"/>
  <c r="AH375" i="10"/>
  <c r="AG375" i="10"/>
  <c r="AF375" i="10"/>
  <c r="AE375" i="10"/>
  <c r="AD375" i="10"/>
  <c r="AC375" i="10"/>
  <c r="AB375" i="10"/>
  <c r="AA375" i="10"/>
  <c r="Z375" i="10"/>
  <c r="Y375" i="10"/>
  <c r="X375" i="10"/>
  <c r="W375" i="10"/>
  <c r="V375" i="10"/>
  <c r="U375" i="10"/>
  <c r="T375" i="10"/>
  <c r="S375" i="10"/>
  <c r="R375" i="10"/>
  <c r="Q375" i="10"/>
  <c r="P375" i="10"/>
  <c r="O375" i="10"/>
  <c r="N375" i="10"/>
  <c r="M375" i="10"/>
  <c r="L375" i="10"/>
  <c r="K375" i="10"/>
  <c r="J375" i="10"/>
  <c r="I375" i="10"/>
  <c r="H375" i="10"/>
  <c r="G375" i="10"/>
  <c r="F375" i="10"/>
  <c r="E375" i="10"/>
  <c r="D375" i="10"/>
  <c r="C375" i="10"/>
  <c r="BZ374" i="10"/>
  <c r="BY374" i="10"/>
  <c r="BX374" i="10"/>
  <c r="BW374" i="10"/>
  <c r="BV374" i="10"/>
  <c r="BU374" i="10"/>
  <c r="BT374" i="10"/>
  <c r="BS374" i="10"/>
  <c r="BR374" i="10"/>
  <c r="BQ374" i="10"/>
  <c r="BP374" i="10"/>
  <c r="BO374" i="10"/>
  <c r="BN374" i="10"/>
  <c r="BM374" i="10"/>
  <c r="BL374" i="10"/>
  <c r="BK374" i="10"/>
  <c r="BJ374" i="10"/>
  <c r="BI374" i="10"/>
  <c r="BH374" i="10"/>
  <c r="BG374" i="10"/>
  <c r="BF374" i="10"/>
  <c r="BE374" i="10"/>
  <c r="BD374" i="10"/>
  <c r="BC374" i="10"/>
  <c r="BB374" i="10"/>
  <c r="BA374" i="10"/>
  <c r="AZ374" i="10"/>
  <c r="AY374" i="10"/>
  <c r="AX374" i="10"/>
  <c r="AW374" i="10"/>
  <c r="AV374" i="10"/>
  <c r="AU374" i="10"/>
  <c r="AT374" i="10"/>
  <c r="AS374" i="10"/>
  <c r="AR374" i="10"/>
  <c r="AQ374" i="10"/>
  <c r="AP374" i="10"/>
  <c r="AO374" i="10"/>
  <c r="AN374" i="10"/>
  <c r="AM374" i="10"/>
  <c r="AL374" i="10"/>
  <c r="AK374" i="10"/>
  <c r="AJ374" i="10"/>
  <c r="AI374" i="10"/>
  <c r="AH374" i="10"/>
  <c r="AG374" i="10"/>
  <c r="AF374" i="10"/>
  <c r="AE374" i="10"/>
  <c r="AD374" i="10"/>
  <c r="AC374" i="10"/>
  <c r="AB374" i="10"/>
  <c r="AA374" i="10"/>
  <c r="Z374" i="10"/>
  <c r="Y374" i="10"/>
  <c r="X374" i="10"/>
  <c r="W374" i="10"/>
  <c r="V374" i="10"/>
  <c r="U374" i="10"/>
  <c r="T374" i="10"/>
  <c r="S374" i="10"/>
  <c r="R374" i="10"/>
  <c r="Q374" i="10"/>
  <c r="P374" i="10"/>
  <c r="O374" i="10"/>
  <c r="N374" i="10"/>
  <c r="M374" i="10"/>
  <c r="L374" i="10"/>
  <c r="K374" i="10"/>
  <c r="J374" i="10"/>
  <c r="I374" i="10"/>
  <c r="H374" i="10"/>
  <c r="G374" i="10"/>
  <c r="F374" i="10"/>
  <c r="E374" i="10"/>
  <c r="D374" i="10"/>
  <c r="C374" i="10"/>
  <c r="BZ373" i="10"/>
  <c r="BY373" i="10"/>
  <c r="BX373" i="10"/>
  <c r="BW373" i="10"/>
  <c r="BV373" i="10"/>
  <c r="BU373" i="10"/>
  <c r="BT373" i="10"/>
  <c r="BS373" i="10"/>
  <c r="BR373" i="10"/>
  <c r="BQ373" i="10"/>
  <c r="BP373" i="10"/>
  <c r="BO373" i="10"/>
  <c r="BN373" i="10"/>
  <c r="BM373" i="10"/>
  <c r="BL373" i="10"/>
  <c r="BK373" i="10"/>
  <c r="BJ373" i="10"/>
  <c r="BI373" i="10"/>
  <c r="BH373" i="10"/>
  <c r="BG373" i="10"/>
  <c r="BF373" i="10"/>
  <c r="BE373" i="10"/>
  <c r="BD373" i="10"/>
  <c r="BC373" i="10"/>
  <c r="BB373" i="10"/>
  <c r="BA373" i="10"/>
  <c r="AZ373" i="10"/>
  <c r="AY373" i="10"/>
  <c r="AX373" i="10"/>
  <c r="AW373" i="10"/>
  <c r="AV373" i="10"/>
  <c r="AU373" i="10"/>
  <c r="AT373" i="10"/>
  <c r="AS373" i="10"/>
  <c r="AR373" i="10"/>
  <c r="AQ373" i="10"/>
  <c r="AP373" i="10"/>
  <c r="AO373" i="10"/>
  <c r="AN373" i="10"/>
  <c r="AM373" i="10"/>
  <c r="AL373" i="10"/>
  <c r="AK373" i="10"/>
  <c r="AJ373" i="10"/>
  <c r="AI373" i="10"/>
  <c r="AH373" i="10"/>
  <c r="AG373" i="10"/>
  <c r="AF373" i="10"/>
  <c r="AE373" i="10"/>
  <c r="AD373" i="10"/>
  <c r="AC373" i="10"/>
  <c r="AB373" i="10"/>
  <c r="AA373" i="10"/>
  <c r="Z373" i="10"/>
  <c r="Y373" i="10"/>
  <c r="X373" i="10"/>
  <c r="W373" i="10"/>
  <c r="V373" i="10"/>
  <c r="U373" i="10"/>
  <c r="T373" i="10"/>
  <c r="S373" i="10"/>
  <c r="R373" i="10"/>
  <c r="Q373" i="10"/>
  <c r="P373" i="10"/>
  <c r="O373" i="10"/>
  <c r="N373" i="10"/>
  <c r="M373" i="10"/>
  <c r="L373" i="10"/>
  <c r="K373" i="10"/>
  <c r="J373" i="10"/>
  <c r="I373" i="10"/>
  <c r="H373" i="10"/>
  <c r="G373" i="10"/>
  <c r="F373" i="10"/>
  <c r="E373" i="10"/>
  <c r="D373" i="10"/>
  <c r="C373" i="10"/>
  <c r="BZ372" i="10"/>
  <c r="BY372" i="10"/>
  <c r="BX372" i="10"/>
  <c r="BW372" i="10"/>
  <c r="BV372" i="10"/>
  <c r="BU372" i="10"/>
  <c r="BT372" i="10"/>
  <c r="BS372" i="10"/>
  <c r="BR372" i="10"/>
  <c r="BQ372" i="10"/>
  <c r="BP372" i="10"/>
  <c r="BO372" i="10"/>
  <c r="BN372" i="10"/>
  <c r="BM372" i="10"/>
  <c r="BL372" i="10"/>
  <c r="BK372" i="10"/>
  <c r="BJ372" i="10"/>
  <c r="BI372" i="10"/>
  <c r="BH372" i="10"/>
  <c r="BG372" i="10"/>
  <c r="BF372" i="10"/>
  <c r="BE372" i="10"/>
  <c r="BD372" i="10"/>
  <c r="BC372" i="10"/>
  <c r="BB372" i="10"/>
  <c r="BA372" i="10"/>
  <c r="AZ372" i="10"/>
  <c r="AY372" i="10"/>
  <c r="AX372" i="10"/>
  <c r="AW372" i="10"/>
  <c r="AV372" i="10"/>
  <c r="AU372" i="10"/>
  <c r="AT372" i="10"/>
  <c r="AS372" i="10"/>
  <c r="AR372" i="10"/>
  <c r="AQ372" i="10"/>
  <c r="AP372" i="10"/>
  <c r="AO372" i="10"/>
  <c r="AN372" i="10"/>
  <c r="AM372" i="10"/>
  <c r="AL372" i="10"/>
  <c r="AK372" i="10"/>
  <c r="AJ372" i="10"/>
  <c r="AI372" i="10"/>
  <c r="AH372" i="10"/>
  <c r="AG372" i="10"/>
  <c r="AF372" i="10"/>
  <c r="AE372" i="10"/>
  <c r="AD372" i="10"/>
  <c r="AC372" i="10"/>
  <c r="AB372" i="10"/>
  <c r="AA372" i="10"/>
  <c r="Z372" i="10"/>
  <c r="Y372" i="10"/>
  <c r="X372" i="10"/>
  <c r="W372" i="10"/>
  <c r="V372" i="10"/>
  <c r="U372" i="10"/>
  <c r="T372" i="10"/>
  <c r="S372" i="10"/>
  <c r="R372" i="10"/>
  <c r="Q372" i="10"/>
  <c r="P372" i="10"/>
  <c r="O372" i="10"/>
  <c r="N372" i="10"/>
  <c r="M372" i="10"/>
  <c r="L372" i="10"/>
  <c r="K372" i="10"/>
  <c r="J372" i="10"/>
  <c r="I372" i="10"/>
  <c r="H372" i="10"/>
  <c r="G372" i="10"/>
  <c r="F372" i="10"/>
  <c r="E372" i="10"/>
  <c r="D372" i="10"/>
  <c r="C372" i="10"/>
  <c r="BZ371" i="10"/>
  <c r="BY371" i="10"/>
  <c r="BX371" i="10"/>
  <c r="BW371" i="10"/>
  <c r="BV371" i="10"/>
  <c r="BU371" i="10"/>
  <c r="BT371" i="10"/>
  <c r="BS371" i="10"/>
  <c r="BR371" i="10"/>
  <c r="BQ371" i="10"/>
  <c r="BP371" i="10"/>
  <c r="BO371" i="10"/>
  <c r="BN371" i="10"/>
  <c r="BM371" i="10"/>
  <c r="BL371" i="10"/>
  <c r="BK371" i="10"/>
  <c r="BJ371" i="10"/>
  <c r="BI371" i="10"/>
  <c r="BH371" i="10"/>
  <c r="BG371" i="10"/>
  <c r="BF371" i="10"/>
  <c r="BE371" i="10"/>
  <c r="BD371" i="10"/>
  <c r="BC371" i="10"/>
  <c r="BB371" i="10"/>
  <c r="BA371" i="10"/>
  <c r="AZ371" i="10"/>
  <c r="AY371" i="10"/>
  <c r="AX371" i="10"/>
  <c r="AW371" i="10"/>
  <c r="AV371" i="10"/>
  <c r="AU371" i="10"/>
  <c r="AT371" i="10"/>
  <c r="AS371" i="10"/>
  <c r="AR371" i="10"/>
  <c r="AQ371" i="10"/>
  <c r="AP371" i="10"/>
  <c r="AO371" i="10"/>
  <c r="AN371" i="10"/>
  <c r="AM371" i="10"/>
  <c r="AL371" i="10"/>
  <c r="AK371" i="10"/>
  <c r="AJ371" i="10"/>
  <c r="AI371" i="10"/>
  <c r="AH371" i="10"/>
  <c r="AG371" i="10"/>
  <c r="AF371" i="10"/>
  <c r="AE371" i="10"/>
  <c r="AD371" i="10"/>
  <c r="AC371" i="10"/>
  <c r="AB371" i="10"/>
  <c r="AA371" i="10"/>
  <c r="Z371" i="10"/>
  <c r="Y371" i="10"/>
  <c r="X371" i="10"/>
  <c r="W371" i="10"/>
  <c r="V371" i="10"/>
  <c r="U371" i="10"/>
  <c r="T371" i="10"/>
  <c r="S371" i="10"/>
  <c r="R371" i="10"/>
  <c r="Q371" i="10"/>
  <c r="P371" i="10"/>
  <c r="O371" i="10"/>
  <c r="N371" i="10"/>
  <c r="M371" i="10"/>
  <c r="L371" i="10"/>
  <c r="K371" i="10"/>
  <c r="J371" i="10"/>
  <c r="I371" i="10"/>
  <c r="H371" i="10"/>
  <c r="G371" i="10"/>
  <c r="F371" i="10"/>
  <c r="E371" i="10"/>
  <c r="D371" i="10"/>
  <c r="C371" i="10"/>
  <c r="BZ370" i="10"/>
  <c r="BY370" i="10"/>
  <c r="BX370" i="10"/>
  <c r="BW370" i="10"/>
  <c r="BV370" i="10"/>
  <c r="BU370" i="10"/>
  <c r="BT370" i="10"/>
  <c r="BS370" i="10"/>
  <c r="BR370" i="10"/>
  <c r="BQ370" i="10"/>
  <c r="BP370" i="10"/>
  <c r="BO370" i="10"/>
  <c r="BN370" i="10"/>
  <c r="BM370" i="10"/>
  <c r="BL370" i="10"/>
  <c r="BK370" i="10"/>
  <c r="BJ370" i="10"/>
  <c r="BI370" i="10"/>
  <c r="BH370" i="10"/>
  <c r="BG370" i="10"/>
  <c r="BF370" i="10"/>
  <c r="BE370" i="10"/>
  <c r="BD370" i="10"/>
  <c r="BC370" i="10"/>
  <c r="BB370" i="10"/>
  <c r="BA370" i="10"/>
  <c r="AZ370" i="10"/>
  <c r="AY370" i="10"/>
  <c r="AX370" i="10"/>
  <c r="AW370" i="10"/>
  <c r="AV370" i="10"/>
  <c r="AU370" i="10"/>
  <c r="AT370" i="10"/>
  <c r="AS370" i="10"/>
  <c r="AR370" i="10"/>
  <c r="AQ370" i="10"/>
  <c r="AP370" i="10"/>
  <c r="AO370" i="10"/>
  <c r="AN370" i="10"/>
  <c r="AM370" i="10"/>
  <c r="AL370" i="10"/>
  <c r="AK370" i="10"/>
  <c r="AJ370" i="10"/>
  <c r="AI370" i="10"/>
  <c r="AH370" i="10"/>
  <c r="AG370" i="10"/>
  <c r="AF370" i="10"/>
  <c r="AE370" i="10"/>
  <c r="AD370" i="10"/>
  <c r="AC370" i="10"/>
  <c r="AB370" i="10"/>
  <c r="AA370" i="10"/>
  <c r="Z370" i="10"/>
  <c r="Y370" i="10"/>
  <c r="X370" i="10"/>
  <c r="W370" i="10"/>
  <c r="V370" i="10"/>
  <c r="U370" i="10"/>
  <c r="T370" i="10"/>
  <c r="S370" i="10"/>
  <c r="R370" i="10"/>
  <c r="Q370" i="10"/>
  <c r="P370" i="10"/>
  <c r="O370" i="10"/>
  <c r="N370" i="10"/>
  <c r="M370" i="10"/>
  <c r="L370" i="10"/>
  <c r="K370" i="10"/>
  <c r="J370" i="10"/>
  <c r="I370" i="10"/>
  <c r="H370" i="10"/>
  <c r="G370" i="10"/>
  <c r="F370" i="10"/>
  <c r="E370" i="10"/>
  <c r="D370" i="10"/>
  <c r="C370" i="10"/>
  <c r="BZ369" i="10"/>
  <c r="BY369" i="10"/>
  <c r="BX369" i="10"/>
  <c r="BW369" i="10"/>
  <c r="BV369" i="10"/>
  <c r="BU369" i="10"/>
  <c r="BT369" i="10"/>
  <c r="BS369" i="10"/>
  <c r="BR369" i="10"/>
  <c r="BQ369" i="10"/>
  <c r="BP369" i="10"/>
  <c r="BO369" i="10"/>
  <c r="BN369" i="10"/>
  <c r="BM369" i="10"/>
  <c r="BL369" i="10"/>
  <c r="BK369" i="10"/>
  <c r="BJ369" i="10"/>
  <c r="BI369" i="10"/>
  <c r="BH369" i="10"/>
  <c r="BG369" i="10"/>
  <c r="BF369" i="10"/>
  <c r="BE369" i="10"/>
  <c r="BD369" i="10"/>
  <c r="BC369" i="10"/>
  <c r="BB369" i="10"/>
  <c r="BA369" i="10"/>
  <c r="AZ369" i="10"/>
  <c r="AY369" i="10"/>
  <c r="AX369" i="10"/>
  <c r="AW369" i="10"/>
  <c r="AV369" i="10"/>
  <c r="AU369" i="10"/>
  <c r="AT369" i="10"/>
  <c r="AS369" i="10"/>
  <c r="AR369" i="10"/>
  <c r="AQ369" i="10"/>
  <c r="AP369" i="10"/>
  <c r="AO369" i="10"/>
  <c r="AN369" i="10"/>
  <c r="AM369" i="10"/>
  <c r="AL369" i="10"/>
  <c r="AK369" i="10"/>
  <c r="AJ369" i="10"/>
  <c r="AI369" i="10"/>
  <c r="AH369" i="10"/>
  <c r="AG369" i="10"/>
  <c r="AF369" i="10"/>
  <c r="AE369" i="10"/>
  <c r="AD369" i="10"/>
  <c r="AC369" i="10"/>
  <c r="AB369" i="10"/>
  <c r="AA369" i="10"/>
  <c r="Z369" i="10"/>
  <c r="Y369" i="10"/>
  <c r="X369" i="10"/>
  <c r="W369" i="10"/>
  <c r="V369" i="10"/>
  <c r="U369" i="10"/>
  <c r="T369" i="10"/>
  <c r="S369" i="10"/>
  <c r="R369" i="10"/>
  <c r="Q369" i="10"/>
  <c r="P369" i="10"/>
  <c r="O369" i="10"/>
  <c r="N369" i="10"/>
  <c r="M369" i="10"/>
  <c r="L369" i="10"/>
  <c r="K369" i="10"/>
  <c r="J369" i="10"/>
  <c r="I369" i="10"/>
  <c r="H369" i="10"/>
  <c r="G369" i="10"/>
  <c r="F369" i="10"/>
  <c r="E369" i="10"/>
  <c r="D369" i="10"/>
  <c r="C369" i="10"/>
  <c r="BZ368" i="10"/>
  <c r="BY368" i="10"/>
  <c r="BX368" i="10"/>
  <c r="BW368" i="10"/>
  <c r="BV368" i="10"/>
  <c r="BU368" i="10"/>
  <c r="BT368" i="10"/>
  <c r="BS368" i="10"/>
  <c r="BR368" i="10"/>
  <c r="BQ368" i="10"/>
  <c r="BP368" i="10"/>
  <c r="BO368" i="10"/>
  <c r="BN368" i="10"/>
  <c r="BM368" i="10"/>
  <c r="BL368" i="10"/>
  <c r="BK368" i="10"/>
  <c r="BJ368" i="10"/>
  <c r="BI368" i="10"/>
  <c r="BH368" i="10"/>
  <c r="BG368" i="10"/>
  <c r="BF368" i="10"/>
  <c r="BE368" i="10"/>
  <c r="BD368" i="10"/>
  <c r="BC368" i="10"/>
  <c r="BB368" i="10"/>
  <c r="BA368" i="10"/>
  <c r="AZ368" i="10"/>
  <c r="AY368" i="10"/>
  <c r="AX368" i="10"/>
  <c r="AW368" i="10"/>
  <c r="AV368" i="10"/>
  <c r="AU368" i="10"/>
  <c r="AT368" i="10"/>
  <c r="AS368" i="10"/>
  <c r="AR368" i="10"/>
  <c r="AQ368" i="10"/>
  <c r="AP368" i="10"/>
  <c r="AO368" i="10"/>
  <c r="AN368" i="10"/>
  <c r="AM368" i="10"/>
  <c r="AL368" i="10"/>
  <c r="AK368" i="10"/>
  <c r="AJ368" i="10"/>
  <c r="AI368" i="10"/>
  <c r="AH368" i="10"/>
  <c r="AG368" i="10"/>
  <c r="AF368" i="10"/>
  <c r="AE368" i="10"/>
  <c r="AD368" i="10"/>
  <c r="AC368" i="10"/>
  <c r="AB368" i="10"/>
  <c r="AA368" i="10"/>
  <c r="Z368" i="10"/>
  <c r="Y368" i="10"/>
  <c r="X368" i="10"/>
  <c r="W368" i="10"/>
  <c r="V368" i="10"/>
  <c r="U368" i="10"/>
  <c r="T368" i="10"/>
  <c r="S368" i="10"/>
  <c r="R368" i="10"/>
  <c r="Q368" i="10"/>
  <c r="P368" i="10"/>
  <c r="O368" i="10"/>
  <c r="N368" i="10"/>
  <c r="M368" i="10"/>
  <c r="L368" i="10"/>
  <c r="K368" i="10"/>
  <c r="J368" i="10"/>
  <c r="I368" i="10"/>
  <c r="H368" i="10"/>
  <c r="G368" i="10"/>
  <c r="F368" i="10"/>
  <c r="E368" i="10"/>
  <c r="D368" i="10"/>
  <c r="C368" i="10"/>
  <c r="BZ367" i="10"/>
  <c r="BY367" i="10"/>
  <c r="BX367" i="10"/>
  <c r="BW367" i="10"/>
  <c r="BV367" i="10"/>
  <c r="BU367" i="10"/>
  <c r="BT367" i="10"/>
  <c r="BS367" i="10"/>
  <c r="BR367" i="10"/>
  <c r="BQ367" i="10"/>
  <c r="BP367" i="10"/>
  <c r="BO367" i="10"/>
  <c r="BN367" i="10"/>
  <c r="BM367" i="10"/>
  <c r="BL367" i="10"/>
  <c r="BK367" i="10"/>
  <c r="BJ367" i="10"/>
  <c r="BI367" i="10"/>
  <c r="BH367" i="10"/>
  <c r="BG367" i="10"/>
  <c r="BF367" i="10"/>
  <c r="BE367" i="10"/>
  <c r="BD367" i="10"/>
  <c r="BC367" i="10"/>
  <c r="BB367" i="10"/>
  <c r="BA367" i="10"/>
  <c r="AZ367" i="10"/>
  <c r="AY367" i="10"/>
  <c r="AX367" i="10"/>
  <c r="AW367" i="10"/>
  <c r="AV367" i="10"/>
  <c r="AU367" i="10"/>
  <c r="AT367" i="10"/>
  <c r="AS367" i="10"/>
  <c r="AR367" i="10"/>
  <c r="AQ367" i="10"/>
  <c r="AP367" i="10"/>
  <c r="AO367" i="10"/>
  <c r="AN367" i="10"/>
  <c r="AM367" i="10"/>
  <c r="AL367" i="10"/>
  <c r="AK367" i="10"/>
  <c r="AJ367" i="10"/>
  <c r="AI367" i="10"/>
  <c r="AH367" i="10"/>
  <c r="AG367" i="10"/>
  <c r="AF367" i="10"/>
  <c r="AE367" i="10"/>
  <c r="AD367" i="10"/>
  <c r="AC367" i="10"/>
  <c r="AB367" i="10"/>
  <c r="AA367" i="10"/>
  <c r="Z367" i="10"/>
  <c r="Y367" i="10"/>
  <c r="X367" i="10"/>
  <c r="W367" i="10"/>
  <c r="V367" i="10"/>
  <c r="U367" i="10"/>
  <c r="T367" i="10"/>
  <c r="S367" i="10"/>
  <c r="R367" i="10"/>
  <c r="Q367" i="10"/>
  <c r="P367" i="10"/>
  <c r="O367" i="10"/>
  <c r="N367" i="10"/>
  <c r="M367" i="10"/>
  <c r="L367" i="10"/>
  <c r="K367" i="10"/>
  <c r="J367" i="10"/>
  <c r="I367" i="10"/>
  <c r="H367" i="10"/>
  <c r="G367" i="10"/>
  <c r="F367" i="10"/>
  <c r="E367" i="10"/>
  <c r="D367" i="10"/>
  <c r="C367" i="10"/>
  <c r="BZ366" i="10"/>
  <c r="BY366" i="10"/>
  <c r="BX366" i="10"/>
  <c r="BW366" i="10"/>
  <c r="BV366" i="10"/>
  <c r="BU366" i="10"/>
  <c r="BT366" i="10"/>
  <c r="BS366" i="10"/>
  <c r="BR366" i="10"/>
  <c r="BQ366" i="10"/>
  <c r="BP366" i="10"/>
  <c r="BO366" i="10"/>
  <c r="BN366" i="10"/>
  <c r="BM366" i="10"/>
  <c r="BL366" i="10"/>
  <c r="BK366" i="10"/>
  <c r="BJ366" i="10"/>
  <c r="BI366" i="10"/>
  <c r="BH366" i="10"/>
  <c r="BG366" i="10"/>
  <c r="BF366" i="10"/>
  <c r="BE366" i="10"/>
  <c r="BD366" i="10"/>
  <c r="BC366" i="10"/>
  <c r="BB366" i="10"/>
  <c r="BA366" i="10"/>
  <c r="AZ366" i="10"/>
  <c r="AY366" i="10"/>
  <c r="AX366" i="10"/>
  <c r="AW366" i="10"/>
  <c r="AV366" i="10"/>
  <c r="AU366" i="10"/>
  <c r="AT366" i="10"/>
  <c r="AS366" i="10"/>
  <c r="AR366" i="10"/>
  <c r="AQ366" i="10"/>
  <c r="AP366" i="10"/>
  <c r="AO366" i="10"/>
  <c r="AN366" i="10"/>
  <c r="AM366" i="10"/>
  <c r="AL366" i="10"/>
  <c r="AK366" i="10"/>
  <c r="AJ366" i="10"/>
  <c r="AI366" i="10"/>
  <c r="AH366" i="10"/>
  <c r="AG366" i="10"/>
  <c r="AF366" i="10"/>
  <c r="AE366" i="10"/>
  <c r="AD366" i="10"/>
  <c r="AC366" i="10"/>
  <c r="AB366" i="10"/>
  <c r="AA366" i="10"/>
  <c r="Z366" i="10"/>
  <c r="Y366" i="10"/>
  <c r="X366" i="10"/>
  <c r="W366" i="10"/>
  <c r="V366" i="10"/>
  <c r="U366" i="10"/>
  <c r="T366" i="10"/>
  <c r="S366" i="10"/>
  <c r="R366" i="10"/>
  <c r="Q366" i="10"/>
  <c r="P366" i="10"/>
  <c r="O366" i="10"/>
  <c r="N366" i="10"/>
  <c r="M366" i="10"/>
  <c r="L366" i="10"/>
  <c r="K366" i="10"/>
  <c r="J366" i="10"/>
  <c r="I366" i="10"/>
  <c r="H366" i="10"/>
  <c r="G366" i="10"/>
  <c r="F366" i="10"/>
  <c r="E366" i="10"/>
  <c r="D366" i="10"/>
  <c r="C366" i="10"/>
  <c r="BZ365" i="10"/>
  <c r="BY365" i="10"/>
  <c r="BX365" i="10"/>
  <c r="BW365" i="10"/>
  <c r="BV365" i="10"/>
  <c r="BU365" i="10"/>
  <c r="BT365" i="10"/>
  <c r="BS365" i="10"/>
  <c r="BR365" i="10"/>
  <c r="BQ365" i="10"/>
  <c r="BP365" i="10"/>
  <c r="BO365" i="10"/>
  <c r="BN365" i="10"/>
  <c r="BM365" i="10"/>
  <c r="BL365" i="10"/>
  <c r="BK365" i="10"/>
  <c r="BJ365" i="10"/>
  <c r="BI365" i="10"/>
  <c r="BH365" i="10"/>
  <c r="BG365" i="10"/>
  <c r="BF365" i="10"/>
  <c r="BE365" i="10"/>
  <c r="BD365" i="10"/>
  <c r="BC365" i="10"/>
  <c r="BB365" i="10"/>
  <c r="BA365" i="10"/>
  <c r="AZ365" i="10"/>
  <c r="AY365" i="10"/>
  <c r="AX365" i="10"/>
  <c r="AW365" i="10"/>
  <c r="AV365" i="10"/>
  <c r="AU365" i="10"/>
  <c r="AT365" i="10"/>
  <c r="AS365" i="10"/>
  <c r="AR365" i="10"/>
  <c r="AQ365" i="10"/>
  <c r="AP365" i="10"/>
  <c r="AO365" i="10"/>
  <c r="AN365" i="10"/>
  <c r="AM365" i="10"/>
  <c r="AL365" i="10"/>
  <c r="AK365" i="10"/>
  <c r="AJ365" i="10"/>
  <c r="AI365" i="10"/>
  <c r="AH365" i="10"/>
  <c r="AG365" i="10"/>
  <c r="AF365" i="10"/>
  <c r="AE365" i="10"/>
  <c r="AD365" i="10"/>
  <c r="AC365" i="10"/>
  <c r="AB365" i="10"/>
  <c r="AA365" i="10"/>
  <c r="Z365" i="10"/>
  <c r="Y365" i="10"/>
  <c r="X365" i="10"/>
  <c r="W365" i="10"/>
  <c r="V365" i="10"/>
  <c r="U365" i="10"/>
  <c r="T365" i="10"/>
  <c r="S365" i="10"/>
  <c r="R365" i="10"/>
  <c r="Q365" i="10"/>
  <c r="P365" i="10"/>
  <c r="O365" i="10"/>
  <c r="N365" i="10"/>
  <c r="M365" i="10"/>
  <c r="L365" i="10"/>
  <c r="K365" i="10"/>
  <c r="J365" i="10"/>
  <c r="I365" i="10"/>
  <c r="H365" i="10"/>
  <c r="G365" i="10"/>
  <c r="F365" i="10"/>
  <c r="E365" i="10"/>
  <c r="D365" i="10"/>
  <c r="C365" i="10"/>
  <c r="BZ364" i="10"/>
  <c r="BY364" i="10"/>
  <c r="BX364" i="10"/>
  <c r="BW364" i="10"/>
  <c r="BV364" i="10"/>
  <c r="BU364" i="10"/>
  <c r="BT364" i="10"/>
  <c r="BS364" i="10"/>
  <c r="BR364" i="10"/>
  <c r="BQ364" i="10"/>
  <c r="BP364" i="10"/>
  <c r="BO364" i="10"/>
  <c r="BN364" i="10"/>
  <c r="BM364" i="10"/>
  <c r="BL364" i="10"/>
  <c r="BK364" i="10"/>
  <c r="BJ364" i="10"/>
  <c r="BI364" i="10"/>
  <c r="BH364" i="10"/>
  <c r="BG364" i="10"/>
  <c r="BF364" i="10"/>
  <c r="BE364" i="10"/>
  <c r="BD364" i="10"/>
  <c r="BC364" i="10"/>
  <c r="BB364" i="10"/>
  <c r="BA364" i="10"/>
  <c r="AZ364" i="10"/>
  <c r="AY364" i="10"/>
  <c r="AX364" i="10"/>
  <c r="AW364" i="10"/>
  <c r="AV364" i="10"/>
  <c r="AU364" i="10"/>
  <c r="AT364" i="10"/>
  <c r="AS364" i="10"/>
  <c r="AR364" i="10"/>
  <c r="AQ364" i="10"/>
  <c r="AP364" i="10"/>
  <c r="AO364" i="10"/>
  <c r="AN364" i="10"/>
  <c r="AM364" i="10"/>
  <c r="AL364" i="10"/>
  <c r="AK364" i="10"/>
  <c r="AJ364" i="10"/>
  <c r="AI364" i="10"/>
  <c r="AH364" i="10"/>
  <c r="AG364" i="10"/>
  <c r="AF364" i="10"/>
  <c r="AE364" i="10"/>
  <c r="AD364" i="10"/>
  <c r="AC364" i="10"/>
  <c r="AB364" i="10"/>
  <c r="AA364" i="10"/>
  <c r="Z364" i="10"/>
  <c r="Y364" i="10"/>
  <c r="X364" i="10"/>
  <c r="W364" i="10"/>
  <c r="V364" i="10"/>
  <c r="U364" i="10"/>
  <c r="T364" i="10"/>
  <c r="S364" i="10"/>
  <c r="R364" i="10"/>
  <c r="Q364" i="10"/>
  <c r="P364" i="10"/>
  <c r="O364" i="10"/>
  <c r="N364" i="10"/>
  <c r="M364" i="10"/>
  <c r="L364" i="10"/>
  <c r="K364" i="10"/>
  <c r="J364" i="10"/>
  <c r="I364" i="10"/>
  <c r="H364" i="10"/>
  <c r="G364" i="10"/>
  <c r="F364" i="10"/>
  <c r="E364" i="10"/>
  <c r="D364" i="10"/>
  <c r="C364" i="10"/>
  <c r="BZ363" i="10"/>
  <c r="BY363" i="10"/>
  <c r="BX363" i="10"/>
  <c r="BW363" i="10"/>
  <c r="BV363" i="10"/>
  <c r="BU363" i="10"/>
  <c r="BT363" i="10"/>
  <c r="BS363" i="10"/>
  <c r="BR363" i="10"/>
  <c r="BQ363" i="10"/>
  <c r="BP363" i="10"/>
  <c r="BO363" i="10"/>
  <c r="BN363" i="10"/>
  <c r="BM363" i="10"/>
  <c r="BL363" i="10"/>
  <c r="BK363" i="10"/>
  <c r="BJ363" i="10"/>
  <c r="BI363" i="10"/>
  <c r="BH363" i="10"/>
  <c r="BG363" i="10"/>
  <c r="BF363" i="10"/>
  <c r="BE363" i="10"/>
  <c r="BD363" i="10"/>
  <c r="BC363" i="10"/>
  <c r="BB363" i="10"/>
  <c r="BA363" i="10"/>
  <c r="AZ363" i="10"/>
  <c r="AY363" i="10"/>
  <c r="AX363" i="10"/>
  <c r="AW363" i="10"/>
  <c r="AV363" i="10"/>
  <c r="AU363" i="10"/>
  <c r="AT363" i="10"/>
  <c r="AS363" i="10"/>
  <c r="AR363" i="10"/>
  <c r="AQ363" i="10"/>
  <c r="AP363" i="10"/>
  <c r="AO363" i="10"/>
  <c r="AN363" i="10"/>
  <c r="AM363" i="10"/>
  <c r="AL363" i="10"/>
  <c r="AK363" i="10"/>
  <c r="AJ363" i="10"/>
  <c r="AI363" i="10"/>
  <c r="AH363" i="10"/>
  <c r="AG363" i="10"/>
  <c r="AF363" i="10"/>
  <c r="AE363" i="10"/>
  <c r="AD363" i="10"/>
  <c r="AC363" i="10"/>
  <c r="AB363" i="10"/>
  <c r="AA363" i="10"/>
  <c r="Z363" i="10"/>
  <c r="Y363" i="10"/>
  <c r="X363" i="10"/>
  <c r="W363" i="10"/>
  <c r="V363" i="10"/>
  <c r="U363" i="10"/>
  <c r="T363" i="10"/>
  <c r="S363" i="10"/>
  <c r="R363" i="10"/>
  <c r="Q363" i="10"/>
  <c r="P363" i="10"/>
  <c r="O363" i="10"/>
  <c r="N363" i="10"/>
  <c r="M363" i="10"/>
  <c r="L363" i="10"/>
  <c r="K363" i="10"/>
  <c r="J363" i="10"/>
  <c r="I363" i="10"/>
  <c r="H363" i="10"/>
  <c r="G363" i="10"/>
  <c r="F363" i="10"/>
  <c r="E363" i="10"/>
  <c r="D363" i="10"/>
  <c r="C363" i="10"/>
  <c r="BZ362" i="10"/>
  <c r="BY362" i="10"/>
  <c r="BX362" i="10"/>
  <c r="BW362" i="10"/>
  <c r="BV362" i="10"/>
  <c r="BU362" i="10"/>
  <c r="BT362" i="10"/>
  <c r="BS362" i="10"/>
  <c r="BR362" i="10"/>
  <c r="BQ362" i="10"/>
  <c r="BP362" i="10"/>
  <c r="BO362" i="10"/>
  <c r="BN362" i="10"/>
  <c r="BM362" i="10"/>
  <c r="BL362" i="10"/>
  <c r="BK362" i="10"/>
  <c r="BJ362" i="10"/>
  <c r="BI362" i="10"/>
  <c r="BH362" i="10"/>
  <c r="BG362" i="10"/>
  <c r="BF362" i="10"/>
  <c r="BE362" i="10"/>
  <c r="BD362" i="10"/>
  <c r="BC362" i="10"/>
  <c r="BB362" i="10"/>
  <c r="BA362" i="10"/>
  <c r="AZ362" i="10"/>
  <c r="AY362" i="10"/>
  <c r="AX362" i="10"/>
  <c r="AW362" i="10"/>
  <c r="AV362" i="10"/>
  <c r="AU362" i="10"/>
  <c r="AT362" i="10"/>
  <c r="AS362" i="10"/>
  <c r="AR362" i="10"/>
  <c r="AQ362" i="10"/>
  <c r="AP362" i="10"/>
  <c r="AO362" i="10"/>
  <c r="AN362" i="10"/>
  <c r="AM362" i="10"/>
  <c r="AL362" i="10"/>
  <c r="AK362" i="10"/>
  <c r="AJ362" i="10"/>
  <c r="AI362" i="10"/>
  <c r="AH362" i="10"/>
  <c r="AG362" i="10"/>
  <c r="AF362" i="10"/>
  <c r="AE362" i="10"/>
  <c r="AD362" i="10"/>
  <c r="AC362" i="10"/>
  <c r="AB362" i="10"/>
  <c r="AA362" i="10"/>
  <c r="Z362" i="10"/>
  <c r="Y362" i="10"/>
  <c r="X362" i="10"/>
  <c r="W362" i="10"/>
  <c r="V362" i="10"/>
  <c r="U362" i="10"/>
  <c r="T362" i="10"/>
  <c r="S362" i="10"/>
  <c r="R362" i="10"/>
  <c r="Q362" i="10"/>
  <c r="P362" i="10"/>
  <c r="O362" i="10"/>
  <c r="N362" i="10"/>
  <c r="M362" i="10"/>
  <c r="L362" i="10"/>
  <c r="K362" i="10"/>
  <c r="J362" i="10"/>
  <c r="I362" i="10"/>
  <c r="H362" i="10"/>
  <c r="G362" i="10"/>
  <c r="F362" i="10"/>
  <c r="E362" i="10"/>
  <c r="D362" i="10"/>
  <c r="C362" i="10"/>
  <c r="BZ361" i="10"/>
  <c r="BY361" i="10"/>
  <c r="BX361" i="10"/>
  <c r="BW361" i="10"/>
  <c r="BV361" i="10"/>
  <c r="BU361" i="10"/>
  <c r="BT361" i="10"/>
  <c r="BS361" i="10"/>
  <c r="BR361" i="10"/>
  <c r="BQ361" i="10"/>
  <c r="BP361" i="10"/>
  <c r="BO361" i="10"/>
  <c r="BN361" i="10"/>
  <c r="BM361" i="10"/>
  <c r="BL361" i="10"/>
  <c r="BK361" i="10"/>
  <c r="BJ361" i="10"/>
  <c r="BI361" i="10"/>
  <c r="BH361" i="10"/>
  <c r="BG361" i="10"/>
  <c r="BF361" i="10"/>
  <c r="BE361" i="10"/>
  <c r="BD361" i="10"/>
  <c r="BC361" i="10"/>
  <c r="BB361" i="10"/>
  <c r="BA361" i="10"/>
  <c r="AZ361" i="10"/>
  <c r="AY361" i="10"/>
  <c r="AX361" i="10"/>
  <c r="AW361" i="10"/>
  <c r="AV361" i="10"/>
  <c r="AU361" i="10"/>
  <c r="AT361" i="10"/>
  <c r="AS361" i="10"/>
  <c r="AR361" i="10"/>
  <c r="AQ361" i="10"/>
  <c r="BZ360" i="10"/>
  <c r="BY360" i="10"/>
  <c r="BX360" i="10"/>
  <c r="BW360" i="10"/>
  <c r="BV360" i="10"/>
  <c r="BU360" i="10"/>
  <c r="BT360" i="10"/>
  <c r="BS360" i="10"/>
  <c r="BR360" i="10"/>
  <c r="BQ360" i="10"/>
  <c r="BP360" i="10"/>
  <c r="BO360" i="10"/>
  <c r="BN360" i="10"/>
  <c r="BM360" i="10"/>
  <c r="BL360" i="10"/>
  <c r="BK360" i="10"/>
  <c r="BJ360" i="10"/>
  <c r="BI360" i="10"/>
  <c r="BH360" i="10"/>
  <c r="BG360" i="10"/>
  <c r="BF360" i="10"/>
  <c r="BE360" i="10"/>
  <c r="BD360" i="10"/>
  <c r="BC360" i="10"/>
  <c r="BB360" i="10"/>
  <c r="BA360" i="10"/>
  <c r="AZ360" i="10"/>
  <c r="AY360" i="10"/>
  <c r="AX360" i="10"/>
  <c r="AW360" i="10"/>
  <c r="AV360" i="10"/>
  <c r="AU360" i="10"/>
  <c r="AT360" i="10"/>
  <c r="AS360" i="10"/>
  <c r="AR360" i="10"/>
  <c r="AQ360" i="10"/>
  <c r="AP360" i="10"/>
  <c r="BZ359" i="10"/>
  <c r="BY359" i="10"/>
  <c r="BX359" i="10"/>
  <c r="BW359" i="10"/>
  <c r="BV359" i="10"/>
  <c r="BU359" i="10"/>
  <c r="BT359" i="10"/>
  <c r="BS359" i="10"/>
  <c r="BR359" i="10"/>
  <c r="BQ359" i="10"/>
  <c r="BP359" i="10"/>
  <c r="BO359" i="10"/>
  <c r="BN359" i="10"/>
  <c r="BM359" i="10"/>
  <c r="BL359" i="10"/>
  <c r="BK359" i="10"/>
  <c r="BJ359" i="10"/>
  <c r="BI359" i="10"/>
  <c r="BH359" i="10"/>
  <c r="BG359" i="10"/>
  <c r="BF359" i="10"/>
  <c r="BE359" i="10"/>
  <c r="BD359" i="10"/>
  <c r="BC359" i="10"/>
  <c r="BB359" i="10"/>
  <c r="BA359" i="10"/>
  <c r="AZ359" i="10"/>
  <c r="AY359" i="10"/>
  <c r="AX359" i="10"/>
  <c r="AW359" i="10"/>
  <c r="AV359" i="10"/>
  <c r="AU359" i="10"/>
  <c r="AT359" i="10"/>
  <c r="AS359" i="10"/>
  <c r="AR359" i="10"/>
  <c r="AQ359" i="10"/>
  <c r="AP359" i="10"/>
  <c r="AO359" i="10"/>
  <c r="BZ358" i="10"/>
  <c r="BY358" i="10"/>
  <c r="BX358" i="10"/>
  <c r="BW358" i="10"/>
  <c r="BV358" i="10"/>
  <c r="BU358" i="10"/>
  <c r="BT358" i="10"/>
  <c r="BS358" i="10"/>
  <c r="BR358" i="10"/>
  <c r="BQ358" i="10"/>
  <c r="BP358" i="10"/>
  <c r="BO358" i="10"/>
  <c r="BN358" i="10"/>
  <c r="BM358" i="10"/>
  <c r="BL358" i="10"/>
  <c r="BK358" i="10"/>
  <c r="BJ358" i="10"/>
  <c r="BI358" i="10"/>
  <c r="BH358" i="10"/>
  <c r="BG358" i="10"/>
  <c r="BF358" i="10"/>
  <c r="BE358" i="10"/>
  <c r="BD358" i="10"/>
  <c r="BC358" i="10"/>
  <c r="BB358" i="10"/>
  <c r="BA358" i="10"/>
  <c r="AZ358" i="10"/>
  <c r="AY358" i="10"/>
  <c r="AX358" i="10"/>
  <c r="AW358" i="10"/>
  <c r="AV358" i="10"/>
  <c r="AU358" i="10"/>
  <c r="AT358" i="10"/>
  <c r="AS358" i="10"/>
  <c r="AR358" i="10"/>
  <c r="AQ358" i="10"/>
  <c r="AP358" i="10"/>
  <c r="AO358" i="10"/>
  <c r="AN358" i="10"/>
  <c r="BZ357" i="10"/>
  <c r="BY357" i="10"/>
  <c r="BX357" i="10"/>
  <c r="BW357" i="10"/>
  <c r="BV357" i="10"/>
  <c r="BU357" i="10"/>
  <c r="BT357" i="10"/>
  <c r="BS357" i="10"/>
  <c r="BR357" i="10"/>
  <c r="BQ357" i="10"/>
  <c r="BP357" i="10"/>
  <c r="BO357" i="10"/>
  <c r="BN357" i="10"/>
  <c r="BM357" i="10"/>
  <c r="BL357" i="10"/>
  <c r="BK357" i="10"/>
  <c r="BJ357" i="10"/>
  <c r="BI357" i="10"/>
  <c r="BH357" i="10"/>
  <c r="BG357" i="10"/>
  <c r="BF357" i="10"/>
  <c r="BE357" i="10"/>
  <c r="BD357" i="10"/>
  <c r="BC357" i="10"/>
  <c r="BB357" i="10"/>
  <c r="BA357" i="10"/>
  <c r="AZ357" i="10"/>
  <c r="AY357" i="10"/>
  <c r="AX357" i="10"/>
  <c r="AW357" i="10"/>
  <c r="AV357" i="10"/>
  <c r="AU357" i="10"/>
  <c r="AT357" i="10"/>
  <c r="AS357" i="10"/>
  <c r="AR357" i="10"/>
  <c r="AQ357" i="10"/>
  <c r="AP357" i="10"/>
  <c r="AO357" i="10"/>
  <c r="AN357" i="10"/>
  <c r="AM357" i="10"/>
  <c r="BZ356" i="10"/>
  <c r="BY356" i="10"/>
  <c r="BX356" i="10"/>
  <c r="BW356" i="10"/>
  <c r="BV356" i="10"/>
  <c r="BU356" i="10"/>
  <c r="BT356" i="10"/>
  <c r="BS356" i="10"/>
  <c r="BR356" i="10"/>
  <c r="BQ356" i="10"/>
  <c r="BP356" i="10"/>
  <c r="BO356" i="10"/>
  <c r="BN356" i="10"/>
  <c r="BM356" i="10"/>
  <c r="BL356" i="10"/>
  <c r="BK356" i="10"/>
  <c r="BJ356" i="10"/>
  <c r="BI356" i="10"/>
  <c r="BH356" i="10"/>
  <c r="BG356" i="10"/>
  <c r="BF356" i="10"/>
  <c r="BE356" i="10"/>
  <c r="BD356" i="10"/>
  <c r="BC356" i="10"/>
  <c r="BB356" i="10"/>
  <c r="BA356" i="10"/>
  <c r="AZ356" i="10"/>
  <c r="AY356" i="10"/>
  <c r="AX356" i="10"/>
  <c r="AW356" i="10"/>
  <c r="AV356" i="10"/>
  <c r="AU356" i="10"/>
  <c r="AT356" i="10"/>
  <c r="AS356" i="10"/>
  <c r="AR356" i="10"/>
  <c r="AQ356" i="10"/>
  <c r="AP356" i="10"/>
  <c r="AO356" i="10"/>
  <c r="AN356" i="10"/>
  <c r="AM356" i="10"/>
  <c r="AL356" i="10"/>
  <c r="BZ355" i="10"/>
  <c r="BY355" i="10"/>
  <c r="BX355" i="10"/>
  <c r="BW355" i="10"/>
  <c r="BV355" i="10"/>
  <c r="BU355" i="10"/>
  <c r="BT355" i="10"/>
  <c r="BS355" i="10"/>
  <c r="BR355" i="10"/>
  <c r="BQ355" i="10"/>
  <c r="BP355" i="10"/>
  <c r="BO355" i="10"/>
  <c r="BN355" i="10"/>
  <c r="BM355" i="10"/>
  <c r="BL355" i="10"/>
  <c r="BK355" i="10"/>
  <c r="BJ355" i="10"/>
  <c r="BI355" i="10"/>
  <c r="BH355" i="10"/>
  <c r="BG355" i="10"/>
  <c r="BF355" i="10"/>
  <c r="BE355" i="10"/>
  <c r="BD355" i="10"/>
  <c r="BC355" i="10"/>
  <c r="BB355" i="10"/>
  <c r="BA355" i="10"/>
  <c r="AZ355" i="10"/>
  <c r="AY355" i="10"/>
  <c r="AX355" i="10"/>
  <c r="AW355" i="10"/>
  <c r="AV355" i="10"/>
  <c r="AU355" i="10"/>
  <c r="AT355" i="10"/>
  <c r="AS355" i="10"/>
  <c r="AR355" i="10"/>
  <c r="AQ355" i="10"/>
  <c r="AP355" i="10"/>
  <c r="AO355" i="10"/>
  <c r="AN355" i="10"/>
  <c r="AM355" i="10"/>
  <c r="AL355" i="10"/>
  <c r="AK355" i="10"/>
  <c r="BZ354" i="10"/>
  <c r="BY354" i="10"/>
  <c r="BX354" i="10"/>
  <c r="BW354" i="10"/>
  <c r="BV354" i="10"/>
  <c r="BU354" i="10"/>
  <c r="BT354" i="10"/>
  <c r="BS354" i="10"/>
  <c r="BR354" i="10"/>
  <c r="BQ354" i="10"/>
  <c r="BP354" i="10"/>
  <c r="BO354" i="10"/>
  <c r="BN354" i="10"/>
  <c r="BM354" i="10"/>
  <c r="BL354" i="10"/>
  <c r="BK354" i="10"/>
  <c r="BJ354" i="10"/>
  <c r="BI354" i="10"/>
  <c r="BH354" i="10"/>
  <c r="BG354" i="10"/>
  <c r="BF354" i="10"/>
  <c r="BE354" i="10"/>
  <c r="BD354" i="10"/>
  <c r="BC354" i="10"/>
  <c r="BB354" i="10"/>
  <c r="BA354" i="10"/>
  <c r="AZ354" i="10"/>
  <c r="AY354" i="10"/>
  <c r="AX354" i="10"/>
  <c r="AW354" i="10"/>
  <c r="AV354" i="10"/>
  <c r="AU354" i="10"/>
  <c r="AT354" i="10"/>
  <c r="AS354" i="10"/>
  <c r="AR354" i="10"/>
  <c r="AQ354" i="10"/>
  <c r="AP354" i="10"/>
  <c r="AO354" i="10"/>
  <c r="AN354" i="10"/>
  <c r="AM354" i="10"/>
  <c r="AL354" i="10"/>
  <c r="AK354" i="10"/>
  <c r="AJ354" i="10"/>
  <c r="BZ353" i="10"/>
  <c r="BY353" i="10"/>
  <c r="BX353" i="10"/>
  <c r="BW353" i="10"/>
  <c r="BV353" i="10"/>
  <c r="BU353" i="10"/>
  <c r="BT353" i="10"/>
  <c r="BS353" i="10"/>
  <c r="BR353" i="10"/>
  <c r="BQ353" i="10"/>
  <c r="BP353" i="10"/>
  <c r="BO353" i="10"/>
  <c r="BN353" i="10"/>
  <c r="BM353" i="10"/>
  <c r="BL353" i="10"/>
  <c r="BK353" i="10"/>
  <c r="BJ353" i="10"/>
  <c r="BI353" i="10"/>
  <c r="BH353" i="10"/>
  <c r="BG353" i="10"/>
  <c r="BF353" i="10"/>
  <c r="BE353" i="10"/>
  <c r="BD353" i="10"/>
  <c r="BC353" i="10"/>
  <c r="BB353" i="10"/>
  <c r="BA353" i="10"/>
  <c r="AZ353" i="10"/>
  <c r="AY353" i="10"/>
  <c r="AX353" i="10"/>
  <c r="AW353" i="10"/>
  <c r="AV353" i="10"/>
  <c r="AU353" i="10"/>
  <c r="AT353" i="10"/>
  <c r="AS353" i="10"/>
  <c r="AR353" i="10"/>
  <c r="AQ353" i="10"/>
  <c r="AP353" i="10"/>
  <c r="AO353" i="10"/>
  <c r="AN353" i="10"/>
  <c r="AM353" i="10"/>
  <c r="AL353" i="10"/>
  <c r="AK353" i="10"/>
  <c r="AJ353" i="10"/>
  <c r="AI353" i="10"/>
  <c r="BZ352" i="10"/>
  <c r="BY352" i="10"/>
  <c r="BX352" i="10"/>
  <c r="BW352" i="10"/>
  <c r="BV352" i="10"/>
  <c r="BU352" i="10"/>
  <c r="BT352" i="10"/>
  <c r="BS352" i="10"/>
  <c r="BR352" i="10"/>
  <c r="BQ352" i="10"/>
  <c r="BP352" i="10"/>
  <c r="BO352" i="10"/>
  <c r="BN352" i="10"/>
  <c r="BM352" i="10"/>
  <c r="BL352" i="10"/>
  <c r="BK352" i="10"/>
  <c r="BJ352" i="10"/>
  <c r="BI352" i="10"/>
  <c r="BH352" i="10"/>
  <c r="BG352" i="10"/>
  <c r="BF352" i="10"/>
  <c r="BE352" i="10"/>
  <c r="BD352" i="10"/>
  <c r="BC352" i="10"/>
  <c r="BB352" i="10"/>
  <c r="BA352" i="10"/>
  <c r="AZ352" i="10"/>
  <c r="AY352" i="10"/>
  <c r="AX352" i="10"/>
  <c r="AW352" i="10"/>
  <c r="AV352" i="10"/>
  <c r="AU352" i="10"/>
  <c r="AT352" i="10"/>
  <c r="AS352" i="10"/>
  <c r="AR352" i="10"/>
  <c r="AQ352" i="10"/>
  <c r="AP352" i="10"/>
  <c r="AO352" i="10"/>
  <c r="AN352" i="10"/>
  <c r="AM352" i="10"/>
  <c r="AL352" i="10"/>
  <c r="AK352" i="10"/>
  <c r="AJ352" i="10"/>
  <c r="AI352" i="10"/>
  <c r="AH352" i="10"/>
  <c r="BZ351" i="10"/>
  <c r="BY351" i="10"/>
  <c r="BX351" i="10"/>
  <c r="BW351" i="10"/>
  <c r="BV351" i="10"/>
  <c r="BU351" i="10"/>
  <c r="BT351" i="10"/>
  <c r="BS351" i="10"/>
  <c r="BR351" i="10"/>
  <c r="BQ351" i="10"/>
  <c r="BP351" i="10"/>
  <c r="BO351" i="10"/>
  <c r="BN351" i="10"/>
  <c r="BM351" i="10"/>
  <c r="BL351" i="10"/>
  <c r="BK351" i="10"/>
  <c r="BJ351" i="10"/>
  <c r="BI351" i="10"/>
  <c r="BH351" i="10"/>
  <c r="BG351" i="10"/>
  <c r="BF351" i="10"/>
  <c r="BE351" i="10"/>
  <c r="BD351" i="10"/>
  <c r="BC351" i="10"/>
  <c r="BB351" i="10"/>
  <c r="BA351" i="10"/>
  <c r="AZ351" i="10"/>
  <c r="AY351" i="10"/>
  <c r="AX351" i="10"/>
  <c r="AW351" i="10"/>
  <c r="AV351" i="10"/>
  <c r="AU351" i="10"/>
  <c r="AT351" i="10"/>
  <c r="AS351" i="10"/>
  <c r="AR351" i="10"/>
  <c r="AQ351" i="10"/>
  <c r="AP351" i="10"/>
  <c r="AO351" i="10"/>
  <c r="AN351" i="10"/>
  <c r="AM351" i="10"/>
  <c r="AL351" i="10"/>
  <c r="AK351" i="10"/>
  <c r="AJ351" i="10"/>
  <c r="AI351" i="10"/>
  <c r="AH351" i="10"/>
  <c r="AG351" i="10"/>
  <c r="BZ349" i="10"/>
  <c r="BY349" i="10"/>
  <c r="BX349" i="10"/>
  <c r="BW349" i="10"/>
  <c r="BV349" i="10"/>
  <c r="BU349" i="10"/>
  <c r="BT349" i="10"/>
  <c r="BS349" i="10"/>
  <c r="BR349" i="10"/>
  <c r="BQ349" i="10"/>
  <c r="BP349" i="10"/>
  <c r="BO349" i="10"/>
  <c r="BN349" i="10"/>
  <c r="BM349" i="10"/>
  <c r="BL349" i="10"/>
  <c r="BK349" i="10"/>
  <c r="BJ349" i="10"/>
  <c r="BI349" i="10"/>
  <c r="BH349" i="10"/>
  <c r="BG349" i="10"/>
  <c r="BF349" i="10"/>
  <c r="BE349" i="10"/>
  <c r="BD349" i="10"/>
  <c r="BC349" i="10"/>
  <c r="BB349" i="10"/>
  <c r="BA349" i="10"/>
  <c r="AZ349" i="10"/>
  <c r="AY349" i="10"/>
  <c r="AX349" i="10"/>
  <c r="AW349" i="10"/>
  <c r="AV349" i="10"/>
  <c r="AU349" i="10"/>
  <c r="AT349" i="10"/>
  <c r="AS349" i="10"/>
  <c r="AR349" i="10"/>
  <c r="AQ349" i="10"/>
  <c r="AP349" i="10"/>
  <c r="AO349" i="10"/>
  <c r="AN349" i="10"/>
  <c r="AM349" i="10"/>
  <c r="AL349" i="10"/>
  <c r="AK349" i="10"/>
  <c r="AJ349" i="10"/>
  <c r="AI349" i="10"/>
  <c r="AH349" i="10"/>
  <c r="AG349" i="10"/>
  <c r="AF349" i="10"/>
  <c r="AE349" i="10"/>
  <c r="BZ348" i="10"/>
  <c r="BY348" i="10"/>
  <c r="BX348" i="10"/>
  <c r="BW348" i="10"/>
  <c r="BV348" i="10"/>
  <c r="BU348" i="10"/>
  <c r="BT348" i="10"/>
  <c r="BS348" i="10"/>
  <c r="BR348" i="10"/>
  <c r="BQ348" i="10"/>
  <c r="BP348" i="10"/>
  <c r="BO348" i="10"/>
  <c r="BN348" i="10"/>
  <c r="BM348" i="10"/>
  <c r="BL348" i="10"/>
  <c r="BK348" i="10"/>
  <c r="BJ348" i="10"/>
  <c r="BI348" i="10"/>
  <c r="BH348" i="10"/>
  <c r="BG348" i="10"/>
  <c r="BF348" i="10"/>
  <c r="BE348" i="10"/>
  <c r="BD348" i="10"/>
  <c r="BC348" i="10"/>
  <c r="BB348" i="10"/>
  <c r="BA348" i="10"/>
  <c r="AZ348" i="10"/>
  <c r="AY348" i="10"/>
  <c r="AX348" i="10"/>
  <c r="AW348" i="10"/>
  <c r="AV348" i="10"/>
  <c r="AU348" i="10"/>
  <c r="AT348" i="10"/>
  <c r="AS348" i="10"/>
  <c r="AR348" i="10"/>
  <c r="AQ348" i="10"/>
  <c r="AP348" i="10"/>
  <c r="AO348" i="10"/>
  <c r="AN348" i="10"/>
  <c r="AM348" i="10"/>
  <c r="AL348" i="10"/>
  <c r="AK348" i="10"/>
  <c r="AJ348" i="10"/>
  <c r="AI348" i="10"/>
  <c r="AH348" i="10"/>
  <c r="AG348" i="10"/>
  <c r="AF348" i="10"/>
  <c r="AE348" i="10"/>
  <c r="AD348" i="10"/>
  <c r="BZ347" i="10"/>
  <c r="BY347" i="10"/>
  <c r="BX347" i="10"/>
  <c r="BW347" i="10"/>
  <c r="BV347" i="10"/>
  <c r="BU347" i="10"/>
  <c r="BT347" i="10"/>
  <c r="BS347" i="10"/>
  <c r="BR347" i="10"/>
  <c r="BQ347" i="10"/>
  <c r="BP347" i="10"/>
  <c r="BO347" i="10"/>
  <c r="BN347" i="10"/>
  <c r="BM347" i="10"/>
  <c r="BL347" i="10"/>
  <c r="BK347" i="10"/>
  <c r="BJ347" i="10"/>
  <c r="BI347" i="10"/>
  <c r="BH347" i="10"/>
  <c r="BG347" i="10"/>
  <c r="BF347" i="10"/>
  <c r="BE347" i="10"/>
  <c r="BD347" i="10"/>
  <c r="BC347" i="10"/>
  <c r="BB347" i="10"/>
  <c r="BA347" i="10"/>
  <c r="AZ347" i="10"/>
  <c r="AY347" i="10"/>
  <c r="AX347" i="10"/>
  <c r="AW347" i="10"/>
  <c r="AV347" i="10"/>
  <c r="AU347" i="10"/>
  <c r="AT347" i="10"/>
  <c r="AS347" i="10"/>
  <c r="AR347" i="10"/>
  <c r="AQ347" i="10"/>
  <c r="AP347" i="10"/>
  <c r="AO347" i="10"/>
  <c r="AN347" i="10"/>
  <c r="AM347" i="10"/>
  <c r="AL347" i="10"/>
  <c r="AK347" i="10"/>
  <c r="AJ347" i="10"/>
  <c r="AI347" i="10"/>
  <c r="AH347" i="10"/>
  <c r="AG347" i="10"/>
  <c r="AF347" i="10"/>
  <c r="AE347" i="10"/>
  <c r="AD347" i="10"/>
  <c r="AC347" i="10"/>
  <c r="BZ346" i="10"/>
  <c r="BY346" i="10"/>
  <c r="BX346" i="10"/>
  <c r="BW346" i="10"/>
  <c r="BV346" i="10"/>
  <c r="BU346" i="10"/>
  <c r="BT346" i="10"/>
  <c r="BS346" i="10"/>
  <c r="BR346" i="10"/>
  <c r="BQ346" i="10"/>
  <c r="BP346" i="10"/>
  <c r="BO346" i="10"/>
  <c r="BN346" i="10"/>
  <c r="BM346" i="10"/>
  <c r="BL346" i="10"/>
  <c r="BK346" i="10"/>
  <c r="BJ346" i="10"/>
  <c r="BI346" i="10"/>
  <c r="BH346" i="10"/>
  <c r="BG346" i="10"/>
  <c r="BF346" i="10"/>
  <c r="BE346" i="10"/>
  <c r="BD346" i="10"/>
  <c r="BC346" i="10"/>
  <c r="BB346" i="10"/>
  <c r="BA346" i="10"/>
  <c r="AZ346" i="10"/>
  <c r="AY346" i="10"/>
  <c r="AX346" i="10"/>
  <c r="AW346" i="10"/>
  <c r="AV346" i="10"/>
  <c r="AU346" i="10"/>
  <c r="AT346" i="10"/>
  <c r="AS346" i="10"/>
  <c r="AR346" i="10"/>
  <c r="AQ346" i="10"/>
  <c r="AP346" i="10"/>
  <c r="AO346" i="10"/>
  <c r="AN346" i="10"/>
  <c r="AM346" i="10"/>
  <c r="AL346" i="10"/>
  <c r="AK346" i="10"/>
  <c r="AJ346" i="10"/>
  <c r="AI346" i="10"/>
  <c r="AH346" i="10"/>
  <c r="AG346" i="10"/>
  <c r="AF346" i="10"/>
  <c r="AE346" i="10"/>
  <c r="AD346" i="10"/>
  <c r="AC346" i="10"/>
  <c r="AB346" i="10"/>
  <c r="BZ345" i="10"/>
  <c r="BY345" i="10"/>
  <c r="BX345" i="10"/>
  <c r="BW345" i="10"/>
  <c r="BV345" i="10"/>
  <c r="BU345" i="10"/>
  <c r="BT345" i="10"/>
  <c r="BS345" i="10"/>
  <c r="BR345" i="10"/>
  <c r="BQ345" i="10"/>
  <c r="BP345" i="10"/>
  <c r="BO345" i="10"/>
  <c r="BN345" i="10"/>
  <c r="BM345" i="10"/>
  <c r="BL345" i="10"/>
  <c r="BK345" i="10"/>
  <c r="BJ345" i="10"/>
  <c r="BI345" i="10"/>
  <c r="BH345" i="10"/>
  <c r="BG345" i="10"/>
  <c r="BF345" i="10"/>
  <c r="BE345" i="10"/>
  <c r="BD345" i="10"/>
  <c r="BC345" i="10"/>
  <c r="BB345" i="10"/>
  <c r="BA345" i="10"/>
  <c r="AZ345" i="10"/>
  <c r="AY345" i="10"/>
  <c r="AX345" i="10"/>
  <c r="AW345" i="10"/>
  <c r="AV345" i="10"/>
  <c r="AU345" i="10"/>
  <c r="AT345" i="10"/>
  <c r="AS345" i="10"/>
  <c r="AR345" i="10"/>
  <c r="AQ345" i="10"/>
  <c r="AP345" i="10"/>
  <c r="AO345" i="10"/>
  <c r="AN345" i="10"/>
  <c r="AM345" i="10"/>
  <c r="AL345" i="10"/>
  <c r="AK345" i="10"/>
  <c r="AJ345" i="10"/>
  <c r="AI345" i="10"/>
  <c r="AH345" i="10"/>
  <c r="AG345" i="10"/>
  <c r="AF345" i="10"/>
  <c r="AE345" i="10"/>
  <c r="AD345" i="10"/>
  <c r="AC345" i="10"/>
  <c r="AB345" i="10"/>
  <c r="AA345" i="10"/>
  <c r="BZ344" i="10"/>
  <c r="BY344" i="10"/>
  <c r="BX344" i="10"/>
  <c r="BW344" i="10"/>
  <c r="BV344" i="10"/>
  <c r="BU344" i="10"/>
  <c r="BT344" i="10"/>
  <c r="BS344" i="10"/>
  <c r="BR344" i="10"/>
  <c r="BQ344" i="10"/>
  <c r="BP344" i="10"/>
  <c r="BO344" i="10"/>
  <c r="BN344" i="10"/>
  <c r="BM344" i="10"/>
  <c r="BL344" i="10"/>
  <c r="BK344" i="10"/>
  <c r="BJ344" i="10"/>
  <c r="BI344" i="10"/>
  <c r="BH344" i="10"/>
  <c r="BG344" i="10"/>
  <c r="BF344" i="10"/>
  <c r="BE344" i="10"/>
  <c r="BD344" i="10"/>
  <c r="BC344" i="10"/>
  <c r="BB344" i="10"/>
  <c r="BA344" i="10"/>
  <c r="AZ344" i="10"/>
  <c r="AY344" i="10"/>
  <c r="AX344" i="10"/>
  <c r="AW344" i="10"/>
  <c r="AV344" i="10"/>
  <c r="AU344" i="10"/>
  <c r="AT344" i="10"/>
  <c r="AS344" i="10"/>
  <c r="AR344" i="10"/>
  <c r="AQ344" i="10"/>
  <c r="AP344" i="10"/>
  <c r="AO344" i="10"/>
  <c r="AN344" i="10"/>
  <c r="AM344" i="10"/>
  <c r="AL344" i="10"/>
  <c r="AK344" i="10"/>
  <c r="AJ344" i="10"/>
  <c r="AI344" i="10"/>
  <c r="AH344" i="10"/>
  <c r="AG344" i="10"/>
  <c r="AF344" i="10"/>
  <c r="AE344" i="10"/>
  <c r="AD344" i="10"/>
  <c r="AC344" i="10"/>
  <c r="AB344" i="10"/>
  <c r="AA344" i="10"/>
  <c r="Z344" i="10"/>
  <c r="BZ343" i="10"/>
  <c r="BY343" i="10"/>
  <c r="BX343" i="10"/>
  <c r="BW343" i="10"/>
  <c r="BV343" i="10"/>
  <c r="BU343" i="10"/>
  <c r="BT343" i="10"/>
  <c r="BS343" i="10"/>
  <c r="BR343" i="10"/>
  <c r="BQ343" i="10"/>
  <c r="BP343" i="10"/>
  <c r="BO343" i="10"/>
  <c r="BN343" i="10"/>
  <c r="BM343" i="10"/>
  <c r="BL343" i="10"/>
  <c r="BK343" i="10"/>
  <c r="BJ343" i="10"/>
  <c r="BI343" i="10"/>
  <c r="BH343" i="10"/>
  <c r="BG343" i="10"/>
  <c r="BF343" i="10"/>
  <c r="BE343" i="10"/>
  <c r="BD343" i="10"/>
  <c r="BC343" i="10"/>
  <c r="BB343" i="10"/>
  <c r="BA343" i="10"/>
  <c r="AZ343" i="10"/>
  <c r="AY343" i="10"/>
  <c r="AX343" i="10"/>
  <c r="AW343" i="10"/>
  <c r="AV343" i="10"/>
  <c r="AU343" i="10"/>
  <c r="AT343" i="10"/>
  <c r="AS343" i="10"/>
  <c r="AR343" i="10"/>
  <c r="AQ343" i="10"/>
  <c r="AP343" i="10"/>
  <c r="AO343" i="10"/>
  <c r="AN343" i="10"/>
  <c r="AM343" i="10"/>
  <c r="AL343" i="10"/>
  <c r="AK343" i="10"/>
  <c r="AJ343" i="10"/>
  <c r="AI343" i="10"/>
  <c r="AH343" i="10"/>
  <c r="AG343" i="10"/>
  <c r="AF343" i="10"/>
  <c r="AE343" i="10"/>
  <c r="AD343" i="10"/>
  <c r="AC343" i="10"/>
  <c r="AB343" i="10"/>
  <c r="AA343" i="10"/>
  <c r="Z343" i="10"/>
  <c r="Y343" i="10"/>
  <c r="BZ342" i="10"/>
  <c r="BY342" i="10"/>
  <c r="BX342" i="10"/>
  <c r="BW342" i="10"/>
  <c r="BV342" i="10"/>
  <c r="BU342" i="10"/>
  <c r="BT342" i="10"/>
  <c r="BS342" i="10"/>
  <c r="BR342" i="10"/>
  <c r="BQ342" i="10"/>
  <c r="BP342" i="10"/>
  <c r="BO342" i="10"/>
  <c r="BN342" i="10"/>
  <c r="BM342" i="10"/>
  <c r="BL342" i="10"/>
  <c r="BK342" i="10"/>
  <c r="BJ342" i="10"/>
  <c r="BI342" i="10"/>
  <c r="BH342" i="10"/>
  <c r="BG342" i="10"/>
  <c r="BF342" i="10"/>
  <c r="BE342" i="10"/>
  <c r="BD342" i="10"/>
  <c r="BC342" i="10"/>
  <c r="BB342" i="10"/>
  <c r="BA342" i="10"/>
  <c r="AZ342" i="10"/>
  <c r="AY342" i="10"/>
  <c r="AX342" i="10"/>
  <c r="AW342" i="10"/>
  <c r="AV342" i="10"/>
  <c r="AU342" i="10"/>
  <c r="AT342" i="10"/>
  <c r="AS342" i="10"/>
  <c r="AR342" i="10"/>
  <c r="AQ342" i="10"/>
  <c r="AP342" i="10"/>
  <c r="AO342" i="10"/>
  <c r="AN342" i="10"/>
  <c r="AM342" i="10"/>
  <c r="AL342" i="10"/>
  <c r="AK342" i="10"/>
  <c r="AJ342" i="10"/>
  <c r="AI342" i="10"/>
  <c r="AH342" i="10"/>
  <c r="AG342" i="10"/>
  <c r="AF342" i="10"/>
  <c r="AE342" i="10"/>
  <c r="AD342" i="10"/>
  <c r="AC342" i="10"/>
  <c r="AB342" i="10"/>
  <c r="AA342" i="10"/>
  <c r="Z342" i="10"/>
  <c r="Y342" i="10"/>
  <c r="X342" i="10"/>
  <c r="BZ341" i="10"/>
  <c r="BY341" i="10"/>
  <c r="BX341" i="10"/>
  <c r="BW341" i="10"/>
  <c r="BV341" i="10"/>
  <c r="BU341" i="10"/>
  <c r="BT341" i="10"/>
  <c r="BS341" i="10"/>
  <c r="BR341" i="10"/>
  <c r="BQ341" i="10"/>
  <c r="BP341" i="10"/>
  <c r="BO341" i="10"/>
  <c r="BN341" i="10"/>
  <c r="BM341" i="10"/>
  <c r="BL341" i="10"/>
  <c r="BK341" i="10"/>
  <c r="BJ341" i="10"/>
  <c r="BI341" i="10"/>
  <c r="BH341" i="10"/>
  <c r="BG341" i="10"/>
  <c r="BF341" i="10"/>
  <c r="BE341" i="10"/>
  <c r="BD341" i="10"/>
  <c r="BC341" i="10"/>
  <c r="BB341" i="10"/>
  <c r="BA341" i="10"/>
  <c r="AZ341" i="10"/>
  <c r="AY341" i="10"/>
  <c r="AX341" i="10"/>
  <c r="AW341" i="10"/>
  <c r="AV341" i="10"/>
  <c r="AU341" i="10"/>
  <c r="AT341" i="10"/>
  <c r="AS341" i="10"/>
  <c r="AR341" i="10"/>
  <c r="AQ341" i="10"/>
  <c r="AP341" i="10"/>
  <c r="AO341" i="10"/>
  <c r="AN341" i="10"/>
  <c r="AM341" i="10"/>
  <c r="AL341" i="10"/>
  <c r="AK341" i="10"/>
  <c r="AJ341" i="10"/>
  <c r="AI341" i="10"/>
  <c r="AH341" i="10"/>
  <c r="AG341" i="10"/>
  <c r="AF341" i="10"/>
  <c r="AE341" i="10"/>
  <c r="AD341" i="10"/>
  <c r="AC341" i="10"/>
  <c r="AB341" i="10"/>
  <c r="AA341" i="10"/>
  <c r="Z341" i="10"/>
  <c r="Y341" i="10"/>
  <c r="X341" i="10"/>
  <c r="W341" i="10"/>
  <c r="BZ340" i="10"/>
  <c r="BY340" i="10"/>
  <c r="BX340" i="10"/>
  <c r="BW340" i="10"/>
  <c r="BV340" i="10"/>
  <c r="BU340" i="10"/>
  <c r="BT340" i="10"/>
  <c r="BS340" i="10"/>
  <c r="BR340" i="10"/>
  <c r="BQ340" i="10"/>
  <c r="BP340" i="10"/>
  <c r="BO340" i="10"/>
  <c r="BN340" i="10"/>
  <c r="BM340" i="10"/>
  <c r="BL340" i="10"/>
  <c r="BK340" i="10"/>
  <c r="BJ340" i="10"/>
  <c r="BI340" i="10"/>
  <c r="BH340" i="10"/>
  <c r="BG340" i="10"/>
  <c r="BF340" i="10"/>
  <c r="BE340" i="10"/>
  <c r="BD340" i="10"/>
  <c r="BC340" i="10"/>
  <c r="BB340" i="10"/>
  <c r="BA340" i="10"/>
  <c r="AZ340" i="10"/>
  <c r="AY340" i="10"/>
  <c r="AX340" i="10"/>
  <c r="AW340" i="10"/>
  <c r="AV340" i="10"/>
  <c r="AU340" i="10"/>
  <c r="AT340" i="10"/>
  <c r="AS340" i="10"/>
  <c r="AR340" i="10"/>
  <c r="AQ340" i="10"/>
  <c r="AP340" i="10"/>
  <c r="AO340" i="10"/>
  <c r="AN340" i="10"/>
  <c r="AM340" i="10"/>
  <c r="AL340" i="10"/>
  <c r="AK340" i="10"/>
  <c r="AJ340" i="10"/>
  <c r="AI340" i="10"/>
  <c r="AH340" i="10"/>
  <c r="AG340" i="10"/>
  <c r="AF340" i="10"/>
  <c r="AE340" i="10"/>
  <c r="AD340" i="10"/>
  <c r="AC340" i="10"/>
  <c r="AB340" i="10"/>
  <c r="AA340" i="10"/>
  <c r="Z340" i="10"/>
  <c r="Y340" i="10"/>
  <c r="X340" i="10"/>
  <c r="W340" i="10"/>
  <c r="V340" i="10"/>
  <c r="BZ339" i="10"/>
  <c r="BY339" i="10"/>
  <c r="BX339" i="10"/>
  <c r="BW339" i="10"/>
  <c r="BV339" i="10"/>
  <c r="BU339" i="10"/>
  <c r="BT339" i="10"/>
  <c r="BS339" i="10"/>
  <c r="BR339" i="10"/>
  <c r="BQ339" i="10"/>
  <c r="BP339" i="10"/>
  <c r="BO339" i="10"/>
  <c r="BN339" i="10"/>
  <c r="BM339" i="10"/>
  <c r="BL339" i="10"/>
  <c r="BK339" i="10"/>
  <c r="BJ339" i="10"/>
  <c r="BI339" i="10"/>
  <c r="BH339" i="10"/>
  <c r="BG339" i="10"/>
  <c r="BF339" i="10"/>
  <c r="BE339" i="10"/>
  <c r="BD339" i="10"/>
  <c r="BC339" i="10"/>
  <c r="BB339" i="10"/>
  <c r="BA339" i="10"/>
  <c r="AZ339" i="10"/>
  <c r="AY339" i="10"/>
  <c r="AX339" i="10"/>
  <c r="AW339" i="10"/>
  <c r="AV339" i="10"/>
  <c r="AU339" i="10"/>
  <c r="AT339" i="10"/>
  <c r="AS339" i="10"/>
  <c r="AR339" i="10"/>
  <c r="AQ339" i="10"/>
  <c r="AP339" i="10"/>
  <c r="AO339" i="10"/>
  <c r="AN339" i="10"/>
  <c r="AM339" i="10"/>
  <c r="AL339" i="10"/>
  <c r="AK339" i="10"/>
  <c r="AJ339" i="10"/>
  <c r="AI339" i="10"/>
  <c r="AH339" i="10"/>
  <c r="AG339" i="10"/>
  <c r="AF339" i="10"/>
  <c r="AE339" i="10"/>
  <c r="AD339" i="10"/>
  <c r="AC339" i="10"/>
  <c r="AB339" i="10"/>
  <c r="AA339" i="10"/>
  <c r="Z339" i="10"/>
  <c r="Y339" i="10"/>
  <c r="X339" i="10"/>
  <c r="W339" i="10"/>
  <c r="V339" i="10"/>
  <c r="U339" i="10"/>
  <c r="BZ338" i="10"/>
  <c r="BY338" i="10"/>
  <c r="BX338" i="10"/>
  <c r="BW338" i="10"/>
  <c r="BV338" i="10"/>
  <c r="BU338" i="10"/>
  <c r="BT338" i="10"/>
  <c r="BS338" i="10"/>
  <c r="BR338" i="10"/>
  <c r="BQ338" i="10"/>
  <c r="BP338" i="10"/>
  <c r="BO338" i="10"/>
  <c r="BN338" i="10"/>
  <c r="BM338" i="10"/>
  <c r="BL338" i="10"/>
  <c r="BK338" i="10"/>
  <c r="BJ338" i="10"/>
  <c r="BI338" i="10"/>
  <c r="BH338" i="10"/>
  <c r="BG338" i="10"/>
  <c r="BF338" i="10"/>
  <c r="BE338" i="10"/>
  <c r="BD338" i="10"/>
  <c r="BC338" i="10"/>
  <c r="BB338" i="10"/>
  <c r="BA338" i="10"/>
  <c r="AZ338" i="10"/>
  <c r="AY338" i="10"/>
  <c r="AX338" i="10"/>
  <c r="AW338" i="10"/>
  <c r="AV338" i="10"/>
  <c r="AU338" i="10"/>
  <c r="AT338" i="10"/>
  <c r="AS338" i="10"/>
  <c r="AR338" i="10"/>
  <c r="AQ338" i="10"/>
  <c r="AP338" i="10"/>
  <c r="AO338" i="10"/>
  <c r="AN338" i="10"/>
  <c r="AM338" i="10"/>
  <c r="AL338" i="10"/>
  <c r="AK338" i="10"/>
  <c r="AJ338" i="10"/>
  <c r="AI338" i="10"/>
  <c r="AH338" i="10"/>
  <c r="AG338" i="10"/>
  <c r="AF338" i="10"/>
  <c r="AE338" i="10"/>
  <c r="AD338" i="10"/>
  <c r="AC338" i="10"/>
  <c r="AB338" i="10"/>
  <c r="AA338" i="10"/>
  <c r="Z338" i="10"/>
  <c r="Y338" i="10"/>
  <c r="X338" i="10"/>
  <c r="W338" i="10"/>
  <c r="V338" i="10"/>
  <c r="U338" i="10"/>
  <c r="T338" i="10"/>
  <c r="BZ337" i="10"/>
  <c r="BY337" i="10"/>
  <c r="BX337" i="10"/>
  <c r="BW337" i="10"/>
  <c r="BV337" i="10"/>
  <c r="BU337" i="10"/>
  <c r="BT337" i="10"/>
  <c r="BS337" i="10"/>
  <c r="BR337" i="10"/>
  <c r="BQ337" i="10"/>
  <c r="BP337" i="10"/>
  <c r="BO337" i="10"/>
  <c r="BN337" i="10"/>
  <c r="BM337" i="10"/>
  <c r="BL337" i="10"/>
  <c r="BK337" i="10"/>
  <c r="BJ337" i="10"/>
  <c r="BI337" i="10"/>
  <c r="BH337" i="10"/>
  <c r="BG337" i="10"/>
  <c r="BF337" i="10"/>
  <c r="BE337" i="10"/>
  <c r="BD337" i="10"/>
  <c r="BC337" i="10"/>
  <c r="BB337" i="10"/>
  <c r="BA337" i="10"/>
  <c r="AZ337" i="10"/>
  <c r="AY337" i="10"/>
  <c r="AX337" i="10"/>
  <c r="AW337" i="10"/>
  <c r="AV337" i="10"/>
  <c r="AU337" i="10"/>
  <c r="AT337" i="10"/>
  <c r="AS337" i="10"/>
  <c r="AR337" i="10"/>
  <c r="AQ337" i="10"/>
  <c r="AP337" i="10"/>
  <c r="AO337" i="10"/>
  <c r="AN337" i="10"/>
  <c r="AM337" i="10"/>
  <c r="AL337" i="10"/>
  <c r="AK337" i="10"/>
  <c r="AJ337" i="10"/>
  <c r="AI337" i="10"/>
  <c r="AH337" i="10"/>
  <c r="AG337" i="10"/>
  <c r="AF337" i="10"/>
  <c r="AE337" i="10"/>
  <c r="AD337" i="10"/>
  <c r="AC337" i="10"/>
  <c r="AB337" i="10"/>
  <c r="AA337" i="10"/>
  <c r="Z337" i="10"/>
  <c r="Y337" i="10"/>
  <c r="X337" i="10"/>
  <c r="W337" i="10"/>
  <c r="V337" i="10"/>
  <c r="U337" i="10"/>
  <c r="T337" i="10"/>
  <c r="S337" i="10"/>
  <c r="BZ336" i="10"/>
  <c r="BY336" i="10"/>
  <c r="BX336" i="10"/>
  <c r="BW336" i="10"/>
  <c r="BV336" i="10"/>
  <c r="BU336" i="10"/>
  <c r="BT336" i="10"/>
  <c r="BS336" i="10"/>
  <c r="BR336" i="10"/>
  <c r="BQ336" i="10"/>
  <c r="BP336" i="10"/>
  <c r="BO336" i="10"/>
  <c r="BN336" i="10"/>
  <c r="BM336" i="10"/>
  <c r="BL336" i="10"/>
  <c r="BK336" i="10"/>
  <c r="BJ336" i="10"/>
  <c r="BI336" i="10"/>
  <c r="BH336" i="10"/>
  <c r="BG336" i="10"/>
  <c r="BF336" i="10"/>
  <c r="BE336" i="10"/>
  <c r="BD336" i="10"/>
  <c r="BC336" i="10"/>
  <c r="BB336" i="10"/>
  <c r="BA336" i="10"/>
  <c r="AZ336" i="10"/>
  <c r="AY336" i="10"/>
  <c r="AX336" i="10"/>
  <c r="AW336" i="10"/>
  <c r="AV336" i="10"/>
  <c r="AU336" i="10"/>
  <c r="AT336" i="10"/>
  <c r="AS336" i="10"/>
  <c r="AR336" i="10"/>
  <c r="AQ336" i="10"/>
  <c r="AP336" i="10"/>
  <c r="AO336" i="10"/>
  <c r="AN336" i="10"/>
  <c r="AM336" i="10"/>
  <c r="AL336" i="10"/>
  <c r="AK336" i="10"/>
  <c r="AJ336" i="10"/>
  <c r="AI336" i="10"/>
  <c r="AH336" i="10"/>
  <c r="AG336" i="10"/>
  <c r="AF336" i="10"/>
  <c r="AE336" i="10"/>
  <c r="AD336" i="10"/>
  <c r="AC336" i="10"/>
  <c r="AB336" i="10"/>
  <c r="AA336" i="10"/>
  <c r="Z336" i="10"/>
  <c r="Y336" i="10"/>
  <c r="X336" i="10"/>
  <c r="W336" i="10"/>
  <c r="V336" i="10"/>
  <c r="U336" i="10"/>
  <c r="T336" i="10"/>
  <c r="S336" i="10"/>
  <c r="R336" i="10"/>
  <c r="BZ335" i="10"/>
  <c r="BY335" i="10"/>
  <c r="BX335" i="10"/>
  <c r="BW335" i="10"/>
  <c r="BV335" i="10"/>
  <c r="BU335" i="10"/>
  <c r="BT335" i="10"/>
  <c r="BS335" i="10"/>
  <c r="BR335" i="10"/>
  <c r="BQ335" i="10"/>
  <c r="BP335" i="10"/>
  <c r="BO335" i="10"/>
  <c r="BN335" i="10"/>
  <c r="BM335" i="10"/>
  <c r="BL335" i="10"/>
  <c r="BK335" i="10"/>
  <c r="BJ335" i="10"/>
  <c r="BI335" i="10"/>
  <c r="BH335" i="10"/>
  <c r="BG335" i="10"/>
  <c r="BF335" i="10"/>
  <c r="BE335" i="10"/>
  <c r="BD335" i="10"/>
  <c r="BC335" i="10"/>
  <c r="BB335" i="10"/>
  <c r="BA335" i="10"/>
  <c r="AZ335" i="10"/>
  <c r="AY335" i="10"/>
  <c r="AX335" i="10"/>
  <c r="AW335" i="10"/>
  <c r="AV335" i="10"/>
  <c r="AU335" i="10"/>
  <c r="AT335" i="10"/>
  <c r="AS335" i="10"/>
  <c r="AR335" i="10"/>
  <c r="AQ335" i="10"/>
  <c r="AP335" i="10"/>
  <c r="AO335" i="10"/>
  <c r="AN335" i="10"/>
  <c r="AM335" i="10"/>
  <c r="AL335" i="10"/>
  <c r="AK335" i="10"/>
  <c r="AJ335" i="10"/>
  <c r="AI335" i="10"/>
  <c r="AH335" i="10"/>
  <c r="AG335" i="10"/>
  <c r="AF335" i="10"/>
  <c r="AE335" i="10"/>
  <c r="AD335" i="10"/>
  <c r="AC335" i="10"/>
  <c r="AB335" i="10"/>
  <c r="AA335" i="10"/>
  <c r="Z335" i="10"/>
  <c r="Y335" i="10"/>
  <c r="X335" i="10"/>
  <c r="W335" i="10"/>
  <c r="V335" i="10"/>
  <c r="U335" i="10"/>
  <c r="T335" i="10"/>
  <c r="S335" i="10"/>
  <c r="R335" i="10"/>
  <c r="Q335" i="10"/>
  <c r="BZ334" i="10"/>
  <c r="BY334" i="10"/>
  <c r="BX334" i="10"/>
  <c r="BW334" i="10"/>
  <c r="BV334" i="10"/>
  <c r="BU334" i="10"/>
  <c r="BT334" i="10"/>
  <c r="BS334" i="10"/>
  <c r="BR334" i="10"/>
  <c r="BQ334" i="10"/>
  <c r="BP334" i="10"/>
  <c r="BO334" i="10"/>
  <c r="BN334" i="10"/>
  <c r="BM334" i="10"/>
  <c r="BL334" i="10"/>
  <c r="BK334" i="10"/>
  <c r="BJ334" i="10"/>
  <c r="BI334" i="10"/>
  <c r="BH334" i="10"/>
  <c r="BG334" i="10"/>
  <c r="BF334" i="10"/>
  <c r="BE334" i="10"/>
  <c r="BD334" i="10"/>
  <c r="BC334" i="10"/>
  <c r="BB334" i="10"/>
  <c r="BA334" i="10"/>
  <c r="AZ334" i="10"/>
  <c r="AY334" i="10"/>
  <c r="AX334" i="10"/>
  <c r="AW334" i="10"/>
  <c r="AV334" i="10"/>
  <c r="AU334" i="10"/>
  <c r="AT334" i="10"/>
  <c r="AS334" i="10"/>
  <c r="AR334" i="10"/>
  <c r="AQ334" i="10"/>
  <c r="AP334" i="10"/>
  <c r="AO334" i="10"/>
  <c r="AN334" i="10"/>
  <c r="AM334" i="10"/>
  <c r="AL334" i="10"/>
  <c r="AK334" i="10"/>
  <c r="AJ334" i="10"/>
  <c r="AI334" i="10"/>
  <c r="AH334" i="10"/>
  <c r="AG334" i="10"/>
  <c r="AF334" i="10"/>
  <c r="AE334" i="10"/>
  <c r="AD334" i="10"/>
  <c r="AC334" i="10"/>
  <c r="AB334" i="10"/>
  <c r="AA334" i="10"/>
  <c r="Z334" i="10"/>
  <c r="Y334" i="10"/>
  <c r="X334" i="10"/>
  <c r="W334" i="10"/>
  <c r="V334" i="10"/>
  <c r="U334" i="10"/>
  <c r="T334" i="10"/>
  <c r="S334" i="10"/>
  <c r="R334" i="10"/>
  <c r="Q334" i="10"/>
  <c r="P334" i="10"/>
  <c r="BZ333" i="10"/>
  <c r="BY333" i="10"/>
  <c r="BX333" i="10"/>
  <c r="BW333" i="10"/>
  <c r="BV333" i="10"/>
  <c r="BU333" i="10"/>
  <c r="BT333" i="10"/>
  <c r="BS333" i="10"/>
  <c r="BR333" i="10"/>
  <c r="BQ333" i="10"/>
  <c r="BP333" i="10"/>
  <c r="BO333" i="10"/>
  <c r="BN333" i="10"/>
  <c r="BM333" i="10"/>
  <c r="BL333" i="10"/>
  <c r="BK333" i="10"/>
  <c r="BJ333" i="10"/>
  <c r="BI333" i="10"/>
  <c r="BH333" i="10"/>
  <c r="BG333" i="10"/>
  <c r="BF333" i="10"/>
  <c r="BE333" i="10"/>
  <c r="BD333" i="10"/>
  <c r="BC333" i="10"/>
  <c r="BB333" i="10"/>
  <c r="BA333" i="10"/>
  <c r="AZ333" i="10"/>
  <c r="AY333" i="10"/>
  <c r="AX333" i="10"/>
  <c r="AW333" i="10"/>
  <c r="AV333" i="10"/>
  <c r="AU333" i="10"/>
  <c r="AT333" i="10"/>
  <c r="AS333" i="10"/>
  <c r="AR333" i="10"/>
  <c r="AQ333" i="10"/>
  <c r="AP333" i="10"/>
  <c r="AO333" i="10"/>
  <c r="AN333" i="10"/>
  <c r="AM333" i="10"/>
  <c r="AL333" i="10"/>
  <c r="AK333" i="10"/>
  <c r="AJ333" i="10"/>
  <c r="AI333" i="10"/>
  <c r="AH333" i="10"/>
  <c r="AG333" i="10"/>
  <c r="AF333" i="10"/>
  <c r="AE333" i="10"/>
  <c r="AD333" i="10"/>
  <c r="AC333" i="10"/>
  <c r="AB333" i="10"/>
  <c r="AA333" i="10"/>
  <c r="Z333" i="10"/>
  <c r="Y333" i="10"/>
  <c r="X333" i="10"/>
  <c r="W333" i="10"/>
  <c r="V333" i="10"/>
  <c r="U333" i="10"/>
  <c r="T333" i="10"/>
  <c r="S333" i="10"/>
  <c r="R333" i="10"/>
  <c r="Q333" i="10"/>
  <c r="P333" i="10"/>
  <c r="O333" i="10"/>
  <c r="BZ332" i="10"/>
  <c r="BY332" i="10"/>
  <c r="BX332" i="10"/>
  <c r="BW332" i="10"/>
  <c r="BV332" i="10"/>
  <c r="BU332" i="10"/>
  <c r="BT332" i="10"/>
  <c r="BS332" i="10"/>
  <c r="BR332" i="10"/>
  <c r="BQ332" i="10"/>
  <c r="BP332" i="10"/>
  <c r="BO332" i="10"/>
  <c r="BN332" i="10"/>
  <c r="BM332" i="10"/>
  <c r="BL332" i="10"/>
  <c r="BK332" i="10"/>
  <c r="BJ332" i="10"/>
  <c r="BI332" i="10"/>
  <c r="BH332" i="10"/>
  <c r="BG332" i="10"/>
  <c r="BF332" i="10"/>
  <c r="BE332" i="10"/>
  <c r="BD332" i="10"/>
  <c r="BC332" i="10"/>
  <c r="BB332" i="10"/>
  <c r="BA332" i="10"/>
  <c r="AZ332" i="10"/>
  <c r="AY332" i="10"/>
  <c r="AX332" i="10"/>
  <c r="AW332" i="10"/>
  <c r="AV332" i="10"/>
  <c r="AU332" i="10"/>
  <c r="AT332" i="10"/>
  <c r="AS332" i="10"/>
  <c r="AR332" i="10"/>
  <c r="AQ332" i="10"/>
  <c r="AP332" i="10"/>
  <c r="AO332" i="10"/>
  <c r="AN332" i="10"/>
  <c r="AM332" i="10"/>
  <c r="AL332" i="10"/>
  <c r="AK332" i="10"/>
  <c r="AJ332" i="10"/>
  <c r="AI332" i="10"/>
  <c r="AH332" i="10"/>
  <c r="AG332" i="10"/>
  <c r="AF332" i="10"/>
  <c r="AE332" i="10"/>
  <c r="AD332" i="10"/>
  <c r="AC332" i="10"/>
  <c r="AB332" i="10"/>
  <c r="AA332" i="10"/>
  <c r="Z332" i="10"/>
  <c r="Y332" i="10"/>
  <c r="X332" i="10"/>
  <c r="W332" i="10"/>
  <c r="V332" i="10"/>
  <c r="U332" i="10"/>
  <c r="T332" i="10"/>
  <c r="S332" i="10"/>
  <c r="R332" i="10"/>
  <c r="Q332" i="10"/>
  <c r="P332" i="10"/>
  <c r="O332" i="10"/>
  <c r="N332" i="10"/>
  <c r="BZ331" i="10"/>
  <c r="BY331" i="10"/>
  <c r="BX331" i="10"/>
  <c r="BW331" i="10"/>
  <c r="BV331" i="10"/>
  <c r="BU331" i="10"/>
  <c r="BT331" i="10"/>
  <c r="BS331" i="10"/>
  <c r="BR331" i="10"/>
  <c r="BQ331" i="10"/>
  <c r="BP331" i="10"/>
  <c r="BO331" i="10"/>
  <c r="BN331" i="10"/>
  <c r="BM331" i="10"/>
  <c r="BL331" i="10"/>
  <c r="BK331" i="10"/>
  <c r="BJ331" i="10"/>
  <c r="BI331" i="10"/>
  <c r="BH331" i="10"/>
  <c r="BG331" i="10"/>
  <c r="BF331" i="10"/>
  <c r="BE331" i="10"/>
  <c r="BD331" i="10"/>
  <c r="BC331" i="10"/>
  <c r="BB331" i="10"/>
  <c r="BA331" i="10"/>
  <c r="AZ331" i="10"/>
  <c r="AY331" i="10"/>
  <c r="AX331" i="10"/>
  <c r="AW331" i="10"/>
  <c r="AV331" i="10"/>
  <c r="AU331" i="10"/>
  <c r="AT331" i="10"/>
  <c r="AS331" i="10"/>
  <c r="AR331" i="10"/>
  <c r="AQ331" i="10"/>
  <c r="AP331" i="10"/>
  <c r="AO331" i="10"/>
  <c r="AN331" i="10"/>
  <c r="AM331" i="10"/>
  <c r="AL331" i="10"/>
  <c r="AK331" i="10"/>
  <c r="AJ331" i="10"/>
  <c r="AI331" i="10"/>
  <c r="AH331" i="10"/>
  <c r="AG331" i="10"/>
  <c r="AF331" i="10"/>
  <c r="AE331" i="10"/>
  <c r="AD331" i="10"/>
  <c r="AC331" i="10"/>
  <c r="AB331" i="10"/>
  <c r="AA331" i="10"/>
  <c r="Z331" i="10"/>
  <c r="Y331" i="10"/>
  <c r="X331" i="10"/>
  <c r="W331" i="10"/>
  <c r="V331" i="10"/>
  <c r="U331" i="10"/>
  <c r="T331" i="10"/>
  <c r="S331" i="10"/>
  <c r="R331" i="10"/>
  <c r="Q331" i="10"/>
  <c r="P331" i="10"/>
  <c r="O331" i="10"/>
  <c r="N331" i="10"/>
  <c r="M331" i="10"/>
  <c r="BZ330" i="10"/>
  <c r="BY330" i="10"/>
  <c r="BX330" i="10"/>
  <c r="BW330" i="10"/>
  <c r="BV330" i="10"/>
  <c r="BU330" i="10"/>
  <c r="BT330" i="10"/>
  <c r="BS330" i="10"/>
  <c r="BR330" i="10"/>
  <c r="BQ330" i="10"/>
  <c r="BP330" i="10"/>
  <c r="BO330" i="10"/>
  <c r="BN330" i="10"/>
  <c r="BM330" i="10"/>
  <c r="BL330" i="10"/>
  <c r="BK330" i="10"/>
  <c r="BJ330" i="10"/>
  <c r="BI330" i="10"/>
  <c r="BH330" i="10"/>
  <c r="BG330" i="10"/>
  <c r="BF330" i="10"/>
  <c r="BE330" i="10"/>
  <c r="BD330" i="10"/>
  <c r="BC330" i="10"/>
  <c r="BB330" i="10"/>
  <c r="BA330" i="10"/>
  <c r="AZ330" i="10"/>
  <c r="AY330" i="10"/>
  <c r="AX330" i="10"/>
  <c r="AW330" i="10"/>
  <c r="AV330" i="10"/>
  <c r="AU330" i="10"/>
  <c r="AT330" i="10"/>
  <c r="AS330" i="10"/>
  <c r="AR330" i="10"/>
  <c r="AQ330" i="10"/>
  <c r="AP330" i="10"/>
  <c r="AO330" i="10"/>
  <c r="AN330" i="10"/>
  <c r="AM330" i="10"/>
  <c r="AL330" i="10"/>
  <c r="AK330" i="10"/>
  <c r="AJ330" i="10"/>
  <c r="AI330" i="10"/>
  <c r="AH330" i="10"/>
  <c r="AG330" i="10"/>
  <c r="AF330" i="10"/>
  <c r="AE330" i="10"/>
  <c r="AD330" i="10"/>
  <c r="AC330" i="10"/>
  <c r="AB330" i="10"/>
  <c r="AA330" i="10"/>
  <c r="Z330" i="10"/>
  <c r="Y330" i="10"/>
  <c r="X330" i="10"/>
  <c r="W330" i="10"/>
  <c r="V330" i="10"/>
  <c r="U330" i="10"/>
  <c r="T330" i="10"/>
  <c r="S330" i="10"/>
  <c r="R330" i="10"/>
  <c r="Q330" i="10"/>
  <c r="P330" i="10"/>
  <c r="O330" i="10"/>
  <c r="N330" i="10"/>
  <c r="M330" i="10"/>
  <c r="L330" i="10"/>
  <c r="BZ329" i="10"/>
  <c r="BY329" i="10"/>
  <c r="BX329" i="10"/>
  <c r="BW329" i="10"/>
  <c r="BV329" i="10"/>
  <c r="BU329" i="10"/>
  <c r="BT329" i="10"/>
  <c r="BS329" i="10"/>
  <c r="BR329" i="10"/>
  <c r="BQ329" i="10"/>
  <c r="BP329" i="10"/>
  <c r="BO329" i="10"/>
  <c r="BN329" i="10"/>
  <c r="BM329" i="10"/>
  <c r="BL329" i="10"/>
  <c r="BK329" i="10"/>
  <c r="BJ329" i="10"/>
  <c r="BI329" i="10"/>
  <c r="BH329" i="10"/>
  <c r="BG329" i="10"/>
  <c r="BF329" i="10"/>
  <c r="BE329" i="10"/>
  <c r="BD329" i="10"/>
  <c r="BC329" i="10"/>
  <c r="BB329" i="10"/>
  <c r="BA329" i="10"/>
  <c r="AZ329" i="10"/>
  <c r="AY329" i="10"/>
  <c r="AX329" i="10"/>
  <c r="AW329" i="10"/>
  <c r="AV329" i="10"/>
  <c r="AU329" i="10"/>
  <c r="AT329" i="10"/>
  <c r="AS329" i="10"/>
  <c r="AR329" i="10"/>
  <c r="AQ329" i="10"/>
  <c r="AP329" i="10"/>
  <c r="AO329" i="10"/>
  <c r="AN329" i="10"/>
  <c r="AM329" i="10"/>
  <c r="AL329" i="10"/>
  <c r="AK329" i="10"/>
  <c r="AJ329" i="10"/>
  <c r="AI329" i="10"/>
  <c r="AH329" i="10"/>
  <c r="AG329" i="10"/>
  <c r="AF329" i="10"/>
  <c r="AE329" i="10"/>
  <c r="AD329" i="10"/>
  <c r="AC329" i="10"/>
  <c r="AB329" i="10"/>
  <c r="AA329" i="10"/>
  <c r="Z329" i="10"/>
  <c r="Y329" i="10"/>
  <c r="X329" i="10"/>
  <c r="W329" i="10"/>
  <c r="V329" i="10"/>
  <c r="U329" i="10"/>
  <c r="T329" i="10"/>
  <c r="S329" i="10"/>
  <c r="R329" i="10"/>
  <c r="Q329" i="10"/>
  <c r="P329" i="10"/>
  <c r="O329" i="10"/>
  <c r="N329" i="10"/>
  <c r="M329" i="10"/>
  <c r="L329" i="10"/>
  <c r="K329" i="10"/>
  <c r="BZ328" i="10"/>
  <c r="BY328" i="10"/>
  <c r="BX328" i="10"/>
  <c r="BW328" i="10"/>
  <c r="BV328" i="10"/>
  <c r="BU328" i="10"/>
  <c r="BT328" i="10"/>
  <c r="BS328" i="10"/>
  <c r="BR328" i="10"/>
  <c r="BQ328" i="10"/>
  <c r="BP328" i="10"/>
  <c r="BO328" i="10"/>
  <c r="BN328" i="10"/>
  <c r="BM328" i="10"/>
  <c r="BL328" i="10"/>
  <c r="BK328" i="10"/>
  <c r="BJ328" i="10"/>
  <c r="BI328" i="10"/>
  <c r="BH328" i="10"/>
  <c r="BG328" i="10"/>
  <c r="BF328" i="10"/>
  <c r="BE328" i="10"/>
  <c r="BD328" i="10"/>
  <c r="BC328" i="10"/>
  <c r="BB328" i="10"/>
  <c r="BA328" i="10"/>
  <c r="AZ328" i="10"/>
  <c r="AY328" i="10"/>
  <c r="AX328" i="10"/>
  <c r="AW328" i="10"/>
  <c r="AV328" i="10"/>
  <c r="AU328" i="10"/>
  <c r="AT328" i="10"/>
  <c r="AS328" i="10"/>
  <c r="AR328" i="10"/>
  <c r="AQ328" i="10"/>
  <c r="AP328" i="10"/>
  <c r="AO328" i="10"/>
  <c r="AN328" i="10"/>
  <c r="AM328" i="10"/>
  <c r="AL328" i="10"/>
  <c r="AK328" i="10"/>
  <c r="AJ328" i="10"/>
  <c r="AI328" i="10"/>
  <c r="AH328" i="10"/>
  <c r="AG328" i="10"/>
  <c r="AF328" i="10"/>
  <c r="AE328" i="10"/>
  <c r="AD328" i="10"/>
  <c r="AC328" i="10"/>
  <c r="AB328" i="10"/>
  <c r="AA328" i="10"/>
  <c r="Z328" i="10"/>
  <c r="Y328" i="10"/>
  <c r="X328" i="10"/>
  <c r="W328" i="10"/>
  <c r="V328" i="10"/>
  <c r="U328" i="10"/>
  <c r="T328" i="10"/>
  <c r="S328" i="10"/>
  <c r="R328" i="10"/>
  <c r="Q328" i="10"/>
  <c r="P328" i="10"/>
  <c r="O328" i="10"/>
  <c r="N328" i="10"/>
  <c r="M328" i="10"/>
  <c r="L328" i="10"/>
  <c r="K328" i="10"/>
  <c r="J328" i="10"/>
  <c r="BZ327" i="10"/>
  <c r="BY327" i="10"/>
  <c r="BX327" i="10"/>
  <c r="BW327" i="10"/>
  <c r="BV327" i="10"/>
  <c r="BU327" i="10"/>
  <c r="BT327" i="10"/>
  <c r="BS327" i="10"/>
  <c r="BR327" i="10"/>
  <c r="BQ327" i="10"/>
  <c r="BP327" i="10"/>
  <c r="BO327" i="10"/>
  <c r="BN327" i="10"/>
  <c r="BM327" i="10"/>
  <c r="BL327" i="10"/>
  <c r="BK327" i="10"/>
  <c r="BJ327" i="10"/>
  <c r="BI327" i="10"/>
  <c r="BH327" i="10"/>
  <c r="BG327" i="10"/>
  <c r="BF327" i="10"/>
  <c r="BE327" i="10"/>
  <c r="BD327" i="10"/>
  <c r="BC327" i="10"/>
  <c r="BB327" i="10"/>
  <c r="BA327" i="10"/>
  <c r="AZ327" i="10"/>
  <c r="AY327" i="10"/>
  <c r="AX327" i="10"/>
  <c r="AW327" i="10"/>
  <c r="AV327" i="10"/>
  <c r="AU327" i="10"/>
  <c r="AT327" i="10"/>
  <c r="AS327" i="10"/>
  <c r="AR327" i="10"/>
  <c r="AQ327" i="10"/>
  <c r="AP327" i="10"/>
  <c r="AO327" i="10"/>
  <c r="AN327" i="10"/>
  <c r="AM327" i="10"/>
  <c r="AL327" i="10"/>
  <c r="AK327" i="10"/>
  <c r="AJ327" i="10"/>
  <c r="AI327" i="10"/>
  <c r="AH327" i="10"/>
  <c r="AG327" i="10"/>
  <c r="AF327" i="10"/>
  <c r="AE327" i="10"/>
  <c r="AD327" i="10"/>
  <c r="AC327" i="10"/>
  <c r="AB327" i="10"/>
  <c r="AA327" i="10"/>
  <c r="Z327" i="10"/>
  <c r="Y327" i="10"/>
  <c r="X327" i="10"/>
  <c r="W327" i="10"/>
  <c r="V327" i="10"/>
  <c r="U327" i="10"/>
  <c r="T327" i="10"/>
  <c r="S327" i="10"/>
  <c r="R327" i="10"/>
  <c r="Q327" i="10"/>
  <c r="P327" i="10"/>
  <c r="O327" i="10"/>
  <c r="N327" i="10"/>
  <c r="M327" i="10"/>
  <c r="L327" i="10"/>
  <c r="K327" i="10"/>
  <c r="J327" i="10"/>
  <c r="I327" i="10"/>
  <c r="BZ326" i="10"/>
  <c r="BY326" i="10"/>
  <c r="BX326" i="10"/>
  <c r="BW326" i="10"/>
  <c r="BV326" i="10"/>
  <c r="BU326" i="10"/>
  <c r="BT326" i="10"/>
  <c r="BS326" i="10"/>
  <c r="BR326" i="10"/>
  <c r="BQ326" i="10"/>
  <c r="BP326" i="10"/>
  <c r="BO326" i="10"/>
  <c r="BN326" i="10"/>
  <c r="BM326" i="10"/>
  <c r="BL326" i="10"/>
  <c r="BK326" i="10"/>
  <c r="BJ326" i="10"/>
  <c r="BI326" i="10"/>
  <c r="BH326" i="10"/>
  <c r="BG326" i="10"/>
  <c r="BF326" i="10"/>
  <c r="BE326" i="10"/>
  <c r="BD326" i="10"/>
  <c r="BC326" i="10"/>
  <c r="BB326" i="10"/>
  <c r="BA326" i="10"/>
  <c r="AZ326" i="10"/>
  <c r="AY326" i="10"/>
  <c r="AX326" i="10"/>
  <c r="AW326" i="10"/>
  <c r="AV326" i="10"/>
  <c r="AU326" i="10"/>
  <c r="AT326" i="10"/>
  <c r="AS326" i="10"/>
  <c r="AR326" i="10"/>
  <c r="AQ326" i="10"/>
  <c r="AP326" i="10"/>
  <c r="AO326" i="10"/>
  <c r="AN326" i="10"/>
  <c r="AM326" i="10"/>
  <c r="AL326" i="10"/>
  <c r="AK326" i="10"/>
  <c r="AJ326" i="10"/>
  <c r="AI326" i="10"/>
  <c r="AH326" i="10"/>
  <c r="AG326" i="10"/>
  <c r="AF326" i="10"/>
  <c r="AE326" i="10"/>
  <c r="AD326" i="10"/>
  <c r="AC326" i="10"/>
  <c r="AB326" i="10"/>
  <c r="AA326" i="10"/>
  <c r="Z326" i="10"/>
  <c r="Y326" i="10"/>
  <c r="X326" i="10"/>
  <c r="W326" i="10"/>
  <c r="V326" i="10"/>
  <c r="U326" i="10"/>
  <c r="T326" i="10"/>
  <c r="S326" i="10"/>
  <c r="R326" i="10"/>
  <c r="Q326" i="10"/>
  <c r="P326" i="10"/>
  <c r="O326" i="10"/>
  <c r="N326" i="10"/>
  <c r="M326" i="10"/>
  <c r="L326" i="10"/>
  <c r="K326" i="10"/>
  <c r="J326" i="10"/>
  <c r="I326" i="10"/>
  <c r="H326" i="10"/>
  <c r="BZ325" i="10"/>
  <c r="BY325" i="10"/>
  <c r="BX325" i="10"/>
  <c r="BW325" i="10"/>
  <c r="BV325" i="10"/>
  <c r="BU325" i="10"/>
  <c r="BT325" i="10"/>
  <c r="BS325" i="10"/>
  <c r="BR325" i="10"/>
  <c r="BQ325" i="10"/>
  <c r="BP325" i="10"/>
  <c r="BO325" i="10"/>
  <c r="BN325" i="10"/>
  <c r="BM325" i="10"/>
  <c r="BL325" i="10"/>
  <c r="BK325" i="10"/>
  <c r="BJ325" i="10"/>
  <c r="BI325" i="10"/>
  <c r="BH325" i="10"/>
  <c r="BG325" i="10"/>
  <c r="BF325" i="10"/>
  <c r="BE325" i="10"/>
  <c r="BD325" i="10"/>
  <c r="BC325" i="10"/>
  <c r="BB325" i="10"/>
  <c r="BA325" i="10"/>
  <c r="AZ325" i="10"/>
  <c r="AY325" i="10"/>
  <c r="AX325" i="10"/>
  <c r="AW325" i="10"/>
  <c r="AV325" i="10"/>
  <c r="AU325" i="10"/>
  <c r="AT325" i="10"/>
  <c r="AS325" i="10"/>
  <c r="AR325" i="10"/>
  <c r="AQ325" i="10"/>
  <c r="AP325" i="10"/>
  <c r="AO325" i="10"/>
  <c r="AN325" i="10"/>
  <c r="AM325" i="10"/>
  <c r="AL325" i="10"/>
  <c r="AK325" i="10"/>
  <c r="AJ325" i="10"/>
  <c r="AI325" i="10"/>
  <c r="AH325" i="10"/>
  <c r="AG325" i="10"/>
  <c r="AF325" i="10"/>
  <c r="AE325" i="10"/>
  <c r="AD325" i="10"/>
  <c r="AC325" i="10"/>
  <c r="AB325" i="10"/>
  <c r="AA325" i="10"/>
  <c r="Z325" i="10"/>
  <c r="Y325" i="10"/>
  <c r="X325" i="10"/>
  <c r="W325" i="10"/>
  <c r="V325" i="10"/>
  <c r="U325" i="10"/>
  <c r="T325" i="10"/>
  <c r="S325" i="10"/>
  <c r="R325" i="10"/>
  <c r="Q325" i="10"/>
  <c r="P325" i="10"/>
  <c r="O325" i="10"/>
  <c r="N325" i="10"/>
  <c r="M325" i="10"/>
  <c r="L325" i="10"/>
  <c r="K325" i="10"/>
  <c r="J325" i="10"/>
  <c r="I325" i="10"/>
  <c r="H325" i="10"/>
  <c r="G325" i="10"/>
  <c r="BZ324" i="10"/>
  <c r="BY324" i="10"/>
  <c r="BX324" i="10"/>
  <c r="BW324" i="10"/>
  <c r="BV324" i="10"/>
  <c r="BU324" i="10"/>
  <c r="BT324" i="10"/>
  <c r="BS324" i="10"/>
  <c r="BR324" i="10"/>
  <c r="BQ324" i="10"/>
  <c r="BP324" i="10"/>
  <c r="BO324" i="10"/>
  <c r="BN324" i="10"/>
  <c r="BM324" i="10"/>
  <c r="BL324" i="10"/>
  <c r="BK324" i="10"/>
  <c r="BJ324" i="10"/>
  <c r="BI324" i="10"/>
  <c r="BH324" i="10"/>
  <c r="BG324" i="10"/>
  <c r="BF324" i="10"/>
  <c r="BE324" i="10"/>
  <c r="BD324" i="10"/>
  <c r="BC324" i="10"/>
  <c r="BB324" i="10"/>
  <c r="BA324" i="10"/>
  <c r="AZ324" i="10"/>
  <c r="AY324" i="10"/>
  <c r="AX324" i="10"/>
  <c r="AW324" i="10"/>
  <c r="AV324" i="10"/>
  <c r="AU324" i="10"/>
  <c r="AT324" i="10"/>
  <c r="AS324" i="10"/>
  <c r="AR324" i="10"/>
  <c r="AQ324" i="10"/>
  <c r="AP324" i="10"/>
  <c r="AO324" i="10"/>
  <c r="AN324" i="10"/>
  <c r="AM324" i="10"/>
  <c r="AL324" i="10"/>
  <c r="AK324" i="10"/>
  <c r="AJ324" i="10"/>
  <c r="AI324" i="10"/>
  <c r="AH324" i="10"/>
  <c r="AG324" i="10"/>
  <c r="AF324" i="10"/>
  <c r="AE324" i="10"/>
  <c r="AD324" i="10"/>
  <c r="AC324" i="10"/>
  <c r="AB324" i="10"/>
  <c r="AA324" i="10"/>
  <c r="Z324" i="10"/>
  <c r="Y324" i="10"/>
  <c r="X324" i="10"/>
  <c r="W324" i="10"/>
  <c r="V324" i="10"/>
  <c r="U324" i="10"/>
  <c r="T324" i="10"/>
  <c r="S324" i="10"/>
  <c r="R324" i="10"/>
  <c r="Q324" i="10"/>
  <c r="P324" i="10"/>
  <c r="O324" i="10"/>
  <c r="N324" i="10"/>
  <c r="M324" i="10"/>
  <c r="L324" i="10"/>
  <c r="K324" i="10"/>
  <c r="J324" i="10"/>
  <c r="I324" i="10"/>
  <c r="H324" i="10"/>
  <c r="G324" i="10"/>
  <c r="F324" i="10"/>
  <c r="BZ323" i="10"/>
  <c r="BY323" i="10"/>
  <c r="BX323" i="10"/>
  <c r="BW323" i="10"/>
  <c r="BV323" i="10"/>
  <c r="BU323" i="10"/>
  <c r="BT323" i="10"/>
  <c r="BS323" i="10"/>
  <c r="BR323" i="10"/>
  <c r="BQ323" i="10"/>
  <c r="BP323" i="10"/>
  <c r="BO323" i="10"/>
  <c r="BN323" i="10"/>
  <c r="BM323" i="10"/>
  <c r="BL323" i="10"/>
  <c r="BK323" i="10"/>
  <c r="BJ323" i="10"/>
  <c r="BI323" i="10"/>
  <c r="BH323" i="10"/>
  <c r="BG323" i="10"/>
  <c r="BF323" i="10"/>
  <c r="BE323" i="10"/>
  <c r="BD323" i="10"/>
  <c r="BC323" i="10"/>
  <c r="BB323" i="10"/>
  <c r="BA323" i="10"/>
  <c r="AZ323" i="10"/>
  <c r="AY323" i="10"/>
  <c r="AX323" i="10"/>
  <c r="AW323" i="10"/>
  <c r="AV323" i="10"/>
  <c r="AU323" i="10"/>
  <c r="AT323" i="10"/>
  <c r="AS323" i="10"/>
  <c r="AR323" i="10"/>
  <c r="AQ323" i="10"/>
  <c r="AP323" i="10"/>
  <c r="AO323" i="10"/>
  <c r="AN323" i="10"/>
  <c r="AM323" i="10"/>
  <c r="AL323" i="10"/>
  <c r="AK323" i="10"/>
  <c r="AJ323" i="10"/>
  <c r="AI323" i="10"/>
  <c r="AH323" i="10"/>
  <c r="AG323" i="10"/>
  <c r="AF323" i="10"/>
  <c r="AE323" i="10"/>
  <c r="AD323" i="10"/>
  <c r="AC323" i="10"/>
  <c r="AB323" i="10"/>
  <c r="AA323" i="10"/>
  <c r="Z323" i="10"/>
  <c r="Y323" i="10"/>
  <c r="X323" i="10"/>
  <c r="W323" i="10"/>
  <c r="V323" i="10"/>
  <c r="U323" i="10"/>
  <c r="T323" i="10"/>
  <c r="S323" i="10"/>
  <c r="R323" i="10"/>
  <c r="Q323" i="10"/>
  <c r="P323" i="10"/>
  <c r="O323" i="10"/>
  <c r="N323" i="10"/>
  <c r="M323" i="10"/>
  <c r="L323" i="10"/>
  <c r="K323" i="10"/>
  <c r="J323" i="10"/>
  <c r="I323" i="10"/>
  <c r="H323" i="10"/>
  <c r="G323" i="10"/>
  <c r="F323" i="10"/>
  <c r="E323" i="10"/>
  <c r="BZ322" i="10"/>
  <c r="BY322" i="10"/>
  <c r="BX322" i="10"/>
  <c r="BW322" i="10"/>
  <c r="BV322" i="10"/>
  <c r="BU322" i="10"/>
  <c r="BT322" i="10"/>
  <c r="BS322" i="10"/>
  <c r="BR322" i="10"/>
  <c r="BQ322" i="10"/>
  <c r="BP322" i="10"/>
  <c r="BO322" i="10"/>
  <c r="BN322" i="10"/>
  <c r="BM322" i="10"/>
  <c r="BL322" i="10"/>
  <c r="BK322" i="10"/>
  <c r="BJ322" i="10"/>
  <c r="BI322" i="10"/>
  <c r="BH322" i="10"/>
  <c r="BG322" i="10"/>
  <c r="BF322" i="10"/>
  <c r="BE322" i="10"/>
  <c r="BD322" i="10"/>
  <c r="BC322" i="10"/>
  <c r="BB322" i="10"/>
  <c r="BA322" i="10"/>
  <c r="AZ322" i="10"/>
  <c r="AY322" i="10"/>
  <c r="AX322" i="10"/>
  <c r="AW322" i="10"/>
  <c r="AV322" i="10"/>
  <c r="AU322" i="10"/>
  <c r="AT322" i="10"/>
  <c r="AS322" i="10"/>
  <c r="AR322" i="10"/>
  <c r="AQ322" i="10"/>
  <c r="AP322" i="10"/>
  <c r="AO322" i="10"/>
  <c r="AN322" i="10"/>
  <c r="AM322" i="10"/>
  <c r="AL322" i="10"/>
  <c r="AK322" i="10"/>
  <c r="AJ322" i="10"/>
  <c r="AI322" i="10"/>
  <c r="AH322" i="10"/>
  <c r="AG322" i="10"/>
  <c r="AF322" i="10"/>
  <c r="AE322" i="10"/>
  <c r="AD322" i="10"/>
  <c r="AC322" i="10"/>
  <c r="AB322" i="10"/>
  <c r="AA322" i="10"/>
  <c r="Z322" i="10"/>
  <c r="Y322" i="10"/>
  <c r="X322" i="10"/>
  <c r="W322" i="10"/>
  <c r="V322" i="10"/>
  <c r="U322" i="10"/>
  <c r="T322" i="10"/>
  <c r="S322" i="10"/>
  <c r="R322" i="10"/>
  <c r="Q322" i="10"/>
  <c r="P322" i="10"/>
  <c r="O322" i="10"/>
  <c r="N322" i="10"/>
  <c r="M322" i="10"/>
  <c r="L322" i="10"/>
  <c r="K322" i="10"/>
  <c r="J322" i="10"/>
  <c r="I322" i="10"/>
  <c r="H322" i="10"/>
  <c r="G322" i="10"/>
  <c r="F322" i="10"/>
  <c r="E322" i="10"/>
  <c r="D322" i="10"/>
  <c r="BZ321" i="10"/>
  <c r="BY321" i="10"/>
  <c r="BX321" i="10"/>
  <c r="BW321" i="10"/>
  <c r="BV321" i="10"/>
  <c r="BU321" i="10"/>
  <c r="BT321" i="10"/>
  <c r="BS321" i="10"/>
  <c r="BR321" i="10"/>
  <c r="BQ321" i="10"/>
  <c r="BP321" i="10"/>
  <c r="BO321" i="10"/>
  <c r="BN321" i="10"/>
  <c r="BM321" i="10"/>
  <c r="BL321" i="10"/>
  <c r="BK321" i="10"/>
  <c r="BJ321" i="10"/>
  <c r="BI321" i="10"/>
  <c r="BH321" i="10"/>
  <c r="BG321" i="10"/>
  <c r="BF321" i="10"/>
  <c r="BE321" i="10"/>
  <c r="BD321" i="10"/>
  <c r="BC321" i="10"/>
  <c r="BB321" i="10"/>
  <c r="BA321" i="10"/>
  <c r="AZ321" i="10"/>
  <c r="AY321" i="10"/>
  <c r="AX321" i="10"/>
  <c r="AW321" i="10"/>
  <c r="AV321" i="10"/>
  <c r="AU321" i="10"/>
  <c r="AT321" i="10"/>
  <c r="AS321" i="10"/>
  <c r="AR321" i="10"/>
  <c r="AQ321" i="10"/>
  <c r="AP321" i="10"/>
  <c r="AO321" i="10"/>
  <c r="AN321" i="10"/>
  <c r="AM321" i="10"/>
  <c r="AL321" i="10"/>
  <c r="AK321" i="10"/>
  <c r="AJ321" i="10"/>
  <c r="AI321" i="10"/>
  <c r="AH321" i="10"/>
  <c r="AG321" i="10"/>
  <c r="AF321" i="10"/>
  <c r="AE321" i="10"/>
  <c r="AD321" i="10"/>
  <c r="AC321" i="10"/>
  <c r="AB321" i="10"/>
  <c r="AA321" i="10"/>
  <c r="Z321" i="10"/>
  <c r="Y321" i="10"/>
  <c r="X321" i="10"/>
  <c r="W321" i="10"/>
  <c r="V321" i="10"/>
  <c r="U321" i="10"/>
  <c r="T321" i="10"/>
  <c r="S321" i="10"/>
  <c r="R321" i="10"/>
  <c r="Q321" i="10"/>
  <c r="P321" i="10"/>
  <c r="O321" i="10"/>
  <c r="N321" i="10"/>
  <c r="M321" i="10"/>
  <c r="L321" i="10"/>
  <c r="K321" i="10"/>
  <c r="J321" i="10"/>
  <c r="I321" i="10"/>
  <c r="H321" i="10"/>
  <c r="G321" i="10"/>
  <c r="F321" i="10"/>
  <c r="E321" i="10"/>
  <c r="D321" i="10"/>
  <c r="C321" i="10"/>
  <c r="AD440" i="10" a="1"/>
  <c r="AD440" i="10"/>
  <c r="AE440" i="10" a="1"/>
  <c r="AE440" i="10"/>
  <c r="AF440" i="10" a="1"/>
  <c r="AF440" i="10"/>
  <c r="AG440" i="10" a="1"/>
  <c r="AG440" i="10"/>
  <c r="AH440" i="10" a="1"/>
  <c r="AH440" i="10"/>
  <c r="AI440" i="10" a="1"/>
  <c r="AI440" i="10"/>
  <c r="AJ440" i="10" a="1"/>
  <c r="AJ440" i="10"/>
  <c r="AK440" i="10" a="1"/>
  <c r="AK440" i="10"/>
  <c r="AL440" i="10" a="1"/>
  <c r="AL440" i="10"/>
  <c r="AM440" i="10" a="1"/>
  <c r="AM440" i="10"/>
  <c r="AN440" i="10" a="1"/>
  <c r="AN440" i="10"/>
  <c r="AO440" i="10" a="1"/>
  <c r="AO440" i="10"/>
  <c r="AP440" i="10" a="1"/>
  <c r="AP440" i="10"/>
  <c r="A52" i="8"/>
  <c r="BZ441" i="10" a="1"/>
  <c r="BZ441" i="10"/>
  <c r="BY441" i="10" a="1"/>
  <c r="BY441" i="10"/>
  <c r="BX441" i="10" a="1"/>
  <c r="BX441" i="10"/>
  <c r="AP441" i="10" a="1"/>
  <c r="AP441" i="10"/>
  <c r="AO441" i="10" a="1"/>
  <c r="AO441" i="10"/>
  <c r="AN441" i="10" a="1"/>
  <c r="AN441" i="10"/>
  <c r="AM441" i="10" a="1"/>
  <c r="AM441" i="10"/>
  <c r="AL441" i="10" a="1"/>
  <c r="AL441" i="10"/>
  <c r="AK441" i="10" a="1"/>
  <c r="AK441" i="10"/>
  <c r="AJ441" i="10" a="1"/>
  <c r="AJ441" i="10"/>
  <c r="AI441" i="10" a="1"/>
  <c r="AI441" i="10"/>
  <c r="AH441" i="10" a="1"/>
  <c r="AH441" i="10"/>
  <c r="AG441" i="10" a="1"/>
  <c r="AG441" i="10"/>
  <c r="AF441" i="10" a="1"/>
  <c r="AF441" i="10"/>
  <c r="AE441" i="10" a="1"/>
  <c r="AE441" i="10"/>
  <c r="AD441" i="10" a="1"/>
  <c r="AD441" i="10"/>
  <c r="AC441" i="10" a="1"/>
  <c r="AC441" i="10"/>
  <c r="AB441" i="10" a="1"/>
  <c r="AB441" i="10"/>
  <c r="AA441" i="10" a="1"/>
  <c r="AA441" i="10"/>
  <c r="Z441" i="10" a="1"/>
  <c r="Z441" i="10"/>
  <c r="Y441" i="10" a="1"/>
  <c r="Y441" i="10"/>
  <c r="X441" i="10" a="1"/>
  <c r="X441" i="10"/>
  <c r="W441" i="10" a="1"/>
  <c r="W441" i="10"/>
  <c r="V441" i="10" a="1"/>
  <c r="V441" i="10"/>
  <c r="U441" i="10" a="1"/>
  <c r="U441" i="10"/>
  <c r="T441" i="10" a="1"/>
  <c r="T441" i="10"/>
  <c r="S441" i="10" a="1"/>
  <c r="S441" i="10"/>
  <c r="R441" i="10" a="1"/>
  <c r="R441" i="10"/>
  <c r="Q441" i="10" a="1"/>
  <c r="Q441" i="10"/>
  <c r="P441" i="10" a="1"/>
  <c r="P441" i="10"/>
  <c r="O441" i="10" a="1"/>
  <c r="O441" i="10"/>
  <c r="N441" i="10" a="1"/>
  <c r="N441" i="10"/>
  <c r="M441" i="10" a="1"/>
  <c r="M441" i="10"/>
  <c r="L441" i="10" a="1"/>
  <c r="L441" i="10"/>
  <c r="K441" i="10" a="1"/>
  <c r="K441" i="10"/>
  <c r="J441" i="10" a="1"/>
  <c r="J441" i="10"/>
  <c r="I441" i="10" a="1"/>
  <c r="I441" i="10"/>
  <c r="H441" i="10" a="1"/>
  <c r="H441" i="10"/>
  <c r="G441" i="10" a="1"/>
  <c r="G441" i="10"/>
  <c r="F441" i="10" a="1"/>
  <c r="F441" i="10"/>
  <c r="E441" i="10" a="1"/>
  <c r="E441" i="10"/>
  <c r="D441" i="10" a="1"/>
  <c r="D441" i="10"/>
  <c r="C441" i="10" a="1"/>
  <c r="C441" i="10"/>
  <c r="B441" i="10" a="1"/>
  <c r="B441" i="10"/>
  <c r="BZ440" i="10" a="1"/>
  <c r="BZ440" i="10"/>
  <c r="BY440" i="10" a="1"/>
  <c r="BY440" i="10"/>
  <c r="BX440" i="10" a="1"/>
  <c r="BX440" i="10"/>
  <c r="AC440" i="10" a="1"/>
  <c r="AC440" i="10"/>
  <c r="AB440" i="10" a="1"/>
  <c r="AB440" i="10"/>
  <c r="AA440" i="10" a="1"/>
  <c r="AA440" i="10"/>
  <c r="Z440" i="10" a="1"/>
  <c r="Z440" i="10"/>
  <c r="Y440" i="10" a="1"/>
  <c r="Y440" i="10"/>
  <c r="X440" i="10" a="1"/>
  <c r="X440" i="10"/>
  <c r="W440" i="10" a="1"/>
  <c r="W440" i="10"/>
  <c r="V440" i="10" a="1"/>
  <c r="V440" i="10"/>
  <c r="U440" i="10" a="1"/>
  <c r="U440" i="10"/>
  <c r="T440" i="10" a="1"/>
  <c r="T440" i="10"/>
  <c r="S440" i="10" a="1"/>
  <c r="S440" i="10"/>
  <c r="R440" i="10" a="1"/>
  <c r="R440" i="10"/>
  <c r="Q440" i="10" a="1"/>
  <c r="Q440" i="10"/>
  <c r="P440" i="10" a="1"/>
  <c r="P440" i="10"/>
  <c r="O440" i="10" a="1"/>
  <c r="O440" i="10"/>
  <c r="N440" i="10" a="1"/>
  <c r="N440" i="10"/>
  <c r="M440" i="10" a="1"/>
  <c r="M440" i="10"/>
  <c r="L440" i="10" a="1"/>
  <c r="L440" i="10"/>
  <c r="K440" i="10" a="1"/>
  <c r="K440" i="10"/>
  <c r="J440" i="10" a="1"/>
  <c r="J440" i="10"/>
  <c r="I440" i="10" a="1"/>
  <c r="I440" i="10"/>
  <c r="H440" i="10" a="1"/>
  <c r="H440" i="10"/>
  <c r="G440" i="10" a="1"/>
  <c r="G440" i="10"/>
  <c r="F440" i="10" a="1"/>
  <c r="F440" i="10"/>
  <c r="E440" i="10" a="1"/>
  <c r="E440" i="10"/>
  <c r="D440" i="10" a="1"/>
  <c r="D440" i="10"/>
  <c r="C440" i="10" a="1"/>
  <c r="C440" i="10"/>
  <c r="B440" i="10" a="1"/>
  <c r="B440" i="10"/>
  <c r="BZ439" i="10" a="1"/>
  <c r="BZ439" i="10"/>
  <c r="BY439" i="10" a="1"/>
  <c r="BY439" i="10"/>
  <c r="BX439" i="10" a="1"/>
  <c r="BX439" i="10"/>
  <c r="V439" i="10" a="1"/>
  <c r="V439" i="10"/>
  <c r="U439" i="10" a="1"/>
  <c r="U439" i="10"/>
  <c r="T439" i="10" a="1"/>
  <c r="T439" i="10"/>
  <c r="D439" i="10" a="1"/>
  <c r="D439" i="10"/>
  <c r="B439" i="10" a="1"/>
  <c r="B439" i="10"/>
  <c r="BZ438" i="10" a="1"/>
  <c r="BZ438" i="10"/>
  <c r="BY438" i="10" a="1"/>
  <c r="BY438" i="10"/>
  <c r="BX438" i="10" a="1"/>
  <c r="BX438" i="10"/>
  <c r="V438" i="10" a="1"/>
  <c r="V438" i="10"/>
  <c r="U438" i="10" a="1"/>
  <c r="U438" i="10"/>
  <c r="T438" i="10" a="1"/>
  <c r="T438" i="10"/>
  <c r="D438" i="10" a="1"/>
  <c r="D438" i="10"/>
  <c r="B438" i="10" a="1"/>
  <c r="B438" i="10"/>
  <c r="B160" i="10"/>
  <c r="B159"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V301" i="3" a="1"/>
  <c r="V301" i="3"/>
  <c r="M200" i="3" a="1"/>
  <c r="M200" i="3"/>
  <c r="M201" i="3" a="1"/>
  <c r="M201" i="3"/>
  <c r="M202" i="3" a="1"/>
  <c r="M202" i="3"/>
  <c r="M203" i="3" a="1"/>
  <c r="M203" i="3"/>
  <c r="M207" i="3" a="1"/>
  <c r="M207" i="3"/>
  <c r="M182" i="3" a="1"/>
  <c r="M182" i="3"/>
  <c r="M183" i="3" a="1"/>
  <c r="M183" i="3"/>
  <c r="M184" i="3" a="1"/>
  <c r="M184" i="3"/>
  <c r="M185" i="3" a="1"/>
  <c r="M185" i="3"/>
  <c r="M186" i="3" a="1"/>
  <c r="M186" i="3"/>
  <c r="M187" i="3" a="1"/>
  <c r="M187" i="3"/>
  <c r="M188" i="3" a="1"/>
  <c r="M188" i="3"/>
  <c r="M189" i="3" a="1"/>
  <c r="M189" i="3"/>
  <c r="M190" i="3" a="1"/>
  <c r="M190" i="3"/>
  <c r="M191" i="3" a="1"/>
  <c r="M191" i="3"/>
  <c r="M192" i="3" a="1"/>
  <c r="M192" i="3"/>
  <c r="M193" i="3" a="1"/>
  <c r="M193" i="3"/>
  <c r="M194" i="3" a="1"/>
  <c r="M194" i="3"/>
  <c r="M195" i="3" a="1"/>
  <c r="M195" i="3"/>
  <c r="M196" i="3" a="1"/>
  <c r="M196" i="3"/>
  <c r="M197" i="3" a="1"/>
  <c r="M197" i="3"/>
  <c r="M198" i="3" a="1"/>
  <c r="M198" i="3"/>
  <c r="M199" i="3" a="1"/>
  <c r="M199" i="3"/>
  <c r="M204" i="3" a="1"/>
  <c r="M204" i="3"/>
  <c r="M205" i="3" a="1"/>
  <c r="M205" i="3"/>
  <c r="M206" i="3" a="1"/>
  <c r="M206" i="3"/>
  <c r="V279" i="3" a="1"/>
  <c r="V279" i="3"/>
  <c r="V280" i="3" a="1"/>
  <c r="V280" i="3"/>
  <c r="V282" i="3" a="1"/>
  <c r="V282" i="3"/>
  <c r="V283" i="3" a="1"/>
  <c r="V283" i="3"/>
  <c r="V284" i="3" a="1"/>
  <c r="V284" i="3"/>
  <c r="V285" i="3" a="1"/>
  <c r="V285" i="3"/>
  <c r="V286" i="3" a="1"/>
  <c r="V286" i="3"/>
  <c r="V287" i="3" a="1"/>
  <c r="V287" i="3"/>
  <c r="V288" i="3" a="1"/>
  <c r="V288" i="3"/>
  <c r="V289" i="3" a="1"/>
  <c r="V289" i="3"/>
  <c r="V290" i="3" a="1"/>
  <c r="V290" i="3"/>
  <c r="V291" i="3" a="1"/>
  <c r="V291" i="3"/>
  <c r="V292" i="3" a="1"/>
  <c r="V292" i="3"/>
  <c r="V293" i="3" a="1"/>
  <c r="V293" i="3"/>
  <c r="V294" i="3" a="1"/>
  <c r="V294" i="3"/>
  <c r="V295" i="3" a="1"/>
  <c r="V295" i="3"/>
  <c r="V296" i="3" a="1"/>
  <c r="V296" i="3"/>
  <c r="V297" i="3" a="1"/>
  <c r="V297" i="3"/>
  <c r="V298" i="3" a="1"/>
  <c r="V298" i="3"/>
  <c r="V299" i="3" a="1"/>
  <c r="V299" i="3"/>
  <c r="V300" i="3" a="1"/>
  <c r="V300" i="3"/>
  <c r="V302" i="3" a="1"/>
  <c r="V302" i="3"/>
  <c r="V303" i="3" a="1"/>
  <c r="V303" i="3"/>
  <c r="V304" i="3" a="1"/>
  <c r="V304" i="3"/>
  <c r="V305" i="3" a="1"/>
  <c r="V305" i="3"/>
  <c r="V306" i="3" a="1"/>
  <c r="V306" i="3"/>
  <c r="V308" i="3" a="1"/>
  <c r="V308" i="3"/>
  <c r="W279" i="3" a="1"/>
  <c r="W279" i="3"/>
  <c r="W280" i="3" a="1"/>
  <c r="W280" i="3"/>
  <c r="W282" i="3" a="1"/>
  <c r="W282" i="3"/>
  <c r="W283" i="3" a="1"/>
  <c r="W283" i="3"/>
  <c r="W284" i="3" a="1"/>
  <c r="W284" i="3"/>
  <c r="W285" i="3" a="1"/>
  <c r="W285" i="3"/>
  <c r="W286" i="3" a="1"/>
  <c r="W286" i="3"/>
  <c r="W287" i="3" a="1"/>
  <c r="W287" i="3"/>
  <c r="W288" i="3" a="1"/>
  <c r="W288" i="3"/>
  <c r="W289" i="3" a="1"/>
  <c r="W289" i="3"/>
  <c r="W290" i="3" a="1"/>
  <c r="W290" i="3"/>
  <c r="W291" i="3" a="1"/>
  <c r="W291" i="3"/>
  <c r="W292" i="3" a="1"/>
  <c r="W292" i="3"/>
  <c r="W293" i="3" a="1"/>
  <c r="W293" i="3"/>
  <c r="W294" i="3" a="1"/>
  <c r="W294" i="3"/>
  <c r="W295" i="3" a="1"/>
  <c r="W295" i="3"/>
  <c r="W296" i="3" a="1"/>
  <c r="W296" i="3"/>
  <c r="W297" i="3" a="1"/>
  <c r="W297" i="3"/>
  <c r="W298" i="3" a="1"/>
  <c r="W298" i="3"/>
  <c r="W299" i="3" a="1"/>
  <c r="W299" i="3"/>
  <c r="W300" i="3" a="1"/>
  <c r="W300" i="3"/>
  <c r="W301" i="3" a="1"/>
  <c r="W301" i="3"/>
  <c r="W302" i="3" a="1"/>
  <c r="W302" i="3"/>
  <c r="W303" i="3" a="1"/>
  <c r="W303" i="3"/>
  <c r="W304" i="3" a="1"/>
  <c r="W304" i="3"/>
  <c r="W305" i="3" a="1"/>
  <c r="W305" i="3"/>
  <c r="W306" i="3" a="1"/>
  <c r="W306" i="3"/>
  <c r="W308" i="3" a="1"/>
  <c r="W308" i="3"/>
  <c r="X279" i="3" a="1"/>
  <c r="X279" i="3"/>
  <c r="X280" i="3" a="1"/>
  <c r="X280" i="3"/>
  <c r="X282" i="3" a="1"/>
  <c r="X282" i="3"/>
  <c r="X283" i="3" a="1"/>
  <c r="X283" i="3"/>
  <c r="X284" i="3" a="1"/>
  <c r="X284" i="3"/>
  <c r="X285" i="3" a="1"/>
  <c r="X285" i="3"/>
  <c r="X286" i="3" a="1"/>
  <c r="X286" i="3"/>
  <c r="X287" i="3" a="1"/>
  <c r="X287" i="3"/>
  <c r="X288" i="3" a="1"/>
  <c r="X288" i="3"/>
  <c r="X289" i="3" a="1"/>
  <c r="X289" i="3"/>
  <c r="X290" i="3" a="1"/>
  <c r="X290" i="3"/>
  <c r="X291" i="3" a="1"/>
  <c r="X291" i="3"/>
  <c r="X292" i="3" a="1"/>
  <c r="X292" i="3"/>
  <c r="X293" i="3" a="1"/>
  <c r="X293" i="3"/>
  <c r="X294" i="3" a="1"/>
  <c r="X294" i="3"/>
  <c r="X295" i="3" a="1"/>
  <c r="X295" i="3"/>
  <c r="X296" i="3" a="1"/>
  <c r="X296" i="3"/>
  <c r="X297" i="3" a="1"/>
  <c r="X297" i="3"/>
  <c r="X298" i="3" a="1"/>
  <c r="X298" i="3"/>
  <c r="X299" i="3" a="1"/>
  <c r="X299" i="3"/>
  <c r="X300" i="3" a="1"/>
  <c r="X300" i="3"/>
  <c r="X301" i="3" a="1"/>
  <c r="X301" i="3"/>
  <c r="X302" i="3" a="1"/>
  <c r="X302" i="3"/>
  <c r="X303" i="3" a="1"/>
  <c r="X303" i="3"/>
  <c r="X304" i="3" a="1"/>
  <c r="X304" i="3"/>
  <c r="X305" i="3" a="1"/>
  <c r="X305" i="3"/>
  <c r="X306" i="3" a="1"/>
  <c r="X306" i="3"/>
  <c r="X308" i="3" a="1"/>
  <c r="X308" i="3"/>
  <c r="Y279" i="3" a="1"/>
  <c r="Y279" i="3"/>
  <c r="Y280" i="3" a="1"/>
  <c r="Y280" i="3"/>
  <c r="Y282" i="3" a="1"/>
  <c r="Y282" i="3"/>
  <c r="Y283" i="3" a="1"/>
  <c r="Y283" i="3"/>
  <c r="Y284" i="3" a="1"/>
  <c r="Y284" i="3"/>
  <c r="Y285" i="3" a="1"/>
  <c r="Y285" i="3"/>
  <c r="Y286" i="3" a="1"/>
  <c r="Y286" i="3"/>
  <c r="Y287" i="3" a="1"/>
  <c r="Y287" i="3"/>
  <c r="Y288" i="3" a="1"/>
  <c r="Y288" i="3"/>
  <c r="Y289" i="3" a="1"/>
  <c r="Y289" i="3"/>
  <c r="Y290" i="3" a="1"/>
  <c r="Y290" i="3"/>
  <c r="Y291" i="3" a="1"/>
  <c r="Y291" i="3"/>
  <c r="Y292" i="3" a="1"/>
  <c r="Y292" i="3"/>
  <c r="Y293" i="3" a="1"/>
  <c r="Y293" i="3"/>
  <c r="Y294" i="3" a="1"/>
  <c r="Y294" i="3"/>
  <c r="Y295" i="3" a="1"/>
  <c r="Y295" i="3"/>
  <c r="Y296" i="3" a="1"/>
  <c r="Y296" i="3"/>
  <c r="Y297" i="3" a="1"/>
  <c r="Y297" i="3"/>
  <c r="Y298" i="3" a="1"/>
  <c r="Y298" i="3"/>
  <c r="Y299" i="3" a="1"/>
  <c r="Y299" i="3"/>
  <c r="Y300" i="3" a="1"/>
  <c r="Y300" i="3"/>
  <c r="Y301" i="3" a="1"/>
  <c r="Y301" i="3"/>
  <c r="Y302" i="3" a="1"/>
  <c r="Y302" i="3"/>
  <c r="Y303" i="3" a="1"/>
  <c r="Y303" i="3"/>
  <c r="Y304" i="3" a="1"/>
  <c r="Y304" i="3"/>
  <c r="Y305" i="3" a="1"/>
  <c r="Y305" i="3"/>
  <c r="Y306" i="3" a="1"/>
  <c r="Y306" i="3"/>
  <c r="Y308" i="3" a="1"/>
  <c r="Y308" i="3"/>
  <c r="U279" i="3" a="1"/>
  <c r="U279" i="3"/>
  <c r="U280" i="3" a="1"/>
  <c r="U280" i="3"/>
  <c r="U282" i="3" a="1"/>
  <c r="U282" i="3"/>
  <c r="U283" i="3" a="1"/>
  <c r="U283" i="3"/>
  <c r="U284" i="3" a="1"/>
  <c r="U284" i="3"/>
  <c r="U285" i="3" a="1"/>
  <c r="U285" i="3"/>
  <c r="U286" i="3" a="1"/>
  <c r="U286" i="3"/>
  <c r="U287" i="3" a="1"/>
  <c r="U287" i="3"/>
  <c r="U288" i="3" a="1"/>
  <c r="U288" i="3"/>
  <c r="U289" i="3" a="1"/>
  <c r="U289" i="3"/>
  <c r="U290" i="3" a="1"/>
  <c r="U290" i="3"/>
  <c r="U291" i="3" a="1"/>
  <c r="U291" i="3"/>
  <c r="U292" i="3" a="1"/>
  <c r="U292" i="3"/>
  <c r="U293" i="3" a="1"/>
  <c r="U293" i="3"/>
  <c r="U294" i="3" a="1"/>
  <c r="U294" i="3"/>
  <c r="U295" i="3" a="1"/>
  <c r="U295" i="3"/>
  <c r="U296" i="3" a="1"/>
  <c r="U296" i="3"/>
  <c r="U297" i="3" a="1"/>
  <c r="U297" i="3"/>
  <c r="U298" i="3" a="1"/>
  <c r="U298" i="3"/>
  <c r="U299" i="3" a="1"/>
  <c r="U299" i="3"/>
  <c r="U300" i="3" a="1"/>
  <c r="U300" i="3"/>
  <c r="U301" i="3" a="1"/>
  <c r="U301" i="3"/>
  <c r="U302" i="3" a="1"/>
  <c r="U302" i="3"/>
  <c r="U303" i="3" a="1"/>
  <c r="U303" i="3"/>
  <c r="U304" i="3" a="1"/>
  <c r="U304" i="3"/>
  <c r="U305" i="3" a="1"/>
  <c r="U305" i="3"/>
  <c r="U306" i="3" a="1"/>
  <c r="U306" i="3"/>
  <c r="U308" i="3" a="1"/>
  <c r="U308" i="3"/>
  <c r="CI51" i="11"/>
  <c r="CI52" i="11"/>
  <c r="CI53" i="11"/>
  <c r="CI54" i="11"/>
  <c r="CI55" i="11"/>
  <c r="CI56" i="11"/>
  <c r="CI57" i="11"/>
  <c r="CI58" i="11"/>
  <c r="CI59" i="11"/>
  <c r="CI60" i="11"/>
  <c r="CI61" i="11"/>
  <c r="CI62" i="11"/>
  <c r="CI63" i="11"/>
  <c r="CI64" i="11"/>
  <c r="CI65" i="11"/>
  <c r="CI66" i="11"/>
  <c r="CI67" i="11"/>
  <c r="CI68" i="11"/>
  <c r="CI69" i="11"/>
  <c r="CI70" i="11"/>
  <c r="CI71" i="11"/>
  <c r="CI72" i="11"/>
  <c r="CI73" i="11"/>
  <c r="CI74" i="11"/>
  <c r="CI75" i="11"/>
  <c r="CI76" i="11"/>
  <c r="CI77" i="11"/>
  <c r="CI78" i="11"/>
  <c r="CI79" i="11"/>
  <c r="CI80" i="11"/>
  <c r="CI81" i="11"/>
  <c r="CI82" i="11"/>
  <c r="CI83" i="11"/>
  <c r="CI84" i="11"/>
  <c r="CI85" i="11"/>
  <c r="CI86" i="11"/>
  <c r="CI87" i="11"/>
  <c r="CI88" i="11"/>
  <c r="CI89" i="11"/>
  <c r="CI90" i="11"/>
  <c r="CI91" i="11"/>
  <c r="CI92" i="11"/>
  <c r="CI93" i="11"/>
  <c r="CI94" i="11"/>
  <c r="CI95" i="11"/>
  <c r="CI96" i="11"/>
  <c r="CI97" i="11"/>
  <c r="CI98" i="11"/>
  <c r="CI99" i="11"/>
  <c r="CI100" i="11"/>
  <c r="CI101" i="11"/>
  <c r="CI102" i="11"/>
  <c r="CI103" i="11"/>
  <c r="CI104" i="11"/>
  <c r="CI105" i="11"/>
  <c r="CI106" i="11"/>
  <c r="CI107" i="11"/>
  <c r="CI108" i="11"/>
  <c r="CI109" i="11"/>
  <c r="CI110" i="11"/>
  <c r="CI111" i="11"/>
  <c r="CI112" i="11"/>
  <c r="CI113" i="11"/>
  <c r="CI114" i="11"/>
  <c r="CI115" i="11"/>
  <c r="CI116" i="11"/>
  <c r="CI117" i="11"/>
  <c r="CI118" i="11"/>
  <c r="CI119" i="11"/>
  <c r="CI120" i="11"/>
  <c r="CI121" i="11"/>
  <c r="CI122" i="11"/>
  <c r="CI123" i="11"/>
  <c r="CI124" i="11"/>
  <c r="CI125" i="11"/>
  <c r="CI126" i="11"/>
  <c r="CI127" i="11"/>
  <c r="CI128" i="11"/>
  <c r="CI129" i="11"/>
  <c r="CI130" i="11"/>
  <c r="CI131" i="11"/>
  <c r="CI132" i="11"/>
  <c r="CI133" i="11"/>
  <c r="CI134" i="11"/>
  <c r="CI135" i="11"/>
  <c r="CI136" i="11"/>
  <c r="BX316" i="11"/>
  <c r="BY316" i="11"/>
  <c r="C157" i="11"/>
  <c r="AF324" i="11" a="1"/>
  <c r="AF324" i="11"/>
  <c r="AG324" i="11" a="1"/>
  <c r="AG324" i="11"/>
  <c r="AH324" i="11" a="1"/>
  <c r="AH324" i="11"/>
  <c r="AI324" i="11" a="1"/>
  <c r="AI324" i="11"/>
  <c r="AJ324" i="11" a="1"/>
  <c r="AJ324" i="11"/>
  <c r="AK324" i="11" a="1"/>
  <c r="AK324" i="11"/>
  <c r="AL324" i="11" a="1"/>
  <c r="AL324" i="11"/>
  <c r="AM324" i="11" a="1"/>
  <c r="AM324" i="11"/>
  <c r="AN324" i="11" a="1"/>
  <c r="AN324" i="11"/>
  <c r="AO324" i="11" a="1"/>
  <c r="AO324" i="11"/>
  <c r="AP324" i="11" a="1"/>
  <c r="AP324" i="11"/>
  <c r="AQ324" i="11" a="1"/>
  <c r="AQ324" i="11"/>
  <c r="AR324" i="11" a="1"/>
  <c r="AR324" i="11"/>
  <c r="AS324" i="11" a="1"/>
  <c r="AS324" i="11"/>
  <c r="AT324" i="11" a="1"/>
  <c r="AT324" i="11"/>
  <c r="AU324" i="11" a="1"/>
  <c r="AU324" i="11"/>
  <c r="AV324" i="11" a="1"/>
  <c r="AV324" i="11"/>
  <c r="AW324" i="11" a="1"/>
  <c r="AW324" i="11"/>
  <c r="AX324" i="11" a="1"/>
  <c r="AX324" i="11"/>
  <c r="AY324" i="11" a="1"/>
  <c r="AY324" i="11"/>
  <c r="AZ324" i="11" a="1"/>
  <c r="AZ324" i="11"/>
  <c r="BA324" i="11" a="1"/>
  <c r="BA324" i="11"/>
  <c r="BB324" i="11" a="1"/>
  <c r="BB324" i="11"/>
  <c r="BC324" i="11" a="1"/>
  <c r="BC324" i="11"/>
  <c r="BD324" i="11" a="1"/>
  <c r="BD324" i="11"/>
  <c r="BE324" i="11" a="1"/>
  <c r="BE324" i="11"/>
  <c r="BF324" i="11" a="1"/>
  <c r="BF324" i="11"/>
  <c r="BG324" i="11" a="1"/>
  <c r="BG324" i="11"/>
  <c r="BH324" i="11" a="1"/>
  <c r="BH324" i="11"/>
  <c r="BI324" i="11" a="1"/>
  <c r="BI324" i="11"/>
  <c r="BJ324" i="11" a="1"/>
  <c r="BJ324" i="11"/>
  <c r="BK324" i="11" a="1"/>
  <c r="BK324" i="11"/>
  <c r="BL324" i="11" a="1"/>
  <c r="BL324" i="11"/>
  <c r="BM324" i="11" a="1"/>
  <c r="BM324" i="11"/>
  <c r="BN324" i="11" a="1"/>
  <c r="BN324" i="11"/>
  <c r="BO324" i="11" a="1"/>
  <c r="BO324" i="11"/>
  <c r="BP324" i="11" a="1"/>
  <c r="BP324" i="11"/>
  <c r="BQ324" i="11" a="1"/>
  <c r="BQ324" i="11"/>
  <c r="BR324" i="11" a="1"/>
  <c r="BR324" i="11"/>
  <c r="BS324" i="11" a="1"/>
  <c r="BS324" i="11"/>
  <c r="BT324" i="11" a="1"/>
  <c r="BT324" i="11"/>
  <c r="BU324" i="11" a="1"/>
  <c r="BU324" i="11"/>
  <c r="BV324" i="11" a="1"/>
  <c r="BV324" i="11"/>
  <c r="BW324" i="11" a="1"/>
  <c r="BW324" i="11"/>
  <c r="BX324" i="11" a="1"/>
  <c r="BX324" i="11"/>
  <c r="U91" i="3"/>
  <c r="AF325" i="11" a="1"/>
  <c r="AF325" i="11"/>
  <c r="AG325" i="11" a="1"/>
  <c r="AG325" i="11"/>
  <c r="AH325" i="11" a="1"/>
  <c r="AH325" i="11"/>
  <c r="AI325" i="11" a="1"/>
  <c r="AI325" i="11"/>
  <c r="AJ325" i="11" a="1"/>
  <c r="AJ325" i="11"/>
  <c r="AK325" i="11" a="1"/>
  <c r="AK325" i="11"/>
  <c r="AL325" i="11" a="1"/>
  <c r="AL325" i="11"/>
  <c r="AM325" i="11" a="1"/>
  <c r="AM325" i="11"/>
  <c r="AN325" i="11" a="1"/>
  <c r="AN325" i="11"/>
  <c r="AO325" i="11" a="1"/>
  <c r="AO325" i="11"/>
  <c r="AP325" i="11" a="1"/>
  <c r="AP325" i="11"/>
  <c r="AQ325" i="11" a="1"/>
  <c r="AQ325" i="11"/>
  <c r="AR325" i="11" a="1"/>
  <c r="AR325" i="11"/>
  <c r="AS325" i="11" a="1"/>
  <c r="AS325" i="11"/>
  <c r="AT325" i="11" a="1"/>
  <c r="AT325" i="11"/>
  <c r="AU325" i="11" a="1"/>
  <c r="AU325" i="11"/>
  <c r="AV325" i="11" a="1"/>
  <c r="AV325" i="11"/>
  <c r="AW325" i="11" a="1"/>
  <c r="AW325" i="11"/>
  <c r="AX325" i="11" a="1"/>
  <c r="AX325" i="11"/>
  <c r="AY325" i="11" a="1"/>
  <c r="AY325" i="11"/>
  <c r="AZ325" i="11" a="1"/>
  <c r="AZ325" i="11"/>
  <c r="BA325" i="11" a="1"/>
  <c r="BA325" i="11"/>
  <c r="BB325" i="11" a="1"/>
  <c r="BB325" i="11"/>
  <c r="BC325" i="11" a="1"/>
  <c r="BC325" i="11"/>
  <c r="BD325" i="11" a="1"/>
  <c r="BD325" i="11"/>
  <c r="BE325" i="11" a="1"/>
  <c r="BE325" i="11"/>
  <c r="BF325" i="11" a="1"/>
  <c r="BF325" i="11"/>
  <c r="BG325" i="11" a="1"/>
  <c r="BG325" i="11"/>
  <c r="BH325" i="11" a="1"/>
  <c r="BH325" i="11"/>
  <c r="BI325" i="11" a="1"/>
  <c r="BI325" i="11"/>
  <c r="BJ325" i="11" a="1"/>
  <c r="BJ325" i="11"/>
  <c r="BK325" i="11" a="1"/>
  <c r="BK325" i="11"/>
  <c r="BL325" i="11" a="1"/>
  <c r="BL325" i="11"/>
  <c r="BM325" i="11" a="1"/>
  <c r="BM325" i="11"/>
  <c r="BN325" i="11" a="1"/>
  <c r="BN325" i="11"/>
  <c r="BO325" i="11" a="1"/>
  <c r="BO325" i="11"/>
  <c r="BP325" i="11" a="1"/>
  <c r="BP325" i="11"/>
  <c r="BQ325" i="11" a="1"/>
  <c r="BQ325" i="11"/>
  <c r="BR325" i="11" a="1"/>
  <c r="BR325" i="11"/>
  <c r="BS325" i="11" a="1"/>
  <c r="BS325" i="11"/>
  <c r="BT325" i="11" a="1"/>
  <c r="BT325" i="11"/>
  <c r="BU325" i="11" a="1"/>
  <c r="BU325" i="11"/>
  <c r="BV325" i="11" a="1"/>
  <c r="BV325" i="11"/>
  <c r="BW325" i="11" a="1"/>
  <c r="BW325" i="11"/>
  <c r="BX325" i="11" a="1"/>
  <c r="BX325" i="11"/>
  <c r="V91" i="3"/>
  <c r="AF326" i="11" a="1"/>
  <c r="AF326" i="11"/>
  <c r="AG326" i="11" a="1"/>
  <c r="AG326" i="11"/>
  <c r="AH326" i="11" a="1"/>
  <c r="AH326" i="11"/>
  <c r="AI326" i="11" a="1"/>
  <c r="AI326" i="11"/>
  <c r="AJ326" i="11" a="1"/>
  <c r="AJ326" i="11"/>
  <c r="AK326" i="11" a="1"/>
  <c r="AK326" i="11"/>
  <c r="AL326" i="11" a="1"/>
  <c r="AL326" i="11"/>
  <c r="AM326" i="11" a="1"/>
  <c r="AM326" i="11"/>
  <c r="AN326" i="11" a="1"/>
  <c r="AN326" i="11"/>
  <c r="AO326" i="11" a="1"/>
  <c r="AO326" i="11"/>
  <c r="AP326" i="11" a="1"/>
  <c r="AP326" i="11"/>
  <c r="AQ326" i="11" a="1"/>
  <c r="AQ326" i="11"/>
  <c r="AR326" i="11" a="1"/>
  <c r="AR326" i="11"/>
  <c r="AS326" i="11" a="1"/>
  <c r="AS326" i="11"/>
  <c r="AT326" i="11" a="1"/>
  <c r="AT326" i="11"/>
  <c r="AU326" i="11" a="1"/>
  <c r="AU326" i="11"/>
  <c r="AV326" i="11" a="1"/>
  <c r="AV326" i="11"/>
  <c r="AW326" i="11" a="1"/>
  <c r="AW326" i="11"/>
  <c r="AX326" i="11" a="1"/>
  <c r="AX326" i="11"/>
  <c r="AY326" i="11" a="1"/>
  <c r="AY326" i="11"/>
  <c r="AZ326" i="11" a="1"/>
  <c r="AZ326" i="11"/>
  <c r="BA326" i="11" a="1"/>
  <c r="BA326" i="11"/>
  <c r="BB326" i="11" a="1"/>
  <c r="BB326" i="11"/>
  <c r="BC326" i="11" a="1"/>
  <c r="BC326" i="11"/>
  <c r="BD326" i="11" a="1"/>
  <c r="BD326" i="11"/>
  <c r="BE326" i="11" a="1"/>
  <c r="BE326" i="11"/>
  <c r="BF326" i="11" a="1"/>
  <c r="BF326" i="11"/>
  <c r="BG326" i="11" a="1"/>
  <c r="BG326" i="11"/>
  <c r="BH326" i="11" a="1"/>
  <c r="BH326" i="11"/>
  <c r="BI326" i="11" a="1"/>
  <c r="BI326" i="11"/>
  <c r="BJ326" i="11" a="1"/>
  <c r="BJ326" i="11"/>
  <c r="BK326" i="11" a="1"/>
  <c r="BK326" i="11"/>
  <c r="BL326" i="11" a="1"/>
  <c r="BL326" i="11"/>
  <c r="BM326" i="11" a="1"/>
  <c r="BM326" i="11"/>
  <c r="BN326" i="11" a="1"/>
  <c r="BN326" i="11"/>
  <c r="BO326" i="11" a="1"/>
  <c r="BO326" i="11"/>
  <c r="BP326" i="11" a="1"/>
  <c r="BP326" i="11"/>
  <c r="BQ326" i="11" a="1"/>
  <c r="BQ326" i="11"/>
  <c r="BR326" i="11" a="1"/>
  <c r="BR326" i="11"/>
  <c r="BS326" i="11" a="1"/>
  <c r="BS326" i="11"/>
  <c r="BT326" i="11" a="1"/>
  <c r="BT326" i="11"/>
  <c r="BU326" i="11" a="1"/>
  <c r="BU326" i="11"/>
  <c r="BV326" i="11" a="1"/>
  <c r="BV326" i="11"/>
  <c r="BW326" i="11" a="1"/>
  <c r="BW326" i="11"/>
  <c r="BX326" i="11" a="1"/>
  <c r="BX326" i="11"/>
  <c r="W91" i="3"/>
  <c r="AF327" i="11" a="1"/>
  <c r="AF327" i="11"/>
  <c r="AG327" i="11" a="1"/>
  <c r="AG327" i="11"/>
  <c r="AH327" i="11" a="1"/>
  <c r="AH327" i="11"/>
  <c r="AI327" i="11" a="1"/>
  <c r="AI327" i="11"/>
  <c r="AJ327" i="11" a="1"/>
  <c r="AJ327" i="11"/>
  <c r="AK327" i="11" a="1"/>
  <c r="AK327" i="11"/>
  <c r="AL327" i="11" a="1"/>
  <c r="AL327" i="11"/>
  <c r="AM327" i="11" a="1"/>
  <c r="AM327" i="11"/>
  <c r="AN327" i="11" a="1"/>
  <c r="AN327" i="11"/>
  <c r="AO327" i="11" a="1"/>
  <c r="AO327" i="11"/>
  <c r="AP327" i="11" a="1"/>
  <c r="AP327" i="11"/>
  <c r="AQ327" i="11" a="1"/>
  <c r="AQ327" i="11"/>
  <c r="AR327" i="11" a="1"/>
  <c r="AR327" i="11"/>
  <c r="AS327" i="11" a="1"/>
  <c r="AS327" i="11"/>
  <c r="AT327" i="11" a="1"/>
  <c r="AT327" i="11"/>
  <c r="AU327" i="11" a="1"/>
  <c r="AU327" i="11"/>
  <c r="AV327" i="11" a="1"/>
  <c r="AV327" i="11"/>
  <c r="AW327" i="11" a="1"/>
  <c r="AW327" i="11"/>
  <c r="AX327" i="11" a="1"/>
  <c r="AX327" i="11"/>
  <c r="AY327" i="11" a="1"/>
  <c r="AY327" i="11"/>
  <c r="AZ327" i="11" a="1"/>
  <c r="AZ327" i="11"/>
  <c r="BA327" i="11" a="1"/>
  <c r="BA327" i="11"/>
  <c r="BB327" i="11" a="1"/>
  <c r="BB327" i="11"/>
  <c r="BC327" i="11" a="1"/>
  <c r="BC327" i="11"/>
  <c r="BD327" i="11" a="1"/>
  <c r="BD327" i="11"/>
  <c r="BE327" i="11" a="1"/>
  <c r="BE327" i="11"/>
  <c r="BF327" i="11" a="1"/>
  <c r="BF327" i="11"/>
  <c r="BG327" i="11" a="1"/>
  <c r="BG327" i="11"/>
  <c r="BH327" i="11" a="1"/>
  <c r="BH327" i="11"/>
  <c r="BI327" i="11" a="1"/>
  <c r="BI327" i="11"/>
  <c r="BJ327" i="11" a="1"/>
  <c r="BJ327" i="11"/>
  <c r="BK327" i="11" a="1"/>
  <c r="BK327" i="11"/>
  <c r="BL327" i="11" a="1"/>
  <c r="BL327" i="11"/>
  <c r="BM327" i="11" a="1"/>
  <c r="BM327" i="11"/>
  <c r="BN327" i="11" a="1"/>
  <c r="BN327" i="11"/>
  <c r="BO327" i="11" a="1"/>
  <c r="BO327" i="11"/>
  <c r="BP327" i="11" a="1"/>
  <c r="BP327" i="11"/>
  <c r="BQ327" i="11" a="1"/>
  <c r="BQ327" i="11"/>
  <c r="BR327" i="11" a="1"/>
  <c r="BR327" i="11"/>
  <c r="BS327" i="11" a="1"/>
  <c r="BS327" i="11"/>
  <c r="BT327" i="11" a="1"/>
  <c r="BT327" i="11"/>
  <c r="BU327" i="11" a="1"/>
  <c r="BU327" i="11"/>
  <c r="BV327" i="11" a="1"/>
  <c r="BV327" i="11"/>
  <c r="BW327" i="11" a="1"/>
  <c r="BW327" i="11"/>
  <c r="BX327" i="11" a="1"/>
  <c r="BX327" i="11"/>
  <c r="X91" i="3"/>
  <c r="AF328" i="11" a="1"/>
  <c r="AF328" i="11"/>
  <c r="AG328" i="11" a="1"/>
  <c r="AG328" i="11"/>
  <c r="AH328" i="11" a="1"/>
  <c r="AH328" i="11"/>
  <c r="AI328" i="11" a="1"/>
  <c r="AI328" i="11"/>
  <c r="AJ328" i="11" a="1"/>
  <c r="AJ328" i="11"/>
  <c r="AK328" i="11" a="1"/>
  <c r="AK328" i="11"/>
  <c r="AL328" i="11" a="1"/>
  <c r="AL328" i="11"/>
  <c r="AM328" i="11" a="1"/>
  <c r="AM328" i="11"/>
  <c r="AN328" i="11" a="1"/>
  <c r="AN328" i="11"/>
  <c r="AO328" i="11" a="1"/>
  <c r="AO328" i="11"/>
  <c r="AP328" i="11" a="1"/>
  <c r="AP328" i="11"/>
  <c r="AQ328" i="11" a="1"/>
  <c r="AQ328" i="11"/>
  <c r="AR328" i="11" a="1"/>
  <c r="AR328" i="11"/>
  <c r="AS328" i="11" a="1"/>
  <c r="AS328" i="11"/>
  <c r="AT328" i="11" a="1"/>
  <c r="AT328" i="11"/>
  <c r="AU328" i="11" a="1"/>
  <c r="AU328" i="11"/>
  <c r="AV328" i="11" a="1"/>
  <c r="AV328" i="11"/>
  <c r="AW328" i="11" a="1"/>
  <c r="AW328" i="11"/>
  <c r="AX328" i="11" a="1"/>
  <c r="AX328" i="11"/>
  <c r="AY328" i="11" a="1"/>
  <c r="AY328" i="11"/>
  <c r="AZ328" i="11" a="1"/>
  <c r="AZ328" i="11"/>
  <c r="BA328" i="11" a="1"/>
  <c r="BA328" i="11"/>
  <c r="BB328" i="11" a="1"/>
  <c r="BB328" i="11"/>
  <c r="BC328" i="11" a="1"/>
  <c r="BC328" i="11"/>
  <c r="BD328" i="11" a="1"/>
  <c r="BD328" i="11"/>
  <c r="BE328" i="11" a="1"/>
  <c r="BE328" i="11"/>
  <c r="BF328" i="11" a="1"/>
  <c r="BF328" i="11"/>
  <c r="BG328" i="11" a="1"/>
  <c r="BG328" i="11"/>
  <c r="BH328" i="11" a="1"/>
  <c r="BH328" i="11"/>
  <c r="BI328" i="11" a="1"/>
  <c r="BI328" i="11"/>
  <c r="BJ328" i="11" a="1"/>
  <c r="BJ328" i="11"/>
  <c r="BK328" i="11" a="1"/>
  <c r="BK328" i="11"/>
  <c r="BL328" i="11" a="1"/>
  <c r="BL328" i="11"/>
  <c r="BM328" i="11" a="1"/>
  <c r="BM328" i="11"/>
  <c r="BN328" i="11" a="1"/>
  <c r="BN328" i="11"/>
  <c r="BO328" i="11" a="1"/>
  <c r="BO328" i="11"/>
  <c r="BP328" i="11" a="1"/>
  <c r="BP328" i="11"/>
  <c r="BQ328" i="11" a="1"/>
  <c r="BQ328" i="11"/>
  <c r="BR328" i="11" a="1"/>
  <c r="BR328" i="11"/>
  <c r="BS328" i="11" a="1"/>
  <c r="BS328" i="11"/>
  <c r="BT328" i="11" a="1"/>
  <c r="BT328" i="11"/>
  <c r="BU328" i="11" a="1"/>
  <c r="BU328" i="11"/>
  <c r="BV328" i="11" a="1"/>
  <c r="BV328" i="11"/>
  <c r="BW328" i="11" a="1"/>
  <c r="BW328" i="11"/>
  <c r="BX328" i="11" a="1"/>
  <c r="BX328" i="11"/>
  <c r="Y91" i="3"/>
  <c r="AF329" i="11" a="1"/>
  <c r="AF329" i="11"/>
  <c r="AG329" i="11" a="1"/>
  <c r="AG329" i="11"/>
  <c r="AH329" i="11" a="1"/>
  <c r="AH329" i="11"/>
  <c r="AI329" i="11" a="1"/>
  <c r="AI329" i="11"/>
  <c r="AJ329" i="11" a="1"/>
  <c r="AJ329" i="11"/>
  <c r="AK329" i="11" a="1"/>
  <c r="AK329" i="11"/>
  <c r="AL329" i="11" a="1"/>
  <c r="AL329" i="11"/>
  <c r="AM329" i="11" a="1"/>
  <c r="AM329" i="11"/>
  <c r="AN329" i="11" a="1"/>
  <c r="AN329" i="11"/>
  <c r="AO329" i="11" a="1"/>
  <c r="AO329" i="11"/>
  <c r="AP329" i="11" a="1"/>
  <c r="AP329" i="11"/>
  <c r="AQ329" i="11" a="1"/>
  <c r="AQ329" i="11"/>
  <c r="AR329" i="11" a="1"/>
  <c r="AR329" i="11"/>
  <c r="AS329" i="11" a="1"/>
  <c r="AS329" i="11"/>
  <c r="AT329" i="11" a="1"/>
  <c r="AT329" i="11"/>
  <c r="AU329" i="11" a="1"/>
  <c r="AU329" i="11"/>
  <c r="AV329" i="11" a="1"/>
  <c r="AV329" i="11"/>
  <c r="AW329" i="11" a="1"/>
  <c r="AW329" i="11"/>
  <c r="AX329" i="11" a="1"/>
  <c r="AX329" i="11"/>
  <c r="AY329" i="11" a="1"/>
  <c r="AY329" i="11"/>
  <c r="AZ329" i="11" a="1"/>
  <c r="AZ329" i="11"/>
  <c r="BA329" i="11" a="1"/>
  <c r="BA329" i="11"/>
  <c r="BB329" i="11" a="1"/>
  <c r="BB329" i="11"/>
  <c r="BC329" i="11" a="1"/>
  <c r="BC329" i="11"/>
  <c r="BD329" i="11" a="1"/>
  <c r="BD329" i="11"/>
  <c r="BE329" i="11" a="1"/>
  <c r="BE329" i="11"/>
  <c r="BF329" i="11" a="1"/>
  <c r="BF329" i="11"/>
  <c r="BG329" i="11" a="1"/>
  <c r="BG329" i="11"/>
  <c r="BH329" i="11" a="1"/>
  <c r="BH329" i="11"/>
  <c r="BI329" i="11" a="1"/>
  <c r="BI329" i="11"/>
  <c r="BJ329" i="11" a="1"/>
  <c r="BJ329" i="11"/>
  <c r="BK329" i="11" a="1"/>
  <c r="BK329" i="11"/>
  <c r="BL329" i="11" a="1"/>
  <c r="BL329" i="11"/>
  <c r="BM329" i="11" a="1"/>
  <c r="BM329" i="11"/>
  <c r="BN329" i="11" a="1"/>
  <c r="BN329" i="11"/>
  <c r="BO329" i="11" a="1"/>
  <c r="BO329" i="11"/>
  <c r="BP329" i="11" a="1"/>
  <c r="BP329" i="11"/>
  <c r="BQ329" i="11" a="1"/>
  <c r="BQ329" i="11"/>
  <c r="BR329" i="11" a="1"/>
  <c r="BR329" i="11"/>
  <c r="BS329" i="11" a="1"/>
  <c r="BS329" i="11"/>
  <c r="BT329" i="11" a="1"/>
  <c r="BT329" i="11"/>
  <c r="BU329" i="11" a="1"/>
  <c r="BU329" i="11"/>
  <c r="BV329" i="11" a="1"/>
  <c r="BV329" i="11"/>
  <c r="BW329" i="11" a="1"/>
  <c r="BW329" i="11"/>
  <c r="BX329" i="11" a="1"/>
  <c r="BX329" i="11"/>
  <c r="W324" i="11" a="1"/>
  <c r="W324" i="11"/>
  <c r="X324" i="11" a="1"/>
  <c r="X324" i="11"/>
  <c r="Y324" i="11" a="1"/>
  <c r="Y324" i="11"/>
  <c r="Z324" i="11" a="1"/>
  <c r="Z324" i="11"/>
  <c r="AA324" i="11" a="1"/>
  <c r="AA324" i="11"/>
  <c r="AB324" i="11" a="1"/>
  <c r="AB324" i="11"/>
  <c r="AC324" i="11" a="1"/>
  <c r="AC324" i="11"/>
  <c r="AD324" i="11" a="1"/>
  <c r="AD324" i="11"/>
  <c r="AE324" i="11" a="1"/>
  <c r="AE324" i="11"/>
  <c r="W325" i="11" a="1"/>
  <c r="W325" i="11"/>
  <c r="X325" i="11" a="1"/>
  <c r="X325" i="11"/>
  <c r="Y325" i="11" a="1"/>
  <c r="Y325" i="11"/>
  <c r="Z325" i="11" a="1"/>
  <c r="Z325" i="11"/>
  <c r="AA325" i="11" a="1"/>
  <c r="AA325" i="11"/>
  <c r="AB325" i="11" a="1"/>
  <c r="AB325" i="11"/>
  <c r="AC325" i="11" a="1"/>
  <c r="AC325" i="11"/>
  <c r="AD325" i="11" a="1"/>
  <c r="AD325" i="11"/>
  <c r="AE325" i="11" a="1"/>
  <c r="AE325" i="11"/>
  <c r="W326" i="11" a="1"/>
  <c r="W326" i="11"/>
  <c r="X326" i="11" a="1"/>
  <c r="X326" i="11"/>
  <c r="Y326" i="11" a="1"/>
  <c r="Y326" i="11"/>
  <c r="Z326" i="11" a="1"/>
  <c r="Z326" i="11"/>
  <c r="AA326" i="11" a="1"/>
  <c r="AA326" i="11"/>
  <c r="AB326" i="11" a="1"/>
  <c r="AB326" i="11"/>
  <c r="AC326" i="11" a="1"/>
  <c r="AC326" i="11"/>
  <c r="AD326" i="11" a="1"/>
  <c r="AD326" i="11"/>
  <c r="AE326" i="11" a="1"/>
  <c r="AE326" i="11"/>
  <c r="W327" i="11" a="1"/>
  <c r="W327" i="11"/>
  <c r="X327" i="11" a="1"/>
  <c r="X327" i="11"/>
  <c r="Y327" i="11" a="1"/>
  <c r="Y327" i="11"/>
  <c r="Z327" i="11" a="1"/>
  <c r="Z327" i="11"/>
  <c r="AA327" i="11" a="1"/>
  <c r="AA327" i="11"/>
  <c r="AB327" i="11" a="1"/>
  <c r="AB327" i="11"/>
  <c r="AC327" i="11" a="1"/>
  <c r="AC327" i="11"/>
  <c r="AD327" i="11" a="1"/>
  <c r="AD327" i="11"/>
  <c r="AE327" i="11" a="1"/>
  <c r="AE327" i="11"/>
  <c r="W328" i="11" a="1"/>
  <c r="W328" i="11"/>
  <c r="X328" i="11" a="1"/>
  <c r="X328" i="11"/>
  <c r="Y328" i="11" a="1"/>
  <c r="Y328" i="11"/>
  <c r="Z328" i="11" a="1"/>
  <c r="Z328" i="11"/>
  <c r="AA328" i="11" a="1"/>
  <c r="AA328" i="11"/>
  <c r="AB328" i="11" a="1"/>
  <c r="AB328" i="11"/>
  <c r="AC328" i="11" a="1"/>
  <c r="AC328" i="11"/>
  <c r="AD328" i="11" a="1"/>
  <c r="AD328" i="11"/>
  <c r="AE328" i="11" a="1"/>
  <c r="AE328" i="11"/>
  <c r="W329" i="11" a="1"/>
  <c r="W329" i="11"/>
  <c r="X329" i="11" a="1"/>
  <c r="X329" i="11"/>
  <c r="Y329" i="11" a="1"/>
  <c r="Y329" i="11"/>
  <c r="Z329" i="11" a="1"/>
  <c r="Z329" i="11"/>
  <c r="AA329" i="11" a="1"/>
  <c r="AA329" i="11"/>
  <c r="AB329" i="11" a="1"/>
  <c r="AB329" i="11"/>
  <c r="AC329" i="11" a="1"/>
  <c r="AC329" i="11"/>
  <c r="AD329" i="11" a="1"/>
  <c r="AD329" i="11"/>
  <c r="AE329" i="11" a="1"/>
  <c r="AE329" i="11"/>
  <c r="B489" i="11"/>
  <c r="A489" i="11"/>
  <c r="C489" i="11"/>
  <c r="C324" i="11" a="1"/>
  <c r="C324" i="11"/>
  <c r="E324" i="11" a="1"/>
  <c r="E324" i="11"/>
  <c r="F324" i="11" a="1"/>
  <c r="F324" i="11"/>
  <c r="G324" i="11" a="1"/>
  <c r="G324" i="11"/>
  <c r="H324" i="11" a="1"/>
  <c r="H324" i="11"/>
  <c r="I324" i="11" a="1"/>
  <c r="I324" i="11"/>
  <c r="J324" i="11" a="1"/>
  <c r="J324" i="11"/>
  <c r="K324" i="11" a="1"/>
  <c r="K324" i="11"/>
  <c r="L324" i="11" a="1"/>
  <c r="L324" i="11"/>
  <c r="M324" i="11" a="1"/>
  <c r="M324" i="11"/>
  <c r="N324" i="11" a="1"/>
  <c r="N324" i="11"/>
  <c r="O324" i="11" a="1"/>
  <c r="O324" i="11"/>
  <c r="P324" i="11" a="1"/>
  <c r="P324" i="11"/>
  <c r="Q324" i="11" a="1"/>
  <c r="Q324" i="11"/>
  <c r="R324" i="11" a="1"/>
  <c r="R324" i="11"/>
  <c r="S324" i="11" a="1"/>
  <c r="S324" i="11"/>
  <c r="T324" i="11" a="1"/>
  <c r="T324" i="11"/>
  <c r="U324" i="11" a="1"/>
  <c r="U324" i="11"/>
  <c r="C325" i="11" a="1"/>
  <c r="C325" i="11"/>
  <c r="E325" i="11" a="1"/>
  <c r="E325" i="11"/>
  <c r="F325" i="11" a="1"/>
  <c r="F325" i="11"/>
  <c r="G325" i="11" a="1"/>
  <c r="G325" i="11"/>
  <c r="H325" i="11" a="1"/>
  <c r="H325" i="11"/>
  <c r="I325" i="11" a="1"/>
  <c r="I325" i="11"/>
  <c r="J325" i="11" a="1"/>
  <c r="J325" i="11"/>
  <c r="K325" i="11" a="1"/>
  <c r="K325" i="11"/>
  <c r="L325" i="11" a="1"/>
  <c r="L325" i="11"/>
  <c r="M325" i="11" a="1"/>
  <c r="M325" i="11"/>
  <c r="N325" i="11" a="1"/>
  <c r="N325" i="11"/>
  <c r="O325" i="11" a="1"/>
  <c r="O325" i="11"/>
  <c r="P325" i="11" a="1"/>
  <c r="P325" i="11"/>
  <c r="Q325" i="11" a="1"/>
  <c r="Q325" i="11"/>
  <c r="R325" i="11" a="1"/>
  <c r="R325" i="11"/>
  <c r="S325" i="11" a="1"/>
  <c r="S325" i="11"/>
  <c r="T325" i="11" a="1"/>
  <c r="T325" i="11"/>
  <c r="U325" i="11" a="1"/>
  <c r="U325" i="11"/>
  <c r="C326" i="11" a="1"/>
  <c r="C326" i="11"/>
  <c r="E326" i="11" a="1"/>
  <c r="E326" i="11"/>
  <c r="F326" i="11" a="1"/>
  <c r="F326" i="11"/>
  <c r="G326" i="11" a="1"/>
  <c r="G326" i="11"/>
  <c r="H326" i="11" a="1"/>
  <c r="H326" i="11"/>
  <c r="I326" i="11" a="1"/>
  <c r="I326" i="11"/>
  <c r="J326" i="11" a="1"/>
  <c r="J326" i="11"/>
  <c r="K326" i="11" a="1"/>
  <c r="K326" i="11"/>
  <c r="L326" i="11" a="1"/>
  <c r="L326" i="11"/>
  <c r="M326" i="11" a="1"/>
  <c r="M326" i="11"/>
  <c r="N326" i="11" a="1"/>
  <c r="N326" i="11"/>
  <c r="O326" i="11" a="1"/>
  <c r="O326" i="11"/>
  <c r="P326" i="11" a="1"/>
  <c r="P326" i="11"/>
  <c r="Q326" i="11" a="1"/>
  <c r="Q326" i="11"/>
  <c r="R326" i="11" a="1"/>
  <c r="R326" i="11"/>
  <c r="S326" i="11" a="1"/>
  <c r="S326" i="11"/>
  <c r="T326" i="11" a="1"/>
  <c r="T326" i="11"/>
  <c r="U326" i="11" a="1"/>
  <c r="U326" i="11"/>
  <c r="C327" i="11" a="1"/>
  <c r="C327" i="11"/>
  <c r="E327" i="11" a="1"/>
  <c r="E327" i="11"/>
  <c r="F327" i="11" a="1"/>
  <c r="F327" i="11"/>
  <c r="G327" i="11" a="1"/>
  <c r="G327" i="11"/>
  <c r="H327" i="11" a="1"/>
  <c r="H327" i="11"/>
  <c r="I327" i="11" a="1"/>
  <c r="I327" i="11"/>
  <c r="J327" i="11" a="1"/>
  <c r="J327" i="11"/>
  <c r="K327" i="11" a="1"/>
  <c r="K327" i="11"/>
  <c r="L327" i="11" a="1"/>
  <c r="L327" i="11"/>
  <c r="M327" i="11" a="1"/>
  <c r="M327" i="11"/>
  <c r="N327" i="11" a="1"/>
  <c r="N327" i="11"/>
  <c r="O327" i="11" a="1"/>
  <c r="O327" i="11"/>
  <c r="P327" i="11" a="1"/>
  <c r="P327" i="11"/>
  <c r="Q327" i="11" a="1"/>
  <c r="Q327" i="11"/>
  <c r="R327" i="11" a="1"/>
  <c r="R327" i="11"/>
  <c r="S327" i="11" a="1"/>
  <c r="S327" i="11"/>
  <c r="T327" i="11" a="1"/>
  <c r="T327" i="11"/>
  <c r="U327" i="11" a="1"/>
  <c r="U327" i="11"/>
  <c r="C328" i="11" a="1"/>
  <c r="C328" i="11"/>
  <c r="E328" i="11" a="1"/>
  <c r="E328" i="11"/>
  <c r="F328" i="11" a="1"/>
  <c r="F328" i="11"/>
  <c r="G328" i="11" a="1"/>
  <c r="G328" i="11"/>
  <c r="H328" i="11" a="1"/>
  <c r="H328" i="11"/>
  <c r="I328" i="11" a="1"/>
  <c r="I328" i="11"/>
  <c r="J328" i="11" a="1"/>
  <c r="J328" i="11"/>
  <c r="K328" i="11" a="1"/>
  <c r="K328" i="11"/>
  <c r="L328" i="11" a="1"/>
  <c r="L328" i="11"/>
  <c r="M328" i="11" a="1"/>
  <c r="M328" i="11"/>
  <c r="N328" i="11" a="1"/>
  <c r="N328" i="11"/>
  <c r="O328" i="11" a="1"/>
  <c r="O328" i="11"/>
  <c r="P328" i="11" a="1"/>
  <c r="P328" i="11"/>
  <c r="Q328" i="11" a="1"/>
  <c r="Q328" i="11"/>
  <c r="R328" i="11" a="1"/>
  <c r="R328" i="11"/>
  <c r="S328" i="11" a="1"/>
  <c r="S328" i="11"/>
  <c r="T328" i="11" a="1"/>
  <c r="T328" i="11"/>
  <c r="U328" i="11" a="1"/>
  <c r="U328" i="11"/>
  <c r="C329" i="11" a="1"/>
  <c r="C329" i="11"/>
  <c r="E329" i="11" a="1"/>
  <c r="E329" i="11"/>
  <c r="F329" i="11" a="1"/>
  <c r="F329" i="11"/>
  <c r="G329" i="11" a="1"/>
  <c r="G329" i="11"/>
  <c r="H329" i="11" a="1"/>
  <c r="H329" i="11"/>
  <c r="I329" i="11" a="1"/>
  <c r="I329" i="11"/>
  <c r="J329" i="11" a="1"/>
  <c r="J329" i="11"/>
  <c r="K329" i="11" a="1"/>
  <c r="K329" i="11"/>
  <c r="L329" i="11" a="1"/>
  <c r="L329" i="11"/>
  <c r="M329" i="11" a="1"/>
  <c r="M329" i="11"/>
  <c r="N329" i="11" a="1"/>
  <c r="N329" i="11"/>
  <c r="O329" i="11" a="1"/>
  <c r="O329" i="11"/>
  <c r="P329" i="11" a="1"/>
  <c r="P329" i="11"/>
  <c r="Q329" i="11" a="1"/>
  <c r="Q329" i="11"/>
  <c r="R329" i="11" a="1"/>
  <c r="R329" i="11"/>
  <c r="S329" i="11" a="1"/>
  <c r="S329" i="11"/>
  <c r="T329" i="11" a="1"/>
  <c r="T329" i="11"/>
  <c r="U329" i="11" a="1"/>
  <c r="U329" i="11"/>
  <c r="C429" i="10" a="1"/>
  <c r="C429" i="10"/>
  <c r="D429" i="10" a="1"/>
  <c r="D429" i="10"/>
  <c r="E429" i="10" a="1"/>
  <c r="E429" i="10"/>
  <c r="F429" i="10" a="1"/>
  <c r="F429" i="10"/>
  <c r="G429" i="10" a="1"/>
  <c r="G429" i="10"/>
  <c r="H429" i="10" a="1"/>
  <c r="H429" i="10"/>
  <c r="I429" i="10" a="1"/>
  <c r="I429" i="10"/>
  <c r="J429" i="10" a="1"/>
  <c r="J429" i="10"/>
  <c r="K429" i="10" a="1"/>
  <c r="K429" i="10"/>
  <c r="L429" i="10" a="1"/>
  <c r="L429" i="10"/>
  <c r="M429" i="10" a="1"/>
  <c r="M429" i="10"/>
  <c r="N429" i="10" a="1"/>
  <c r="N429" i="10"/>
  <c r="O429" i="10" a="1"/>
  <c r="O429" i="10"/>
  <c r="P429" i="10" a="1"/>
  <c r="P429" i="10"/>
  <c r="Q429" i="10" a="1"/>
  <c r="Q429" i="10"/>
  <c r="R429" i="10" a="1"/>
  <c r="R429" i="10"/>
  <c r="S429" i="10" a="1"/>
  <c r="S429" i="10"/>
  <c r="T429" i="10" a="1"/>
  <c r="T429" i="10"/>
  <c r="U429" i="10" a="1"/>
  <c r="U429" i="10"/>
  <c r="V429" i="10" a="1"/>
  <c r="V429" i="10"/>
  <c r="W429" i="10" a="1"/>
  <c r="W429" i="10"/>
  <c r="X429" i="10" a="1"/>
  <c r="X429" i="10"/>
  <c r="Y429" i="10" a="1"/>
  <c r="Y429" i="10"/>
  <c r="Z429" i="10" a="1"/>
  <c r="Z429" i="10"/>
  <c r="AA429" i="10" a="1"/>
  <c r="AA429" i="10"/>
  <c r="AB429" i="10" a="1"/>
  <c r="AB429" i="10"/>
  <c r="AC429" i="10" a="1"/>
  <c r="AC429" i="10"/>
  <c r="BX429" i="10" a="1"/>
  <c r="BX429" i="10"/>
  <c r="BY429" i="10" a="1"/>
  <c r="BY429" i="10"/>
  <c r="C430" i="10" a="1"/>
  <c r="C430" i="10"/>
  <c r="D430" i="10" a="1"/>
  <c r="D430" i="10"/>
  <c r="E430" i="10" a="1"/>
  <c r="E430" i="10"/>
  <c r="F430" i="10" a="1"/>
  <c r="F430" i="10"/>
  <c r="G430" i="10" a="1"/>
  <c r="G430" i="10"/>
  <c r="H430" i="10" a="1"/>
  <c r="H430" i="10"/>
  <c r="I430" i="10" a="1"/>
  <c r="I430" i="10"/>
  <c r="J430" i="10" a="1"/>
  <c r="J430" i="10"/>
  <c r="K430" i="10" a="1"/>
  <c r="K430" i="10"/>
  <c r="L430" i="10" a="1"/>
  <c r="L430" i="10"/>
  <c r="M430" i="10" a="1"/>
  <c r="M430" i="10"/>
  <c r="N430" i="10" a="1"/>
  <c r="N430" i="10"/>
  <c r="O430" i="10" a="1"/>
  <c r="O430" i="10"/>
  <c r="P430" i="10" a="1"/>
  <c r="P430" i="10"/>
  <c r="Q430" i="10" a="1"/>
  <c r="Q430" i="10"/>
  <c r="R430" i="10" a="1"/>
  <c r="R430" i="10"/>
  <c r="S430" i="10" a="1"/>
  <c r="S430" i="10"/>
  <c r="T430" i="10" a="1"/>
  <c r="T430" i="10"/>
  <c r="U430" i="10" a="1"/>
  <c r="U430" i="10"/>
  <c r="V430" i="10" a="1"/>
  <c r="V430" i="10"/>
  <c r="W430" i="10" a="1"/>
  <c r="W430" i="10"/>
  <c r="X430" i="10" a="1"/>
  <c r="X430" i="10"/>
  <c r="Y430" i="10" a="1"/>
  <c r="Y430" i="10"/>
  <c r="Z430" i="10" a="1"/>
  <c r="Z430" i="10"/>
  <c r="AA430" i="10" a="1"/>
  <c r="AA430" i="10"/>
  <c r="AB430" i="10" a="1"/>
  <c r="AB430" i="10"/>
  <c r="AC430" i="10" a="1"/>
  <c r="AC430" i="10"/>
  <c r="BX430" i="10" a="1"/>
  <c r="BX430" i="10"/>
  <c r="BY430" i="10" a="1"/>
  <c r="BY430" i="10"/>
  <c r="C431" i="10" a="1"/>
  <c r="C431" i="10"/>
  <c r="D431" i="10" a="1"/>
  <c r="D431" i="10"/>
  <c r="E431" i="10" a="1"/>
  <c r="E431" i="10"/>
  <c r="F431" i="10" a="1"/>
  <c r="F431" i="10"/>
  <c r="G431" i="10" a="1"/>
  <c r="G431" i="10"/>
  <c r="H431" i="10" a="1"/>
  <c r="H431" i="10"/>
  <c r="I431" i="10" a="1"/>
  <c r="I431" i="10"/>
  <c r="J431" i="10" a="1"/>
  <c r="J431" i="10"/>
  <c r="K431" i="10" a="1"/>
  <c r="K431" i="10"/>
  <c r="L431" i="10" a="1"/>
  <c r="L431" i="10"/>
  <c r="M431" i="10" a="1"/>
  <c r="M431" i="10"/>
  <c r="N431" i="10" a="1"/>
  <c r="N431" i="10"/>
  <c r="O431" i="10" a="1"/>
  <c r="O431" i="10"/>
  <c r="P431" i="10" a="1"/>
  <c r="P431" i="10"/>
  <c r="Q431" i="10" a="1"/>
  <c r="Q431" i="10"/>
  <c r="R431" i="10" a="1"/>
  <c r="R431" i="10"/>
  <c r="S431" i="10" a="1"/>
  <c r="S431" i="10"/>
  <c r="T431" i="10" a="1"/>
  <c r="T431" i="10"/>
  <c r="U431" i="10" a="1"/>
  <c r="U431" i="10"/>
  <c r="V431" i="10" a="1"/>
  <c r="V431" i="10"/>
  <c r="W431" i="10" a="1"/>
  <c r="W431" i="10"/>
  <c r="X431" i="10" a="1"/>
  <c r="X431" i="10"/>
  <c r="Y431" i="10" a="1"/>
  <c r="Y431" i="10"/>
  <c r="Z431" i="10" a="1"/>
  <c r="Z431" i="10"/>
  <c r="AA431" i="10" a="1"/>
  <c r="AA431" i="10"/>
  <c r="AB431" i="10" a="1"/>
  <c r="AB431" i="10"/>
  <c r="AC431" i="10" a="1"/>
  <c r="AC431" i="10"/>
  <c r="BX431" i="10" a="1"/>
  <c r="BX431" i="10"/>
  <c r="BY431" i="10" a="1"/>
  <c r="BY431" i="10"/>
  <c r="C432" i="10" a="1"/>
  <c r="C432" i="10"/>
  <c r="D432" i="10" a="1"/>
  <c r="D432" i="10"/>
  <c r="E432" i="10" a="1"/>
  <c r="E432" i="10"/>
  <c r="F432" i="10" a="1"/>
  <c r="F432" i="10"/>
  <c r="G432" i="10" a="1"/>
  <c r="G432" i="10"/>
  <c r="H432" i="10" a="1"/>
  <c r="H432" i="10"/>
  <c r="I432" i="10" a="1"/>
  <c r="I432" i="10"/>
  <c r="J432" i="10" a="1"/>
  <c r="J432" i="10"/>
  <c r="K432" i="10" a="1"/>
  <c r="K432" i="10"/>
  <c r="L432" i="10" a="1"/>
  <c r="L432" i="10"/>
  <c r="M432" i="10" a="1"/>
  <c r="M432" i="10"/>
  <c r="N432" i="10" a="1"/>
  <c r="N432" i="10"/>
  <c r="O432" i="10" a="1"/>
  <c r="O432" i="10"/>
  <c r="P432" i="10" a="1"/>
  <c r="P432" i="10"/>
  <c r="Q432" i="10" a="1"/>
  <c r="Q432" i="10"/>
  <c r="R432" i="10" a="1"/>
  <c r="R432" i="10"/>
  <c r="S432" i="10" a="1"/>
  <c r="S432" i="10"/>
  <c r="T432" i="10" a="1"/>
  <c r="T432" i="10"/>
  <c r="U432" i="10" a="1"/>
  <c r="U432" i="10"/>
  <c r="V432" i="10" a="1"/>
  <c r="V432" i="10"/>
  <c r="W432" i="10" a="1"/>
  <c r="W432" i="10"/>
  <c r="X432" i="10" a="1"/>
  <c r="X432" i="10"/>
  <c r="Y432" i="10" a="1"/>
  <c r="Y432" i="10"/>
  <c r="Z432" i="10" a="1"/>
  <c r="Z432" i="10"/>
  <c r="AA432" i="10" a="1"/>
  <c r="AA432" i="10"/>
  <c r="AB432" i="10" a="1"/>
  <c r="AB432" i="10"/>
  <c r="AC432" i="10" a="1"/>
  <c r="AC432" i="10"/>
  <c r="AD432" i="10" a="1"/>
  <c r="AD432" i="10"/>
  <c r="AE432" i="10" a="1"/>
  <c r="AE432" i="10"/>
  <c r="AF432" i="10" a="1"/>
  <c r="AF432" i="10"/>
  <c r="AG432" i="10" a="1"/>
  <c r="AG432" i="10"/>
  <c r="AH432" i="10" a="1"/>
  <c r="AH432" i="10"/>
  <c r="AI432" i="10" a="1"/>
  <c r="AI432" i="10"/>
  <c r="AJ432" i="10" a="1"/>
  <c r="AJ432" i="10"/>
  <c r="AK432" i="10" a="1"/>
  <c r="AK432" i="10"/>
  <c r="AL432" i="10" a="1"/>
  <c r="AL432" i="10"/>
  <c r="AM432" i="10" a="1"/>
  <c r="AM432" i="10"/>
  <c r="AN432" i="10" a="1"/>
  <c r="AN432" i="10"/>
  <c r="AO432" i="10" a="1"/>
  <c r="AO432" i="10"/>
  <c r="AP432" i="10" a="1"/>
  <c r="AP432" i="10"/>
  <c r="BX432" i="10" a="1"/>
  <c r="BX432" i="10"/>
  <c r="BY432" i="10" a="1"/>
  <c r="BY432" i="10"/>
  <c r="C433" i="10" a="1"/>
  <c r="C433" i="10"/>
  <c r="D433" i="10" a="1"/>
  <c r="D433" i="10"/>
  <c r="E433" i="10" a="1"/>
  <c r="E433" i="10"/>
  <c r="F433" i="10" a="1"/>
  <c r="F433" i="10"/>
  <c r="G433" i="10" a="1"/>
  <c r="G433" i="10"/>
  <c r="H433" i="10" a="1"/>
  <c r="H433" i="10"/>
  <c r="I433" i="10" a="1"/>
  <c r="I433" i="10"/>
  <c r="J433" i="10" a="1"/>
  <c r="J433" i="10"/>
  <c r="K433" i="10" a="1"/>
  <c r="K433" i="10"/>
  <c r="L433" i="10" a="1"/>
  <c r="L433" i="10"/>
  <c r="M433" i="10" a="1"/>
  <c r="M433" i="10"/>
  <c r="N433" i="10" a="1"/>
  <c r="N433" i="10"/>
  <c r="O433" i="10" a="1"/>
  <c r="O433" i="10"/>
  <c r="P433" i="10" a="1"/>
  <c r="P433" i="10"/>
  <c r="Q433" i="10" a="1"/>
  <c r="Q433" i="10"/>
  <c r="R433" i="10" a="1"/>
  <c r="R433" i="10"/>
  <c r="S433" i="10" a="1"/>
  <c r="S433" i="10"/>
  <c r="T433" i="10" a="1"/>
  <c r="T433" i="10"/>
  <c r="U433" i="10" a="1"/>
  <c r="U433" i="10"/>
  <c r="V433" i="10" a="1"/>
  <c r="V433" i="10"/>
  <c r="W433" i="10" a="1"/>
  <c r="W433" i="10"/>
  <c r="X433" i="10" a="1"/>
  <c r="X433" i="10"/>
  <c r="Y433" i="10" a="1"/>
  <c r="Y433" i="10"/>
  <c r="Z433" i="10" a="1"/>
  <c r="Z433" i="10"/>
  <c r="AA433" i="10" a="1"/>
  <c r="AA433" i="10"/>
  <c r="AB433" i="10" a="1"/>
  <c r="AB433" i="10"/>
  <c r="AC433" i="10" a="1"/>
  <c r="AC433" i="10"/>
  <c r="AD433" i="10" a="1"/>
  <c r="AD433" i="10"/>
  <c r="AE433" i="10" a="1"/>
  <c r="AE433" i="10"/>
  <c r="AF433" i="10" a="1"/>
  <c r="AF433" i="10"/>
  <c r="AG433" i="10" a="1"/>
  <c r="AG433" i="10"/>
  <c r="AH433" i="10" a="1"/>
  <c r="AH433" i="10"/>
  <c r="AI433" i="10" a="1"/>
  <c r="AI433" i="10"/>
  <c r="AJ433" i="10" a="1"/>
  <c r="AJ433" i="10"/>
  <c r="AK433" i="10" a="1"/>
  <c r="AK433" i="10"/>
  <c r="AL433" i="10" a="1"/>
  <c r="AL433" i="10"/>
  <c r="AM433" i="10" a="1"/>
  <c r="AM433" i="10"/>
  <c r="AN433" i="10" a="1"/>
  <c r="AN433" i="10"/>
  <c r="AO433" i="10" a="1"/>
  <c r="AO433" i="10"/>
  <c r="AP433" i="10" a="1"/>
  <c r="AP433" i="10"/>
  <c r="BX433" i="10" a="1"/>
  <c r="BX433" i="10"/>
  <c r="BY433" i="10" a="1"/>
  <c r="BY433" i="10"/>
  <c r="C434" i="10" a="1"/>
  <c r="C434" i="10"/>
  <c r="D434" i="10" a="1"/>
  <c r="D434" i="10"/>
  <c r="E434" i="10" a="1"/>
  <c r="E434" i="10"/>
  <c r="F434" i="10" a="1"/>
  <c r="F434" i="10"/>
  <c r="G434" i="10" a="1"/>
  <c r="G434" i="10"/>
  <c r="H434" i="10" a="1"/>
  <c r="H434" i="10"/>
  <c r="I434" i="10" a="1"/>
  <c r="I434" i="10"/>
  <c r="J434" i="10" a="1"/>
  <c r="J434" i="10"/>
  <c r="K434" i="10" a="1"/>
  <c r="K434" i="10"/>
  <c r="L434" i="10" a="1"/>
  <c r="L434" i="10"/>
  <c r="M434" i="10" a="1"/>
  <c r="M434" i="10"/>
  <c r="N434" i="10" a="1"/>
  <c r="N434" i="10"/>
  <c r="O434" i="10" a="1"/>
  <c r="O434" i="10"/>
  <c r="P434" i="10" a="1"/>
  <c r="P434" i="10"/>
  <c r="Q434" i="10" a="1"/>
  <c r="Q434" i="10"/>
  <c r="R434" i="10" a="1"/>
  <c r="R434" i="10"/>
  <c r="S434" i="10" a="1"/>
  <c r="S434" i="10"/>
  <c r="T434" i="10" a="1"/>
  <c r="T434" i="10"/>
  <c r="U434" i="10" a="1"/>
  <c r="U434" i="10"/>
  <c r="V434" i="10" a="1"/>
  <c r="V434" i="10"/>
  <c r="W434" i="10" a="1"/>
  <c r="W434" i="10"/>
  <c r="X434" i="10" a="1"/>
  <c r="X434" i="10"/>
  <c r="Y434" i="10" a="1"/>
  <c r="Y434" i="10"/>
  <c r="Z434" i="10" a="1"/>
  <c r="Z434" i="10"/>
  <c r="AA434" i="10" a="1"/>
  <c r="AA434" i="10"/>
  <c r="AB434" i="10" a="1"/>
  <c r="AB434" i="10"/>
  <c r="AC434" i="10" a="1"/>
  <c r="AC434" i="10"/>
  <c r="AD434" i="10" a="1"/>
  <c r="AD434" i="10"/>
  <c r="AE434" i="10" a="1"/>
  <c r="AE434" i="10"/>
  <c r="AF434" i="10" a="1"/>
  <c r="AF434" i="10"/>
  <c r="AG434" i="10" a="1"/>
  <c r="AG434" i="10"/>
  <c r="AH434" i="10" a="1"/>
  <c r="AH434" i="10"/>
  <c r="AI434" i="10" a="1"/>
  <c r="AI434" i="10"/>
  <c r="AJ434" i="10" a="1"/>
  <c r="AJ434" i="10"/>
  <c r="AK434" i="10" a="1"/>
  <c r="AK434" i="10"/>
  <c r="AL434" i="10" a="1"/>
  <c r="AL434" i="10"/>
  <c r="AM434" i="10" a="1"/>
  <c r="AM434" i="10"/>
  <c r="AN434" i="10" a="1"/>
  <c r="AN434" i="10"/>
  <c r="AO434" i="10" a="1"/>
  <c r="AO434" i="10"/>
  <c r="AP434" i="10" a="1"/>
  <c r="AP434" i="10"/>
  <c r="BX434" i="10" a="1"/>
  <c r="BX434" i="10"/>
  <c r="BY434" i="10" a="1"/>
  <c r="BY434" i="10"/>
  <c r="C435" i="10" a="1"/>
  <c r="C435" i="10"/>
  <c r="D435" i="10" a="1"/>
  <c r="D435" i="10"/>
  <c r="E435" i="10" a="1"/>
  <c r="E435" i="10"/>
  <c r="F435" i="10" a="1"/>
  <c r="F435" i="10"/>
  <c r="G435" i="10" a="1"/>
  <c r="G435" i="10"/>
  <c r="H435" i="10" a="1"/>
  <c r="H435" i="10"/>
  <c r="I435" i="10" a="1"/>
  <c r="I435" i="10"/>
  <c r="J435" i="10" a="1"/>
  <c r="J435" i="10"/>
  <c r="K435" i="10" a="1"/>
  <c r="K435" i="10"/>
  <c r="L435" i="10" a="1"/>
  <c r="L435" i="10"/>
  <c r="M435" i="10" a="1"/>
  <c r="M435" i="10"/>
  <c r="N435" i="10" a="1"/>
  <c r="N435" i="10"/>
  <c r="O435" i="10" a="1"/>
  <c r="O435" i="10"/>
  <c r="P435" i="10" a="1"/>
  <c r="P435" i="10"/>
  <c r="Q435" i="10" a="1"/>
  <c r="Q435" i="10"/>
  <c r="R435" i="10" a="1"/>
  <c r="R435" i="10"/>
  <c r="S435" i="10" a="1"/>
  <c r="S435" i="10"/>
  <c r="T435" i="10" a="1"/>
  <c r="T435" i="10"/>
  <c r="U435" i="10" a="1"/>
  <c r="U435" i="10"/>
  <c r="V435" i="10" a="1"/>
  <c r="V435" i="10"/>
  <c r="W435" i="10" a="1"/>
  <c r="W435" i="10"/>
  <c r="X435" i="10" a="1"/>
  <c r="X435" i="10"/>
  <c r="Y435" i="10" a="1"/>
  <c r="Y435" i="10"/>
  <c r="Z435" i="10" a="1"/>
  <c r="Z435" i="10"/>
  <c r="AA435" i="10" a="1"/>
  <c r="AA435" i="10"/>
  <c r="AB435" i="10" a="1"/>
  <c r="AB435" i="10"/>
  <c r="AC435" i="10" a="1"/>
  <c r="AC435" i="10"/>
  <c r="AD435" i="10" a="1"/>
  <c r="AD435" i="10"/>
  <c r="AE435" i="10" a="1"/>
  <c r="AE435" i="10"/>
  <c r="AF435" i="10" a="1"/>
  <c r="AF435" i="10"/>
  <c r="AG435" i="10" a="1"/>
  <c r="AG435" i="10"/>
  <c r="AH435" i="10" a="1"/>
  <c r="AH435" i="10"/>
  <c r="AI435" i="10" a="1"/>
  <c r="AI435" i="10"/>
  <c r="AJ435" i="10" a="1"/>
  <c r="AJ435" i="10"/>
  <c r="AK435" i="10" a="1"/>
  <c r="AK435" i="10"/>
  <c r="AL435" i="10" a="1"/>
  <c r="AL435" i="10"/>
  <c r="AM435" i="10" a="1"/>
  <c r="AM435" i="10"/>
  <c r="AN435" i="10" a="1"/>
  <c r="AN435" i="10"/>
  <c r="AO435" i="10" a="1"/>
  <c r="AO435" i="10"/>
  <c r="AP435" i="10" a="1"/>
  <c r="AP435" i="10"/>
  <c r="BX435" i="10" a="1"/>
  <c r="BX435" i="10"/>
  <c r="BY435" i="10" a="1"/>
  <c r="BY435" i="10"/>
  <c r="C436" i="10" a="1"/>
  <c r="C436" i="10"/>
  <c r="D436" i="10" a="1"/>
  <c r="D436" i="10"/>
  <c r="E436" i="10" a="1"/>
  <c r="E436" i="10"/>
  <c r="F436" i="10" a="1"/>
  <c r="F436" i="10"/>
  <c r="G436" i="10" a="1"/>
  <c r="G436" i="10"/>
  <c r="H436" i="10" a="1"/>
  <c r="H436" i="10"/>
  <c r="I436" i="10" a="1"/>
  <c r="I436" i="10"/>
  <c r="J436" i="10" a="1"/>
  <c r="J436" i="10"/>
  <c r="K436" i="10" a="1"/>
  <c r="K436" i="10"/>
  <c r="L436" i="10" a="1"/>
  <c r="L436" i="10"/>
  <c r="M436" i="10" a="1"/>
  <c r="M436" i="10"/>
  <c r="N436" i="10" a="1"/>
  <c r="N436" i="10"/>
  <c r="O436" i="10" a="1"/>
  <c r="O436" i="10"/>
  <c r="P436" i="10" a="1"/>
  <c r="P436" i="10"/>
  <c r="Q436" i="10" a="1"/>
  <c r="Q436" i="10"/>
  <c r="R436" i="10" a="1"/>
  <c r="R436" i="10"/>
  <c r="S436" i="10" a="1"/>
  <c r="S436" i="10"/>
  <c r="T436" i="10" a="1"/>
  <c r="T436" i="10"/>
  <c r="U436" i="10" a="1"/>
  <c r="U436" i="10"/>
  <c r="V436" i="10" a="1"/>
  <c r="V436" i="10"/>
  <c r="W436" i="10" a="1"/>
  <c r="W436" i="10"/>
  <c r="X436" i="10" a="1"/>
  <c r="X436" i="10"/>
  <c r="Y436" i="10" a="1"/>
  <c r="Y436" i="10"/>
  <c r="Z436" i="10" a="1"/>
  <c r="Z436" i="10"/>
  <c r="AA436" i="10" a="1"/>
  <c r="AA436" i="10"/>
  <c r="AB436" i="10" a="1"/>
  <c r="AB436" i="10"/>
  <c r="AC436" i="10" a="1"/>
  <c r="AC436" i="10"/>
  <c r="AD436" i="10" a="1"/>
  <c r="AD436" i="10"/>
  <c r="AE436" i="10" a="1"/>
  <c r="AE436" i="10"/>
  <c r="AF436" i="10" a="1"/>
  <c r="AF436" i="10"/>
  <c r="AG436" i="10" a="1"/>
  <c r="AG436" i="10"/>
  <c r="AH436" i="10" a="1"/>
  <c r="AH436" i="10"/>
  <c r="AI436" i="10" a="1"/>
  <c r="AI436" i="10"/>
  <c r="AJ436" i="10" a="1"/>
  <c r="AJ436" i="10"/>
  <c r="AK436" i="10" a="1"/>
  <c r="AK436" i="10"/>
  <c r="AL436" i="10" a="1"/>
  <c r="AL436" i="10"/>
  <c r="AM436" i="10" a="1"/>
  <c r="AM436" i="10"/>
  <c r="AN436" i="10" a="1"/>
  <c r="AN436" i="10"/>
  <c r="AO436" i="10" a="1"/>
  <c r="AO436" i="10"/>
  <c r="AP436" i="10" a="1"/>
  <c r="AP436" i="10"/>
  <c r="BX436" i="10" a="1"/>
  <c r="BX436" i="10"/>
  <c r="BY436" i="10" a="1"/>
  <c r="BY436" i="10"/>
  <c r="B430" i="10" a="1"/>
  <c r="B430" i="10"/>
  <c r="B431" i="10" a="1"/>
  <c r="B431" i="10"/>
  <c r="B432" i="10" a="1"/>
  <c r="B432" i="10"/>
  <c r="B433" i="10" a="1"/>
  <c r="B433" i="10"/>
  <c r="B434" i="10" a="1"/>
  <c r="B434" i="10"/>
  <c r="B435" i="10" a="1"/>
  <c r="B435" i="10"/>
  <c r="B436" i="10" a="1"/>
  <c r="B436" i="10"/>
  <c r="B429" i="10" a="1"/>
  <c r="B429" i="10"/>
  <c r="AT157" i="10" a="1"/>
  <c r="AT157" i="10"/>
  <c r="BX155" i="10"/>
  <c r="BY155" i="10"/>
  <c r="BZ155" i="10"/>
  <c r="BX156" i="10"/>
  <c r="BY156" i="10"/>
  <c r="BZ156" i="10"/>
  <c r="BX158" i="10" a="1"/>
  <c r="BX158" i="10"/>
  <c r="BY158" i="10" a="1"/>
  <c r="BY158" i="10"/>
  <c r="BZ158" i="10" a="1"/>
  <c r="BZ158" i="10"/>
  <c r="BX161" i="10"/>
  <c r="BY161" i="10"/>
  <c r="BZ161" i="10"/>
  <c r="AU162" i="10" a="1"/>
  <c r="AU162" i="10"/>
  <c r="AV162" i="10" a="1"/>
  <c r="AV162" i="10"/>
  <c r="AW162" i="10" a="1"/>
  <c r="AW162" i="10"/>
  <c r="AX162" i="10" a="1"/>
  <c r="AX162" i="10"/>
  <c r="AY162" i="10" a="1"/>
  <c r="AY162" i="10"/>
  <c r="AZ162" i="10" a="1"/>
  <c r="AZ162" i="10"/>
  <c r="BA162" i="10" a="1"/>
  <c r="BA162" i="10"/>
  <c r="BB162" i="10" a="1"/>
  <c r="BB162" i="10"/>
  <c r="BC162" i="10" a="1"/>
  <c r="BC162" i="10"/>
  <c r="BD162" i="10" a="1"/>
  <c r="BD162" i="10"/>
  <c r="BE162" i="10" a="1"/>
  <c r="BE162" i="10"/>
  <c r="BF162" i="10" a="1"/>
  <c r="BF162" i="10"/>
  <c r="BG162" i="10" a="1"/>
  <c r="BG162" i="10"/>
  <c r="BH162" i="10" a="1"/>
  <c r="BH162" i="10"/>
  <c r="BI162" i="10" a="1"/>
  <c r="BI162" i="10"/>
  <c r="BJ162" i="10" a="1"/>
  <c r="BJ162" i="10"/>
  <c r="BK162" i="10" a="1"/>
  <c r="BK162" i="10"/>
  <c r="BL162" i="10" a="1"/>
  <c r="BL162" i="10"/>
  <c r="BM162" i="10" a="1"/>
  <c r="BM162" i="10"/>
  <c r="BN162" i="10" a="1"/>
  <c r="BN162" i="10"/>
  <c r="BO162" i="10" a="1"/>
  <c r="BO162" i="10"/>
  <c r="BP162" i="10" a="1"/>
  <c r="BP162" i="10"/>
  <c r="BQ162" i="10" a="1"/>
  <c r="BQ162" i="10"/>
  <c r="BR162" i="10" a="1"/>
  <c r="BR162" i="10"/>
  <c r="BS162" i="10" a="1"/>
  <c r="BS162" i="10"/>
  <c r="BT162" i="10" a="1"/>
  <c r="BT162" i="10"/>
  <c r="BU162" i="10" a="1"/>
  <c r="BU162" i="10"/>
  <c r="BV162" i="10" a="1"/>
  <c r="BV162" i="10"/>
  <c r="BW162" i="10" a="1"/>
  <c r="BW162" i="10"/>
  <c r="BX6" i="10"/>
  <c r="BX162" i="10" a="1"/>
  <c r="BX162" i="10"/>
  <c r="BY6" i="10"/>
  <c r="BY162" i="10" a="1"/>
  <c r="BY162" i="10"/>
  <c r="BZ6" i="10"/>
  <c r="BZ162" i="10" a="1"/>
  <c r="BZ162" i="10"/>
  <c r="AU316" i="10"/>
  <c r="AV316" i="10"/>
  <c r="AW316" i="10"/>
  <c r="AX316" i="10"/>
  <c r="AY316" i="10"/>
  <c r="AZ316" i="10"/>
  <c r="BA316" i="10"/>
  <c r="BB316" i="10"/>
  <c r="BC316" i="10"/>
  <c r="BD316" i="10"/>
  <c r="BE316" i="10"/>
  <c r="BF316" i="10"/>
  <c r="BG316" i="10"/>
  <c r="BH316" i="10"/>
  <c r="BI316" i="10"/>
  <c r="BJ316" i="10"/>
  <c r="BK316" i="10"/>
  <c r="BL316" i="10"/>
  <c r="BM316" i="10"/>
  <c r="BN316" i="10"/>
  <c r="BO316" i="10"/>
  <c r="BP316" i="10"/>
  <c r="BQ316" i="10"/>
  <c r="BR316" i="10"/>
  <c r="BS316" i="10"/>
  <c r="BT316" i="10"/>
  <c r="BU316" i="10"/>
  <c r="BV316" i="10"/>
  <c r="BW316" i="10"/>
  <c r="BX316" i="10"/>
  <c r="BY316" i="10"/>
  <c r="BZ316" i="10"/>
  <c r="BX411" i="10" a="1"/>
  <c r="BX411" i="10"/>
  <c r="BY411" i="10" a="1"/>
  <c r="BY411" i="10"/>
  <c r="BZ411" i="10" a="1"/>
  <c r="BZ411" i="10"/>
  <c r="BX412" i="10" a="1"/>
  <c r="BX412" i="10"/>
  <c r="BY412" i="10" a="1"/>
  <c r="BY412" i="10"/>
  <c r="BZ412" i="10" a="1"/>
  <c r="BZ412" i="10"/>
  <c r="BX413" i="10" a="1"/>
  <c r="BX413" i="10"/>
  <c r="BY413" i="10" a="1"/>
  <c r="BY413" i="10"/>
  <c r="BZ413" i="10" a="1"/>
  <c r="BZ413" i="10"/>
  <c r="BX414" i="10" a="1"/>
  <c r="BX414" i="10"/>
  <c r="BY414" i="10" a="1"/>
  <c r="BY414" i="10"/>
  <c r="BZ414" i="10" a="1"/>
  <c r="BZ414" i="10"/>
  <c r="BX415" i="10" a="1"/>
  <c r="BX415" i="10"/>
  <c r="BY415" i="10" a="1"/>
  <c r="BY415" i="10"/>
  <c r="BZ415" i="10" a="1"/>
  <c r="BZ415" i="10"/>
  <c r="BX416" i="10" a="1"/>
  <c r="BX416" i="10"/>
  <c r="BY416" i="10" a="1"/>
  <c r="BY416" i="10"/>
  <c r="BZ416" i="10" a="1"/>
  <c r="BZ416" i="10"/>
  <c r="BX417" i="10" a="1"/>
  <c r="BX417" i="10"/>
  <c r="BY417" i="10" a="1"/>
  <c r="BY417" i="10"/>
  <c r="BZ417" i="10" a="1"/>
  <c r="BZ417" i="10"/>
  <c r="BX418" i="10" a="1"/>
  <c r="BX418" i="10"/>
  <c r="BY418" i="10" a="1"/>
  <c r="BY418" i="10"/>
  <c r="BZ418" i="10" a="1"/>
  <c r="BZ418" i="10"/>
  <c r="BX419" i="10" a="1"/>
  <c r="BX419" i="10"/>
  <c r="BY419" i="10" a="1"/>
  <c r="BY419" i="10"/>
  <c r="BZ419" i="10" a="1"/>
  <c r="BZ419" i="10"/>
  <c r="BX420" i="10" a="1"/>
  <c r="BX420" i="10"/>
  <c r="BY420" i="10" a="1"/>
  <c r="BY420" i="10"/>
  <c r="BZ420" i="10" a="1"/>
  <c r="BZ420" i="10"/>
  <c r="D316" i="10"/>
  <c r="C316" i="10"/>
  <c r="B316" i="10"/>
  <c r="CA6" i="10"/>
  <c r="CA157" i="10" a="1"/>
  <c r="CA157" i="10"/>
  <c r="C6" i="10"/>
  <c r="C162" i="10" a="1"/>
  <c r="C162" i="10"/>
  <c r="C161" i="10"/>
  <c r="C158" i="10" a="1"/>
  <c r="C158" i="10"/>
  <c r="C156" i="10"/>
  <c r="C155" i="10"/>
  <c r="T155" i="10"/>
  <c r="U155" i="10"/>
  <c r="W155" i="10"/>
  <c r="X155" i="10"/>
  <c r="Y155" i="10"/>
  <c r="Z155" i="10"/>
  <c r="AA155" i="10"/>
  <c r="AB155" i="10"/>
  <c r="AC155" i="10"/>
  <c r="AD155" i="10"/>
  <c r="AE155" i="10"/>
  <c r="AF155" i="10"/>
  <c r="AG155" i="10"/>
  <c r="AH155" i="10"/>
  <c r="AI155" i="10"/>
  <c r="AJ155" i="10"/>
  <c r="AK155" i="10"/>
  <c r="AL155" i="10"/>
  <c r="AM155" i="10"/>
  <c r="AN155" i="10"/>
  <c r="AO155" i="10"/>
  <c r="AP155" i="10"/>
  <c r="T156" i="10"/>
  <c r="U156" i="10"/>
  <c r="W156" i="10"/>
  <c r="X156" i="10"/>
  <c r="Y156" i="10"/>
  <c r="Z156" i="10"/>
  <c r="AA156" i="10"/>
  <c r="AB156" i="10"/>
  <c r="AC156" i="10"/>
  <c r="AD156" i="10"/>
  <c r="AE156" i="10"/>
  <c r="AF156" i="10"/>
  <c r="AG156" i="10"/>
  <c r="AH156" i="10"/>
  <c r="AI156" i="10"/>
  <c r="AJ156" i="10"/>
  <c r="AK156" i="10"/>
  <c r="AL156" i="10"/>
  <c r="AM156" i="10"/>
  <c r="AN156" i="10"/>
  <c r="AO156" i="10"/>
  <c r="AP156" i="10"/>
  <c r="T158" i="10" a="1"/>
  <c r="T158" i="10"/>
  <c r="U158" i="10" a="1"/>
  <c r="U158" i="10"/>
  <c r="W158" i="10" a="1"/>
  <c r="W158" i="10"/>
  <c r="X158" i="10" a="1"/>
  <c r="X158" i="10"/>
  <c r="Y158" i="10" a="1"/>
  <c r="Y158" i="10"/>
  <c r="Z158" i="10" a="1"/>
  <c r="Z158" i="10"/>
  <c r="AA158" i="10" a="1"/>
  <c r="AA158" i="10"/>
  <c r="AB158" i="10" a="1"/>
  <c r="AB158" i="10"/>
  <c r="AC158" i="10" a="1"/>
  <c r="AC158" i="10"/>
  <c r="AD158" i="10" a="1"/>
  <c r="AD158" i="10"/>
  <c r="AE158" i="10" a="1"/>
  <c r="AE158" i="10"/>
  <c r="AF158" i="10" a="1"/>
  <c r="AF158" i="10"/>
  <c r="AG158" i="10" a="1"/>
  <c r="AG158" i="10"/>
  <c r="AH158" i="10" a="1"/>
  <c r="AH158" i="10"/>
  <c r="AI158" i="10" a="1"/>
  <c r="AI158" i="10"/>
  <c r="AJ158" i="10" a="1"/>
  <c r="AJ158" i="10"/>
  <c r="AK158" i="10" a="1"/>
  <c r="AK158" i="10"/>
  <c r="AL158" i="10" a="1"/>
  <c r="AL158" i="10"/>
  <c r="AM158" i="10" a="1"/>
  <c r="AM158" i="10"/>
  <c r="AN158" i="10" a="1"/>
  <c r="AN158" i="10"/>
  <c r="AO158" i="10" a="1"/>
  <c r="AO158" i="10"/>
  <c r="AP158" i="10" a="1"/>
  <c r="AP158" i="10"/>
  <c r="T161" i="10"/>
  <c r="U161" i="10"/>
  <c r="W161" i="10"/>
  <c r="X161" i="10"/>
  <c r="Y161" i="10"/>
  <c r="Z161" i="10"/>
  <c r="AA161" i="10"/>
  <c r="AB161" i="10"/>
  <c r="AC161" i="10"/>
  <c r="AD161" i="10"/>
  <c r="AE161" i="10"/>
  <c r="AF161" i="10"/>
  <c r="AG161" i="10"/>
  <c r="AH161" i="10"/>
  <c r="AI161" i="10"/>
  <c r="AJ161" i="10"/>
  <c r="AK161" i="10"/>
  <c r="AL161" i="10"/>
  <c r="AM161" i="10"/>
  <c r="AN161" i="10"/>
  <c r="AO161" i="10"/>
  <c r="AP161" i="10"/>
  <c r="T6" i="10"/>
  <c r="T162" i="10" a="1"/>
  <c r="T162" i="10"/>
  <c r="U6" i="10"/>
  <c r="U162" i="10" a="1"/>
  <c r="U162" i="10"/>
  <c r="V6" i="10"/>
  <c r="V162" i="10" a="1"/>
  <c r="V162" i="10"/>
  <c r="W6" i="10"/>
  <c r="W162" i="10" a="1"/>
  <c r="W162" i="10"/>
  <c r="X6" i="10"/>
  <c r="X162" i="10" a="1"/>
  <c r="X162" i="10"/>
  <c r="Y6" i="10"/>
  <c r="Y162" i="10" a="1"/>
  <c r="Y162" i="10"/>
  <c r="Z6" i="10"/>
  <c r="Z162" i="10" a="1"/>
  <c r="Z162" i="10"/>
  <c r="AA6" i="10"/>
  <c r="AA162" i="10" a="1"/>
  <c r="AA162" i="10"/>
  <c r="AB6" i="10"/>
  <c r="AB162" i="10" a="1"/>
  <c r="AB162" i="10"/>
  <c r="AC6" i="10"/>
  <c r="AC162" i="10" a="1"/>
  <c r="AC162" i="10"/>
  <c r="AD6" i="10"/>
  <c r="AD162" i="10" a="1"/>
  <c r="AD162" i="10"/>
  <c r="AE6" i="10"/>
  <c r="AE162" i="10" a="1"/>
  <c r="AE162" i="10"/>
  <c r="AF6" i="10"/>
  <c r="AF162" i="10" a="1"/>
  <c r="AF162" i="10"/>
  <c r="AG6" i="10"/>
  <c r="AG162" i="10" a="1"/>
  <c r="AG162" i="10"/>
  <c r="AH6" i="10"/>
  <c r="AH162" i="10" a="1"/>
  <c r="AH162" i="10"/>
  <c r="AI6" i="10"/>
  <c r="AI162" i="10" a="1"/>
  <c r="AI162" i="10"/>
  <c r="AJ6" i="10"/>
  <c r="AJ162" i="10" a="1"/>
  <c r="AJ162" i="10"/>
  <c r="AK6" i="10"/>
  <c r="AK162" i="10" a="1"/>
  <c r="AK162" i="10"/>
  <c r="AL6" i="10"/>
  <c r="AL162" i="10" a="1"/>
  <c r="AL162" i="10"/>
  <c r="AM6" i="10"/>
  <c r="AM162" i="10" a="1"/>
  <c r="AM162" i="10"/>
  <c r="AN6" i="10"/>
  <c r="AN162" i="10" a="1"/>
  <c r="AN162" i="10"/>
  <c r="AO6" i="10"/>
  <c r="AO162" i="10" a="1"/>
  <c r="AO162" i="10"/>
  <c r="AP6" i="10"/>
  <c r="AP162" i="10" a="1"/>
  <c r="AP162" i="10"/>
  <c r="AQ162" i="10" a="1"/>
  <c r="AQ162" i="10"/>
  <c r="AR162" i="10" a="1"/>
  <c r="AR162" i="10"/>
  <c r="AS162" i="10" a="1"/>
  <c r="AS162" i="10"/>
  <c r="AT162" i="10" a="1"/>
  <c r="AT162" i="10"/>
  <c r="T316" i="10"/>
  <c r="U316" i="10"/>
  <c r="V316" i="10"/>
  <c r="W316" i="10"/>
  <c r="X316" i="10"/>
  <c r="Y316" i="10"/>
  <c r="Z316" i="10"/>
  <c r="AA316" i="10"/>
  <c r="AB316" i="10"/>
  <c r="AC316" i="10"/>
  <c r="AD316" i="10"/>
  <c r="AE316" i="10"/>
  <c r="AF316" i="10"/>
  <c r="AG316" i="10"/>
  <c r="AH316" i="10"/>
  <c r="AI316" i="10"/>
  <c r="AJ316" i="10"/>
  <c r="AK316" i="10"/>
  <c r="AL316" i="10"/>
  <c r="AM316" i="10"/>
  <c r="AN316" i="10"/>
  <c r="AO316" i="10"/>
  <c r="AP316" i="10"/>
  <c r="AQ316" i="10"/>
  <c r="AR316" i="10"/>
  <c r="AS316" i="10"/>
  <c r="AT316" i="10"/>
  <c r="T411" i="10" a="1"/>
  <c r="T411" i="10"/>
  <c r="U411" i="10" a="1"/>
  <c r="U411" i="10"/>
  <c r="T412" i="10" a="1"/>
  <c r="T412" i="10"/>
  <c r="U412" i="10" a="1"/>
  <c r="U412" i="10"/>
  <c r="T413" i="10" a="1"/>
  <c r="T413" i="10"/>
  <c r="U413" i="10" a="1"/>
  <c r="U413" i="10"/>
  <c r="T414" i="10" a="1"/>
  <c r="T414" i="10"/>
  <c r="U414" i="10" a="1"/>
  <c r="U414" i="10"/>
  <c r="T415" i="10" a="1"/>
  <c r="T415" i="10"/>
  <c r="U415" i="10" a="1"/>
  <c r="U415" i="10"/>
  <c r="T416" i="10" a="1"/>
  <c r="T416" i="10"/>
  <c r="U416" i="10" a="1"/>
  <c r="U416" i="10"/>
  <c r="T417" i="10" a="1"/>
  <c r="T417" i="10"/>
  <c r="U417" i="10" a="1"/>
  <c r="U417" i="10"/>
  <c r="T418" i="10" a="1"/>
  <c r="T418" i="10"/>
  <c r="U418" i="10" a="1"/>
  <c r="U418" i="10"/>
  <c r="V418" i="10" a="1"/>
  <c r="V418" i="10"/>
  <c r="W418" i="10" a="1"/>
  <c r="W418" i="10"/>
  <c r="X418" i="10" a="1"/>
  <c r="X418" i="10"/>
  <c r="Y418" i="10" a="1"/>
  <c r="Y418" i="10"/>
  <c r="Z418" i="10" a="1"/>
  <c r="Z418" i="10"/>
  <c r="AA418" i="10" a="1"/>
  <c r="AA418" i="10"/>
  <c r="AB418" i="10" a="1"/>
  <c r="AB418" i="10"/>
  <c r="AC418" i="10" a="1"/>
  <c r="AC418" i="10"/>
  <c r="T419" i="10" a="1"/>
  <c r="T419" i="10"/>
  <c r="U419" i="10" a="1"/>
  <c r="U419" i="10"/>
  <c r="V419" i="10" a="1"/>
  <c r="V419" i="10"/>
  <c r="W419" i="10" a="1"/>
  <c r="W419" i="10"/>
  <c r="X419" i="10" a="1"/>
  <c r="X419" i="10"/>
  <c r="Y419" i="10" a="1"/>
  <c r="Y419" i="10"/>
  <c r="Z419" i="10" a="1"/>
  <c r="Z419" i="10"/>
  <c r="AA419" i="10" a="1"/>
  <c r="AA419" i="10"/>
  <c r="AB419" i="10" a="1"/>
  <c r="AB419" i="10"/>
  <c r="AC419" i="10" a="1"/>
  <c r="AC419" i="10"/>
  <c r="AD419" i="10" a="1"/>
  <c r="AD419" i="10"/>
  <c r="AE419" i="10" a="1"/>
  <c r="AE419" i="10"/>
  <c r="AF419" i="10" a="1"/>
  <c r="AF419" i="10"/>
  <c r="AG419" i="10" a="1"/>
  <c r="AG419" i="10"/>
  <c r="AH419" i="10" a="1"/>
  <c r="AH419" i="10"/>
  <c r="AI419" i="10" a="1"/>
  <c r="AI419" i="10"/>
  <c r="AJ419" i="10" a="1"/>
  <c r="AJ419" i="10"/>
  <c r="AK419" i="10" a="1"/>
  <c r="AK419" i="10"/>
  <c r="AL419" i="10" a="1"/>
  <c r="AL419" i="10"/>
  <c r="AM419" i="10" a="1"/>
  <c r="AM419" i="10"/>
  <c r="AN419" i="10" a="1"/>
  <c r="AN419" i="10"/>
  <c r="AO419" i="10" a="1"/>
  <c r="AO419" i="10"/>
  <c r="AP419" i="10" a="1"/>
  <c r="AP419" i="10"/>
  <c r="T420" i="10" a="1"/>
  <c r="T420" i="10"/>
  <c r="U420" i="10" a="1"/>
  <c r="U420" i="10"/>
  <c r="V420" i="10" a="1"/>
  <c r="V420" i="10"/>
  <c r="W420" i="10" a="1"/>
  <c r="W420" i="10"/>
  <c r="X420" i="10" a="1"/>
  <c r="X420" i="10"/>
  <c r="Y420" i="10" a="1"/>
  <c r="Y420" i="10"/>
  <c r="Z420" i="10" a="1"/>
  <c r="Z420" i="10"/>
  <c r="AA420" i="10" a="1"/>
  <c r="AA420" i="10"/>
  <c r="AB420" i="10" a="1"/>
  <c r="AB420" i="10"/>
  <c r="AC420" i="10" a="1"/>
  <c r="AC420" i="10"/>
  <c r="AD420" i="10" a="1"/>
  <c r="AD420" i="10"/>
  <c r="AE420" i="10" a="1"/>
  <c r="AE420" i="10"/>
  <c r="AF420" i="10" a="1"/>
  <c r="AF420" i="10"/>
  <c r="AG420" i="10" a="1"/>
  <c r="AG420" i="10"/>
  <c r="AH420" i="10" a="1"/>
  <c r="AH420" i="10"/>
  <c r="AI420" i="10" a="1"/>
  <c r="AI420" i="10"/>
  <c r="AJ420" i="10" a="1"/>
  <c r="AJ420" i="10"/>
  <c r="AK420" i="10" a="1"/>
  <c r="AK420" i="10"/>
  <c r="AL420" i="10" a="1"/>
  <c r="AL420" i="10"/>
  <c r="AM420" i="10" a="1"/>
  <c r="AM420" i="10"/>
  <c r="AN420" i="10" a="1"/>
  <c r="AN420" i="10"/>
  <c r="AO420" i="10" a="1"/>
  <c r="AO420" i="10"/>
  <c r="AP420" i="10" a="1"/>
  <c r="AP420" i="10"/>
  <c r="AC122" i="6" a="1"/>
  <c r="AC122" i="6"/>
  <c r="AB122" i="6" a="1"/>
  <c r="AB122" i="6"/>
  <c r="AA122" i="6" a="1"/>
  <c r="AA122" i="6"/>
  <c r="Z122" i="6" a="1"/>
  <c r="Z122" i="6"/>
  <c r="Y122" i="6" a="1"/>
  <c r="Y122" i="6"/>
  <c r="X122" i="6" a="1"/>
  <c r="X122" i="6"/>
  <c r="W122" i="6" a="1"/>
  <c r="W122" i="6"/>
  <c r="V122" i="6" a="1"/>
  <c r="V122" i="6"/>
  <c r="U122" i="6" a="1"/>
  <c r="U122" i="6"/>
  <c r="T122" i="6" a="1"/>
  <c r="T122" i="6"/>
  <c r="S122" i="6" a="1"/>
  <c r="S122" i="6"/>
  <c r="R122" i="6" a="1"/>
  <c r="R122" i="6"/>
  <c r="Q122" i="6" a="1"/>
  <c r="Q122" i="6"/>
  <c r="P122" i="6" a="1"/>
  <c r="P122" i="6"/>
  <c r="O122" i="6" a="1"/>
  <c r="O122" i="6"/>
  <c r="N122" i="6" a="1"/>
  <c r="N122" i="6"/>
  <c r="M122" i="6" a="1"/>
  <c r="M122" i="6"/>
  <c r="L122" i="6" a="1"/>
  <c r="L122" i="6"/>
  <c r="K122" i="6" a="1"/>
  <c r="K122" i="6"/>
  <c r="J122" i="6" a="1"/>
  <c r="J122" i="6"/>
  <c r="I122" i="6" a="1"/>
  <c r="I122" i="6"/>
  <c r="H122" i="6" a="1"/>
  <c r="H122" i="6"/>
  <c r="G122" i="6" a="1"/>
  <c r="G122" i="6"/>
  <c r="F122" i="6" a="1"/>
  <c r="F122" i="6"/>
  <c r="E122" i="6" a="1"/>
  <c r="E122" i="6"/>
  <c r="D122" i="6" a="1"/>
  <c r="D122" i="6"/>
  <c r="C122" i="6" a="1"/>
  <c r="C122" i="6"/>
  <c r="B122" i="6" a="1"/>
  <c r="B122" i="6"/>
  <c r="C91" i="3"/>
  <c r="B123" i="6" a="1"/>
  <c r="B123" i="6"/>
  <c r="C123" i="6" a="1"/>
  <c r="C123" i="6"/>
  <c r="D123" i="6" a="1"/>
  <c r="D123" i="6"/>
  <c r="E123" i="6" a="1"/>
  <c r="E123" i="6"/>
  <c r="F123" i="6" a="1"/>
  <c r="F123" i="6"/>
  <c r="G123" i="6" a="1"/>
  <c r="G123" i="6"/>
  <c r="H123" i="6" a="1"/>
  <c r="H123" i="6"/>
  <c r="I123" i="6" a="1"/>
  <c r="I123" i="6"/>
  <c r="J123" i="6" a="1"/>
  <c r="J123" i="6"/>
  <c r="K123" i="6" a="1"/>
  <c r="K123" i="6"/>
  <c r="L123" i="6" a="1"/>
  <c r="L123" i="6"/>
  <c r="M123" i="6" a="1"/>
  <c r="M123" i="6"/>
  <c r="N123" i="6" a="1"/>
  <c r="N123" i="6"/>
  <c r="O123" i="6" a="1"/>
  <c r="O123" i="6"/>
  <c r="P123" i="6" a="1"/>
  <c r="P123" i="6"/>
  <c r="Q123" i="6" a="1"/>
  <c r="Q123" i="6"/>
  <c r="R123" i="6" a="1"/>
  <c r="R123" i="6"/>
  <c r="S123" i="6" a="1"/>
  <c r="S123" i="6"/>
  <c r="T123" i="6" a="1"/>
  <c r="T123" i="6"/>
  <c r="U123" i="6" a="1"/>
  <c r="U123" i="6"/>
  <c r="V123" i="6" a="1"/>
  <c r="V123" i="6"/>
  <c r="W123" i="6" a="1"/>
  <c r="W123" i="6"/>
  <c r="X123" i="6" a="1"/>
  <c r="X123" i="6"/>
  <c r="Y123" i="6" a="1"/>
  <c r="Y123" i="6"/>
  <c r="Z123" i="6" a="1"/>
  <c r="Z123" i="6"/>
  <c r="AA123" i="6" a="1"/>
  <c r="AA123" i="6"/>
  <c r="AB123" i="6" a="1"/>
  <c r="AB123" i="6"/>
  <c r="AC123" i="6" a="1"/>
  <c r="AC123" i="6"/>
  <c r="AD123" i="6" a="1"/>
  <c r="AD123" i="6"/>
  <c r="AE123" i="6" a="1"/>
  <c r="AE123" i="6"/>
  <c r="AF123" i="6" a="1"/>
  <c r="AF123" i="6"/>
  <c r="AG123" i="6" a="1"/>
  <c r="AG123" i="6"/>
  <c r="AH123" i="6" a="1"/>
  <c r="AH123" i="6"/>
  <c r="AI123" i="6" a="1"/>
  <c r="AI123" i="6"/>
  <c r="AJ123" i="6" a="1"/>
  <c r="AJ123" i="6"/>
  <c r="D91" i="3"/>
  <c r="B124" i="6" a="1"/>
  <c r="B124" i="6"/>
  <c r="C124" i="6" a="1"/>
  <c r="C124" i="6"/>
  <c r="D124" i="6" a="1"/>
  <c r="D124" i="6"/>
  <c r="E124" i="6" a="1"/>
  <c r="E124" i="6"/>
  <c r="F124" i="6" a="1"/>
  <c r="F124" i="6"/>
  <c r="G124" i="6" a="1"/>
  <c r="G124" i="6"/>
  <c r="H124" i="6" a="1"/>
  <c r="H124" i="6"/>
  <c r="I124" i="6" a="1"/>
  <c r="I124" i="6"/>
  <c r="J124" i="6" a="1"/>
  <c r="J124" i="6"/>
  <c r="K124" i="6" a="1"/>
  <c r="K124" i="6"/>
  <c r="L124" i="6" a="1"/>
  <c r="L124" i="6"/>
  <c r="M124" i="6" a="1"/>
  <c r="M124" i="6"/>
  <c r="N124" i="6" a="1"/>
  <c r="N124" i="6"/>
  <c r="O124" i="6" a="1"/>
  <c r="O124" i="6"/>
  <c r="P124" i="6" a="1"/>
  <c r="P124" i="6"/>
  <c r="Q124" i="6" a="1"/>
  <c r="Q124" i="6"/>
  <c r="R124" i="6" a="1"/>
  <c r="R124" i="6"/>
  <c r="S124" i="6" a="1"/>
  <c r="S124" i="6"/>
  <c r="T124" i="6" a="1"/>
  <c r="T124" i="6"/>
  <c r="U124" i="6" a="1"/>
  <c r="U124" i="6"/>
  <c r="V124" i="6" a="1"/>
  <c r="V124" i="6"/>
  <c r="W124" i="6" a="1"/>
  <c r="W124" i="6"/>
  <c r="X124" i="6" a="1"/>
  <c r="X124" i="6"/>
  <c r="Y124" i="6" a="1"/>
  <c r="Y124" i="6"/>
  <c r="Z124" i="6" a="1"/>
  <c r="Z124" i="6"/>
  <c r="AA124" i="6" a="1"/>
  <c r="AA124" i="6"/>
  <c r="AB124" i="6" a="1"/>
  <c r="AB124" i="6"/>
  <c r="AC124" i="6" a="1"/>
  <c r="AC124" i="6"/>
  <c r="AD124" i="6" a="1"/>
  <c r="AD124" i="6"/>
  <c r="AE124" i="6" a="1"/>
  <c r="AE124" i="6"/>
  <c r="AF124" i="6" a="1"/>
  <c r="AF124" i="6"/>
  <c r="AG124" i="6" a="1"/>
  <c r="AG124" i="6"/>
  <c r="AH124" i="6" a="1"/>
  <c r="AH124" i="6"/>
  <c r="AI124" i="6" a="1"/>
  <c r="AI124" i="6"/>
  <c r="AJ124" i="6" a="1"/>
  <c r="AJ124" i="6"/>
  <c r="E91" i="3"/>
  <c r="B125" i="6" a="1"/>
  <c r="B125" i="6"/>
  <c r="C125" i="6" a="1"/>
  <c r="C125" i="6"/>
  <c r="D125" i="6" a="1"/>
  <c r="D125" i="6"/>
  <c r="E125" i="6" a="1"/>
  <c r="E125" i="6"/>
  <c r="F125" i="6" a="1"/>
  <c r="F125" i="6"/>
  <c r="G125" i="6" a="1"/>
  <c r="G125" i="6"/>
  <c r="H125" i="6" a="1"/>
  <c r="H125" i="6"/>
  <c r="I125" i="6" a="1"/>
  <c r="I125" i="6"/>
  <c r="J125" i="6" a="1"/>
  <c r="J125" i="6"/>
  <c r="K125" i="6" a="1"/>
  <c r="K125" i="6"/>
  <c r="L125" i="6" a="1"/>
  <c r="L125" i="6"/>
  <c r="M125" i="6" a="1"/>
  <c r="M125" i="6"/>
  <c r="N125" i="6" a="1"/>
  <c r="N125" i="6"/>
  <c r="O125" i="6" a="1"/>
  <c r="O125" i="6"/>
  <c r="P125" i="6" a="1"/>
  <c r="P125" i="6"/>
  <c r="Q125" i="6" a="1"/>
  <c r="Q125" i="6"/>
  <c r="R125" i="6" a="1"/>
  <c r="R125" i="6"/>
  <c r="S125" i="6" a="1"/>
  <c r="S125" i="6"/>
  <c r="T125" i="6" a="1"/>
  <c r="T125" i="6"/>
  <c r="U125" i="6" a="1"/>
  <c r="U125" i="6"/>
  <c r="V125" i="6" a="1"/>
  <c r="V125" i="6"/>
  <c r="W125" i="6" a="1"/>
  <c r="W125" i="6"/>
  <c r="X125" i="6" a="1"/>
  <c r="X125" i="6"/>
  <c r="Y125" i="6" a="1"/>
  <c r="Y125" i="6"/>
  <c r="Z125" i="6" a="1"/>
  <c r="Z125" i="6"/>
  <c r="AA125" i="6" a="1"/>
  <c r="AA125" i="6"/>
  <c r="AB125" i="6" a="1"/>
  <c r="AB125" i="6"/>
  <c r="AC125" i="6" a="1"/>
  <c r="AC125" i="6"/>
  <c r="AD125" i="6" a="1"/>
  <c r="AD125" i="6"/>
  <c r="AE125" i="6" a="1"/>
  <c r="AE125" i="6"/>
  <c r="AF125" i="6" a="1"/>
  <c r="AF125" i="6"/>
  <c r="AG125" i="6" a="1"/>
  <c r="AG125" i="6"/>
  <c r="AH125" i="6" a="1"/>
  <c r="AH125" i="6"/>
  <c r="AI125" i="6" a="1"/>
  <c r="AI125" i="6"/>
  <c r="AJ125" i="6" a="1"/>
  <c r="AJ125" i="6"/>
  <c r="F91" i="3"/>
  <c r="B126" i="6" a="1"/>
  <c r="B126" i="6"/>
  <c r="C126" i="6" a="1"/>
  <c r="C126" i="6"/>
  <c r="D126" i="6" a="1"/>
  <c r="D126" i="6"/>
  <c r="E126" i="6" a="1"/>
  <c r="E126" i="6"/>
  <c r="F126" i="6" a="1"/>
  <c r="F126" i="6"/>
  <c r="G126" i="6" a="1"/>
  <c r="G126" i="6"/>
  <c r="H126" i="6" a="1"/>
  <c r="H126" i="6"/>
  <c r="I126" i="6" a="1"/>
  <c r="I126" i="6"/>
  <c r="J126" i="6" a="1"/>
  <c r="J126" i="6"/>
  <c r="K126" i="6" a="1"/>
  <c r="K126" i="6"/>
  <c r="L126" i="6" a="1"/>
  <c r="L126" i="6"/>
  <c r="M126" i="6" a="1"/>
  <c r="M126" i="6"/>
  <c r="N126" i="6" a="1"/>
  <c r="N126" i="6"/>
  <c r="O126" i="6" a="1"/>
  <c r="O126" i="6"/>
  <c r="P126" i="6" a="1"/>
  <c r="P126" i="6"/>
  <c r="Q126" i="6" a="1"/>
  <c r="Q126" i="6"/>
  <c r="R126" i="6" a="1"/>
  <c r="R126" i="6"/>
  <c r="S126" i="6" a="1"/>
  <c r="S126" i="6"/>
  <c r="T126" i="6" a="1"/>
  <c r="T126" i="6"/>
  <c r="U126" i="6" a="1"/>
  <c r="U126" i="6"/>
  <c r="V126" i="6" a="1"/>
  <c r="V126" i="6"/>
  <c r="W126" i="6" a="1"/>
  <c r="W126" i="6"/>
  <c r="X126" i="6" a="1"/>
  <c r="X126" i="6"/>
  <c r="Y126" i="6" a="1"/>
  <c r="Y126" i="6"/>
  <c r="Z126" i="6" a="1"/>
  <c r="Z126" i="6"/>
  <c r="AA126" i="6" a="1"/>
  <c r="AA126" i="6"/>
  <c r="AB126" i="6" a="1"/>
  <c r="AB126" i="6"/>
  <c r="AC126" i="6" a="1"/>
  <c r="AC126" i="6"/>
  <c r="AD126" i="6" a="1"/>
  <c r="AD126" i="6"/>
  <c r="AE126" i="6" a="1"/>
  <c r="AE126" i="6"/>
  <c r="AF126" i="6" a="1"/>
  <c r="AF126" i="6"/>
  <c r="AG126" i="6" a="1"/>
  <c r="AG126" i="6"/>
  <c r="AH126" i="6" a="1"/>
  <c r="AH126" i="6"/>
  <c r="AI126" i="6" a="1"/>
  <c r="AI126" i="6"/>
  <c r="AJ126" i="6" a="1"/>
  <c r="AJ126" i="6"/>
  <c r="G91" i="3"/>
  <c r="B127" i="6" a="1"/>
  <c r="B127" i="6"/>
  <c r="C127" i="6" a="1"/>
  <c r="C127" i="6"/>
  <c r="D127" i="6" a="1"/>
  <c r="D127" i="6"/>
  <c r="E127" i="6" a="1"/>
  <c r="E127" i="6"/>
  <c r="F127" i="6" a="1"/>
  <c r="F127" i="6"/>
  <c r="G127" i="6" a="1"/>
  <c r="G127" i="6"/>
  <c r="H127" i="6" a="1"/>
  <c r="H127" i="6"/>
  <c r="I127" i="6" a="1"/>
  <c r="I127" i="6"/>
  <c r="J127" i="6" a="1"/>
  <c r="J127" i="6"/>
  <c r="K127" i="6" a="1"/>
  <c r="K127" i="6"/>
  <c r="L127" i="6" a="1"/>
  <c r="L127" i="6"/>
  <c r="M127" i="6" a="1"/>
  <c r="M127" i="6"/>
  <c r="N127" i="6" a="1"/>
  <c r="N127" i="6"/>
  <c r="O127" i="6" a="1"/>
  <c r="O127" i="6"/>
  <c r="P127" i="6" a="1"/>
  <c r="P127" i="6"/>
  <c r="Q127" i="6" a="1"/>
  <c r="Q127" i="6"/>
  <c r="R127" i="6" a="1"/>
  <c r="R127" i="6"/>
  <c r="S127" i="6" a="1"/>
  <c r="S127" i="6"/>
  <c r="T127" i="6" a="1"/>
  <c r="T127" i="6"/>
  <c r="U127" i="6" a="1"/>
  <c r="U127" i="6"/>
  <c r="V127" i="6" a="1"/>
  <c r="V127" i="6"/>
  <c r="W127" i="6" a="1"/>
  <c r="W127" i="6"/>
  <c r="X127" i="6" a="1"/>
  <c r="X127" i="6"/>
  <c r="Y127" i="6" a="1"/>
  <c r="Y127" i="6"/>
  <c r="Z127" i="6" a="1"/>
  <c r="Z127" i="6"/>
  <c r="AA127" i="6" a="1"/>
  <c r="AA127" i="6"/>
  <c r="AB127" i="6" a="1"/>
  <c r="AB127" i="6"/>
  <c r="AC127" i="6" a="1"/>
  <c r="AC127" i="6"/>
  <c r="AD127" i="6" a="1"/>
  <c r="AD127" i="6"/>
  <c r="AE127" i="6" a="1"/>
  <c r="AE127" i="6"/>
  <c r="AF127" i="6" a="1"/>
  <c r="AF127" i="6"/>
  <c r="AG127" i="6" a="1"/>
  <c r="AG127" i="6"/>
  <c r="AH127" i="6" a="1"/>
  <c r="AH127" i="6"/>
  <c r="AI127" i="6" a="1"/>
  <c r="AI127" i="6"/>
  <c r="AJ127" i="6" a="1"/>
  <c r="AJ127" i="6"/>
  <c r="F158" i="10" a="1"/>
  <c r="F158" i="10"/>
  <c r="G158" i="10" a="1"/>
  <c r="G158" i="10"/>
  <c r="H158" i="10" a="1"/>
  <c r="H158" i="10"/>
  <c r="I158" i="10" a="1"/>
  <c r="I158" i="10"/>
  <c r="J158" i="10" a="1"/>
  <c r="J158" i="10"/>
  <c r="K158" i="10" a="1"/>
  <c r="K158" i="10"/>
  <c r="L158" i="10" a="1"/>
  <c r="L158" i="10"/>
  <c r="M158" i="10" a="1"/>
  <c r="M158" i="10"/>
  <c r="N158" i="10" a="1"/>
  <c r="N158" i="10"/>
  <c r="O158" i="10" a="1"/>
  <c r="O158" i="10"/>
  <c r="P158" i="10" a="1"/>
  <c r="P158" i="10"/>
  <c r="Q158" i="10" a="1"/>
  <c r="Q158" i="10"/>
  <c r="R158" i="10" a="1"/>
  <c r="R158" i="10"/>
  <c r="S158" i="10" a="1"/>
  <c r="S158" i="10"/>
  <c r="E158" i="10" a="1"/>
  <c r="E158" i="10"/>
  <c r="CA162" i="10" a="1"/>
  <c r="CA162" i="10"/>
  <c r="S161" i="10"/>
  <c r="R161" i="10"/>
  <c r="Q161" i="10"/>
  <c r="P161" i="10"/>
  <c r="O161" i="10"/>
  <c r="N161" i="10"/>
  <c r="M161" i="10"/>
  <c r="L161" i="10"/>
  <c r="K161" i="10"/>
  <c r="J161" i="10"/>
  <c r="I161" i="10"/>
  <c r="H161" i="10"/>
  <c r="G161" i="10"/>
  <c r="F161" i="10"/>
  <c r="E161" i="10"/>
  <c r="S155" i="10"/>
  <c r="R155" i="10"/>
  <c r="Q155" i="10"/>
  <c r="P155" i="10"/>
  <c r="O155" i="10"/>
  <c r="N155" i="10"/>
  <c r="M155" i="10"/>
  <c r="L155" i="10"/>
  <c r="K155" i="10"/>
  <c r="J155" i="10"/>
  <c r="I155" i="10"/>
  <c r="H155" i="10"/>
  <c r="G155" i="10"/>
  <c r="F155" i="10"/>
  <c r="E155" i="10"/>
  <c r="S156" i="10"/>
  <c r="R156" i="10"/>
  <c r="Q156" i="10"/>
  <c r="P156" i="10"/>
  <c r="O156" i="10"/>
  <c r="N156" i="10"/>
  <c r="M156" i="10"/>
  <c r="L156" i="10"/>
  <c r="K156" i="10"/>
  <c r="J156" i="10"/>
  <c r="I156" i="10"/>
  <c r="H156" i="10"/>
  <c r="G156" i="10"/>
  <c r="F156" i="10"/>
  <c r="E156" i="10"/>
  <c r="E418" i="10" a="1"/>
  <c r="E418" i="10"/>
  <c r="G418" i="10" a="1"/>
  <c r="G418" i="10"/>
  <c r="I418" i="10" a="1"/>
  <c r="I418" i="10"/>
  <c r="E419" i="10" a="1"/>
  <c r="E419" i="10"/>
  <c r="G419" i="10" a="1"/>
  <c r="G419" i="10"/>
  <c r="I419" i="10" a="1"/>
  <c r="I419" i="10"/>
  <c r="E420" i="10" a="1"/>
  <c r="E420" i="10"/>
  <c r="G420" i="10" a="1"/>
  <c r="G420" i="10"/>
  <c r="I420" i="10" a="1"/>
  <c r="I420" i="10"/>
  <c r="K128" i="8"/>
  <c r="J128" i="8"/>
  <c r="I128" i="8"/>
  <c r="H128" i="8"/>
  <c r="G128" i="8"/>
  <c r="F128" i="8"/>
  <c r="E128" i="8"/>
  <c r="D128" i="8"/>
  <c r="C128" i="8"/>
  <c r="B128" i="8"/>
  <c r="K316" i="10"/>
  <c r="L316" i="10"/>
  <c r="M316" i="10"/>
  <c r="N316" i="10"/>
  <c r="O316" i="10"/>
  <c r="P316" i="10"/>
  <c r="Q316" i="10"/>
  <c r="R316" i="10"/>
  <c r="S316" i="10"/>
  <c r="J316" i="10"/>
  <c r="I316" i="10"/>
  <c r="H316" i="10"/>
  <c r="G316" i="10"/>
  <c r="F316" i="10"/>
  <c r="E316" i="10"/>
  <c r="C97" i="3"/>
  <c r="CJ51" i="11"/>
  <c r="CJ52" i="11"/>
  <c r="CJ53" i="11"/>
  <c r="CJ54" i="11"/>
  <c r="CJ55" i="11"/>
  <c r="CJ56" i="11"/>
  <c r="CJ57" i="11"/>
  <c r="CJ58" i="11"/>
  <c r="CJ59" i="11"/>
  <c r="CJ60" i="11"/>
  <c r="CJ61" i="11"/>
  <c r="CJ62" i="11"/>
  <c r="CJ63" i="11"/>
  <c r="CJ64" i="11"/>
  <c r="CJ65" i="11"/>
  <c r="CJ66" i="11"/>
  <c r="CJ67" i="11"/>
  <c r="CJ68" i="11"/>
  <c r="CJ69" i="11"/>
  <c r="CJ70" i="11"/>
  <c r="CJ71" i="11"/>
  <c r="CJ72" i="11"/>
  <c r="CJ73" i="11"/>
  <c r="CJ74" i="11"/>
  <c r="CJ75" i="11"/>
  <c r="CJ76" i="11"/>
  <c r="CJ77" i="11"/>
  <c r="CJ78" i="11"/>
  <c r="CJ79" i="11"/>
  <c r="CJ80" i="11"/>
  <c r="CJ81" i="11"/>
  <c r="CJ82" i="11"/>
  <c r="CJ83" i="11"/>
  <c r="CJ84" i="11"/>
  <c r="CJ85" i="11"/>
  <c r="CJ86" i="11"/>
  <c r="CJ87" i="11"/>
  <c r="CJ88" i="11"/>
  <c r="CJ89" i="11"/>
  <c r="CJ90" i="11"/>
  <c r="CJ91" i="11"/>
  <c r="CJ92" i="11"/>
  <c r="CJ93" i="11"/>
  <c r="CJ94" i="11"/>
  <c r="CJ95" i="11"/>
  <c r="CJ96" i="11"/>
  <c r="CJ97" i="11"/>
  <c r="CJ98" i="11"/>
  <c r="CJ99" i="11"/>
  <c r="CJ100" i="11"/>
  <c r="CJ101" i="11"/>
  <c r="CJ102" i="11"/>
  <c r="CJ103" i="11"/>
  <c r="CJ104" i="11"/>
  <c r="CJ105" i="11"/>
  <c r="CJ106" i="11"/>
  <c r="CJ107" i="11"/>
  <c r="CJ108" i="11"/>
  <c r="CJ109" i="11"/>
  <c r="CJ110" i="11"/>
  <c r="CJ111" i="11"/>
  <c r="CJ112" i="11"/>
  <c r="CJ113" i="11"/>
  <c r="CJ114" i="11"/>
  <c r="CJ115" i="11"/>
  <c r="CJ116" i="11"/>
  <c r="CJ117" i="11"/>
  <c r="CJ118" i="11"/>
  <c r="CJ119" i="11"/>
  <c r="CJ120" i="11"/>
  <c r="CJ121" i="11"/>
  <c r="CJ122" i="11"/>
  <c r="CJ123" i="11"/>
  <c r="CJ124" i="11"/>
  <c r="CJ125" i="11"/>
  <c r="CJ126" i="11"/>
  <c r="CJ127" i="11"/>
  <c r="CJ128" i="11"/>
  <c r="CJ129" i="11"/>
  <c r="CJ130" i="11"/>
  <c r="CJ131" i="11"/>
  <c r="CJ132" i="11"/>
  <c r="CJ133" i="11"/>
  <c r="CJ134" i="11"/>
  <c r="CJ135" i="11"/>
  <c r="CJ136" i="11"/>
  <c r="CJ5" i="11"/>
  <c r="CI5" i="11"/>
  <c r="CI6" i="11"/>
  <c r="AA352" i="11"/>
  <c r="AB352" i="11"/>
  <c r="AC352" i="11"/>
  <c r="AD352" i="11"/>
  <c r="AE352" i="11"/>
  <c r="AF352" i="11"/>
  <c r="AG352" i="11"/>
  <c r="AH352" i="11"/>
  <c r="AA353" i="11"/>
  <c r="AB353" i="11"/>
  <c r="AC353" i="11"/>
  <c r="AD353" i="11"/>
  <c r="AE353" i="11"/>
  <c r="AF353" i="11"/>
  <c r="AG353" i="11"/>
  <c r="AH353" i="11"/>
  <c r="AA354" i="11"/>
  <c r="AB354" i="11"/>
  <c r="AC354" i="11"/>
  <c r="AD354" i="11"/>
  <c r="AE354" i="11"/>
  <c r="AF354" i="11"/>
  <c r="AG354" i="11"/>
  <c r="AH354" i="11"/>
  <c r="AA355" i="11"/>
  <c r="AB355" i="11"/>
  <c r="AC355" i="11"/>
  <c r="AD355" i="11"/>
  <c r="AE355" i="11"/>
  <c r="AF355" i="11"/>
  <c r="AG355" i="11"/>
  <c r="AH355" i="11"/>
  <c r="AA356" i="11"/>
  <c r="AB356" i="11"/>
  <c r="AC356" i="11"/>
  <c r="AD356" i="11"/>
  <c r="AE356" i="11"/>
  <c r="AF356" i="11"/>
  <c r="AG356" i="11"/>
  <c r="AH356" i="11"/>
  <c r="AA357" i="11"/>
  <c r="AB357" i="11"/>
  <c r="AC357" i="11"/>
  <c r="AD357" i="11"/>
  <c r="AE357" i="11"/>
  <c r="AF357" i="11"/>
  <c r="AG357" i="11"/>
  <c r="AH357" i="11"/>
  <c r="AA358" i="11"/>
  <c r="AB358" i="11"/>
  <c r="AC358" i="11"/>
  <c r="AD358" i="11"/>
  <c r="AE358" i="11"/>
  <c r="AF358" i="11"/>
  <c r="AG358" i="11"/>
  <c r="AH358" i="11"/>
  <c r="AA359" i="11"/>
  <c r="AB359" i="11"/>
  <c r="AC359" i="11"/>
  <c r="AD359" i="11"/>
  <c r="AE359" i="11"/>
  <c r="AF359" i="11"/>
  <c r="AG359" i="11"/>
  <c r="AH359" i="11"/>
  <c r="AA360" i="11"/>
  <c r="AB360" i="11"/>
  <c r="AC360" i="11"/>
  <c r="AD360" i="11"/>
  <c r="AE360" i="11"/>
  <c r="AF360" i="11"/>
  <c r="AG360" i="11"/>
  <c r="AH360" i="11"/>
  <c r="AA361" i="11"/>
  <c r="AB361" i="11"/>
  <c r="AC361" i="11"/>
  <c r="AD361" i="11"/>
  <c r="AE361" i="11"/>
  <c r="AF361" i="11"/>
  <c r="AG361" i="11"/>
  <c r="AH361" i="11"/>
  <c r="AA362" i="11"/>
  <c r="AB362" i="11"/>
  <c r="AC362" i="11"/>
  <c r="AD362" i="11"/>
  <c r="AE362" i="11"/>
  <c r="AF362" i="11"/>
  <c r="AG362" i="11"/>
  <c r="AH362" i="11"/>
  <c r="AA363" i="11"/>
  <c r="AB363" i="11"/>
  <c r="AC363" i="11"/>
  <c r="AD363" i="11"/>
  <c r="AE363" i="11"/>
  <c r="AF363" i="11"/>
  <c r="AG363" i="11"/>
  <c r="AH363" i="11"/>
  <c r="AA364" i="11"/>
  <c r="AB364" i="11"/>
  <c r="AC364" i="11"/>
  <c r="AD364" i="11"/>
  <c r="AE364" i="11"/>
  <c r="AF364" i="11"/>
  <c r="AG364" i="11"/>
  <c r="AH364" i="11"/>
  <c r="AA365" i="11"/>
  <c r="AB365" i="11"/>
  <c r="AC365" i="11"/>
  <c r="AD365" i="11"/>
  <c r="AE365" i="11"/>
  <c r="AF365" i="11"/>
  <c r="AG365" i="11"/>
  <c r="AH365" i="11"/>
  <c r="AA366" i="11"/>
  <c r="AB366" i="11"/>
  <c r="AC366" i="11"/>
  <c r="AD366" i="11"/>
  <c r="AE366" i="11"/>
  <c r="AF366" i="11"/>
  <c r="AG366" i="11"/>
  <c r="AH366" i="11"/>
  <c r="AA367" i="11"/>
  <c r="AB367" i="11"/>
  <c r="AC367" i="11"/>
  <c r="AD367" i="11"/>
  <c r="AE367" i="11"/>
  <c r="AF367" i="11"/>
  <c r="AG367" i="11"/>
  <c r="AH367" i="11"/>
  <c r="AA368" i="11"/>
  <c r="AB368" i="11"/>
  <c r="AC368" i="11"/>
  <c r="AD368" i="11"/>
  <c r="AE368" i="11"/>
  <c r="AF368" i="11"/>
  <c r="AG368" i="11"/>
  <c r="AH368" i="11"/>
  <c r="AA369" i="11"/>
  <c r="AB369" i="11"/>
  <c r="AC369" i="11"/>
  <c r="AD369" i="11"/>
  <c r="AE369" i="11"/>
  <c r="AF369" i="11"/>
  <c r="AG369" i="11"/>
  <c r="AH369" i="11"/>
  <c r="AA370" i="11"/>
  <c r="AB370" i="11"/>
  <c r="AC370" i="11"/>
  <c r="AD370" i="11"/>
  <c r="AE370" i="11"/>
  <c r="AF370" i="11"/>
  <c r="AG370" i="11"/>
  <c r="AH370" i="11"/>
  <c r="AA371" i="11"/>
  <c r="AB371" i="11"/>
  <c r="AC371" i="11"/>
  <c r="AD371" i="11"/>
  <c r="AE371" i="11"/>
  <c r="AF371" i="11"/>
  <c r="AG371" i="11"/>
  <c r="AH371" i="11"/>
  <c r="AA372" i="11"/>
  <c r="AB372" i="11"/>
  <c r="AC372" i="11"/>
  <c r="AD372" i="11"/>
  <c r="AE372" i="11"/>
  <c r="AF372" i="11"/>
  <c r="AG372" i="11"/>
  <c r="AH372" i="11"/>
  <c r="AA373" i="11"/>
  <c r="AB373" i="11"/>
  <c r="AC373" i="11"/>
  <c r="AD373" i="11"/>
  <c r="AE373" i="11"/>
  <c r="AF373" i="11"/>
  <c r="AG373" i="11"/>
  <c r="AH373" i="11"/>
  <c r="AA374" i="11"/>
  <c r="AB374" i="11"/>
  <c r="AC374" i="11"/>
  <c r="AD374" i="11"/>
  <c r="AE374" i="11"/>
  <c r="AF374" i="11"/>
  <c r="AG374" i="11"/>
  <c r="AH374" i="11"/>
  <c r="AA375" i="11"/>
  <c r="AB375" i="11"/>
  <c r="AC375" i="11"/>
  <c r="AD375" i="11"/>
  <c r="AE375" i="11"/>
  <c r="AF375" i="11"/>
  <c r="AG375" i="11"/>
  <c r="AH375" i="11"/>
  <c r="AA376" i="11"/>
  <c r="AB376" i="11"/>
  <c r="AC376" i="11"/>
  <c r="AD376" i="11"/>
  <c r="AE376" i="11"/>
  <c r="AF376" i="11"/>
  <c r="AG376" i="11"/>
  <c r="AH376" i="11"/>
  <c r="AA377" i="11"/>
  <c r="AB377" i="11"/>
  <c r="AC377" i="11"/>
  <c r="AD377" i="11"/>
  <c r="AE377" i="11"/>
  <c r="AF377" i="11"/>
  <c r="AG377" i="11"/>
  <c r="AH377" i="11"/>
  <c r="AA378" i="11"/>
  <c r="AB378" i="11"/>
  <c r="AC378" i="11"/>
  <c r="AD378" i="11"/>
  <c r="AE378" i="11"/>
  <c r="AF378" i="11"/>
  <c r="AG378" i="11"/>
  <c r="AH378" i="11"/>
  <c r="AA379" i="11"/>
  <c r="AB379" i="11"/>
  <c r="AC379" i="11"/>
  <c r="AD379" i="11"/>
  <c r="AE379" i="11"/>
  <c r="AF379" i="11"/>
  <c r="AG379" i="11"/>
  <c r="AH379" i="11"/>
  <c r="AA380" i="11"/>
  <c r="AB380" i="11"/>
  <c r="AC380" i="11"/>
  <c r="AD380" i="11"/>
  <c r="AE380" i="11"/>
  <c r="AF380" i="11"/>
  <c r="AG380" i="11"/>
  <c r="AH380" i="11"/>
  <c r="AA381" i="11"/>
  <c r="AB381" i="11"/>
  <c r="AC381" i="11"/>
  <c r="AD381" i="11"/>
  <c r="AE381" i="11"/>
  <c r="AF381" i="11"/>
  <c r="AG381" i="11"/>
  <c r="AH381" i="11"/>
  <c r="AA382" i="11"/>
  <c r="AB382" i="11"/>
  <c r="AC382" i="11"/>
  <c r="AD382" i="11"/>
  <c r="AE382" i="11"/>
  <c r="AF382" i="11"/>
  <c r="AG382" i="11"/>
  <c r="AH382" i="11"/>
  <c r="R383" i="11"/>
  <c r="AA383" i="11"/>
  <c r="AB383" i="11"/>
  <c r="AC383" i="11"/>
  <c r="AD383" i="11"/>
  <c r="AE383" i="11"/>
  <c r="AF383" i="11"/>
  <c r="AG383" i="11"/>
  <c r="AH383" i="11"/>
  <c r="R384" i="11"/>
  <c r="CO52" i="11"/>
  <c r="AA384" i="11"/>
  <c r="CP52" i="11"/>
  <c r="AB384" i="11"/>
  <c r="CQ52" i="11"/>
  <c r="AC384" i="11"/>
  <c r="CR52" i="11"/>
  <c r="AD384" i="11"/>
  <c r="CV52" i="11"/>
  <c r="AE384" i="11"/>
  <c r="CW52" i="11"/>
  <c r="AF384" i="11"/>
  <c r="CX52" i="11"/>
  <c r="AG384" i="11"/>
  <c r="CY52" i="11"/>
  <c r="AH384" i="11"/>
  <c r="R385" i="11"/>
  <c r="CO53" i="11"/>
  <c r="AA385" i="11"/>
  <c r="CP53" i="11"/>
  <c r="AB385" i="11"/>
  <c r="CQ53" i="11"/>
  <c r="AC385" i="11"/>
  <c r="CR53" i="11"/>
  <c r="AD385" i="11"/>
  <c r="CV53" i="11"/>
  <c r="AE385" i="11"/>
  <c r="CW53" i="11"/>
  <c r="AF385" i="11"/>
  <c r="CX53" i="11"/>
  <c r="AG385" i="11"/>
  <c r="CY53" i="11"/>
  <c r="AH385" i="11"/>
  <c r="R386" i="11"/>
  <c r="CO54" i="11"/>
  <c r="AA386" i="11"/>
  <c r="CP54" i="11"/>
  <c r="AB386" i="11"/>
  <c r="CQ54" i="11"/>
  <c r="AC386" i="11"/>
  <c r="CR54" i="11"/>
  <c r="AD386" i="11"/>
  <c r="CV54" i="11"/>
  <c r="AE386" i="11"/>
  <c r="CW54" i="11"/>
  <c r="AF386" i="11"/>
  <c r="CX54" i="11"/>
  <c r="AG386" i="11"/>
  <c r="CY54" i="11"/>
  <c r="AH386" i="11"/>
  <c r="R387" i="11"/>
  <c r="CO55" i="11"/>
  <c r="AA387" i="11"/>
  <c r="CP55" i="11"/>
  <c r="AB387" i="11"/>
  <c r="CQ55" i="11"/>
  <c r="AC387" i="11"/>
  <c r="CR55" i="11"/>
  <c r="AD387" i="11"/>
  <c r="CV55" i="11"/>
  <c r="AE387" i="11"/>
  <c r="CW55" i="11"/>
  <c r="AF387" i="11"/>
  <c r="CX55" i="11"/>
  <c r="AG387" i="11"/>
  <c r="CY55" i="11"/>
  <c r="AH387" i="11"/>
  <c r="R388" i="11"/>
  <c r="CO56" i="11"/>
  <c r="AA388" i="11"/>
  <c r="CP56" i="11"/>
  <c r="AB388" i="11"/>
  <c r="CQ56" i="11"/>
  <c r="AC388" i="11"/>
  <c r="CR56" i="11"/>
  <c r="AD388" i="11"/>
  <c r="CV56" i="11"/>
  <c r="AE388" i="11"/>
  <c r="CW56" i="11"/>
  <c r="AF388" i="11"/>
  <c r="CX56" i="11"/>
  <c r="AG388" i="11"/>
  <c r="CY56" i="11"/>
  <c r="AH388" i="11"/>
  <c r="R389" i="11"/>
  <c r="CO57" i="11"/>
  <c r="AA389" i="11"/>
  <c r="CP57" i="11"/>
  <c r="AB389" i="11"/>
  <c r="CQ57" i="11"/>
  <c r="AC389" i="11"/>
  <c r="CR57" i="11"/>
  <c r="AD389" i="11"/>
  <c r="CV57" i="11"/>
  <c r="AE389" i="11"/>
  <c r="CW57" i="11"/>
  <c r="AF389" i="11"/>
  <c r="CX57" i="11"/>
  <c r="AG389" i="11"/>
  <c r="CY57" i="11"/>
  <c r="AH389" i="11"/>
  <c r="R390" i="11"/>
  <c r="CO58" i="11"/>
  <c r="AA390" i="11"/>
  <c r="CP58" i="11"/>
  <c r="AB390" i="11"/>
  <c r="CQ58" i="11"/>
  <c r="AC390" i="11"/>
  <c r="CR58" i="11"/>
  <c r="AD390" i="11"/>
  <c r="CV58" i="11"/>
  <c r="AE390" i="11"/>
  <c r="CW58" i="11"/>
  <c r="AF390" i="11"/>
  <c r="CX58" i="11"/>
  <c r="AG390" i="11"/>
  <c r="CY58" i="11"/>
  <c r="AH390" i="11"/>
  <c r="R391" i="11"/>
  <c r="CO59" i="11"/>
  <c r="AA391" i="11"/>
  <c r="CP59" i="11"/>
  <c r="AB391" i="11"/>
  <c r="CQ59" i="11"/>
  <c r="AC391" i="11"/>
  <c r="CR59" i="11"/>
  <c r="AD391" i="11"/>
  <c r="CV59" i="11"/>
  <c r="AE391" i="11"/>
  <c r="CW59" i="11"/>
  <c r="AF391" i="11"/>
  <c r="CX59" i="11"/>
  <c r="AG391" i="11"/>
  <c r="CY59" i="11"/>
  <c r="AH391" i="11"/>
  <c r="R392" i="11"/>
  <c r="CO60" i="11"/>
  <c r="AA392" i="11"/>
  <c r="CP60" i="11"/>
  <c r="AB392" i="11"/>
  <c r="CQ60" i="11"/>
  <c r="AC392" i="11"/>
  <c r="CR60" i="11"/>
  <c r="AD392" i="11"/>
  <c r="CV60" i="11"/>
  <c r="AE392" i="11"/>
  <c r="CW60" i="11"/>
  <c r="AF392" i="11"/>
  <c r="CX60" i="11"/>
  <c r="AG392" i="11"/>
  <c r="CY60" i="11"/>
  <c r="AH392" i="11"/>
  <c r="R393" i="11"/>
  <c r="CO61" i="11"/>
  <c r="AA393" i="11"/>
  <c r="CP61" i="11"/>
  <c r="AB393" i="11"/>
  <c r="CQ61" i="11"/>
  <c r="AC393" i="11"/>
  <c r="CR61" i="11"/>
  <c r="AD393" i="11"/>
  <c r="CV61" i="11"/>
  <c r="AE393" i="11"/>
  <c r="CW61" i="11"/>
  <c r="AF393" i="11"/>
  <c r="CX61" i="11"/>
  <c r="AG393" i="11"/>
  <c r="CY61" i="11"/>
  <c r="AH393" i="11"/>
  <c r="R394" i="11"/>
  <c r="CO62" i="11"/>
  <c r="AA394" i="11"/>
  <c r="CP62" i="11"/>
  <c r="AB394" i="11"/>
  <c r="CQ62" i="11"/>
  <c r="AC394" i="11"/>
  <c r="CR62" i="11"/>
  <c r="AD394" i="11"/>
  <c r="CV62" i="11"/>
  <c r="AE394" i="11"/>
  <c r="CW62" i="11"/>
  <c r="AF394" i="11"/>
  <c r="CX62" i="11"/>
  <c r="AG394" i="11"/>
  <c r="CY62" i="11"/>
  <c r="AH394" i="11"/>
  <c r="R395" i="11"/>
  <c r="CO63" i="11"/>
  <c r="AA395" i="11"/>
  <c r="CP63" i="11"/>
  <c r="AB395" i="11"/>
  <c r="CQ63" i="11"/>
  <c r="AC395" i="11"/>
  <c r="CR63" i="11"/>
  <c r="AD395" i="11"/>
  <c r="CV63" i="11"/>
  <c r="AE395" i="11"/>
  <c r="CW63" i="11"/>
  <c r="AF395" i="11"/>
  <c r="CX63" i="11"/>
  <c r="AG395" i="11"/>
  <c r="CY63" i="11"/>
  <c r="AH395" i="11"/>
  <c r="R396" i="11"/>
  <c r="CO64" i="11"/>
  <c r="AA396" i="11"/>
  <c r="CP64" i="11"/>
  <c r="AB396" i="11"/>
  <c r="CQ64" i="11"/>
  <c r="AC396" i="11"/>
  <c r="CR64" i="11"/>
  <c r="AD396" i="11"/>
  <c r="CV64" i="11"/>
  <c r="AE396" i="11"/>
  <c r="CW64" i="11"/>
  <c r="AF396" i="11"/>
  <c r="CX64" i="11"/>
  <c r="AG396" i="11"/>
  <c r="CY64" i="11"/>
  <c r="AH396" i="11"/>
  <c r="R397" i="11"/>
  <c r="CO65" i="11"/>
  <c r="AA397" i="11"/>
  <c r="CP65" i="11"/>
  <c r="AB397" i="11"/>
  <c r="CQ65" i="11"/>
  <c r="AC397" i="11"/>
  <c r="CR65" i="11"/>
  <c r="AD397" i="11"/>
  <c r="CV65" i="11"/>
  <c r="AE397" i="11"/>
  <c r="CW65" i="11"/>
  <c r="AF397" i="11"/>
  <c r="CX65" i="11"/>
  <c r="AG397" i="11"/>
  <c r="CY65" i="11"/>
  <c r="AH397" i="11"/>
  <c r="R398" i="11"/>
  <c r="CO66" i="11"/>
  <c r="AA398" i="11"/>
  <c r="CP66" i="11"/>
  <c r="AB398" i="11"/>
  <c r="CQ66" i="11"/>
  <c r="AC398" i="11"/>
  <c r="CR66" i="11"/>
  <c r="AD398" i="11"/>
  <c r="CV66" i="11"/>
  <c r="AE398" i="11"/>
  <c r="CW66" i="11"/>
  <c r="AF398" i="11"/>
  <c r="CX66" i="11"/>
  <c r="AG398" i="11"/>
  <c r="CY66" i="11"/>
  <c r="AH398" i="11"/>
  <c r="R399" i="11"/>
  <c r="CO67" i="11"/>
  <c r="AA399" i="11"/>
  <c r="CP67" i="11"/>
  <c r="AB399" i="11"/>
  <c r="CQ67" i="11"/>
  <c r="AC399" i="11"/>
  <c r="CR67" i="11"/>
  <c r="AD399" i="11"/>
  <c r="CV67" i="11"/>
  <c r="AE399" i="11"/>
  <c r="CW67" i="11"/>
  <c r="AF399" i="11"/>
  <c r="CX67" i="11"/>
  <c r="AG399" i="11"/>
  <c r="CY67" i="11"/>
  <c r="AH399" i="11"/>
  <c r="R400" i="11"/>
  <c r="CO68" i="11"/>
  <c r="AA400" i="11"/>
  <c r="CP68" i="11"/>
  <c r="AB400" i="11"/>
  <c r="CQ68" i="11"/>
  <c r="AC400" i="11"/>
  <c r="CR68" i="11"/>
  <c r="AD400" i="11"/>
  <c r="CV68" i="11"/>
  <c r="AE400" i="11"/>
  <c r="CW68" i="11"/>
  <c r="AF400" i="11"/>
  <c r="CX68" i="11"/>
  <c r="AG400" i="11"/>
  <c r="CY68" i="11"/>
  <c r="AH400" i="11"/>
  <c r="R401" i="11"/>
  <c r="CO69" i="11"/>
  <c r="AA401" i="11"/>
  <c r="CP69" i="11"/>
  <c r="AB401" i="11"/>
  <c r="CQ69" i="11"/>
  <c r="AC401" i="11"/>
  <c r="CR69" i="11"/>
  <c r="AD401" i="11"/>
  <c r="CV69" i="11"/>
  <c r="AE401" i="11"/>
  <c r="CW69" i="11"/>
  <c r="AF401" i="11"/>
  <c r="CX69" i="11"/>
  <c r="AG401" i="11"/>
  <c r="CY69" i="11"/>
  <c r="AH401" i="11"/>
  <c r="R402" i="11"/>
  <c r="CO70" i="11"/>
  <c r="AA402" i="11"/>
  <c r="CP70" i="11"/>
  <c r="AB402" i="11"/>
  <c r="CQ70" i="11"/>
  <c r="AC402" i="11"/>
  <c r="CR70" i="11"/>
  <c r="AD402" i="11"/>
  <c r="CV70" i="11"/>
  <c r="AE402" i="11"/>
  <c r="CW70" i="11"/>
  <c r="AF402" i="11"/>
  <c r="CX70" i="11"/>
  <c r="AG402" i="11"/>
  <c r="CY70" i="11"/>
  <c r="AH402" i="11"/>
  <c r="R403" i="11"/>
  <c r="CO71" i="11"/>
  <c r="AA403" i="11"/>
  <c r="CP71" i="11"/>
  <c r="AB403" i="11"/>
  <c r="CQ71" i="11"/>
  <c r="AC403" i="11"/>
  <c r="CR71" i="11"/>
  <c r="AD403" i="11"/>
  <c r="CV71" i="11"/>
  <c r="AE403" i="11"/>
  <c r="CW71" i="11"/>
  <c r="AF403" i="11"/>
  <c r="CX71" i="11"/>
  <c r="AG403" i="11"/>
  <c r="CY71" i="11"/>
  <c r="AH403" i="11"/>
  <c r="R404" i="11"/>
  <c r="CO72" i="11"/>
  <c r="AA404" i="11"/>
  <c r="CP72" i="11"/>
  <c r="AB404" i="11"/>
  <c r="CQ72" i="11"/>
  <c r="AC404" i="11"/>
  <c r="CR72" i="11"/>
  <c r="AD404" i="11"/>
  <c r="CV72" i="11"/>
  <c r="AE404" i="11"/>
  <c r="CW72" i="11"/>
  <c r="AF404" i="11"/>
  <c r="CX72" i="11"/>
  <c r="AG404" i="11"/>
  <c r="CY72" i="11"/>
  <c r="AH404" i="11"/>
  <c r="R405" i="11"/>
  <c r="CO73" i="11"/>
  <c r="AA405" i="11"/>
  <c r="CP73" i="11"/>
  <c r="AB405" i="11"/>
  <c r="CQ73" i="11"/>
  <c r="AC405" i="11"/>
  <c r="CR73" i="11"/>
  <c r="AD405" i="11"/>
  <c r="CV73" i="11"/>
  <c r="AE405" i="11"/>
  <c r="CW73" i="11"/>
  <c r="AF405" i="11"/>
  <c r="CX73" i="11"/>
  <c r="AG405" i="11"/>
  <c r="CY73" i="11"/>
  <c r="AH405" i="11"/>
  <c r="R406" i="11"/>
  <c r="CO74" i="11"/>
  <c r="AA406" i="11"/>
  <c r="CP74" i="11"/>
  <c r="AB406" i="11"/>
  <c r="CQ74" i="11"/>
  <c r="AC406" i="11"/>
  <c r="CR74" i="11"/>
  <c r="AD406" i="11"/>
  <c r="CV74" i="11"/>
  <c r="AE406" i="11"/>
  <c r="CW74" i="11"/>
  <c r="AF406" i="11"/>
  <c r="CX74" i="11"/>
  <c r="AG406" i="11"/>
  <c r="CY74" i="11"/>
  <c r="AH406" i="11"/>
  <c r="R407" i="11"/>
  <c r="CO75" i="11"/>
  <c r="AA407" i="11"/>
  <c r="CP75" i="11"/>
  <c r="AB407" i="11"/>
  <c r="CQ75" i="11"/>
  <c r="AC407" i="11"/>
  <c r="CR75" i="11"/>
  <c r="AD407" i="11"/>
  <c r="CV75" i="11"/>
  <c r="AE407" i="11"/>
  <c r="CW75" i="11"/>
  <c r="AF407" i="11"/>
  <c r="CX75" i="11"/>
  <c r="AG407" i="11"/>
  <c r="CY75" i="11"/>
  <c r="AH407" i="11"/>
  <c r="R408" i="11"/>
  <c r="CO76" i="11"/>
  <c r="AA408" i="11"/>
  <c r="CP76" i="11"/>
  <c r="AB408" i="11"/>
  <c r="CQ76" i="11"/>
  <c r="AC408" i="11"/>
  <c r="CR76" i="11"/>
  <c r="AD408" i="11"/>
  <c r="CV76" i="11"/>
  <c r="AE408" i="11"/>
  <c r="CW76" i="11"/>
  <c r="AF408" i="11"/>
  <c r="CX76" i="11"/>
  <c r="AG408" i="11"/>
  <c r="CY76" i="11"/>
  <c r="AH408" i="11"/>
  <c r="R409" i="11"/>
  <c r="CO77" i="11"/>
  <c r="AA409" i="11"/>
  <c r="CP77" i="11"/>
  <c r="AB409" i="11"/>
  <c r="CQ77" i="11"/>
  <c r="AC409" i="11"/>
  <c r="CR77" i="11"/>
  <c r="AD409" i="11"/>
  <c r="CV77" i="11"/>
  <c r="AE409" i="11"/>
  <c r="CW77" i="11"/>
  <c r="AF409" i="11"/>
  <c r="CX77" i="11"/>
  <c r="AG409" i="11"/>
  <c r="CY77" i="11"/>
  <c r="AH409" i="11"/>
  <c r="R410" i="11"/>
  <c r="CO78" i="11"/>
  <c r="AA410" i="11"/>
  <c r="CP78" i="11"/>
  <c r="AB410" i="11"/>
  <c r="CQ78" i="11"/>
  <c r="AC410" i="11"/>
  <c r="CR78" i="11"/>
  <c r="AD410" i="11"/>
  <c r="CV78" i="11"/>
  <c r="AE410" i="11"/>
  <c r="CW78" i="11"/>
  <c r="AF410" i="11"/>
  <c r="CX78" i="11"/>
  <c r="AG410" i="11"/>
  <c r="CY78" i="11"/>
  <c r="AH410" i="11"/>
  <c r="R411" i="11"/>
  <c r="CO79" i="11"/>
  <c r="AA411" i="11"/>
  <c r="CP79" i="11"/>
  <c r="AB411" i="11"/>
  <c r="CQ79" i="11"/>
  <c r="AC411" i="11"/>
  <c r="CR79" i="11"/>
  <c r="AD411" i="11"/>
  <c r="CV79" i="11"/>
  <c r="AE411" i="11"/>
  <c r="CW79" i="11"/>
  <c r="AF411" i="11"/>
  <c r="CX79" i="11"/>
  <c r="AG411" i="11"/>
  <c r="CY79" i="11"/>
  <c r="AH411" i="11"/>
  <c r="R412" i="11"/>
  <c r="CO80" i="11"/>
  <c r="AA412" i="11"/>
  <c r="CP80" i="11"/>
  <c r="AB412" i="11"/>
  <c r="CQ80" i="11"/>
  <c r="AC412" i="11"/>
  <c r="CR80" i="11"/>
  <c r="AD412" i="11"/>
  <c r="CV80" i="11"/>
  <c r="AE412" i="11"/>
  <c r="CW80" i="11"/>
  <c r="AF412" i="11"/>
  <c r="CX80" i="11"/>
  <c r="AG412" i="11"/>
  <c r="CY80" i="11"/>
  <c r="AH412" i="11"/>
  <c r="R413" i="11"/>
  <c r="CO81" i="11"/>
  <c r="AA413" i="11"/>
  <c r="CP81" i="11"/>
  <c r="AB413" i="11"/>
  <c r="CQ81" i="11"/>
  <c r="AC413" i="11"/>
  <c r="CR81" i="11"/>
  <c r="AD413" i="11"/>
  <c r="CV81" i="11"/>
  <c r="AE413" i="11"/>
  <c r="CW81" i="11"/>
  <c r="AF413" i="11"/>
  <c r="CX81" i="11"/>
  <c r="AG413" i="11"/>
  <c r="CY81" i="11"/>
  <c r="AH413" i="11"/>
  <c r="R414" i="11"/>
  <c r="CO82" i="11"/>
  <c r="AA414" i="11"/>
  <c r="CP82" i="11"/>
  <c r="AB414" i="11"/>
  <c r="CQ82" i="11"/>
  <c r="AC414" i="11"/>
  <c r="CR82" i="11"/>
  <c r="AD414" i="11"/>
  <c r="CV82" i="11"/>
  <c r="AE414" i="11"/>
  <c r="CW82" i="11"/>
  <c r="AF414" i="11"/>
  <c r="CX82" i="11"/>
  <c r="AG414" i="11"/>
  <c r="CY82" i="11"/>
  <c r="AH414" i="11"/>
  <c r="R415" i="11"/>
  <c r="CO83" i="11"/>
  <c r="AA415" i="11"/>
  <c r="CP83" i="11"/>
  <c r="AB415" i="11"/>
  <c r="CQ83" i="11"/>
  <c r="AC415" i="11"/>
  <c r="CR83" i="11"/>
  <c r="AD415" i="11"/>
  <c r="CV83" i="11"/>
  <c r="AE415" i="11"/>
  <c r="CW83" i="11"/>
  <c r="AF415" i="11"/>
  <c r="CX83" i="11"/>
  <c r="AG415" i="11"/>
  <c r="CY83" i="11"/>
  <c r="AH415" i="11"/>
  <c r="R416" i="11"/>
  <c r="CO84" i="11"/>
  <c r="AA416" i="11"/>
  <c r="CP84" i="11"/>
  <c r="AB416" i="11"/>
  <c r="CQ84" i="11"/>
  <c r="AC416" i="11"/>
  <c r="CR84" i="11"/>
  <c r="AD416" i="11"/>
  <c r="CV84" i="11"/>
  <c r="AE416" i="11"/>
  <c r="CW84" i="11"/>
  <c r="AF416" i="11"/>
  <c r="CX84" i="11"/>
  <c r="AG416" i="11"/>
  <c r="CY84" i="11"/>
  <c r="AH416" i="11"/>
  <c r="R417" i="11"/>
  <c r="CO85" i="11"/>
  <c r="AA417" i="11"/>
  <c r="CP85" i="11"/>
  <c r="AB417" i="11"/>
  <c r="CQ85" i="11"/>
  <c r="AC417" i="11"/>
  <c r="CR85" i="11"/>
  <c r="AD417" i="11"/>
  <c r="CV85" i="11"/>
  <c r="AE417" i="11"/>
  <c r="CW85" i="11"/>
  <c r="AF417" i="11"/>
  <c r="CX85" i="11"/>
  <c r="AG417" i="11"/>
  <c r="CY85" i="11"/>
  <c r="AH417" i="11"/>
  <c r="R418" i="11"/>
  <c r="CO86" i="11"/>
  <c r="AA418" i="11"/>
  <c r="CP86" i="11"/>
  <c r="AB418" i="11"/>
  <c r="CQ86" i="11"/>
  <c r="AC418" i="11"/>
  <c r="CR86" i="11"/>
  <c r="AD418" i="11"/>
  <c r="CV86" i="11"/>
  <c r="AE418" i="11"/>
  <c r="CW86" i="11"/>
  <c r="AF418" i="11"/>
  <c r="CX86" i="11"/>
  <c r="AG418" i="11"/>
  <c r="CY86" i="11"/>
  <c r="AH418" i="11"/>
  <c r="R419" i="11"/>
  <c r="CO87" i="11"/>
  <c r="AA419" i="11"/>
  <c r="CP87" i="11"/>
  <c r="AB419" i="11"/>
  <c r="CQ87" i="11"/>
  <c r="AC419" i="11"/>
  <c r="CR87" i="11"/>
  <c r="AD419" i="11"/>
  <c r="CV87" i="11"/>
  <c r="AE419" i="11"/>
  <c r="CW87" i="11"/>
  <c r="AF419" i="11"/>
  <c r="CX87" i="11"/>
  <c r="AG419" i="11"/>
  <c r="CY87" i="11"/>
  <c r="AH419" i="11"/>
  <c r="R420" i="11"/>
  <c r="CO88" i="11"/>
  <c r="AA420" i="11"/>
  <c r="CP88" i="11"/>
  <c r="AB420" i="11"/>
  <c r="CQ88" i="11"/>
  <c r="AC420" i="11"/>
  <c r="CR88" i="11"/>
  <c r="AD420" i="11"/>
  <c r="CV88" i="11"/>
  <c r="AE420" i="11"/>
  <c r="CW88" i="11"/>
  <c r="AF420" i="11"/>
  <c r="CX88" i="11"/>
  <c r="AG420" i="11"/>
  <c r="CY88" i="11"/>
  <c r="AH420" i="11"/>
  <c r="R421" i="11"/>
  <c r="CO89" i="11"/>
  <c r="AA421" i="11"/>
  <c r="CP89" i="11"/>
  <c r="AB421" i="11"/>
  <c r="CQ89" i="11"/>
  <c r="AC421" i="11"/>
  <c r="CR89" i="11"/>
  <c r="AD421" i="11"/>
  <c r="CV89" i="11"/>
  <c r="AE421" i="11"/>
  <c r="CW89" i="11"/>
  <c r="AF421" i="11"/>
  <c r="CX89" i="11"/>
  <c r="AG421" i="11"/>
  <c r="CY89" i="11"/>
  <c r="AH421" i="11"/>
  <c r="R422" i="11"/>
  <c r="CO90" i="11"/>
  <c r="AA422" i="11"/>
  <c r="CP90" i="11"/>
  <c r="AB422" i="11"/>
  <c r="CQ90" i="11"/>
  <c r="AC422" i="11"/>
  <c r="CR90" i="11"/>
  <c r="AD422" i="11"/>
  <c r="CV90" i="11"/>
  <c r="AE422" i="11"/>
  <c r="CW90" i="11"/>
  <c r="AF422" i="11"/>
  <c r="CX90" i="11"/>
  <c r="AG422" i="11"/>
  <c r="CY90" i="11"/>
  <c r="AH422" i="11"/>
  <c r="R423" i="11"/>
  <c r="CO91" i="11"/>
  <c r="AA423" i="11"/>
  <c r="CP91" i="11"/>
  <c r="AB423" i="11"/>
  <c r="CQ91" i="11"/>
  <c r="AC423" i="11"/>
  <c r="CR91" i="11"/>
  <c r="AD423" i="11"/>
  <c r="CV91" i="11"/>
  <c r="AE423" i="11"/>
  <c r="CW91" i="11"/>
  <c r="AF423" i="11"/>
  <c r="CX91" i="11"/>
  <c r="AG423" i="11"/>
  <c r="CY91" i="11"/>
  <c r="AH423" i="11"/>
  <c r="R424" i="11"/>
  <c r="CO92" i="11"/>
  <c r="AA424" i="11"/>
  <c r="CP92" i="11"/>
  <c r="AB424" i="11"/>
  <c r="CQ92" i="11"/>
  <c r="AC424" i="11"/>
  <c r="CR92" i="11"/>
  <c r="AD424" i="11"/>
  <c r="CV92" i="11"/>
  <c r="AE424" i="11"/>
  <c r="CW92" i="11"/>
  <c r="AF424" i="11"/>
  <c r="CX92" i="11"/>
  <c r="AG424" i="11"/>
  <c r="CY92" i="11"/>
  <c r="AH424" i="11"/>
  <c r="R425" i="11"/>
  <c r="CO93" i="11"/>
  <c r="AA425" i="11"/>
  <c r="CP93" i="11"/>
  <c r="AB425" i="11"/>
  <c r="CQ93" i="11"/>
  <c r="AC425" i="11"/>
  <c r="CR93" i="11"/>
  <c r="AD425" i="11"/>
  <c r="CV93" i="11"/>
  <c r="AE425" i="11"/>
  <c r="CW93" i="11"/>
  <c r="AF425" i="11"/>
  <c r="CX93" i="11"/>
  <c r="AG425" i="11"/>
  <c r="CY93" i="11"/>
  <c r="AH425" i="11"/>
  <c r="R426" i="11"/>
  <c r="CO94" i="11"/>
  <c r="AA426" i="11"/>
  <c r="CP94" i="11"/>
  <c r="AB426" i="11"/>
  <c r="CQ94" i="11"/>
  <c r="AC426" i="11"/>
  <c r="CR94" i="11"/>
  <c r="AD426" i="11"/>
  <c r="CV94" i="11"/>
  <c r="AE426" i="11"/>
  <c r="CW94" i="11"/>
  <c r="AF426" i="11"/>
  <c r="CX94" i="11"/>
  <c r="AG426" i="11"/>
  <c r="CY94" i="11"/>
  <c r="AH426" i="11"/>
  <c r="R427" i="11"/>
  <c r="CO95" i="11"/>
  <c r="AA427" i="11"/>
  <c r="CP95" i="11"/>
  <c r="AB427" i="11"/>
  <c r="CQ95" i="11"/>
  <c r="AC427" i="11"/>
  <c r="CR95" i="11"/>
  <c r="AD427" i="11"/>
  <c r="CV95" i="11"/>
  <c r="AE427" i="11"/>
  <c r="CW95" i="11"/>
  <c r="AF427" i="11"/>
  <c r="CX95" i="11"/>
  <c r="AG427" i="11"/>
  <c r="CY95" i="11"/>
  <c r="AH427" i="11"/>
  <c r="R428" i="11"/>
  <c r="CO96" i="11"/>
  <c r="AA428" i="11"/>
  <c r="CP96" i="11"/>
  <c r="AB428" i="11"/>
  <c r="CQ96" i="11"/>
  <c r="AC428" i="11"/>
  <c r="CR96" i="11"/>
  <c r="AD428" i="11"/>
  <c r="CV96" i="11"/>
  <c r="AE428" i="11"/>
  <c r="CW96" i="11"/>
  <c r="AF428" i="11"/>
  <c r="CX96" i="11"/>
  <c r="AG428" i="11"/>
  <c r="CY96" i="11"/>
  <c r="AH428" i="11"/>
  <c r="R429" i="11"/>
  <c r="CO97" i="11"/>
  <c r="AA429" i="11"/>
  <c r="CP97" i="11"/>
  <c r="AB429" i="11"/>
  <c r="CQ97" i="11"/>
  <c r="AC429" i="11"/>
  <c r="CR97" i="11"/>
  <c r="AD429" i="11"/>
  <c r="CV97" i="11"/>
  <c r="AE429" i="11"/>
  <c r="CW97" i="11"/>
  <c r="AF429" i="11"/>
  <c r="CX97" i="11"/>
  <c r="AG429" i="11"/>
  <c r="CY97" i="11"/>
  <c r="AH429" i="11"/>
  <c r="R430" i="11"/>
  <c r="CO98" i="11"/>
  <c r="AA430" i="11"/>
  <c r="CP98" i="11"/>
  <c r="AB430" i="11"/>
  <c r="CQ98" i="11"/>
  <c r="AC430" i="11"/>
  <c r="CR98" i="11"/>
  <c r="AD430" i="11"/>
  <c r="CV98" i="11"/>
  <c r="AE430" i="11"/>
  <c r="CW98" i="11"/>
  <c r="AF430" i="11"/>
  <c r="CX98" i="11"/>
  <c r="AG430" i="11"/>
  <c r="CY98" i="11"/>
  <c r="AH430" i="11"/>
  <c r="R431" i="11"/>
  <c r="CO99" i="11"/>
  <c r="AA431" i="11"/>
  <c r="CP99" i="11"/>
  <c r="AB431" i="11"/>
  <c r="CQ99" i="11"/>
  <c r="AC431" i="11"/>
  <c r="CR99" i="11"/>
  <c r="AD431" i="11"/>
  <c r="CV99" i="11"/>
  <c r="AE431" i="11"/>
  <c r="CW99" i="11"/>
  <c r="AF431" i="11"/>
  <c r="CX99" i="11"/>
  <c r="AG431" i="11"/>
  <c r="CY99" i="11"/>
  <c r="AH431" i="11"/>
  <c r="R432" i="11"/>
  <c r="CO100" i="11"/>
  <c r="AA432" i="11"/>
  <c r="CP100" i="11"/>
  <c r="AB432" i="11"/>
  <c r="CQ100" i="11"/>
  <c r="AC432" i="11"/>
  <c r="CR100" i="11"/>
  <c r="AD432" i="11"/>
  <c r="CV100" i="11"/>
  <c r="AE432" i="11"/>
  <c r="CW100" i="11"/>
  <c r="AF432" i="11"/>
  <c r="CX100" i="11"/>
  <c r="AG432" i="11"/>
  <c r="CY100" i="11"/>
  <c r="AH432" i="11"/>
  <c r="R433" i="11"/>
  <c r="CO101" i="11"/>
  <c r="AA433" i="11"/>
  <c r="CP101" i="11"/>
  <c r="AB433" i="11"/>
  <c r="CQ101" i="11"/>
  <c r="AC433" i="11"/>
  <c r="CR101" i="11"/>
  <c r="AD433" i="11"/>
  <c r="CV101" i="11"/>
  <c r="AE433" i="11"/>
  <c r="CW101" i="11"/>
  <c r="AF433" i="11"/>
  <c r="CX101" i="11"/>
  <c r="AG433" i="11"/>
  <c r="CY101" i="11"/>
  <c r="AH433" i="11"/>
  <c r="R434" i="11"/>
  <c r="CO102" i="11"/>
  <c r="AA434" i="11"/>
  <c r="CP102" i="11"/>
  <c r="AB434" i="11"/>
  <c r="CQ102" i="11"/>
  <c r="AC434" i="11"/>
  <c r="CR102" i="11"/>
  <c r="AD434" i="11"/>
  <c r="CV102" i="11"/>
  <c r="AE434" i="11"/>
  <c r="CW102" i="11"/>
  <c r="AF434" i="11"/>
  <c r="CX102" i="11"/>
  <c r="AG434" i="11"/>
  <c r="CY102" i="11"/>
  <c r="AH434" i="11"/>
  <c r="R435" i="11"/>
  <c r="CO103" i="11"/>
  <c r="AA435" i="11"/>
  <c r="CP103" i="11"/>
  <c r="AB435" i="11"/>
  <c r="CQ103" i="11"/>
  <c r="AC435" i="11"/>
  <c r="CR103" i="11"/>
  <c r="AD435" i="11"/>
  <c r="CV103" i="11"/>
  <c r="AE435" i="11"/>
  <c r="CW103" i="11"/>
  <c r="AF435" i="11"/>
  <c r="CX103" i="11"/>
  <c r="AG435" i="11"/>
  <c r="CY103" i="11"/>
  <c r="AH435" i="11"/>
  <c r="R436" i="11"/>
  <c r="CO104" i="11"/>
  <c r="AA436" i="11"/>
  <c r="CP104" i="11"/>
  <c r="AB436" i="11"/>
  <c r="CQ104" i="11"/>
  <c r="AC436" i="11"/>
  <c r="CR104" i="11"/>
  <c r="AD436" i="11"/>
  <c r="CV104" i="11"/>
  <c r="AE436" i="11"/>
  <c r="CW104" i="11"/>
  <c r="AF436" i="11"/>
  <c r="CX104" i="11"/>
  <c r="AG436" i="11"/>
  <c r="CY104" i="11"/>
  <c r="AH436" i="11"/>
  <c r="R437" i="11"/>
  <c r="CO105" i="11"/>
  <c r="AA437" i="11"/>
  <c r="CP105" i="11"/>
  <c r="AB437" i="11"/>
  <c r="CQ105" i="11"/>
  <c r="AC437" i="11"/>
  <c r="CR105" i="11"/>
  <c r="AD437" i="11"/>
  <c r="CV105" i="11"/>
  <c r="AE437" i="11"/>
  <c r="CW105" i="11"/>
  <c r="AF437" i="11"/>
  <c r="CX105" i="11"/>
  <c r="AG437" i="11"/>
  <c r="CY105" i="11"/>
  <c r="AH437" i="11"/>
  <c r="R438" i="11"/>
  <c r="CO106" i="11"/>
  <c r="AA438" i="11"/>
  <c r="CP106" i="11"/>
  <c r="AB438" i="11"/>
  <c r="CQ106" i="11"/>
  <c r="AC438" i="11"/>
  <c r="CR106" i="11"/>
  <c r="AD438" i="11"/>
  <c r="CV106" i="11"/>
  <c r="AE438" i="11"/>
  <c r="CW106" i="11"/>
  <c r="AF438" i="11"/>
  <c r="CX106" i="11"/>
  <c r="AG438" i="11"/>
  <c r="CY106" i="11"/>
  <c r="AH438" i="11"/>
  <c r="R439" i="11"/>
  <c r="CO107" i="11"/>
  <c r="AA439" i="11"/>
  <c r="CP107" i="11"/>
  <c r="AB439" i="11"/>
  <c r="CQ107" i="11"/>
  <c r="AC439" i="11"/>
  <c r="CR107" i="11"/>
  <c r="AD439" i="11"/>
  <c r="CV107" i="11"/>
  <c r="AE439" i="11"/>
  <c r="CW107" i="11"/>
  <c r="AF439" i="11"/>
  <c r="CX107" i="11"/>
  <c r="AG439" i="11"/>
  <c r="CY107" i="11"/>
  <c r="AH439" i="11"/>
  <c r="R440" i="11"/>
  <c r="CO108" i="11"/>
  <c r="AA440" i="11"/>
  <c r="CP108" i="11"/>
  <c r="AB440" i="11"/>
  <c r="CQ108" i="11"/>
  <c r="AC440" i="11"/>
  <c r="CR108" i="11"/>
  <c r="AD440" i="11"/>
  <c r="CV108" i="11"/>
  <c r="AE440" i="11"/>
  <c r="CW108" i="11"/>
  <c r="AF440" i="11"/>
  <c r="CX108" i="11"/>
  <c r="AG440" i="11"/>
  <c r="CY108" i="11"/>
  <c r="AH440" i="11"/>
  <c r="R441" i="11"/>
  <c r="CO109" i="11"/>
  <c r="AA441" i="11"/>
  <c r="CP109" i="11"/>
  <c r="AB441" i="11"/>
  <c r="CQ109" i="11"/>
  <c r="AC441" i="11"/>
  <c r="CR109" i="11"/>
  <c r="AD441" i="11"/>
  <c r="CV109" i="11"/>
  <c r="AE441" i="11"/>
  <c r="CW109" i="11"/>
  <c r="AF441" i="11"/>
  <c r="CX109" i="11"/>
  <c r="AG441" i="11"/>
  <c r="CY109" i="11"/>
  <c r="AH441" i="11"/>
  <c r="R442" i="11"/>
  <c r="CO110" i="11"/>
  <c r="AA442" i="11"/>
  <c r="CP110" i="11"/>
  <c r="AB442" i="11"/>
  <c r="CQ110" i="11"/>
  <c r="AC442" i="11"/>
  <c r="CR110" i="11"/>
  <c r="AD442" i="11"/>
  <c r="CV110" i="11"/>
  <c r="AE442" i="11"/>
  <c r="CW110" i="11"/>
  <c r="AF442" i="11"/>
  <c r="CX110" i="11"/>
  <c r="AG442" i="11"/>
  <c r="CY110" i="11"/>
  <c r="AH442" i="11"/>
  <c r="CK51" i="11"/>
  <c r="CK52" i="11"/>
  <c r="CK53" i="11"/>
  <c r="CK54" i="11"/>
  <c r="CK55" i="11"/>
  <c r="CK56" i="11"/>
  <c r="CK57" i="11"/>
  <c r="CK58" i="11"/>
  <c r="CK59" i="11"/>
  <c r="CK60" i="11"/>
  <c r="CK61" i="11"/>
  <c r="CK62" i="11"/>
  <c r="CK63" i="11"/>
  <c r="CK64" i="11"/>
  <c r="CK65" i="11"/>
  <c r="CK66" i="11"/>
  <c r="CK67" i="11"/>
  <c r="CK68" i="11"/>
  <c r="CK69" i="11"/>
  <c r="CK70" i="11"/>
  <c r="CK71" i="11"/>
  <c r="CK72" i="11"/>
  <c r="CK73" i="11"/>
  <c r="CK74" i="11"/>
  <c r="CK75" i="11"/>
  <c r="CK76" i="11"/>
  <c r="CK77" i="11"/>
  <c r="CK78" i="11"/>
  <c r="CK79" i="11"/>
  <c r="CK80" i="11"/>
  <c r="CK81" i="11"/>
  <c r="CK82" i="11"/>
  <c r="CK83" i="11"/>
  <c r="CK84" i="11"/>
  <c r="CK85" i="11"/>
  <c r="CK86" i="11"/>
  <c r="CK87" i="11"/>
  <c r="CK88" i="11"/>
  <c r="CK89" i="11"/>
  <c r="CK90" i="11"/>
  <c r="CK91" i="11"/>
  <c r="CK92" i="11"/>
  <c r="CK93" i="11"/>
  <c r="CK94" i="11"/>
  <c r="CK95" i="11"/>
  <c r="CK96" i="11"/>
  <c r="CK97" i="11"/>
  <c r="CK98" i="11"/>
  <c r="CK99" i="11"/>
  <c r="CK100" i="11"/>
  <c r="CK101" i="11"/>
  <c r="CK102" i="11"/>
  <c r="CK103" i="11"/>
  <c r="CK104" i="11"/>
  <c r="CK105" i="11"/>
  <c r="CK106" i="11"/>
  <c r="CK107" i="11"/>
  <c r="CK108" i="11"/>
  <c r="CK109" i="11"/>
  <c r="CK110" i="11"/>
  <c r="CK111" i="11"/>
  <c r="CK112" i="11"/>
  <c r="CK113" i="11"/>
  <c r="CK114" i="11"/>
  <c r="CK115" i="11"/>
  <c r="CK116" i="11"/>
  <c r="CK117" i="11"/>
  <c r="CK118" i="11"/>
  <c r="CK119" i="11"/>
  <c r="CK120" i="11"/>
  <c r="CK121" i="11"/>
  <c r="CK122" i="11"/>
  <c r="CK123" i="11"/>
  <c r="CK124" i="11"/>
  <c r="CK125" i="11"/>
  <c r="CK126" i="11"/>
  <c r="CK127" i="11"/>
  <c r="CK128" i="11"/>
  <c r="CK129" i="11"/>
  <c r="CK130" i="11"/>
  <c r="CK131" i="11"/>
  <c r="CK132" i="11"/>
  <c r="CK133" i="11"/>
  <c r="CK134" i="11"/>
  <c r="CK135" i="11"/>
  <c r="CK136" i="11"/>
  <c r="B55" i="6"/>
  <c r="Q56" i="6"/>
  <c r="B185" i="6"/>
  <c r="A193" i="6"/>
  <c r="B184" i="6"/>
  <c r="A192" i="6"/>
  <c r="B488" i="11"/>
  <c r="A496" i="11"/>
  <c r="B487" i="11"/>
  <c r="A495" i="11"/>
  <c r="AC114" i="8"/>
  <c r="AB114" i="8"/>
  <c r="AA114" i="8"/>
  <c r="Z114" i="8"/>
  <c r="Y114" i="8"/>
  <c r="X114" i="8"/>
  <c r="W114" i="8"/>
  <c r="V114" i="8"/>
  <c r="U114" i="8"/>
  <c r="T114" i="8"/>
  <c r="S114" i="8"/>
  <c r="R114" i="8"/>
  <c r="Q114" i="8"/>
  <c r="P114" i="8"/>
  <c r="O114" i="8"/>
  <c r="N114" i="8"/>
  <c r="M114" i="8"/>
  <c r="L114" i="8"/>
  <c r="K114" i="8"/>
  <c r="J114" i="8"/>
  <c r="I114" i="8"/>
  <c r="H114" i="8"/>
  <c r="G114" i="8"/>
  <c r="F114" i="8"/>
  <c r="E114" i="8"/>
  <c r="D114" i="8"/>
  <c r="C114" i="8"/>
  <c r="B114" i="8"/>
  <c r="BH108" i="6"/>
  <c r="BA108" i="6"/>
  <c r="BI106" i="6"/>
  <c r="BB106" i="6"/>
  <c r="BJ101" i="6"/>
  <c r="BC101" i="6"/>
  <c r="BK96" i="6"/>
  <c r="BD96" i="6"/>
  <c r="B319" i="11"/>
  <c r="C319" i="11"/>
  <c r="U98" i="2"/>
  <c r="D319" i="11"/>
  <c r="V98" i="2"/>
  <c r="E319" i="11"/>
  <c r="W98" i="2"/>
  <c r="F319" i="11" a="1"/>
  <c r="F319" i="11"/>
  <c r="X98" i="2"/>
  <c r="B320" i="11"/>
  <c r="C320" i="11"/>
  <c r="U99" i="2"/>
  <c r="D320" i="11"/>
  <c r="V99" i="2"/>
  <c r="E320" i="11"/>
  <c r="W99" i="2"/>
  <c r="F320" i="11" a="1"/>
  <c r="F320" i="11"/>
  <c r="X99" i="2"/>
  <c r="T99" i="2"/>
  <c r="T98" i="2"/>
  <c r="B155" i="11"/>
  <c r="C155" i="11"/>
  <c r="U93" i="2"/>
  <c r="D155" i="11"/>
  <c r="V93" i="2"/>
  <c r="E155" i="11"/>
  <c r="W93" i="2"/>
  <c r="F155" i="11" a="1"/>
  <c r="F155" i="11"/>
  <c r="X93" i="2"/>
  <c r="C156" i="11"/>
  <c r="U94" i="2"/>
  <c r="D156" i="11"/>
  <c r="V94" i="2"/>
  <c r="E156" i="11"/>
  <c r="W94" i="2"/>
  <c r="F156" i="11" a="1"/>
  <c r="F156" i="11"/>
  <c r="X94" i="2"/>
  <c r="C487" i="11"/>
  <c r="U95" i="2"/>
  <c r="D487" i="11"/>
  <c r="V95" i="2"/>
  <c r="E487" i="11"/>
  <c r="W95" i="2"/>
  <c r="F487" i="11" a="1"/>
  <c r="F487" i="11"/>
  <c r="X95" i="2"/>
  <c r="C488" i="11"/>
  <c r="U96" i="2"/>
  <c r="D488" i="11"/>
  <c r="V96" i="2"/>
  <c r="E488" i="11"/>
  <c r="W96" i="2"/>
  <c r="F488" i="11" a="1"/>
  <c r="F488" i="11"/>
  <c r="X96" i="2"/>
  <c r="T96" i="2"/>
  <c r="T95" i="2"/>
  <c r="T94" i="2"/>
  <c r="T93" i="2"/>
  <c r="CN252" i="11"/>
  <c r="CO252" i="11"/>
  <c r="CP252" i="11"/>
  <c r="CQ252" i="11"/>
  <c r="CR252" i="11"/>
  <c r="CU252" i="11"/>
  <c r="CV252" i="11"/>
  <c r="CW252" i="11"/>
  <c r="CX252" i="11"/>
  <c r="CY252" i="11"/>
  <c r="CN253" i="11"/>
  <c r="CO253" i="11"/>
  <c r="CP253" i="11"/>
  <c r="CQ253" i="11"/>
  <c r="CR253" i="11"/>
  <c r="CU253" i="11"/>
  <c r="CV253" i="11"/>
  <c r="CW253" i="11"/>
  <c r="CX253" i="11"/>
  <c r="CY253" i="11"/>
  <c r="CN254" i="11"/>
  <c r="CO254" i="11"/>
  <c r="CP254" i="11"/>
  <c r="CQ254" i="11"/>
  <c r="CR254" i="11"/>
  <c r="CU254" i="11"/>
  <c r="CV254" i="11"/>
  <c r="CW254" i="11"/>
  <c r="CX254" i="11"/>
  <c r="CY254" i="11"/>
  <c r="CN255" i="11"/>
  <c r="CO255" i="11"/>
  <c r="CP255" i="11"/>
  <c r="CQ255" i="11"/>
  <c r="CR255" i="11"/>
  <c r="CU255" i="11"/>
  <c r="CV255" i="11"/>
  <c r="CW255" i="11"/>
  <c r="CX255" i="11"/>
  <c r="CY255" i="11"/>
  <c r="CN256" i="11"/>
  <c r="CO256" i="11"/>
  <c r="CP256" i="11"/>
  <c r="CQ256" i="11"/>
  <c r="CR256" i="11"/>
  <c r="CU256" i="11"/>
  <c r="CV256" i="11"/>
  <c r="CW256" i="11"/>
  <c r="CX256" i="11"/>
  <c r="CY256" i="11"/>
  <c r="CN257" i="11"/>
  <c r="CO257" i="11"/>
  <c r="CP257" i="11"/>
  <c r="CQ257" i="11"/>
  <c r="CR257" i="11"/>
  <c r="CU257" i="11"/>
  <c r="CV257" i="11"/>
  <c r="CW257" i="11"/>
  <c r="CX257" i="11"/>
  <c r="CY257" i="11"/>
  <c r="CN258" i="11"/>
  <c r="CO258" i="11"/>
  <c r="CP258" i="11"/>
  <c r="CQ258" i="11"/>
  <c r="CR258" i="11"/>
  <c r="CU258" i="11"/>
  <c r="CV258" i="11"/>
  <c r="CW258" i="11"/>
  <c r="CX258" i="11"/>
  <c r="CY258" i="11"/>
  <c r="CN259" i="11"/>
  <c r="CO259" i="11"/>
  <c r="CP259" i="11"/>
  <c r="CQ259" i="11"/>
  <c r="CR259" i="11"/>
  <c r="CU259" i="11"/>
  <c r="CV259" i="11"/>
  <c r="CW259" i="11"/>
  <c r="CX259" i="11"/>
  <c r="CY259" i="11"/>
  <c r="CN260" i="11"/>
  <c r="CO260" i="11"/>
  <c r="CP260" i="11"/>
  <c r="CQ260" i="11"/>
  <c r="CR260" i="11"/>
  <c r="CU260" i="11"/>
  <c r="CV260" i="11"/>
  <c r="CW260" i="11"/>
  <c r="CX260" i="11"/>
  <c r="CY260" i="11"/>
  <c r="CN261" i="11"/>
  <c r="CO261" i="11"/>
  <c r="CP261" i="11"/>
  <c r="CQ261" i="11"/>
  <c r="CR261" i="11"/>
  <c r="CU261" i="11"/>
  <c r="CV261" i="11"/>
  <c r="CW261" i="11"/>
  <c r="CX261" i="11"/>
  <c r="CY261" i="11"/>
  <c r="CN262" i="11"/>
  <c r="CO262" i="11"/>
  <c r="CP262" i="11"/>
  <c r="CQ262" i="11"/>
  <c r="CR262" i="11"/>
  <c r="CU262" i="11"/>
  <c r="CV262" i="11"/>
  <c r="CW262" i="11"/>
  <c r="CX262" i="11"/>
  <c r="CY262" i="11"/>
  <c r="CN263" i="11"/>
  <c r="CO263" i="11"/>
  <c r="CP263" i="11"/>
  <c r="CQ263" i="11"/>
  <c r="CR263" i="11"/>
  <c r="CU263" i="11"/>
  <c r="CV263" i="11"/>
  <c r="CW263" i="11"/>
  <c r="CX263" i="11"/>
  <c r="CY263" i="11"/>
  <c r="CN264" i="11"/>
  <c r="CO264" i="11"/>
  <c r="CP264" i="11"/>
  <c r="CQ264" i="11"/>
  <c r="CR264" i="11"/>
  <c r="CU264" i="11"/>
  <c r="CV264" i="11"/>
  <c r="CW264" i="11"/>
  <c r="CX264" i="11"/>
  <c r="CY264" i="11"/>
  <c r="CN265" i="11"/>
  <c r="CO265" i="11"/>
  <c r="CP265" i="11"/>
  <c r="CQ265" i="11"/>
  <c r="CR265" i="11"/>
  <c r="CU265" i="11"/>
  <c r="CV265" i="11"/>
  <c r="CW265" i="11"/>
  <c r="CX265" i="11"/>
  <c r="CY265" i="11"/>
  <c r="CN266" i="11"/>
  <c r="CO266" i="11"/>
  <c r="CP266" i="11"/>
  <c r="CQ266" i="11"/>
  <c r="CR266" i="11"/>
  <c r="CU266" i="11"/>
  <c r="CV266" i="11"/>
  <c r="CW266" i="11"/>
  <c r="CX266" i="11"/>
  <c r="CY266" i="11"/>
  <c r="CN267" i="11"/>
  <c r="CO267" i="11"/>
  <c r="CP267" i="11"/>
  <c r="CQ267" i="11"/>
  <c r="CR267" i="11"/>
  <c r="CU267" i="11"/>
  <c r="CV267" i="11"/>
  <c r="CW267" i="11"/>
  <c r="CX267" i="11"/>
  <c r="CY267" i="11"/>
  <c r="CN268" i="11"/>
  <c r="CO268" i="11"/>
  <c r="CP268" i="11"/>
  <c r="CQ268" i="11"/>
  <c r="CR268" i="11"/>
  <c r="CU268" i="11"/>
  <c r="CV268" i="11"/>
  <c r="CW268" i="11"/>
  <c r="CX268" i="11"/>
  <c r="CY268" i="11"/>
  <c r="CN269" i="11"/>
  <c r="CO269" i="11"/>
  <c r="CP269" i="11"/>
  <c r="CQ269" i="11"/>
  <c r="CR269" i="11"/>
  <c r="CU269" i="11"/>
  <c r="CV269" i="11"/>
  <c r="CW269" i="11"/>
  <c r="CX269" i="11"/>
  <c r="CY269" i="11"/>
  <c r="CN270" i="11"/>
  <c r="CO270" i="11"/>
  <c r="CP270" i="11"/>
  <c r="CQ270" i="11"/>
  <c r="CR270" i="11"/>
  <c r="CU270" i="11"/>
  <c r="CV270" i="11"/>
  <c r="CW270" i="11"/>
  <c r="CX270" i="11"/>
  <c r="CY270" i="11"/>
  <c r="CN271" i="11"/>
  <c r="CO271" i="11"/>
  <c r="CP271" i="11"/>
  <c r="CQ271" i="11"/>
  <c r="CR271" i="11"/>
  <c r="CU271" i="11"/>
  <c r="CV271" i="11"/>
  <c r="CW271" i="11"/>
  <c r="CX271" i="11"/>
  <c r="CY271" i="11"/>
  <c r="CN272" i="11"/>
  <c r="CO272" i="11"/>
  <c r="CP272" i="11"/>
  <c r="CQ272" i="11"/>
  <c r="CR272" i="11"/>
  <c r="CU272" i="11"/>
  <c r="CV272" i="11"/>
  <c r="CW272" i="11"/>
  <c r="CX272" i="11"/>
  <c r="CY272" i="11"/>
  <c r="CN273" i="11"/>
  <c r="CO273" i="11"/>
  <c r="CP273" i="11"/>
  <c r="CQ273" i="11"/>
  <c r="CR273" i="11"/>
  <c r="CU273" i="11"/>
  <c r="CV273" i="11"/>
  <c r="CW273" i="11"/>
  <c r="CX273" i="11"/>
  <c r="CY273" i="11"/>
  <c r="CN274" i="11"/>
  <c r="CO274" i="11"/>
  <c r="CP274" i="11"/>
  <c r="CQ274" i="11"/>
  <c r="CR274" i="11"/>
  <c r="CU274" i="11"/>
  <c r="CV274" i="11"/>
  <c r="CW274" i="11"/>
  <c r="CX274" i="11"/>
  <c r="CY274" i="11"/>
  <c r="CN275" i="11"/>
  <c r="CO275" i="11"/>
  <c r="CP275" i="11"/>
  <c r="CQ275" i="11"/>
  <c r="CR275" i="11"/>
  <c r="CU275" i="11"/>
  <c r="CV275" i="11"/>
  <c r="CW275" i="11"/>
  <c r="CX275" i="11"/>
  <c r="CY275" i="11"/>
  <c r="CN276" i="11"/>
  <c r="CO276" i="11"/>
  <c r="CP276" i="11"/>
  <c r="CQ276" i="11"/>
  <c r="CR276" i="11"/>
  <c r="CU276" i="11"/>
  <c r="CV276" i="11"/>
  <c r="CW276" i="11"/>
  <c r="CX276" i="11"/>
  <c r="CY276" i="11"/>
  <c r="CN277" i="11"/>
  <c r="CO277" i="11"/>
  <c r="CP277" i="11"/>
  <c r="CQ277" i="11"/>
  <c r="CR277" i="11"/>
  <c r="CU277" i="11"/>
  <c r="CV277" i="11"/>
  <c r="CW277" i="11"/>
  <c r="CX277" i="11"/>
  <c r="CY277" i="11"/>
  <c r="CN278" i="11"/>
  <c r="CO278" i="11"/>
  <c r="CP278" i="11"/>
  <c r="CQ278" i="11"/>
  <c r="CR278" i="11"/>
  <c r="CU278" i="11"/>
  <c r="CV278" i="11"/>
  <c r="CW278" i="11"/>
  <c r="CX278" i="11"/>
  <c r="CY278" i="11"/>
  <c r="CN279" i="11"/>
  <c r="CO279" i="11"/>
  <c r="CP279" i="11"/>
  <c r="CQ279" i="11"/>
  <c r="CR279" i="11"/>
  <c r="CU279" i="11"/>
  <c r="CV279" i="11"/>
  <c r="CW279" i="11"/>
  <c r="CX279" i="11"/>
  <c r="CY279" i="11"/>
  <c r="CN280" i="11"/>
  <c r="CO280" i="11"/>
  <c r="CP280" i="11"/>
  <c r="CQ280" i="11"/>
  <c r="CR280" i="11"/>
  <c r="CU280" i="11"/>
  <c r="CV280" i="11"/>
  <c r="CW280" i="11"/>
  <c r="CX280" i="11"/>
  <c r="CY280" i="11"/>
  <c r="CN281" i="11"/>
  <c r="CO281" i="11"/>
  <c r="CP281" i="11"/>
  <c r="CQ281" i="11"/>
  <c r="CR281" i="11"/>
  <c r="CU281" i="11"/>
  <c r="CV281" i="11"/>
  <c r="CW281" i="11"/>
  <c r="CX281" i="11"/>
  <c r="CY281" i="11"/>
  <c r="CN282" i="11"/>
  <c r="CO282" i="11"/>
  <c r="CP282" i="11"/>
  <c r="CQ282" i="11"/>
  <c r="CR282" i="11"/>
  <c r="CU282" i="11"/>
  <c r="CV282" i="11"/>
  <c r="CW282" i="11"/>
  <c r="CX282" i="11"/>
  <c r="CY282" i="11"/>
  <c r="CN283" i="11"/>
  <c r="CO283" i="11"/>
  <c r="CP283" i="11"/>
  <c r="CQ283" i="11"/>
  <c r="CR283" i="11"/>
  <c r="CU283" i="11"/>
  <c r="CV283" i="11"/>
  <c r="CW283" i="11"/>
  <c r="CX283" i="11"/>
  <c r="CY283" i="11"/>
  <c r="CN284" i="11"/>
  <c r="CO284" i="11"/>
  <c r="CP284" i="11"/>
  <c r="CQ284" i="11"/>
  <c r="CR284" i="11"/>
  <c r="CU284" i="11"/>
  <c r="CV284" i="11"/>
  <c r="CW284" i="11"/>
  <c r="CX284" i="11"/>
  <c r="CY284" i="11"/>
  <c r="CN285" i="11"/>
  <c r="CO285" i="11"/>
  <c r="CP285" i="11"/>
  <c r="CQ285" i="11"/>
  <c r="CR285" i="11"/>
  <c r="CU285" i="11"/>
  <c r="CV285" i="11"/>
  <c r="CW285" i="11"/>
  <c r="CX285" i="11"/>
  <c r="CY285" i="11"/>
  <c r="CN286" i="11"/>
  <c r="CO286" i="11"/>
  <c r="CP286" i="11"/>
  <c r="CQ286" i="11"/>
  <c r="CR286" i="11"/>
  <c r="CU286" i="11"/>
  <c r="CV286" i="11"/>
  <c r="CW286" i="11"/>
  <c r="CX286" i="11"/>
  <c r="CY286" i="11"/>
  <c r="CN287" i="11"/>
  <c r="CO287" i="11"/>
  <c r="CP287" i="11"/>
  <c r="CQ287" i="11"/>
  <c r="CR287" i="11"/>
  <c r="CU287" i="11"/>
  <c r="CV287" i="11"/>
  <c r="CW287" i="11"/>
  <c r="CX287" i="11"/>
  <c r="CY287" i="11"/>
  <c r="CN288" i="11"/>
  <c r="CO288" i="11"/>
  <c r="CP288" i="11"/>
  <c r="CQ288" i="11"/>
  <c r="CR288" i="11"/>
  <c r="CU288" i="11"/>
  <c r="CV288" i="11"/>
  <c r="CW288" i="11"/>
  <c r="CX288" i="11"/>
  <c r="CY288" i="11"/>
  <c r="CN289" i="11"/>
  <c r="CO289" i="11"/>
  <c r="CP289" i="11"/>
  <c r="CQ289" i="11"/>
  <c r="CR289" i="11"/>
  <c r="CU289" i="11"/>
  <c r="CV289" i="11"/>
  <c r="CW289" i="11"/>
  <c r="CX289" i="11"/>
  <c r="CY289" i="11"/>
  <c r="CN290" i="11"/>
  <c r="CO290" i="11"/>
  <c r="CP290" i="11"/>
  <c r="CQ290" i="11"/>
  <c r="CR290" i="11"/>
  <c r="CU290" i="11"/>
  <c r="CV290" i="11"/>
  <c r="CW290" i="11"/>
  <c r="CX290" i="11"/>
  <c r="CY290" i="11"/>
  <c r="CN291" i="11"/>
  <c r="CO291" i="11"/>
  <c r="CP291" i="11"/>
  <c r="CQ291" i="11"/>
  <c r="CR291" i="11"/>
  <c r="CU291" i="11"/>
  <c r="CV291" i="11"/>
  <c r="CW291" i="11"/>
  <c r="CX291" i="11"/>
  <c r="CY291" i="11"/>
  <c r="CN292" i="11"/>
  <c r="CO292" i="11"/>
  <c r="CP292" i="11"/>
  <c r="CQ292" i="11"/>
  <c r="CR292" i="11"/>
  <c r="CU292" i="11"/>
  <c r="CV292" i="11"/>
  <c r="CW292" i="11"/>
  <c r="CX292" i="11"/>
  <c r="CY292" i="11"/>
  <c r="CN293" i="11"/>
  <c r="CO293" i="11"/>
  <c r="CP293" i="11"/>
  <c r="CQ293" i="11"/>
  <c r="CR293" i="11"/>
  <c r="CU293" i="11"/>
  <c r="CV293" i="11"/>
  <c r="CW293" i="11"/>
  <c r="CX293" i="11"/>
  <c r="CY293" i="11"/>
  <c r="CN294" i="11"/>
  <c r="CO294" i="11"/>
  <c r="CP294" i="11"/>
  <c r="CQ294" i="11"/>
  <c r="CR294" i="11"/>
  <c r="CU294" i="11"/>
  <c r="CV294" i="11"/>
  <c r="CW294" i="11"/>
  <c r="CX294" i="11"/>
  <c r="CY294" i="11"/>
  <c r="CN295" i="11"/>
  <c r="CO295" i="11"/>
  <c r="CP295" i="11"/>
  <c r="CQ295" i="11"/>
  <c r="CR295" i="11"/>
  <c r="CU295" i="11"/>
  <c r="CV295" i="11"/>
  <c r="CW295" i="11"/>
  <c r="CX295" i="11"/>
  <c r="CY295" i="11"/>
  <c r="CG166" i="11"/>
  <c r="CE168" i="11"/>
  <c r="CE167" i="11"/>
  <c r="CN52" i="11"/>
  <c r="CU52" i="11"/>
  <c r="CN53" i="11"/>
  <c r="CU53" i="11"/>
  <c r="CN54" i="11"/>
  <c r="CU54" i="11"/>
  <c r="CN55" i="11"/>
  <c r="CU55" i="11"/>
  <c r="CN56" i="11"/>
  <c r="CU56" i="11"/>
  <c r="CN57" i="11"/>
  <c r="CU57" i="11"/>
  <c r="CN58" i="11"/>
  <c r="CU58" i="11"/>
  <c r="CN59" i="11"/>
  <c r="CU59" i="11"/>
  <c r="CN60" i="11"/>
  <c r="CU60" i="11"/>
  <c r="CN61" i="11"/>
  <c r="CU61" i="11"/>
  <c r="CN62" i="11"/>
  <c r="CU62" i="11"/>
  <c r="CN63" i="11"/>
  <c r="CU63" i="11"/>
  <c r="CN64" i="11"/>
  <c r="CU64" i="11"/>
  <c r="CN65" i="11"/>
  <c r="CU65" i="11"/>
  <c r="CN66" i="11"/>
  <c r="CU66" i="11"/>
  <c r="CN67" i="11"/>
  <c r="CU67" i="11"/>
  <c r="CN68" i="11"/>
  <c r="CU68" i="11"/>
  <c r="CN69" i="11"/>
  <c r="CU69" i="11"/>
  <c r="CN70" i="11"/>
  <c r="CU70" i="11"/>
  <c r="CN71" i="11"/>
  <c r="CU71" i="11"/>
  <c r="CN72" i="11"/>
  <c r="CU72" i="11"/>
  <c r="CN73" i="11"/>
  <c r="CU73" i="11"/>
  <c r="CN74" i="11"/>
  <c r="CU74" i="11"/>
  <c r="CN75" i="11"/>
  <c r="CU75" i="11"/>
  <c r="CN76" i="11"/>
  <c r="CU76" i="11"/>
  <c r="CN77" i="11"/>
  <c r="CU77" i="11"/>
  <c r="CN78" i="11"/>
  <c r="CU78" i="11"/>
  <c r="CN79" i="11"/>
  <c r="CU79" i="11"/>
  <c r="CN80" i="11"/>
  <c r="CU80" i="11"/>
  <c r="CN81" i="11"/>
  <c r="CU81" i="11"/>
  <c r="CN82" i="11"/>
  <c r="CU82" i="11"/>
  <c r="CN83" i="11"/>
  <c r="CU83" i="11"/>
  <c r="CN84" i="11"/>
  <c r="CU84" i="11"/>
  <c r="CN85" i="11"/>
  <c r="CU85" i="11"/>
  <c r="CN86" i="11"/>
  <c r="CU86" i="11"/>
  <c r="CN87" i="11"/>
  <c r="CU87" i="11"/>
  <c r="CN88" i="11"/>
  <c r="CU88" i="11"/>
  <c r="CN89" i="11"/>
  <c r="CU89" i="11"/>
  <c r="CN90" i="11"/>
  <c r="CU90" i="11"/>
  <c r="CN91" i="11"/>
  <c r="CU91" i="11"/>
  <c r="CN92" i="11"/>
  <c r="CU92" i="11"/>
  <c r="CN93" i="11"/>
  <c r="CU93" i="11"/>
  <c r="CN94" i="11"/>
  <c r="CU94" i="11"/>
  <c r="CN95" i="11"/>
  <c r="CU95" i="11"/>
  <c r="CN96" i="11"/>
  <c r="CU96" i="11"/>
  <c r="CN97" i="11"/>
  <c r="CU97" i="11"/>
  <c r="CN98" i="11"/>
  <c r="CU98" i="11"/>
  <c r="CN99" i="11"/>
  <c r="CU99" i="11"/>
  <c r="CN100" i="11"/>
  <c r="CU100" i="11"/>
  <c r="CN101" i="11"/>
  <c r="CU101" i="11"/>
  <c r="CN102" i="11"/>
  <c r="CU102" i="11"/>
  <c r="CN103" i="11"/>
  <c r="CU103" i="11"/>
  <c r="CN104" i="11"/>
  <c r="CU104" i="11"/>
  <c r="CN105" i="11"/>
  <c r="CU105" i="11"/>
  <c r="CN106" i="11"/>
  <c r="CU106" i="11"/>
  <c r="CN107" i="11"/>
  <c r="CU107" i="11"/>
  <c r="CN108" i="11"/>
  <c r="CU108" i="11"/>
  <c r="CN109" i="11"/>
  <c r="CU109" i="11"/>
  <c r="CN110" i="11"/>
  <c r="CU110" i="11"/>
  <c r="CN111" i="11"/>
  <c r="CU111" i="11"/>
  <c r="CN112" i="11"/>
  <c r="CU112" i="11"/>
  <c r="CN113" i="11"/>
  <c r="CU113" i="11"/>
  <c r="CN114" i="11"/>
  <c r="CU114" i="11"/>
  <c r="CN115" i="11"/>
  <c r="CU115" i="11"/>
  <c r="CN116" i="11"/>
  <c r="CU116" i="11"/>
  <c r="CN117" i="11"/>
  <c r="CU117" i="11"/>
  <c r="CN118" i="11"/>
  <c r="CU118" i="11"/>
  <c r="CN119" i="11"/>
  <c r="CU119" i="11"/>
  <c r="CN120" i="11"/>
  <c r="CU120" i="11"/>
  <c r="CN121" i="11"/>
  <c r="CU121" i="11"/>
  <c r="CN122" i="11"/>
  <c r="CU122" i="11"/>
  <c r="CN123" i="11"/>
  <c r="CU123" i="11"/>
  <c r="CN124" i="11"/>
  <c r="CU124" i="11"/>
  <c r="CN125" i="11"/>
  <c r="CU125" i="11"/>
  <c r="CN126" i="11"/>
  <c r="CU126" i="11"/>
  <c r="CN127" i="11"/>
  <c r="CU127" i="11"/>
  <c r="CN128" i="11"/>
  <c r="CU128" i="11"/>
  <c r="CN129" i="11"/>
  <c r="CU129" i="11"/>
  <c r="CN130" i="11"/>
  <c r="CU130" i="11"/>
  <c r="CN131" i="11"/>
  <c r="CU131" i="11"/>
  <c r="CN132" i="11"/>
  <c r="CU132" i="11"/>
  <c r="CN133" i="11"/>
  <c r="CU133" i="11"/>
  <c r="CE3" i="11"/>
  <c r="Q321" i="11"/>
  <c r="I321" i="11"/>
  <c r="Q157" i="11"/>
  <c r="M157" i="11"/>
  <c r="CG2" i="11"/>
  <c r="CE4" i="11"/>
  <c r="Q55" i="8"/>
  <c r="R54" i="8"/>
  <c r="AB55" i="8"/>
  <c r="AB54" i="8"/>
  <c r="B58" i="8"/>
  <c r="B55" i="8"/>
  <c r="B54" i="8"/>
  <c r="AM60" i="8"/>
  <c r="W54" i="8"/>
  <c r="Y54" i="8"/>
  <c r="AA54" i="8"/>
  <c r="AC55" i="8"/>
  <c r="E100" i="3" a="1"/>
  <c r="E100" i="3"/>
  <c r="B127" i="8"/>
  <c r="J148" i="8"/>
  <c r="I127" i="8"/>
  <c r="C127" i="8"/>
  <c r="J150" i="8"/>
  <c r="J147" i="8"/>
  <c r="D127" i="8"/>
  <c r="J154" i="8"/>
  <c r="J127" i="8"/>
  <c r="J149" i="8"/>
  <c r="J151" i="8"/>
  <c r="J152" i="8"/>
  <c r="J155" i="8"/>
  <c r="F127" i="8"/>
  <c r="H127" i="8"/>
  <c r="F138" i="8"/>
  <c r="O138" i="8"/>
  <c r="B138" i="8"/>
  <c r="M138" i="8"/>
  <c r="Q138" i="8"/>
  <c r="C138" i="8"/>
  <c r="N138" i="8"/>
  <c r="U139" i="8"/>
  <c r="R138" i="8"/>
  <c r="G138" i="8"/>
  <c r="D138" i="8"/>
  <c r="J138" i="8"/>
  <c r="U154" i="8"/>
  <c r="U155" i="8"/>
  <c r="U147" i="8"/>
  <c r="H138" i="8"/>
  <c r="L138" i="8"/>
  <c r="P138" i="8"/>
  <c r="U145" i="8"/>
  <c r="U140" i="8"/>
  <c r="U148" i="8"/>
  <c r="E138" i="8"/>
  <c r="U138" i="8"/>
  <c r="I138" i="8"/>
  <c r="U151" i="8"/>
  <c r="K138" i="8"/>
  <c r="U152" i="8"/>
  <c r="U150" i="8"/>
  <c r="S138" i="8"/>
  <c r="U149" i="8"/>
  <c r="T138" i="8"/>
  <c r="L143" i="8"/>
  <c r="J143" i="8"/>
  <c r="U143" i="8"/>
  <c r="M143" i="8"/>
  <c r="V143" i="8"/>
  <c r="B143" i="8"/>
  <c r="G143" i="8"/>
  <c r="H143" i="8"/>
  <c r="E143" i="8"/>
  <c r="Q143" i="8"/>
  <c r="O143" i="8"/>
  <c r="S143" i="8"/>
  <c r="F143" i="8"/>
  <c r="T143" i="8"/>
  <c r="Z148" i="8"/>
  <c r="W143" i="8"/>
  <c r="P143" i="8"/>
  <c r="Z149" i="8"/>
  <c r="C143" i="8"/>
  <c r="Z151" i="8"/>
  <c r="R143" i="8"/>
  <c r="Z143" i="8"/>
  <c r="Z155" i="8"/>
  <c r="Z147" i="8"/>
  <c r="X143" i="8"/>
  <c r="Z150" i="8"/>
  <c r="Z152" i="8"/>
  <c r="Z154" i="8"/>
  <c r="H145" i="8"/>
  <c r="Y145" i="8"/>
  <c r="AB148" i="8"/>
  <c r="O145" i="8"/>
  <c r="M145" i="8"/>
  <c r="J145" i="8"/>
  <c r="B145" i="8"/>
  <c r="K145" i="8"/>
  <c r="E145" i="8"/>
  <c r="AA145" i="8"/>
  <c r="P145" i="8"/>
  <c r="Z145" i="8"/>
  <c r="AB152" i="8"/>
  <c r="D145" i="8"/>
  <c r="C145" i="8"/>
  <c r="S145" i="8"/>
  <c r="I145" i="8"/>
  <c r="AB150" i="8"/>
  <c r="W145" i="8"/>
  <c r="R145" i="8"/>
  <c r="AB149" i="8"/>
  <c r="X145" i="8"/>
  <c r="V145" i="8"/>
  <c r="L145" i="8"/>
  <c r="AB145" i="8"/>
  <c r="F145" i="8"/>
  <c r="AB147" i="8"/>
  <c r="G145" i="8"/>
  <c r="Q145" i="8"/>
  <c r="T145" i="8"/>
  <c r="AB154" i="8"/>
  <c r="AB155" i="8"/>
  <c r="AB151" i="8"/>
  <c r="E98" i="3" a="1"/>
  <c r="E98" i="3"/>
  <c r="V149" i="8"/>
  <c r="R139" i="8"/>
  <c r="K139" i="8"/>
  <c r="C139" i="8"/>
  <c r="L139" i="8"/>
  <c r="G139" i="8"/>
  <c r="J139" i="8"/>
  <c r="V151" i="8"/>
  <c r="I139" i="8"/>
  <c r="P139" i="8"/>
  <c r="H139" i="8"/>
  <c r="V147" i="8"/>
  <c r="V139" i="8"/>
  <c r="B139" i="8"/>
  <c r="Q139" i="8"/>
  <c r="V148" i="8"/>
  <c r="S139" i="8"/>
  <c r="M139" i="8"/>
  <c r="F139" i="8"/>
  <c r="V152" i="8"/>
  <c r="V154" i="8"/>
  <c r="V150" i="8"/>
  <c r="V155" i="8"/>
  <c r="O135" i="8"/>
  <c r="E135" i="8"/>
  <c r="M135" i="8"/>
  <c r="R146" i="8"/>
  <c r="C135" i="8"/>
  <c r="R150" i="8"/>
  <c r="R147" i="8"/>
  <c r="D135" i="8"/>
  <c r="N135" i="8"/>
  <c r="R135" i="8"/>
  <c r="R144" i="8"/>
  <c r="I135" i="8"/>
  <c r="G135" i="8"/>
  <c r="P135" i="8"/>
  <c r="R151" i="8"/>
  <c r="F135" i="8"/>
  <c r="L135" i="8"/>
  <c r="K135" i="8"/>
  <c r="J135" i="8"/>
  <c r="Q135" i="8"/>
  <c r="H135" i="8"/>
  <c r="B135" i="8"/>
  <c r="R149" i="8"/>
  <c r="R155" i="8"/>
  <c r="R148" i="8"/>
  <c r="R152" i="8"/>
  <c r="R154" i="8"/>
  <c r="G125" i="8"/>
  <c r="G131" i="8"/>
  <c r="G148" i="8"/>
  <c r="D124" i="8"/>
  <c r="G150" i="8"/>
  <c r="G127" i="8"/>
  <c r="G154" i="8"/>
  <c r="B124" i="8"/>
  <c r="C124" i="8"/>
  <c r="G124" i="8"/>
  <c r="G152" i="8"/>
  <c r="G149" i="8"/>
  <c r="G155" i="8"/>
  <c r="E124" i="8"/>
  <c r="G147" i="8"/>
  <c r="F124" i="8"/>
  <c r="G151" i="8"/>
  <c r="C123" i="8"/>
  <c r="F144" i="8"/>
  <c r="F142" i="8"/>
  <c r="E123" i="8"/>
  <c r="F149" i="8"/>
  <c r="F150" i="8"/>
  <c r="F152" i="8"/>
  <c r="D123" i="8"/>
  <c r="F154" i="8"/>
  <c r="B123" i="8"/>
  <c r="F155" i="8"/>
  <c r="F123" i="8"/>
  <c r="F151" i="8"/>
  <c r="F147" i="8"/>
  <c r="F148" i="8"/>
  <c r="H150" i="8"/>
  <c r="H154" i="8"/>
  <c r="E125" i="8"/>
  <c r="F125" i="8"/>
  <c r="C125" i="8"/>
  <c r="H151" i="8"/>
  <c r="H148" i="8"/>
  <c r="B125" i="8"/>
  <c r="H125" i="8"/>
  <c r="D125" i="8"/>
  <c r="H155" i="8"/>
  <c r="H147" i="8"/>
  <c r="H152" i="8"/>
  <c r="H149" i="8"/>
  <c r="B130" i="8"/>
  <c r="D130" i="8"/>
  <c r="E130" i="8"/>
  <c r="H130" i="8"/>
  <c r="K130" i="8"/>
  <c r="M130" i="8"/>
  <c r="J130" i="8"/>
  <c r="M149" i="8"/>
  <c r="F130" i="8"/>
  <c r="M155" i="8"/>
  <c r="G130" i="8"/>
  <c r="M150" i="8"/>
  <c r="M152" i="8"/>
  <c r="C130" i="8"/>
  <c r="I130" i="8"/>
  <c r="M148" i="8"/>
  <c r="L130" i="8"/>
  <c r="M147" i="8"/>
  <c r="M151" i="8"/>
  <c r="M154" i="8"/>
  <c r="O137" i="8"/>
  <c r="G137" i="8"/>
  <c r="T144" i="8"/>
  <c r="J137" i="8"/>
  <c r="T139" i="8"/>
  <c r="M137" i="8"/>
  <c r="F137" i="8"/>
  <c r="K137" i="8"/>
  <c r="E137" i="8"/>
  <c r="Q137" i="8"/>
  <c r="T150" i="8"/>
  <c r="P137" i="8"/>
  <c r="T155" i="8"/>
  <c r="B137" i="8"/>
  <c r="R137" i="8"/>
  <c r="N137" i="8"/>
  <c r="C137" i="8"/>
  <c r="D137" i="8"/>
  <c r="T154" i="8"/>
  <c r="T149" i="8"/>
  <c r="I137" i="8"/>
  <c r="L137" i="8"/>
  <c r="T147" i="8"/>
  <c r="S137" i="8"/>
  <c r="T152" i="8"/>
  <c r="T137" i="8"/>
  <c r="H137" i="8"/>
  <c r="T148" i="8"/>
  <c r="T151" i="8"/>
  <c r="B131" i="8"/>
  <c r="B153" i="8"/>
  <c r="B149" i="8"/>
  <c r="B150" i="8"/>
  <c r="B119" i="8"/>
  <c r="B154" i="8"/>
  <c r="B133" i="8"/>
  <c r="B148" i="8"/>
  <c r="B152" i="8"/>
  <c r="B155" i="8"/>
  <c r="B151" i="8"/>
  <c r="B147" i="8"/>
  <c r="D122" i="8"/>
  <c r="E152" i="8"/>
  <c r="E150" i="8"/>
  <c r="E147" i="8"/>
  <c r="E155" i="8"/>
  <c r="E127" i="8"/>
  <c r="E149" i="8"/>
  <c r="B122" i="8"/>
  <c r="E139" i="8"/>
  <c r="C122" i="8"/>
  <c r="E148" i="8"/>
  <c r="E154" i="8"/>
  <c r="E122" i="8"/>
  <c r="E151" i="8"/>
  <c r="N146" i="8"/>
  <c r="S146" i="8"/>
  <c r="E146" i="8"/>
  <c r="AA146" i="8"/>
  <c r="M146" i="8"/>
  <c r="K146" i="8"/>
  <c r="T146" i="8"/>
  <c r="H146" i="8"/>
  <c r="L146" i="8"/>
  <c r="V146" i="8"/>
  <c r="I146" i="8"/>
  <c r="O146" i="8"/>
  <c r="C146" i="8"/>
  <c r="B146" i="8"/>
  <c r="AB146" i="8"/>
  <c r="AC147" i="8"/>
  <c r="G146" i="8"/>
  <c r="U146" i="8"/>
  <c r="AC155" i="8"/>
  <c r="AC151" i="8"/>
  <c r="J146" i="8"/>
  <c r="D146" i="8"/>
  <c r="AC150" i="8"/>
  <c r="W146" i="8"/>
  <c r="AC148" i="8"/>
  <c r="AC154" i="8"/>
  <c r="AC146" i="8"/>
  <c r="AC152" i="8"/>
  <c r="AC149" i="8"/>
  <c r="Z146" i="8"/>
  <c r="F146" i="8"/>
  <c r="O142" i="8"/>
  <c r="K142" i="8"/>
  <c r="N142" i="8"/>
  <c r="Y147" i="8"/>
  <c r="R142" i="8"/>
  <c r="I142" i="8"/>
  <c r="M142" i="8"/>
  <c r="Y146" i="8"/>
  <c r="L142" i="8"/>
  <c r="H142" i="8"/>
  <c r="Y152" i="8"/>
  <c r="T142" i="8"/>
  <c r="Y150" i="8"/>
  <c r="V142" i="8"/>
  <c r="Y155" i="8"/>
  <c r="J142" i="8"/>
  <c r="W142" i="8"/>
  <c r="B142" i="8"/>
  <c r="G142" i="8"/>
  <c r="Q142" i="8"/>
  <c r="U142" i="8"/>
  <c r="X142" i="8"/>
  <c r="Y148" i="8"/>
  <c r="Y151" i="8"/>
  <c r="Y154" i="8"/>
  <c r="Y149" i="8"/>
  <c r="E142" i="8"/>
  <c r="P142" i="8"/>
  <c r="Y142" i="8"/>
  <c r="Y143" i="8"/>
  <c r="L133" i="8"/>
  <c r="B129" i="8"/>
  <c r="D129" i="8"/>
  <c r="L151" i="8"/>
  <c r="H129" i="8"/>
  <c r="L152" i="8"/>
  <c r="E129" i="8"/>
  <c r="L155" i="8"/>
  <c r="L147" i="8"/>
  <c r="F129" i="8"/>
  <c r="L154" i="8"/>
  <c r="L149" i="8"/>
  <c r="J129" i="8"/>
  <c r="C129" i="8"/>
  <c r="L150" i="8"/>
  <c r="L129" i="8"/>
  <c r="K129" i="8"/>
  <c r="G129" i="8"/>
  <c r="I129" i="8"/>
  <c r="L148" i="8"/>
  <c r="E97" i="3"/>
  <c r="D131" i="8"/>
  <c r="D142" i="8"/>
  <c r="D148" i="8"/>
  <c r="D151" i="8"/>
  <c r="B121" i="8"/>
  <c r="D139" i="8"/>
  <c r="D133" i="8"/>
  <c r="D155" i="8"/>
  <c r="D154" i="8"/>
  <c r="D147" i="8"/>
  <c r="D149" i="8"/>
  <c r="D152" i="8"/>
  <c r="D121" i="8"/>
  <c r="D150" i="8"/>
  <c r="D143" i="8"/>
  <c r="P136" i="8"/>
  <c r="G136" i="8"/>
  <c r="D136" i="8"/>
  <c r="C136" i="8"/>
  <c r="M136" i="8"/>
  <c r="I136" i="8"/>
  <c r="J136" i="8"/>
  <c r="N136" i="8"/>
  <c r="S150" i="8"/>
  <c r="R136" i="8"/>
  <c r="Q136" i="8"/>
  <c r="F136" i="8"/>
  <c r="S142" i="8"/>
  <c r="O136" i="8"/>
  <c r="S152" i="8"/>
  <c r="L136" i="8"/>
  <c r="S154" i="8"/>
  <c r="H136" i="8"/>
  <c r="S147" i="8"/>
  <c r="K136" i="8"/>
  <c r="S136" i="8"/>
  <c r="S148" i="8"/>
  <c r="E136" i="8"/>
  <c r="S155" i="8"/>
  <c r="S151" i="8"/>
  <c r="S149" i="8"/>
  <c r="B136" i="8"/>
  <c r="B120" i="8"/>
  <c r="C142" i="8"/>
  <c r="C121" i="8"/>
  <c r="C140" i="8"/>
  <c r="C149" i="8"/>
  <c r="C154" i="8"/>
  <c r="C148" i="8"/>
  <c r="C155" i="8"/>
  <c r="C153" i="8"/>
  <c r="C151" i="8"/>
  <c r="C152" i="8"/>
  <c r="C120" i="8"/>
  <c r="C150" i="8"/>
  <c r="C147" i="8"/>
  <c r="F126" i="8"/>
  <c r="I150" i="8"/>
  <c r="I152" i="8"/>
  <c r="G126" i="8"/>
  <c r="B126" i="8"/>
  <c r="D126" i="8"/>
  <c r="I149" i="8"/>
  <c r="I148" i="8"/>
  <c r="H126" i="8"/>
  <c r="E126" i="8"/>
  <c r="C126" i="8"/>
  <c r="I151" i="8"/>
  <c r="I126" i="8"/>
  <c r="I132" i="8"/>
  <c r="I155" i="8"/>
  <c r="I147" i="8"/>
  <c r="I143" i="8"/>
  <c r="I154" i="8"/>
  <c r="K133" i="8"/>
  <c r="C133" i="8"/>
  <c r="P146" i="8"/>
  <c r="G133" i="8"/>
  <c r="E133" i="8"/>
  <c r="P133" i="8"/>
  <c r="P147" i="8"/>
  <c r="O133" i="8"/>
  <c r="P152" i="8"/>
  <c r="P150" i="8"/>
  <c r="M133" i="8"/>
  <c r="P154" i="8"/>
  <c r="P149" i="8"/>
  <c r="H133" i="8"/>
  <c r="P148" i="8"/>
  <c r="J133" i="8"/>
  <c r="P155" i="8"/>
  <c r="P151" i="8"/>
  <c r="F133" i="8"/>
  <c r="I133" i="8"/>
  <c r="Q134" i="8"/>
  <c r="O134" i="8"/>
  <c r="Q148" i="8"/>
  <c r="Q150" i="8"/>
  <c r="N134" i="8"/>
  <c r="G134" i="8"/>
  <c r="M134" i="8"/>
  <c r="J134" i="8"/>
  <c r="Q149" i="8"/>
  <c r="D134" i="8"/>
  <c r="Q146" i="8"/>
  <c r="E134" i="8"/>
  <c r="I134" i="8"/>
  <c r="Q151" i="8"/>
  <c r="Q152" i="8"/>
  <c r="H134" i="8"/>
  <c r="L134" i="8"/>
  <c r="B134" i="8"/>
  <c r="Q155" i="8"/>
  <c r="P134" i="8"/>
  <c r="F134" i="8"/>
  <c r="Q147" i="8"/>
  <c r="Q154" i="8"/>
  <c r="K134" i="8"/>
  <c r="C134" i="8"/>
  <c r="T141" i="8"/>
  <c r="X148" i="8"/>
  <c r="K141" i="8"/>
  <c r="Q141" i="8"/>
  <c r="S141" i="8"/>
  <c r="X155" i="8"/>
  <c r="B141" i="8"/>
  <c r="X149" i="8"/>
  <c r="F141" i="8"/>
  <c r="X152" i="8"/>
  <c r="D141" i="8"/>
  <c r="N141" i="8"/>
  <c r="X146" i="8"/>
  <c r="U141" i="8"/>
  <c r="V141" i="8"/>
  <c r="W141" i="8"/>
  <c r="X141" i="8"/>
  <c r="X150" i="8"/>
  <c r="R141" i="8"/>
  <c r="L141" i="8"/>
  <c r="I141" i="8"/>
  <c r="E141" i="8"/>
  <c r="X151" i="8"/>
  <c r="P141" i="8"/>
  <c r="X154" i="8"/>
  <c r="M141" i="8"/>
  <c r="H141" i="8"/>
  <c r="C141" i="8"/>
  <c r="J141" i="8"/>
  <c r="X147" i="8"/>
  <c r="G141" i="8"/>
  <c r="I144" i="8"/>
  <c r="AA152" i="8"/>
  <c r="D144" i="8"/>
  <c r="AA151" i="8"/>
  <c r="AA150" i="8"/>
  <c r="M144" i="8"/>
  <c r="Z144" i="8"/>
  <c r="J144" i="8"/>
  <c r="W144" i="8"/>
  <c r="Y144" i="8"/>
  <c r="Q144" i="8"/>
  <c r="K144" i="8"/>
  <c r="X144" i="8"/>
  <c r="C144" i="8"/>
  <c r="AA148" i="8"/>
  <c r="AA144" i="8"/>
  <c r="AA154" i="8"/>
  <c r="L144" i="8"/>
  <c r="H144" i="8"/>
  <c r="B144" i="8"/>
  <c r="S144" i="8"/>
  <c r="P144" i="8"/>
  <c r="U144" i="8"/>
  <c r="E144" i="8"/>
  <c r="AA149" i="8"/>
  <c r="V144" i="8"/>
  <c r="AA155" i="8"/>
  <c r="AA147" i="8"/>
  <c r="G144" i="8"/>
  <c r="N140" i="8"/>
  <c r="B140" i="8"/>
  <c r="O140" i="8"/>
  <c r="F140" i="8"/>
  <c r="M140" i="8"/>
  <c r="T140" i="8"/>
  <c r="H140" i="8"/>
  <c r="L140" i="8"/>
  <c r="E140" i="8"/>
  <c r="D140" i="8"/>
  <c r="V140" i="8"/>
  <c r="G140" i="8"/>
  <c r="Q140" i="8"/>
  <c r="K140" i="8"/>
  <c r="W148" i="8"/>
  <c r="P140" i="8"/>
  <c r="R140" i="8"/>
  <c r="W147" i="8"/>
  <c r="W140" i="8"/>
  <c r="W151" i="8"/>
  <c r="W150" i="8"/>
  <c r="W155" i="8"/>
  <c r="W152" i="8"/>
  <c r="I140" i="8"/>
  <c r="W149" i="8"/>
  <c r="S140" i="8"/>
  <c r="W154" i="8"/>
  <c r="J140" i="8"/>
  <c r="K148" i="8"/>
  <c r="K154" i="8"/>
  <c r="K149" i="8"/>
  <c r="K147" i="8"/>
  <c r="K152" i="8"/>
  <c r="K155" i="8"/>
  <c r="K150" i="8"/>
  <c r="K151" i="8"/>
  <c r="K143" i="8"/>
  <c r="I131" i="8"/>
  <c r="H131" i="8"/>
  <c r="E131" i="8"/>
  <c r="N145" i="8"/>
  <c r="L131" i="8"/>
  <c r="M131" i="8"/>
  <c r="N148" i="8"/>
  <c r="N143" i="8"/>
  <c r="J131" i="8"/>
  <c r="N139" i="8"/>
  <c r="K131" i="8"/>
  <c r="N144" i="8"/>
  <c r="N133" i="8"/>
  <c r="N150" i="8"/>
  <c r="N151" i="8"/>
  <c r="N154" i="8"/>
  <c r="N131" i="8"/>
  <c r="N155" i="8"/>
  <c r="C131" i="8"/>
  <c r="N149" i="8"/>
  <c r="N152" i="8"/>
  <c r="F131" i="8"/>
  <c r="N147" i="8"/>
  <c r="G132" i="8"/>
  <c r="O147" i="8"/>
  <c r="C132" i="8"/>
  <c r="L132" i="8"/>
  <c r="J132" i="8"/>
  <c r="D132" i="8"/>
  <c r="O144" i="8"/>
  <c r="O149" i="8"/>
  <c r="H132" i="8"/>
  <c r="N132" i="8"/>
  <c r="E132" i="8"/>
  <c r="K132" i="8"/>
  <c r="B132" i="8"/>
  <c r="O154" i="8"/>
  <c r="O152" i="8"/>
  <c r="O141" i="8"/>
  <c r="O148" i="8"/>
  <c r="O155" i="8"/>
  <c r="O139" i="8"/>
  <c r="M132" i="8"/>
  <c r="O132" i="8"/>
  <c r="O150" i="8"/>
  <c r="O151" i="8"/>
  <c r="F132" i="8"/>
  <c r="E107" i="3" a="1"/>
  <c r="E107" i="3"/>
  <c r="E105" i="3" a="1"/>
  <c r="E105" i="3"/>
  <c r="E99" i="3" a="1"/>
  <c r="E99" i="3"/>
  <c r="E104" i="3"/>
  <c r="E103" i="3"/>
  <c r="L91" i="3"/>
  <c r="L97" i="3"/>
  <c r="L98" i="3" a="1"/>
  <c r="L98" i="3"/>
  <c r="L105" i="3" a="1"/>
  <c r="L105" i="3"/>
  <c r="L99" i="3" a="1"/>
  <c r="L99" i="3"/>
  <c r="L100" i="3" a="1"/>
  <c r="L100" i="3"/>
  <c r="L104" i="3"/>
  <c r="L103" i="3"/>
  <c r="L96" i="3"/>
  <c r="L102" i="3"/>
  <c r="L107" i="3" a="1"/>
  <c r="L107" i="3"/>
  <c r="O91" i="3"/>
  <c r="O103" i="3"/>
  <c r="O107" i="3" a="1"/>
  <c r="O107" i="3"/>
  <c r="O98" i="3" a="1"/>
  <c r="O98" i="3"/>
  <c r="O99" i="3" a="1"/>
  <c r="O99" i="3"/>
  <c r="O104" i="3"/>
  <c r="O100" i="3" a="1"/>
  <c r="O100" i="3"/>
  <c r="O105" i="3" a="1"/>
  <c r="O105" i="3"/>
  <c r="O97" i="3"/>
  <c r="O96" i="3"/>
  <c r="O102" i="3"/>
  <c r="P91" i="3"/>
  <c r="P97" i="3"/>
  <c r="P105" i="3" a="1"/>
  <c r="P105" i="3"/>
  <c r="P103" i="3"/>
  <c r="P98" i="3" a="1"/>
  <c r="P98" i="3"/>
  <c r="P104" i="3"/>
  <c r="P99" i="3" a="1"/>
  <c r="P99" i="3"/>
  <c r="P107" i="3" a="1"/>
  <c r="P107" i="3"/>
  <c r="P96" i="3"/>
  <c r="P102" i="3"/>
  <c r="P100" i="3" a="1"/>
  <c r="P100" i="3"/>
  <c r="N91" i="3"/>
  <c r="N99" i="3" a="1"/>
  <c r="N99" i="3"/>
  <c r="N97" i="3"/>
  <c r="N107" i="3" a="1"/>
  <c r="N107" i="3"/>
  <c r="N96" i="3"/>
  <c r="N101" i="3"/>
  <c r="N100" i="3" a="1"/>
  <c r="N100" i="3"/>
  <c r="N105" i="3" a="1"/>
  <c r="N105" i="3"/>
  <c r="N104" i="3"/>
  <c r="N98" i="3" a="1"/>
  <c r="N98" i="3"/>
  <c r="N103" i="3"/>
  <c r="M91" i="3"/>
  <c r="M97" i="3"/>
  <c r="M100" i="3" a="1"/>
  <c r="M100" i="3"/>
  <c r="M96" i="3"/>
  <c r="M101" i="3"/>
  <c r="M98" i="3" a="1"/>
  <c r="M98" i="3"/>
  <c r="M103" i="3"/>
  <c r="M104" i="3"/>
  <c r="M99" i="3" a="1"/>
  <c r="M99" i="3"/>
  <c r="M105" i="3" a="1"/>
  <c r="M105" i="3"/>
  <c r="M107" i="3" a="1"/>
  <c r="M107" i="3"/>
  <c r="AC54" i="8"/>
  <c r="AA55" i="8"/>
  <c r="Z54" i="8"/>
  <c r="Z55" i="8"/>
  <c r="Y55" i="8"/>
  <c r="X54" i="8"/>
  <c r="X55" i="8"/>
  <c r="W55" i="8"/>
  <c r="U60" i="8"/>
  <c r="S60" i="8"/>
  <c r="V54" i="8"/>
  <c r="V55" i="8"/>
  <c r="V60" i="8"/>
  <c r="X60" i="8"/>
  <c r="Z60" i="8"/>
  <c r="AB60" i="8"/>
  <c r="AD60" i="8"/>
  <c r="AF60" i="8"/>
  <c r="AH60" i="8"/>
  <c r="AJ60" i="8"/>
  <c r="AL60" i="8"/>
  <c r="B60" i="8"/>
  <c r="W60" i="8"/>
  <c r="Y60" i="8"/>
  <c r="AA60" i="8"/>
  <c r="AC60" i="8"/>
  <c r="AE60" i="8"/>
  <c r="AG60" i="8"/>
  <c r="AI60" i="8"/>
  <c r="AK60" i="8"/>
  <c r="U54" i="8"/>
  <c r="U55" i="8"/>
  <c r="T54" i="8"/>
  <c r="T55" i="8"/>
  <c r="T60" i="8"/>
  <c r="S54" i="8"/>
  <c r="S55" i="8"/>
  <c r="R55" i="8"/>
  <c r="R60" i="8"/>
  <c r="E96" i="3"/>
  <c r="E101" i="3" a="1"/>
  <c r="E101" i="3"/>
  <c r="E102" i="3"/>
  <c r="C104" i="3"/>
  <c r="C99" i="3" a="1"/>
  <c r="C99" i="3"/>
  <c r="C98" i="3" a="1"/>
  <c r="C98" i="3"/>
  <c r="C103" i="3"/>
  <c r="F98" i="3" a="1"/>
  <c r="F98" i="3"/>
  <c r="F100" i="3" a="1"/>
  <c r="F100" i="3"/>
  <c r="F105" i="3" a="1"/>
  <c r="F105" i="3"/>
  <c r="F103" i="3"/>
  <c r="F97" i="3"/>
  <c r="F107" i="3" a="1"/>
  <c r="F107" i="3"/>
  <c r="F96" i="3"/>
  <c r="F101" i="3" a="1"/>
  <c r="F101" i="3"/>
  <c r="F99" i="3" a="1"/>
  <c r="F99" i="3"/>
  <c r="F104" i="3"/>
  <c r="AU5" i="6"/>
  <c r="J54" i="8"/>
  <c r="J60" i="8"/>
  <c r="J55" i="8"/>
  <c r="E60" i="8"/>
  <c r="E55" i="8"/>
  <c r="E54" i="8"/>
  <c r="K60" i="8"/>
  <c r="K55" i="8"/>
  <c r="K54" i="8"/>
  <c r="C60" i="8"/>
  <c r="C55" i="8"/>
  <c r="C54" i="8"/>
  <c r="N54" i="8"/>
  <c r="N60" i="8"/>
  <c r="N55" i="8"/>
  <c r="I60" i="8"/>
  <c r="I55" i="8"/>
  <c r="I54" i="8"/>
  <c r="O60" i="8"/>
  <c r="O55" i="8"/>
  <c r="O54" i="8"/>
  <c r="L54" i="8"/>
  <c r="L60" i="8"/>
  <c r="L55" i="8"/>
  <c r="D54" i="8"/>
  <c r="D60" i="8"/>
  <c r="D55" i="8"/>
  <c r="D98" i="3" a="1"/>
  <c r="D98" i="3"/>
  <c r="F54" i="8"/>
  <c r="F60" i="8"/>
  <c r="F55" i="8"/>
  <c r="H54" i="8"/>
  <c r="H60" i="8"/>
  <c r="H55" i="8"/>
  <c r="P54" i="8"/>
  <c r="P60" i="8"/>
  <c r="P55" i="8"/>
  <c r="M60" i="8"/>
  <c r="M55" i="8"/>
  <c r="M54" i="8"/>
  <c r="Q60" i="8"/>
  <c r="Q54" i="8"/>
  <c r="G60" i="8"/>
  <c r="G55" i="8"/>
  <c r="G54" i="8"/>
  <c r="F102" i="3"/>
  <c r="P101" i="3"/>
  <c r="M102" i="3"/>
  <c r="N102" i="3"/>
  <c r="L101" i="3"/>
  <c r="O101" i="3"/>
  <c r="B186" i="6"/>
  <c r="C186" i="6"/>
  <c r="I190" i="6"/>
  <c r="D190" i="6"/>
  <c r="C190" i="6"/>
  <c r="G190" i="6"/>
  <c r="G184" i="6"/>
  <c r="G95" i="2"/>
  <c r="E184" i="6"/>
  <c r="E95" i="2"/>
  <c r="B190" i="6"/>
  <c r="H190" i="6"/>
  <c r="F184" i="6" a="1"/>
  <c r="F184" i="6"/>
  <c r="F95" i="2"/>
  <c r="E190" i="6"/>
  <c r="H184" i="6"/>
  <c r="H95" i="2"/>
  <c r="D184" i="6"/>
  <c r="D95" i="2"/>
  <c r="H185" i="6"/>
  <c r="H96" i="2"/>
  <c r="F185" i="6" a="1"/>
  <c r="F185" i="6"/>
  <c r="F96" i="2"/>
  <c r="E185" i="6"/>
  <c r="E96" i="2"/>
  <c r="G185" i="6"/>
  <c r="G96" i="2"/>
  <c r="D185" i="6"/>
  <c r="D96" i="2"/>
  <c r="G98" i="3" a="1"/>
  <c r="G98" i="3"/>
  <c r="G99" i="3" a="1"/>
  <c r="G99" i="3"/>
  <c r="G104" i="3"/>
  <c r="G105" i="3" a="1"/>
  <c r="G105" i="3"/>
  <c r="G107" i="3" a="1"/>
  <c r="G107" i="3"/>
  <c r="G100" i="3" a="1"/>
  <c r="G100" i="3"/>
  <c r="G103" i="3"/>
  <c r="C96" i="3"/>
  <c r="C101" i="3" a="1"/>
  <c r="C101" i="3"/>
  <c r="C102" i="3"/>
  <c r="D96" i="3"/>
  <c r="D102" i="3"/>
  <c r="D97" i="3"/>
  <c r="D101" i="3" a="1"/>
  <c r="D101" i="3"/>
  <c r="D104" i="3"/>
  <c r="D100" i="3" a="1"/>
  <c r="D100" i="3"/>
  <c r="D99" i="3" a="1"/>
  <c r="D99" i="3"/>
  <c r="D103" i="3"/>
  <c r="D107" i="3" a="1"/>
  <c r="D107" i="3"/>
  <c r="G97" i="3"/>
  <c r="D105" i="3" a="1"/>
  <c r="D105" i="3"/>
  <c r="AU6" i="6"/>
  <c r="G96" i="3"/>
  <c r="G101" i="3" a="1"/>
  <c r="G101" i="3"/>
  <c r="G102" i="3"/>
  <c r="F55" i="6" a="1"/>
  <c r="F55" i="6"/>
  <c r="F94" i="2"/>
  <c r="D55" i="6"/>
  <c r="D94" i="2"/>
  <c r="G55" i="6"/>
  <c r="G94" i="2"/>
  <c r="E55" i="6"/>
  <c r="E94" i="2"/>
  <c r="AD60" i="6"/>
  <c r="W60" i="6"/>
  <c r="Y60" i="6"/>
  <c r="D60" i="6"/>
  <c r="AK60" i="6"/>
  <c r="AL60" i="6"/>
  <c r="AC60" i="6"/>
  <c r="T60" i="6"/>
  <c r="L60" i="6"/>
  <c r="N60" i="6"/>
  <c r="H60" i="6"/>
  <c r="AA60" i="6"/>
  <c r="R60" i="6"/>
  <c r="P60" i="6"/>
  <c r="J60" i="6"/>
  <c r="AF60" i="6"/>
  <c r="H54" i="6"/>
  <c r="H93" i="2"/>
  <c r="M60" i="6"/>
  <c r="V60" i="6"/>
  <c r="C60" i="6"/>
  <c r="Q60" i="6"/>
  <c r="H55" i="6"/>
  <c r="H94" i="2"/>
  <c r="AE60" i="6"/>
  <c r="G60" i="6"/>
  <c r="O60" i="6"/>
  <c r="D54" i="6"/>
  <c r="D93" i="2"/>
  <c r="AH60" i="6"/>
  <c r="U60" i="6"/>
  <c r="AG60" i="6"/>
  <c r="AJ60" i="6"/>
  <c r="G54" i="6"/>
  <c r="G93" i="2"/>
  <c r="AB60" i="6"/>
  <c r="E54" i="6"/>
  <c r="E93" i="2"/>
  <c r="Z60" i="6"/>
  <c r="K60" i="6"/>
  <c r="X60" i="6"/>
  <c r="E60" i="6"/>
  <c r="AI60" i="6"/>
  <c r="F54" i="6" a="1"/>
  <c r="F54" i="6"/>
  <c r="F93" i="2"/>
  <c r="F60" i="6"/>
  <c r="S60" i="6"/>
  <c r="B60" i="6"/>
  <c r="I60" i="6"/>
  <c r="AQ3" i="6"/>
  <c r="AS2" i="6"/>
  <c r="AQ4" i="6"/>
  <c r="G117" i="6"/>
  <c r="G98" i="2"/>
  <c r="H118" i="6"/>
  <c r="H99" i="2"/>
  <c r="F117" i="6" a="1"/>
  <c r="F117" i="6"/>
  <c r="F98" i="2"/>
  <c r="D117" i="6"/>
  <c r="D98" i="2"/>
  <c r="E117" i="6"/>
  <c r="E98" i="2"/>
  <c r="H117" i="6"/>
  <c r="H98" i="2"/>
  <c r="C184" i="6"/>
  <c r="C95" i="2"/>
  <c r="B95" i="2"/>
  <c r="D118" i="6"/>
  <c r="D99" i="2"/>
  <c r="E118" i="6"/>
  <c r="E99" i="2"/>
  <c r="F118" i="6" a="1"/>
  <c r="F118" i="6"/>
  <c r="F99" i="2"/>
  <c r="G118" i="6"/>
  <c r="G99" i="2"/>
  <c r="C185" i="6"/>
  <c r="C96" i="2"/>
  <c r="B96" i="2"/>
  <c r="C55" i="6"/>
  <c r="C94" i="2"/>
  <c r="B94" i="2"/>
  <c r="B62" i="8"/>
  <c r="AS65" i="6"/>
  <c r="AQ67" i="6"/>
  <c r="C100" i="3" a="1"/>
  <c r="C100" i="3"/>
  <c r="C105" i="3" a="1"/>
  <c r="C105" i="3"/>
  <c r="C107" i="3" a="1"/>
  <c r="C107" i="3"/>
  <c r="F190" i="6"/>
  <c r="S420" i="10" a="1"/>
  <c r="S420" i="10"/>
  <c r="R420" i="10" a="1"/>
  <c r="R420" i="10"/>
  <c r="Q420" i="10" a="1"/>
  <c r="Q420" i="10"/>
  <c r="P420" i="10" a="1"/>
  <c r="P420" i="10"/>
  <c r="O420" i="10" a="1"/>
  <c r="O420" i="10"/>
  <c r="N420" i="10" a="1"/>
  <c r="N420" i="10"/>
  <c r="M420" i="10" a="1"/>
  <c r="M420" i="10"/>
  <c r="L420" i="10" a="1"/>
  <c r="L420" i="10"/>
  <c r="K420" i="10" a="1"/>
  <c r="K420" i="10"/>
  <c r="J420" i="10" a="1"/>
  <c r="J420" i="10"/>
  <c r="H420" i="10" a="1"/>
  <c r="H420" i="10"/>
  <c r="F420" i="10" a="1"/>
  <c r="F420" i="10"/>
  <c r="S419" i="10" a="1"/>
  <c r="S419" i="10"/>
  <c r="R419" i="10" a="1"/>
  <c r="R419" i="10"/>
  <c r="Q419" i="10" a="1"/>
  <c r="Q419" i="10"/>
  <c r="P419" i="10" a="1"/>
  <c r="P419" i="10"/>
  <c r="O419" i="10" a="1"/>
  <c r="O419" i="10"/>
  <c r="N419" i="10" a="1"/>
  <c r="N419" i="10"/>
  <c r="M419" i="10" a="1"/>
  <c r="M419" i="10"/>
  <c r="L419" i="10" a="1"/>
  <c r="L419" i="10"/>
  <c r="K419" i="10" a="1"/>
  <c r="K419" i="10"/>
  <c r="J419" i="10" a="1"/>
  <c r="J419" i="10"/>
  <c r="H419" i="10" a="1"/>
  <c r="H419" i="10"/>
  <c r="F419" i="10" a="1"/>
  <c r="F419" i="10"/>
  <c r="S418" i="10" a="1"/>
  <c r="S418" i="10"/>
  <c r="R418" i="10" a="1"/>
  <c r="R418" i="10"/>
  <c r="Q418" i="10" a="1"/>
  <c r="Q418" i="10"/>
  <c r="P418" i="10" a="1"/>
  <c r="P418" i="10"/>
  <c r="O418" i="10" a="1"/>
  <c r="O418" i="10"/>
  <c r="N418" i="10" a="1"/>
  <c r="N418" i="10"/>
  <c r="M418" i="10" a="1"/>
  <c r="M418" i="10"/>
  <c r="L418" i="10" a="1"/>
  <c r="L418" i="10"/>
  <c r="K418" i="10" a="1"/>
  <c r="K418" i="10"/>
  <c r="J418" i="10" a="1"/>
  <c r="J418" i="10"/>
  <c r="H418" i="10" a="1"/>
  <c r="H418" i="10"/>
  <c r="F418" i="10" a="1"/>
  <c r="F418" i="10"/>
  <c r="J6" i="10"/>
  <c r="J162" i="10" a="1"/>
  <c r="J162" i="10"/>
  <c r="H6" i="10"/>
  <c r="H162" i="10" a="1"/>
  <c r="H162" i="10"/>
  <c r="F6" i="10"/>
  <c r="F162" i="10" a="1"/>
  <c r="F162" i="10"/>
  <c r="S6" i="10"/>
  <c r="S162" i="10" a="1"/>
  <c r="S162" i="10"/>
  <c r="R6" i="10"/>
  <c r="R162" i="10" a="1"/>
  <c r="R162" i="10"/>
  <c r="Q6" i="10"/>
  <c r="Q162" i="10" a="1"/>
  <c r="Q162" i="10"/>
  <c r="P6" i="10"/>
  <c r="P162" i="10" a="1"/>
  <c r="P162" i="10"/>
  <c r="O6" i="10"/>
  <c r="O162" i="10" a="1"/>
  <c r="O162" i="10"/>
  <c r="N6" i="10"/>
  <c r="N162" i="10" a="1"/>
  <c r="N162" i="10"/>
  <c r="M6" i="10"/>
  <c r="M162" i="10" a="1"/>
  <c r="M162" i="10"/>
  <c r="L6" i="10"/>
  <c r="L162" i="10" a="1"/>
  <c r="L162" i="10"/>
  <c r="K6" i="10"/>
  <c r="K162" i="10" a="1"/>
  <c r="K162" i="10"/>
  <c r="E6" i="10"/>
  <c r="E162" i="10" a="1"/>
  <c r="E162" i="10"/>
  <c r="I6" i="10"/>
  <c r="I162" i="10" a="1"/>
  <c r="I162" i="10"/>
  <c r="G6" i="10"/>
  <c r="G162" i="10" a="1"/>
  <c r="G162" i="10"/>
  <c r="AY103" i="7" a="1"/>
  <c r="AY103" i="7"/>
  <c r="AX103" i="7" a="1"/>
  <c r="AX103" i="7"/>
  <c r="AW103" i="7" a="1"/>
  <c r="AW103" i="7"/>
  <c r="AV103" i="7" a="1"/>
  <c r="AV103" i="7"/>
  <c r="AU103" i="7" a="1"/>
  <c r="AU103" i="7"/>
  <c r="AT103" i="7" a="1"/>
  <c r="AT103" i="7"/>
  <c r="AS103" i="7" a="1"/>
  <c r="AS103" i="7"/>
  <c r="AR103" i="7" a="1"/>
  <c r="AR103" i="7"/>
  <c r="AQ103" i="7" a="1"/>
  <c r="AQ103" i="7"/>
  <c r="AP103" i="7" a="1"/>
  <c r="AP103" i="7"/>
  <c r="AO103" i="7" a="1"/>
  <c r="AO103" i="7"/>
  <c r="AN103" i="7" a="1"/>
  <c r="AN103" i="7"/>
  <c r="AM103" i="7" a="1"/>
  <c r="AM103" i="7"/>
  <c r="AL103" i="7" a="1"/>
  <c r="AL103" i="7"/>
  <c r="AK103" i="7" a="1"/>
  <c r="AK103" i="7"/>
  <c r="AJ103" i="7" a="1"/>
  <c r="AJ103" i="7"/>
  <c r="AI103" i="7" a="1"/>
  <c r="AI103" i="7"/>
  <c r="AH103" i="7" a="1"/>
  <c r="AH103" i="7"/>
  <c r="AG103" i="7" a="1"/>
  <c r="AG103" i="7"/>
  <c r="AF103" i="7" a="1"/>
  <c r="AF103" i="7"/>
  <c r="AE103" i="7" a="1"/>
  <c r="AE103" i="7"/>
  <c r="AD103" i="7" a="1"/>
  <c r="AD103" i="7"/>
  <c r="AC103" i="7" a="1"/>
  <c r="AC103" i="7"/>
  <c r="AB103" i="7" a="1"/>
  <c r="AB103" i="7"/>
  <c r="AA103" i="7" a="1"/>
  <c r="AA103" i="7"/>
  <c r="Z103" i="7" a="1"/>
  <c r="Z103" i="7"/>
  <c r="Y103" i="7" a="1"/>
  <c r="Y103" i="7"/>
  <c r="X103" i="7" a="1"/>
  <c r="X103" i="7"/>
  <c r="W103" i="7" a="1"/>
  <c r="W103" i="7"/>
  <c r="V103" i="7" a="1"/>
  <c r="V103" i="7"/>
  <c r="U103" i="7" a="1"/>
  <c r="U103" i="7"/>
  <c r="T103" i="7" a="1"/>
  <c r="T103" i="7"/>
  <c r="S103" i="7" a="1"/>
  <c r="S103" i="7"/>
  <c r="R103" i="7" a="1"/>
  <c r="R103" i="7"/>
  <c r="Q103" i="7" a="1"/>
  <c r="Q103" i="7"/>
  <c r="P103" i="7" a="1"/>
  <c r="P103" i="7"/>
  <c r="O103" i="7" a="1"/>
  <c r="O103" i="7"/>
  <c r="N103" i="7" a="1"/>
  <c r="N103" i="7"/>
  <c r="M103" i="7" a="1"/>
  <c r="M103" i="7"/>
  <c r="L103" i="7" a="1"/>
  <c r="L103" i="7"/>
  <c r="K103" i="7" a="1"/>
  <c r="K103" i="7"/>
  <c r="J103" i="7" a="1"/>
  <c r="J103" i="7"/>
  <c r="I103" i="7" a="1"/>
  <c r="I103" i="7"/>
  <c r="H103" i="7" a="1"/>
  <c r="H103" i="7"/>
  <c r="G103" i="7" a="1"/>
  <c r="G103" i="7"/>
  <c r="F103" i="7" a="1"/>
  <c r="F103" i="7"/>
  <c r="E103" i="7" a="1"/>
  <c r="E103" i="7"/>
  <c r="D103" i="7" a="1"/>
  <c r="D103" i="7"/>
  <c r="C103" i="7" a="1"/>
  <c r="C103" i="7"/>
  <c r="B103" i="7" a="1"/>
  <c r="B103" i="7"/>
  <c r="AY102" i="7" a="1"/>
  <c r="AY102" i="7"/>
  <c r="AX102" i="7" a="1"/>
  <c r="AX102" i="7"/>
  <c r="AW102" i="7" a="1"/>
  <c r="AW102" i="7"/>
  <c r="AV102" i="7" a="1"/>
  <c r="AV102" i="7"/>
  <c r="AU102" i="7" a="1"/>
  <c r="AU102" i="7"/>
  <c r="AT102" i="7" a="1"/>
  <c r="AT102" i="7"/>
  <c r="AS102" i="7" a="1"/>
  <c r="AS102" i="7"/>
  <c r="AR102" i="7" a="1"/>
  <c r="AR102" i="7"/>
  <c r="AQ102" i="7" a="1"/>
  <c r="AQ102" i="7"/>
  <c r="AP102" i="7" a="1"/>
  <c r="AP102" i="7"/>
  <c r="AO102" i="7" a="1"/>
  <c r="AO102" i="7"/>
  <c r="AN102" i="7" a="1"/>
  <c r="AN102" i="7"/>
  <c r="AM102" i="7" a="1"/>
  <c r="AM102" i="7"/>
  <c r="AL102" i="7" a="1"/>
  <c r="AL102" i="7"/>
  <c r="AK102" i="7" a="1"/>
  <c r="AK102" i="7"/>
  <c r="AJ102" i="7" a="1"/>
  <c r="AJ102" i="7"/>
  <c r="AI102" i="7" a="1"/>
  <c r="AI102" i="7"/>
  <c r="AH102" i="7" a="1"/>
  <c r="AH102" i="7"/>
  <c r="AG102" i="7" a="1"/>
  <c r="AG102" i="7"/>
  <c r="AF102" i="7" a="1"/>
  <c r="AF102" i="7"/>
  <c r="AE102" i="7" a="1"/>
  <c r="AE102" i="7"/>
  <c r="AD102" i="7" a="1"/>
  <c r="AD102" i="7"/>
  <c r="AC102" i="7" a="1"/>
  <c r="AC102" i="7"/>
  <c r="AB102" i="7" a="1"/>
  <c r="AB102" i="7"/>
  <c r="AA102" i="7" a="1"/>
  <c r="AA102" i="7"/>
  <c r="Z102" i="7" a="1"/>
  <c r="Z102" i="7"/>
  <c r="Y102" i="7" a="1"/>
  <c r="Y102" i="7"/>
  <c r="X102" i="7" a="1"/>
  <c r="X102" i="7"/>
  <c r="W102" i="7" a="1"/>
  <c r="W102" i="7"/>
  <c r="V102" i="7" a="1"/>
  <c r="V102" i="7"/>
  <c r="U102" i="7" a="1"/>
  <c r="U102" i="7"/>
  <c r="T102" i="7" a="1"/>
  <c r="T102" i="7"/>
  <c r="S102" i="7" a="1"/>
  <c r="S102" i="7"/>
  <c r="R102" i="7" a="1"/>
  <c r="R102" i="7"/>
  <c r="Q102" i="7" a="1"/>
  <c r="Q102" i="7"/>
  <c r="P102" i="7" a="1"/>
  <c r="P102" i="7"/>
  <c r="O102" i="7" a="1"/>
  <c r="O102" i="7"/>
  <c r="N102" i="7" a="1"/>
  <c r="N102" i="7"/>
  <c r="M102" i="7" a="1"/>
  <c r="M102" i="7"/>
  <c r="L102" i="7" a="1"/>
  <c r="L102" i="7"/>
  <c r="K102" i="7" a="1"/>
  <c r="K102" i="7"/>
  <c r="J102" i="7" a="1"/>
  <c r="J102" i="7"/>
  <c r="I102" i="7" a="1"/>
  <c r="I102" i="7"/>
  <c r="H102" i="7" a="1"/>
  <c r="H102" i="7"/>
  <c r="G102" i="7" a="1"/>
  <c r="G102" i="7"/>
  <c r="F102" i="7" a="1"/>
  <c r="F102" i="7"/>
  <c r="E102" i="7" a="1"/>
  <c r="E102" i="7"/>
  <c r="D102" i="7" a="1"/>
  <c r="D102" i="7"/>
  <c r="C102" i="7" a="1"/>
  <c r="C102" i="7"/>
  <c r="B102" i="7" a="1"/>
  <c r="B102" i="7"/>
  <c r="AY101" i="7" a="1"/>
  <c r="AY101" i="7"/>
  <c r="AX101" i="7" a="1"/>
  <c r="AX101" i="7"/>
  <c r="AW101" i="7" a="1"/>
  <c r="AW101" i="7"/>
  <c r="AV101" i="7" a="1"/>
  <c r="AV101" i="7"/>
  <c r="AU101" i="7" a="1"/>
  <c r="AU101" i="7"/>
  <c r="AT101" i="7" a="1"/>
  <c r="AT101" i="7"/>
  <c r="AS101" i="7" a="1"/>
  <c r="AS101" i="7"/>
  <c r="AR101" i="7" a="1"/>
  <c r="AR101" i="7"/>
  <c r="AQ101" i="7" a="1"/>
  <c r="AQ101" i="7"/>
  <c r="AP101" i="7" a="1"/>
  <c r="AP101" i="7"/>
  <c r="AO101" i="7" a="1"/>
  <c r="AO101" i="7"/>
  <c r="AN101" i="7" a="1"/>
  <c r="AN101" i="7"/>
  <c r="AM101" i="7" a="1"/>
  <c r="AM101" i="7"/>
  <c r="AL101" i="7" a="1"/>
  <c r="AL101" i="7"/>
  <c r="AK101" i="7" a="1"/>
  <c r="AK101" i="7"/>
  <c r="AJ101" i="7" a="1"/>
  <c r="AJ101" i="7"/>
  <c r="AI101" i="7" a="1"/>
  <c r="AI101" i="7"/>
  <c r="AH101" i="7" a="1"/>
  <c r="AH101" i="7"/>
  <c r="AG101" i="7" a="1"/>
  <c r="AG101" i="7"/>
  <c r="AF101" i="7" a="1"/>
  <c r="AF101" i="7"/>
  <c r="AE101" i="7" a="1"/>
  <c r="AE101" i="7"/>
  <c r="AD101" i="7" a="1"/>
  <c r="AD101" i="7"/>
  <c r="AC101" i="7" a="1"/>
  <c r="AC101" i="7"/>
  <c r="AB101" i="7" a="1"/>
  <c r="AB101" i="7"/>
  <c r="AA101" i="7" a="1"/>
  <c r="AA101" i="7"/>
  <c r="Z101" i="7" a="1"/>
  <c r="Z101" i="7"/>
  <c r="Y101" i="7" a="1"/>
  <c r="Y101" i="7"/>
  <c r="X101" i="7" a="1"/>
  <c r="X101" i="7"/>
  <c r="W101" i="7" a="1"/>
  <c r="W101" i="7"/>
  <c r="V101" i="7" a="1"/>
  <c r="V101" i="7"/>
  <c r="U101" i="7" a="1"/>
  <c r="U101" i="7"/>
  <c r="T101" i="7" a="1"/>
  <c r="T101" i="7"/>
  <c r="S101" i="7" a="1"/>
  <c r="S101" i="7"/>
  <c r="R101" i="7" a="1"/>
  <c r="R101" i="7"/>
  <c r="Q101" i="7" a="1"/>
  <c r="Q101" i="7"/>
  <c r="P101" i="7" a="1"/>
  <c r="P101" i="7"/>
  <c r="O101" i="7" a="1"/>
  <c r="O101" i="7"/>
  <c r="N101" i="7" a="1"/>
  <c r="N101" i="7"/>
  <c r="M101" i="7" a="1"/>
  <c r="M101" i="7"/>
  <c r="L101" i="7" a="1"/>
  <c r="L101" i="7"/>
  <c r="K101" i="7" a="1"/>
  <c r="K101" i="7"/>
  <c r="J101" i="7" a="1"/>
  <c r="J101" i="7"/>
  <c r="I101" i="7" a="1"/>
  <c r="I101" i="7"/>
  <c r="H101" i="7" a="1"/>
  <c r="H101" i="7"/>
  <c r="G101" i="7" a="1"/>
  <c r="G101" i="7"/>
  <c r="F101" i="7" a="1"/>
  <c r="F101" i="7"/>
  <c r="E101" i="7" a="1"/>
  <c r="E101" i="7"/>
  <c r="D101" i="7" a="1"/>
  <c r="D101" i="7"/>
  <c r="C101" i="7" a="1"/>
  <c r="C101" i="7"/>
  <c r="B101" i="7" a="1"/>
  <c r="B101" i="7"/>
  <c r="AY100" i="7" a="1"/>
  <c r="AY100" i="7"/>
  <c r="AX100" i="7" a="1"/>
  <c r="AX100" i="7"/>
  <c r="AW100" i="7" a="1"/>
  <c r="AW100" i="7"/>
  <c r="AV100" i="7" a="1"/>
  <c r="AV100" i="7"/>
  <c r="AU100" i="7" a="1"/>
  <c r="AU100" i="7"/>
  <c r="AT100" i="7" a="1"/>
  <c r="AT100" i="7"/>
  <c r="AS100" i="7" a="1"/>
  <c r="AS100" i="7"/>
  <c r="AR100" i="7" a="1"/>
  <c r="AR100" i="7"/>
  <c r="AQ100" i="7" a="1"/>
  <c r="AQ100" i="7"/>
  <c r="AP100" i="7" a="1"/>
  <c r="AP100" i="7"/>
  <c r="AO100" i="7" a="1"/>
  <c r="AO100" i="7"/>
  <c r="AN100" i="7" a="1"/>
  <c r="AN100" i="7"/>
  <c r="AM100" i="7" a="1"/>
  <c r="AM100" i="7"/>
  <c r="AL100" i="7" a="1"/>
  <c r="AL100" i="7"/>
  <c r="AK100" i="7" a="1"/>
  <c r="AK100" i="7"/>
  <c r="AJ100" i="7" a="1"/>
  <c r="AJ100" i="7"/>
  <c r="AI100" i="7" a="1"/>
  <c r="AI100" i="7"/>
  <c r="AH100" i="7" a="1"/>
  <c r="AH100" i="7"/>
  <c r="AG100" i="7" a="1"/>
  <c r="AG100" i="7"/>
  <c r="AF100" i="7" a="1"/>
  <c r="AF100" i="7"/>
  <c r="AE100" i="7" a="1"/>
  <c r="AE100" i="7"/>
  <c r="AD100" i="7" a="1"/>
  <c r="AD100" i="7"/>
  <c r="AC100" i="7" a="1"/>
  <c r="AC100" i="7"/>
  <c r="AB100" i="7" a="1"/>
  <c r="AB100" i="7"/>
  <c r="AA100" i="7" a="1"/>
  <c r="AA100" i="7"/>
  <c r="Z100" i="7" a="1"/>
  <c r="Z100" i="7"/>
  <c r="Y100" i="7" a="1"/>
  <c r="Y100" i="7"/>
  <c r="X100" i="7" a="1"/>
  <c r="X100" i="7"/>
  <c r="W100" i="7" a="1"/>
  <c r="W100" i="7"/>
  <c r="V100" i="7" a="1"/>
  <c r="V100" i="7"/>
  <c r="U100" i="7" a="1"/>
  <c r="U100" i="7"/>
  <c r="T100" i="7" a="1"/>
  <c r="T100" i="7"/>
  <c r="S100" i="7" a="1"/>
  <c r="S100" i="7"/>
  <c r="R100" i="7" a="1"/>
  <c r="R100" i="7"/>
  <c r="Q100" i="7" a="1"/>
  <c r="Q100" i="7"/>
  <c r="P100" i="7" a="1"/>
  <c r="P100" i="7"/>
  <c r="O100" i="7" a="1"/>
  <c r="O100" i="7"/>
  <c r="N100" i="7" a="1"/>
  <c r="N100" i="7"/>
  <c r="M100" i="7" a="1"/>
  <c r="M100" i="7"/>
  <c r="L100" i="7" a="1"/>
  <c r="L100" i="7"/>
  <c r="K100" i="7" a="1"/>
  <c r="K100" i="7"/>
  <c r="J100" i="7" a="1"/>
  <c r="J100" i="7"/>
  <c r="I100" i="7" a="1"/>
  <c r="I100" i="7"/>
  <c r="H100" i="7" a="1"/>
  <c r="H100" i="7"/>
  <c r="G100" i="7" a="1"/>
  <c r="G100" i="7"/>
  <c r="F100" i="7" a="1"/>
  <c r="F100" i="7"/>
  <c r="E100" i="7" a="1"/>
  <c r="E100" i="7"/>
  <c r="D100" i="7" a="1"/>
  <c r="D100" i="7"/>
  <c r="C100" i="7" a="1"/>
  <c r="C100" i="7"/>
  <c r="B100" i="7" a="1"/>
  <c r="B100" i="7"/>
  <c r="AY99" i="7" a="1"/>
  <c r="AY99" i="7"/>
  <c r="AX99" i="7" a="1"/>
  <c r="AX99" i="7"/>
  <c r="AW99" i="7" a="1"/>
  <c r="AW99" i="7"/>
  <c r="AV99" i="7" a="1"/>
  <c r="AV99" i="7"/>
  <c r="AU99" i="7" a="1"/>
  <c r="AU99" i="7"/>
  <c r="AT99" i="7" a="1"/>
  <c r="AT99" i="7"/>
  <c r="AS99" i="7" a="1"/>
  <c r="AS99" i="7"/>
  <c r="AR99" i="7" a="1"/>
  <c r="AR99" i="7"/>
  <c r="AQ99" i="7" a="1"/>
  <c r="AQ99" i="7"/>
  <c r="AP99" i="7" a="1"/>
  <c r="AP99" i="7"/>
  <c r="AO99" i="7" a="1"/>
  <c r="AO99" i="7"/>
  <c r="AN99" i="7" a="1"/>
  <c r="AN99" i="7"/>
  <c r="AM99" i="7" a="1"/>
  <c r="AM99" i="7"/>
  <c r="AL99" i="7" a="1"/>
  <c r="AL99" i="7"/>
  <c r="AK99" i="7" a="1"/>
  <c r="AK99" i="7"/>
  <c r="AJ99" i="7" a="1"/>
  <c r="AJ99" i="7"/>
  <c r="AI99" i="7" a="1"/>
  <c r="AI99" i="7"/>
  <c r="AH99" i="7" a="1"/>
  <c r="AH99" i="7"/>
  <c r="AG99" i="7" a="1"/>
  <c r="AG99" i="7"/>
  <c r="AF99" i="7" a="1"/>
  <c r="AF99" i="7"/>
  <c r="AE99" i="7" a="1"/>
  <c r="AE99" i="7"/>
  <c r="AD99" i="7" a="1"/>
  <c r="AD99" i="7"/>
  <c r="AC99" i="7" a="1"/>
  <c r="AC99" i="7"/>
  <c r="AB99" i="7" a="1"/>
  <c r="AB99" i="7"/>
  <c r="AA99" i="7" a="1"/>
  <c r="AA99" i="7"/>
  <c r="Z99" i="7" a="1"/>
  <c r="Z99" i="7"/>
  <c r="Y99" i="7" a="1"/>
  <c r="Y99" i="7"/>
  <c r="X99" i="7" a="1"/>
  <c r="X99" i="7"/>
  <c r="W99" i="7" a="1"/>
  <c r="W99" i="7"/>
  <c r="V99" i="7" a="1"/>
  <c r="V99" i="7"/>
  <c r="U99" i="7" a="1"/>
  <c r="U99" i="7"/>
  <c r="T99" i="7" a="1"/>
  <c r="T99" i="7"/>
  <c r="S99" i="7" a="1"/>
  <c r="S99" i="7"/>
  <c r="R99" i="7" a="1"/>
  <c r="R99" i="7"/>
  <c r="Q99" i="7" a="1"/>
  <c r="Q99" i="7"/>
  <c r="P99" i="7" a="1"/>
  <c r="P99" i="7"/>
  <c r="O99" i="7" a="1"/>
  <c r="O99" i="7"/>
  <c r="N99" i="7" a="1"/>
  <c r="N99" i="7"/>
  <c r="M99" i="7" a="1"/>
  <c r="M99" i="7"/>
  <c r="L99" i="7" a="1"/>
  <c r="L99" i="7"/>
  <c r="K99" i="7" a="1"/>
  <c r="K99" i="7"/>
  <c r="J99" i="7" a="1"/>
  <c r="J99" i="7"/>
  <c r="I99" i="7" a="1"/>
  <c r="I99" i="7"/>
  <c r="H99" i="7" a="1"/>
  <c r="H99" i="7"/>
  <c r="G99" i="7" a="1"/>
  <c r="G99" i="7"/>
  <c r="F99" i="7" a="1"/>
  <c r="F99" i="7"/>
  <c r="E99" i="7" a="1"/>
  <c r="E99" i="7"/>
  <c r="D99" i="7" a="1"/>
  <c r="D99" i="7"/>
  <c r="C99" i="7" a="1"/>
  <c r="C99" i="7"/>
  <c r="B99" i="7" a="1"/>
  <c r="B99" i="7"/>
  <c r="L106" i="3" a="1"/>
  <c r="L106" i="3"/>
  <c r="M106" i="3" a="1"/>
  <c r="M106" i="3"/>
  <c r="N106" i="3" a="1"/>
  <c r="N106" i="3"/>
  <c r="O106" i="3" a="1"/>
  <c r="O106" i="3"/>
  <c r="P106" i="3" a="1"/>
  <c r="P106" i="3"/>
  <c r="AK126" i="6" a="1"/>
  <c r="AK126" i="6"/>
  <c r="AL126" i="6" a="1"/>
  <c r="AL126" i="6"/>
  <c r="G106" i="3" a="1"/>
  <c r="G106" i="3"/>
  <c r="AK125" i="6" a="1"/>
  <c r="AK125" i="6"/>
  <c r="AL125" i="6" a="1"/>
  <c r="AL125" i="6"/>
  <c r="F106" i="3" a="1"/>
  <c r="F106" i="3"/>
  <c r="AK124" i="6" a="1"/>
  <c r="AK124" i="6"/>
  <c r="AL124" i="6" a="1"/>
  <c r="AL124" i="6"/>
  <c r="E106" i="3" a="1"/>
  <c r="E106" i="3"/>
  <c r="D106" i="3" a="1"/>
  <c r="D106" i="3"/>
  <c r="AK123" i="6" a="1"/>
  <c r="AK123" i="6"/>
  <c r="AL123" i="6" a="1"/>
  <c r="AL123" i="6"/>
  <c r="C106" i="3" a="1"/>
  <c r="C106" i="3"/>
  <c r="AL127" i="6" a="1"/>
  <c r="AL127" i="6"/>
  <c r="AK127" i="6" a="1"/>
  <c r="AK127" i="6"/>
  <c r="B418" i="10" a="1"/>
  <c r="B418" i="10"/>
  <c r="C418" i="10" a="1"/>
  <c r="C418" i="10"/>
  <c r="D418" i="10" a="1"/>
  <c r="D418" i="10"/>
  <c r="B419" i="10" a="1"/>
  <c r="B419" i="10"/>
  <c r="C419" i="10" a="1"/>
  <c r="C419" i="10"/>
  <c r="D419" i="10" a="1"/>
  <c r="D419" i="10"/>
  <c r="B420" i="10" a="1"/>
  <c r="B420" i="10"/>
  <c r="C420" i="10" a="1"/>
  <c r="C420" i="10"/>
  <c r="D420" i="10" a="1"/>
  <c r="D420" i="10"/>
  <c r="AG157" i="10" a="1"/>
  <c r="AG157" i="10"/>
  <c r="AH157" i="10" a="1"/>
  <c r="AH157" i="10"/>
  <c r="AI157" i="10" a="1"/>
  <c r="AI157" i="10"/>
  <c r="AJ157" i="10" a="1"/>
  <c r="AJ157" i="10"/>
  <c r="AK157" i="10" a="1"/>
  <c r="AK157" i="10"/>
  <c r="AL157" i="10" a="1"/>
  <c r="AL157" i="10"/>
  <c r="AM157" i="10" a="1"/>
  <c r="AM157" i="10"/>
  <c r="AN157" i="10" a="1"/>
  <c r="AN157" i="10"/>
  <c r="AO157" i="10" a="1"/>
  <c r="AO157" i="10"/>
  <c r="AP157" i="10" a="1"/>
  <c r="AP157" i="10"/>
  <c r="AQ157" i="10" a="1"/>
  <c r="AQ157" i="10"/>
  <c r="AR157" i="10" a="1"/>
  <c r="AR157" i="10"/>
  <c r="AS157" i="10" a="1"/>
  <c r="AS157" i="10"/>
  <c r="AU157" i="10" a="1"/>
  <c r="AU157" i="10"/>
  <c r="AV157" i="10" a="1"/>
  <c r="AV157" i="10"/>
  <c r="AW157" i="10" a="1"/>
  <c r="AW157" i="10"/>
  <c r="AX157" i="10" a="1"/>
  <c r="AX157" i="10"/>
  <c r="AY157" i="10" a="1"/>
  <c r="AY157" i="10"/>
  <c r="AZ157" i="10" a="1"/>
  <c r="AZ157" i="10"/>
  <c r="BA157" i="10" a="1"/>
  <c r="BA157" i="10"/>
  <c r="BB157" i="10" a="1"/>
  <c r="BB157" i="10"/>
  <c r="BC157" i="10" a="1"/>
  <c r="BC157" i="10"/>
  <c r="BD157" i="10" a="1"/>
  <c r="BD157" i="10"/>
  <c r="BE157" i="10" a="1"/>
  <c r="BE157" i="10"/>
  <c r="BF157" i="10" a="1"/>
  <c r="BF157" i="10"/>
  <c r="BG157" i="10" a="1"/>
  <c r="BG157" i="10"/>
  <c r="BH157" i="10" a="1"/>
  <c r="BH157" i="10"/>
  <c r="BI157" i="10" a="1"/>
  <c r="BI157" i="10"/>
  <c r="BJ157" i="10" a="1"/>
  <c r="BJ157" i="10"/>
  <c r="BK157" i="10" a="1"/>
  <c r="BK157" i="10"/>
  <c r="BL157" i="10" a="1"/>
  <c r="BL157" i="10"/>
  <c r="BM157" i="10" a="1"/>
  <c r="BM157" i="10"/>
  <c r="BN157" i="10" a="1"/>
  <c r="BN157" i="10"/>
  <c r="BO157" i="10" a="1"/>
  <c r="BO157" i="10"/>
  <c r="BP157" i="10" a="1"/>
  <c r="BP157" i="10"/>
  <c r="BQ157" i="10" a="1"/>
  <c r="BQ157" i="10"/>
  <c r="BR157" i="10" a="1"/>
  <c r="BR157" i="10"/>
  <c r="BS157" i="10" a="1"/>
  <c r="BS157" i="10"/>
  <c r="BT157" i="10" a="1"/>
  <c r="BT157" i="10"/>
  <c r="BU157" i="10" a="1"/>
  <c r="BU157" i="10"/>
  <c r="BV157" i="10" a="1"/>
  <c r="BV157" i="10"/>
  <c r="BW157" i="10" a="1"/>
  <c r="BW157" i="10"/>
  <c r="BX157" i="10" a="1"/>
  <c r="BX157" i="10"/>
  <c r="BY157" i="10" a="1"/>
  <c r="BY157" i="10"/>
  <c r="BZ157" i="10" a="1"/>
  <c r="BZ157" i="10"/>
  <c r="C157" i="10" a="1"/>
  <c r="C157" i="10"/>
  <c r="E157" i="10" a="1"/>
  <c r="E157" i="10"/>
  <c r="F157" i="10" a="1"/>
  <c r="F157" i="10"/>
  <c r="G157" i="10" a="1"/>
  <c r="G157" i="10"/>
  <c r="H157" i="10" a="1"/>
  <c r="H157" i="10"/>
  <c r="I157" i="10" a="1"/>
  <c r="I157" i="10"/>
  <c r="J157" i="10" a="1"/>
  <c r="J157" i="10"/>
  <c r="K157" i="10" a="1"/>
  <c r="K157" i="10"/>
  <c r="L157" i="10" a="1"/>
  <c r="L157" i="10"/>
  <c r="M157" i="10" a="1"/>
  <c r="M157" i="10"/>
  <c r="N157" i="10" a="1"/>
  <c r="N157" i="10"/>
  <c r="O157" i="10" a="1"/>
  <c r="O157" i="10"/>
  <c r="P157" i="10" a="1"/>
  <c r="P157" i="10"/>
  <c r="Q157" i="10" a="1"/>
  <c r="Q157" i="10"/>
  <c r="R157" i="10" a="1"/>
  <c r="R157" i="10"/>
  <c r="S157" i="10" a="1"/>
  <c r="S157" i="10"/>
  <c r="T157" i="10" a="1"/>
  <c r="T157" i="10"/>
  <c r="U157" i="10" a="1"/>
  <c r="U157" i="10"/>
  <c r="V157" i="10" a="1"/>
  <c r="V157" i="10"/>
  <c r="W157" i="10" a="1"/>
  <c r="W157" i="10"/>
  <c r="X157" i="10" a="1"/>
  <c r="X157" i="10"/>
  <c r="Y157" i="10" a="1"/>
  <c r="Y157" i="10"/>
  <c r="Z157" i="10" a="1"/>
  <c r="Z157" i="10"/>
  <c r="AA157" i="10" a="1"/>
  <c r="AA157" i="10"/>
  <c r="AB157" i="10" a="1"/>
  <c r="AB157" i="10"/>
  <c r="AC157" i="10" a="1"/>
  <c r="AC157" i="10"/>
  <c r="AD157" i="10" a="1"/>
  <c r="AD157" i="10"/>
  <c r="AE157" i="10" a="1"/>
  <c r="AE157" i="10"/>
  <c r="AF157" i="10" a="1"/>
  <c r="AF157" i="10"/>
  <c r="BZ329" i="11" a="1"/>
  <c r="BZ329" i="11"/>
  <c r="BZ328" i="11" a="1"/>
  <c r="BZ328" i="11"/>
  <c r="BZ327" i="11" a="1"/>
  <c r="BZ327" i="11"/>
  <c r="BZ326" i="11" a="1"/>
  <c r="BZ326" i="11"/>
  <c r="BZ325" i="11" a="1"/>
  <c r="BZ325" i="11"/>
  <c r="BZ436" i="10" a="1"/>
  <c r="BZ436" i="10"/>
  <c r="BZ435" i="10" a="1"/>
  <c r="BZ435" i="10"/>
  <c r="BZ434" i="10" a="1"/>
  <c r="BZ434" i="10"/>
  <c r="BZ433" i="10" a="1"/>
  <c r="BZ433" i="10"/>
  <c r="BZ432" i="10" a="1"/>
  <c r="BZ432" i="10"/>
  <c r="BZ431" i="10" a="1"/>
  <c r="BZ431" i="10"/>
  <c r="BZ430" i="10" a="1"/>
  <c r="BZ430" i="10"/>
  <c r="BZ429" i="10" a="1"/>
  <c r="BZ429" i="10"/>
  <c r="BZ324" i="11" a="1"/>
  <c r="BZ324" i="11"/>
  <c r="BY325" i="11" a="1"/>
  <c r="BY325" i="11"/>
  <c r="BY326" i="11" a="1"/>
  <c r="BY326" i="11"/>
  <c r="BY327" i="11" a="1"/>
  <c r="BY327" i="11"/>
  <c r="BY328" i="11" a="1"/>
  <c r="BY328" i="11"/>
  <c r="BY329" i="11" a="1"/>
  <c r="BY329" i="11"/>
  <c r="BY324" i="11" a="1"/>
  <c r="BY324" i="11"/>
  <c r="D329" i="11" a="1"/>
  <c r="D329" i="11"/>
  <c r="V329" i="11" a="1"/>
  <c r="V329" i="11"/>
  <c r="B329" i="11" a="1"/>
  <c r="B329" i="11"/>
  <c r="Y106" i="3" a="1"/>
  <c r="Y106" i="3"/>
  <c r="D328" i="11" a="1"/>
  <c r="D328" i="11"/>
  <c r="V328" i="11" a="1"/>
  <c r="V328" i="11"/>
  <c r="B328" i="11" a="1"/>
  <c r="B328" i="11"/>
  <c r="X106" i="3" a="1"/>
  <c r="X106" i="3"/>
  <c r="D327" i="11" a="1"/>
  <c r="D327" i="11"/>
  <c r="V327" i="11" a="1"/>
  <c r="V327" i="11"/>
  <c r="B327" i="11" a="1"/>
  <c r="B327" i="11"/>
  <c r="W106" i="3" a="1"/>
  <c r="W106" i="3"/>
  <c r="D326" i="11" a="1"/>
  <c r="D326" i="11"/>
  <c r="V326" i="11" a="1"/>
  <c r="V326" i="11"/>
  <c r="B326" i="11" a="1"/>
  <c r="B326" i="11"/>
  <c r="V106" i="3" a="1"/>
  <c r="V106" i="3"/>
  <c r="D325" i="11" a="1"/>
  <c r="D325" i="11"/>
  <c r="V325" i="11" a="1"/>
  <c r="V325" i="11"/>
  <c r="B325" i="11" a="1"/>
  <c r="B325" i="11"/>
  <c r="U106" i="3" a="1"/>
  <c r="U106" i="3"/>
  <c r="D6" i="10"/>
  <c r="D157" i="10" a="1"/>
  <c r="D157" i="10"/>
  <c r="B6" i="10"/>
  <c r="B157" i="10" a="1"/>
  <c r="B157" i="10"/>
  <c r="B163" i="10"/>
  <c r="D417" i="10" a="1"/>
  <c r="D417" i="10"/>
  <c r="B417" i="10" a="1"/>
  <c r="B417" i="10"/>
  <c r="D416" i="10" a="1"/>
  <c r="D416" i="10"/>
  <c r="B416" i="10" a="1"/>
  <c r="B416" i="10"/>
  <c r="D415" i="10" a="1"/>
  <c r="D415" i="10"/>
  <c r="B415" i="10" a="1"/>
  <c r="B415" i="10"/>
  <c r="D414" i="10" a="1"/>
  <c r="D414" i="10"/>
  <c r="B414" i="10" a="1"/>
  <c r="B414" i="10"/>
  <c r="D413" i="10" a="1"/>
  <c r="D413" i="10"/>
  <c r="B413" i="10" a="1"/>
  <c r="B413" i="10"/>
  <c r="D412" i="10" a="1"/>
  <c r="D412" i="10"/>
  <c r="B412" i="10" a="1"/>
  <c r="B412" i="10"/>
  <c r="D411" i="10" a="1"/>
  <c r="D411" i="10"/>
  <c r="B411" i="10" a="1"/>
  <c r="B411" i="10"/>
  <c r="V417" i="10" a="1"/>
  <c r="V417" i="10"/>
  <c r="V416" i="10" a="1"/>
  <c r="V416" i="10"/>
  <c r="V415" i="10" a="1"/>
  <c r="V415" i="10"/>
  <c r="V414" i="10" a="1"/>
  <c r="V414" i="10"/>
  <c r="V413" i="10" a="1"/>
  <c r="V413" i="10"/>
  <c r="V412" i="10" a="1"/>
  <c r="V412" i="10"/>
  <c r="V411" i="10" a="1"/>
  <c r="V411" i="10"/>
  <c r="V161" i="10"/>
  <c r="V158" i="10" a="1"/>
  <c r="V158" i="10"/>
  <c r="V156" i="10"/>
  <c r="V155" i="10"/>
  <c r="B155" i="10"/>
  <c r="D155" i="10"/>
  <c r="B156" i="10"/>
  <c r="D156" i="10"/>
  <c r="B158" i="10" a="1"/>
  <c r="B158" i="10"/>
  <c r="D158" i="10" a="1"/>
  <c r="D158" i="10"/>
  <c r="B161" i="10"/>
  <c r="D161" i="10"/>
  <c r="B162" i="10" a="1"/>
  <c r="B162" i="10"/>
  <c r="D162" i="10" a="1"/>
  <c r="D162" i="10"/>
  <c r="B324" i="11" a="1"/>
  <c r="B324" i="11"/>
  <c r="V324" i="11" a="1"/>
  <c r="V324" i="11"/>
  <c r="D324" i="11" a="1"/>
  <c r="D324" i="11"/>
  <c r="H319" i="11"/>
  <c r="Z98" i="2"/>
  <c r="H320" i="11"/>
  <c r="Z99" i="2"/>
  <c r="H155" i="11"/>
  <c r="Z93" i="2"/>
  <c r="H156" i="11"/>
  <c r="Z94" i="2"/>
  <c r="G156" i="11"/>
  <c r="Y94" i="2"/>
  <c r="G155" i="11"/>
  <c r="Y93" i="2"/>
  <c r="G320" i="11"/>
  <c r="Y99" i="2"/>
  <c r="G319" i="11"/>
  <c r="Y98" i="2"/>
  <c r="B161" i="11"/>
  <c r="BZ161" i="11"/>
  <c r="BY161" i="11"/>
  <c r="BX161" i="11"/>
  <c r="BW161" i="11"/>
  <c r="BV161" i="11"/>
  <c r="BU161" i="11"/>
  <c r="BT161" i="11"/>
  <c r="BS161" i="11"/>
  <c r="BR161" i="11"/>
  <c r="BQ161" i="11"/>
  <c r="BP161" i="11"/>
  <c r="BO161" i="11"/>
  <c r="BN161" i="11"/>
  <c r="BM161" i="11"/>
  <c r="BL161" i="11"/>
  <c r="BK161" i="11"/>
  <c r="BJ161" i="11"/>
  <c r="BI161" i="11"/>
  <c r="BH161" i="11"/>
  <c r="BG161" i="11"/>
  <c r="BF161" i="11"/>
  <c r="BE161" i="11"/>
  <c r="BD161" i="11"/>
  <c r="BC161" i="11"/>
  <c r="BB161" i="11"/>
  <c r="BA161" i="11"/>
  <c r="AZ161" i="11"/>
  <c r="AY161" i="11"/>
  <c r="AX161" i="11"/>
  <c r="AW161" i="11"/>
  <c r="AV161" i="11"/>
  <c r="AU161" i="11"/>
  <c r="AT161" i="11"/>
  <c r="AS161" i="11"/>
  <c r="AR161" i="11"/>
  <c r="AQ161" i="11"/>
  <c r="AP161" i="11"/>
  <c r="AO161" i="11"/>
  <c r="AN161" i="11"/>
  <c r="AM161" i="11"/>
  <c r="AL161" i="11"/>
  <c r="AK161" i="11"/>
  <c r="AJ161" i="11"/>
  <c r="AI161" i="11"/>
  <c r="AH161" i="11"/>
  <c r="AG161" i="11"/>
  <c r="AF161" i="11"/>
  <c r="AE161" i="11"/>
  <c r="AD161" i="11"/>
  <c r="AC161" i="11"/>
  <c r="AB161" i="11"/>
  <c r="AA161" i="11"/>
  <c r="Z161" i="11"/>
  <c r="Y161" i="11"/>
  <c r="X161" i="11"/>
  <c r="W161" i="11"/>
  <c r="V161" i="11"/>
  <c r="U161" i="11"/>
  <c r="T161" i="11"/>
  <c r="S161" i="11"/>
  <c r="R161" i="11"/>
  <c r="Q161" i="11"/>
  <c r="P161" i="11"/>
  <c r="O161" i="11"/>
  <c r="N161" i="11"/>
  <c r="M161" i="11"/>
  <c r="L161" i="11"/>
  <c r="K161" i="11"/>
  <c r="J161" i="11"/>
  <c r="I161" i="11"/>
  <c r="H161" i="11"/>
  <c r="G161" i="11"/>
  <c r="F161" i="11"/>
  <c r="E161" i="11"/>
  <c r="D161" i="11"/>
  <c r="C161" i="11"/>
  <c r="G487" i="11"/>
  <c r="Y95" i="2"/>
  <c r="H487" i="11"/>
  <c r="Z95" i="2"/>
  <c r="G488" i="11"/>
  <c r="Y96" i="2"/>
  <c r="H488" i="11"/>
  <c r="Z96" i="2"/>
  <c r="B493" i="11"/>
  <c r="K493" i="11"/>
  <c r="J493" i="11"/>
  <c r="I493" i="11"/>
  <c r="H493" i="11"/>
  <c r="G493" i="11"/>
  <c r="F493" i="11"/>
  <c r="E493" i="11"/>
  <c r="D493" i="11"/>
  <c r="C493" i="11"/>
  <c r="V182" i="3" a="1"/>
  <c r="V182" i="3"/>
  <c r="V183" i="3" a="1"/>
  <c r="V183" i="3"/>
  <c r="V184" i="3" a="1"/>
  <c r="V184" i="3"/>
  <c r="V185" i="3" a="1"/>
  <c r="V185" i="3"/>
  <c r="V186" i="3" a="1"/>
  <c r="V186" i="3"/>
  <c r="V187" i="3" a="1"/>
  <c r="V187" i="3"/>
  <c r="V188" i="3" a="1"/>
  <c r="V188" i="3"/>
  <c r="V189" i="3" a="1"/>
  <c r="V189" i="3"/>
  <c r="V190" i="3" a="1"/>
  <c r="V190" i="3"/>
  <c r="V191" i="3" a="1"/>
  <c r="V191" i="3"/>
  <c r="V192" i="3" a="1"/>
  <c r="V192" i="3"/>
  <c r="V193" i="3" a="1"/>
  <c r="V193" i="3"/>
  <c r="V194" i="3" a="1"/>
  <c r="V194" i="3"/>
  <c r="V195" i="3" a="1"/>
  <c r="V195" i="3"/>
  <c r="V196" i="3" a="1"/>
  <c r="V196" i="3"/>
  <c r="V197" i="3" a="1"/>
  <c r="V197" i="3"/>
  <c r="V198" i="3" a="1"/>
  <c r="V198" i="3"/>
  <c r="V199" i="3" a="1"/>
  <c r="V199" i="3"/>
  <c r="V200" i="3" a="1"/>
  <c r="V200" i="3"/>
  <c r="V201" i="3" a="1"/>
  <c r="V201" i="3"/>
  <c r="V202" i="3" a="1"/>
  <c r="V202" i="3"/>
  <c r="V203" i="3" a="1"/>
  <c r="V203" i="3"/>
  <c r="V204" i="3" a="1"/>
  <c r="V204" i="3"/>
  <c r="V205" i="3" a="1"/>
  <c r="V205" i="3"/>
  <c r="V206" i="3" a="1"/>
  <c r="V206" i="3"/>
  <c r="V208" i="3" a="1"/>
  <c r="V208" i="3"/>
  <c r="V209" i="3" a="1"/>
  <c r="V209" i="3"/>
  <c r="V210" i="3" a="1"/>
  <c r="V210" i="3"/>
  <c r="V211" i="3" a="1"/>
  <c r="V211" i="3"/>
  <c r="V212" i="3" a="1"/>
  <c r="V212" i="3"/>
  <c r="V213" i="3" a="1"/>
  <c r="V213" i="3"/>
  <c r="V214" i="3" a="1"/>
  <c r="V214" i="3"/>
  <c r="V215" i="3" a="1"/>
  <c r="V215" i="3"/>
  <c r="V216" i="3" a="1"/>
  <c r="V216" i="3"/>
  <c r="V217" i="3" a="1"/>
  <c r="V217" i="3"/>
  <c r="V218" i="3" a="1"/>
  <c r="V218" i="3"/>
  <c r="V219" i="3" a="1"/>
  <c r="V219" i="3"/>
  <c r="V220" i="3" a="1"/>
  <c r="V220" i="3"/>
  <c r="V221" i="3" a="1"/>
  <c r="V221" i="3"/>
  <c r="V222" i="3" a="1"/>
  <c r="V222" i="3"/>
  <c r="V223" i="3" a="1"/>
  <c r="V223" i="3"/>
  <c r="V224" i="3" a="1"/>
  <c r="V224" i="3"/>
  <c r="V225" i="3" a="1"/>
  <c r="V225" i="3"/>
  <c r="V226" i="3" a="1"/>
  <c r="V226" i="3"/>
  <c r="V227" i="3" a="1"/>
  <c r="V227" i="3"/>
  <c r="V228" i="3" a="1"/>
  <c r="V228" i="3"/>
  <c r="V229" i="3" a="1"/>
  <c r="V229" i="3"/>
  <c r="V230" i="3" a="1"/>
  <c r="V230" i="3"/>
  <c r="V231" i="3" a="1"/>
  <c r="V231" i="3"/>
  <c r="V232" i="3" a="1"/>
  <c r="V232" i="3"/>
  <c r="V233" i="3" a="1"/>
  <c r="V233" i="3"/>
  <c r="V234" i="3" a="1"/>
  <c r="V234" i="3"/>
  <c r="V235" i="3" a="1"/>
  <c r="V235" i="3"/>
  <c r="V236" i="3" a="1"/>
  <c r="V236" i="3"/>
  <c r="V237" i="3" a="1"/>
  <c r="V237" i="3"/>
  <c r="V238" i="3" a="1"/>
  <c r="V238" i="3"/>
  <c r="V239" i="3" a="1"/>
  <c r="V239" i="3"/>
  <c r="V240" i="3" a="1"/>
  <c r="V240" i="3"/>
  <c r="V241" i="3" a="1"/>
  <c r="V241" i="3"/>
  <c r="V242" i="3" a="1"/>
  <c r="V242" i="3"/>
  <c r="V243" i="3" a="1"/>
  <c r="V243" i="3"/>
  <c r="V244" i="3" a="1"/>
  <c r="V244" i="3"/>
  <c r="V245" i="3" a="1"/>
  <c r="V245" i="3"/>
  <c r="V246" i="3" a="1"/>
  <c r="V246" i="3"/>
  <c r="V247" i="3" a="1"/>
  <c r="V247" i="3"/>
  <c r="V248" i="3" a="1"/>
  <c r="V248" i="3"/>
  <c r="V249" i="3" a="1"/>
  <c r="V249" i="3"/>
  <c r="V250" i="3" a="1"/>
  <c r="V250" i="3"/>
  <c r="V251" i="3" a="1"/>
  <c r="V251" i="3"/>
  <c r="V252" i="3" a="1"/>
  <c r="V252" i="3"/>
  <c r="V253" i="3" a="1"/>
  <c r="V253" i="3"/>
  <c r="V254" i="3" a="1"/>
  <c r="V254" i="3"/>
  <c r="V255" i="3" a="1"/>
  <c r="V255" i="3"/>
  <c r="V256" i="3" a="1"/>
  <c r="V256" i="3"/>
  <c r="V257" i="3" a="1"/>
  <c r="V257" i="3"/>
  <c r="V258" i="3" a="1"/>
  <c r="V258" i="3"/>
  <c r="V259" i="3" a="1"/>
  <c r="V259" i="3"/>
  <c r="V260" i="3" a="1"/>
  <c r="V260" i="3"/>
  <c r="V261" i="3" a="1"/>
  <c r="V261" i="3"/>
  <c r="V262" i="3" a="1"/>
  <c r="V262" i="3"/>
  <c r="V263" i="3" a="1"/>
  <c r="V263" i="3"/>
  <c r="V264" i="3" a="1"/>
  <c r="V264" i="3"/>
  <c r="V265" i="3" a="1"/>
  <c r="V265" i="3"/>
  <c r="V266" i="3" a="1"/>
  <c r="V266" i="3"/>
  <c r="V267" i="3" a="1"/>
  <c r="V267" i="3"/>
  <c r="V268" i="3" a="1"/>
  <c r="V268" i="3"/>
  <c r="V269" i="3" a="1"/>
  <c r="V269" i="3"/>
  <c r="V270" i="3" a="1"/>
  <c r="V270" i="3"/>
  <c r="V271" i="3" a="1"/>
  <c r="V271" i="3"/>
  <c r="V272" i="3" a="1"/>
  <c r="V272" i="3"/>
  <c r="V273" i="3" a="1"/>
  <c r="V273" i="3"/>
  <c r="V274" i="3" a="1"/>
  <c r="V274" i="3"/>
  <c r="V275" i="3" a="1"/>
  <c r="V275" i="3"/>
  <c r="V276" i="3" a="1"/>
  <c r="V276" i="3"/>
  <c r="V277" i="3" a="1"/>
  <c r="V277" i="3"/>
  <c r="V278" i="3" a="1"/>
  <c r="V278" i="3"/>
  <c r="W182" i="3" a="1"/>
  <c r="W182" i="3"/>
  <c r="W183" i="3" a="1"/>
  <c r="W183" i="3"/>
  <c r="W184" i="3" a="1"/>
  <c r="W184" i="3"/>
  <c r="W185" i="3" a="1"/>
  <c r="W185" i="3"/>
  <c r="W186" i="3" a="1"/>
  <c r="W186" i="3"/>
  <c r="W187" i="3" a="1"/>
  <c r="W187" i="3"/>
  <c r="W188" i="3" a="1"/>
  <c r="W188" i="3"/>
  <c r="W189" i="3" a="1"/>
  <c r="W189" i="3"/>
  <c r="W190" i="3" a="1"/>
  <c r="W190" i="3"/>
  <c r="W191" i="3" a="1"/>
  <c r="W191" i="3"/>
  <c r="W192" i="3" a="1"/>
  <c r="W192" i="3"/>
  <c r="W193" i="3" a="1"/>
  <c r="W193" i="3"/>
  <c r="W194" i="3" a="1"/>
  <c r="W194" i="3"/>
  <c r="W195" i="3" a="1"/>
  <c r="W195" i="3"/>
  <c r="W196" i="3" a="1"/>
  <c r="W196" i="3"/>
  <c r="W197" i="3" a="1"/>
  <c r="W197" i="3"/>
  <c r="W198" i="3" a="1"/>
  <c r="W198" i="3"/>
  <c r="W199" i="3" a="1"/>
  <c r="W199" i="3"/>
  <c r="W200" i="3" a="1"/>
  <c r="W200" i="3"/>
  <c r="W201" i="3" a="1"/>
  <c r="W201" i="3"/>
  <c r="W202" i="3" a="1"/>
  <c r="W202" i="3"/>
  <c r="W203" i="3" a="1"/>
  <c r="W203" i="3"/>
  <c r="W204" i="3" a="1"/>
  <c r="W204" i="3"/>
  <c r="W205" i="3" a="1"/>
  <c r="W205" i="3"/>
  <c r="W206" i="3" a="1"/>
  <c r="W206" i="3"/>
  <c r="W208" i="3" a="1"/>
  <c r="W208" i="3"/>
  <c r="W209" i="3" a="1"/>
  <c r="W209" i="3"/>
  <c r="W210" i="3" a="1"/>
  <c r="W210" i="3"/>
  <c r="W211" i="3" a="1"/>
  <c r="W211" i="3"/>
  <c r="W212" i="3" a="1"/>
  <c r="W212" i="3"/>
  <c r="W213" i="3" a="1"/>
  <c r="W213" i="3"/>
  <c r="W214" i="3" a="1"/>
  <c r="W214" i="3"/>
  <c r="W215" i="3" a="1"/>
  <c r="W215" i="3"/>
  <c r="W216" i="3" a="1"/>
  <c r="W216" i="3"/>
  <c r="W217" i="3" a="1"/>
  <c r="W217" i="3"/>
  <c r="W218" i="3" a="1"/>
  <c r="W218" i="3"/>
  <c r="W219" i="3" a="1"/>
  <c r="W219" i="3"/>
  <c r="W220" i="3" a="1"/>
  <c r="W220" i="3"/>
  <c r="W221" i="3" a="1"/>
  <c r="W221" i="3"/>
  <c r="W222" i="3" a="1"/>
  <c r="W222" i="3"/>
  <c r="W223" i="3" a="1"/>
  <c r="W223" i="3"/>
  <c r="W224" i="3" a="1"/>
  <c r="W224" i="3"/>
  <c r="W225" i="3" a="1"/>
  <c r="W225" i="3"/>
  <c r="W226" i="3" a="1"/>
  <c r="W226" i="3"/>
  <c r="W227" i="3" a="1"/>
  <c r="W227" i="3"/>
  <c r="W228" i="3" a="1"/>
  <c r="W228" i="3"/>
  <c r="W229" i="3" a="1"/>
  <c r="W229" i="3"/>
  <c r="W230" i="3" a="1"/>
  <c r="W230" i="3"/>
  <c r="W231" i="3" a="1"/>
  <c r="W231" i="3"/>
  <c r="W232" i="3" a="1"/>
  <c r="W232" i="3"/>
  <c r="W233" i="3" a="1"/>
  <c r="W233" i="3"/>
  <c r="W234" i="3" a="1"/>
  <c r="W234" i="3"/>
  <c r="W235" i="3" a="1"/>
  <c r="W235" i="3"/>
  <c r="W236" i="3" a="1"/>
  <c r="W236" i="3"/>
  <c r="W237" i="3" a="1"/>
  <c r="W237" i="3"/>
  <c r="W238" i="3" a="1"/>
  <c r="W238" i="3"/>
  <c r="W239" i="3" a="1"/>
  <c r="W239" i="3"/>
  <c r="W240" i="3" a="1"/>
  <c r="W240" i="3"/>
  <c r="W241" i="3" a="1"/>
  <c r="W241" i="3"/>
  <c r="W242" i="3" a="1"/>
  <c r="W242" i="3"/>
  <c r="W243" i="3" a="1"/>
  <c r="W243" i="3"/>
  <c r="W244" i="3" a="1"/>
  <c r="W244" i="3"/>
  <c r="W245" i="3" a="1"/>
  <c r="W245" i="3"/>
  <c r="W246" i="3" a="1"/>
  <c r="W246" i="3"/>
  <c r="W247" i="3" a="1"/>
  <c r="W247" i="3"/>
  <c r="W248" i="3" a="1"/>
  <c r="W248" i="3"/>
  <c r="W249" i="3" a="1"/>
  <c r="W249" i="3"/>
  <c r="W250" i="3" a="1"/>
  <c r="W250" i="3"/>
  <c r="W251" i="3" a="1"/>
  <c r="W251" i="3"/>
  <c r="W252" i="3" a="1"/>
  <c r="W252" i="3"/>
  <c r="W253" i="3" a="1"/>
  <c r="W253" i="3"/>
  <c r="W254" i="3" a="1"/>
  <c r="W254" i="3"/>
  <c r="W255" i="3" a="1"/>
  <c r="W255" i="3"/>
  <c r="W256" i="3" a="1"/>
  <c r="W256" i="3"/>
  <c r="W257" i="3" a="1"/>
  <c r="W257" i="3"/>
  <c r="W258" i="3" a="1"/>
  <c r="W258" i="3"/>
  <c r="W259" i="3" a="1"/>
  <c r="W259" i="3"/>
  <c r="W260" i="3" a="1"/>
  <c r="W260" i="3"/>
  <c r="W261" i="3" a="1"/>
  <c r="W261" i="3"/>
  <c r="W262" i="3" a="1"/>
  <c r="W262" i="3"/>
  <c r="W263" i="3" a="1"/>
  <c r="W263" i="3"/>
  <c r="W264" i="3" a="1"/>
  <c r="W264" i="3"/>
  <c r="W265" i="3" a="1"/>
  <c r="W265" i="3"/>
  <c r="W266" i="3" a="1"/>
  <c r="W266" i="3"/>
  <c r="W267" i="3" a="1"/>
  <c r="W267" i="3"/>
  <c r="W268" i="3" a="1"/>
  <c r="W268" i="3"/>
  <c r="W269" i="3" a="1"/>
  <c r="W269" i="3"/>
  <c r="W270" i="3" a="1"/>
  <c r="W270" i="3"/>
  <c r="W271" i="3" a="1"/>
  <c r="W271" i="3"/>
  <c r="W272" i="3" a="1"/>
  <c r="W272" i="3"/>
  <c r="W273" i="3" a="1"/>
  <c r="W273" i="3"/>
  <c r="W274" i="3" a="1"/>
  <c r="W274" i="3"/>
  <c r="W275" i="3" a="1"/>
  <c r="W275" i="3"/>
  <c r="W276" i="3" a="1"/>
  <c r="W276" i="3"/>
  <c r="W277" i="3" a="1"/>
  <c r="W277" i="3"/>
  <c r="W278" i="3" a="1"/>
  <c r="W278" i="3"/>
  <c r="X182" i="3" a="1"/>
  <c r="X182" i="3"/>
  <c r="X183" i="3" a="1"/>
  <c r="X183" i="3"/>
  <c r="X184" i="3" a="1"/>
  <c r="X184" i="3"/>
  <c r="X185" i="3" a="1"/>
  <c r="X185" i="3"/>
  <c r="X186" i="3" a="1"/>
  <c r="X186" i="3"/>
  <c r="X187" i="3" a="1"/>
  <c r="X187" i="3"/>
  <c r="X188" i="3" a="1"/>
  <c r="X188" i="3"/>
  <c r="X189" i="3" a="1"/>
  <c r="X189" i="3"/>
  <c r="X190" i="3" a="1"/>
  <c r="X190" i="3"/>
  <c r="X191" i="3" a="1"/>
  <c r="X191" i="3"/>
  <c r="X192" i="3" a="1"/>
  <c r="X192" i="3"/>
  <c r="X193" i="3" a="1"/>
  <c r="X193" i="3"/>
  <c r="X194" i="3" a="1"/>
  <c r="X194" i="3"/>
  <c r="X195" i="3" a="1"/>
  <c r="X195" i="3"/>
  <c r="X196" i="3" a="1"/>
  <c r="X196" i="3"/>
  <c r="X197" i="3" a="1"/>
  <c r="X197" i="3"/>
  <c r="X198" i="3" a="1"/>
  <c r="X198" i="3"/>
  <c r="X199" i="3" a="1"/>
  <c r="X199" i="3"/>
  <c r="X200" i="3" a="1"/>
  <c r="X200" i="3"/>
  <c r="X201" i="3" a="1"/>
  <c r="X201" i="3"/>
  <c r="X202" i="3" a="1"/>
  <c r="X202" i="3"/>
  <c r="X203" i="3" a="1"/>
  <c r="X203" i="3"/>
  <c r="X204" i="3" a="1"/>
  <c r="X204" i="3"/>
  <c r="X205" i="3" a="1"/>
  <c r="X205" i="3"/>
  <c r="X206" i="3" a="1"/>
  <c r="X206" i="3"/>
  <c r="X208" i="3" a="1"/>
  <c r="X208" i="3"/>
  <c r="X209" i="3" a="1"/>
  <c r="X209" i="3"/>
  <c r="X210" i="3" a="1"/>
  <c r="X210" i="3"/>
  <c r="X211" i="3" a="1"/>
  <c r="X211" i="3"/>
  <c r="X212" i="3" a="1"/>
  <c r="X212" i="3"/>
  <c r="X213" i="3" a="1"/>
  <c r="X213" i="3"/>
  <c r="X214" i="3" a="1"/>
  <c r="X214" i="3"/>
  <c r="X215" i="3" a="1"/>
  <c r="X215" i="3"/>
  <c r="X216" i="3" a="1"/>
  <c r="X216" i="3"/>
  <c r="X217" i="3" a="1"/>
  <c r="X217" i="3"/>
  <c r="X218" i="3" a="1"/>
  <c r="X218" i="3"/>
  <c r="X219" i="3" a="1"/>
  <c r="X219" i="3"/>
  <c r="X220" i="3" a="1"/>
  <c r="X220" i="3"/>
  <c r="X221" i="3" a="1"/>
  <c r="X221" i="3"/>
  <c r="X222" i="3" a="1"/>
  <c r="X222" i="3"/>
  <c r="X223" i="3" a="1"/>
  <c r="X223" i="3"/>
  <c r="X224" i="3" a="1"/>
  <c r="X224" i="3"/>
  <c r="X225" i="3" a="1"/>
  <c r="X225" i="3"/>
  <c r="X226" i="3" a="1"/>
  <c r="X226" i="3"/>
  <c r="X227" i="3" a="1"/>
  <c r="X227" i="3"/>
  <c r="X228" i="3" a="1"/>
  <c r="X228" i="3"/>
  <c r="X229" i="3" a="1"/>
  <c r="X229" i="3"/>
  <c r="X230" i="3" a="1"/>
  <c r="X230" i="3"/>
  <c r="X231" i="3" a="1"/>
  <c r="X231" i="3"/>
  <c r="X232" i="3" a="1"/>
  <c r="X232" i="3"/>
  <c r="X233" i="3" a="1"/>
  <c r="X233" i="3"/>
  <c r="X234" i="3" a="1"/>
  <c r="X234" i="3"/>
  <c r="X235" i="3" a="1"/>
  <c r="X235" i="3"/>
  <c r="X236" i="3" a="1"/>
  <c r="X236" i="3"/>
  <c r="X237" i="3" a="1"/>
  <c r="X237" i="3"/>
  <c r="X238" i="3" a="1"/>
  <c r="X238" i="3"/>
  <c r="X239" i="3" a="1"/>
  <c r="X239" i="3"/>
  <c r="X240" i="3" a="1"/>
  <c r="X240" i="3"/>
  <c r="X241" i="3" a="1"/>
  <c r="X241" i="3"/>
  <c r="X242" i="3" a="1"/>
  <c r="X242" i="3"/>
  <c r="X243" i="3" a="1"/>
  <c r="X243" i="3"/>
  <c r="X244" i="3" a="1"/>
  <c r="X244" i="3"/>
  <c r="X245" i="3" a="1"/>
  <c r="X245" i="3"/>
  <c r="X246" i="3" a="1"/>
  <c r="X246" i="3"/>
  <c r="X247" i="3" a="1"/>
  <c r="X247" i="3"/>
  <c r="X248" i="3" a="1"/>
  <c r="X248" i="3"/>
  <c r="X249" i="3" a="1"/>
  <c r="X249" i="3"/>
  <c r="X250" i="3" a="1"/>
  <c r="X250" i="3"/>
  <c r="X251" i="3" a="1"/>
  <c r="X251" i="3"/>
  <c r="X252" i="3" a="1"/>
  <c r="X252" i="3"/>
  <c r="X253" i="3" a="1"/>
  <c r="X253" i="3"/>
  <c r="X254" i="3" a="1"/>
  <c r="X254" i="3"/>
  <c r="X255" i="3" a="1"/>
  <c r="X255" i="3"/>
  <c r="X256" i="3" a="1"/>
  <c r="X256" i="3"/>
  <c r="X257" i="3" a="1"/>
  <c r="X257" i="3"/>
  <c r="X258" i="3" a="1"/>
  <c r="X258" i="3"/>
  <c r="X259" i="3" a="1"/>
  <c r="X259" i="3"/>
  <c r="X260" i="3" a="1"/>
  <c r="X260" i="3"/>
  <c r="X261" i="3" a="1"/>
  <c r="X261" i="3"/>
  <c r="X262" i="3" a="1"/>
  <c r="X262" i="3"/>
  <c r="X263" i="3" a="1"/>
  <c r="X263" i="3"/>
  <c r="X264" i="3" a="1"/>
  <c r="X264" i="3"/>
  <c r="X265" i="3" a="1"/>
  <c r="X265" i="3"/>
  <c r="X266" i="3" a="1"/>
  <c r="X266" i="3"/>
  <c r="X267" i="3" a="1"/>
  <c r="X267" i="3"/>
  <c r="X268" i="3" a="1"/>
  <c r="X268" i="3"/>
  <c r="X269" i="3" a="1"/>
  <c r="X269" i="3"/>
  <c r="X270" i="3" a="1"/>
  <c r="X270" i="3"/>
  <c r="X271" i="3" a="1"/>
  <c r="X271" i="3"/>
  <c r="X272" i="3" a="1"/>
  <c r="X272" i="3"/>
  <c r="X273" i="3" a="1"/>
  <c r="X273" i="3"/>
  <c r="X274" i="3" a="1"/>
  <c r="X274" i="3"/>
  <c r="X275" i="3" a="1"/>
  <c r="X275" i="3"/>
  <c r="X276" i="3" a="1"/>
  <c r="X276" i="3"/>
  <c r="X277" i="3" a="1"/>
  <c r="X277" i="3"/>
  <c r="X278" i="3" a="1"/>
  <c r="X278" i="3"/>
  <c r="Y182" i="3" a="1"/>
  <c r="Y182" i="3"/>
  <c r="Y183" i="3" a="1"/>
  <c r="Y183" i="3"/>
  <c r="Y184" i="3" a="1"/>
  <c r="Y184" i="3"/>
  <c r="Y185" i="3" a="1"/>
  <c r="Y185" i="3"/>
  <c r="Y186" i="3" a="1"/>
  <c r="Y186" i="3"/>
  <c r="Y187" i="3" a="1"/>
  <c r="Y187" i="3"/>
  <c r="Y188" i="3" a="1"/>
  <c r="Y188" i="3"/>
  <c r="Y189" i="3" a="1"/>
  <c r="Y189" i="3"/>
  <c r="Y190" i="3" a="1"/>
  <c r="Y190" i="3"/>
  <c r="Y191" i="3" a="1"/>
  <c r="Y191" i="3"/>
  <c r="Y192" i="3" a="1"/>
  <c r="Y192" i="3"/>
  <c r="Y193" i="3" a="1"/>
  <c r="Y193" i="3"/>
  <c r="Y194" i="3" a="1"/>
  <c r="Y194" i="3"/>
  <c r="Y195" i="3" a="1"/>
  <c r="Y195" i="3"/>
  <c r="Y196" i="3" a="1"/>
  <c r="Y196" i="3"/>
  <c r="Y197" i="3" a="1"/>
  <c r="Y197" i="3"/>
  <c r="Y198" i="3" a="1"/>
  <c r="Y198" i="3"/>
  <c r="Y199" i="3" a="1"/>
  <c r="Y199" i="3"/>
  <c r="Y200" i="3" a="1"/>
  <c r="Y200" i="3"/>
  <c r="Y201" i="3" a="1"/>
  <c r="Y201" i="3"/>
  <c r="Y202" i="3" a="1"/>
  <c r="Y202" i="3"/>
  <c r="Y203" i="3" a="1"/>
  <c r="Y203" i="3"/>
  <c r="Y204" i="3" a="1"/>
  <c r="Y204" i="3"/>
  <c r="Y205" i="3" a="1"/>
  <c r="Y205" i="3"/>
  <c r="Y206" i="3" a="1"/>
  <c r="Y206" i="3"/>
  <c r="Y208" i="3" a="1"/>
  <c r="Y208" i="3"/>
  <c r="Y209" i="3" a="1"/>
  <c r="Y209" i="3"/>
  <c r="Y210" i="3" a="1"/>
  <c r="Y210" i="3"/>
  <c r="Y211" i="3" a="1"/>
  <c r="Y211" i="3"/>
  <c r="Y212" i="3" a="1"/>
  <c r="Y212" i="3"/>
  <c r="Y213" i="3" a="1"/>
  <c r="Y213" i="3"/>
  <c r="Y214" i="3" a="1"/>
  <c r="Y214" i="3"/>
  <c r="Y215" i="3" a="1"/>
  <c r="Y215" i="3"/>
  <c r="Y216" i="3" a="1"/>
  <c r="Y216" i="3"/>
  <c r="Y217" i="3" a="1"/>
  <c r="Y217" i="3"/>
  <c r="Y218" i="3" a="1"/>
  <c r="Y218" i="3"/>
  <c r="Y219" i="3" a="1"/>
  <c r="Y219" i="3"/>
  <c r="Y220" i="3" a="1"/>
  <c r="Y220" i="3"/>
  <c r="Y221" i="3" a="1"/>
  <c r="Y221" i="3"/>
  <c r="Y222" i="3" a="1"/>
  <c r="Y222" i="3"/>
  <c r="Y223" i="3" a="1"/>
  <c r="Y223" i="3"/>
  <c r="Y224" i="3" a="1"/>
  <c r="Y224" i="3"/>
  <c r="Y225" i="3" a="1"/>
  <c r="Y225" i="3"/>
  <c r="Y226" i="3" a="1"/>
  <c r="Y226" i="3"/>
  <c r="Y227" i="3" a="1"/>
  <c r="Y227" i="3"/>
  <c r="Y228" i="3" a="1"/>
  <c r="Y228" i="3"/>
  <c r="Y229" i="3" a="1"/>
  <c r="Y229" i="3"/>
  <c r="Y230" i="3" a="1"/>
  <c r="Y230" i="3"/>
  <c r="Y231" i="3" a="1"/>
  <c r="Y231" i="3"/>
  <c r="Y232" i="3" a="1"/>
  <c r="Y232" i="3"/>
  <c r="Y233" i="3" a="1"/>
  <c r="Y233" i="3"/>
  <c r="Y234" i="3" a="1"/>
  <c r="Y234" i="3"/>
  <c r="Y235" i="3" a="1"/>
  <c r="Y235" i="3"/>
  <c r="Y236" i="3" a="1"/>
  <c r="Y236" i="3"/>
  <c r="Y237" i="3" a="1"/>
  <c r="Y237" i="3"/>
  <c r="Y238" i="3" a="1"/>
  <c r="Y238" i="3"/>
  <c r="Y239" i="3" a="1"/>
  <c r="Y239" i="3"/>
  <c r="Y240" i="3" a="1"/>
  <c r="Y240" i="3"/>
  <c r="Y241" i="3" a="1"/>
  <c r="Y241" i="3"/>
  <c r="Y242" i="3" a="1"/>
  <c r="Y242" i="3"/>
  <c r="Y243" i="3" a="1"/>
  <c r="Y243" i="3"/>
  <c r="Y244" i="3" a="1"/>
  <c r="Y244" i="3"/>
  <c r="Y245" i="3" a="1"/>
  <c r="Y245" i="3"/>
  <c r="Y246" i="3" a="1"/>
  <c r="Y246" i="3"/>
  <c r="Y247" i="3" a="1"/>
  <c r="Y247" i="3"/>
  <c r="Y248" i="3" a="1"/>
  <c r="Y248" i="3"/>
  <c r="Y249" i="3" a="1"/>
  <c r="Y249" i="3"/>
  <c r="Y250" i="3" a="1"/>
  <c r="Y250" i="3"/>
  <c r="Y251" i="3" a="1"/>
  <c r="Y251" i="3"/>
  <c r="Y252" i="3" a="1"/>
  <c r="Y252" i="3"/>
  <c r="Y253" i="3" a="1"/>
  <c r="Y253" i="3"/>
  <c r="Y254" i="3" a="1"/>
  <c r="Y254" i="3"/>
  <c r="Y255" i="3" a="1"/>
  <c r="Y255" i="3"/>
  <c r="Y256" i="3" a="1"/>
  <c r="Y256" i="3"/>
  <c r="Y257" i="3" a="1"/>
  <c r="Y257" i="3"/>
  <c r="Y258" i="3" a="1"/>
  <c r="Y258" i="3"/>
  <c r="Y259" i="3" a="1"/>
  <c r="Y259" i="3"/>
  <c r="Y260" i="3" a="1"/>
  <c r="Y260" i="3"/>
  <c r="Y261" i="3" a="1"/>
  <c r="Y261" i="3"/>
  <c r="Y262" i="3" a="1"/>
  <c r="Y262" i="3"/>
  <c r="Y263" i="3" a="1"/>
  <c r="Y263" i="3"/>
  <c r="Y264" i="3" a="1"/>
  <c r="Y264" i="3"/>
  <c r="Y265" i="3" a="1"/>
  <c r="Y265" i="3"/>
  <c r="Y266" i="3" a="1"/>
  <c r="Y266" i="3"/>
  <c r="Y267" i="3" a="1"/>
  <c r="Y267" i="3"/>
  <c r="Y268" i="3" a="1"/>
  <c r="Y268" i="3"/>
  <c r="Y269" i="3" a="1"/>
  <c r="Y269" i="3"/>
  <c r="Y270" i="3" a="1"/>
  <c r="Y270" i="3"/>
  <c r="Y271" i="3" a="1"/>
  <c r="Y271" i="3"/>
  <c r="Y272" i="3" a="1"/>
  <c r="Y272" i="3"/>
  <c r="Y273" i="3" a="1"/>
  <c r="Y273" i="3"/>
  <c r="Y274" i="3" a="1"/>
  <c r="Y274" i="3"/>
  <c r="Y275" i="3" a="1"/>
  <c r="Y275" i="3"/>
  <c r="Y276" i="3" a="1"/>
  <c r="Y276" i="3"/>
  <c r="Y277" i="3" a="1"/>
  <c r="Y277" i="3"/>
  <c r="Y278" i="3" a="1"/>
  <c r="Y278" i="3"/>
  <c r="U182" i="3" a="1"/>
  <c r="U182" i="3"/>
  <c r="U183" i="3" a="1"/>
  <c r="U183" i="3"/>
  <c r="U184" i="3" a="1"/>
  <c r="U184" i="3"/>
  <c r="U185" i="3" a="1"/>
  <c r="U185" i="3"/>
  <c r="U186" i="3" a="1"/>
  <c r="U186" i="3"/>
  <c r="U187" i="3" a="1"/>
  <c r="U187" i="3"/>
  <c r="U188" i="3" a="1"/>
  <c r="U188" i="3"/>
  <c r="U189" i="3" a="1"/>
  <c r="U189" i="3"/>
  <c r="U190" i="3" a="1"/>
  <c r="U190" i="3"/>
  <c r="U191" i="3" a="1"/>
  <c r="U191" i="3"/>
  <c r="U192" i="3" a="1"/>
  <c r="U192" i="3"/>
  <c r="U193" i="3" a="1"/>
  <c r="U193" i="3"/>
  <c r="U194" i="3" a="1"/>
  <c r="U194" i="3"/>
  <c r="U195" i="3" a="1"/>
  <c r="U195" i="3"/>
  <c r="U196" i="3" a="1"/>
  <c r="U196" i="3"/>
  <c r="U197" i="3" a="1"/>
  <c r="U197" i="3"/>
  <c r="U198" i="3" a="1"/>
  <c r="U198" i="3"/>
  <c r="U199" i="3" a="1"/>
  <c r="U199" i="3"/>
  <c r="U200" i="3" a="1"/>
  <c r="U200" i="3"/>
  <c r="U201" i="3" a="1"/>
  <c r="U201" i="3"/>
  <c r="U202" i="3" a="1"/>
  <c r="U202" i="3"/>
  <c r="U203" i="3" a="1"/>
  <c r="U203" i="3"/>
  <c r="U204" i="3" a="1"/>
  <c r="U204" i="3"/>
  <c r="U205" i="3" a="1"/>
  <c r="U205" i="3"/>
  <c r="U206" i="3" a="1"/>
  <c r="U206" i="3"/>
  <c r="U208" i="3" a="1"/>
  <c r="U208" i="3"/>
  <c r="U209" i="3" a="1"/>
  <c r="U209" i="3"/>
  <c r="U210" i="3" a="1"/>
  <c r="U210" i="3"/>
  <c r="U211" i="3" a="1"/>
  <c r="U211" i="3"/>
  <c r="U212" i="3" a="1"/>
  <c r="U212" i="3"/>
  <c r="U213" i="3" a="1"/>
  <c r="U213" i="3"/>
  <c r="U214" i="3" a="1"/>
  <c r="U214" i="3"/>
  <c r="U215" i="3" a="1"/>
  <c r="U215" i="3"/>
  <c r="U216" i="3" a="1"/>
  <c r="U216" i="3"/>
  <c r="U217" i="3" a="1"/>
  <c r="U217" i="3"/>
  <c r="U218" i="3" a="1"/>
  <c r="U218" i="3"/>
  <c r="U219" i="3" a="1"/>
  <c r="U219" i="3"/>
  <c r="U220" i="3" a="1"/>
  <c r="U220" i="3"/>
  <c r="U221" i="3" a="1"/>
  <c r="U221" i="3"/>
  <c r="U222" i="3" a="1"/>
  <c r="U222" i="3"/>
  <c r="U223" i="3" a="1"/>
  <c r="U223" i="3"/>
  <c r="U224" i="3" a="1"/>
  <c r="U224" i="3"/>
  <c r="U225" i="3" a="1"/>
  <c r="U225" i="3"/>
  <c r="U226" i="3" a="1"/>
  <c r="U226" i="3"/>
  <c r="U227" i="3" a="1"/>
  <c r="U227" i="3"/>
  <c r="U228" i="3" a="1"/>
  <c r="U228" i="3"/>
  <c r="U229" i="3" a="1"/>
  <c r="U229" i="3"/>
  <c r="U230" i="3" a="1"/>
  <c r="U230" i="3"/>
  <c r="U231" i="3" a="1"/>
  <c r="U231" i="3"/>
  <c r="U232" i="3" a="1"/>
  <c r="U232" i="3"/>
  <c r="U233" i="3" a="1"/>
  <c r="U233" i="3"/>
  <c r="U234" i="3" a="1"/>
  <c r="U234" i="3"/>
  <c r="U235" i="3" a="1"/>
  <c r="U235" i="3"/>
  <c r="U236" i="3" a="1"/>
  <c r="U236" i="3"/>
  <c r="U237" i="3" a="1"/>
  <c r="U237" i="3"/>
  <c r="U238" i="3" a="1"/>
  <c r="U238" i="3"/>
  <c r="U239" i="3" a="1"/>
  <c r="U239" i="3"/>
  <c r="U240" i="3" a="1"/>
  <c r="U240" i="3"/>
  <c r="U241" i="3" a="1"/>
  <c r="U241" i="3"/>
  <c r="U242" i="3" a="1"/>
  <c r="U242" i="3"/>
  <c r="U243" i="3" a="1"/>
  <c r="U243" i="3"/>
  <c r="U244" i="3" a="1"/>
  <c r="U244" i="3"/>
  <c r="U245" i="3" a="1"/>
  <c r="U245" i="3"/>
  <c r="U246" i="3" a="1"/>
  <c r="U246" i="3"/>
  <c r="U247" i="3" a="1"/>
  <c r="U247" i="3"/>
  <c r="U248" i="3" a="1"/>
  <c r="U248" i="3"/>
  <c r="U249" i="3" a="1"/>
  <c r="U249" i="3"/>
  <c r="U250" i="3" a="1"/>
  <c r="U250" i="3"/>
  <c r="U251" i="3" a="1"/>
  <c r="U251" i="3"/>
  <c r="U252" i="3" a="1"/>
  <c r="U252" i="3"/>
  <c r="U253" i="3" a="1"/>
  <c r="U253" i="3"/>
  <c r="U254" i="3" a="1"/>
  <c r="U254" i="3"/>
  <c r="U255" i="3" a="1"/>
  <c r="U255" i="3"/>
  <c r="U256" i="3" a="1"/>
  <c r="U256" i="3"/>
  <c r="U257" i="3" a="1"/>
  <c r="U257" i="3"/>
  <c r="U258" i="3" a="1"/>
  <c r="U258" i="3"/>
  <c r="U259" i="3" a="1"/>
  <c r="U259" i="3"/>
  <c r="U260" i="3" a="1"/>
  <c r="U260" i="3"/>
  <c r="U261" i="3" a="1"/>
  <c r="U261" i="3"/>
  <c r="U262" i="3" a="1"/>
  <c r="U262" i="3"/>
  <c r="U263" i="3" a="1"/>
  <c r="U263" i="3"/>
  <c r="U264" i="3" a="1"/>
  <c r="U264" i="3"/>
  <c r="U265" i="3" a="1"/>
  <c r="U265" i="3"/>
  <c r="U266" i="3" a="1"/>
  <c r="U266" i="3"/>
  <c r="U267" i="3" a="1"/>
  <c r="U267" i="3"/>
  <c r="U268" i="3" a="1"/>
  <c r="U268" i="3"/>
  <c r="U269" i="3" a="1"/>
  <c r="U269" i="3"/>
  <c r="U270" i="3" a="1"/>
  <c r="U270" i="3"/>
  <c r="U271" i="3" a="1"/>
  <c r="U271" i="3"/>
  <c r="U272" i="3" a="1"/>
  <c r="U272" i="3"/>
  <c r="U273" i="3" a="1"/>
  <c r="U273" i="3"/>
  <c r="U274" i="3" a="1"/>
  <c r="U274" i="3"/>
  <c r="U275" i="3" a="1"/>
  <c r="U275" i="3"/>
  <c r="U276" i="3" a="1"/>
  <c r="U276" i="3"/>
  <c r="U277" i="3" a="1"/>
  <c r="U277" i="3"/>
  <c r="U278" i="3" a="1"/>
  <c r="U278" i="3"/>
  <c r="V97" i="3"/>
  <c r="V96" i="3"/>
  <c r="V101" i="3"/>
  <c r="W97" i="3"/>
  <c r="W96" i="3"/>
  <c r="W101" i="3"/>
  <c r="X97" i="3"/>
  <c r="X96" i="3"/>
  <c r="X101" i="3"/>
  <c r="Y97" i="3"/>
  <c r="Y96" i="3"/>
  <c r="Y101" i="3"/>
  <c r="U97" i="3"/>
  <c r="U96" i="3"/>
  <c r="U101" i="3"/>
  <c r="U98" i="3" a="1"/>
  <c r="U98" i="3"/>
  <c r="U102" i="3"/>
  <c r="Y98" i="3" a="1"/>
  <c r="Y98" i="3"/>
  <c r="Y102" i="3"/>
  <c r="X98" i="3" a="1"/>
  <c r="X98" i="3"/>
  <c r="X102" i="3"/>
  <c r="W98" i="3" a="1"/>
  <c r="W98" i="3"/>
  <c r="W102" i="3"/>
  <c r="V98" i="3" a="1"/>
  <c r="V98" i="3"/>
  <c r="V102" i="3"/>
  <c r="U100" i="3" a="1"/>
  <c r="U100" i="3"/>
  <c r="U105" i="3" a="1"/>
  <c r="U105" i="3"/>
  <c r="V100" i="3" a="1"/>
  <c r="V100" i="3"/>
  <c r="W100" i="3" a="1"/>
  <c r="W100" i="3"/>
  <c r="X100" i="3" a="1"/>
  <c r="X100" i="3"/>
  <c r="Y100" i="3" a="1"/>
  <c r="Y100" i="3"/>
  <c r="W105" i="3" a="1"/>
  <c r="W105" i="3"/>
  <c r="X105" i="3" a="1"/>
  <c r="X105" i="3"/>
  <c r="Y105" i="3" a="1"/>
  <c r="Y105" i="3"/>
  <c r="U107" i="3" a="1"/>
  <c r="U107" i="3"/>
  <c r="V107" i="3" a="1"/>
  <c r="V107" i="3"/>
  <c r="W107" i="3" a="1"/>
  <c r="W107" i="3"/>
  <c r="X107" i="3" a="1"/>
  <c r="X107" i="3"/>
  <c r="Y107" i="3" a="1"/>
  <c r="Y107" i="3"/>
  <c r="U99" i="3" a="1"/>
  <c r="U99" i="3"/>
  <c r="Y99" i="3" a="1"/>
  <c r="Y99" i="3"/>
  <c r="X99" i="3" a="1"/>
  <c r="X99" i="3"/>
  <c r="W99" i="3" a="1"/>
  <c r="W99" i="3"/>
  <c r="V99" i="3" a="1"/>
  <c r="V99" i="3"/>
  <c r="V103" i="3"/>
  <c r="V104" i="3"/>
  <c r="U104" i="3"/>
  <c r="U103" i="3"/>
  <c r="Y104" i="3"/>
  <c r="X104" i="3"/>
  <c r="W104" i="3"/>
  <c r="Y103" i="3"/>
  <c r="X103" i="3"/>
  <c r="W103" i="3"/>
  <c r="V105" i="3" a="1"/>
  <c r="V105" i="3"/>
  <c r="B423" i="10" a="1"/>
  <c r="B423" i="10"/>
  <c r="B426" i="10" a="1"/>
  <c r="B426" i="10"/>
  <c r="B425" i="10" a="1"/>
  <c r="B425" i="10"/>
  <c r="B424" i="10" a="1"/>
  <c r="B424" i="10"/>
  <c r="BZ426" i="10" a="1"/>
  <c r="BZ426" i="10"/>
  <c r="BY426" i="10" a="1"/>
  <c r="BY426" i="10"/>
  <c r="BX426" i="10" a="1"/>
  <c r="BX426" i="10"/>
  <c r="AP426" i="10" a="1"/>
  <c r="AP426" i="10"/>
  <c r="AO426" i="10" a="1"/>
  <c r="AO426" i="10"/>
  <c r="AN426" i="10" a="1"/>
  <c r="AN426" i="10"/>
  <c r="AM426" i="10" a="1"/>
  <c r="AM426" i="10"/>
  <c r="AL426" i="10" a="1"/>
  <c r="AL426" i="10"/>
  <c r="AK426" i="10" a="1"/>
  <c r="AK426" i="10"/>
  <c r="AJ426" i="10" a="1"/>
  <c r="AJ426" i="10"/>
  <c r="AI426" i="10" a="1"/>
  <c r="AI426" i="10"/>
  <c r="AH426" i="10" a="1"/>
  <c r="AH426" i="10"/>
  <c r="AG426" i="10" a="1"/>
  <c r="AG426" i="10"/>
  <c r="AF426" i="10" a="1"/>
  <c r="AF426" i="10"/>
  <c r="AE426" i="10" a="1"/>
  <c r="AE426" i="10"/>
  <c r="AD426" i="10" a="1"/>
  <c r="AD426" i="10"/>
  <c r="AC426" i="10" a="1"/>
  <c r="AC426" i="10"/>
  <c r="AB426" i="10" a="1"/>
  <c r="AB426" i="10"/>
  <c r="AA426" i="10" a="1"/>
  <c r="AA426" i="10"/>
  <c r="Z426" i="10" a="1"/>
  <c r="Z426" i="10"/>
  <c r="Y426" i="10" a="1"/>
  <c r="Y426" i="10"/>
  <c r="X426" i="10" a="1"/>
  <c r="X426" i="10"/>
  <c r="W426" i="10" a="1"/>
  <c r="W426" i="10"/>
  <c r="V426" i="10" a="1"/>
  <c r="V426" i="10"/>
  <c r="U426" i="10" a="1"/>
  <c r="U426" i="10"/>
  <c r="T426" i="10" a="1"/>
  <c r="T426" i="10"/>
  <c r="S426" i="10" a="1"/>
  <c r="S426" i="10"/>
  <c r="R426" i="10" a="1"/>
  <c r="R426" i="10"/>
  <c r="Q426" i="10" a="1"/>
  <c r="Q426" i="10"/>
  <c r="P426" i="10" a="1"/>
  <c r="P426" i="10"/>
  <c r="O426" i="10" a="1"/>
  <c r="O426" i="10"/>
  <c r="N426" i="10" a="1"/>
  <c r="N426" i="10"/>
  <c r="M426" i="10" a="1"/>
  <c r="M426" i="10"/>
  <c r="L426" i="10" a="1"/>
  <c r="L426" i="10"/>
  <c r="K426" i="10" a="1"/>
  <c r="K426" i="10"/>
  <c r="J426" i="10" a="1"/>
  <c r="J426" i="10"/>
  <c r="I426" i="10" a="1"/>
  <c r="I426" i="10"/>
  <c r="H426" i="10" a="1"/>
  <c r="H426" i="10"/>
  <c r="G426" i="10" a="1"/>
  <c r="G426" i="10"/>
  <c r="F426" i="10" a="1"/>
  <c r="F426" i="10"/>
  <c r="E426" i="10" a="1"/>
  <c r="E426" i="10"/>
  <c r="D426" i="10" a="1"/>
  <c r="D426" i="10"/>
  <c r="C426" i="10" a="1"/>
  <c r="C426" i="10"/>
  <c r="BZ425" i="10" a="1"/>
  <c r="BZ425" i="10"/>
  <c r="BY425" i="10" a="1"/>
  <c r="BY425" i="10"/>
  <c r="BX425" i="10" a="1"/>
  <c r="BX425" i="10"/>
  <c r="AP425" i="10" a="1"/>
  <c r="AP425" i="10"/>
  <c r="AO425" i="10" a="1"/>
  <c r="AO425" i="10"/>
  <c r="AN425" i="10" a="1"/>
  <c r="AN425" i="10"/>
  <c r="AM425" i="10" a="1"/>
  <c r="AM425" i="10"/>
  <c r="AL425" i="10" a="1"/>
  <c r="AL425" i="10"/>
  <c r="AK425" i="10" a="1"/>
  <c r="AK425" i="10"/>
  <c r="AJ425" i="10" a="1"/>
  <c r="AJ425" i="10"/>
  <c r="AI425" i="10" a="1"/>
  <c r="AI425" i="10"/>
  <c r="AH425" i="10" a="1"/>
  <c r="AH425" i="10"/>
  <c r="AG425" i="10" a="1"/>
  <c r="AG425" i="10"/>
  <c r="AF425" i="10" a="1"/>
  <c r="AF425" i="10"/>
  <c r="AE425" i="10" a="1"/>
  <c r="AE425" i="10"/>
  <c r="AD425" i="10" a="1"/>
  <c r="AD425" i="10"/>
  <c r="AC425" i="10" a="1"/>
  <c r="AC425" i="10"/>
  <c r="AB425" i="10" a="1"/>
  <c r="AB425" i="10"/>
  <c r="AA425" i="10" a="1"/>
  <c r="AA425" i="10"/>
  <c r="Z425" i="10" a="1"/>
  <c r="Z425" i="10"/>
  <c r="Y425" i="10" a="1"/>
  <c r="Y425" i="10"/>
  <c r="X425" i="10" a="1"/>
  <c r="X425" i="10"/>
  <c r="W425" i="10" a="1"/>
  <c r="W425" i="10"/>
  <c r="V425" i="10" a="1"/>
  <c r="V425" i="10"/>
  <c r="U425" i="10" a="1"/>
  <c r="U425" i="10"/>
  <c r="T425" i="10" a="1"/>
  <c r="T425" i="10"/>
  <c r="S425" i="10" a="1"/>
  <c r="S425" i="10"/>
  <c r="R425" i="10" a="1"/>
  <c r="R425" i="10"/>
  <c r="Q425" i="10" a="1"/>
  <c r="Q425" i="10"/>
  <c r="P425" i="10" a="1"/>
  <c r="P425" i="10"/>
  <c r="O425" i="10" a="1"/>
  <c r="O425" i="10"/>
  <c r="N425" i="10" a="1"/>
  <c r="N425" i="10"/>
  <c r="M425" i="10" a="1"/>
  <c r="M425" i="10"/>
  <c r="L425" i="10" a="1"/>
  <c r="L425" i="10"/>
  <c r="K425" i="10" a="1"/>
  <c r="K425" i="10"/>
  <c r="J425" i="10" a="1"/>
  <c r="J425" i="10"/>
  <c r="I425" i="10" a="1"/>
  <c r="I425" i="10"/>
  <c r="H425" i="10" a="1"/>
  <c r="H425" i="10"/>
  <c r="G425" i="10" a="1"/>
  <c r="G425" i="10"/>
  <c r="F425" i="10" a="1"/>
  <c r="F425" i="10"/>
  <c r="E425" i="10" a="1"/>
  <c r="E425" i="10"/>
  <c r="D425" i="10" a="1"/>
  <c r="D425" i="10"/>
  <c r="C425" i="10" a="1"/>
  <c r="C425" i="10"/>
  <c r="BZ424" i="10" a="1"/>
  <c r="BZ424" i="10"/>
  <c r="BY424" i="10" a="1"/>
  <c r="BY424" i="10"/>
  <c r="BX424" i="10" a="1"/>
  <c r="BX424" i="10"/>
  <c r="AC424" i="10" a="1"/>
  <c r="AC424" i="10"/>
  <c r="AB424" i="10" a="1"/>
  <c r="AB424" i="10"/>
  <c r="AA424" i="10" a="1"/>
  <c r="AA424" i="10"/>
  <c r="Z424" i="10" a="1"/>
  <c r="Z424" i="10"/>
  <c r="Y424" i="10" a="1"/>
  <c r="Y424" i="10"/>
  <c r="X424" i="10" a="1"/>
  <c r="X424" i="10"/>
  <c r="W424" i="10" a="1"/>
  <c r="W424" i="10"/>
  <c r="V424" i="10" a="1"/>
  <c r="V424" i="10"/>
  <c r="U424" i="10" a="1"/>
  <c r="U424" i="10"/>
  <c r="T424" i="10" a="1"/>
  <c r="T424" i="10"/>
  <c r="S424" i="10" a="1"/>
  <c r="S424" i="10"/>
  <c r="R424" i="10" a="1"/>
  <c r="R424" i="10"/>
  <c r="Q424" i="10" a="1"/>
  <c r="Q424" i="10"/>
  <c r="P424" i="10" a="1"/>
  <c r="P424" i="10"/>
  <c r="O424" i="10" a="1"/>
  <c r="O424" i="10"/>
  <c r="N424" i="10" a="1"/>
  <c r="N424" i="10"/>
  <c r="M424" i="10" a="1"/>
  <c r="M424" i="10"/>
  <c r="L424" i="10" a="1"/>
  <c r="L424" i="10"/>
  <c r="K424" i="10" a="1"/>
  <c r="K424" i="10"/>
  <c r="J424" i="10" a="1"/>
  <c r="J424" i="10"/>
  <c r="I424" i="10" a="1"/>
  <c r="I424" i="10"/>
  <c r="H424" i="10" a="1"/>
  <c r="H424" i="10"/>
  <c r="G424" i="10" a="1"/>
  <c r="G424" i="10"/>
  <c r="F424" i="10" a="1"/>
  <c r="F424" i="10"/>
  <c r="E424" i="10" a="1"/>
  <c r="E424" i="10"/>
  <c r="D424" i="10" a="1"/>
  <c r="D424" i="10"/>
  <c r="C424" i="10" a="1"/>
  <c r="C424" i="10"/>
  <c r="BZ423" i="10" a="1"/>
  <c r="BZ423" i="10"/>
  <c r="BY423" i="10" a="1"/>
  <c r="BY423" i="10"/>
  <c r="BX423" i="10" a="1"/>
  <c r="BX423" i="10"/>
  <c r="AC423" i="10" a="1"/>
  <c r="AC423" i="10"/>
  <c r="AB423" i="10" a="1"/>
  <c r="AB423" i="10"/>
  <c r="AA423" i="10" a="1"/>
  <c r="AA423" i="10"/>
  <c r="Z423" i="10" a="1"/>
  <c r="Z423" i="10"/>
  <c r="Y423" i="10" a="1"/>
  <c r="Y423" i="10"/>
  <c r="X423" i="10" a="1"/>
  <c r="X423" i="10"/>
  <c r="W423" i="10" a="1"/>
  <c r="W423" i="10"/>
  <c r="V423" i="10" a="1"/>
  <c r="V423" i="10"/>
  <c r="U423" i="10" a="1"/>
  <c r="U423" i="10"/>
  <c r="T423" i="10" a="1"/>
  <c r="T423" i="10"/>
  <c r="S423" i="10" a="1"/>
  <c r="S423" i="10"/>
  <c r="R423" i="10" a="1"/>
  <c r="R423" i="10"/>
  <c r="Q423" i="10" a="1"/>
  <c r="Q423" i="10"/>
  <c r="P423" i="10" a="1"/>
  <c r="P423" i="10"/>
  <c r="O423" i="10" a="1"/>
  <c r="O423" i="10"/>
  <c r="N423" i="10" a="1"/>
  <c r="N423" i="10"/>
  <c r="M423" i="10" a="1"/>
  <c r="M423" i="10"/>
  <c r="L423" i="10" a="1"/>
  <c r="L423" i="10"/>
  <c r="K423" i="10" a="1"/>
  <c r="K423" i="10"/>
  <c r="J423" i="10" a="1"/>
  <c r="J423" i="10"/>
  <c r="I423" i="10" a="1"/>
  <c r="I423" i="10"/>
  <c r="H423" i="10" a="1"/>
  <c r="H423" i="10"/>
  <c r="G423" i="10" a="1"/>
  <c r="G423" i="10"/>
  <c r="F423" i="10" a="1"/>
  <c r="F423" i="10"/>
  <c r="E423" i="10" a="1"/>
  <c r="E423" i="10"/>
  <c r="D423" i="10" a="1"/>
  <c r="D423" i="10"/>
  <c r="C423" i="10" a="1"/>
  <c r="C423" i="10"/>
  <c r="B321" i="10"/>
  <c r="B397" i="10"/>
  <c r="B396" i="10"/>
  <c r="B395" i="10"/>
  <c r="B361" i="10"/>
  <c r="B360" i="10"/>
  <c r="B359" i="10"/>
  <c r="B358" i="10"/>
  <c r="B357" i="10"/>
  <c r="B356" i="10"/>
  <c r="B355" i="10"/>
  <c r="B354" i="10"/>
  <c r="B353" i="10"/>
  <c r="B352" i="10"/>
  <c r="B351"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Z397" i="10"/>
  <c r="BY397" i="10"/>
  <c r="BX397" i="10"/>
  <c r="AP397" i="10"/>
  <c r="AO397" i="10"/>
  <c r="AN397" i="10"/>
  <c r="AM397" i="10"/>
  <c r="AL397" i="10"/>
  <c r="AK397" i="10"/>
  <c r="AJ397" i="10"/>
  <c r="AI397" i="10"/>
  <c r="AH397" i="10"/>
  <c r="AG397" i="10"/>
  <c r="AF397" i="10"/>
  <c r="AE397" i="10"/>
  <c r="AD397" i="10"/>
  <c r="AC397" i="10"/>
  <c r="AB397" i="10"/>
  <c r="AA397" i="10"/>
  <c r="Z397" i="10"/>
  <c r="Y397" i="10"/>
  <c r="X397" i="10"/>
  <c r="W397" i="10"/>
  <c r="V397" i="10"/>
  <c r="U397" i="10"/>
  <c r="T397" i="10"/>
  <c r="S397" i="10"/>
  <c r="R397" i="10"/>
  <c r="Q397" i="10"/>
  <c r="P397" i="10"/>
  <c r="O397" i="10"/>
  <c r="N397" i="10"/>
  <c r="M397" i="10"/>
  <c r="L397" i="10"/>
  <c r="K397" i="10"/>
  <c r="J397" i="10"/>
  <c r="I397" i="10"/>
  <c r="H397" i="10"/>
  <c r="G397" i="10"/>
  <c r="F397" i="10"/>
  <c r="E397" i="10"/>
  <c r="D397" i="10"/>
  <c r="C397" i="10"/>
  <c r="BY396" i="10"/>
  <c r="BX396" i="10"/>
  <c r="AP396" i="10"/>
  <c r="AO396" i="10"/>
  <c r="AN396" i="10"/>
  <c r="AM396" i="10"/>
  <c r="AL396" i="10"/>
  <c r="AK396" i="10"/>
  <c r="AJ396" i="10"/>
  <c r="AI396" i="10"/>
  <c r="AH396" i="10"/>
  <c r="AG396" i="10"/>
  <c r="AF396" i="10"/>
  <c r="AE396" i="10"/>
  <c r="AD396" i="10"/>
  <c r="AC396" i="10"/>
  <c r="AB396" i="10"/>
  <c r="AA396" i="10"/>
  <c r="Z396" i="10"/>
  <c r="Y396" i="10"/>
  <c r="X396" i="10"/>
  <c r="W396" i="10"/>
  <c r="V396" i="10"/>
  <c r="U396" i="10"/>
  <c r="T396" i="10"/>
  <c r="S396" i="10"/>
  <c r="R396" i="10"/>
  <c r="Q396" i="10"/>
  <c r="P396" i="10"/>
  <c r="O396" i="10"/>
  <c r="N396" i="10"/>
  <c r="M396" i="10"/>
  <c r="L396" i="10"/>
  <c r="K396" i="10"/>
  <c r="J396" i="10"/>
  <c r="I396" i="10"/>
  <c r="H396" i="10"/>
  <c r="G396" i="10"/>
  <c r="F396" i="10"/>
  <c r="E396" i="10"/>
  <c r="D396" i="10"/>
  <c r="C396" i="10"/>
  <c r="BX395" i="10"/>
  <c r="AP395" i="10"/>
  <c r="AO395" i="10"/>
  <c r="AN395" i="10"/>
  <c r="AM395" i="10"/>
  <c r="AL395" i="10"/>
  <c r="AK395" i="10"/>
  <c r="AJ395" i="10"/>
  <c r="AI395" i="10"/>
  <c r="AH395" i="10"/>
  <c r="AG395" i="10"/>
  <c r="AF395" i="10"/>
  <c r="AE395" i="10"/>
  <c r="AD395" i="10"/>
  <c r="AC395" i="10"/>
  <c r="AB395" i="10"/>
  <c r="AA395" i="10"/>
  <c r="Z395" i="10"/>
  <c r="Y395" i="10"/>
  <c r="X395" i="10"/>
  <c r="W395" i="10"/>
  <c r="V395" i="10"/>
  <c r="U395" i="10"/>
  <c r="T395" i="10"/>
  <c r="S395" i="10"/>
  <c r="R395" i="10"/>
  <c r="Q395" i="10"/>
  <c r="P395" i="10"/>
  <c r="O395" i="10"/>
  <c r="N395" i="10"/>
  <c r="M395" i="10"/>
  <c r="L395" i="10"/>
  <c r="K395" i="10"/>
  <c r="J395" i="10"/>
  <c r="I395" i="10"/>
  <c r="H395" i="10"/>
  <c r="G395" i="10"/>
  <c r="F395" i="10"/>
  <c r="E395" i="10"/>
  <c r="D395" i="10"/>
  <c r="C395" i="10"/>
  <c r="AP361" i="10"/>
  <c r="AO361" i="10"/>
  <c r="AN361" i="10"/>
  <c r="AM361" i="10"/>
  <c r="AL361" i="10"/>
  <c r="AK361" i="10"/>
  <c r="AJ361" i="10"/>
  <c r="AI361" i="10"/>
  <c r="AH361" i="10"/>
  <c r="AG361" i="10"/>
  <c r="AF361" i="10"/>
  <c r="AE361" i="10"/>
  <c r="AD361" i="10"/>
  <c r="AC361" i="10"/>
  <c r="AB361" i="10"/>
  <c r="AA361" i="10"/>
  <c r="Z361" i="10"/>
  <c r="Y361" i="10"/>
  <c r="X361" i="10"/>
  <c r="W361" i="10"/>
  <c r="V361" i="10"/>
  <c r="U361" i="10"/>
  <c r="T361" i="10"/>
  <c r="S361" i="10"/>
  <c r="R361" i="10"/>
  <c r="Q361" i="10"/>
  <c r="P361" i="10"/>
  <c r="O361" i="10"/>
  <c r="N361" i="10"/>
  <c r="M361" i="10"/>
  <c r="L361" i="10"/>
  <c r="K361" i="10"/>
  <c r="J361" i="10"/>
  <c r="I361" i="10"/>
  <c r="H361" i="10"/>
  <c r="G361" i="10"/>
  <c r="F361" i="10"/>
  <c r="E361" i="10"/>
  <c r="D361" i="10"/>
  <c r="C361" i="10"/>
  <c r="AO360" i="10"/>
  <c r="AN360" i="10"/>
  <c r="AM360" i="10"/>
  <c r="AL360" i="10"/>
  <c r="AK360" i="10"/>
  <c r="AJ360" i="10"/>
  <c r="AI360" i="10"/>
  <c r="AH360" i="10"/>
  <c r="AG360" i="10"/>
  <c r="AF360" i="10"/>
  <c r="AE360" i="10"/>
  <c r="AD360" i="10"/>
  <c r="AC360" i="10"/>
  <c r="AB360" i="10"/>
  <c r="AA360" i="10"/>
  <c r="Z360" i="10"/>
  <c r="Y360" i="10"/>
  <c r="X360" i="10"/>
  <c r="W360" i="10"/>
  <c r="V360" i="10"/>
  <c r="U360" i="10"/>
  <c r="T360" i="10"/>
  <c r="S360" i="10"/>
  <c r="R360" i="10"/>
  <c r="Q360" i="10"/>
  <c r="P360" i="10"/>
  <c r="O360" i="10"/>
  <c r="N360" i="10"/>
  <c r="M360" i="10"/>
  <c r="L360" i="10"/>
  <c r="K360" i="10"/>
  <c r="J360" i="10"/>
  <c r="I360" i="10"/>
  <c r="H360" i="10"/>
  <c r="G360" i="10"/>
  <c r="F360" i="10"/>
  <c r="E360" i="10"/>
  <c r="D360" i="10"/>
  <c r="C360" i="10"/>
  <c r="AN359" i="10"/>
  <c r="AM359" i="10"/>
  <c r="AL359" i="10"/>
  <c r="AK359" i="10"/>
  <c r="AJ359" i="10"/>
  <c r="AI359" i="10"/>
  <c r="AH359" i="10"/>
  <c r="AG359" i="10"/>
  <c r="AF359" i="10"/>
  <c r="AE359" i="10"/>
  <c r="AD359" i="10"/>
  <c r="AC359" i="10"/>
  <c r="AB359" i="10"/>
  <c r="AA359" i="10"/>
  <c r="Z359" i="10"/>
  <c r="Y359" i="10"/>
  <c r="X359" i="10"/>
  <c r="W359" i="10"/>
  <c r="V359" i="10"/>
  <c r="U359" i="10"/>
  <c r="T359" i="10"/>
  <c r="S359" i="10"/>
  <c r="R359" i="10"/>
  <c r="Q359" i="10"/>
  <c r="P359" i="10"/>
  <c r="O359" i="10"/>
  <c r="N359" i="10"/>
  <c r="M359" i="10"/>
  <c r="L359" i="10"/>
  <c r="K359" i="10"/>
  <c r="J359" i="10"/>
  <c r="I359" i="10"/>
  <c r="H359" i="10"/>
  <c r="G359" i="10"/>
  <c r="F359" i="10"/>
  <c r="E359" i="10"/>
  <c r="D359" i="10"/>
  <c r="C359" i="10"/>
  <c r="AM358" i="10"/>
  <c r="AL358" i="10"/>
  <c r="AK358" i="10"/>
  <c r="AJ358" i="10"/>
  <c r="AI358" i="10"/>
  <c r="AH358" i="10"/>
  <c r="AG358" i="10"/>
  <c r="AF358" i="10"/>
  <c r="AE358" i="10"/>
  <c r="AD358" i="10"/>
  <c r="AC358" i="10"/>
  <c r="AB358" i="10"/>
  <c r="AA358" i="10"/>
  <c r="Z358" i="10"/>
  <c r="Y358" i="10"/>
  <c r="X358" i="10"/>
  <c r="W358" i="10"/>
  <c r="V358" i="10"/>
  <c r="U358" i="10"/>
  <c r="T358" i="10"/>
  <c r="S358" i="10"/>
  <c r="R358" i="10"/>
  <c r="Q358" i="10"/>
  <c r="P358" i="10"/>
  <c r="O358" i="10"/>
  <c r="N358" i="10"/>
  <c r="M358" i="10"/>
  <c r="L358" i="10"/>
  <c r="K358" i="10"/>
  <c r="J358" i="10"/>
  <c r="I358" i="10"/>
  <c r="H358" i="10"/>
  <c r="G358" i="10"/>
  <c r="F358" i="10"/>
  <c r="E358" i="10"/>
  <c r="D358" i="10"/>
  <c r="C358" i="10"/>
  <c r="AL357" i="10"/>
  <c r="AK357" i="10"/>
  <c r="AJ357" i="10"/>
  <c r="AI357" i="10"/>
  <c r="AH357" i="10"/>
  <c r="AG357" i="10"/>
  <c r="AF357" i="10"/>
  <c r="AE357" i="10"/>
  <c r="AD357" i="10"/>
  <c r="AC357" i="10"/>
  <c r="AB357" i="10"/>
  <c r="AA357" i="10"/>
  <c r="Z357" i="10"/>
  <c r="Y357" i="10"/>
  <c r="X357" i="10"/>
  <c r="W357" i="10"/>
  <c r="V357" i="10"/>
  <c r="U357" i="10"/>
  <c r="T357" i="10"/>
  <c r="S357" i="10"/>
  <c r="R357" i="10"/>
  <c r="Q357" i="10"/>
  <c r="P357" i="10"/>
  <c r="O357" i="10"/>
  <c r="N357" i="10"/>
  <c r="M357" i="10"/>
  <c r="L357" i="10"/>
  <c r="K357" i="10"/>
  <c r="J357" i="10"/>
  <c r="I357" i="10"/>
  <c r="H357" i="10"/>
  <c r="G357" i="10"/>
  <c r="F357" i="10"/>
  <c r="E357" i="10"/>
  <c r="D357" i="10"/>
  <c r="C357" i="10"/>
  <c r="AK356" i="10"/>
  <c r="AJ356" i="10"/>
  <c r="AI356" i="10"/>
  <c r="AH356" i="10"/>
  <c r="AG356" i="10"/>
  <c r="AF356" i="10"/>
  <c r="AE356" i="10"/>
  <c r="AD356" i="10"/>
  <c r="AC356" i="10"/>
  <c r="AB356" i="10"/>
  <c r="AA356" i="10"/>
  <c r="Z356" i="10"/>
  <c r="Y356" i="10"/>
  <c r="X356" i="10"/>
  <c r="W356" i="10"/>
  <c r="V356" i="10"/>
  <c r="U356" i="10"/>
  <c r="T356" i="10"/>
  <c r="S356" i="10"/>
  <c r="R356" i="10"/>
  <c r="Q356" i="10"/>
  <c r="P356" i="10"/>
  <c r="O356" i="10"/>
  <c r="N356" i="10"/>
  <c r="M356" i="10"/>
  <c r="L356" i="10"/>
  <c r="K356" i="10"/>
  <c r="J356" i="10"/>
  <c r="I356" i="10"/>
  <c r="H356" i="10"/>
  <c r="G356" i="10"/>
  <c r="F356" i="10"/>
  <c r="E356" i="10"/>
  <c r="D356" i="10"/>
  <c r="C356" i="10"/>
  <c r="AJ355" i="10"/>
  <c r="AI355" i="10"/>
  <c r="AH355" i="10"/>
  <c r="AG355" i="10"/>
  <c r="AF355" i="10"/>
  <c r="AE355" i="10"/>
  <c r="AD355" i="10"/>
  <c r="AC355" i="10"/>
  <c r="AB355" i="10"/>
  <c r="AA355" i="10"/>
  <c r="Z355" i="10"/>
  <c r="Y355" i="10"/>
  <c r="X355" i="10"/>
  <c r="W355" i="10"/>
  <c r="V355" i="10"/>
  <c r="U355" i="10"/>
  <c r="T355" i="10"/>
  <c r="S355" i="10"/>
  <c r="R355" i="10"/>
  <c r="Q355" i="10"/>
  <c r="P355" i="10"/>
  <c r="O355" i="10"/>
  <c r="N355" i="10"/>
  <c r="M355" i="10"/>
  <c r="L355" i="10"/>
  <c r="K355" i="10"/>
  <c r="J355" i="10"/>
  <c r="I355" i="10"/>
  <c r="H355" i="10"/>
  <c r="G355" i="10"/>
  <c r="F355" i="10"/>
  <c r="E355" i="10"/>
  <c r="D355" i="10"/>
  <c r="C355" i="10"/>
  <c r="AI354" i="10"/>
  <c r="AH354" i="10"/>
  <c r="AG354" i="10"/>
  <c r="AF354" i="10"/>
  <c r="AE354" i="10"/>
  <c r="AD354" i="10"/>
  <c r="AC354" i="10"/>
  <c r="AB354" i="10"/>
  <c r="AA354" i="10"/>
  <c r="Z354" i="10"/>
  <c r="Y354" i="10"/>
  <c r="X354" i="10"/>
  <c r="W354" i="10"/>
  <c r="V354" i="10"/>
  <c r="U354" i="10"/>
  <c r="T354" i="10"/>
  <c r="S354" i="10"/>
  <c r="R354" i="10"/>
  <c r="Q354" i="10"/>
  <c r="P354" i="10"/>
  <c r="O354" i="10"/>
  <c r="N354" i="10"/>
  <c r="M354" i="10"/>
  <c r="L354" i="10"/>
  <c r="K354" i="10"/>
  <c r="J354" i="10"/>
  <c r="I354" i="10"/>
  <c r="H354" i="10"/>
  <c r="G354" i="10"/>
  <c r="F354" i="10"/>
  <c r="E354" i="10"/>
  <c r="D354" i="10"/>
  <c r="C354" i="10"/>
  <c r="AH353" i="10"/>
  <c r="AG353" i="10"/>
  <c r="AF353" i="10"/>
  <c r="AE353" i="10"/>
  <c r="AD353" i="10"/>
  <c r="AC353" i="10"/>
  <c r="AB353" i="10"/>
  <c r="AA353" i="10"/>
  <c r="Z353" i="10"/>
  <c r="Y353" i="10"/>
  <c r="X353" i="10"/>
  <c r="W353" i="10"/>
  <c r="V353" i="10"/>
  <c r="U353" i="10"/>
  <c r="T353" i="10"/>
  <c r="S353" i="10"/>
  <c r="R353" i="10"/>
  <c r="Q353" i="10"/>
  <c r="P353" i="10"/>
  <c r="O353" i="10"/>
  <c r="N353" i="10"/>
  <c r="M353" i="10"/>
  <c r="L353" i="10"/>
  <c r="K353" i="10"/>
  <c r="J353" i="10"/>
  <c r="I353" i="10"/>
  <c r="H353" i="10"/>
  <c r="G353" i="10"/>
  <c r="F353" i="10"/>
  <c r="E353" i="10"/>
  <c r="D353" i="10"/>
  <c r="C353" i="10"/>
  <c r="AG352" i="10"/>
  <c r="AF352" i="10"/>
  <c r="AE352" i="10"/>
  <c r="AD352" i="10"/>
  <c r="AC352" i="10"/>
  <c r="AB352" i="10"/>
  <c r="AA352" i="10"/>
  <c r="Z352" i="10"/>
  <c r="Y352" i="10"/>
  <c r="X352" i="10"/>
  <c r="W352" i="10"/>
  <c r="V352" i="10"/>
  <c r="U352" i="10"/>
  <c r="T352" i="10"/>
  <c r="S352" i="10"/>
  <c r="R352" i="10"/>
  <c r="Q352" i="10"/>
  <c r="P352" i="10"/>
  <c r="O352" i="10"/>
  <c r="N352" i="10"/>
  <c r="M352" i="10"/>
  <c r="L352" i="10"/>
  <c r="K352" i="10"/>
  <c r="J352" i="10"/>
  <c r="I352" i="10"/>
  <c r="H352" i="10"/>
  <c r="G352" i="10"/>
  <c r="F352" i="10"/>
  <c r="E352" i="10"/>
  <c r="D352" i="10"/>
  <c r="C352" i="10"/>
  <c r="AF351" i="10"/>
  <c r="AE351" i="10"/>
  <c r="AD351" i="10"/>
  <c r="AC351" i="10"/>
  <c r="AB351" i="10"/>
  <c r="AA351" i="10"/>
  <c r="Z351" i="10"/>
  <c r="Y351" i="10"/>
  <c r="X351" i="10"/>
  <c r="W351" i="10"/>
  <c r="V351" i="10"/>
  <c r="U351" i="10"/>
  <c r="T351" i="10"/>
  <c r="S351" i="10"/>
  <c r="R351" i="10"/>
  <c r="Q351" i="10"/>
  <c r="P351" i="10"/>
  <c r="O351" i="10"/>
  <c r="N351" i="10"/>
  <c r="M351" i="10"/>
  <c r="L351" i="10"/>
  <c r="K351" i="10"/>
  <c r="J351" i="10"/>
  <c r="I351" i="10"/>
  <c r="H351" i="10"/>
  <c r="G351" i="10"/>
  <c r="F351" i="10"/>
  <c r="E351" i="10"/>
  <c r="D351" i="10"/>
  <c r="C351" i="10"/>
  <c r="AD349" i="10"/>
  <c r="AC349" i="10"/>
  <c r="AB349" i="10"/>
  <c r="AA349" i="10"/>
  <c r="Z349" i="10"/>
  <c r="Y349" i="10"/>
  <c r="X349" i="10"/>
  <c r="W349" i="10"/>
  <c r="V349" i="10"/>
  <c r="U349" i="10"/>
  <c r="T349" i="10"/>
  <c r="S349" i="10"/>
  <c r="R349" i="10"/>
  <c r="Q349" i="10"/>
  <c r="P349" i="10"/>
  <c r="O349" i="10"/>
  <c r="N349" i="10"/>
  <c r="M349" i="10"/>
  <c r="L349" i="10"/>
  <c r="K349" i="10"/>
  <c r="J349" i="10"/>
  <c r="I349" i="10"/>
  <c r="H349" i="10"/>
  <c r="G349" i="10"/>
  <c r="F349" i="10"/>
  <c r="E349" i="10"/>
  <c r="D349" i="10"/>
  <c r="C349" i="10"/>
  <c r="AC348" i="10"/>
  <c r="AB348" i="10"/>
  <c r="AA348" i="10"/>
  <c r="Z348" i="10"/>
  <c r="Y348" i="10"/>
  <c r="X348" i="10"/>
  <c r="W348" i="10"/>
  <c r="V348" i="10"/>
  <c r="U348" i="10"/>
  <c r="T348" i="10"/>
  <c r="S348" i="10"/>
  <c r="R348" i="10"/>
  <c r="Q348" i="10"/>
  <c r="P348" i="10"/>
  <c r="O348" i="10"/>
  <c r="N348" i="10"/>
  <c r="M348" i="10"/>
  <c r="L348" i="10"/>
  <c r="K348" i="10"/>
  <c r="J348" i="10"/>
  <c r="I348" i="10"/>
  <c r="H348" i="10"/>
  <c r="G348" i="10"/>
  <c r="F348" i="10"/>
  <c r="E348" i="10"/>
  <c r="D348" i="10"/>
  <c r="C348" i="10"/>
  <c r="AB347" i="10"/>
  <c r="AA347" i="10"/>
  <c r="Z347" i="10"/>
  <c r="Y347" i="10"/>
  <c r="X347" i="10"/>
  <c r="W347" i="10"/>
  <c r="V347" i="10"/>
  <c r="U347" i="10"/>
  <c r="T347" i="10"/>
  <c r="S347" i="10"/>
  <c r="R347" i="10"/>
  <c r="Q347" i="10"/>
  <c r="P347" i="10"/>
  <c r="O347" i="10"/>
  <c r="N347" i="10"/>
  <c r="M347" i="10"/>
  <c r="L347" i="10"/>
  <c r="K347" i="10"/>
  <c r="J347" i="10"/>
  <c r="I347" i="10"/>
  <c r="H347" i="10"/>
  <c r="G347" i="10"/>
  <c r="F347" i="10"/>
  <c r="E347" i="10"/>
  <c r="D347" i="10"/>
  <c r="C347" i="10"/>
  <c r="AA346" i="10"/>
  <c r="Z346" i="10"/>
  <c r="Y346" i="10"/>
  <c r="X346" i="10"/>
  <c r="W346" i="10"/>
  <c r="V346" i="10"/>
  <c r="U346" i="10"/>
  <c r="T346" i="10"/>
  <c r="S346" i="10"/>
  <c r="R346" i="10"/>
  <c r="Q346" i="10"/>
  <c r="P346" i="10"/>
  <c r="O346" i="10"/>
  <c r="N346" i="10"/>
  <c r="M346" i="10"/>
  <c r="L346" i="10"/>
  <c r="K346" i="10"/>
  <c r="J346" i="10"/>
  <c r="I346" i="10"/>
  <c r="H346" i="10"/>
  <c r="G346" i="10"/>
  <c r="F346" i="10"/>
  <c r="E346" i="10"/>
  <c r="D346" i="10"/>
  <c r="C346" i="10"/>
  <c r="Z345" i="10"/>
  <c r="Y345" i="10"/>
  <c r="X345" i="10"/>
  <c r="W345" i="10"/>
  <c r="V345" i="10"/>
  <c r="U345" i="10"/>
  <c r="T345" i="10"/>
  <c r="S345" i="10"/>
  <c r="R345" i="10"/>
  <c r="Q345" i="10"/>
  <c r="P345" i="10"/>
  <c r="O345" i="10"/>
  <c r="N345" i="10"/>
  <c r="M345" i="10"/>
  <c r="L345" i="10"/>
  <c r="K345" i="10"/>
  <c r="J345" i="10"/>
  <c r="I345" i="10"/>
  <c r="H345" i="10"/>
  <c r="G345" i="10"/>
  <c r="F345" i="10"/>
  <c r="E345" i="10"/>
  <c r="D345" i="10"/>
  <c r="C345" i="10"/>
  <c r="Y344" i="10"/>
  <c r="X344" i="10"/>
  <c r="W344" i="10"/>
  <c r="V344" i="10"/>
  <c r="U344" i="10"/>
  <c r="T344" i="10"/>
  <c r="S344" i="10"/>
  <c r="R344" i="10"/>
  <c r="Q344" i="10"/>
  <c r="P344" i="10"/>
  <c r="O344" i="10"/>
  <c r="N344" i="10"/>
  <c r="M344" i="10"/>
  <c r="L344" i="10"/>
  <c r="K344" i="10"/>
  <c r="J344" i="10"/>
  <c r="I344" i="10"/>
  <c r="H344" i="10"/>
  <c r="G344" i="10"/>
  <c r="F344" i="10"/>
  <c r="E344" i="10"/>
  <c r="D344" i="10"/>
  <c r="C344" i="10"/>
  <c r="X343" i="10"/>
  <c r="W343" i="10"/>
  <c r="V343" i="10"/>
  <c r="U343" i="10"/>
  <c r="T343" i="10"/>
  <c r="S343" i="10"/>
  <c r="R343" i="10"/>
  <c r="Q343" i="10"/>
  <c r="P343" i="10"/>
  <c r="O343" i="10"/>
  <c r="N343" i="10"/>
  <c r="M343" i="10"/>
  <c r="L343" i="10"/>
  <c r="K343" i="10"/>
  <c r="J343" i="10"/>
  <c r="I343" i="10"/>
  <c r="H343" i="10"/>
  <c r="G343" i="10"/>
  <c r="F343" i="10"/>
  <c r="E343" i="10"/>
  <c r="D343" i="10"/>
  <c r="C343" i="10"/>
  <c r="W342" i="10"/>
  <c r="V342" i="10"/>
  <c r="U342" i="10"/>
  <c r="T342" i="10"/>
  <c r="S342" i="10"/>
  <c r="R342" i="10"/>
  <c r="Q342" i="10"/>
  <c r="P342" i="10"/>
  <c r="O342" i="10"/>
  <c r="N342" i="10"/>
  <c r="M342" i="10"/>
  <c r="L342" i="10"/>
  <c r="K342" i="10"/>
  <c r="J342" i="10"/>
  <c r="I342" i="10"/>
  <c r="H342" i="10"/>
  <c r="G342" i="10"/>
  <c r="F342" i="10"/>
  <c r="E342" i="10"/>
  <c r="D342" i="10"/>
  <c r="C342" i="10"/>
  <c r="V341" i="10"/>
  <c r="U341" i="10"/>
  <c r="T341" i="10"/>
  <c r="S341" i="10"/>
  <c r="R341" i="10"/>
  <c r="Q341" i="10"/>
  <c r="P341" i="10"/>
  <c r="O341" i="10"/>
  <c r="N341" i="10"/>
  <c r="M341" i="10"/>
  <c r="L341" i="10"/>
  <c r="K341" i="10"/>
  <c r="J341" i="10"/>
  <c r="I341" i="10"/>
  <c r="H341" i="10"/>
  <c r="G341" i="10"/>
  <c r="F341" i="10"/>
  <c r="E341" i="10"/>
  <c r="D341" i="10"/>
  <c r="C341" i="10"/>
  <c r="U340" i="10"/>
  <c r="T340" i="10"/>
  <c r="S340" i="10"/>
  <c r="R340" i="10"/>
  <c r="Q340" i="10"/>
  <c r="P340" i="10"/>
  <c r="O340" i="10"/>
  <c r="N340" i="10"/>
  <c r="M340" i="10"/>
  <c r="L340" i="10"/>
  <c r="K340" i="10"/>
  <c r="J340" i="10"/>
  <c r="I340" i="10"/>
  <c r="H340" i="10"/>
  <c r="G340" i="10"/>
  <c r="F340" i="10"/>
  <c r="E340" i="10"/>
  <c r="D340" i="10"/>
  <c r="C340" i="10"/>
  <c r="T339" i="10"/>
  <c r="S339" i="10"/>
  <c r="R339" i="10"/>
  <c r="Q339" i="10"/>
  <c r="P339" i="10"/>
  <c r="O339" i="10"/>
  <c r="N339" i="10"/>
  <c r="M339" i="10"/>
  <c r="L339" i="10"/>
  <c r="K339" i="10"/>
  <c r="J339" i="10"/>
  <c r="I339" i="10"/>
  <c r="H339" i="10"/>
  <c r="G339" i="10"/>
  <c r="F339" i="10"/>
  <c r="E339" i="10"/>
  <c r="D339" i="10"/>
  <c r="C339" i="10"/>
  <c r="S338" i="10"/>
  <c r="R338" i="10"/>
  <c r="Q338" i="10"/>
  <c r="P338" i="10"/>
  <c r="O338" i="10"/>
  <c r="N338" i="10"/>
  <c r="M338" i="10"/>
  <c r="L338" i="10"/>
  <c r="K338" i="10"/>
  <c r="J338" i="10"/>
  <c r="I338" i="10"/>
  <c r="H338" i="10"/>
  <c r="G338" i="10"/>
  <c r="F338" i="10"/>
  <c r="E338" i="10"/>
  <c r="D338" i="10"/>
  <c r="C338" i="10"/>
  <c r="R337" i="10"/>
  <c r="Q337" i="10"/>
  <c r="P337" i="10"/>
  <c r="O337" i="10"/>
  <c r="N337" i="10"/>
  <c r="M337" i="10"/>
  <c r="L337" i="10"/>
  <c r="K337" i="10"/>
  <c r="J337" i="10"/>
  <c r="I337" i="10"/>
  <c r="H337" i="10"/>
  <c r="G337" i="10"/>
  <c r="F337" i="10"/>
  <c r="E337" i="10"/>
  <c r="D337" i="10"/>
  <c r="C337" i="10"/>
  <c r="Q336" i="10"/>
  <c r="P336" i="10"/>
  <c r="O336" i="10"/>
  <c r="N336" i="10"/>
  <c r="M336" i="10"/>
  <c r="L336" i="10"/>
  <c r="K336" i="10"/>
  <c r="J336" i="10"/>
  <c r="I336" i="10"/>
  <c r="H336" i="10"/>
  <c r="G336" i="10"/>
  <c r="F336" i="10"/>
  <c r="E336" i="10"/>
  <c r="D336" i="10"/>
  <c r="C336" i="10"/>
  <c r="P335" i="10"/>
  <c r="O335" i="10"/>
  <c r="N335" i="10"/>
  <c r="M335" i="10"/>
  <c r="L335" i="10"/>
  <c r="K335" i="10"/>
  <c r="J335" i="10"/>
  <c r="I335" i="10"/>
  <c r="H335" i="10"/>
  <c r="G335" i="10"/>
  <c r="F335" i="10"/>
  <c r="E335" i="10"/>
  <c r="D335" i="10"/>
  <c r="C335" i="10"/>
  <c r="O334" i="10"/>
  <c r="N334" i="10"/>
  <c r="M334" i="10"/>
  <c r="L334" i="10"/>
  <c r="K334" i="10"/>
  <c r="J334" i="10"/>
  <c r="I334" i="10"/>
  <c r="H334" i="10"/>
  <c r="G334" i="10"/>
  <c r="F334" i="10"/>
  <c r="E334" i="10"/>
  <c r="D334" i="10"/>
  <c r="C334" i="10"/>
  <c r="N333" i="10"/>
  <c r="M333" i="10"/>
  <c r="L333" i="10"/>
  <c r="K333" i="10"/>
  <c r="J333" i="10"/>
  <c r="I333" i="10"/>
  <c r="H333" i="10"/>
  <c r="G333" i="10"/>
  <c r="F333" i="10"/>
  <c r="E333" i="10"/>
  <c r="D333" i="10"/>
  <c r="C333" i="10"/>
  <c r="M332" i="10"/>
  <c r="L332" i="10"/>
  <c r="K332" i="10"/>
  <c r="J332" i="10"/>
  <c r="I332" i="10"/>
  <c r="H332" i="10"/>
  <c r="G332" i="10"/>
  <c r="F332" i="10"/>
  <c r="E332" i="10"/>
  <c r="D332" i="10"/>
  <c r="C332" i="10"/>
  <c r="L331" i="10"/>
  <c r="K331" i="10"/>
  <c r="J331" i="10"/>
  <c r="I331" i="10"/>
  <c r="H331" i="10"/>
  <c r="G331" i="10"/>
  <c r="F331" i="10"/>
  <c r="E331" i="10"/>
  <c r="D331" i="10"/>
  <c r="C331" i="10"/>
  <c r="K330" i="10"/>
  <c r="J330" i="10"/>
  <c r="I330" i="10"/>
  <c r="H330" i="10"/>
  <c r="G330" i="10"/>
  <c r="F330" i="10"/>
  <c r="E330" i="10"/>
  <c r="D330" i="10"/>
  <c r="C330" i="10"/>
  <c r="J329" i="10"/>
  <c r="I329" i="10"/>
  <c r="H329" i="10"/>
  <c r="G329" i="10"/>
  <c r="F329" i="10"/>
  <c r="E329" i="10"/>
  <c r="D329" i="10"/>
  <c r="C329" i="10"/>
  <c r="I328" i="10"/>
  <c r="H328" i="10"/>
  <c r="G328" i="10"/>
  <c r="F328" i="10"/>
  <c r="E328" i="10"/>
  <c r="D328" i="10"/>
  <c r="C328" i="10"/>
  <c r="H327" i="10"/>
  <c r="G327" i="10"/>
  <c r="F327" i="10"/>
  <c r="E327" i="10"/>
  <c r="D327" i="10"/>
  <c r="C327" i="10"/>
  <c r="G326" i="10"/>
  <c r="F326" i="10"/>
  <c r="E326" i="10"/>
  <c r="D326" i="10"/>
  <c r="C326" i="10"/>
  <c r="F325" i="10"/>
  <c r="E325" i="10"/>
  <c r="D325" i="10"/>
  <c r="C325" i="10"/>
  <c r="E324" i="10"/>
  <c r="D324" i="10"/>
  <c r="C324" i="10"/>
  <c r="D323" i="10"/>
  <c r="C323" i="10"/>
  <c r="C322" i="10"/>
  <c r="B59" i="8"/>
  <c r="AM59" i="8"/>
  <c r="AL59" i="8"/>
  <c r="AK59" i="8"/>
  <c r="AJ59" i="8"/>
  <c r="AI59" i="8"/>
  <c r="AH59" i="8"/>
  <c r="AG59" i="8"/>
  <c r="AF59" i="8"/>
  <c r="AE59" i="8"/>
  <c r="AD59" i="8"/>
  <c r="AC59" i="8"/>
  <c r="AB59" i="8"/>
  <c r="AA59" i="8"/>
  <c r="Z59" i="8"/>
  <c r="Y59" i="8"/>
  <c r="X59" i="8"/>
  <c r="W59" i="8"/>
  <c r="V59" i="8"/>
  <c r="U59" i="8"/>
  <c r="T59" i="8"/>
  <c r="S59" i="8"/>
  <c r="R59" i="8"/>
  <c r="Q59" i="8"/>
  <c r="P59" i="8"/>
  <c r="O59" i="8"/>
  <c r="N59" i="8"/>
  <c r="M59" i="8"/>
  <c r="L59" i="8"/>
  <c r="K59" i="8"/>
  <c r="J59" i="8"/>
  <c r="I59" i="8"/>
  <c r="H59" i="8"/>
  <c r="G59" i="8"/>
  <c r="F59" i="8"/>
  <c r="E59" i="8"/>
  <c r="D59" i="8"/>
  <c r="C59" i="8"/>
  <c r="AM58" i="8"/>
  <c r="AL58" i="8"/>
  <c r="AK58" i="8"/>
  <c r="AJ58" i="8"/>
  <c r="AI58" i="8"/>
  <c r="AH58" i="8"/>
  <c r="AG58" i="8"/>
  <c r="AF58" i="8"/>
  <c r="AE58" i="8"/>
  <c r="AD58" i="8"/>
  <c r="AC58" i="8"/>
  <c r="AB58" i="8"/>
  <c r="AA58" i="8"/>
  <c r="Z58" i="8"/>
  <c r="Y58" i="8"/>
  <c r="X58" i="8"/>
  <c r="W58" i="8"/>
  <c r="V58" i="8"/>
  <c r="U58" i="8"/>
  <c r="T58" i="8"/>
  <c r="S58" i="8"/>
  <c r="R58" i="8"/>
  <c r="Q58" i="8"/>
  <c r="P58" i="8"/>
  <c r="O58" i="8"/>
  <c r="N58" i="8"/>
  <c r="M58" i="8"/>
  <c r="L58" i="8"/>
  <c r="K58" i="8"/>
  <c r="J58" i="8"/>
  <c r="I58" i="8"/>
  <c r="H58" i="8"/>
  <c r="G58" i="8"/>
  <c r="F58" i="8"/>
  <c r="E58" i="8"/>
  <c r="D58" i="8"/>
  <c r="C58" i="8"/>
  <c r="B61" i="8" a="1"/>
  <c r="B61" i="8"/>
  <c r="C61" i="8" a="1"/>
  <c r="C61" i="8"/>
  <c r="D61" i="8" a="1"/>
  <c r="D61" i="8"/>
  <c r="E61" i="8" a="1"/>
  <c r="E61" i="8"/>
  <c r="F61" i="8" a="1"/>
  <c r="F61" i="8"/>
  <c r="G61" i="8" a="1"/>
  <c r="G61" i="8"/>
  <c r="H61" i="8" a="1"/>
  <c r="H61" i="8"/>
  <c r="I61" i="8" a="1"/>
  <c r="I61" i="8"/>
  <c r="J61" i="8" a="1"/>
  <c r="J61" i="8"/>
  <c r="K61" i="8" a="1"/>
  <c r="K61" i="8"/>
  <c r="L61" i="8" a="1"/>
  <c r="L61" i="8"/>
  <c r="M61" i="8" a="1"/>
  <c r="M61" i="8"/>
  <c r="N61" i="8" a="1"/>
  <c r="N61" i="8"/>
  <c r="O61" i="8" a="1"/>
  <c r="O61" i="8"/>
  <c r="P61" i="8" a="1"/>
  <c r="P61" i="8"/>
  <c r="Q61" i="8" a="1"/>
  <c r="Q61" i="8"/>
  <c r="S61" i="8" a="1"/>
  <c r="S61" i="8"/>
  <c r="T61" i="8" a="1"/>
  <c r="T61" i="8"/>
  <c r="U61" i="8" a="1"/>
  <c r="U61" i="8"/>
  <c r="V61" i="8" a="1"/>
  <c r="V61" i="8"/>
  <c r="W61" i="8" a="1"/>
  <c r="W61" i="8"/>
  <c r="X61" i="8" a="1"/>
  <c r="X61" i="8"/>
  <c r="Y61" i="8" a="1"/>
  <c r="Y61" i="8"/>
  <c r="Z61" i="8" a="1"/>
  <c r="Z61" i="8"/>
  <c r="AA61" i="8" a="1"/>
  <c r="AA61" i="8"/>
  <c r="AC61" i="8" a="1"/>
  <c r="AC61" i="8"/>
  <c r="AD61" i="8" a="1"/>
  <c r="AD61" i="8"/>
  <c r="AE61" i="8" a="1"/>
  <c r="AE61" i="8"/>
  <c r="AF61" i="8" a="1"/>
  <c r="AF61" i="8"/>
  <c r="AG61" i="8" a="1"/>
  <c r="AG61" i="8"/>
  <c r="AH61" i="8" a="1"/>
  <c r="AH61" i="8"/>
  <c r="AI61" i="8" a="1"/>
  <c r="AI61" i="8"/>
  <c r="AJ61" i="8" a="1"/>
  <c r="AJ61" i="8"/>
  <c r="AK61" i="8" a="1"/>
  <c r="AK61" i="8"/>
  <c r="AL61" i="8" a="1"/>
  <c r="AL61" i="8"/>
  <c r="AM61" i="8" a="1"/>
  <c r="AM61" i="8"/>
  <c r="B180" i="8" a="1"/>
  <c r="B180" i="8"/>
  <c r="C180" i="8" a="1"/>
  <c r="C180" i="8"/>
  <c r="D180" i="8" a="1"/>
  <c r="D180" i="8"/>
  <c r="E180" i="8" a="1"/>
  <c r="E180" i="8"/>
  <c r="F180" i="8" a="1"/>
  <c r="F180" i="8"/>
  <c r="G180" i="8" a="1"/>
  <c r="G180" i="8"/>
  <c r="H180" i="8" a="1"/>
  <c r="H180" i="8"/>
  <c r="I180" i="8" a="1"/>
  <c r="I180" i="8"/>
  <c r="J180" i="8" a="1"/>
  <c r="J180" i="8"/>
  <c r="K180" i="8" a="1"/>
  <c r="K180" i="8"/>
  <c r="L180" i="8" a="1"/>
  <c r="L180" i="8"/>
  <c r="M180" i="8" a="1"/>
  <c r="M180" i="8"/>
  <c r="N180" i="8" a="1"/>
  <c r="N180" i="8"/>
  <c r="O180" i="8" a="1"/>
  <c r="O180" i="8"/>
  <c r="P180" i="8" a="1"/>
  <c r="P180" i="8"/>
  <c r="Q180" i="8" a="1"/>
  <c r="Q180" i="8"/>
  <c r="S180" i="8" a="1"/>
  <c r="S180" i="8"/>
  <c r="T180" i="8" a="1"/>
  <c r="T180" i="8"/>
  <c r="U180" i="8" a="1"/>
  <c r="U180" i="8"/>
  <c r="V180" i="8" a="1"/>
  <c r="V180" i="8"/>
  <c r="W180" i="8" a="1"/>
  <c r="W180" i="8"/>
  <c r="X180" i="8" a="1"/>
  <c r="X180" i="8"/>
  <c r="Y180" i="8" a="1"/>
  <c r="Y180" i="8"/>
  <c r="Z180" i="8" a="1"/>
  <c r="Z180" i="8"/>
  <c r="AA180" i="8" a="1"/>
  <c r="AA180" i="8"/>
  <c r="AC180" i="8" a="1"/>
  <c r="AC180" i="8"/>
  <c r="AM180" i="8" a="1"/>
  <c r="AM180" i="8"/>
  <c r="AZ47" i="9"/>
  <c r="B44" i="9" a="1"/>
  <c r="B44" i="9"/>
  <c r="C44" i="9" a="1"/>
  <c r="C44" i="9"/>
  <c r="D44" i="9" a="1"/>
  <c r="E44" i="9" a="1"/>
  <c r="F44" i="9" a="1"/>
  <c r="G44" i="9" a="1"/>
  <c r="H44" i="9" a="1"/>
  <c r="I44" i="9" a="1"/>
  <c r="J44" i="9" a="1"/>
  <c r="K44" i="9" a="1"/>
  <c r="L44" i="9" a="1"/>
  <c r="M44" i="9" a="1"/>
  <c r="N44" i="9" a="1"/>
  <c r="O44" i="9" a="1"/>
  <c r="P44" i="9" a="1"/>
  <c r="Q44" i="9" a="1"/>
  <c r="R44" i="9" a="1"/>
  <c r="S44" i="9" a="1"/>
  <c r="T44" i="9" a="1"/>
  <c r="U44" i="9" a="1"/>
  <c r="V44" i="9" a="1"/>
  <c r="W44" i="9" a="1"/>
  <c r="X44" i="9" a="1"/>
  <c r="Y44" i="9" a="1"/>
  <c r="Z44" i="9" a="1"/>
  <c r="AA44" i="9" a="1"/>
  <c r="AB44" i="9" a="1"/>
  <c r="AC44" i="9" a="1"/>
  <c r="AD44" i="9" a="1"/>
  <c r="AE44" i="9" a="1"/>
  <c r="AF44" i="9" a="1"/>
  <c r="AG44" i="9" a="1"/>
  <c r="AH44" i="9" a="1"/>
  <c r="AI44" i="9" a="1"/>
  <c r="AJ44" i="9" a="1"/>
  <c r="AK44" i="9" a="1"/>
  <c r="AL44" i="9" a="1"/>
  <c r="AM44" i="9" a="1"/>
  <c r="AN44" i="9" a="1"/>
  <c r="AO44" i="9" a="1"/>
  <c r="AP44" i="9" a="1"/>
  <c r="D44" i="9"/>
  <c r="E44" i="9"/>
  <c r="F44" i="9"/>
  <c r="G44" i="9"/>
  <c r="H44" i="9"/>
  <c r="I44" i="9"/>
  <c r="J44" i="9"/>
  <c r="K44" i="9"/>
  <c r="L44" i="9"/>
  <c r="M44" i="9"/>
  <c r="N44" i="9"/>
  <c r="O44" i="9"/>
  <c r="P44" i="9"/>
  <c r="Q44" i="9"/>
  <c r="R44" i="9"/>
  <c r="S44" i="9"/>
  <c r="T44" i="9"/>
  <c r="U44" i="9"/>
  <c r="V44" i="9"/>
  <c r="W44" i="9"/>
  <c r="X44" i="9"/>
  <c r="Y44" i="9"/>
  <c r="Z44" i="9"/>
  <c r="AA44" i="9"/>
  <c r="AB44" i="9"/>
  <c r="AC44" i="9"/>
  <c r="AD44" i="9"/>
  <c r="AE44" i="9"/>
  <c r="AF44" i="9"/>
  <c r="AG44" i="9"/>
  <c r="AH44" i="9"/>
  <c r="AI44" i="9"/>
  <c r="AJ44" i="9"/>
  <c r="AK44" i="9"/>
  <c r="AL44" i="9"/>
  <c r="AM44" i="9"/>
  <c r="AN44" i="9"/>
  <c r="AO44" i="9"/>
  <c r="AP44" i="9"/>
  <c r="B50" i="9"/>
  <c r="AQ44" i="9" a="1"/>
  <c r="AQ44" i="9"/>
  <c r="AR44" i="9" a="1"/>
  <c r="AR44" i="9"/>
  <c r="AS44" i="9" a="1"/>
  <c r="AS44" i="9"/>
  <c r="AT44" i="9" a="1"/>
  <c r="AT44" i="9"/>
  <c r="AU44" i="9" a="1"/>
  <c r="AU44" i="9"/>
  <c r="AV44" i="9" a="1"/>
  <c r="AV44" i="9"/>
  <c r="AW44" i="9" a="1"/>
  <c r="AW44" i="9"/>
  <c r="AX44" i="9" a="1"/>
  <c r="AX44" i="9"/>
  <c r="AY44" i="9" a="1"/>
  <c r="AY44" i="9"/>
  <c r="AZ44" i="9" a="1"/>
  <c r="AZ44" i="9"/>
  <c r="B49" i="9" a="1"/>
  <c r="B49" i="9"/>
  <c r="C49" i="9" a="1"/>
  <c r="C49" i="9"/>
  <c r="D49" i="9" a="1"/>
  <c r="D49" i="9"/>
  <c r="E49" i="9" a="1"/>
  <c r="E49" i="9"/>
  <c r="F49" i="9" a="1"/>
  <c r="F49" i="9"/>
  <c r="G49" i="9" a="1"/>
  <c r="G49" i="9"/>
  <c r="H49" i="9" a="1"/>
  <c r="H49" i="9"/>
  <c r="I49" i="9" a="1"/>
  <c r="I49" i="9"/>
  <c r="J49" i="9" a="1"/>
  <c r="J49" i="9"/>
  <c r="K49" i="9" a="1"/>
  <c r="K49" i="9"/>
  <c r="L49" i="9" a="1"/>
  <c r="L49" i="9"/>
  <c r="M49" i="9" a="1"/>
  <c r="M49" i="9"/>
  <c r="N49" i="9" a="1"/>
  <c r="N49" i="9"/>
  <c r="O49" i="9" a="1"/>
  <c r="O49" i="9"/>
  <c r="P49" i="9" a="1"/>
  <c r="P49" i="9"/>
  <c r="Q49" i="9" a="1"/>
  <c r="Q49" i="9"/>
  <c r="R49" i="9" a="1"/>
  <c r="R49" i="9"/>
  <c r="S49" i="9" a="1"/>
  <c r="S49" i="9"/>
  <c r="T49" i="9" a="1"/>
  <c r="T49" i="9"/>
  <c r="U49" i="9" a="1"/>
  <c r="U49" i="9"/>
  <c r="V49" i="9" a="1"/>
  <c r="V49" i="9"/>
  <c r="W49" i="9" a="1"/>
  <c r="W49" i="9"/>
  <c r="X49" i="9" a="1"/>
  <c r="X49" i="9"/>
  <c r="Y49" i="9" a="1"/>
  <c r="Y49" i="9"/>
  <c r="Z49" i="9" a="1"/>
  <c r="Z49" i="9"/>
  <c r="AA49" i="9" a="1"/>
  <c r="AA49" i="9"/>
  <c r="AB49" i="9" a="1"/>
  <c r="AB49" i="9"/>
  <c r="AC49" i="9" a="1"/>
  <c r="AC49" i="9"/>
  <c r="AD49" i="9" a="1"/>
  <c r="AD49" i="9"/>
  <c r="AE49" i="9" a="1"/>
  <c r="AE49" i="9"/>
  <c r="AF49" i="9" a="1"/>
  <c r="AF49" i="9"/>
  <c r="AG49" i="9" a="1"/>
  <c r="AG49" i="9"/>
  <c r="AH49" i="9" a="1"/>
  <c r="AH49" i="9"/>
  <c r="AI49" i="9" a="1"/>
  <c r="AI49" i="9"/>
  <c r="AJ49" i="9" a="1"/>
  <c r="AJ49" i="9"/>
  <c r="AK49" i="9" a="1"/>
  <c r="AK49" i="9"/>
  <c r="AL49" i="9" a="1"/>
  <c r="AL49" i="9"/>
  <c r="AM49" i="9" a="1"/>
  <c r="AM49" i="9"/>
  <c r="AN49" i="9" a="1"/>
  <c r="AN49" i="9"/>
  <c r="AO49" i="9" a="1"/>
  <c r="AO49" i="9"/>
  <c r="AP49" i="9" a="1"/>
  <c r="AP49" i="9"/>
  <c r="AQ49" i="9" a="1"/>
  <c r="AQ49" i="9"/>
  <c r="AR49" i="9" a="1"/>
  <c r="AR49" i="9"/>
  <c r="AS49" i="9" a="1"/>
  <c r="AS49" i="9"/>
  <c r="AT49" i="9" a="1"/>
  <c r="AT49" i="9"/>
  <c r="AU49" i="9" a="1"/>
  <c r="AU49" i="9"/>
  <c r="AV49" i="9" a="1"/>
  <c r="AV49" i="9"/>
  <c r="AW49" i="9" a="1"/>
  <c r="AW49" i="9"/>
  <c r="AX49" i="9" a="1"/>
  <c r="AX49" i="9"/>
  <c r="AY49" i="9" a="1"/>
  <c r="AY49" i="9"/>
  <c r="AZ49" i="9" a="1"/>
  <c r="AZ49" i="9"/>
  <c r="B160" i="9" a="1"/>
  <c r="B160" i="9"/>
  <c r="AP160" i="9" a="1"/>
  <c r="AP160" i="9"/>
  <c r="AO160" i="9" a="1"/>
  <c r="AO160" i="9"/>
  <c r="AN160" i="9" a="1"/>
  <c r="AN160" i="9"/>
  <c r="AM160" i="9" a="1"/>
  <c r="AM160" i="9"/>
  <c r="AL160" i="9" a="1"/>
  <c r="AL160" i="9"/>
  <c r="AK160" i="9" a="1"/>
  <c r="AK160" i="9"/>
  <c r="AJ160" i="9" a="1"/>
  <c r="AJ160" i="9"/>
  <c r="AI160" i="9" a="1"/>
  <c r="AI160" i="9"/>
  <c r="AH160" i="9" a="1"/>
  <c r="AH160" i="9"/>
  <c r="AG160" i="9" a="1"/>
  <c r="AG160" i="9"/>
  <c r="AF160" i="9" a="1"/>
  <c r="AF160" i="9"/>
  <c r="AE160" i="9" a="1"/>
  <c r="AE160" i="9"/>
  <c r="AD160" i="9" a="1"/>
  <c r="AD160" i="9"/>
  <c r="AC160" i="9" a="1"/>
  <c r="AC160" i="9"/>
  <c r="AB160" i="9" a="1"/>
  <c r="AB160" i="9"/>
  <c r="AA160" i="9" a="1"/>
  <c r="AA160" i="9"/>
  <c r="Z160" i="9" a="1"/>
  <c r="Z160" i="9"/>
  <c r="Y160" i="9" a="1"/>
  <c r="Y160" i="9"/>
  <c r="X160" i="9" a="1"/>
  <c r="X160" i="9"/>
  <c r="W160" i="9" a="1"/>
  <c r="W160" i="9"/>
  <c r="V160" i="9" a="1"/>
  <c r="V160" i="9"/>
  <c r="U160" i="9" a="1"/>
  <c r="U160" i="9"/>
  <c r="T160" i="9" a="1"/>
  <c r="T160" i="9"/>
  <c r="S160" i="9" a="1"/>
  <c r="S160" i="9"/>
  <c r="R160" i="9" a="1"/>
  <c r="R160" i="9"/>
  <c r="Q160" i="9" a="1"/>
  <c r="Q160" i="9"/>
  <c r="P160" i="9" a="1"/>
  <c r="P160" i="9"/>
  <c r="O160" i="9" a="1"/>
  <c r="O160" i="9"/>
  <c r="N160" i="9" a="1"/>
  <c r="N160" i="9"/>
  <c r="M160" i="9" a="1"/>
  <c r="M160" i="9"/>
  <c r="L160" i="9" a="1"/>
  <c r="L160" i="9"/>
  <c r="K160" i="9" a="1"/>
  <c r="K160" i="9"/>
  <c r="J160" i="9" a="1"/>
  <c r="J160" i="9"/>
  <c r="I160" i="9" a="1"/>
  <c r="I160" i="9"/>
  <c r="H160" i="9" a="1"/>
  <c r="H160" i="9"/>
  <c r="G160" i="9" a="1"/>
  <c r="G160" i="9"/>
  <c r="F160" i="9" a="1"/>
  <c r="F160" i="9"/>
  <c r="E160" i="9" a="1"/>
  <c r="E160" i="9"/>
  <c r="D160" i="9" a="1"/>
  <c r="D160" i="9"/>
  <c r="C160" i="9" a="1"/>
  <c r="C160" i="9"/>
  <c r="X3" i="2" a="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Y80" i="2"/>
  <c r="D258" i="3" a="1"/>
  <c r="D258" i="3"/>
  <c r="D257" i="3" a="1"/>
  <c r="D257" i="3"/>
  <c r="D256" i="3" a="1"/>
  <c r="D256" i="3"/>
  <c r="D255" i="3" a="1"/>
  <c r="D255" i="3"/>
  <c r="D254" i="3" a="1"/>
  <c r="D254" i="3"/>
  <c r="D253" i="3" a="1"/>
  <c r="D253" i="3"/>
  <c r="D252" i="3" a="1"/>
  <c r="D252" i="3"/>
  <c r="D251" i="3" a="1"/>
  <c r="D251" i="3"/>
  <c r="D250" i="3" a="1"/>
  <c r="D250" i="3"/>
  <c r="D249" i="3" a="1"/>
  <c r="D249" i="3"/>
  <c r="D248" i="3" a="1"/>
  <c r="D248" i="3"/>
  <c r="D247" i="3" a="1"/>
  <c r="D247" i="3"/>
  <c r="D246" i="3" a="1"/>
  <c r="D246" i="3"/>
  <c r="D245" i="3" a="1"/>
  <c r="D245" i="3"/>
  <c r="D244" i="3" a="1"/>
  <c r="D244" i="3"/>
  <c r="D243" i="3" a="1"/>
  <c r="D243" i="3"/>
  <c r="D242" i="3" a="1"/>
  <c r="D242" i="3"/>
  <c r="D241" i="3" a="1"/>
  <c r="D241" i="3"/>
  <c r="D240" i="3" a="1"/>
  <c r="D240" i="3"/>
  <c r="D239" i="3" a="1"/>
  <c r="D239" i="3"/>
  <c r="D238" i="3" a="1"/>
  <c r="D238" i="3"/>
  <c r="D237" i="3" a="1"/>
  <c r="D237" i="3"/>
  <c r="D236" i="3" a="1"/>
  <c r="D236" i="3"/>
  <c r="D235" i="3" a="1"/>
  <c r="D235" i="3"/>
  <c r="D234" i="3" a="1"/>
  <c r="D234" i="3"/>
  <c r="D233" i="3" a="1"/>
  <c r="D233" i="3"/>
  <c r="D232" i="3" a="1"/>
  <c r="D232" i="3"/>
  <c r="D231" i="3" a="1"/>
  <c r="D231" i="3"/>
  <c r="D230" i="3" a="1"/>
  <c r="D230" i="3"/>
  <c r="D229" i="3" a="1"/>
  <c r="D229" i="3"/>
  <c r="D228" i="3" a="1"/>
  <c r="D228" i="3"/>
  <c r="D227" i="3" a="1"/>
  <c r="D227" i="3"/>
  <c r="D226" i="3" a="1"/>
  <c r="D226" i="3"/>
  <c r="D225" i="3" a="1"/>
  <c r="D225" i="3"/>
  <c r="D224" i="3" a="1"/>
  <c r="D224" i="3"/>
  <c r="D223" i="3" a="1"/>
  <c r="D223" i="3"/>
  <c r="D222" i="3" a="1"/>
  <c r="D222" i="3"/>
  <c r="D221" i="3" a="1"/>
  <c r="D221" i="3"/>
  <c r="D220" i="3" a="1"/>
  <c r="D220" i="3"/>
  <c r="D219" i="3" a="1"/>
  <c r="D219" i="3"/>
  <c r="D218" i="3" a="1"/>
  <c r="D218" i="3"/>
  <c r="D217" i="3" a="1"/>
  <c r="D217" i="3"/>
  <c r="D216" i="3" a="1"/>
  <c r="D216" i="3"/>
  <c r="M245" i="3" a="1"/>
  <c r="M245" i="3"/>
  <c r="M244" i="3" a="1"/>
  <c r="M244" i="3"/>
  <c r="M243" i="3" a="1"/>
  <c r="M243" i="3"/>
  <c r="M242" i="3" a="1"/>
  <c r="M242" i="3"/>
  <c r="M241" i="3" a="1"/>
  <c r="M241" i="3"/>
  <c r="M240" i="3" a="1"/>
  <c r="M240" i="3"/>
  <c r="M239" i="3" a="1"/>
  <c r="M239" i="3"/>
  <c r="M238" i="3" a="1"/>
  <c r="M238" i="3"/>
  <c r="M237" i="3" a="1"/>
  <c r="M237" i="3"/>
  <c r="M236" i="3" a="1"/>
  <c r="M236" i="3"/>
  <c r="M235" i="3" a="1"/>
  <c r="M235" i="3"/>
  <c r="M234" i="3" a="1"/>
  <c r="M234" i="3"/>
  <c r="M233" i="3" a="1"/>
  <c r="M233" i="3"/>
  <c r="M232" i="3" a="1"/>
  <c r="M232" i="3"/>
  <c r="M231" i="3" a="1"/>
  <c r="M231" i="3"/>
  <c r="M230" i="3" a="1"/>
  <c r="M230" i="3"/>
  <c r="M229" i="3" a="1"/>
  <c r="M229" i="3"/>
  <c r="M228" i="3" a="1"/>
  <c r="M228" i="3"/>
  <c r="M227" i="3" a="1"/>
  <c r="M227" i="3"/>
  <c r="M226" i="3" a="1"/>
  <c r="M226" i="3"/>
  <c r="M225" i="3" a="1"/>
  <c r="M225" i="3"/>
  <c r="M224" i="3" a="1"/>
  <c r="M224" i="3"/>
  <c r="M223" i="3" a="1"/>
  <c r="M223" i="3"/>
  <c r="M222" i="3" a="1"/>
  <c r="M222" i="3"/>
  <c r="M221" i="3" a="1"/>
  <c r="M221" i="3"/>
  <c r="M220" i="3" a="1"/>
  <c r="M220" i="3"/>
  <c r="M219" i="3" a="1"/>
  <c r="M219" i="3"/>
  <c r="M218" i="3" a="1"/>
  <c r="M218" i="3"/>
  <c r="M217" i="3" a="1"/>
  <c r="M217" i="3"/>
  <c r="M216" i="3" a="1"/>
  <c r="M216" i="3"/>
</calcChain>
</file>

<file path=xl/comments1.xml><?xml version="1.0" encoding="utf-8"?>
<comments xmlns="http://schemas.openxmlformats.org/spreadsheetml/2006/main">
  <authors>
    <author>Author</author>
  </authors>
  <commentList>
    <comment ref="B89" authorId="0">
      <text>
        <r>
          <rPr>
            <b/>
            <sz val="8"/>
            <color indexed="8"/>
            <rFont val="Tahoma"/>
            <family val="2"/>
          </rPr>
          <t>Minimum Acceptable Return (Nominal)
Used in calculating Sortino Ratios</t>
        </r>
      </text>
    </comment>
    <comment ref="K89" authorId="0">
      <text>
        <r>
          <rPr>
            <b/>
            <sz val="8"/>
            <color indexed="8"/>
            <rFont val="Tahoma"/>
            <family val="2"/>
          </rPr>
          <t>Minimum Acceptable Return (Nominal)
Used in calculating Sortino Ratios</t>
        </r>
      </text>
    </comment>
    <comment ref="T89" authorId="0">
      <text>
        <r>
          <rPr>
            <b/>
            <sz val="8"/>
            <color indexed="8"/>
            <rFont val="Tahoma"/>
            <family val="2"/>
          </rPr>
          <t>Minimum Acceptable Return (Nominal)
Used in calculating Sortino Ratios</t>
        </r>
      </text>
    </comment>
    <comment ref="B90" authorId="0">
      <text>
        <r>
          <rPr>
            <b/>
            <sz val="8"/>
            <color indexed="8"/>
            <rFont val="Tahoma"/>
            <family val="2"/>
          </rPr>
          <t>Minimum Acceptable Return (Real)
Used in calculating Sortino Ratios</t>
        </r>
      </text>
    </comment>
    <comment ref="K90" authorId="0">
      <text>
        <r>
          <rPr>
            <b/>
            <sz val="8"/>
            <color indexed="8"/>
            <rFont val="Tahoma"/>
            <family val="2"/>
          </rPr>
          <t>Minimum Acceptable Return (Real)
Used in calculating Sortino Ratios</t>
        </r>
      </text>
    </comment>
    <comment ref="T90" authorId="0">
      <text>
        <r>
          <rPr>
            <b/>
            <sz val="8"/>
            <color indexed="8"/>
            <rFont val="Tahoma"/>
            <family val="2"/>
          </rPr>
          <t>Minimum Acceptable Return (Real)
Used in calculating Sortino Ratios</t>
        </r>
      </text>
    </comment>
    <comment ref="G92" authorId="0">
      <text>
        <r>
          <rPr>
            <b/>
            <sz val="8"/>
            <color indexed="8"/>
            <rFont val="Tahoma"/>
            <family val="2"/>
          </rPr>
          <t>Correlation to US Market</t>
        </r>
      </text>
    </comment>
    <comment ref="H92" authorId="0">
      <text>
        <r>
          <rPr>
            <b/>
            <sz val="8"/>
            <color indexed="8"/>
            <rFont val="Tahoma"/>
            <family val="2"/>
          </rPr>
          <t xml:space="preserve">Correlation to International Market
</t>
        </r>
      </text>
    </comment>
    <comment ref="P92" authorId="0">
      <text>
        <r>
          <rPr>
            <b/>
            <sz val="8"/>
            <color indexed="8"/>
            <rFont val="Tahoma"/>
            <family val="2"/>
          </rPr>
          <t xml:space="preserve">Correlation to US 
Market
</t>
        </r>
      </text>
    </comment>
    <comment ref="Q92" authorId="0">
      <text>
        <r>
          <rPr>
            <b/>
            <sz val="8"/>
            <color indexed="8"/>
            <rFont val="Tahoma"/>
            <family val="2"/>
          </rPr>
          <t xml:space="preserve">Correlation to International Market
</t>
        </r>
      </text>
    </comment>
    <comment ref="Y92" authorId="0">
      <text>
        <r>
          <rPr>
            <b/>
            <sz val="8"/>
            <color indexed="8"/>
            <rFont val="Tahoma"/>
            <family val="2"/>
          </rPr>
          <t>Correlation to US Market</t>
        </r>
      </text>
    </comment>
    <comment ref="Z92" authorId="0">
      <text>
        <r>
          <rPr>
            <b/>
            <sz val="8"/>
            <color indexed="8"/>
            <rFont val="Tahoma"/>
            <family val="2"/>
          </rPr>
          <t xml:space="preserve">Correlation to International Market
</t>
        </r>
      </text>
    </comment>
  </commentList>
</comments>
</file>

<file path=xl/comments2.xml><?xml version="1.0" encoding="utf-8"?>
<comments xmlns="http://schemas.openxmlformats.org/spreadsheetml/2006/main">
  <authors>
    <author>Author</author>
  </authors>
  <commentList>
    <comment ref="B92" authorId="0">
      <text>
        <r>
          <rPr>
            <b/>
            <sz val="8"/>
            <color indexed="8"/>
            <rFont val="Tahoma"/>
            <family val="2"/>
          </rPr>
          <t>Minimum Acceptable Return (Nominal)
Used in calculating Sortino Ratios</t>
        </r>
      </text>
    </comment>
    <comment ref="K92" authorId="0">
      <text>
        <r>
          <rPr>
            <b/>
            <sz val="8"/>
            <color indexed="8"/>
            <rFont val="Tahoma"/>
            <family val="2"/>
          </rPr>
          <t>Minimum Acceptable Return (Nominal)
Used in calculating Sortino Ratios</t>
        </r>
      </text>
    </comment>
    <comment ref="T92" authorId="0">
      <text>
        <r>
          <rPr>
            <b/>
            <sz val="8"/>
            <color indexed="8"/>
            <rFont val="Tahoma"/>
            <family val="2"/>
          </rPr>
          <t>Minimum Acceptable Return (Nominal)
Used in calculating Sortino Ratios</t>
        </r>
      </text>
    </comment>
    <comment ref="B93" authorId="0">
      <text>
        <r>
          <rPr>
            <b/>
            <sz val="8"/>
            <color indexed="8"/>
            <rFont val="Tahoma"/>
            <family val="2"/>
          </rPr>
          <t>Minimum Acceptable Return (Real)
Used in calculating Sortino Ratios</t>
        </r>
      </text>
    </comment>
    <comment ref="K93" authorId="0">
      <text>
        <r>
          <rPr>
            <b/>
            <sz val="8"/>
            <color indexed="8"/>
            <rFont val="Tahoma"/>
            <family val="2"/>
          </rPr>
          <t>Minimum Acceptable Return (Real)
Used in calculating Sortino Ratios</t>
        </r>
      </text>
    </comment>
    <comment ref="T93" authorId="0">
      <text>
        <r>
          <rPr>
            <b/>
            <sz val="8"/>
            <color indexed="8"/>
            <rFont val="Tahoma"/>
            <family val="2"/>
          </rPr>
          <t>Minimum Acceptable Return (Real)
Used in calculating Sortino Ratios</t>
        </r>
      </text>
    </comment>
  </commentList>
</comments>
</file>

<file path=xl/comments3.xml><?xml version="1.0" encoding="utf-8"?>
<comments xmlns="http://schemas.openxmlformats.org/spreadsheetml/2006/main">
  <authors>
    <author>Author</author>
  </authors>
  <commentList>
    <comment ref="E6" authorId="0">
      <text>
        <r>
          <rPr>
            <b/>
            <sz val="8"/>
            <color indexed="8"/>
            <rFont val="Tahoma"/>
            <family val="2"/>
          </rPr>
          <t>Minimum Acceptable Return (Nominal)
Used in calculating Sortino Ratios</t>
        </r>
      </text>
    </comment>
  </commentList>
</comments>
</file>

<file path=xl/comments4.xml><?xml version="1.0" encoding="utf-8"?>
<comments xmlns="http://schemas.openxmlformats.org/spreadsheetml/2006/main">
  <authors>
    <author>Author</author>
  </authors>
  <commentList>
    <comment ref="I58" authorId="0">
      <text>
        <r>
          <rPr>
            <b/>
            <sz val="8"/>
            <color indexed="8"/>
            <rFont val="Arial"/>
            <family val="2"/>
          </rPr>
          <t>Correlation with EAFE Intl</t>
        </r>
      </text>
    </comment>
  </commentList>
</comments>
</file>

<file path=xl/comments5.xml><?xml version="1.0" encoding="utf-8"?>
<comments xmlns="http://schemas.openxmlformats.org/spreadsheetml/2006/main">
  <authors>
    <author>Author</author>
  </authors>
  <commentList>
    <comment ref="H45" authorId="0">
      <text>
        <r>
          <rPr>
            <b/>
            <sz val="8"/>
            <color indexed="8"/>
            <rFont val="Times New Roman"/>
            <family val="1"/>
          </rPr>
          <t>Correlation with S&amp;P  (VFINX)</t>
        </r>
      </text>
    </comment>
    <comment ref="I45" authorId="0">
      <text>
        <r>
          <rPr>
            <b/>
            <sz val="8"/>
            <color indexed="8"/>
            <rFont val="Arial"/>
            <family val="2"/>
          </rPr>
          <t>Correlation with EAFE Intl</t>
        </r>
      </text>
    </comment>
  </commentList>
</comments>
</file>

<file path=xl/comments6.xml><?xml version="1.0" encoding="utf-8"?>
<comments xmlns="http://schemas.openxmlformats.org/spreadsheetml/2006/main">
  <authors>
    <author>Author</author>
  </authors>
  <commentList>
    <comment ref="BX1" authorId="0">
      <text>
        <r>
          <rPr>
            <b/>
            <sz val="9"/>
            <color indexed="81"/>
            <rFont val="Arial"/>
          </rPr>
          <t>Historical S&amp;P500 returns (Shiller), no expense ratio. Note that those are averages for January as a whole.</t>
        </r>
      </text>
    </comment>
    <comment ref="BY1" authorId="0">
      <text>
        <r>
          <rPr>
            <b/>
            <sz val="9"/>
            <color indexed="81"/>
            <rFont val="Arial"/>
          </rPr>
          <t>Historical IT bond fund returns (e.g. derived from Shiller and FRED interest rates), no expense ratio</t>
        </r>
      </text>
    </comment>
    <comment ref="BZ1" authorId="0">
      <text>
        <r>
          <rPr>
            <b/>
            <sz val="9"/>
            <color indexed="81"/>
            <rFont val="Arial"/>
          </rPr>
          <t>Historical T-Bills returns (e.g. derived from Shiller and FRED interest rates), no expense ratio</t>
        </r>
      </text>
    </comment>
    <comment ref="CA1" authorId="0">
      <text>
        <r>
          <rPr>
            <b/>
            <sz val="9"/>
            <color indexed="81"/>
            <rFont val="Arial"/>
          </rPr>
          <t>Historical inflation rates (e.g. derived from Shiller pre-1972, BLS for 1972+).</t>
        </r>
      </text>
    </comment>
    <comment ref="A3" authorId="0">
      <text>
        <r>
          <rPr>
            <b/>
            <sz val="9"/>
            <color indexed="81"/>
            <rFont val="Arial"/>
          </rPr>
          <t>Most recent Expense Ratio of the corresponding Vanguard fund.</t>
        </r>
        <r>
          <rPr>
            <sz val="9"/>
            <color indexed="81"/>
            <rFont val="Arial"/>
          </rPr>
          <t xml:space="preserve">
</t>
        </r>
      </text>
    </comment>
    <comment ref="A4" authorId="0">
      <text>
        <r>
          <rPr>
            <b/>
            <sz val="9"/>
            <color indexed="81"/>
            <rFont val="Arial"/>
          </rPr>
          <t xml:space="preserve">Year Of Inception. Used for those columns where a Vanguard fund is used, to assist the ER math. </t>
        </r>
      </text>
    </comment>
    <comment ref="A5" authorId="0">
      <text>
        <r>
          <rPr>
            <b/>
            <sz val="9"/>
            <color indexed="81"/>
            <rFont val="Arial"/>
          </rPr>
          <t>First year with known returns</t>
        </r>
      </text>
    </comment>
    <comment ref="CC407" authorId="0">
      <text>
        <r>
          <rPr>
            <sz val="9"/>
            <color indexed="81"/>
            <rFont val="Arial"/>
          </rPr>
          <t>For whatever reason, can't use ROW() in the PRODUCT area formula in column B/C/etc...</t>
        </r>
      </text>
    </comment>
    <comment ref="CC423" authorId="0">
      <text>
        <r>
          <rPr>
            <sz val="9"/>
            <color indexed="81"/>
            <rFont val="Arial"/>
          </rPr>
          <t>For whatever reason, can't use ROW() in the PRODUCT area formula in column B/C/etc...</t>
        </r>
      </text>
    </comment>
    <comment ref="CC429" authorId="0">
      <text>
        <r>
          <rPr>
            <sz val="9"/>
            <color indexed="81"/>
            <rFont val="Arial"/>
          </rPr>
          <t>For whatever reason, can't use ROW() in the PRODUCT area formula in column B/C/etc...</t>
        </r>
      </text>
    </comment>
  </commentList>
</comments>
</file>

<file path=xl/comments7.xml><?xml version="1.0" encoding="utf-8"?>
<comments xmlns="http://schemas.openxmlformats.org/spreadsheetml/2006/main">
  <authors>
    <author>Author</author>
  </authors>
  <commentList>
    <comment ref="S2" authorId="0">
      <text>
        <r>
          <rPr>
            <b/>
            <sz val="8"/>
            <color indexed="8"/>
            <rFont val="Tahoma"/>
            <family val="2"/>
          </rPr>
          <t>Returns are after deducting an ER of 0.74%</t>
        </r>
      </text>
    </comment>
  </commentList>
</comments>
</file>

<file path=xl/sharedStrings.xml><?xml version="1.0" encoding="utf-8"?>
<sst xmlns="http://schemas.openxmlformats.org/spreadsheetml/2006/main" count="2490" uniqueCount="980">
  <si>
    <r>
      <t xml:space="preserve">You can also change the percentage allocations of any fund.  If the total doesn't add up to 100% then you would see an </t>
    </r>
    <r>
      <rPr>
        <b/>
        <i/>
        <sz val="10"/>
        <color indexed="10"/>
        <rFont val="Arial"/>
        <family val="2"/>
      </rPr>
      <t>ERROR.</t>
    </r>
  </si>
  <si>
    <r>
      <t xml:space="preserve">The worksheet </t>
    </r>
    <r>
      <rPr>
        <b/>
        <sz val="10"/>
        <rFont val="Arial"/>
      </rPr>
      <t>Lazy_Portfolios_85</t>
    </r>
    <r>
      <rPr>
        <sz val="10"/>
        <rFont val="Arial"/>
      </rPr>
      <t xml:space="preserve"> compares 25 lazy portfolios and shows a chart with the risk/return for all the 25 lazy portfolios.</t>
    </r>
  </si>
  <si>
    <t>You can change the time period for comparing the lazy portfolios in cells E4 and E5 in the Lazy_Portfolios_85 worksheet</t>
  </si>
  <si>
    <t xml:space="preserve"> pale blue</t>
  </si>
  <si>
    <t>background)</t>
  </si>
  <si>
    <t>1 - %allocation of funds in worksheet Portfolio</t>
  </si>
  <si>
    <t>4 - Initial investment for your portfolio</t>
  </si>
  <si>
    <t>5 - MAR (Minimum Acceptable Return) returns [Used in calculating Sortino Ratios]</t>
  </si>
  <si>
    <t>The spreadsheet would return the porfolio return over the period 1981-1990.</t>
  </si>
  <si>
    <t>The spreadsheet would return the porfolio return over the period 1991-2000.</t>
  </si>
  <si>
    <t>DISCLAIMER</t>
  </si>
  <si>
    <t>Please use this spreadsheet only for learning purposes and as a need for diversification. Don't change your Asset Allocation purely based on historical returns.</t>
  </si>
  <si>
    <t>Past returns are not indicative of future returns.</t>
  </si>
  <si>
    <t>http://www.bogleheads.org/forum/viewtopic.php?t=2520</t>
  </si>
  <si>
    <t>Visit the Bogleheads Forum - http://www.bogleheads.org</t>
  </si>
  <si>
    <t>Regards,</t>
  </si>
  <si>
    <t>Simba</t>
  </si>
  <si>
    <t>Revision History</t>
  </si>
  <si>
    <t>Rev13a</t>
  </si>
  <si>
    <t xml:space="preserve">1. Hatch Batten added 2013 returns.  </t>
  </si>
  <si>
    <t>GLD calculated from Yahoo Finance (historical prices: last close 2012 to last close 2013)</t>
  </si>
  <si>
    <t>PCRIX (Comm) data from: http://performance.morningstar.com/fund/performance-return.action?t=PCRIX</t>
  </si>
  <si>
    <t>BRSIX (D10) data from: https://fundresearch.fidelity.com/mutual-funds/performance-and-risk/108747403</t>
  </si>
  <si>
    <t>PIGLX (Global Bond Fund) data from:
https://fundresearch.fidelity.com/mutual-funds/performance-and-risk/693390874</t>
  </si>
  <si>
    <r>
      <t xml:space="preserve">2. </t>
    </r>
    <r>
      <rPr>
        <sz val="10"/>
        <rFont val="Arial"/>
      </rPr>
      <t>serbeer updated spreasheet to work with 2013 returns.</t>
    </r>
  </si>
  <si>
    <t>(as well as any fixes for the problem found, if any).</t>
  </si>
  <si>
    <t>Rev12e</t>
  </si>
  <si>
    <t>1. In WS "Compare_Portfolios," the formulas for "OFFSET" [Row 62] references an incomplete array of data--fixed</t>
  </si>
  <si>
    <t>Rev12d</t>
  </si>
  <si>
    <t>1. "Portfolio_72_12, Cell J127" should be "=Portfolio$B$58",  "Portfolio_85_12, Cell J104" should be is "=Portfolio$K$58" (thanks JonoJono1)</t>
  </si>
  <si>
    <t>2.  For VFSVX, for 2011 the value was -20.28, perVanguard's website it should be -19.09, the 2012 value had 17.72, but Vanguard says 18.89</t>
  </si>
  <si>
    <t>(thanks jmk and roblanderson)</t>
  </si>
  <si>
    <t>Rev12c</t>
  </si>
  <si>
    <t>1. serbeer fixed a few minor errors found in 12b</t>
  </si>
  <si>
    <t>Rev12b</t>
  </si>
  <si>
    <t>1. serbeer fixed formulas, formatting, rolling returns data, errors reported in thread in 2012--building up on top of mtbomb update</t>
  </si>
  <si>
    <t>Rev12a</t>
  </si>
  <si>
    <t>1. mtbomb added the 2012 returns. I think I found all of them.</t>
  </si>
  <si>
    <t>2. Updated some cells to remove any errors the 2012 updates caused.</t>
  </si>
  <si>
    <t>Rev11a</t>
  </si>
  <si>
    <t>1. Added the returns for 2011</t>
  </si>
  <si>
    <t>2. Fixed sharpe ratio in Data_72_11 and Data_85_11</t>
  </si>
  <si>
    <t>3. Updated conditional formating for Portfolio returns</t>
  </si>
  <si>
    <t>4. Updated the formulas in Data_72_11 and Data_85_11 so it doesn't reflect 0.00 for the future years/undefined funds/columns</t>
  </si>
  <si>
    <t>5. Updated the conditioning formating for Max drawdown</t>
  </si>
  <si>
    <t>Rev10c</t>
  </si>
  <si>
    <t>1. Corrected the symbol for VG International Small from VFWIX to VFSVX</t>
  </si>
  <si>
    <t>2. Corrected the returns for VUSXX (Admiral Treasury Money Market / Tbills)</t>
  </si>
  <si>
    <t>3. Corrected the chart data for Rolling Returns (Nominal and Real) for 1985-2010 charts.</t>
  </si>
  <si>
    <t>Rev10b</t>
  </si>
  <si>
    <t>1. Added a Chart for 3, 5, 10 and 15 year Rolling Returns for both Nominal and Real Returns</t>
  </si>
  <si>
    <t xml:space="preserve">2. Rolling Returns Chart has the checkbox option to display either 3,5,10, 15 or all the Rolling Returns </t>
  </si>
  <si>
    <t>3. Updated the portfolio composition for Fund Advice Ultimate Buy &amp; Hold in Lazy_Portfolios_85 worksheet</t>
  </si>
  <si>
    <t>Rev10a</t>
  </si>
  <si>
    <t>1. Added the returns for 2010</t>
  </si>
  <si>
    <t>2. Replaced VINEX with VFWIX from 2010 onwards</t>
  </si>
  <si>
    <t>3. Fixed Correlations table in Data_72_10 and Data_85_10</t>
  </si>
  <si>
    <t>4. Fixed Sharpe Ratio in Returns_85_10</t>
  </si>
  <si>
    <t>Rev9b</t>
  </si>
  <si>
    <t>1. Fixed a typo and modified 2008 to 2010 in worksheet Lazy_Portfolios_85</t>
  </si>
  <si>
    <t>2. Added the returns for PCRIX, PGLIX and BRSIX</t>
  </si>
  <si>
    <t>3. Corrected the 2009 returns for VBMFX</t>
  </si>
  <si>
    <t>4. Added returns for International Small</t>
  </si>
  <si>
    <t>5. Fixed the data point for Portfolio 2 in the CAGR vs Std Dev chart in Lazy_Portfolios_85 worksheet</t>
  </si>
  <si>
    <t>Rev9a</t>
  </si>
  <si>
    <t>2. Added Return vs. Risk charts at bottom of Portfolio worksheet (Thanks to Paul Douglas Boyer)</t>
  </si>
  <si>
    <t xml:space="preserve">3. Moved the data from SP_72_10 and SP_85_10 to the Returns_72_10 and Returns_85_10 worksheets. </t>
  </si>
  <si>
    <t>4. Moved the Portfolio comparison section from Portfolio worksheet to Compare_Portfolios worksheet</t>
  </si>
  <si>
    <t xml:space="preserve">5. Updated the source/returns for Gold </t>
  </si>
  <si>
    <t>Rev8i</t>
  </si>
  <si>
    <t>1. Corrected the returns for BRSIX,VMGIX  for 2008</t>
  </si>
  <si>
    <t>2. Corrected the formula to deduct the ER's. Earlier I was using (ActualReturns-Inflation). The new formula uses (ActualReturn-Inflation)/(1+Inflation%)</t>
  </si>
  <si>
    <t>3. Corrected the Std deviation for Unrebalanced_Returns in Returns_72_10 tab</t>
  </si>
  <si>
    <t>Rev8h</t>
  </si>
  <si>
    <t>1. Corrected the Formula to calculate the total real value for rebalanced portfolio in the Compare Portfolio section</t>
  </si>
  <si>
    <t>2. Corrected the Formula to calculate the un-rebalanced returns in Returns_72_10 and Returns_85_10 for 2008 and higher years</t>
  </si>
  <si>
    <t>3. Fixed a typo for Down SD in the Compare Portfolio section for 1985-2008</t>
  </si>
  <si>
    <t>4. Fixed the formula for Sortino Ratio in SP_72_10 and SP_85_10 worksheets</t>
  </si>
  <si>
    <t>Rev8g</t>
  </si>
  <si>
    <t>1. Corrected the Sortino Formula in Returns_72_10 and Returns_85_10</t>
  </si>
  <si>
    <t>Rev8f</t>
  </si>
  <si>
    <t>1. Fixed CAGR formula for Comparing 72-08 portfolios</t>
  </si>
  <si>
    <t>2. Updated the Compare Portfolio section to now have the ability to select different time periods instead of the fixed 1972-2008 or 1985-2008</t>
  </si>
  <si>
    <t>3. Fixed Correlation for CHP and SBFS in SP_72_10 and SP_85_10</t>
  </si>
  <si>
    <t>4. Charts in Excel spreadsheet now have dynamic titles that reflect the time period being tested</t>
  </si>
  <si>
    <t>5. The unrebalanced calculations now include the time period being tested instead of the entire 1972-2008 or 1985-2008 time periods</t>
  </si>
  <si>
    <t>6. User can now change the time period for comparing the Lazy Portfolios</t>
  </si>
  <si>
    <t>7. The correlations in the Lazy Portfolio are now time period dependent instead of being fixed for the entire period</t>
  </si>
  <si>
    <t>8. Updated the formula for Sortino Ratio</t>
  </si>
  <si>
    <t>9. Updated the formula for Sharpe Ratio to calculate Tbill average only for the time period being tested instead of the entire period</t>
  </si>
  <si>
    <t>Rev8e</t>
  </si>
  <si>
    <t>1. Sharpe Ratio uses the average of Tbill for the selected Time period instead of using the average for the entire 1972-2008 or 1985-2008 periods.</t>
  </si>
  <si>
    <t>2. Fixed the formula used for 2008 and onwards returns in Returns_85_10 worksheet</t>
  </si>
  <si>
    <t>3. Fixed the formula used for 2010 and onwards returns in Returns_72_10 worksheet</t>
  </si>
  <si>
    <t>Starting Allocation</t>
  </si>
  <si>
    <t>Ending Allocation if not rebalanced</t>
  </si>
  <si>
    <t>Total US Market - TSM</t>
  </si>
  <si>
    <t>VTSMX</t>
  </si>
  <si>
    <t>Large Cap Value - LCV</t>
  </si>
  <si>
    <t>VIVAX</t>
  </si>
  <si>
    <t>Large Cap Blend - LCB</t>
  </si>
  <si>
    <t>VFINX</t>
  </si>
  <si>
    <t>Large Cap Growth - LCG</t>
  </si>
  <si>
    <t>VIGRX</t>
  </si>
  <si>
    <t>Mid-Cap Blend - MCB</t>
  </si>
  <si>
    <t>VIMSX</t>
  </si>
  <si>
    <t>Small Cap Value - SCV</t>
  </si>
  <si>
    <t>VISVX</t>
  </si>
  <si>
    <t>Small Cap Blend - SCB</t>
  </si>
  <si>
    <t>NAESX</t>
  </si>
  <si>
    <t>Small Cap Growth - SCG</t>
  </si>
  <si>
    <t>VISGX</t>
  </si>
  <si>
    <t xml:space="preserve">Micro Cap </t>
  </si>
  <si>
    <t>BRSIX</t>
  </si>
  <si>
    <t>REIT</t>
  </si>
  <si>
    <t>VGSIX</t>
  </si>
  <si>
    <t>Intl Developed - EAFE</t>
  </si>
  <si>
    <t>Emerging Mkt - EM</t>
  </si>
  <si>
    <t>VEIEX</t>
  </si>
  <si>
    <t>Total_Intl - EAFE85/EM15</t>
  </si>
  <si>
    <t>VGTSX</t>
  </si>
  <si>
    <t>Intl Pacific</t>
  </si>
  <si>
    <t>VPACX</t>
  </si>
  <si>
    <t>Intl Europe</t>
  </si>
  <si>
    <t>VEURX</t>
  </si>
  <si>
    <t>Intl.Value</t>
  </si>
  <si>
    <t>VTRIX</t>
  </si>
  <si>
    <t>Commodities</t>
  </si>
  <si>
    <t>PCRIX</t>
  </si>
  <si>
    <t>Long Term Govt Bond - LTGB</t>
  </si>
  <si>
    <t>VUSTX</t>
  </si>
  <si>
    <t>5 Yr T-Bills</t>
  </si>
  <si>
    <t>VFITX</t>
  </si>
  <si>
    <t>Total Bond</t>
  </si>
  <si>
    <t>VBMFX</t>
  </si>
  <si>
    <t>Tbills/Treasury Money Mkt</t>
  </si>
  <si>
    <t>VUSXX</t>
  </si>
  <si>
    <t>Synthetic TIPS</t>
  </si>
  <si>
    <t>VIPSX</t>
  </si>
  <si>
    <t>Wellington - Balanced</t>
  </si>
  <si>
    <t>VWELX</t>
  </si>
  <si>
    <t>Wellesley - Balanced</t>
  </si>
  <si>
    <t>VWINX</t>
  </si>
  <si>
    <t>Windsor</t>
  </si>
  <si>
    <t>VWNDX</t>
  </si>
  <si>
    <t>Energy Fund</t>
  </si>
  <si>
    <t>VGENX</t>
  </si>
  <si>
    <t>2 Year ST Treasury</t>
  </si>
  <si>
    <t>VFISX</t>
  </si>
  <si>
    <t>Health Care Fund</t>
  </si>
  <si>
    <t>VGHCX</t>
  </si>
  <si>
    <t>Precious Metals Fund</t>
  </si>
  <si>
    <t>VGPMX</t>
  </si>
  <si>
    <t>Windsor II</t>
  </si>
  <si>
    <t>VWNFX</t>
  </si>
  <si>
    <t>Short term Tax Exempt</t>
  </si>
  <si>
    <t>VWSTX</t>
  </si>
  <si>
    <t>Inter Tem Tax Exempt</t>
  </si>
  <si>
    <t>VWITX</t>
  </si>
  <si>
    <t>Long Term Tax Exempt</t>
  </si>
  <si>
    <t>VWLTX</t>
  </si>
  <si>
    <t>High Yield Corp</t>
  </si>
  <si>
    <t>VWEHX</t>
  </si>
  <si>
    <t>Mid-Cap Growth Index</t>
  </si>
  <si>
    <t>VMGIX</t>
  </si>
  <si>
    <t>Mid-Cap Value Index</t>
  </si>
  <si>
    <t>VMVIX</t>
  </si>
  <si>
    <t>VG Extended Market</t>
  </si>
  <si>
    <t>VEXMX</t>
  </si>
  <si>
    <t># of Years for backtest</t>
  </si>
  <si>
    <t>Starting Year for backtest</t>
  </si>
  <si>
    <t>Ending Year for backtest</t>
  </si>
  <si>
    <t>Initial Investment</t>
  </si>
  <si>
    <t>MAR Nominal</t>
  </si>
  <si>
    <t>MAR Real</t>
  </si>
  <si>
    <t>Total</t>
  </si>
  <si>
    <t>CAGR</t>
  </si>
  <si>
    <t>Std.Dev</t>
  </si>
  <si>
    <t>Sharpe Ratio</t>
  </si>
  <si>
    <t>Sortino Ratio</t>
  </si>
  <si>
    <t>C-US</t>
  </si>
  <si>
    <t>C-Intl</t>
  </si>
  <si>
    <t>Portfolio Growth - Nominal</t>
  </si>
  <si>
    <t>Portfolio Growth - Real</t>
  </si>
  <si>
    <t>Coffee House - Nominal</t>
  </si>
  <si>
    <t>Coffee House - Real</t>
  </si>
  <si>
    <t>Portfolio Growth without Rebalancing (Nominal)</t>
  </si>
  <si>
    <t>Portfolio Growth without Rebalancing (Real)</t>
  </si>
  <si>
    <t>Compare 5 portfolios</t>
  </si>
  <si>
    <t>P1</t>
  </si>
  <si>
    <t>P2</t>
  </si>
  <si>
    <t>P3</t>
  </si>
  <si>
    <t>P4</t>
  </si>
  <si>
    <t>P5</t>
  </si>
  <si>
    <t>VMPXX</t>
  </si>
  <si>
    <t>Compare 5 Portfolios</t>
  </si>
  <si>
    <t>Initial Investment for comparing portfolios</t>
  </si>
  <si>
    <t># of Years backtesting</t>
  </si>
  <si>
    <t>Offset</t>
  </si>
  <si>
    <t>Average</t>
  </si>
  <si>
    <t>Std. Dev.</t>
  </si>
  <si>
    <t>Down SD</t>
  </si>
  <si>
    <t>Up SD</t>
  </si>
  <si>
    <t>Sharpe</t>
  </si>
  <si>
    <t>Sortino</t>
  </si>
  <si>
    <t xml:space="preserve"> US Mkt. Corr.</t>
  </si>
  <si>
    <t>US Mkt. Corr.</t>
  </si>
  <si>
    <t>Intl. Corr.</t>
  </si>
  <si>
    <t>Total - Rebalanced (N)</t>
  </si>
  <si>
    <t>Total - Rebalanced</t>
  </si>
  <si>
    <t>Total-Unbalanced (N)</t>
  </si>
  <si>
    <t>Total - Unbalanced</t>
  </si>
  <si>
    <t>Total - Rebalanced (Real)</t>
  </si>
  <si>
    <t># of Years of Backtesting</t>
  </si>
  <si>
    <t>Mkt. Corr.</t>
  </si>
  <si>
    <t>Total - Rebalanced (Nominal)</t>
  </si>
  <si>
    <t>Total - 
Unbalanced (Nominal)</t>
  </si>
  <si>
    <t>1$ Portfolio</t>
  </si>
  <si>
    <t>Taylor Larimore 3 Fund</t>
  </si>
  <si>
    <t>Taylor Larimore 4 Fund</t>
  </si>
  <si>
    <t>Rick Ferri Core Four</t>
  </si>
  <si>
    <t>P6</t>
  </si>
  <si>
    <t>Bill Berstein No Brainer Cowards</t>
  </si>
  <si>
    <t>P7</t>
  </si>
  <si>
    <t>Bill Berstein No Brainer</t>
  </si>
  <si>
    <t>P8</t>
  </si>
  <si>
    <t>Bill Bernstein Smart Money</t>
  </si>
  <si>
    <t>P9</t>
  </si>
  <si>
    <t>P10</t>
  </si>
  <si>
    <t>Ted Aronson Family Taxable</t>
  </si>
  <si>
    <t>P11</t>
  </si>
  <si>
    <t>Bill Schultheis Coffee House</t>
  </si>
  <si>
    <t>P12</t>
  </si>
  <si>
    <t>FundAdvice Ultimate Buy &amp; Hold Portfolio</t>
  </si>
  <si>
    <t>P13</t>
  </si>
  <si>
    <t>David Swenson Lazy Portfolio</t>
  </si>
  <si>
    <t>P14</t>
  </si>
  <si>
    <t>David Swenson Yale Endowment</t>
  </si>
  <si>
    <t>P15</t>
  </si>
  <si>
    <t>2nd Grader</t>
  </si>
  <si>
    <t>P16</t>
  </si>
  <si>
    <t>Frank Armstrong Ideal Idx</t>
  </si>
  <si>
    <t>P17</t>
  </si>
  <si>
    <t>Scott Burns Couch Portfolio</t>
  </si>
  <si>
    <t>P18</t>
  </si>
  <si>
    <t>Scott Burns Margaritaville</t>
  </si>
  <si>
    <t>P19</t>
  </si>
  <si>
    <t>Scott Burns Four Square</t>
  </si>
  <si>
    <t>P20</t>
  </si>
  <si>
    <t>Scott Burns Five Fold</t>
  </si>
  <si>
    <t>P21</t>
  </si>
  <si>
    <t>Scott Burns Six Ways from Sunday</t>
  </si>
  <si>
    <t>P22</t>
  </si>
  <si>
    <t>Harry Browne Permanent</t>
  </si>
  <si>
    <t>P23</t>
  </si>
  <si>
    <t>Larry Swedroe Simple Portfolio</t>
  </si>
  <si>
    <t>P24</t>
  </si>
  <si>
    <t>Larry Swedroe Minimize FatTails Portfolio</t>
  </si>
  <si>
    <t>P25</t>
  </si>
  <si>
    <t>Wellington</t>
  </si>
  <si>
    <t>Wellesley</t>
  </si>
  <si>
    <t>Taylor
Larimore
3 Fund</t>
  </si>
  <si>
    <t>Taylor
Larimore
4 Fund</t>
  </si>
  <si>
    <t>Rick Ferri 
Core Four</t>
  </si>
  <si>
    <t>Bill
Berstein
No Brainer
Cowards</t>
  </si>
  <si>
    <t>Bill
Berstein
No Brainer</t>
  </si>
  <si>
    <t>Bill 
Bernstein
Smart
Money</t>
  </si>
  <si>
    <t>Dilbert's Portfolio</t>
  </si>
  <si>
    <t>Ted 
Aronson 
Family
Taxable</t>
  </si>
  <si>
    <t>Bill
Schultheis
Coffee House</t>
  </si>
  <si>
    <t>FundAdvice
Ultimate
Buy &amp; Hold</t>
  </si>
  <si>
    <t>David
Swenson 
Lazy Portfolio</t>
  </si>
  <si>
    <t>David 
Swenson 
Yale 
Endowment</t>
  </si>
  <si>
    <t>Frank
Armstrong
Ideal Idx</t>
  </si>
  <si>
    <t>Harry Browne
Permanent</t>
  </si>
  <si>
    <t>Larry
Swedroe
Simple Portfolio</t>
  </si>
  <si>
    <t>Larry
Swedroe
Minimize FatTails Portfolio</t>
  </si>
  <si>
    <t>Global Bond Fund</t>
  </si>
  <si>
    <t>PIGLX</t>
  </si>
  <si>
    <t>ST Investment Grade</t>
  </si>
  <si>
    <t>VFSTX</t>
  </si>
  <si>
    <t>GOLD</t>
  </si>
  <si>
    <t>Total - Unbalanced (N)</t>
  </si>
  <si>
    <t>$1 Portfolio =</t>
  </si>
  <si>
    <t>Credit to Trevh/Cb/Alec from Vanguard Diehards / Bogleheads forum for compiling this data from various sources.</t>
  </si>
  <si>
    <t>A special thanks to Gummy (gummy-stuff.org) for all the Math &amp; Excel help.</t>
  </si>
  <si>
    <t>Annual Return Data Sources:</t>
  </si>
  <si>
    <t>CPI-U data was collected from http://www.bls.gov/cpi and the actual data was obtained from ftp://ftp.bls.gov/pub/special.requests/cpi/cpiai.txt</t>
  </si>
  <si>
    <t xml:space="preserve">Credit to Cb/Gnobility/Jeff for calculating the synthetic returns of CCF data </t>
  </si>
  <si>
    <t>http://gnobility.com/Syn_Comm/CCF_1972-2007_san.xls</t>
  </si>
  <si>
    <t>Credit to Stratton for the Global Bond Funds Data</t>
  </si>
  <si>
    <t>MKT = US Cap Weighted Market:</t>
  </si>
  <si>
    <t>EAFE</t>
  </si>
  <si>
    <t>ITB = Intermediate Term Bonds:</t>
  </si>
  <si>
    <t>CRSP Market Decile 1-10 1972-1992</t>
  </si>
  <si>
    <t>MSCI EAFE Index 1972-2000 (Developed Only)</t>
  </si>
  <si>
    <t>Ibbotson 1972</t>
  </si>
  <si>
    <t>Lehman Brothers 1973-1986</t>
  </si>
  <si>
    <t>LCB = US Large Blend:</t>
  </si>
  <si>
    <t>EM</t>
  </si>
  <si>
    <t>TIPS</t>
  </si>
  <si>
    <t>S&amp;P 500: Standard &amp; Poors 1972-1976</t>
  </si>
  <si>
    <t xml:space="preserve">IFA website (added back expenses):1972-1987 </t>
  </si>
  <si>
    <t>Synthetic TIPS data provided by Cb (Data from Kothari's paper)</t>
  </si>
  <si>
    <t>Allocated 50% IFA Intl Value Index and 50% IFA Intl Small</t>
  </si>
  <si>
    <t>http://www.diehards.org/forum/viewtopic.php?t=281</t>
  </si>
  <si>
    <t>LCV = US Large Value:</t>
  </si>
  <si>
    <t>MSCI Emerging Mkts Index 1988-1994</t>
  </si>
  <si>
    <t>Fama and French 1972-1978</t>
  </si>
  <si>
    <t xml:space="preserve"> </t>
  </si>
  <si>
    <t>LTGB = Long Term Government Bonds:</t>
  </si>
  <si>
    <t>Russell 1000 Value Index 1979-1992</t>
  </si>
  <si>
    <t>EAFE/EM</t>
  </si>
  <si>
    <t>INTLT - Total International:</t>
  </si>
  <si>
    <t>LCG = US Large Growth:</t>
  </si>
  <si>
    <t>MSCI EAFE Index 1972-1987 (Developed Only)</t>
  </si>
  <si>
    <t>High Yield Corporate</t>
  </si>
  <si>
    <t>Russell 1000 Growth Index 1979-1992</t>
  </si>
  <si>
    <t>Pacific</t>
  </si>
  <si>
    <t>CPI-U (Inflation)</t>
  </si>
  <si>
    <t>MCB = US Mid Blend:</t>
  </si>
  <si>
    <t>MSCI Data 1972-1990</t>
  </si>
  <si>
    <t>CRSP Decile 3-5 1972-1978</t>
  </si>
  <si>
    <t>Compiled by Bureau of Labor and Statistics</t>
  </si>
  <si>
    <t>Russell Mid Cap Index 1979-1998</t>
  </si>
  <si>
    <t>Europe</t>
  </si>
  <si>
    <t>MCG = US Mid Growth:</t>
  </si>
  <si>
    <t>COMM - Commodities/Natural Resources</t>
  </si>
  <si>
    <t>MSCI Data 1972-1984</t>
  </si>
  <si>
    <t>Collaterallized Chase Index 1972-1990</t>
  </si>
  <si>
    <t>Russell Mid Cap Growth Index 1986-1995</t>
  </si>
  <si>
    <t>DJ-AIJ plus T-Bills 1991-1996</t>
  </si>
  <si>
    <t>DJ-AIG plus Yahoo's IPS 'category' returns 1997-2001 (prior to VIPSX)</t>
  </si>
  <si>
    <t>International Value</t>
  </si>
  <si>
    <t>DJ-AIJ plus VIPSX - 2001-2002</t>
  </si>
  <si>
    <t>IFA Intl Value (ifa.com) 1972-1974</t>
  </si>
  <si>
    <t>Russell Mid Cap Value Index 1986-1995</t>
  </si>
  <si>
    <t>MSCI EAFE Value 1975-1996</t>
  </si>
  <si>
    <t>Global Bonds (Unhedged)</t>
  </si>
  <si>
    <t>JP Morgan Global Gov Bond - 1987-1996</t>
  </si>
  <si>
    <t>SCB = US Small Blend:</t>
  </si>
  <si>
    <t>Short Term Investment Grade</t>
  </si>
  <si>
    <t>Russell 2000 Index 1979-1991</t>
  </si>
  <si>
    <t>SCV = US Small Value:</t>
  </si>
  <si>
    <t>Gold</t>
  </si>
  <si>
    <t>Energy</t>
  </si>
  <si>
    <t>http://www.finfacts.ie/Private/curency/goldmarketprice.htm</t>
  </si>
  <si>
    <t>Russell 2000 Value Index 1979-1998</t>
  </si>
  <si>
    <t>http://www.kitco.com/charts/historicalgold.html</t>
  </si>
  <si>
    <t>SCG = US Small Growth:</t>
  </si>
  <si>
    <t>Health Care</t>
  </si>
  <si>
    <t>International Small</t>
  </si>
  <si>
    <t>Russell 2000 Growth Index 1979-1998</t>
  </si>
  <si>
    <t>Precious Metals</t>
  </si>
  <si>
    <t>Intl Small IFA website (added back expenses):1972-1974</t>
  </si>
  <si>
    <t>Intl Small 1975-1996</t>
  </si>
  <si>
    <t>MICRO = US MicroCap Blend:</t>
  </si>
  <si>
    <t>VG Intl Explorer - 1997 - 2009</t>
  </si>
  <si>
    <t>CRSP Decile 10 1972-1997</t>
  </si>
  <si>
    <t xml:space="preserve">Short Term Treasuries </t>
  </si>
  <si>
    <t>ST Treasury (2F) IFA website: 1972-1991</t>
  </si>
  <si>
    <t>Extended market Index</t>
  </si>
  <si>
    <t>55% Mid-Cap(VIMSX)+45% Small Cap(NAESX) - 1985-1987</t>
  </si>
  <si>
    <t>5YT - InterTerm Treasury Bonds:</t>
  </si>
  <si>
    <t>REIT = Real Estate:</t>
  </si>
  <si>
    <t>Nat. Assn. of Real Estate Inv Trusts 1972-1996</t>
  </si>
  <si>
    <t>Tbill - Risk Free Benchmark for Sharpe:</t>
  </si>
  <si>
    <t>T-Bills 1972-1983</t>
  </si>
  <si>
    <t>VG Treasury (VMPXX) merged with Admiral Treasury (VUSXX) in Aug 2009</t>
  </si>
  <si>
    <t>Year</t>
  </si>
  <si>
    <t>US Mkt</t>
  </si>
  <si>
    <t>LCV</t>
  </si>
  <si>
    <r>
      <t>LCB-</t>
    </r>
    <r>
      <rPr>
        <b/>
        <sz val="6.5"/>
        <rFont val="Arial"/>
        <family val="2"/>
      </rPr>
      <t>500 Idx</t>
    </r>
  </si>
  <si>
    <t>LCG</t>
  </si>
  <si>
    <t>MCB</t>
  </si>
  <si>
    <t>SCV</t>
  </si>
  <si>
    <t>SCB</t>
  </si>
  <si>
    <t>SCG</t>
  </si>
  <si>
    <t>D10</t>
  </si>
  <si>
    <t>Int.Val</t>
  </si>
  <si>
    <t>COMM</t>
  </si>
  <si>
    <t>LTGB</t>
  </si>
  <si>
    <t>5 Yr T</t>
  </si>
  <si>
    <t>ITB</t>
  </si>
  <si>
    <t>TBILL</t>
  </si>
  <si>
    <t>STIPS</t>
  </si>
  <si>
    <t>Bal</t>
  </si>
  <si>
    <t>ST Treasury</t>
  </si>
  <si>
    <t>Portfolio Returns</t>
  </si>
  <si>
    <t>Portfolio Returns Real</t>
  </si>
  <si>
    <t>Previous Max Growth</t>
  </si>
  <si>
    <t>Inflation</t>
  </si>
  <si>
    <t>TBill72
Real</t>
  </si>
  <si>
    <t>Rolling Returns
1 year</t>
  </si>
  <si>
    <t>Rolling Returns
3 years</t>
  </si>
  <si>
    <t>Rolling Returns
5 years</t>
  </si>
  <si>
    <t>Rolling Returns
10 years</t>
  </si>
  <si>
    <t>Rolling Returns
15 years</t>
  </si>
  <si>
    <t>Rolling Returns
(Real)
1 year</t>
  </si>
  <si>
    <t>Rolling Returns
(Real)
3 years</t>
  </si>
  <si>
    <t>Rolling Returns
(Real)
5 years</t>
  </si>
  <si>
    <t>Rolling Returns
(Real)
10 years</t>
  </si>
  <si>
    <t>Rolling Returns
(Real)
15 years</t>
  </si>
  <si>
    <t>CPI-U</t>
  </si>
  <si>
    <t xml:space="preserve"> Allocation</t>
  </si>
  <si>
    <t>Amount</t>
  </si>
  <si>
    <t>Portfolio</t>
  </si>
  <si>
    <t>Nominal</t>
  </si>
  <si>
    <t>Real</t>
  </si>
  <si>
    <t>Correlation of your portfolio with different assets</t>
  </si>
  <si>
    <t>EAFE85 / EM15</t>
  </si>
  <si>
    <t>Correlation</t>
  </si>
  <si>
    <t>Returns without Rebalancing</t>
  </si>
  <si>
    <t>%Allocation</t>
  </si>
  <si>
    <t>CoffeeHouse Portfolio</t>
  </si>
  <si>
    <t>LCB</t>
  </si>
  <si>
    <t>EAFE / EM</t>
  </si>
  <si>
    <t>Portfolio 
Returns</t>
  </si>
  <si>
    <t>EAFE/ EM</t>
  </si>
  <si>
    <t>TBill85
Real</t>
  </si>
  <si>
    <t>Std. Dev</t>
  </si>
  <si>
    <t>Intl.Val</t>
  </si>
  <si>
    <t>Health</t>
  </si>
  <si>
    <t>P.Metals</t>
  </si>
  <si>
    <t>WindsorII</t>
  </si>
  <si>
    <t>ST TE</t>
  </si>
  <si>
    <t>Inter TE</t>
  </si>
  <si>
    <t>LT TE</t>
  </si>
  <si>
    <t>Hi-Yld Corp</t>
  </si>
  <si>
    <t>ST Trsry</t>
  </si>
  <si>
    <t>MCG</t>
  </si>
  <si>
    <t>MCV</t>
  </si>
  <si>
    <t>VG Ext Mkt</t>
  </si>
  <si>
    <t>Allocation</t>
  </si>
  <si>
    <t>Portfolio
Returns</t>
  </si>
  <si>
    <t>REAL</t>
  </si>
  <si>
    <t>Std Dev</t>
  </si>
  <si>
    <t>Rolling Returns</t>
  </si>
  <si>
    <t>Portfolio Balance</t>
  </si>
  <si>
    <t>Portfolio Returns
Cumulative</t>
  </si>
  <si>
    <t>YEAR</t>
  </si>
  <si>
    <t>MKT-TSM</t>
  </si>
  <si>
    <t>500 Idx</t>
  </si>
  <si>
    <t>EAFED</t>
  </si>
  <si>
    <t>Total Intl</t>
  </si>
  <si>
    <t>Intl Value</t>
  </si>
  <si>
    <t>S-TIPS</t>
  </si>
  <si>
    <t>VG Intl Small</t>
  </si>
  <si>
    <t>GLD</t>
  </si>
  <si>
    <t>VFSVX</t>
  </si>
  <si>
    <t>ER</t>
  </si>
  <si>
    <t>-</t>
  </si>
  <si>
    <t>YOI</t>
  </si>
  <si>
    <t>Minimum for the Year</t>
  </si>
  <si>
    <t>Maximum for the year</t>
  </si>
  <si>
    <t>StDEV</t>
  </si>
  <si>
    <t>Variance</t>
  </si>
  <si>
    <t>Correlation w/  US Mkt</t>
  </si>
  <si>
    <t>Correlation w/  Intl Mkt</t>
  </si>
  <si>
    <t>Best =</t>
  </si>
  <si>
    <t>72P - 1$</t>
  </si>
  <si>
    <t>72P1 - 1$</t>
  </si>
  <si>
    <t>72P2 - 1$</t>
  </si>
  <si>
    <t>72P3 - 1$</t>
  </si>
  <si>
    <t>72P4 - 1$</t>
  </si>
  <si>
    <t>72P5 - 1$</t>
  </si>
  <si>
    <t>Correlations between different assets</t>
  </si>
  <si>
    <t>YearEnd</t>
  </si>
  <si>
    <t>1972-1975</t>
  </si>
  <si>
    <t>1976-1980</t>
  </si>
  <si>
    <t>1981-1985</t>
  </si>
  <si>
    <t>1986-1990</t>
  </si>
  <si>
    <t>1991-1995</t>
  </si>
  <si>
    <t>1996-2000</t>
  </si>
  <si>
    <t>2001-2005</t>
  </si>
  <si>
    <t>2006-2010</t>
  </si>
  <si>
    <t>1972-1979</t>
  </si>
  <si>
    <t>1980-1989</t>
  </si>
  <si>
    <t>1990-1999</t>
  </si>
  <si>
    <t>2000-2009</t>
  </si>
  <si>
    <t>V ST TE</t>
  </si>
  <si>
    <t>V Int TE</t>
  </si>
  <si>
    <t>V LT TE</t>
  </si>
  <si>
    <t>Hi-Yld C</t>
  </si>
  <si>
    <t>MidCap Growth</t>
  </si>
  <si>
    <t>MidCap Val</t>
  </si>
  <si>
    <t>V Ext Mkt</t>
  </si>
  <si>
    <t>85P - 1$</t>
  </si>
  <si>
    <t>85P1 - 1$</t>
  </si>
  <si>
    <t>85P2 - 1$</t>
  </si>
  <si>
    <t>85P3 - 1$</t>
  </si>
  <si>
    <t>85P4 - 1$</t>
  </si>
  <si>
    <t>85P5 - 1$</t>
  </si>
  <si>
    <t>85Lazy - 1$</t>
  </si>
  <si>
    <t>1985-1990</t>
  </si>
  <si>
    <t>2000-2005</t>
  </si>
  <si>
    <t>1985-1989</t>
  </si>
  <si>
    <t>Allocation72</t>
  </si>
  <si>
    <t>=Portfolio!$B$3:$C$39</t>
  </si>
  <si>
    <t>Compare_LazyPortfolios_85</t>
  </si>
  <si>
    <t>=Lazy_Portfolios_85!$C$99:$AA$113</t>
  </si>
  <si>
    <t>Compare_MAR72_Nominal</t>
  </si>
  <si>
    <t>Compare_MAR72_Real</t>
  </si>
  <si>
    <t>Compare_MAR85_Nominal</t>
  </si>
  <si>
    <t>Compare_MAR85_Real</t>
  </si>
  <si>
    <t>COUNT72</t>
  </si>
  <si>
    <t>COUNT85</t>
  </si>
  <si>
    <t>EYear72</t>
  </si>
  <si>
    <t>EYear85</t>
  </si>
  <si>
    <t>MAR72_Nominal</t>
  </si>
  <si>
    <t>MAR72_Real</t>
  </si>
  <si>
    <t>Mar85_Lazy_Nominal</t>
  </si>
  <si>
    <t>=Lazy_Portfolios_85!$E$6</t>
  </si>
  <si>
    <t>MAR85_Nominal</t>
  </si>
  <si>
    <t>MAR85_Real</t>
  </si>
  <si>
    <t>Rebal_CHP_NominalReturns72</t>
  </si>
  <si>
    <t>Rebal_CHP_NominalReturns85</t>
  </si>
  <si>
    <t>Rebal_CHP_RealReturns72</t>
  </si>
  <si>
    <t>Rebal_CHP_RealReturns85</t>
  </si>
  <si>
    <t>Rebal_CHP_ReturnsTable72</t>
  </si>
  <si>
    <t>Rebal_CHP_ReturnsTable85</t>
  </si>
  <si>
    <t>Rebal_NominalReturns72</t>
  </si>
  <si>
    <t>Rebal_NominalReturns85</t>
  </si>
  <si>
    <t>Rebal_NominalTotal72</t>
  </si>
  <si>
    <t>Rebal_NominalTotal85</t>
  </si>
  <si>
    <t>Rebal_RealReturns72</t>
  </si>
  <si>
    <t>Rebal_RealReturns85</t>
  </si>
  <si>
    <t>Rebal_RealTotal72</t>
  </si>
  <si>
    <t>Rebal_RealTotal85</t>
  </si>
  <si>
    <t>Rebal_ReturnsTable72</t>
  </si>
  <si>
    <t>Rebal_ReturnsTable85</t>
  </si>
  <si>
    <t>Sharpe72_RiskFree_Nominal</t>
  </si>
  <si>
    <t>Sharpe85_RiskFree_Nominal</t>
  </si>
  <si>
    <t>SYear72</t>
  </si>
  <si>
    <t>SYear85</t>
  </si>
  <si>
    <t>TBill72</t>
  </si>
  <si>
    <t>TBill72_Real</t>
  </si>
  <si>
    <t>TBill85</t>
  </si>
  <si>
    <t>TBill85_Real</t>
  </si>
  <si>
    <t>Unrebal_NominalReturns72</t>
  </si>
  <si>
    <t>Unrebal_NominalReturns85</t>
  </si>
  <si>
    <t>Unrebal_NominalTotal72</t>
  </si>
  <si>
    <t>Unrebal_NominalTotal85</t>
  </si>
  <si>
    <t>Unrebal_RealReturns72</t>
  </si>
  <si>
    <t>Unrebal_RealReturns85</t>
  </si>
  <si>
    <t>Unrebal_RealTotal72</t>
  </si>
  <si>
    <t>Unrebal_RealTotal85</t>
  </si>
  <si>
    <t>Unrebal_ReturnsTable72</t>
  </si>
  <si>
    <t>Unrebal_ReturnsTable85</t>
  </si>
  <si>
    <t>Formula check</t>
  </si>
  <si>
    <t>Starting row offset:</t>
  </si>
  <si>
    <t>Anchor cell:</t>
  </si>
  <si>
    <t>A7</t>
  </si>
  <si>
    <t>AN7</t>
  </si>
  <si>
    <t>AN68</t>
  </si>
  <si>
    <t>AP7</t>
  </si>
  <si>
    <t>AS7</t>
  </si>
  <si>
    <t>AS68</t>
  </si>
  <si>
    <t>AP68</t>
  </si>
  <si>
    <t>BA7</t>
  </si>
  <si>
    <t>BB7</t>
  </si>
  <si>
    <t>BC7</t>
  </si>
  <si>
    <t>BD7</t>
  </si>
  <si>
    <t>BH7</t>
  </si>
  <si>
    <t>BI7</t>
  </si>
  <si>
    <t>BJ7</t>
  </si>
  <si>
    <t>BK7</t>
  </si>
  <si>
    <t>Starting value:</t>
  </si>
  <si>
    <t>BF7</t>
  </si>
  <si>
    <t>BO7</t>
  </si>
  <si>
    <t>BP7</t>
  </si>
  <si>
    <t>BQ7</t>
  </si>
  <si>
    <t>BR7</t>
  </si>
  <si>
    <t>BV7</t>
  </si>
  <si>
    <t>BW7</t>
  </si>
  <si>
    <t>BX7</t>
  </si>
  <si>
    <t>BY7</t>
  </si>
  <si>
    <t>Reworked all charts in Portfolio. Chart type changed to 'scatter.'</t>
  </si>
  <si>
    <t>Defined Names. From the Formulas ribbon: Defined Names --&gt; Use in Formula --&gt; Paste Names…</t>
  </si>
  <si>
    <t>LadyGeek (2014)</t>
  </si>
  <si>
    <t>Reverse engineered Defined Names into cell ranges, created scatter plot data: Returns_72_13!O123:AJ172 and Returns_85_13!O99:AK134</t>
  </si>
  <si>
    <t>Dumped defined name ranges for reference (scroll to right)</t>
  </si>
  <si>
    <t>Rev13b</t>
  </si>
  <si>
    <r>
      <rPr>
        <b/>
        <sz val="10"/>
        <rFont val="Arial"/>
      </rPr>
      <t>1.</t>
    </r>
    <r>
      <rPr>
        <sz val="10"/>
        <rFont val="Arial"/>
      </rPr>
      <t xml:space="preserve"> LadyGeek fixed charts to work with LibreOffice</t>
    </r>
  </si>
  <si>
    <t>Rev13c</t>
  </si>
  <si>
    <r>
      <t>1.</t>
    </r>
    <r>
      <rPr>
        <sz val="10"/>
        <rFont val="Arial"/>
      </rPr>
      <t xml:space="preserve"> serbeer updated CPI-U 2013 after official release</t>
    </r>
  </si>
  <si>
    <t>CPI-U of 1.2 is only a guess at this time, official CPI-U will become available on Jan. 16, 2014 only, at which time the spreasheet will be updated with real data</t>
  </si>
  <si>
    <t>=============================</t>
  </si>
  <si>
    <t>================================</t>
  </si>
  <si>
    <t>==============================</t>
  </si>
  <si>
    <t>=====================</t>
  </si>
  <si>
    <t>===============================</t>
  </si>
  <si>
    <t>==================================</t>
  </si>
  <si>
    <t>============================</t>
  </si>
  <si>
    <t>======================</t>
  </si>
  <si>
    <t>===================</t>
  </si>
  <si>
    <t>==========================</t>
  </si>
  <si>
    <r>
      <t xml:space="preserve">2. </t>
    </r>
    <r>
      <rPr>
        <sz val="10"/>
        <rFont val="Arial"/>
      </rPr>
      <t>fixed errors in Data_Sources tab that did not affect calculations, just formatting issues</t>
    </r>
  </si>
  <si>
    <t>Rev13d</t>
  </si>
  <si>
    <t>Rev13e</t>
  </si>
  <si>
    <t>2. Fixed error in C101-AA102 in the Lazy_Portfolios sheet that left our 2013 data. Thanks to rlaustin for reporting the issue. Fixed similar issue in Data sheets too.</t>
  </si>
  <si>
    <t>Rev14a</t>
  </si>
  <si>
    <t xml:space="preserve">1. Hatch Batten added 2014 returns. </t>
  </si>
  <si>
    <t>2. Paul Douglas Boyer updated spreadsheet for 2014 returns.</t>
  </si>
  <si>
    <t>Vanguard Inflation-Protected Security Fund (VIPSX) 2001+</t>
  </si>
  <si>
    <t>Vanguard High Yield Corporate (VWHEX) 1985+</t>
  </si>
  <si>
    <t>Vanguard Pacific Stock Index (VPACX) 1991+</t>
  </si>
  <si>
    <t>Vanguard Europe Stock Index (VEURX) 1991+</t>
  </si>
  <si>
    <t>Pimco PCRIX 2003+</t>
  </si>
  <si>
    <t>Vanguard Intl Value (VTRIX) 1997+</t>
  </si>
  <si>
    <t>Pimco Global Bond PIGLX Instl - 1997+</t>
  </si>
  <si>
    <t>Vanguard Windsor (VWNDX) - 1972+</t>
  </si>
  <si>
    <t>Vanguard ST Investment Grade (VFSTX) 1985+</t>
  </si>
  <si>
    <t>Vanguard Windsor II (VWNFX) 1985+</t>
  </si>
  <si>
    <t>Vanguard Energy (VGENX) - 1985+</t>
  </si>
  <si>
    <t>Vanguard Health (VGHCX) - 1985+</t>
  </si>
  <si>
    <t>Vanguard Precious Metals (VGPMX) - 1985+</t>
  </si>
  <si>
    <t>FTSE All-World ex-US Small Cap Idx (VFSVX)  2010+</t>
  </si>
  <si>
    <t>Vanguard Short Term Treasury (VFISX) 1992+</t>
  </si>
  <si>
    <t>Vanguard Treasury Money Market Fund (VMPXX) 1984+</t>
  </si>
  <si>
    <t>1. Serbeer fixed error in cells C77-G77 in the Compare_Portfolios sheet. Thanks to wanderer for reporting the issue.</t>
  </si>
  <si>
    <r>
      <t>1.</t>
    </r>
    <r>
      <rPr>
        <sz val="10"/>
        <rFont val="Arial"/>
      </rPr>
      <t xml:space="preserve"> Serbeer fixed error in formula in P77 cell of Compare_Portfolios. Thanks to heavywheather for discovering the issue.</t>
    </r>
  </si>
  <si>
    <t>Paul Douglas Boyer (2015)</t>
  </si>
  <si>
    <t>Rev14b</t>
  </si>
  <si>
    <t>VTMGX</t>
  </si>
  <si>
    <t>2. Updated rolling returns calculations</t>
  </si>
  <si>
    <t>1. Serbeer checked and updated spredsheet fixing outstanding issues with rev14a formulas</t>
  </si>
  <si>
    <t>S&amp;P500(h)</t>
  </si>
  <si>
    <t>IT Bonds(h)</t>
  </si>
  <si>
    <t>YOR</t>
  </si>
  <si>
    <t>TBills(h)</t>
  </si>
  <si>
    <t>Total in real dollars</t>
  </si>
  <si>
    <t>T-Bill</t>
  </si>
  <si>
    <t>T-Bill
Real</t>
  </si>
  <si>
    <t>Portfolio 60/40 - Nominal</t>
  </si>
  <si>
    <t>Portfolio 60/40 - Real</t>
  </si>
  <si>
    <t>Classic 60/40 Portfolio</t>
  </si>
  <si>
    <t>For comments/feedback/updates visit:</t>
  </si>
  <si>
    <t>Following is the list of the Abbreviations and a summary of the data sources by year range.</t>
  </si>
  <si>
    <t>1. Renamed tabs (13 =&gt; 14), fixed small issue lookup VTMGX</t>
  </si>
  <si>
    <r>
      <rPr>
        <b/>
        <sz val="10"/>
        <rFont val="Arial"/>
      </rPr>
      <t>2.</t>
    </r>
    <r>
      <rPr>
        <sz val="10"/>
        <rFont val="Arial"/>
      </rPr>
      <t xml:space="preserve"> Returns for BRSIX and PIGLX are updated, thanks pvguy for discovering the issue</t>
    </r>
  </si>
  <si>
    <t>O_P - 1$</t>
  </si>
  <si>
    <t>O_P1 - 1$</t>
  </si>
  <si>
    <t>O_P2 - 1$</t>
  </si>
  <si>
    <t>O_P3 - 1$</t>
  </si>
  <si>
    <t>O_P4 - 1$</t>
  </si>
  <si>
    <t>O_P5 - 1$</t>
  </si>
  <si>
    <t>3. Deleted various names that were no longer used</t>
  </si>
  <si>
    <t>Rev14c</t>
  </si>
  <si>
    <r>
      <t xml:space="preserve">The worksheet </t>
    </r>
    <r>
      <rPr>
        <b/>
        <sz val="10"/>
        <rFont val="Arial"/>
      </rPr>
      <t>Portfolio</t>
    </r>
    <r>
      <rPr>
        <sz val="10"/>
        <rFont val="Arial"/>
      </rPr>
      <t xml:space="preserve"> is a simple way to change the allocations of various funds. It provides the total/CAGR/sharpe ratio/correlation, etc.</t>
    </r>
  </si>
  <si>
    <r>
      <t xml:space="preserve">The worksheet </t>
    </r>
    <r>
      <rPr>
        <b/>
        <sz val="10"/>
        <rFont val="Arial"/>
      </rPr>
      <t>Compare_Portfolios</t>
    </r>
    <r>
      <rPr>
        <sz val="10"/>
        <rFont val="Arial"/>
      </rPr>
      <t xml:space="preserve"> allows you to compare up to 5 different portfolios, with the ability to change the starting and ending years.</t>
    </r>
  </si>
  <si>
    <r>
      <t xml:space="preserve">The worksheet </t>
    </r>
    <r>
      <rPr>
        <b/>
        <sz val="10"/>
        <rFont val="Arial"/>
      </rPr>
      <t>Data_Sources</t>
    </r>
    <r>
      <rPr>
        <sz val="10"/>
        <rFont val="Arial"/>
      </rPr>
      <t xml:space="preserve"> lists the sources of the various fund returns.</t>
    </r>
  </si>
  <si>
    <t>the charts reflect both types of returns.</t>
  </si>
  <si>
    <t>The worksheet also includes the total/CAGR/etc for a portfolio that's rebalanced annually (default) and one that is not rebalanced (unbalanced), and</t>
  </si>
  <si>
    <t>It also compares your portfolio to sample portfolios like Coffeehouse and draws charts to compare the growth, with the ability to change the starting and ending years.</t>
  </si>
  <si>
    <t>Adding returns for additional funds</t>
  </si>
  <si>
    <t>Things you can change: (cells that can be changed have</t>
  </si>
  <si>
    <t>2 - the Starting Year in Cell B56/K56/T56 in the worksheet Portfolio</t>
  </si>
  <si>
    <t>3 - the Ending Year in Cell B57/K57/T57 in worksheet Portfolio</t>
  </si>
  <si>
    <t>For example to calculate the returns from 1981-1990:</t>
  </si>
  <si>
    <t>- change cell B56 (for Starting Year) to 1981 in worksheet Portfolio</t>
  </si>
  <si>
    <t>- change cell B57 (for Ending Year) to 1990 in worksheet Portfolio</t>
  </si>
  <si>
    <t>- change your allocation to include the sector funds</t>
  </si>
  <si>
    <t>- change cell K56 to 1991 in worksheet Portfolio</t>
  </si>
  <si>
    <t>- change cell K57 to 2000 in worksheet Portfolio</t>
  </si>
  <si>
    <t>To calculate returns for a portfolio that includes sector funds (Health/P. Metals/Energy) or Windsor II funds from 1991-2000:</t>
  </si>
  <si>
    <t>siamond (2015)</t>
  </si>
  <si>
    <t>Date</t>
  </si>
  <si>
    <t>C64 Portfolio Nominal</t>
  </si>
  <si>
    <t>Rebalanced Portfolio Nominal</t>
  </si>
  <si>
    <t>Unbalanced Portfolio Nominal</t>
  </si>
  <si>
    <t>Rebalanced Portfolio Real</t>
  </si>
  <si>
    <t>Rebalanced Drawdown</t>
  </si>
  <si>
    <t>Unbalanced Drawdown</t>
  </si>
  <si>
    <t>C64 Portfolio Real</t>
  </si>
  <si>
    <t>Unbalanced Portfolio Real</t>
  </si>
  <si>
    <t>http://crawlingroad.com/blog/2008/12/22/permanent-portfolio-historical-returns/#more-299</t>
  </si>
  <si>
    <t>https://www.bogleheads.org/forum/viewtopic.php?f=10&amp;t=179425</t>
  </si>
  <si>
    <t>http://www.econ.yale.edu/~shiller/data/ie_data.xls</t>
  </si>
  <si>
    <t>S&amp;P500(h): courtesy of Pr Shiller - no Expense Ratio applied</t>
  </si>
  <si>
    <t>IT Bonds(h): simulated bond fund, derived from interest rates (Shiller and FRED) - no ER</t>
  </si>
  <si>
    <t>TBills(h): simulated returns based on 1-yr interest rates (Shiller and FRED) - no ER</t>
  </si>
  <si>
    <t>http://www.econ.yale.edu/~shiller/data/chapt26.xls</t>
  </si>
  <si>
    <t>Allocation_O</t>
  </si>
  <si>
    <t>Allocation85</t>
  </si>
  <si>
    <t>=Portfolio!$K$3:$L$52</t>
  </si>
  <si>
    <t>Compare_MAR_O_Nominal</t>
  </si>
  <si>
    <t>Compare_MAR_O_Real</t>
  </si>
  <si>
    <t>Compare_O_Inflation1</t>
  </si>
  <si>
    <t>Compare_O_Inflation2</t>
  </si>
  <si>
    <t>Compare_O_Inflation3</t>
  </si>
  <si>
    <t>Compare_O_Inflation4</t>
  </si>
  <si>
    <t>Compare_O_Inflation5</t>
  </si>
  <si>
    <t>Compare_O_P1</t>
  </si>
  <si>
    <t>Compare_O_P2</t>
  </si>
  <si>
    <t>Compare_O_P3</t>
  </si>
  <si>
    <t>Compare_O_P4</t>
  </si>
  <si>
    <t>Compare_O_P5</t>
  </si>
  <si>
    <t>Compare72_Inflation1</t>
  </si>
  <si>
    <t>Compare72_Inflation2</t>
  </si>
  <si>
    <t>Compare72_Inflation3</t>
  </si>
  <si>
    <t>Compare72_Inflation4</t>
  </si>
  <si>
    <t>Compare72_Inflation5</t>
  </si>
  <si>
    <t>Compare72_P1</t>
  </si>
  <si>
    <t>Compare72_P2</t>
  </si>
  <si>
    <t>Compare72_P3</t>
  </si>
  <si>
    <t>Compare72_P4</t>
  </si>
  <si>
    <t>Compare72_P5</t>
  </si>
  <si>
    <t>Compare85_Inflation1</t>
  </si>
  <si>
    <t>Compare85_Inflation2</t>
  </si>
  <si>
    <t>Compare85_Inflation3</t>
  </si>
  <si>
    <t>Compare85_Inflation4</t>
  </si>
  <si>
    <t>Compare85_Inflation5</t>
  </si>
  <si>
    <t>Compare85_P1</t>
  </si>
  <si>
    <t>Compare85_P2</t>
  </si>
  <si>
    <t>Compare85_P3</t>
  </si>
  <si>
    <t>Compare85_P4</t>
  </si>
  <si>
    <t>Compare85_P5</t>
  </si>
  <si>
    <t>COUNT_O</t>
  </si>
  <si>
    <t>EYear_O</t>
  </si>
  <si>
    <t>MAR_O_Nominal</t>
  </si>
  <si>
    <t>MAR_O_Real</t>
  </si>
  <si>
    <t>Rebal_C64_NominalReturns_O</t>
  </si>
  <si>
    <t>Rebal_C64_RealReturns_O</t>
  </si>
  <si>
    <t>Rebal_C64_ReturnsTable_O</t>
  </si>
  <si>
    <t>Rebal_NominalReturns_O</t>
  </si>
  <si>
    <t>Rebal_NominalTotal_O</t>
  </si>
  <si>
    <t>Rebal_RealReturns_O</t>
  </si>
  <si>
    <t>Rebal_RealTotal_O</t>
  </si>
  <si>
    <t>Rebal_ReturnsTable_O</t>
  </si>
  <si>
    <t>Sharpe_O_RiskFree_Nominal</t>
  </si>
  <si>
    <t>SYear_O</t>
  </si>
  <si>
    <t>TBill_O</t>
  </si>
  <si>
    <t>TBill_O_Real</t>
  </si>
  <si>
    <t>Unrebal_NominalReturns_O</t>
  </si>
  <si>
    <t>Unrebal_NominalTotal_O</t>
  </si>
  <si>
    <t>Unrebal_RealReturns_O</t>
  </si>
  <si>
    <t>Unrebal_RealTotal_O</t>
  </si>
  <si>
    <t>Unrebal_ReturnsTable_O</t>
  </si>
  <si>
    <t>Offset YOR</t>
  </si>
  <si>
    <t>To use them for your own private benefit, go to this Web site:</t>
  </si>
  <si>
    <t>http://mba.tuck.dartmouth.edu/pages/faculty/ken.french/data_library.html</t>
  </si>
  <si>
    <t>Challenges with currency change, country-specific inflation numbers, etc</t>
  </si>
  <si>
    <t>This is a spreadsheet to backtest portfolio returns provided by Bogleheads.org</t>
  </si>
  <si>
    <t>Portfolio-specific Returns</t>
  </si>
  <si>
    <t>Rolling returns</t>
  </si>
  <si>
    <t>5. Various cosmetic and consistency improvements here and there</t>
  </si>
  <si>
    <r>
      <t xml:space="preserve">1. Enter Fund Name in cell AQ1 in Data_85_10
2. Enter Fund Symbol in cell AQ2  
3. Enter ER (Expense Ratio) in cell AQ3  
4. Enter starting year for the Fund in cell AQ4   
5. Add the fund returns starting from cell </t>
    </r>
    <r>
      <rPr>
        <b/>
        <sz val="10"/>
        <rFont val="Arial"/>
      </rPr>
      <t>AQ55</t>
    </r>
    <r>
      <rPr>
        <sz val="10"/>
        <rFont val="Arial"/>
      </rPr>
      <t xml:space="preserve"> 
6. If you have returns for the Fund from inception then there is no ER deduction but if you are using synthetic returns then the ER is deducted from the returns. If you don't want any ER to be deducted, then enter an ER of 0 in cell AQ3  </t>
    </r>
  </si>
  <si>
    <t>serbeer (2013/14/15)</t>
  </si>
  <si>
    <t>Hatch Batten (2014/15)</t>
  </si>
  <si>
    <t>mtbomb (2012)</t>
  </si>
  <si>
    <t>https://www.bogleheads.org/forum/viewtopic.php?f=10&amp;t=2520&amp;start=500#p1767160</t>
  </si>
  <si>
    <t>4. Moved portfolio-specific math (blue lines) from Data_xx tabs to Returns_xx tab</t>
  </si>
  <si>
    <t>Global Bd Fund</t>
  </si>
  <si>
    <t>ST Invest. Grade</t>
  </si>
  <si>
    <t>Row deltas</t>
  </si>
  <si>
    <t>Large Cap Blend - LCB (S&amp;P 500)</t>
  </si>
  <si>
    <t>S&amp;P500 - historical - no ER</t>
  </si>
  <si>
    <t>IT Bonds - historical - no ER</t>
  </si>
  <si>
    <t>T-Bills - historical - no ER</t>
  </si>
  <si>
    <t>Note 1: most data series start later than 1871, use an appropriate starting year when using such series</t>
  </si>
  <si>
    <t>B</t>
  </si>
  <si>
    <t>D</t>
  </si>
  <si>
    <t>Then extract the returns and copy them in the 'Data_All' worksheet in appropriate columns</t>
  </si>
  <si>
    <t>YoR</t>
  </si>
  <si>
    <t>T</t>
  </si>
  <si>
    <t>U</t>
  </si>
  <si>
    <t>BX</t>
  </si>
  <si>
    <t>BY</t>
  </si>
  <si>
    <t>BZ</t>
  </si>
  <si>
    <t>CHP Portfolio Nominal</t>
  </si>
  <si>
    <t>CHP Portfolio Real</t>
  </si>
  <si>
    <t>J114</t>
  </si>
  <si>
    <t>L114</t>
  </si>
  <si>
    <t>The worksheet Returns_All calculates portfolio returns (total/cagr/sharpe ratio/correlation/etc) for all funds of interest, including historical data series starting from 1871.</t>
  </si>
  <si>
    <t>The worksheet Data_All includes the returns of all funds of interest, including historical data series starting from 1871.</t>
  </si>
  <si>
    <t>2. Added Returns_All and Data_Alls tabs and corresponding data series</t>
  </si>
  <si>
    <t>=Portfolio!$T$3:$U$79</t>
  </si>
  <si>
    <t>=Compare_Portfolios!$T$92</t>
  </si>
  <si>
    <t>=Compare_Portfolios!$T$93</t>
  </si>
  <si>
    <t>=Compare_Portfolios!$B$92</t>
  </si>
  <si>
    <t>=Compare_Portfolios!$B$93</t>
  </si>
  <si>
    <t>=Compare_Portfolios!$K$92</t>
  </si>
  <si>
    <t>=Compare_Portfolios!$K$93</t>
  </si>
  <si>
    <t>=OFFSET(Data_All!$CA$8,Compare_Portfolios!$U$91,0,Compare_Portfolios!$U$90,1)</t>
  </si>
  <si>
    <t>=OFFSET(Data_All!$CA$8,Compare_Portfolios!$V$91,0,Compare_Portfolios!$V$90,1)</t>
  </si>
  <si>
    <t>=OFFSET(Data_All!$CA$8,Compare_Portfolios!$W$91,0,Compare_Portfolios!$W$90,1)</t>
  </si>
  <si>
    <t>=OFFSET(Data_All!$CA$8,Compare_Portfolios!$X$91,0,Compare_Portfolios!$X$90,1)</t>
  </si>
  <si>
    <t>=OFFSET(Data_All!$CA$8,Compare_Portfolios!$Y$91,0,Compare_Portfolios!$Y$90,1)</t>
  </si>
  <si>
    <t>=OFFSET(Compare_Portfolios!$U$134,Compare_Portfolios!$U$91,0,Compare_Portfolios!$U$90,1)</t>
  </si>
  <si>
    <t>=OFFSET(Compare_Portfolios!$V$134,Compare_Portfolios!$V$91,0,Compare_Portfolios!$V$90,1)</t>
  </si>
  <si>
    <t>=OFFSET(Compare_Portfolios!$W$134,Compare_Portfolios!$W$91,0,Compare_Portfolios!$W$90,1)</t>
  </si>
  <si>
    <t>=OFFSET(Compare_Portfolios!$X$134,Compare_Portfolios!$X$91,0,Compare_Portfolios!$X$90,1)</t>
  </si>
  <si>
    <t>=OFFSET(Compare_Portfolios!$Y$134,Compare_Portfolios!$Y$91,0,Compare_Portfolios!$Y$90,1)</t>
  </si>
  <si>
    <t>=OFFSET(Compare_Portfolios!$C$134,Compare_Portfolios!$C$91,0,Compare_Portfolios!$C$90,1)</t>
  </si>
  <si>
    <t>=OFFSET(Compare_Portfolios!$D$134,Compare_Portfolios!$D$91,0,Compare_Portfolios!$D$90,1)</t>
  </si>
  <si>
    <t>=OFFSET(Compare_Portfolios!$E$134,Compare_Portfolios!$E$91,0,Compare_Portfolios!$E$90,1)</t>
  </si>
  <si>
    <t>=OFFSET(Compare_Portfolios!$F$134,Compare_Portfolios!$F$91,0,Compare_Portfolios!$F$90,1)</t>
  </si>
  <si>
    <t>=OFFSET(Compare_Portfolios!$G$134,Compare_Portfolios!$G$91,0,Compare_Portfolios!$G$90,1)</t>
  </si>
  <si>
    <t>=OFFSET(Compare_Portfolios!$L$147,Compare_Portfolios!$L$91,0,Compare_Portfolios!$L$90,1)</t>
  </si>
  <si>
    <t>=OFFSET(Compare_Portfolios!$M$147,Compare_Portfolios!$M$91,0,Compare_Portfolios!$M$90,1)</t>
  </si>
  <si>
    <t>=OFFSET(Compare_Portfolios!$N$147,Compare_Portfolios!$N$91,0,Compare_Portfolios!$N$90,1)</t>
  </si>
  <si>
    <t>=OFFSET(Compare_Portfolios!$O$147,Compare_Portfolios!$O$91,0,Compare_Portfolios!$O$90,1)</t>
  </si>
  <si>
    <t>=OFFSET(Compare_Portfolios!$P$147,Compare_Portfolios!$P$91,0,Compare_Portfolios!$P$90,1)</t>
  </si>
  <si>
    <t>=Portfolio!$T$85</t>
  </si>
  <si>
    <t>=Portfolio!$B$85</t>
  </si>
  <si>
    <t>=Portfolio!$K$85</t>
  </si>
  <si>
    <t>=Portfolio!$T$87</t>
  </si>
  <si>
    <t>=Portfolio!$B$87</t>
  </si>
  <si>
    <t>=Portfolio!$K$87</t>
  </si>
  <si>
    <t>=Portfolio!$T$89</t>
  </si>
  <si>
    <t>=Portfolio!$T$90</t>
  </si>
  <si>
    <t>=Portfolio!$B$89</t>
  </si>
  <si>
    <t>=Portfolio!$B$90</t>
  </si>
  <si>
    <t>=Portfolio!$K$89</t>
  </si>
  <si>
    <t>=Portfolio!$K$90</t>
  </si>
  <si>
    <t>=OFFSET(Returns_All!$CA$7,Returns_All!$A$157,0,Returns_All!$C$157,1)</t>
  </si>
  <si>
    <t>=OFFSET(Returns_All!$CB$7,Returns_All!$A$157,0,Returns_All!$C$157,1)</t>
  </si>
  <si>
    <t>=OFFSET(Returns_All!$CC$7,Returns_All!$A$157,0,Returns_All!$C$157,1)</t>
  </si>
  <si>
    <t>=OFFSET(Returns_All!$CD$7,Returns_All!$A$157,0,Returns_All!$C$157,1)</t>
  </si>
  <si>
    <t>=Returns_All!$A$7:$CD$152</t>
  </si>
  <si>
    <t>START_FF</t>
  </si>
  <si>
    <t>=Portfolio!$T$86</t>
  </si>
  <si>
    <t>=Portfolio!$B$86</t>
  </si>
  <si>
    <t>=Portfolio!$K$86</t>
  </si>
  <si>
    <t>=Returns_All!$CI$7:$CI$153</t>
  </si>
  <si>
    <t>=OFFSET(Returns_All!$CK$7,Returns_All!$A$157,0,Returns_All!$C$157,1)</t>
  </si>
  <si>
    <t>=OFFSET(Returns_All!$CA$169,Returns_All!$A$157,0,Returns_All!$C$157,1)</t>
  </si>
  <si>
    <t>=OFFSET(Returns_All!$CB$169,Returns_All!$A$157,0,Returns_All!$C$157,1)</t>
  </si>
  <si>
    <t>=OFFSET(Returns_All!$CC$169,Returns_All!$A$157,0,Returns_All!$C$157,1)</t>
  </si>
  <si>
    <t>=OFFSET(Returns_All!$CD$169,Returns_All!$A$157,0,Returns_All!$C$157,1)</t>
  </si>
  <si>
    <t>Historical Returns (1871+)</t>
  </si>
  <si>
    <t>6. Fixed inconsistency GLD/2007 between Data_72 and Data_85 =&gt; 30.56; also BRSIX YOI is 1998 (was 1999 in Data_85)</t>
  </si>
  <si>
    <t>Kitco returns 1972-2004</t>
  </si>
  <si>
    <t>1871-2015</t>
  </si>
  <si>
    <t>1927-2015</t>
  </si>
  <si>
    <t>1972-2015</t>
  </si>
  <si>
    <t>1985-2015</t>
  </si>
  <si>
    <t xml:space="preserve">7. Fixed inconsistency on Correlation w/ Intl Mkt: use VGTSX (total Int'l) instead of VTMGX (EAFED) in all formulas (wasn't the case in Data tabs, was the case in Returns tabs) </t>
  </si>
  <si>
    <t>2011-2015</t>
  </si>
  <si>
    <t>To compare the Lazy Portfolios for different time periods (between 1985-2015), Change the starting and ending year in cells E4 and E5</t>
  </si>
  <si>
    <t>To compare portfolios from 1972-2015, Enter fund allocations here</t>
  </si>
  <si>
    <t>To compare portfolios from 1985-2015, Enter fund allocations here</t>
  </si>
  <si>
    <t>To compare portfolios from 1871-2015, Enter fund allocations here</t>
  </si>
  <si>
    <t>To calculate portfolio returns from 1972-2015, Enter fund allocations here</t>
  </si>
  <si>
    <t>To calculate portfolio returns from 1985-2015, Enter the fund allocations here</t>
  </si>
  <si>
    <t>To calculate portfolio returns from 1871-2015, Enter the fund allocations here</t>
  </si>
  <si>
    <t>The worksheet Returns_72_15 calculates portfolio returns (total/cagr/sharpe ratio/correlation/etc) for funds starting from 1972.</t>
  </si>
  <si>
    <t>The worksheet Returns_85_15 calculates portfolio returns (total/cagr/sharpe ratio/correlation/etc) for funds [includes sector funds] starting from 1985.</t>
  </si>
  <si>
    <t>The worksheet Data_72_15 includes the returns of various funds starting from 1972.</t>
  </si>
  <si>
    <t>The worksheet Data_85_15 includes the returns of various funds starting from 1985 (to include many of the funds that were started in 1984).</t>
  </si>
  <si>
    <t>6 - Expense ratio for the funds using Index Returns/Synthetic returns in Data_All, Data_72_15 and Data_85_15 worksheets</t>
  </si>
  <si>
    <t>Let's say you want to enter returns for a Fund in the worksheet Data_85_15:</t>
  </si>
  <si>
    <t>Note: this post might help for the process of extracting FF returns:</t>
  </si>
  <si>
    <t>Rev15a</t>
  </si>
  <si>
    <t>Serbeer fixed several problem discovered by 12b users, all of them inherited from original/previous versions of spreasheet:</t>
  </si>
  <si>
    <t>=OFFSET(Data_72_15!$AM$8,Compare_Portfolios!$C$91,0,Compare_Portfolios!$C$90,1)</t>
  </si>
  <si>
    <t>=OFFSET(Data_72_15!$AM$8,Compare_Portfolios!$D$91,0,Compare_Portfolios!$D$90,1)</t>
  </si>
  <si>
    <t>=OFFSET(Data_72_15!$AM$8,Compare_Portfolios!$E$91,0,Compare_Portfolios!$E$90,1)</t>
  </si>
  <si>
    <t>=OFFSET(Data_72_15!$AM$8,Compare_Portfolios!$F$91,0,Compare_Portfolios!$F$90,1)</t>
  </si>
  <si>
    <t>=OFFSET(Data_72_15!$AM$8,Compare_Portfolios!$G$91,0,Compare_Portfolios!$G$90,1)</t>
  </si>
  <si>
    <t>=OFFSET(Data_85_15!$AZ$8,Compare_Portfolios!$L$91,0,Compare_Portfolios!$L$90,1)</t>
  </si>
  <si>
    <t>=OFFSET(Data_85_15!$AZ$8,Compare_Portfolios!$M$91,0,Compare_Portfolios!$M$90,1)</t>
  </si>
  <si>
    <t>=OFFSET(Data_85_15!$AZ$8,Compare_Portfolios!$N$91,0,Compare_Portfolios!$N$90,1)</t>
  </si>
  <si>
    <t>=OFFSET(Data_85_15!$AZ$8,Compare_Portfolios!$O$91,0,Compare_Portfolios!$O$90,1)</t>
  </si>
  <si>
    <t>=OFFSET(Data_85_15!$AZ$8,Compare_Portfolios!$P$91,0,Compare_Portfolios!$P$90,1)</t>
  </si>
  <si>
    <t>=OFFSET(Returns_All!$I$339,Returns_All!$A$489,0,Returns_All!$C$489,1)</t>
  </si>
  <si>
    <t>=OFFSET(Returns_All!$K$339,Returns_All!$A$489,0,Returns_All!$C$489,1)</t>
  </si>
  <si>
    <t>=Returns_All!$A$339:$L$484</t>
  </si>
  <si>
    <t>=Data_All!$J$155</t>
  </si>
  <si>
    <t>=Data_72_15!$V$54</t>
  </si>
  <si>
    <t>=Data_85_15!$V$42</t>
  </si>
  <si>
    <t>=Data_All!$K$225</t>
  </si>
  <si>
    <t>=Returns_All!$A$169:$CD$314</t>
  </si>
  <si>
    <t>=OFFSET(Returns_72_15!$I$137,Returns_72_15!$A$186,0,Returns_72_15!$C$186,1)</t>
  </si>
  <si>
    <t>=OFFSET(Returns_85_15!$I$114,Returns_85_15!$A$150,0,Returns_85_15!$C$150,1)</t>
  </si>
  <si>
    <t>=OFFSET(Returns_72_15!$K$137,Returns_72_15!$A$186,0,Returns_72_15!$C$186,1)</t>
  </si>
  <si>
    <t>=OFFSET(Returns_85_15!$K$114,Returns_85_15!$A$150,0,Returns_85_15!$C$150,1)</t>
  </si>
  <si>
    <t>=Returns_72_15!$A$137:$L$181</t>
  </si>
  <si>
    <t>=Returns_85_15!$A$114:$L$144</t>
  </si>
  <si>
    <t>=OFFSET(Returns_72_15!$AM$7,Returns_72_15!$A$56,0,Returns_72_15!$C$56,1)</t>
  </si>
  <si>
    <t>=OFFSET(Returns_85_15!$AZ$7,Returns_85_15!$A$43,0,Returns_85_15!$C$43,1)</t>
  </si>
  <si>
    <t>=OFFSET(Returns_72_15!$AN$7,Returns_72_15!$A$56,0,Returns_72_15!$C$56,1)</t>
  </si>
  <si>
    <t>=OFFSET(Returns_85_15!$BA$7,Returns_85_15!$A$43,0,Returns_85_15!$C$43,1)</t>
  </si>
  <si>
    <t>=OFFSET(Returns_72_15!$AO$7,Returns_72_15!$A$56,0,Returns_72_15!$C$56,1)</t>
  </si>
  <si>
    <t>=OFFSET(Returns_85_15!$BB$7,Returns_85_15!$A$43,0,Returns_85_15!$C$43,1)</t>
  </si>
  <si>
    <t>=OFFSET(Returns_72_15!$AP$7,Returns_72_15!$A$56,0,Returns_72_15!$C$56,1)</t>
  </si>
  <si>
    <t>=OFFSET(Returns_85_15!$BC$7,Returns_85_15!$A$43,0,Returns_85_15!$C$43,1)</t>
  </si>
  <si>
    <t>=Returns_72_15!$A$7:$AP$51</t>
  </si>
  <si>
    <t>=Returns_85_15!$A$7:$BC$38</t>
  </si>
  <si>
    <t>=Returns_72_15!$AU$7:$AU$51</t>
  </si>
  <si>
    <t>=OFFSET(Returns_72_15!$AW$7,Returns_72_15!$A$56,0,Returns_72_15!$C$56,1)</t>
  </si>
  <si>
    <t>=Returns_85_15!$BI$7:$BI$38</t>
  </si>
  <si>
    <t>=OFFSET(Returns_85_15!$BK$7,Returns_85_15!$A$43,0,Returns_85_15!$C$43,1)</t>
  </si>
  <si>
    <t>=OFFSET(Returns_72_15!$AM$68,Returns_72_15!$A$56,0,Returns_72_15!$C$56,1)</t>
  </si>
  <si>
    <t>=OFFSET(Returns_85_15!$AZ$57,Returns_85_15!$A$43,0,Returns_85_15!$C$43,1)</t>
  </si>
  <si>
    <t>=OFFSET(Returns_72_15!$AN$68,Returns_72_15!$A$56,0,Returns_72_15!$C$56,1)</t>
  </si>
  <si>
    <t>=OFFSET(Returns_85_15!$BA$57,Returns_85_15!$A$43,0,Returns_85_15!$C$43,1)</t>
  </si>
  <si>
    <t>=OFFSET(Returns_72_15!$AO$68,Returns_72_15!$A$56,0,Returns_72_15!$C$56,1)</t>
  </si>
  <si>
    <t>=OFFSET(Returns_85_15!$BB$57,Returns_85_15!$A$43,0,Returns_85_15!$C$43,1)</t>
  </si>
  <si>
    <t>=OFFSET(Returns_72_15!$AP$68,Returns_72_15!$A$56,0,Returns_72_15!$C$56,1)</t>
  </si>
  <si>
    <t>=OFFSET(Returns_85_15!$BC$57,Returns_85_15!$A$43,0,Returns_85_15!$C$43,1)</t>
  </si>
  <si>
    <t>=Returns_72_15!$A$68:$AP$112</t>
  </si>
  <si>
    <t>=Returns_85_15!$A$57:$BC$88</t>
  </si>
  <si>
    <t>Starting Year</t>
  </si>
  <si>
    <t>Ending Year</t>
  </si>
  <si>
    <t>2. Inflation and historical returns 2015 are only an educated guess for now, wait for official numbers to come out later in January</t>
  </si>
  <si>
    <t>BA57</t>
  </si>
  <si>
    <t>BF57</t>
  </si>
  <si>
    <t>BC57</t>
  </si>
  <si>
    <t>J137</t>
  </si>
  <si>
    <t>L137</t>
  </si>
  <si>
    <t>GLD ETF 2005+ (Morningstar)</t>
  </si>
  <si>
    <t>4. Fixed erroneous GLD returns for 2005, 2006 based on Morningstar</t>
  </si>
  <si>
    <t>3. Updated many ERs to their most recent values</t>
  </si>
  <si>
    <t>5. Updated 1972-1978 historical returns for LCV, LCG, SCV, SCB, SCG as data from the source changed a tad, following recent CRSP historical research</t>
  </si>
  <si>
    <t>(stayed at draft stage, changes percolated to 15a)</t>
  </si>
  <si>
    <t>6. Unified EAFED 2000+ returns on VTGMX for consistency reasons (VDMIX was used in the past, but fund disappeared).</t>
  </si>
  <si>
    <t>EAFE/Dev</t>
  </si>
  <si>
    <t>Note 2: if you start from an early date like 1871, you may want to make the vertical axis logarithmic in charts below</t>
  </si>
  <si>
    <t>1. Spreadsheet updated for 2015 returns.</t>
  </si>
  <si>
    <t>(siamond)</t>
  </si>
  <si>
    <t>(monthly data, Dec 31st to Dec 31st)</t>
  </si>
  <si>
    <t>http://onlygold.com/Info/Historical-Gold-Prices.asp</t>
  </si>
  <si>
    <t>- Ponder to add Canadian historical returns</t>
  </si>
  <si>
    <t>Adding historical returns for French-Fama series</t>
  </si>
  <si>
    <t>French-Fama 1927+ data series (small value, large value, etc) are publicly available, but we don't have permission to reproduce</t>
  </si>
  <si>
    <t>MCV = US Mid Value:</t>
  </si>
  <si>
    <t>Rev15b</t>
  </si>
  <si>
    <t>Vanguard Mid Cap Index Growth Fund (VMGIX) - 2007+</t>
  </si>
  <si>
    <t>Vanguard Mid Cap Index Value Fund (VMVIX) - 2007+</t>
  </si>
  <si>
    <t>Vanguard Inter. Term Treasury Fund (VFITX) 1992+</t>
  </si>
  <si>
    <t>Vanguard Mid Cap Index Fund (VIMSX) - 1999+</t>
  </si>
  <si>
    <t>Vanguard Small Cap Index Fund (NAESX) - 1992+</t>
  </si>
  <si>
    <t>Vanguard Small Cap Value Index Fund (VISVX) - 1999+</t>
  </si>
  <si>
    <t>MSCI Mid Cap Growth Index 1996-2006</t>
  </si>
  <si>
    <t>MSCI Mid Cap Value Index 1996-2006</t>
  </si>
  <si>
    <t>Vanguard Small Cap Growth Index Fund (VISGX) - 1999+</t>
  </si>
  <si>
    <t>Bridgeway Ultra Small Market (BRSIX) - 1998+</t>
  </si>
  <si>
    <t>VG Extended Mkt (VEXMX) - 1988+</t>
  </si>
  <si>
    <t>Vanguard REIT Index Fund (VGSIX) - 1997+</t>
  </si>
  <si>
    <t>Vanguard Total Stock Market Index Fund (VTSMX) - 1993+</t>
  </si>
  <si>
    <t>Vanguard 500 Index Fund (VFINX) - 1977+</t>
  </si>
  <si>
    <t>Vanguard Developed Mkts (VTMGX) - 2000+</t>
  </si>
  <si>
    <t>Vanguard Value Index Fund (VIVAX) - 1993+</t>
  </si>
  <si>
    <t>Vanguard Growth Index Fund (VIGRX) - 1993+</t>
  </si>
  <si>
    <t>Vanguard Emerging Mkts Idx (VEIEX) - 1995+</t>
  </si>
  <si>
    <t>Vanguard Total International Index Fund (VGTSX) - 1997+</t>
  </si>
  <si>
    <t>Vanguard Total Bond Index Fund (VBMFX) - 1987+</t>
  </si>
  <si>
    <t>Vanguard Long Term Treasury (VUSTX) 1987+</t>
  </si>
  <si>
    <t>https://investor.vanguard.com/mutual-funds/vanguard-mutual-funds-list</t>
  </si>
  <si>
    <t>Credit to CraigR for the Permanent Portfolio information and the Gold returns</t>
  </si>
  <si>
    <t>2. Minor clean-up of some references to some data sources</t>
  </si>
  <si>
    <t>http://www.fpanet.org/journal/articles/2006_Issues/jfp2006-art7.cfm</t>
  </si>
  <si>
    <t>http://data.bls.gov/cgi-bin/surveymost?cu</t>
  </si>
  <si>
    <t>Consumer Price Index - Urban - 1972+ (Dec to Dec)</t>
  </si>
  <si>
    <t>(CUUR0000SA0 series)</t>
  </si>
  <si>
    <t>http://www.bogleheads.org</t>
  </si>
  <si>
    <t>(dead link…)</t>
  </si>
  <si>
    <t>1. Updated inflation numbers (up to 2015)</t>
  </si>
  <si>
    <t>Annual Returns…</t>
  </si>
  <si>
    <t>Rev15c</t>
  </si>
  <si>
    <t>3. Updated Shiller/FRED-derived historical numbers (up to 2015)</t>
  </si>
  <si>
    <t>Longinvest's bonds fund spreadsheet 1972-1991</t>
  </si>
  <si>
    <t>- Delete Data_85 and Returns_85 and related graphs/tables? Beware, this would imply to revisit Lazy_portfolio_85…</t>
  </si>
  <si>
    <t>2. Added telltale charts (relative/cumulative growth) to the Compare_Portfolios sheet for 72+ and 85+</t>
  </si>
  <si>
    <t>POSSIBLE IMPROVEMENTS (TBD)</t>
  </si>
  <si>
    <t>5. Fixed conditional formatting issues in Data_xx and Returns_xx tabs</t>
  </si>
  <si>
    <t>Longinvest's bonds fund spreadsheet 1972-1986</t>
  </si>
  <si>
    <t>Credit to Longinvest for the (synthetic) historical bond returns (pre-1972 and more)</t>
  </si>
  <si>
    <t>4a. Replaced pre-Vanguard 5YrT bonds synthetic returns by longinvest's bonds fund model (instead of the now obsolete 'tamasset' source): 1972-1991</t>
  </si>
  <si>
    <t>4b. Replaced pre-Vanguard LTGB bonds synthetic returns by longinvest's bonds fund model (instead of the now obsolete 'tamasset' source): 1972-1986</t>
  </si>
  <si>
    <t>==&gt; let's wait until 2016, and re-assess…</t>
  </si>
  <si>
    <t>1. Added the ability to customize portfolio names in the Compare_Portfolios sheet</t>
  </si>
  <si>
    <t>http://www.ifa.com/library/support/data/IFAindexdata.asp</t>
  </si>
  <si>
    <t>https://www.msci.com/end-of-day-data-search</t>
  </si>
  <si>
    <t>(pick a recent date for DM or EM, search, then click on appropriate MCSI broad index, tune chart display, download Excel spreadsheet)</t>
  </si>
  <si>
    <t>85% EAFE Index, 15% EM</t>
  </si>
  <si>
    <t>TODO</t>
  </si>
  <si>
    <t>Work on dead links, try to find suitable replacements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</si>
</sst>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_);_(* \(#,##0.00\);_(* &quot;-&quot;??_);_(@_)"/>
    <numFmt numFmtId="165" formatCode="\$#,##0"/>
    <numFmt numFmtId="166" formatCode="0.0%"/>
    <numFmt numFmtId="167" formatCode="0.000"/>
    <numFmt numFmtId="168" formatCode="\$#,##0.00"/>
    <numFmt numFmtId="169" formatCode="_(* #,##0_);_(* \(#,##0\);_(* &quot;-&quot;??_);_(@_)"/>
  </numFmts>
  <fonts count="38" x14ac:knownFonts="1">
    <font>
      <sz val="10"/>
      <name val="Arial"/>
    </font>
    <font>
      <sz val="10"/>
      <name val="Arial"/>
    </font>
    <font>
      <sz val="11"/>
      <color indexed="8"/>
      <name val="Calibri"/>
      <family val="2"/>
    </font>
    <font>
      <b/>
      <sz val="11"/>
      <name val="Arial"/>
      <family val="2"/>
    </font>
    <font>
      <b/>
      <sz val="10"/>
      <name val="Arial"/>
    </font>
    <font>
      <b/>
      <i/>
      <sz val="10"/>
      <color indexed="10"/>
      <name val="Arial"/>
      <family val="2"/>
    </font>
    <font>
      <b/>
      <sz val="12"/>
      <name val="Arial"/>
      <family val="2"/>
    </font>
    <font>
      <u/>
      <sz val="8.5"/>
      <color indexed="12"/>
      <name val="Arial"/>
      <family val="2"/>
    </font>
    <font>
      <u/>
      <sz val="10"/>
      <color indexed="12"/>
      <name val="Arial"/>
      <family val="2"/>
    </font>
    <font>
      <i/>
      <sz val="10"/>
      <name val="Arial"/>
      <family val="2"/>
    </font>
    <font>
      <b/>
      <i/>
      <sz val="10"/>
      <name val="Arial"/>
    </font>
    <font>
      <b/>
      <sz val="8"/>
      <name val="Arial"/>
    </font>
    <font>
      <sz val="8"/>
      <name val="Arial"/>
    </font>
    <font>
      <b/>
      <sz val="10"/>
      <color indexed="56"/>
      <name val="Arial"/>
      <family val="2"/>
    </font>
    <font>
      <b/>
      <sz val="8"/>
      <color indexed="8"/>
      <name val="Tahoma"/>
      <family val="2"/>
    </font>
    <font>
      <b/>
      <sz val="8"/>
      <color indexed="8"/>
      <name val="Arial"/>
      <family val="2"/>
    </font>
    <font>
      <sz val="8"/>
      <name val="Times New Roman"/>
      <family val="1"/>
    </font>
    <font>
      <b/>
      <sz val="8"/>
      <name val="Times New Roman"/>
      <family val="1"/>
    </font>
    <font>
      <b/>
      <sz val="10"/>
      <name val="Times New Roman"/>
      <family val="1"/>
    </font>
    <font>
      <b/>
      <sz val="9"/>
      <name val="Arial"/>
      <family val="2"/>
    </font>
    <font>
      <b/>
      <sz val="6.5"/>
      <name val="Arial"/>
      <family val="2"/>
    </font>
    <font>
      <b/>
      <sz val="7"/>
      <name val="Arial"/>
      <family val="2"/>
    </font>
    <font>
      <b/>
      <sz val="8"/>
      <color indexed="9"/>
      <name val="Arial"/>
      <family val="2"/>
    </font>
    <font>
      <sz val="9"/>
      <name val="Arial"/>
      <family val="2"/>
    </font>
    <font>
      <b/>
      <sz val="8"/>
      <color indexed="8"/>
      <name val="Times New Roman"/>
      <family val="1"/>
    </font>
    <font>
      <b/>
      <sz val="7.5"/>
      <name val="Arial"/>
      <family val="2"/>
    </font>
    <font>
      <b/>
      <sz val="11"/>
      <color indexed="8"/>
      <name val="Calibri"/>
      <family val="2"/>
    </font>
    <font>
      <sz val="10"/>
      <name val="Arial"/>
    </font>
    <font>
      <b/>
      <sz val="9"/>
      <color indexed="81"/>
      <name val="Arial"/>
    </font>
    <font>
      <sz val="9"/>
      <color indexed="81"/>
      <name val="Arial"/>
    </font>
    <font>
      <sz val="10"/>
      <name val="Times New Roman"/>
    </font>
    <font>
      <sz val="10"/>
      <color rgb="FFFF0000"/>
      <name val="Arial"/>
      <family val="2"/>
    </font>
    <font>
      <u/>
      <sz val="10"/>
      <color rgb="FFFF0000"/>
      <name val="Arial"/>
      <family val="2"/>
    </font>
    <font>
      <b/>
      <sz val="10"/>
      <color rgb="FFFF0000"/>
      <name val="Arial"/>
      <family val="2"/>
    </font>
    <font>
      <b/>
      <sz val="11"/>
      <color rgb="FFFF0000"/>
      <name val="Calibri"/>
    </font>
    <font>
      <sz val="8"/>
      <color rgb="FF000000"/>
      <name val="Tahoma"/>
    </font>
    <font>
      <sz val="10"/>
      <color rgb="FF000000"/>
      <name val="Geneva"/>
    </font>
    <font>
      <u/>
      <sz val="10"/>
      <color theme="11"/>
      <name val="Arial"/>
    </font>
  </fonts>
  <fills count="14">
    <fill>
      <patternFill patternType="none"/>
    </fill>
    <fill>
      <patternFill patternType="gray125"/>
    </fill>
    <fill>
      <patternFill patternType="solid">
        <fgColor indexed="13"/>
        <bgColor indexed="34"/>
      </patternFill>
    </fill>
    <fill>
      <patternFill patternType="solid">
        <fgColor indexed="44"/>
        <bgColor indexed="22"/>
      </patternFill>
    </fill>
    <fill>
      <patternFill patternType="solid">
        <fgColor indexed="22"/>
        <bgColor indexed="31"/>
      </patternFill>
    </fill>
    <fill>
      <patternFill patternType="solid">
        <fgColor indexed="26"/>
        <bgColor indexed="9"/>
      </patternFill>
    </fill>
    <fill>
      <patternFill patternType="solid">
        <fgColor indexed="42"/>
        <bgColor indexed="27"/>
      </patternFill>
    </fill>
    <fill>
      <patternFill patternType="solid">
        <fgColor indexed="27"/>
        <bgColor indexed="41"/>
      </patternFill>
    </fill>
    <fill>
      <patternFill patternType="solid">
        <fgColor indexed="53"/>
        <bgColor indexed="52"/>
      </patternFill>
    </fill>
    <fill>
      <patternFill patternType="solid">
        <fgColor indexed="15"/>
        <bgColor indexed="35"/>
      </patternFill>
    </fill>
    <fill>
      <patternFill patternType="solid">
        <fgColor indexed="42"/>
        <bgColor indexed="64"/>
      </patternFill>
    </fill>
    <fill>
      <patternFill patternType="solid">
        <fgColor indexed="13"/>
        <bgColor indexed="64"/>
      </patternFill>
    </fill>
    <fill>
      <patternFill patternType="solid">
        <fgColor theme="6" tint="0.79998168889431442"/>
        <bgColor indexed="64"/>
      </patternFill>
    </fill>
    <fill>
      <patternFill patternType="solid">
        <fgColor rgb="FFCCFFCC"/>
        <bgColor rgb="FFCCFFFF"/>
      </patternFill>
    </fill>
  </fills>
  <borders count="130">
    <border>
      <left/>
      <right/>
      <top/>
      <bottom/>
      <diagonal/>
    </border>
    <border>
      <left style="medium">
        <color indexed="8"/>
      </left>
      <right/>
      <top/>
      <bottom/>
      <diagonal/>
    </border>
    <border>
      <left/>
      <right style="medium">
        <color indexed="8"/>
      </right>
      <top/>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right style="medium">
        <color indexed="8"/>
      </right>
      <top style="medium">
        <color indexed="8"/>
      </top>
      <bottom/>
      <diagonal/>
    </border>
    <border>
      <left style="medium">
        <color indexed="8"/>
      </left>
      <right style="medium">
        <color indexed="8"/>
      </right>
      <top style="medium">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medium">
        <color indexed="8"/>
      </right>
      <top/>
      <bottom style="medium">
        <color indexed="8"/>
      </bottom>
      <diagonal/>
    </border>
    <border>
      <left style="medium">
        <color indexed="8"/>
      </left>
      <right style="medium">
        <color indexed="8"/>
      </right>
      <top/>
      <bottom style="thick">
        <color indexed="8"/>
      </bottom>
      <diagonal/>
    </border>
    <border>
      <left style="thin">
        <color indexed="8"/>
      </left>
      <right style="medium">
        <color indexed="8"/>
      </right>
      <top/>
      <bottom style="medium">
        <color indexed="8"/>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ck">
        <color indexed="30"/>
      </left>
      <right/>
      <top style="thick">
        <color indexed="30"/>
      </top>
      <bottom/>
      <diagonal/>
    </border>
    <border>
      <left style="thin">
        <color indexed="8"/>
      </left>
      <right/>
      <top style="thick">
        <color indexed="30"/>
      </top>
      <bottom/>
      <diagonal/>
    </border>
    <border>
      <left/>
      <right/>
      <top style="thick">
        <color indexed="30"/>
      </top>
      <bottom/>
      <diagonal/>
    </border>
    <border>
      <left/>
      <right style="thick">
        <color indexed="30"/>
      </right>
      <top style="thick">
        <color indexed="30"/>
      </top>
      <bottom/>
      <diagonal/>
    </border>
    <border>
      <left style="thick">
        <color indexed="30"/>
      </left>
      <right/>
      <top/>
      <bottom style="thin">
        <color indexed="8"/>
      </bottom>
      <diagonal/>
    </border>
    <border>
      <left style="thin">
        <color indexed="8"/>
      </left>
      <right/>
      <top/>
      <bottom style="thin">
        <color indexed="8"/>
      </bottom>
      <diagonal/>
    </border>
    <border>
      <left/>
      <right/>
      <top/>
      <bottom style="thin">
        <color indexed="8"/>
      </bottom>
      <diagonal/>
    </border>
    <border>
      <left/>
      <right style="thick">
        <color indexed="30"/>
      </right>
      <top/>
      <bottom style="thin">
        <color indexed="8"/>
      </bottom>
      <diagonal/>
    </border>
    <border>
      <left style="thick">
        <color indexed="30"/>
      </left>
      <right/>
      <top/>
      <bottom/>
      <diagonal/>
    </border>
    <border>
      <left style="thin">
        <color indexed="8"/>
      </left>
      <right/>
      <top/>
      <bottom/>
      <diagonal/>
    </border>
    <border>
      <left/>
      <right style="thick">
        <color indexed="30"/>
      </right>
      <top/>
      <bottom/>
      <diagonal/>
    </border>
    <border>
      <left style="thick">
        <color indexed="30"/>
      </left>
      <right/>
      <top/>
      <bottom style="thick">
        <color indexed="30"/>
      </bottom>
      <diagonal/>
    </border>
    <border>
      <left style="thin">
        <color indexed="8"/>
      </left>
      <right/>
      <top/>
      <bottom style="thick">
        <color indexed="30"/>
      </bottom>
      <diagonal/>
    </border>
    <border>
      <left/>
      <right/>
      <top/>
      <bottom style="thick">
        <color indexed="30"/>
      </bottom>
      <diagonal/>
    </border>
    <border>
      <left/>
      <right style="thick">
        <color indexed="30"/>
      </right>
      <top/>
      <bottom style="thick">
        <color indexed="30"/>
      </bottom>
      <diagonal/>
    </border>
    <border>
      <left style="thick">
        <color indexed="12"/>
      </left>
      <right style="thin">
        <color indexed="8"/>
      </right>
      <top style="thick">
        <color indexed="12"/>
      </top>
      <bottom style="thin">
        <color indexed="8"/>
      </bottom>
      <diagonal/>
    </border>
    <border>
      <left style="thin">
        <color indexed="8"/>
      </left>
      <right style="thin">
        <color indexed="8"/>
      </right>
      <top style="thick">
        <color indexed="12"/>
      </top>
      <bottom style="thin">
        <color indexed="8"/>
      </bottom>
      <diagonal/>
    </border>
    <border>
      <left style="thin">
        <color indexed="8"/>
      </left>
      <right style="thick">
        <color indexed="12"/>
      </right>
      <top style="thick">
        <color indexed="12"/>
      </top>
      <bottom style="thin">
        <color indexed="8"/>
      </bottom>
      <diagonal/>
    </border>
    <border>
      <left style="thick">
        <color indexed="12"/>
      </left>
      <right style="thin">
        <color indexed="8"/>
      </right>
      <top style="thin">
        <color indexed="8"/>
      </top>
      <bottom style="thick">
        <color indexed="12"/>
      </bottom>
      <diagonal/>
    </border>
    <border>
      <left style="thin">
        <color indexed="8"/>
      </left>
      <right style="thin">
        <color indexed="8"/>
      </right>
      <top style="thin">
        <color indexed="8"/>
      </top>
      <bottom style="thick">
        <color indexed="12"/>
      </bottom>
      <diagonal/>
    </border>
    <border>
      <left style="thin">
        <color indexed="8"/>
      </left>
      <right style="thick">
        <color indexed="12"/>
      </right>
      <top style="thin">
        <color indexed="8"/>
      </top>
      <bottom style="thick">
        <color indexed="12"/>
      </bottom>
      <diagonal/>
    </border>
    <border>
      <left style="thick">
        <color indexed="29"/>
      </left>
      <right style="thick">
        <color indexed="29"/>
      </right>
      <top style="thick">
        <color indexed="29"/>
      </top>
      <bottom style="thick">
        <color indexed="29"/>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style="medium">
        <color indexed="8"/>
      </right>
      <top style="thin">
        <color indexed="8"/>
      </top>
      <bottom style="medium">
        <color indexed="8"/>
      </bottom>
      <diagonal/>
    </border>
    <border>
      <left style="thin">
        <color indexed="8"/>
      </left>
      <right style="medium">
        <color indexed="8"/>
      </right>
      <top style="thin">
        <color indexed="8"/>
      </top>
      <bottom/>
      <diagonal/>
    </border>
    <border>
      <left style="thin">
        <color indexed="8"/>
      </left>
      <right/>
      <top style="medium">
        <color indexed="8"/>
      </top>
      <bottom style="thin">
        <color indexed="8"/>
      </bottom>
      <diagonal/>
    </border>
    <border>
      <left style="thin">
        <color indexed="8"/>
      </left>
      <right/>
      <top style="thin">
        <color indexed="8"/>
      </top>
      <bottom style="thin">
        <color indexed="8"/>
      </bottom>
      <diagonal/>
    </border>
    <border>
      <left style="medium">
        <color indexed="8"/>
      </left>
      <right style="thin">
        <color indexed="8"/>
      </right>
      <top/>
      <bottom/>
      <diagonal/>
    </border>
    <border>
      <left style="thin">
        <color indexed="8"/>
      </left>
      <right/>
      <top style="thin">
        <color indexed="8"/>
      </top>
      <bottom style="medium">
        <color indexed="8"/>
      </bottom>
      <diagonal/>
    </border>
    <border>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ck">
        <color indexed="12"/>
      </left>
      <right style="medium">
        <color indexed="8"/>
      </right>
      <top style="thick">
        <color indexed="12"/>
      </top>
      <bottom style="medium">
        <color indexed="8"/>
      </bottom>
      <diagonal/>
    </border>
    <border>
      <left style="medium">
        <color indexed="8"/>
      </left>
      <right style="medium">
        <color indexed="8"/>
      </right>
      <top style="thick">
        <color indexed="12"/>
      </top>
      <bottom style="medium">
        <color indexed="8"/>
      </bottom>
      <diagonal/>
    </border>
    <border>
      <left style="thick">
        <color indexed="12"/>
      </left>
      <right style="medium">
        <color indexed="8"/>
      </right>
      <top style="medium">
        <color indexed="8"/>
      </top>
      <bottom style="thick">
        <color indexed="12"/>
      </bottom>
      <diagonal/>
    </border>
    <border>
      <left style="medium">
        <color indexed="8"/>
      </left>
      <right style="medium">
        <color indexed="8"/>
      </right>
      <top style="medium">
        <color indexed="8"/>
      </top>
      <bottom style="thick">
        <color indexed="12"/>
      </bottom>
      <diagonal/>
    </border>
    <border>
      <left/>
      <right/>
      <top style="medium">
        <color indexed="8"/>
      </top>
      <bottom/>
      <diagonal/>
    </border>
    <border>
      <left style="thick">
        <color indexed="12"/>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ck">
        <color indexed="12"/>
      </right>
      <top/>
      <bottom style="thin">
        <color indexed="8"/>
      </bottom>
      <diagonal/>
    </border>
    <border>
      <left style="thick">
        <color indexed="12"/>
      </left>
      <right/>
      <top style="thick">
        <color indexed="12"/>
      </top>
      <bottom style="thick">
        <color indexed="12"/>
      </bottom>
      <diagonal/>
    </border>
    <border>
      <left/>
      <right/>
      <top style="thick">
        <color indexed="12"/>
      </top>
      <bottom style="thick">
        <color indexed="12"/>
      </bottom>
      <diagonal/>
    </border>
    <border>
      <left/>
      <right style="thick">
        <color indexed="12"/>
      </right>
      <top style="thick">
        <color indexed="12"/>
      </top>
      <bottom style="thick">
        <color indexed="12"/>
      </bottom>
      <diagonal/>
    </border>
    <border>
      <left style="medium">
        <color indexed="8"/>
      </left>
      <right style="thin">
        <color indexed="8"/>
      </right>
      <top/>
      <bottom style="thin">
        <color indexed="8"/>
      </bottom>
      <diagonal/>
    </border>
    <border>
      <left/>
      <right style="thin">
        <color indexed="8"/>
      </right>
      <top style="thin">
        <color indexed="8"/>
      </top>
      <bottom style="medium">
        <color indexed="8"/>
      </bottom>
      <diagonal/>
    </border>
    <border>
      <left/>
      <right/>
      <top style="medium">
        <color indexed="8"/>
      </top>
      <bottom style="medium">
        <color indexed="8"/>
      </bottom>
      <diagonal/>
    </border>
    <border>
      <left/>
      <right/>
      <top/>
      <bottom style="medium">
        <color indexed="8"/>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medium">
        <color indexed="8"/>
      </right>
      <top style="thin">
        <color indexed="8"/>
      </top>
      <bottom style="thin">
        <color indexed="8"/>
      </bottom>
      <diagonal/>
    </border>
    <border>
      <left/>
      <right style="medium">
        <color indexed="8"/>
      </right>
      <top style="thin">
        <color indexed="8"/>
      </top>
      <bottom/>
      <diagonal/>
    </border>
    <border>
      <left/>
      <right style="thick">
        <color indexed="12"/>
      </right>
      <top style="thick">
        <color indexed="12"/>
      </top>
      <bottom style="thin">
        <color indexed="8"/>
      </bottom>
      <diagonal/>
    </border>
    <border>
      <left style="thin">
        <color indexed="8"/>
      </left>
      <right style="thick">
        <color indexed="30"/>
      </right>
      <top style="thin">
        <color indexed="8"/>
      </top>
      <bottom style="thick">
        <color indexed="12"/>
      </bottom>
      <diagonal/>
    </border>
    <border>
      <left style="thin">
        <color indexed="8"/>
      </left>
      <right style="medium">
        <color indexed="8"/>
      </right>
      <top/>
      <bottom style="thin">
        <color indexed="8"/>
      </bottom>
      <diagonal/>
    </border>
    <border>
      <left style="thin">
        <color indexed="8"/>
      </left>
      <right style="thin">
        <color indexed="8"/>
      </right>
      <top/>
      <bottom style="thick">
        <color indexed="30"/>
      </bottom>
      <diagonal/>
    </border>
    <border>
      <left style="thick">
        <color indexed="10"/>
      </left>
      <right/>
      <top/>
      <bottom style="thick">
        <color indexed="10"/>
      </bottom>
      <diagonal/>
    </border>
    <border>
      <left style="medium">
        <color indexed="8"/>
      </left>
      <right/>
      <top style="medium">
        <color indexed="8"/>
      </top>
      <bottom/>
      <diagonal/>
    </border>
    <border>
      <left style="medium">
        <color indexed="8"/>
      </left>
      <right/>
      <top/>
      <bottom style="medium">
        <color indexed="8"/>
      </bottom>
      <diagonal/>
    </border>
    <border>
      <left style="thick">
        <color indexed="12"/>
      </left>
      <right style="thin">
        <color indexed="8"/>
      </right>
      <top style="thin">
        <color indexed="8"/>
      </top>
      <bottom style="medium">
        <color indexed="8"/>
      </bottom>
      <diagonal/>
    </border>
    <border>
      <left style="thick">
        <color indexed="12"/>
      </left>
      <right/>
      <top/>
      <bottom style="thick">
        <color indexed="12"/>
      </bottom>
      <diagonal/>
    </border>
    <border>
      <left/>
      <right/>
      <top/>
      <bottom style="thick">
        <color indexed="12"/>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8"/>
      </left>
      <right style="thin">
        <color indexed="8"/>
      </right>
      <top style="thick">
        <color indexed="12"/>
      </top>
      <bottom style="thin">
        <color indexed="8"/>
      </bottom>
      <diagonal/>
    </border>
    <border>
      <left style="medium">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right style="thin">
        <color auto="1"/>
      </right>
      <top style="thin">
        <color auto="1"/>
      </top>
      <bottom/>
      <diagonal/>
    </border>
    <border>
      <left style="medium">
        <color indexed="8"/>
      </left>
      <right/>
      <top style="thick">
        <color indexed="12"/>
      </top>
      <bottom style="medium">
        <color indexed="8"/>
      </bottom>
      <diagonal/>
    </border>
    <border>
      <left style="medium">
        <color indexed="8"/>
      </left>
      <right style="medium">
        <color indexed="8"/>
      </right>
      <top style="medium">
        <color indexed="8"/>
      </top>
      <bottom style="thick">
        <color indexed="30"/>
      </bottom>
      <diagonal/>
    </border>
    <border>
      <left style="thin">
        <color indexed="8"/>
      </left>
      <right style="medium">
        <color indexed="8"/>
      </right>
      <top style="medium">
        <color indexed="8"/>
      </top>
      <bottom/>
      <diagonal/>
    </border>
    <border>
      <left style="thin">
        <color indexed="8"/>
      </left>
      <right style="thick">
        <color indexed="30"/>
      </right>
      <top style="thick">
        <color indexed="12"/>
      </top>
      <bottom/>
      <diagonal/>
    </border>
    <border>
      <left style="thin">
        <color indexed="8"/>
      </left>
      <right style="thick">
        <color indexed="30"/>
      </right>
      <top style="medium">
        <color indexed="8"/>
      </top>
      <bottom style="thick">
        <color indexed="30"/>
      </bottom>
      <diagonal/>
    </border>
    <border>
      <left style="thin">
        <color indexed="8"/>
      </left>
      <right style="thin">
        <color indexed="8"/>
      </right>
      <top style="medium">
        <color indexed="8"/>
      </top>
      <bottom style="thick">
        <color indexed="12"/>
      </bottom>
      <diagonal/>
    </border>
    <border>
      <left style="thin">
        <color auto="1"/>
      </left>
      <right style="medium">
        <color auto="1"/>
      </right>
      <top style="medium">
        <color auto="1"/>
      </top>
      <bottom style="thin">
        <color auto="1"/>
      </bottom>
      <diagonal/>
    </border>
    <border>
      <left style="thick">
        <color indexed="30"/>
      </left>
      <right style="thick">
        <color indexed="30"/>
      </right>
      <top style="thick">
        <color indexed="30"/>
      </top>
      <bottom/>
      <diagonal/>
    </border>
    <border>
      <left style="thick">
        <color indexed="30"/>
      </left>
      <right style="thick">
        <color indexed="30"/>
      </right>
      <top/>
      <bottom/>
      <diagonal/>
    </border>
    <border>
      <left style="thick">
        <color indexed="30"/>
      </left>
      <right style="thick">
        <color indexed="30"/>
      </right>
      <top/>
      <bottom style="thick">
        <color indexed="30"/>
      </bottom>
      <diagonal/>
    </border>
    <border>
      <left style="thick">
        <color indexed="12"/>
      </left>
      <right style="thick">
        <color indexed="30"/>
      </right>
      <top style="thick">
        <color indexed="12"/>
      </top>
      <bottom/>
      <diagonal/>
    </border>
    <border>
      <left style="thick">
        <color indexed="12"/>
      </left>
      <right style="thick">
        <color indexed="30"/>
      </right>
      <top/>
      <bottom/>
      <diagonal/>
    </border>
    <border>
      <left style="thick">
        <color indexed="12"/>
      </left>
      <right style="thick">
        <color indexed="30"/>
      </right>
      <top/>
      <bottom style="thick">
        <color indexed="12"/>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indexed="8"/>
      </left>
      <right style="medium">
        <color indexed="8"/>
      </right>
      <top style="medium">
        <color indexed="8"/>
      </top>
      <bottom style="medium">
        <color indexed="8"/>
      </bottom>
      <diagonal/>
    </border>
    <border>
      <left style="medium">
        <color indexed="12"/>
      </left>
      <right style="medium">
        <color indexed="12"/>
      </right>
      <top style="medium">
        <color indexed="12"/>
      </top>
      <bottom/>
      <diagonal/>
    </border>
    <border>
      <left style="medium">
        <color indexed="12"/>
      </left>
      <right style="medium">
        <color indexed="12"/>
      </right>
      <top style="medium">
        <color indexed="12"/>
      </top>
      <bottom style="medium">
        <color indexed="12"/>
      </bottom>
      <diagonal/>
    </border>
    <border>
      <left style="thin">
        <color indexed="8"/>
      </left>
      <right style="thick">
        <color rgb="FF0000FF"/>
      </right>
      <top style="thick">
        <color indexed="12"/>
      </top>
      <bottom style="thin">
        <color indexed="8"/>
      </bottom>
      <diagonal/>
    </border>
    <border>
      <left style="thin">
        <color indexed="8"/>
      </left>
      <right style="thick">
        <color rgb="FF0000FF"/>
      </right>
      <top style="thin">
        <color indexed="8"/>
      </top>
      <bottom style="thin">
        <color indexed="8"/>
      </bottom>
      <diagonal/>
    </border>
    <border>
      <left style="thin">
        <color indexed="8"/>
      </left>
      <right style="thick">
        <color rgb="FF0000FF"/>
      </right>
      <top style="thin">
        <color indexed="8"/>
      </top>
      <bottom style="thick">
        <color indexed="12"/>
      </bottom>
      <diagonal/>
    </border>
    <border>
      <left/>
      <right style="thick">
        <color indexed="10"/>
      </right>
      <top style="thick">
        <color indexed="12"/>
      </top>
      <bottom style="thick">
        <color rgb="FFFF0000"/>
      </bottom>
      <diagonal/>
    </border>
    <border>
      <left style="medium">
        <color rgb="FF000000"/>
      </left>
      <right style="thin">
        <color rgb="FF000000"/>
      </right>
      <top/>
      <bottom style="thin">
        <color rgb="FF000000"/>
      </bottom>
      <diagonal/>
    </border>
  </borders>
  <cellStyleXfs count="19">
    <xf numFmtId="0" fontId="0" fillId="0" borderId="0"/>
    <xf numFmtId="164" fontId="27" fillId="0" borderId="0" applyFont="0" applyFill="0" applyBorder="0" applyAlignment="0" applyProtection="0"/>
    <xf numFmtId="0" fontId="7" fillId="0" borderId="0" applyNumberFormat="0" applyFill="0" applyBorder="0" applyAlignment="0" applyProtection="0"/>
    <xf numFmtId="0" fontId="2" fillId="0" borderId="0"/>
    <xf numFmtId="0" fontId="27" fillId="0" borderId="0"/>
    <xf numFmtId="0" fontId="27" fillId="0" borderId="0"/>
    <xf numFmtId="0" fontId="27" fillId="0" borderId="0"/>
    <xf numFmtId="9" fontId="1" fillId="0" borderId="0" applyFill="0" applyBorder="0" applyAlignment="0" applyProtection="0"/>
    <xf numFmtId="9" fontId="27" fillId="0" borderId="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cellStyleXfs>
  <cellXfs count="649">
    <xf numFmtId="0" fontId="0" fillId="0" borderId="0" xfId="0"/>
    <xf numFmtId="0" fontId="0" fillId="2" borderId="0" xfId="0" applyFont="1" applyFill="1" applyBorder="1" applyAlignment="1"/>
    <xf numFmtId="0" fontId="6" fillId="2" borderId="0" xfId="0" applyFont="1" applyFill="1" applyBorder="1" applyAlignment="1"/>
    <xf numFmtId="0" fontId="4" fillId="2" borderId="0" xfId="0" applyFont="1" applyFill="1" applyBorder="1" applyAlignment="1"/>
    <xf numFmtId="0" fontId="0" fillId="2" borderId="0" xfId="0" applyFont="1" applyFill="1" applyBorder="1"/>
    <xf numFmtId="0" fontId="0" fillId="2" borderId="0" xfId="0" applyFill="1"/>
    <xf numFmtId="0" fontId="0" fillId="0" borderId="0" xfId="0" applyFont="1" applyBorder="1"/>
    <xf numFmtId="0" fontId="4" fillId="0" borderId="1" xfId="0" applyFont="1" applyBorder="1" applyAlignment="1"/>
    <xf numFmtId="0" fontId="4" fillId="0" borderId="0" xfId="0" applyFont="1" applyBorder="1" applyAlignment="1"/>
    <xf numFmtId="0" fontId="4" fillId="0" borderId="2" xfId="0" applyFont="1" applyBorder="1" applyAlignment="1"/>
    <xf numFmtId="0" fontId="0" fillId="0" borderId="1" xfId="0" applyFont="1" applyBorder="1" applyAlignment="1"/>
    <xf numFmtId="0" fontId="9" fillId="0" borderId="1" xfId="0" applyFont="1" applyBorder="1" applyAlignment="1"/>
    <xf numFmtId="0" fontId="10" fillId="0" borderId="0" xfId="0" applyFont="1" applyBorder="1" applyAlignment="1"/>
    <xf numFmtId="0" fontId="0" fillId="0" borderId="0" xfId="0" applyFont="1" applyBorder="1" applyAlignment="1"/>
    <xf numFmtId="0" fontId="0" fillId="0" borderId="2" xfId="0" applyFont="1" applyBorder="1" applyAlignment="1"/>
    <xf numFmtId="0" fontId="0" fillId="0" borderId="0" xfId="0" applyFont="1"/>
    <xf numFmtId="0" fontId="0" fillId="0" borderId="1" xfId="0" applyBorder="1" applyAlignment="1"/>
    <xf numFmtId="0" fontId="0" fillId="0" borderId="0" xfId="0" applyBorder="1" applyAlignment="1"/>
    <xf numFmtId="0" fontId="0" fillId="0" borderId="2" xfId="0" applyBorder="1" applyAlignment="1"/>
    <xf numFmtId="0" fontId="4" fillId="0" borderId="1" xfId="0" applyFont="1" applyFill="1" applyBorder="1" applyAlignment="1"/>
    <xf numFmtId="0" fontId="4" fillId="0" borderId="0" xfId="0" applyFont="1" applyFill="1" applyBorder="1" applyAlignment="1"/>
    <xf numFmtId="0" fontId="4" fillId="0" borderId="2" xfId="0" applyFont="1" applyFill="1" applyBorder="1" applyAlignment="1"/>
    <xf numFmtId="0" fontId="4" fillId="0" borderId="0" xfId="0" applyFont="1" applyBorder="1" applyAlignment="1">
      <alignment horizontal="left"/>
    </xf>
    <xf numFmtId="0" fontId="0" fillId="0" borderId="0" xfId="0" applyAlignment="1"/>
    <xf numFmtId="0" fontId="11" fillId="0" borderId="0" xfId="0" applyFont="1" applyBorder="1"/>
    <xf numFmtId="0" fontId="12" fillId="0" borderId="0" xfId="0" applyFont="1" applyAlignment="1">
      <alignment wrapText="1"/>
    </xf>
    <xf numFmtId="0" fontId="0" fillId="0" borderId="0" xfId="0" applyAlignment="1">
      <alignment wrapText="1"/>
    </xf>
    <xf numFmtId="0" fontId="0" fillId="0" borderId="3" xfId="0" applyFont="1" applyBorder="1"/>
    <xf numFmtId="0" fontId="0" fillId="0" borderId="4" xfId="0" applyFont="1" applyBorder="1"/>
    <xf numFmtId="10" fontId="4" fillId="3" borderId="5" xfId="0" applyNumberFormat="1" applyFont="1" applyFill="1" applyBorder="1"/>
    <xf numFmtId="10" fontId="0" fillId="4" borderId="6" xfId="0" applyNumberFormat="1" applyFill="1" applyBorder="1"/>
    <xf numFmtId="0" fontId="0" fillId="0" borderId="7" xfId="0" applyFont="1" applyBorder="1"/>
    <xf numFmtId="0" fontId="0" fillId="0" borderId="8" xfId="0" applyFont="1" applyBorder="1"/>
    <xf numFmtId="10" fontId="4" fillId="3" borderId="2" xfId="0" applyNumberFormat="1" applyFont="1" applyFill="1" applyBorder="1"/>
    <xf numFmtId="10" fontId="0" fillId="4" borderId="9" xfId="0" applyNumberFormat="1" applyFill="1" applyBorder="1"/>
    <xf numFmtId="0" fontId="0" fillId="0" borderId="7" xfId="0" applyFont="1" applyFill="1" applyBorder="1"/>
    <xf numFmtId="0" fontId="4" fillId="0" borderId="0" xfId="0" applyFont="1"/>
    <xf numFmtId="0" fontId="4" fillId="0" borderId="7" xfId="0" applyFont="1" applyFill="1" applyBorder="1"/>
    <xf numFmtId="0" fontId="4" fillId="0" borderId="8" xfId="0" applyFont="1" applyBorder="1"/>
    <xf numFmtId="0" fontId="0" fillId="0" borderId="7" xfId="0" applyFont="1" applyBorder="1" applyAlignment="1">
      <alignment horizontal="left"/>
    </xf>
    <xf numFmtId="0" fontId="0" fillId="0" borderId="8" xfId="0" applyFont="1" applyBorder="1" applyAlignment="1">
      <alignment horizontal="left"/>
    </xf>
    <xf numFmtId="0" fontId="11" fillId="0" borderId="7" xfId="0" applyFont="1" applyBorder="1" applyAlignment="1">
      <alignment horizontal="center"/>
    </xf>
    <xf numFmtId="0" fontId="11" fillId="0" borderId="8" xfId="0" applyFont="1" applyBorder="1" applyAlignment="1">
      <alignment horizontal="center"/>
    </xf>
    <xf numFmtId="0" fontId="11" fillId="0" borderId="10" xfId="0" applyFont="1" applyBorder="1" applyAlignment="1">
      <alignment horizontal="center"/>
    </xf>
    <xf numFmtId="0" fontId="11" fillId="0" borderId="11" xfId="0" applyFont="1" applyBorder="1" applyAlignment="1">
      <alignment horizontal="center"/>
    </xf>
    <xf numFmtId="10" fontId="4" fillId="3" borderId="12" xfId="0" applyNumberFormat="1" applyFont="1" applyFill="1" applyBorder="1"/>
    <xf numFmtId="10" fontId="0" fillId="4" borderId="13" xfId="0" applyNumberFormat="1" applyFill="1" applyBorder="1"/>
    <xf numFmtId="0" fontId="0" fillId="0" borderId="0" xfId="0" applyBorder="1"/>
    <xf numFmtId="0" fontId="12" fillId="0" borderId="0" xfId="0" applyFont="1" applyBorder="1"/>
    <xf numFmtId="9" fontId="0" fillId="0" borderId="0" xfId="0" applyNumberFormat="1" applyBorder="1"/>
    <xf numFmtId="0" fontId="4" fillId="0" borderId="7" xfId="0" applyFont="1" applyBorder="1" applyAlignment="1">
      <alignment horizontal="left"/>
    </xf>
    <xf numFmtId="0" fontId="4" fillId="0" borderId="8" xfId="0" applyFont="1" applyBorder="1" applyAlignment="1">
      <alignment horizontal="left"/>
    </xf>
    <xf numFmtId="0" fontId="12" fillId="0" borderId="7" xfId="0" applyFont="1" applyBorder="1" applyAlignment="1">
      <alignment horizontal="left"/>
    </xf>
    <xf numFmtId="0" fontId="4" fillId="0" borderId="0" xfId="0" applyFont="1" applyFill="1" applyBorder="1"/>
    <xf numFmtId="0" fontId="0" fillId="0" borderId="0" xfId="0" applyFill="1" applyBorder="1"/>
    <xf numFmtId="10" fontId="4" fillId="3" borderId="14" xfId="0" applyNumberFormat="1" applyFont="1" applyFill="1" applyBorder="1"/>
    <xf numFmtId="10" fontId="0" fillId="4" borderId="15" xfId="0" applyNumberFormat="1" applyFill="1" applyBorder="1"/>
    <xf numFmtId="0" fontId="0" fillId="0" borderId="0" xfId="0" applyFont="1" applyFill="1"/>
    <xf numFmtId="0" fontId="4" fillId="0" borderId="0" xfId="0" applyFont="1" applyBorder="1"/>
    <xf numFmtId="0" fontId="4" fillId="3" borderId="0" xfId="0" applyFont="1" applyFill="1"/>
    <xf numFmtId="9" fontId="4" fillId="3" borderId="0" xfId="0" applyNumberFormat="1" applyFont="1" applyFill="1"/>
    <xf numFmtId="10" fontId="0" fillId="0" borderId="0" xfId="0" applyNumberFormat="1"/>
    <xf numFmtId="0" fontId="4" fillId="0" borderId="16" xfId="0" applyFont="1" applyBorder="1" applyAlignment="1">
      <alignment wrapText="1"/>
    </xf>
    <xf numFmtId="0" fontId="11" fillId="0" borderId="16" xfId="0" applyFont="1" applyBorder="1" applyAlignment="1">
      <alignment wrapText="1"/>
    </xf>
    <xf numFmtId="0" fontId="4" fillId="0" borderId="17" xfId="0" applyFont="1" applyBorder="1" applyAlignment="1">
      <alignment wrapText="1"/>
    </xf>
    <xf numFmtId="0" fontId="4" fillId="0" borderId="0" xfId="0" applyFont="1" applyBorder="1" applyAlignment="1">
      <alignment wrapText="1"/>
    </xf>
    <xf numFmtId="0" fontId="4" fillId="0" borderId="18" xfId="0" applyFont="1" applyBorder="1" applyAlignment="1">
      <alignment wrapText="1"/>
    </xf>
    <xf numFmtId="0" fontId="4" fillId="5" borderId="19" xfId="0" applyFont="1" applyFill="1" applyBorder="1" applyAlignment="1">
      <alignment wrapText="1"/>
    </xf>
    <xf numFmtId="165" fontId="4" fillId="5" borderId="20" xfId="0" applyNumberFormat="1" applyFont="1" applyFill="1" applyBorder="1"/>
    <xf numFmtId="2" fontId="4" fillId="5" borderId="21" xfId="0" applyNumberFormat="1" applyFont="1" applyFill="1" applyBorder="1"/>
    <xf numFmtId="2" fontId="4" fillId="5" borderId="22" xfId="0" applyNumberFormat="1" applyFont="1" applyFill="1" applyBorder="1"/>
    <xf numFmtId="2" fontId="4" fillId="0" borderId="0" xfId="0" applyNumberFormat="1" applyFont="1" applyFill="1" applyBorder="1"/>
    <xf numFmtId="0" fontId="13" fillId="5" borderId="19" xfId="0" applyFont="1" applyFill="1" applyBorder="1" applyAlignment="1">
      <alignment wrapText="1"/>
    </xf>
    <xf numFmtId="165" fontId="13" fillId="5" borderId="20" xfId="0" applyNumberFormat="1" applyFont="1" applyFill="1" applyBorder="1"/>
    <xf numFmtId="2" fontId="13" fillId="5" borderId="21" xfId="0" applyNumberFormat="1" applyFont="1" applyFill="1" applyBorder="1"/>
    <xf numFmtId="2" fontId="13" fillId="5" borderId="22" xfId="0" applyNumberFormat="1" applyFont="1" applyFill="1" applyBorder="1"/>
    <xf numFmtId="0" fontId="4" fillId="5" borderId="23" xfId="0" applyFont="1" applyFill="1" applyBorder="1" applyAlignment="1">
      <alignment wrapText="1"/>
    </xf>
    <xf numFmtId="165" fontId="4" fillId="5" borderId="24" xfId="0" applyNumberFormat="1" applyFont="1" applyFill="1" applyBorder="1"/>
    <xf numFmtId="2" fontId="4" fillId="5" borderId="25" xfId="0" applyNumberFormat="1" applyFont="1" applyFill="1" applyBorder="1"/>
    <xf numFmtId="2" fontId="4" fillId="5" borderId="26" xfId="0" applyNumberFormat="1" applyFont="1" applyFill="1" applyBorder="1"/>
    <xf numFmtId="0" fontId="13" fillId="5" borderId="23" xfId="0" applyFont="1" applyFill="1" applyBorder="1" applyAlignment="1">
      <alignment wrapText="1"/>
    </xf>
    <xf numFmtId="165" fontId="13" fillId="5" borderId="24" xfId="0" applyNumberFormat="1" applyFont="1" applyFill="1" applyBorder="1"/>
    <xf numFmtId="2" fontId="13" fillId="5" borderId="25" xfId="0" applyNumberFormat="1" applyFont="1" applyFill="1" applyBorder="1"/>
    <xf numFmtId="2" fontId="13" fillId="5" borderId="26" xfId="0" applyNumberFormat="1" applyFont="1" applyFill="1" applyBorder="1"/>
    <xf numFmtId="0" fontId="4" fillId="5" borderId="27" xfId="0" applyFont="1" applyFill="1" applyBorder="1"/>
    <xf numFmtId="165" fontId="4" fillId="5" borderId="28" xfId="0" applyNumberFormat="1" applyFont="1" applyFill="1" applyBorder="1"/>
    <xf numFmtId="2" fontId="4" fillId="5" borderId="0" xfId="0" applyNumberFormat="1" applyFont="1" applyFill="1" applyBorder="1"/>
    <xf numFmtId="2" fontId="4" fillId="5" borderId="29" xfId="0" applyNumberFormat="1" applyFont="1" applyFill="1" applyBorder="1"/>
    <xf numFmtId="0" fontId="13" fillId="5" borderId="27" xfId="0" applyFont="1" applyFill="1" applyBorder="1"/>
    <xf numFmtId="165" fontId="13" fillId="5" borderId="28" xfId="0" applyNumberFormat="1" applyFont="1" applyFill="1" applyBorder="1"/>
    <xf numFmtId="2" fontId="13" fillId="5" borderId="0" xfId="0" applyNumberFormat="1" applyFont="1" applyFill="1" applyBorder="1"/>
    <xf numFmtId="2" fontId="13" fillId="5" borderId="29" xfId="0" applyNumberFormat="1" applyFont="1" applyFill="1" applyBorder="1"/>
    <xf numFmtId="0" fontId="4" fillId="5" borderId="30" xfId="0" applyFont="1" applyFill="1" applyBorder="1"/>
    <xf numFmtId="165" fontId="4" fillId="5" borderId="31" xfId="0" applyNumberFormat="1" applyFont="1" applyFill="1" applyBorder="1"/>
    <xf numFmtId="2" fontId="4" fillId="5" borderId="32" xfId="0" applyNumberFormat="1" applyFont="1" applyFill="1" applyBorder="1"/>
    <xf numFmtId="2" fontId="4" fillId="5" borderId="33" xfId="0" applyNumberFormat="1" applyFont="1" applyFill="1" applyBorder="1"/>
    <xf numFmtId="2" fontId="4" fillId="0" borderId="32" xfId="0" applyNumberFormat="1" applyFont="1" applyFill="1" applyBorder="1"/>
    <xf numFmtId="0" fontId="13" fillId="5" borderId="30" xfId="0" applyFont="1" applyFill="1" applyBorder="1"/>
    <xf numFmtId="165" fontId="13" fillId="5" borderId="31" xfId="0" applyNumberFormat="1" applyFont="1" applyFill="1" applyBorder="1"/>
    <xf numFmtId="2" fontId="13" fillId="5" borderId="32" xfId="0" applyNumberFormat="1" applyFont="1" applyFill="1" applyBorder="1"/>
    <xf numFmtId="2" fontId="13" fillId="5" borderId="33" xfId="0" applyNumberFormat="1" applyFont="1" applyFill="1" applyBorder="1"/>
    <xf numFmtId="0" fontId="4" fillId="4" borderId="34" xfId="0" applyFont="1" applyFill="1" applyBorder="1" applyAlignment="1">
      <alignment wrapText="1"/>
    </xf>
    <xf numFmtId="165" fontId="4" fillId="4" borderId="35" xfId="0" applyNumberFormat="1" applyFont="1" applyFill="1" applyBorder="1" applyAlignment="1">
      <alignment wrapText="1"/>
    </xf>
    <xf numFmtId="2" fontId="4" fillId="4" borderId="35" xfId="0" applyNumberFormat="1" applyFont="1" applyFill="1" applyBorder="1" applyAlignment="1">
      <alignment wrapText="1"/>
    </xf>
    <xf numFmtId="2" fontId="4" fillId="4" borderId="36" xfId="0" applyNumberFormat="1" applyFont="1" applyFill="1" applyBorder="1" applyAlignment="1">
      <alignment wrapText="1"/>
    </xf>
    <xf numFmtId="165" fontId="4" fillId="4" borderId="35" xfId="0" applyNumberFormat="1" applyFont="1" applyFill="1" applyBorder="1"/>
    <xf numFmtId="2" fontId="4" fillId="4" borderId="35" xfId="0" applyNumberFormat="1" applyFont="1" applyFill="1" applyBorder="1"/>
    <xf numFmtId="2" fontId="4" fillId="4" borderId="36" xfId="0" applyNumberFormat="1" applyFont="1" applyFill="1" applyBorder="1"/>
    <xf numFmtId="0" fontId="4" fillId="4" borderId="37" xfId="0" applyFont="1" applyFill="1" applyBorder="1" applyAlignment="1">
      <alignment wrapText="1"/>
    </xf>
    <xf numFmtId="165" fontId="4" fillId="4" borderId="38" xfId="0" applyNumberFormat="1" applyFont="1" applyFill="1" applyBorder="1" applyAlignment="1">
      <alignment wrapText="1"/>
    </xf>
    <xf numFmtId="2" fontId="4" fillId="4" borderId="38" xfId="0" applyNumberFormat="1" applyFont="1" applyFill="1" applyBorder="1" applyAlignment="1">
      <alignment wrapText="1"/>
    </xf>
    <xf numFmtId="2" fontId="4" fillId="4" borderId="39" xfId="0" applyNumberFormat="1" applyFont="1" applyFill="1" applyBorder="1" applyAlignment="1">
      <alignment wrapText="1"/>
    </xf>
    <xf numFmtId="165" fontId="4" fillId="4" borderId="38" xfId="0" applyNumberFormat="1" applyFont="1" applyFill="1" applyBorder="1"/>
    <xf numFmtId="2" fontId="4" fillId="4" borderId="38" xfId="0" applyNumberFormat="1" applyFont="1" applyFill="1" applyBorder="1"/>
    <xf numFmtId="2" fontId="4" fillId="4" borderId="39" xfId="0" applyNumberFormat="1" applyFont="1" applyFill="1" applyBorder="1"/>
    <xf numFmtId="0" fontId="6" fillId="0" borderId="40" xfId="0" applyFont="1" applyBorder="1"/>
    <xf numFmtId="0" fontId="4" fillId="0" borderId="0" xfId="0" applyFont="1" applyAlignment="1">
      <alignment horizontal="center" wrapText="1"/>
    </xf>
    <xf numFmtId="0" fontId="4" fillId="0" borderId="4" xfId="0" applyFont="1" applyBorder="1"/>
    <xf numFmtId="10" fontId="4" fillId="3" borderId="4" xfId="0" applyNumberFormat="1" applyFont="1" applyFill="1" applyBorder="1"/>
    <xf numFmtId="10" fontId="4" fillId="3" borderId="41" xfId="0" applyNumberFormat="1" applyFont="1" applyFill="1" applyBorder="1"/>
    <xf numFmtId="10" fontId="4" fillId="3" borderId="8" xfId="0" applyNumberFormat="1" applyFont="1" applyFill="1" applyBorder="1"/>
    <xf numFmtId="10" fontId="4" fillId="3" borderId="42" xfId="0" applyNumberFormat="1" applyFont="1" applyFill="1" applyBorder="1"/>
    <xf numFmtId="166" fontId="4" fillId="3" borderId="42" xfId="0" applyNumberFormat="1" applyFont="1" applyFill="1" applyBorder="1"/>
    <xf numFmtId="0" fontId="12" fillId="0" borderId="8" xfId="0" applyFont="1" applyBorder="1" applyAlignment="1">
      <alignment horizontal="left"/>
    </xf>
    <xf numFmtId="0" fontId="0" fillId="0" borderId="7" xfId="0" applyFont="1" applyFill="1" applyBorder="1" applyAlignment="1">
      <alignment horizontal="center"/>
    </xf>
    <xf numFmtId="10" fontId="4" fillId="3" borderId="11" xfId="0" applyNumberFormat="1" applyFont="1" applyFill="1" applyBorder="1"/>
    <xf numFmtId="10" fontId="4" fillId="3" borderId="43" xfId="0" applyNumberFormat="1" applyFont="1" applyFill="1" applyBorder="1"/>
    <xf numFmtId="9" fontId="0" fillId="0" borderId="0" xfId="0" applyNumberFormat="1"/>
    <xf numFmtId="0" fontId="0" fillId="0" borderId="0" xfId="0" applyAlignment="1">
      <alignment horizontal="center"/>
    </xf>
    <xf numFmtId="0" fontId="11" fillId="0" borderId="7" xfId="0" applyFont="1" applyBorder="1" applyAlignment="1">
      <alignment horizontal="left"/>
    </xf>
    <xf numFmtId="0" fontId="11" fillId="0" borderId="8" xfId="0" applyFont="1" applyBorder="1" applyAlignment="1">
      <alignment horizontal="left"/>
    </xf>
    <xf numFmtId="10" fontId="4" fillId="3" borderId="16" xfId="0" applyNumberFormat="1" applyFont="1" applyFill="1" applyBorder="1"/>
    <xf numFmtId="10" fontId="4" fillId="3" borderId="44" xfId="0" applyNumberFormat="1" applyFont="1" applyFill="1" applyBorder="1"/>
    <xf numFmtId="0" fontId="11" fillId="0" borderId="0" xfId="0" applyFont="1" applyBorder="1" applyAlignment="1">
      <alignment horizontal="center"/>
    </xf>
    <xf numFmtId="0" fontId="3" fillId="0" borderId="0" xfId="0" applyFont="1"/>
    <xf numFmtId="0" fontId="4" fillId="0" borderId="0" xfId="0" applyFont="1" applyAlignment="1">
      <alignment horizontal="right" vertical="center"/>
    </xf>
    <xf numFmtId="10" fontId="16" fillId="6" borderId="8" xfId="0" applyNumberFormat="1" applyFont="1" applyFill="1" applyBorder="1" applyAlignment="1">
      <alignment horizontal="center" vertical="center"/>
    </xf>
    <xf numFmtId="10" fontId="17" fillId="6" borderId="8" xfId="0" applyNumberFormat="1" applyFont="1" applyFill="1" applyBorder="1" applyAlignment="1">
      <alignment horizontal="center" vertical="center"/>
    </xf>
    <xf numFmtId="2" fontId="16" fillId="6" borderId="8" xfId="0" applyNumberFormat="1" applyFont="1" applyFill="1" applyBorder="1" applyAlignment="1">
      <alignment horizontal="center" vertical="center"/>
    </xf>
    <xf numFmtId="0" fontId="17" fillId="0" borderId="0" xfId="0" applyFont="1" applyAlignment="1">
      <alignment horizontal="right" vertical="center"/>
    </xf>
    <xf numFmtId="0" fontId="18" fillId="0" borderId="0" xfId="0" applyFont="1" applyBorder="1" applyAlignment="1">
      <alignment horizontal="center" vertical="center"/>
    </xf>
    <xf numFmtId="10" fontId="12" fillId="0" borderId="0" xfId="0" applyNumberFormat="1" applyFont="1" applyAlignment="1">
      <alignment horizontal="center"/>
    </xf>
    <xf numFmtId="0" fontId="4" fillId="0" borderId="0" xfId="0" applyFont="1" applyBorder="1" applyAlignment="1">
      <alignment horizontal="center" vertical="center"/>
    </xf>
    <xf numFmtId="2" fontId="0" fillId="0" borderId="0" xfId="0" applyNumberFormat="1"/>
    <xf numFmtId="0" fontId="4" fillId="0" borderId="0" xfId="0" applyFont="1" applyAlignment="1"/>
    <xf numFmtId="0" fontId="4" fillId="3" borderId="8" xfId="0" applyFont="1" applyFill="1" applyBorder="1"/>
    <xf numFmtId="0" fontId="4" fillId="0" borderId="0" xfId="0" applyFont="1" applyAlignment="1">
      <alignment horizontal="right" vertical="center" wrapText="1"/>
    </xf>
    <xf numFmtId="0" fontId="11" fillId="6" borderId="8" xfId="0" applyFont="1" applyFill="1" applyBorder="1" applyAlignment="1">
      <alignment wrapText="1"/>
    </xf>
    <xf numFmtId="10" fontId="12" fillId="6" borderId="8" xfId="0" applyNumberFormat="1" applyFont="1" applyFill="1" applyBorder="1"/>
    <xf numFmtId="2" fontId="12" fillId="6" borderId="8" xfId="0" applyNumberFormat="1" applyFont="1" applyFill="1" applyBorder="1"/>
    <xf numFmtId="0" fontId="11" fillId="0" borderId="8" xfId="0" applyFont="1" applyFill="1" applyBorder="1" applyAlignment="1">
      <alignment wrapText="1"/>
    </xf>
    <xf numFmtId="10" fontId="12" fillId="0" borderId="8" xfId="0" applyNumberFormat="1" applyFont="1" applyFill="1" applyBorder="1"/>
    <xf numFmtId="2" fontId="12" fillId="0" borderId="8" xfId="0" applyNumberFormat="1" applyFont="1" applyFill="1" applyBorder="1"/>
    <xf numFmtId="0" fontId="0" fillId="0" borderId="0" xfId="0" applyFill="1"/>
    <xf numFmtId="10" fontId="11" fillId="0" borderId="8" xfId="0" applyNumberFormat="1" applyFont="1" applyFill="1" applyBorder="1"/>
    <xf numFmtId="0" fontId="12" fillId="0" borderId="0" xfId="0" applyFont="1"/>
    <xf numFmtId="0" fontId="11" fillId="0" borderId="0" xfId="0" applyFont="1" applyAlignment="1">
      <alignment wrapText="1"/>
    </xf>
    <xf numFmtId="0" fontId="12" fillId="0" borderId="3" xfId="0" applyFont="1" applyBorder="1"/>
    <xf numFmtId="0" fontId="11" fillId="0" borderId="4" xfId="0" applyFont="1" applyBorder="1"/>
    <xf numFmtId="166" fontId="11" fillId="0" borderId="4" xfId="0" applyNumberFormat="1" applyFont="1" applyFill="1" applyBorder="1"/>
    <xf numFmtId="166" fontId="11" fillId="3" borderId="4" xfId="0" applyNumberFormat="1" applyFont="1" applyFill="1" applyBorder="1"/>
    <xf numFmtId="10" fontId="11" fillId="0" borderId="4" xfId="0" applyNumberFormat="1" applyFont="1" applyFill="1" applyBorder="1"/>
    <xf numFmtId="10" fontId="11" fillId="0" borderId="45" xfId="0" applyNumberFormat="1" applyFont="1" applyFill="1" applyBorder="1"/>
    <xf numFmtId="10" fontId="11" fillId="0" borderId="41" xfId="0" applyNumberFormat="1" applyFont="1" applyFill="1" applyBorder="1"/>
    <xf numFmtId="0" fontId="12" fillId="0" borderId="7" xfId="0" applyFont="1" applyBorder="1"/>
    <xf numFmtId="0" fontId="11" fillId="0" borderId="8" xfId="0" applyFont="1" applyBorder="1"/>
    <xf numFmtId="166" fontId="11" fillId="0" borderId="8" xfId="0" applyNumberFormat="1" applyFont="1" applyFill="1" applyBorder="1"/>
    <xf numFmtId="166" fontId="11" fillId="3" borderId="8" xfId="0" applyNumberFormat="1" applyFont="1" applyFill="1" applyBorder="1"/>
    <xf numFmtId="10" fontId="11" fillId="0" borderId="46" xfId="0" applyNumberFormat="1" applyFont="1" applyFill="1" applyBorder="1"/>
    <xf numFmtId="10" fontId="11" fillId="0" borderId="42" xfId="0" applyNumberFormat="1" applyFont="1" applyFill="1" applyBorder="1"/>
    <xf numFmtId="2" fontId="0" fillId="0" borderId="0" xfId="0" applyNumberFormat="1" applyFill="1" applyBorder="1"/>
    <xf numFmtId="0" fontId="11" fillId="0" borderId="7" xfId="0" applyFont="1" applyFill="1" applyBorder="1"/>
    <xf numFmtId="0" fontId="12" fillId="0" borderId="7" xfId="0" applyFont="1" applyFill="1" applyBorder="1"/>
    <xf numFmtId="0" fontId="11" fillId="0" borderId="47" xfId="0" applyFont="1" applyFill="1" applyBorder="1"/>
    <xf numFmtId="0" fontId="11" fillId="0" borderId="8" xfId="0" applyFont="1" applyBorder="1" applyAlignment="1">
      <alignment horizontal="left" wrapText="1"/>
    </xf>
    <xf numFmtId="166" fontId="11" fillId="0" borderId="11" xfId="0" applyNumberFormat="1" applyFont="1" applyFill="1" applyBorder="1"/>
    <xf numFmtId="166" fontId="11" fillId="3" borderId="11" xfId="0" applyNumberFormat="1" applyFont="1" applyFill="1" applyBorder="1"/>
    <xf numFmtId="10" fontId="11" fillId="0" borderId="11" xfId="0" applyNumberFormat="1" applyFont="1" applyFill="1" applyBorder="1"/>
    <xf numFmtId="10" fontId="11" fillId="0" borderId="48" xfId="0" applyNumberFormat="1" applyFont="1" applyFill="1" applyBorder="1"/>
    <xf numFmtId="10" fontId="11" fillId="0" borderId="43" xfId="0" applyNumberFormat="1" applyFont="1" applyFill="1" applyBorder="1"/>
    <xf numFmtId="166" fontId="12" fillId="0" borderId="0" xfId="0" applyNumberFormat="1" applyFont="1"/>
    <xf numFmtId="0" fontId="4" fillId="0" borderId="0" xfId="0" applyFont="1" applyAlignment="1">
      <alignment wrapText="1"/>
    </xf>
    <xf numFmtId="0" fontId="19" fillId="0" borderId="0" xfId="0" applyFont="1" applyAlignment="1">
      <alignment wrapText="1"/>
    </xf>
    <xf numFmtId="10" fontId="12" fillId="7" borderId="8" xfId="0" applyNumberFormat="1" applyFont="1" applyFill="1" applyBorder="1" applyAlignment="1">
      <alignment horizontal="center" vertical="center"/>
    </xf>
    <xf numFmtId="10" fontId="11" fillId="7" borderId="8" xfId="0" applyNumberFormat="1" applyFont="1" applyFill="1" applyBorder="1" applyAlignment="1">
      <alignment horizontal="center" vertical="center"/>
    </xf>
    <xf numFmtId="2" fontId="12" fillId="7" borderId="8" xfId="0" applyNumberFormat="1" applyFont="1" applyFill="1" applyBorder="1" applyAlignment="1">
      <alignment horizontal="center" vertical="center"/>
    </xf>
    <xf numFmtId="0" fontId="4" fillId="0" borderId="0" xfId="0" applyFont="1" applyAlignment="1">
      <alignment horizontal="right"/>
    </xf>
    <xf numFmtId="0" fontId="0" fillId="2" borderId="0" xfId="0" applyFill="1" applyBorder="1"/>
    <xf numFmtId="0" fontId="4" fillId="2" borderId="0" xfId="0" applyFont="1" applyFill="1" applyBorder="1"/>
    <xf numFmtId="0" fontId="0" fillId="0" borderId="0" xfId="0" applyNumberFormat="1"/>
    <xf numFmtId="0" fontId="11" fillId="0" borderId="3" xfId="0" applyFont="1" applyBorder="1" applyAlignment="1">
      <alignment wrapText="1"/>
    </xf>
    <xf numFmtId="0" fontId="11" fillId="0" borderId="4" xfId="0" applyFont="1" applyBorder="1" applyAlignment="1">
      <alignment wrapText="1"/>
    </xf>
    <xf numFmtId="0" fontId="11" fillId="0" borderId="8" xfId="0" applyFont="1" applyBorder="1" applyAlignment="1">
      <alignment wrapText="1"/>
    </xf>
    <xf numFmtId="0" fontId="11" fillId="0" borderId="16" xfId="0" applyFont="1" applyBorder="1"/>
    <xf numFmtId="0" fontId="21" fillId="0" borderId="4" xfId="0" applyFont="1" applyBorder="1" applyAlignment="1">
      <alignment wrapText="1"/>
    </xf>
    <xf numFmtId="0" fontId="11" fillId="0" borderId="41" xfId="0" applyFont="1" applyFill="1" applyBorder="1" applyAlignment="1">
      <alignment wrapText="1"/>
    </xf>
    <xf numFmtId="0" fontId="12" fillId="0" borderId="49" xfId="0" applyFont="1" applyBorder="1"/>
    <xf numFmtId="0" fontId="12" fillId="0" borderId="8" xfId="0" applyFont="1" applyBorder="1"/>
    <xf numFmtId="0" fontId="12" fillId="0" borderId="42" xfId="0" applyFont="1" applyBorder="1"/>
    <xf numFmtId="166" fontId="4" fillId="0" borderId="0" xfId="0" applyNumberFormat="1" applyFont="1"/>
    <xf numFmtId="9" fontId="11" fillId="4" borderId="8" xfId="0" applyNumberFormat="1" applyFont="1" applyFill="1" applyBorder="1" applyAlignment="1">
      <alignment wrapText="1"/>
    </xf>
    <xf numFmtId="0" fontId="4" fillId="0" borderId="8" xfId="0" applyFont="1" applyFill="1" applyBorder="1" applyAlignment="1">
      <alignment horizontal="center" wrapText="1"/>
    </xf>
    <xf numFmtId="0" fontId="22" fillId="0" borderId="8" xfId="0" applyFont="1" applyFill="1" applyBorder="1" applyAlignment="1">
      <alignment wrapText="1"/>
    </xf>
    <xf numFmtId="0" fontId="22" fillId="0" borderId="42" xfId="0" applyFont="1" applyFill="1" applyBorder="1" applyAlignment="1">
      <alignment wrapText="1"/>
    </xf>
    <xf numFmtId="0" fontId="11" fillId="0" borderId="7" xfId="0" applyFont="1" applyBorder="1"/>
    <xf numFmtId="1" fontId="12" fillId="0" borderId="8" xfId="0" applyNumberFormat="1" applyFont="1" applyBorder="1"/>
    <xf numFmtId="2" fontId="12" fillId="0" borderId="8" xfId="0" applyNumberFormat="1" applyFont="1" applyBorder="1"/>
    <xf numFmtId="0" fontId="0" fillId="0" borderId="42" xfId="0" applyBorder="1"/>
    <xf numFmtId="2" fontId="12" fillId="0" borderId="42" xfId="0" applyNumberFormat="1" applyFont="1" applyBorder="1"/>
    <xf numFmtId="166" fontId="0" fillId="0" borderId="0" xfId="0" applyNumberFormat="1"/>
    <xf numFmtId="0" fontId="11" fillId="0" borderId="50" xfId="0" applyFont="1" applyBorder="1" applyAlignment="1">
      <alignment horizontal="center"/>
    </xf>
    <xf numFmtId="2" fontId="12" fillId="0" borderId="16" xfId="0" applyNumberFormat="1" applyFont="1" applyBorder="1"/>
    <xf numFmtId="0" fontId="11" fillId="0" borderId="51" xfId="0" applyFont="1" applyBorder="1" applyAlignment="1">
      <alignment wrapText="1"/>
    </xf>
    <xf numFmtId="0" fontId="11" fillId="0" borderId="52" xfId="0" applyFont="1" applyBorder="1" applyAlignment="1">
      <alignment wrapText="1"/>
    </xf>
    <xf numFmtId="0" fontId="4" fillId="0" borderId="49" xfId="0" applyFont="1" applyBorder="1" applyAlignment="1">
      <alignment wrapText="1"/>
    </xf>
    <xf numFmtId="0" fontId="0" fillId="0" borderId="8" xfId="0" applyBorder="1" applyAlignment="1">
      <alignment wrapText="1"/>
    </xf>
    <xf numFmtId="2" fontId="0" fillId="0" borderId="8" xfId="0" applyNumberFormat="1" applyBorder="1" applyAlignment="1">
      <alignment wrapText="1"/>
    </xf>
    <xf numFmtId="0" fontId="0" fillId="0" borderId="42" xfId="0" applyBorder="1" applyAlignment="1">
      <alignment wrapText="1"/>
    </xf>
    <xf numFmtId="0" fontId="11" fillId="5" borderId="53" xfId="0" applyFont="1" applyFill="1" applyBorder="1"/>
    <xf numFmtId="2" fontId="11" fillId="5" borderId="54" xfId="0" applyNumberFormat="1" applyFont="1" applyFill="1" applyBorder="1"/>
    <xf numFmtId="0" fontId="0" fillId="0" borderId="49" xfId="0" applyBorder="1"/>
    <xf numFmtId="167" fontId="0" fillId="0" borderId="8" xfId="0" applyNumberFormat="1" applyBorder="1"/>
    <xf numFmtId="2" fontId="0" fillId="0" borderId="8" xfId="0" applyNumberFormat="1" applyBorder="1"/>
    <xf numFmtId="0" fontId="11" fillId="5" borderId="55" xfId="0" applyFont="1" applyFill="1" applyBorder="1"/>
    <xf numFmtId="2" fontId="11" fillId="5" borderId="56" xfId="0" applyNumberFormat="1" applyFont="1" applyFill="1" applyBorder="1"/>
    <xf numFmtId="0" fontId="0" fillId="0" borderId="11" xfId="0" applyBorder="1"/>
    <xf numFmtId="167" fontId="0" fillId="0" borderId="11" xfId="0" applyNumberFormat="1" applyBorder="1"/>
    <xf numFmtId="0" fontId="0" fillId="0" borderId="43" xfId="0" applyBorder="1"/>
    <xf numFmtId="1" fontId="21" fillId="0" borderId="7" xfId="0" applyNumberFormat="1" applyFont="1" applyBorder="1" applyAlignment="1">
      <alignment horizontal="center" vertical="center"/>
    </xf>
    <xf numFmtId="0" fontId="3" fillId="0" borderId="57" xfId="0" applyFont="1" applyBorder="1" applyAlignment="1"/>
    <xf numFmtId="0" fontId="4" fillId="0" borderId="57" xfId="0" applyFont="1" applyBorder="1" applyAlignment="1"/>
    <xf numFmtId="0" fontId="11" fillId="0" borderId="34" xfId="0" applyFont="1" applyBorder="1"/>
    <xf numFmtId="0" fontId="11" fillId="0" borderId="35" xfId="0" applyFont="1" applyBorder="1" applyAlignment="1">
      <alignment wrapText="1"/>
    </xf>
    <xf numFmtId="0" fontId="11" fillId="0" borderId="35" xfId="0" applyFont="1" applyBorder="1"/>
    <xf numFmtId="0" fontId="11" fillId="0" borderId="36" xfId="0" applyFont="1" applyBorder="1"/>
    <xf numFmtId="0" fontId="11" fillId="0" borderId="0" xfId="0" applyFont="1" applyFill="1" applyBorder="1" applyAlignment="1">
      <alignment wrapText="1"/>
    </xf>
    <xf numFmtId="0" fontId="11" fillId="0" borderId="0" xfId="0" applyFont="1" applyBorder="1" applyAlignment="1">
      <alignment wrapText="1"/>
    </xf>
    <xf numFmtId="0" fontId="11" fillId="0" borderId="58" xfId="0" applyFont="1" applyBorder="1"/>
    <xf numFmtId="0" fontId="11" fillId="0" borderId="59" xfId="0" applyFont="1" applyBorder="1" applyAlignment="1">
      <alignment wrapText="1"/>
    </xf>
    <xf numFmtId="0" fontId="11" fillId="0" borderId="60" xfId="0" applyFont="1" applyBorder="1" applyAlignment="1">
      <alignment wrapText="1"/>
    </xf>
    <xf numFmtId="0" fontId="12" fillId="0" borderId="0" xfId="0" applyFont="1" applyFill="1" applyBorder="1"/>
    <xf numFmtId="0" fontId="0" fillId="5" borderId="37" xfId="0" applyFill="1" applyBorder="1"/>
    <xf numFmtId="2" fontId="0" fillId="5" borderId="38" xfId="0" applyNumberFormat="1" applyFill="1" applyBorder="1"/>
    <xf numFmtId="0" fontId="6" fillId="5" borderId="61" xfId="0" applyFont="1" applyFill="1" applyBorder="1"/>
    <xf numFmtId="0" fontId="0" fillId="5" borderId="62" xfId="0" applyFill="1" applyBorder="1"/>
    <xf numFmtId="0" fontId="0" fillId="5" borderId="63" xfId="0" applyFill="1" applyBorder="1"/>
    <xf numFmtId="0" fontId="11" fillId="0" borderId="64" xfId="0" applyFont="1" applyBorder="1" applyAlignment="1">
      <alignment wrapText="1"/>
    </xf>
    <xf numFmtId="0" fontId="11" fillId="0" borderId="7" xfId="0" applyFont="1" applyBorder="1" applyAlignment="1">
      <alignment wrapText="1"/>
    </xf>
    <xf numFmtId="0" fontId="11" fillId="0" borderId="50" xfId="0" applyFont="1" applyBorder="1"/>
    <xf numFmtId="10" fontId="12" fillId="0" borderId="8" xfId="0" applyNumberFormat="1" applyFont="1" applyBorder="1"/>
    <xf numFmtId="0" fontId="0" fillId="0" borderId="49" xfId="0" applyBorder="1" applyAlignment="1">
      <alignment wrapText="1"/>
    </xf>
    <xf numFmtId="0" fontId="0" fillId="0" borderId="65" xfId="0" applyBorder="1"/>
    <xf numFmtId="0" fontId="0" fillId="0" borderId="66" xfId="0" applyBorder="1"/>
    <xf numFmtId="0" fontId="0" fillId="0" borderId="67" xfId="0" applyBorder="1"/>
    <xf numFmtId="0" fontId="11" fillId="0" borderId="68" xfId="0" applyFont="1" applyBorder="1" applyAlignment="1">
      <alignment wrapText="1"/>
    </xf>
    <xf numFmtId="0" fontId="11" fillId="0" borderId="45" xfId="0" applyFont="1" applyBorder="1" applyAlignment="1">
      <alignment wrapText="1"/>
    </xf>
    <xf numFmtId="0" fontId="21" fillId="0" borderId="59" xfId="0" applyFont="1" applyBorder="1" applyAlignment="1">
      <alignment wrapText="1"/>
    </xf>
    <xf numFmtId="0" fontId="11" fillId="0" borderId="69" xfId="0" applyFont="1" applyBorder="1" applyAlignment="1">
      <alignment wrapText="1"/>
    </xf>
    <xf numFmtId="1" fontId="21" fillId="0" borderId="8" xfId="0" applyNumberFormat="1" applyFont="1" applyBorder="1" applyAlignment="1">
      <alignment horizontal="center" vertical="center"/>
    </xf>
    <xf numFmtId="0" fontId="11" fillId="0" borderId="49" xfId="0" applyFont="1" applyBorder="1"/>
    <xf numFmtId="0" fontId="11" fillId="0" borderId="46" xfId="0" applyFont="1" applyBorder="1"/>
    <xf numFmtId="0" fontId="0" fillId="0" borderId="70" xfId="0" applyFont="1" applyBorder="1"/>
    <xf numFmtId="9" fontId="11" fillId="4" borderId="49" xfId="0" applyNumberFormat="1" applyFont="1" applyFill="1" applyBorder="1" applyAlignment="1">
      <alignment wrapText="1"/>
    </xf>
    <xf numFmtId="9" fontId="11" fillId="4" borderId="46" xfId="0" applyNumberFormat="1" applyFont="1" applyFill="1" applyBorder="1" applyAlignment="1">
      <alignment wrapText="1"/>
    </xf>
    <xf numFmtId="0" fontId="22" fillId="0" borderId="71" xfId="0" applyFont="1" applyFill="1" applyBorder="1" applyAlignment="1">
      <alignment wrapText="1"/>
    </xf>
    <xf numFmtId="9" fontId="11" fillId="0" borderId="8" xfId="0" applyNumberFormat="1" applyFont="1" applyFill="1" applyBorder="1" applyAlignment="1">
      <alignment wrapText="1"/>
    </xf>
    <xf numFmtId="9" fontId="11" fillId="0" borderId="49" xfId="0" applyNumberFormat="1" applyFont="1" applyFill="1" applyBorder="1" applyAlignment="1">
      <alignment wrapText="1"/>
    </xf>
    <xf numFmtId="9" fontId="11" fillId="0" borderId="46" xfId="0" applyNumberFormat="1" applyFont="1" applyFill="1" applyBorder="1" applyAlignment="1">
      <alignment wrapText="1"/>
    </xf>
    <xf numFmtId="2" fontId="12" fillId="0" borderId="49" xfId="0" applyNumberFormat="1" applyFont="1" applyBorder="1"/>
    <xf numFmtId="2" fontId="12" fillId="0" borderId="46" xfId="0" applyNumberFormat="1" applyFont="1" applyBorder="1"/>
    <xf numFmtId="0" fontId="0" fillId="0" borderId="2" xfId="0" applyBorder="1"/>
    <xf numFmtId="2" fontId="12" fillId="0" borderId="70" xfId="0" applyNumberFormat="1" applyFont="1" applyBorder="1"/>
    <xf numFmtId="2" fontId="12" fillId="0" borderId="17" xfId="0" applyNumberFormat="1" applyFont="1" applyBorder="1"/>
    <xf numFmtId="2" fontId="12" fillId="0" borderId="71" xfId="0" applyNumberFormat="1" applyFont="1" applyBorder="1"/>
    <xf numFmtId="2" fontId="12" fillId="0" borderId="0" xfId="0" applyNumberFormat="1" applyFont="1" applyBorder="1"/>
    <xf numFmtId="0" fontId="11" fillId="0" borderId="51" xfId="0" applyFont="1" applyBorder="1"/>
    <xf numFmtId="0" fontId="11" fillId="0" borderId="34" xfId="0" applyFont="1" applyFill="1" applyBorder="1"/>
    <xf numFmtId="0" fontId="11" fillId="0" borderId="35" xfId="0" applyFont="1" applyFill="1" applyBorder="1"/>
    <xf numFmtId="0" fontId="11" fillId="0" borderId="72" xfId="0" applyFont="1" applyFill="1" applyBorder="1"/>
    <xf numFmtId="2" fontId="0" fillId="5" borderId="73" xfId="0" applyNumberFormat="1" applyFill="1" applyBorder="1"/>
    <xf numFmtId="0" fontId="4" fillId="0" borderId="42" xfId="0" applyFont="1" applyBorder="1"/>
    <xf numFmtId="0" fontId="11" fillId="0" borderId="8" xfId="0" applyFont="1" applyFill="1" applyBorder="1"/>
    <xf numFmtId="0" fontId="11" fillId="0" borderId="8" xfId="0" applyFont="1" applyFill="1" applyBorder="1" applyAlignment="1">
      <alignment horizontal="center"/>
    </xf>
    <xf numFmtId="0" fontId="19" fillId="0" borderId="4" xfId="0" applyFont="1" applyBorder="1" applyAlignment="1">
      <alignment wrapText="1"/>
    </xf>
    <xf numFmtId="0" fontId="19" fillId="0" borderId="8" xfId="0" applyFont="1" applyBorder="1"/>
    <xf numFmtId="10" fontId="12" fillId="0" borderId="16" xfId="0" applyNumberFormat="1" applyFont="1" applyBorder="1"/>
    <xf numFmtId="0" fontId="4" fillId="0" borderId="45" xfId="0" applyFont="1" applyBorder="1" applyAlignment="1">
      <alignment wrapText="1"/>
    </xf>
    <xf numFmtId="0" fontId="19" fillId="0" borderId="59" xfId="0" applyFont="1" applyBorder="1" applyAlignment="1">
      <alignment wrapText="1"/>
    </xf>
    <xf numFmtId="0" fontId="21" fillId="0" borderId="74" xfId="0" applyFont="1" applyBorder="1" applyAlignment="1">
      <alignment wrapText="1"/>
    </xf>
    <xf numFmtId="0" fontId="12" fillId="0" borderId="46" xfId="0" applyFont="1" applyBorder="1"/>
    <xf numFmtId="0" fontId="4" fillId="0" borderId="46" xfId="0" applyFont="1" applyFill="1" applyBorder="1" applyAlignment="1">
      <alignment horizontal="center" wrapText="1"/>
    </xf>
    <xf numFmtId="0" fontId="4" fillId="0" borderId="42" xfId="0" applyFont="1" applyFill="1" applyBorder="1" applyAlignment="1">
      <alignment horizontal="center" wrapText="1"/>
    </xf>
    <xf numFmtId="0" fontId="12" fillId="0" borderId="8" xfId="0" applyFont="1" applyBorder="1" applyAlignment="1">
      <alignment wrapText="1"/>
    </xf>
    <xf numFmtId="2" fontId="11" fillId="5" borderId="75" xfId="0" applyNumberFormat="1" applyFont="1" applyFill="1" applyBorder="1"/>
    <xf numFmtId="0" fontId="11" fillId="0" borderId="0" xfId="0" applyFont="1"/>
    <xf numFmtId="0" fontId="11" fillId="0" borderId="36" xfId="0" applyFont="1" applyFill="1" applyBorder="1"/>
    <xf numFmtId="0" fontId="12" fillId="5" borderId="37" xfId="0" applyFont="1" applyFill="1" applyBorder="1"/>
    <xf numFmtId="2" fontId="12" fillId="5" borderId="38" xfId="0" applyNumberFormat="1" applyFont="1" applyFill="1" applyBorder="1"/>
    <xf numFmtId="2" fontId="12" fillId="5" borderId="73" xfId="0" applyNumberFormat="1" applyFont="1" applyFill="1" applyBorder="1"/>
    <xf numFmtId="0" fontId="25" fillId="0" borderId="0" xfId="0" applyFont="1" applyAlignment="1">
      <alignment wrapText="1"/>
    </xf>
    <xf numFmtId="0" fontId="4" fillId="0" borderId="0" xfId="0" applyFont="1" applyAlignment="1">
      <alignment horizontal="left"/>
    </xf>
    <xf numFmtId="0" fontId="0" fillId="8" borderId="0" xfId="0" applyFont="1" applyFill="1"/>
    <xf numFmtId="0" fontId="0" fillId="9" borderId="0" xfId="0" applyFill="1"/>
    <xf numFmtId="2" fontId="0" fillId="6" borderId="0" xfId="0" applyNumberFormat="1" applyFont="1" applyFill="1" applyBorder="1" applyProtection="1"/>
    <xf numFmtId="0" fontId="4" fillId="0" borderId="0" xfId="0" applyNumberFormat="1" applyFont="1" applyFill="1"/>
    <xf numFmtId="0" fontId="0" fillId="0" borderId="0" xfId="0" applyNumberFormat="1" applyFont="1" applyFill="1"/>
    <xf numFmtId="0" fontId="0" fillId="5" borderId="34" xfId="0" applyFont="1" applyFill="1" applyBorder="1"/>
    <xf numFmtId="2" fontId="0" fillId="5" borderId="35" xfId="0" applyNumberFormat="1" applyFont="1" applyFill="1" applyBorder="1"/>
    <xf numFmtId="0" fontId="0" fillId="5" borderId="58" xfId="0" applyFont="1" applyFill="1" applyBorder="1"/>
    <xf numFmtId="2" fontId="0" fillId="5" borderId="8" xfId="0" applyNumberFormat="1" applyFont="1" applyFill="1" applyBorder="1"/>
    <xf numFmtId="2" fontId="0" fillId="5" borderId="58" xfId="0" applyNumberFormat="1" applyFont="1" applyFill="1" applyBorder="1"/>
    <xf numFmtId="0" fontId="12" fillId="5" borderId="58" xfId="0" applyFont="1" applyFill="1" applyBorder="1" applyAlignment="1">
      <alignment wrapText="1"/>
    </xf>
    <xf numFmtId="2" fontId="0" fillId="5" borderId="8" xfId="0" applyNumberFormat="1" applyFont="1" applyFill="1" applyBorder="1" applyAlignment="1">
      <alignment wrapText="1"/>
    </xf>
    <xf numFmtId="0" fontId="0" fillId="5" borderId="58" xfId="0" applyFont="1" applyFill="1" applyBorder="1" applyAlignment="1">
      <alignment wrapText="1"/>
    </xf>
    <xf numFmtId="0" fontId="23" fillId="9" borderId="37" xfId="0" applyFont="1" applyFill="1" applyBorder="1" applyAlignment="1">
      <alignment horizontal="center" vertical="center"/>
    </xf>
    <xf numFmtId="168" fontId="23" fillId="9" borderId="38" xfId="0" applyNumberFormat="1" applyFont="1" applyFill="1" applyBorder="1" applyAlignment="1">
      <alignment horizontal="center" vertical="center"/>
    </xf>
    <xf numFmtId="0" fontId="23" fillId="0" borderId="0" xfId="0" applyFont="1" applyAlignment="1">
      <alignment horizontal="center" vertical="center"/>
    </xf>
    <xf numFmtId="0" fontId="4" fillId="0" borderId="76" xfId="0" applyFont="1" applyBorder="1"/>
    <xf numFmtId="2" fontId="4" fillId="0" borderId="0" xfId="0" applyNumberFormat="1" applyFont="1" applyBorder="1" applyAlignment="1">
      <alignment horizontal="center" vertical="center"/>
    </xf>
    <xf numFmtId="0" fontId="19" fillId="0" borderId="0" xfId="0" applyFont="1" applyBorder="1" applyAlignment="1">
      <alignment wrapText="1"/>
    </xf>
    <xf numFmtId="2" fontId="0" fillId="6" borderId="0" xfId="0" applyNumberFormat="1" applyFill="1"/>
    <xf numFmtId="2" fontId="0" fillId="6" borderId="0" xfId="0" applyNumberFormat="1" applyFont="1" applyFill="1" applyBorder="1"/>
    <xf numFmtId="2" fontId="4" fillId="6" borderId="0" xfId="0" applyNumberFormat="1" applyFont="1" applyFill="1"/>
    <xf numFmtId="0" fontId="4" fillId="0" borderId="4" xfId="0" applyFont="1" applyBorder="1" applyAlignment="1">
      <alignment wrapText="1"/>
    </xf>
    <xf numFmtId="0" fontId="4" fillId="0" borderId="7" xfId="0" applyFont="1" applyFill="1" applyBorder="1" applyAlignment="1">
      <alignment horizontal="left"/>
    </xf>
    <xf numFmtId="2" fontId="0" fillId="0" borderId="70" xfId="0" applyNumberFormat="1" applyBorder="1"/>
    <xf numFmtId="0" fontId="4" fillId="0" borderId="7" xfId="0" applyFont="1" applyBorder="1"/>
    <xf numFmtId="0" fontId="0" fillId="0" borderId="10" xfId="0" applyBorder="1"/>
    <xf numFmtId="2" fontId="0" fillId="0" borderId="11" xfId="0" applyNumberFormat="1" applyBorder="1"/>
    <xf numFmtId="2" fontId="0" fillId="0" borderId="43" xfId="0" applyNumberFormat="1" applyBorder="1"/>
    <xf numFmtId="0" fontId="4" fillId="0" borderId="0" xfId="5" applyFont="1" applyAlignment="1">
      <alignment wrapText="1"/>
    </xf>
    <xf numFmtId="0" fontId="4" fillId="0" borderId="77" xfId="5" applyFont="1" applyBorder="1" applyAlignment="1">
      <alignment wrapText="1"/>
    </xf>
    <xf numFmtId="0" fontId="4" fillId="0" borderId="57" xfId="5" applyFont="1" applyBorder="1" applyAlignment="1">
      <alignment wrapText="1"/>
    </xf>
    <xf numFmtId="0" fontId="11" fillId="0" borderId="57" xfId="5" applyFont="1" applyBorder="1" applyAlignment="1">
      <alignment wrapText="1"/>
    </xf>
    <xf numFmtId="0" fontId="4" fillId="0" borderId="5" xfId="5" applyFont="1" applyBorder="1" applyAlignment="1">
      <alignment wrapText="1"/>
    </xf>
    <xf numFmtId="0" fontId="4" fillId="0" borderId="0" xfId="5" applyFont="1" applyBorder="1" applyAlignment="1">
      <alignment wrapText="1"/>
    </xf>
    <xf numFmtId="0" fontId="4" fillId="0" borderId="1" xfId="5" applyFont="1" applyBorder="1" applyAlignment="1">
      <alignment wrapText="1"/>
    </xf>
    <xf numFmtId="0" fontId="4" fillId="0" borderId="2" xfId="5" applyFont="1" applyBorder="1" applyAlignment="1">
      <alignment wrapText="1"/>
    </xf>
    <xf numFmtId="0" fontId="26" fillId="0" borderId="0" xfId="0" applyFont="1"/>
    <xf numFmtId="10" fontId="0" fillId="0" borderId="1" xfId="0" applyNumberFormat="1" applyBorder="1"/>
    <xf numFmtId="10" fontId="0" fillId="0" borderId="0" xfId="0" applyNumberFormat="1" applyBorder="1"/>
    <xf numFmtId="10" fontId="0" fillId="0" borderId="2" xfId="0" applyNumberFormat="1" applyBorder="1"/>
    <xf numFmtId="0" fontId="26" fillId="0" borderId="2" xfId="0" applyFont="1" applyBorder="1"/>
    <xf numFmtId="10" fontId="0" fillId="0" borderId="78" xfId="0" applyNumberFormat="1" applyBorder="1"/>
    <xf numFmtId="0" fontId="11" fillId="0" borderId="0" xfId="0" applyFont="1" applyBorder="1" applyAlignment="1">
      <alignment horizontal="center" wrapText="1"/>
    </xf>
    <xf numFmtId="0" fontId="4" fillId="0" borderId="0" xfId="0" applyFont="1" applyBorder="1" applyAlignment="1">
      <alignment horizontal="center"/>
    </xf>
    <xf numFmtId="0" fontId="4" fillId="0" borderId="0" xfId="0" applyFont="1" applyBorder="1" applyAlignment="1">
      <alignment horizontal="right"/>
    </xf>
    <xf numFmtId="0" fontId="0" fillId="8" borderId="0" xfId="0" applyFont="1" applyFill="1" applyBorder="1"/>
    <xf numFmtId="0" fontId="0" fillId="9" borderId="0" xfId="0" applyFill="1" applyBorder="1"/>
    <xf numFmtId="0" fontId="21" fillId="0" borderId="0" xfId="0" applyFont="1" applyBorder="1" applyAlignment="1">
      <alignment wrapText="1"/>
    </xf>
    <xf numFmtId="0" fontId="0" fillId="0" borderId="0" xfId="0" applyBorder="1" applyAlignment="1">
      <alignment wrapText="1"/>
    </xf>
    <xf numFmtId="0" fontId="11" fillId="0" borderId="0" xfId="0" applyFont="1" applyFill="1" applyBorder="1"/>
    <xf numFmtId="0" fontId="11" fillId="0" borderId="0" xfId="0" applyFont="1" applyFill="1" applyBorder="1" applyAlignment="1">
      <alignment horizontal="center"/>
    </xf>
    <xf numFmtId="0" fontId="0" fillId="0" borderId="0" xfId="0" applyFont="1" applyFill="1" applyBorder="1"/>
    <xf numFmtId="0" fontId="4" fillId="0" borderId="47" xfId="0" applyFont="1" applyBorder="1"/>
    <xf numFmtId="0" fontId="4" fillId="0" borderId="59" xfId="0" applyFont="1" applyBorder="1" applyAlignment="1">
      <alignment wrapText="1"/>
    </xf>
    <xf numFmtId="0" fontId="0" fillId="5" borderId="79" xfId="0" applyFont="1" applyFill="1" applyBorder="1" applyAlignment="1">
      <alignment wrapText="1"/>
    </xf>
    <xf numFmtId="2" fontId="0" fillId="5" borderId="11" xfId="0" applyNumberFormat="1" applyFont="1" applyFill="1" applyBorder="1" applyAlignment="1">
      <alignment wrapText="1"/>
    </xf>
    <xf numFmtId="0" fontId="23" fillId="9" borderId="80" xfId="0" applyFont="1" applyFill="1" applyBorder="1" applyAlignment="1">
      <alignment horizontal="center" vertical="center"/>
    </xf>
    <xf numFmtId="168" fontId="23" fillId="9" borderId="81" xfId="0" applyNumberFormat="1" applyFont="1" applyFill="1" applyBorder="1" applyAlignment="1">
      <alignment horizontal="center" vertical="center"/>
    </xf>
    <xf numFmtId="168" fontId="23" fillId="9" borderId="21" xfId="0" applyNumberFormat="1" applyFont="1" applyFill="1" applyBorder="1" applyAlignment="1">
      <alignment horizontal="center" vertical="center"/>
    </xf>
    <xf numFmtId="168" fontId="23" fillId="9" borderId="0" xfId="0" applyNumberFormat="1" applyFont="1" applyFill="1" applyBorder="1" applyAlignment="1">
      <alignment horizontal="center" vertical="center"/>
    </xf>
    <xf numFmtId="168" fontId="23" fillId="9" borderId="32" xfId="0" applyNumberFormat="1" applyFont="1" applyFill="1" applyBorder="1" applyAlignment="1">
      <alignment horizontal="center" vertical="center"/>
    </xf>
    <xf numFmtId="0" fontId="4" fillId="0" borderId="59" xfId="0" applyFont="1" applyBorder="1"/>
    <xf numFmtId="2" fontId="0" fillId="6" borderId="0" xfId="0" applyNumberFormat="1" applyFill="1" applyBorder="1"/>
    <xf numFmtId="2" fontId="9" fillId="6" borderId="0" xfId="0" applyNumberFormat="1" applyFont="1" applyFill="1" applyBorder="1"/>
    <xf numFmtId="2" fontId="4" fillId="6" borderId="0" xfId="0" applyNumberFormat="1" applyFont="1" applyFill="1" applyBorder="1"/>
    <xf numFmtId="0" fontId="4" fillId="0" borderId="8" xfId="0" applyFont="1" applyFill="1" applyBorder="1"/>
    <xf numFmtId="2" fontId="0" fillId="0" borderId="42" xfId="0" applyNumberFormat="1" applyBorder="1"/>
    <xf numFmtId="0" fontId="4" fillId="0" borderId="8" xfId="0" applyFont="1" applyBorder="1" applyAlignment="1">
      <alignment horizontal="left" wrapText="1"/>
    </xf>
    <xf numFmtId="0" fontId="0" fillId="0" borderId="7" xfId="0" applyBorder="1" applyAlignment="1">
      <alignment horizontal="center"/>
    </xf>
    <xf numFmtId="0" fontId="0" fillId="0" borderId="10" xfId="0" applyBorder="1" applyAlignment="1">
      <alignment horizontal="center"/>
    </xf>
    <xf numFmtId="0" fontId="19" fillId="0" borderId="57" xfId="5" applyFont="1" applyBorder="1" applyAlignment="1">
      <alignment wrapText="1"/>
    </xf>
    <xf numFmtId="0" fontId="0" fillId="0" borderId="1" xfId="0" applyBorder="1"/>
    <xf numFmtId="0" fontId="0" fillId="0" borderId="78" xfId="0" applyBorder="1"/>
    <xf numFmtId="0" fontId="0" fillId="0" borderId="12" xfId="0" applyBorder="1"/>
    <xf numFmtId="0" fontId="0" fillId="0" borderId="82" xfId="0" applyBorder="1" applyAlignment="1">
      <alignment horizontal="right"/>
    </xf>
    <xf numFmtId="0" fontId="4" fillId="0" borderId="83" xfId="0" applyFont="1" applyBorder="1" applyAlignment="1">
      <alignment horizontal="right"/>
    </xf>
    <xf numFmtId="0" fontId="0" fillId="0" borderId="84" xfId="0" applyBorder="1"/>
    <xf numFmtId="1" fontId="0" fillId="0" borderId="0" xfId="0" applyNumberFormat="1" applyBorder="1" applyAlignment="1">
      <alignment horizontal="center"/>
    </xf>
    <xf numFmtId="1" fontId="0" fillId="0" borderId="0" xfId="0" applyNumberFormat="1" applyFill="1" applyBorder="1" applyAlignment="1">
      <alignment horizontal="center"/>
    </xf>
    <xf numFmtId="0" fontId="0" fillId="0" borderId="0" xfId="0"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0" fontId="0" fillId="0" borderId="85" xfId="0" applyBorder="1"/>
    <xf numFmtId="0" fontId="4" fillId="0" borderId="86" xfId="0" applyFont="1" applyBorder="1" applyAlignment="1">
      <alignment horizontal="right"/>
    </xf>
    <xf numFmtId="0" fontId="0" fillId="0" borderId="86" xfId="0" applyBorder="1"/>
    <xf numFmtId="2" fontId="0" fillId="0" borderId="86" xfId="0" applyNumberFormat="1" applyBorder="1"/>
    <xf numFmtId="10" fontId="1" fillId="0" borderId="0" xfId="7" applyNumberFormat="1"/>
    <xf numFmtId="0" fontId="0" fillId="0" borderId="87" xfId="0" applyBorder="1"/>
    <xf numFmtId="2" fontId="0" fillId="0" borderId="87" xfId="0" applyNumberFormat="1" applyFill="1" applyBorder="1" applyAlignment="1">
      <alignment horizontal="center"/>
    </xf>
    <xf numFmtId="10" fontId="0" fillId="0" borderId="86" xfId="0" applyNumberFormat="1" applyBorder="1"/>
    <xf numFmtId="2" fontId="0" fillId="0" borderId="88" xfId="0" applyNumberFormat="1" applyBorder="1"/>
    <xf numFmtId="2" fontId="0" fillId="0" borderId="0" xfId="0" applyNumberFormat="1" applyBorder="1"/>
    <xf numFmtId="0" fontId="4" fillId="0" borderId="89" xfId="0" applyFont="1" applyBorder="1"/>
    <xf numFmtId="0" fontId="4" fillId="0" borderId="90" xfId="0" applyFont="1" applyBorder="1"/>
    <xf numFmtId="0" fontId="4" fillId="0" borderId="91" xfId="0" applyFont="1" applyBorder="1"/>
    <xf numFmtId="0" fontId="0" fillId="0" borderId="0" xfId="0" quotePrefix="1" applyFont="1" applyBorder="1" applyAlignment="1"/>
    <xf numFmtId="2" fontId="0" fillId="10" borderId="0" xfId="0" applyNumberFormat="1" applyFont="1" applyFill="1" applyBorder="1"/>
    <xf numFmtId="0" fontId="0" fillId="0" borderId="92" xfId="0" applyFont="1" applyBorder="1" applyAlignment="1"/>
    <xf numFmtId="0" fontId="0" fillId="2" borderId="0" xfId="0" applyFill="1" applyBorder="1" applyAlignment="1"/>
    <xf numFmtId="0" fontId="4" fillId="2" borderId="93" xfId="0" applyFont="1" applyFill="1" applyBorder="1"/>
    <xf numFmtId="0" fontId="0" fillId="2" borderId="94" xfId="0" applyFill="1" applyBorder="1"/>
    <xf numFmtId="0" fontId="0" fillId="11" borderId="94" xfId="0" applyFill="1" applyBorder="1"/>
    <xf numFmtId="0" fontId="0" fillId="11" borderId="95" xfId="0" applyFill="1" applyBorder="1"/>
    <xf numFmtId="0" fontId="4" fillId="2" borderId="92" xfId="0" applyFont="1" applyFill="1" applyBorder="1"/>
    <xf numFmtId="0" fontId="0" fillId="11" borderId="0" xfId="0" applyFill="1" applyBorder="1"/>
    <xf numFmtId="0" fontId="0" fillId="11" borderId="96" xfId="0" applyFill="1" applyBorder="1"/>
    <xf numFmtId="0" fontId="0" fillId="2" borderId="92" xfId="0" applyFill="1" applyBorder="1"/>
    <xf numFmtId="0" fontId="8" fillId="2" borderId="0" xfId="2" applyFont="1" applyFill="1" applyBorder="1" applyAlignment="1" applyProtection="1"/>
    <xf numFmtId="0" fontId="0" fillId="2" borderId="96" xfId="0" applyFill="1" applyBorder="1"/>
    <xf numFmtId="0" fontId="0" fillId="2" borderId="96" xfId="0" applyFill="1" applyBorder="1" applyAlignment="1"/>
    <xf numFmtId="0" fontId="0" fillId="2" borderId="0" xfId="0" quotePrefix="1" applyFill="1" applyBorder="1"/>
    <xf numFmtId="0" fontId="4" fillId="11" borderId="0" xfId="0" applyFont="1" applyFill="1" applyBorder="1"/>
    <xf numFmtId="0" fontId="0" fillId="11" borderId="92" xfId="0" applyFill="1" applyBorder="1"/>
    <xf numFmtId="0" fontId="3" fillId="11" borderId="92" xfId="0" applyFont="1" applyFill="1" applyBorder="1"/>
    <xf numFmtId="0" fontId="0" fillId="2" borderId="97" xfId="0" applyFill="1" applyBorder="1"/>
    <xf numFmtId="0" fontId="0" fillId="2" borderId="98" xfId="0" applyFill="1" applyBorder="1"/>
    <xf numFmtId="0" fontId="0" fillId="2" borderId="99" xfId="0" applyFill="1" applyBorder="1"/>
    <xf numFmtId="10" fontId="0" fillId="0" borderId="67" xfId="0" applyNumberFormat="1" applyBorder="1"/>
    <xf numFmtId="10" fontId="0" fillId="0" borderId="12" xfId="0" applyNumberFormat="1" applyBorder="1"/>
    <xf numFmtId="0" fontId="31" fillId="0" borderId="0" xfId="0" applyFont="1"/>
    <xf numFmtId="2" fontId="0" fillId="6" borderId="83" xfId="0" applyNumberFormat="1" applyFont="1" applyFill="1" applyBorder="1"/>
    <xf numFmtId="2" fontId="0" fillId="6" borderId="83" xfId="0" applyNumberFormat="1" applyFill="1" applyBorder="1"/>
    <xf numFmtId="0" fontId="11" fillId="0" borderId="7" xfId="0" applyFont="1" applyBorder="1" applyAlignment="1">
      <alignment horizontal="left" vertical="center"/>
    </xf>
    <xf numFmtId="1" fontId="21" fillId="0" borderId="100" xfId="0" applyNumberFormat="1" applyFont="1" applyBorder="1" applyAlignment="1">
      <alignment horizontal="center" vertical="center"/>
    </xf>
    <xf numFmtId="1" fontId="21" fillId="0" borderId="35" xfId="0" applyNumberFormat="1" applyFont="1" applyBorder="1" applyAlignment="1">
      <alignment horizontal="center" vertical="center"/>
    </xf>
    <xf numFmtId="169" fontId="12" fillId="0" borderId="8" xfId="1" applyNumberFormat="1" applyFont="1" applyBorder="1"/>
    <xf numFmtId="169" fontId="12" fillId="0" borderId="16" xfId="1" applyNumberFormat="1" applyFont="1" applyBorder="1"/>
    <xf numFmtId="169" fontId="0" fillId="0" borderId="49" xfId="1" applyNumberFormat="1" applyFont="1" applyBorder="1" applyAlignment="1">
      <alignment wrapText="1"/>
    </xf>
    <xf numFmtId="169" fontId="0" fillId="0" borderId="8" xfId="1" applyNumberFormat="1" applyFont="1" applyBorder="1" applyAlignment="1">
      <alignment wrapText="1"/>
    </xf>
    <xf numFmtId="169" fontId="0" fillId="0" borderId="0" xfId="1" applyNumberFormat="1" applyFont="1"/>
    <xf numFmtId="169" fontId="0" fillId="0" borderId="8" xfId="1" applyNumberFormat="1" applyFont="1" applyBorder="1"/>
    <xf numFmtId="169" fontId="0" fillId="0" borderId="65" xfId="1" applyNumberFormat="1" applyFont="1" applyBorder="1"/>
    <xf numFmtId="169" fontId="0" fillId="0" borderId="11" xfId="1" applyNumberFormat="1" applyFont="1" applyBorder="1"/>
    <xf numFmtId="169" fontId="0" fillId="0" borderId="42" xfId="1" applyNumberFormat="1" applyFont="1" applyBorder="1"/>
    <xf numFmtId="169" fontId="12" fillId="0" borderId="42" xfId="1" applyNumberFormat="1" applyFont="1" applyBorder="1"/>
    <xf numFmtId="164" fontId="12" fillId="0" borderId="8" xfId="1" applyNumberFormat="1" applyFont="1" applyBorder="1"/>
    <xf numFmtId="4" fontId="0" fillId="0" borderId="0" xfId="0" applyNumberFormat="1"/>
    <xf numFmtId="0" fontId="0" fillId="0" borderId="0" xfId="0" quotePrefix="1"/>
    <xf numFmtId="0" fontId="0" fillId="0" borderId="0" xfId="0" quotePrefix="1" applyFont="1"/>
    <xf numFmtId="3" fontId="4" fillId="5" borderId="54" xfId="0" applyNumberFormat="1" applyFont="1" applyFill="1" applyBorder="1"/>
    <xf numFmtId="3" fontId="4" fillId="5" borderId="56" xfId="0" applyNumberFormat="1" applyFont="1" applyFill="1" applyBorder="1"/>
    <xf numFmtId="3" fontId="0" fillId="0" borderId="0" xfId="0" applyNumberFormat="1"/>
    <xf numFmtId="3" fontId="0" fillId="0" borderId="86" xfId="0" applyNumberFormat="1" applyBorder="1"/>
    <xf numFmtId="0" fontId="8" fillId="2" borderId="0" xfId="2" applyNumberFormat="1" applyFont="1" applyFill="1" applyBorder="1" applyAlignment="1" applyProtection="1"/>
    <xf numFmtId="3" fontId="12" fillId="0" borderId="8" xfId="0" applyNumberFormat="1" applyFont="1" applyBorder="1"/>
    <xf numFmtId="3" fontId="12" fillId="0" borderId="70" xfId="0" applyNumberFormat="1" applyFont="1" applyBorder="1"/>
    <xf numFmtId="0" fontId="31" fillId="0" borderId="0" xfId="0" applyFont="1" applyBorder="1" applyAlignment="1"/>
    <xf numFmtId="0" fontId="32" fillId="0" borderId="0" xfId="0" applyFont="1" applyBorder="1" applyAlignment="1"/>
    <xf numFmtId="1" fontId="12" fillId="0" borderId="100" xfId="0" applyNumberFormat="1" applyFont="1" applyBorder="1" applyAlignment="1">
      <alignment horizontal="center" vertical="center"/>
    </xf>
    <xf numFmtId="1" fontId="12" fillId="0" borderId="35" xfId="0" applyNumberFormat="1" applyFont="1" applyBorder="1" applyAlignment="1">
      <alignment horizontal="center" vertical="center"/>
    </xf>
    <xf numFmtId="1" fontId="12" fillId="0" borderId="35" xfId="0" applyNumberFormat="1" applyFont="1" applyBorder="1"/>
    <xf numFmtId="1" fontId="21" fillId="0" borderId="101" xfId="0" applyNumberFormat="1" applyFont="1" applyBorder="1" applyAlignment="1">
      <alignment horizontal="center" vertical="center"/>
    </xf>
    <xf numFmtId="1" fontId="21" fillId="0" borderId="102" xfId="0" applyNumberFormat="1" applyFont="1" applyBorder="1" applyAlignment="1">
      <alignment horizontal="center" vertical="center"/>
    </xf>
    <xf numFmtId="0" fontId="11" fillId="0" borderId="125" xfId="0" applyFont="1" applyBorder="1" applyAlignment="1">
      <alignment wrapText="1"/>
    </xf>
    <xf numFmtId="0" fontId="11" fillId="0" borderId="126" xfId="0" applyFont="1" applyBorder="1"/>
    <xf numFmtId="2" fontId="0" fillId="5" borderId="127" xfId="0" applyNumberFormat="1" applyFill="1" applyBorder="1"/>
    <xf numFmtId="0" fontId="0" fillId="0" borderId="103" xfId="0" applyBorder="1" applyAlignment="1">
      <alignment wrapText="1"/>
    </xf>
    <xf numFmtId="0" fontId="0" fillId="0" borderId="83" xfId="0" applyBorder="1" applyAlignment="1">
      <alignment wrapText="1"/>
    </xf>
    <xf numFmtId="0" fontId="0" fillId="0" borderId="83" xfId="0" applyBorder="1" applyAlignment="1">
      <alignment horizontal="center" wrapText="1"/>
    </xf>
    <xf numFmtId="0" fontId="0" fillId="0" borderId="88" xfId="0" applyBorder="1"/>
    <xf numFmtId="0" fontId="0" fillId="0" borderId="83" xfId="0" applyFont="1" applyBorder="1" applyAlignment="1">
      <alignment wrapText="1"/>
    </xf>
    <xf numFmtId="0" fontId="31" fillId="0" borderId="0" xfId="0" quotePrefix="1" applyFont="1"/>
    <xf numFmtId="3" fontId="17" fillId="6" borderId="8" xfId="0" applyNumberFormat="1" applyFont="1" applyFill="1" applyBorder="1" applyAlignment="1">
      <alignment horizontal="center" vertical="center"/>
    </xf>
    <xf numFmtId="0" fontId="31" fillId="0" borderId="0" xfId="0" quotePrefix="1" applyFont="1" applyFill="1" applyBorder="1" applyAlignment="1"/>
    <xf numFmtId="3" fontId="11" fillId="7" borderId="8" xfId="0" applyNumberFormat="1" applyFont="1" applyFill="1" applyBorder="1" applyAlignment="1">
      <alignment horizontal="center" vertical="center"/>
    </xf>
    <xf numFmtId="0" fontId="0" fillId="0" borderId="0" xfId="0" applyFont="1" applyFill="1" applyBorder="1" applyAlignment="1"/>
    <xf numFmtId="9" fontId="31" fillId="0" borderId="0" xfId="0" applyNumberFormat="1" applyFont="1" applyAlignment="1">
      <alignment horizontal="center"/>
    </xf>
    <xf numFmtId="49" fontId="11" fillId="0" borderId="8" xfId="0" applyNumberFormat="1" applyFont="1" applyBorder="1" applyAlignment="1">
      <alignment horizontal="left" wrapText="1"/>
    </xf>
    <xf numFmtId="9" fontId="31" fillId="0" borderId="0" xfId="0" applyNumberFormat="1" applyFont="1" applyBorder="1"/>
    <xf numFmtId="9" fontId="33" fillId="0" borderId="0" xfId="0" applyNumberFormat="1" applyFont="1" applyBorder="1"/>
    <xf numFmtId="2" fontId="11" fillId="5" borderId="104" xfId="0" applyNumberFormat="1" applyFont="1" applyFill="1" applyBorder="1"/>
    <xf numFmtId="2" fontId="11" fillId="5" borderId="105" xfId="0" applyNumberFormat="1" applyFont="1" applyFill="1" applyBorder="1"/>
    <xf numFmtId="0" fontId="11" fillId="0" borderId="106" xfId="0" applyFont="1" applyBorder="1" applyAlignment="1">
      <alignment wrapText="1"/>
    </xf>
    <xf numFmtId="2" fontId="11" fillId="5" borderId="107" xfId="0" applyNumberFormat="1" applyFont="1" applyFill="1" applyBorder="1"/>
    <xf numFmtId="2" fontId="11" fillId="5" borderId="108" xfId="0" applyNumberFormat="1" applyFont="1" applyFill="1" applyBorder="1"/>
    <xf numFmtId="0" fontId="11" fillId="0" borderId="109" xfId="0" applyFont="1" applyBorder="1" applyAlignment="1">
      <alignment wrapText="1"/>
    </xf>
    <xf numFmtId="165" fontId="23" fillId="9" borderId="38" xfId="0" applyNumberFormat="1" applyFont="1" applyFill="1" applyBorder="1" applyAlignment="1">
      <alignment horizontal="center" vertical="center"/>
    </xf>
    <xf numFmtId="0" fontId="4" fillId="0" borderId="41" xfId="0" applyFont="1" applyBorder="1" applyAlignment="1">
      <alignment wrapText="1"/>
    </xf>
    <xf numFmtId="10" fontId="0" fillId="0" borderId="98" xfId="0" applyNumberFormat="1" applyBorder="1"/>
    <xf numFmtId="0" fontId="10" fillId="0" borderId="0" xfId="5" applyFont="1" applyBorder="1" applyAlignment="1">
      <alignment horizontal="left" wrapText="1"/>
    </xf>
    <xf numFmtId="1" fontId="0" fillId="0" borderId="0" xfId="0" applyNumberFormat="1" applyBorder="1"/>
    <xf numFmtId="0" fontId="0" fillId="0" borderId="74" xfId="0" applyBorder="1"/>
    <xf numFmtId="0" fontId="4" fillId="0" borderId="110" xfId="0" applyFont="1" applyBorder="1" applyAlignment="1">
      <alignment wrapText="1"/>
    </xf>
    <xf numFmtId="0" fontId="0" fillId="0" borderId="10" xfId="0" applyFont="1" applyFill="1" applyBorder="1" applyAlignment="1">
      <alignment horizontal="center"/>
    </xf>
    <xf numFmtId="0" fontId="0" fillId="0" borderId="11" xfId="0" applyFont="1" applyBorder="1"/>
    <xf numFmtId="3" fontId="0" fillId="0" borderId="8" xfId="0" applyNumberFormat="1" applyFont="1" applyBorder="1"/>
    <xf numFmtId="3" fontId="12" fillId="0" borderId="16" xfId="0" applyNumberFormat="1" applyFont="1" applyBorder="1"/>
    <xf numFmtId="3" fontId="12" fillId="0" borderId="71" xfId="0" applyNumberFormat="1" applyFont="1" applyBorder="1"/>
    <xf numFmtId="3" fontId="0" fillId="0" borderId="42" xfId="0" applyNumberFormat="1" applyBorder="1"/>
    <xf numFmtId="3" fontId="12" fillId="0" borderId="74" xfId="0" applyNumberFormat="1" applyFont="1" applyBorder="1"/>
    <xf numFmtId="3" fontId="23" fillId="0" borderId="0" xfId="0" applyNumberFormat="1" applyFont="1"/>
    <xf numFmtId="0" fontId="4" fillId="0" borderId="57" xfId="0" applyFont="1" applyBorder="1"/>
    <xf numFmtId="0" fontId="0" fillId="2" borderId="0" xfId="0" applyFont="1" applyFill="1" applyBorder="1" applyAlignment="1">
      <alignment horizontal="left"/>
    </xf>
    <xf numFmtId="0" fontId="4" fillId="2" borderId="0" xfId="0" applyFont="1" applyFill="1" applyBorder="1" applyAlignment="1">
      <alignment horizontal="left"/>
    </xf>
    <xf numFmtId="3" fontId="4" fillId="3" borderId="0" xfId="0" applyNumberFormat="1" applyFont="1" applyFill="1"/>
    <xf numFmtId="0" fontId="11" fillId="12" borderId="4" xfId="0" applyFont="1" applyFill="1" applyBorder="1" applyAlignment="1">
      <alignment wrapText="1"/>
    </xf>
    <xf numFmtId="0" fontId="0" fillId="0" borderId="0" xfId="0" applyNumberFormat="1" applyBorder="1"/>
    <xf numFmtId="0" fontId="4" fillId="0" borderId="10" xfId="0" applyFont="1" applyBorder="1"/>
    <xf numFmtId="2" fontId="4" fillId="3" borderId="0" xfId="0" applyNumberFormat="1" applyFont="1" applyFill="1" applyAlignment="1">
      <alignment horizontal="right"/>
    </xf>
    <xf numFmtId="2" fontId="4" fillId="3" borderId="0" xfId="0" applyNumberFormat="1" applyFont="1" applyFill="1" applyAlignment="1">
      <alignment horizontal="right" wrapText="1"/>
    </xf>
    <xf numFmtId="0" fontId="4" fillId="0" borderId="0" xfId="0" applyFont="1" applyAlignment="1">
      <alignment horizontal="right" wrapText="1"/>
    </xf>
    <xf numFmtId="0" fontId="11" fillId="0" borderId="0" xfId="0" applyFont="1" applyAlignment="1">
      <alignment horizontal="right"/>
    </xf>
    <xf numFmtId="0" fontId="12" fillId="0" borderId="0" xfId="0" applyFont="1" applyAlignment="1">
      <alignment horizontal="right"/>
    </xf>
    <xf numFmtId="0" fontId="0" fillId="0" borderId="0" xfId="0" applyFont="1" applyBorder="1" applyAlignment="1">
      <alignment horizontal="center" wrapText="1"/>
    </xf>
    <xf numFmtId="0" fontId="7" fillId="2" borderId="0" xfId="2" applyFill="1" applyBorder="1" applyAlignment="1">
      <alignment horizontal="left"/>
    </xf>
    <xf numFmtId="3" fontId="12" fillId="6" borderId="8" xfId="0" applyNumberFormat="1" applyFont="1" applyFill="1" applyBorder="1"/>
    <xf numFmtId="3" fontId="12" fillId="0" borderId="8" xfId="0" applyNumberFormat="1" applyFont="1" applyFill="1" applyBorder="1"/>
    <xf numFmtId="0" fontId="3" fillId="0" borderId="0" xfId="0" applyFont="1" applyBorder="1" applyAlignment="1"/>
    <xf numFmtId="168" fontId="23" fillId="9" borderId="22" xfId="0" applyNumberFormat="1" applyFont="1" applyFill="1" applyBorder="1" applyAlignment="1">
      <alignment horizontal="center" vertical="center"/>
    </xf>
    <xf numFmtId="168" fontId="23" fillId="9" borderId="29" xfId="0" applyNumberFormat="1" applyFont="1" applyFill="1" applyBorder="1" applyAlignment="1">
      <alignment horizontal="center" vertical="center"/>
    </xf>
    <xf numFmtId="168" fontId="23" fillId="9" borderId="33" xfId="0" applyNumberFormat="1" applyFont="1" applyFill="1" applyBorder="1" applyAlignment="1">
      <alignment horizontal="center" vertical="center"/>
    </xf>
    <xf numFmtId="168" fontId="23" fillId="9" borderId="19" xfId="0" applyNumberFormat="1" applyFont="1" applyFill="1" applyBorder="1" applyAlignment="1">
      <alignment horizontal="center" vertical="center"/>
    </xf>
    <xf numFmtId="168" fontId="23" fillId="9" borderId="27" xfId="0" applyNumberFormat="1" applyFont="1" applyFill="1" applyBorder="1" applyAlignment="1">
      <alignment horizontal="center" vertical="center"/>
    </xf>
    <xf numFmtId="168" fontId="23" fillId="9" borderId="30" xfId="0" applyNumberFormat="1" applyFont="1" applyFill="1" applyBorder="1" applyAlignment="1">
      <alignment horizontal="center" vertical="center"/>
    </xf>
    <xf numFmtId="0" fontId="4" fillId="0" borderId="111" xfId="0" applyFont="1" applyBorder="1"/>
    <xf numFmtId="0" fontId="4" fillId="0" borderId="112" xfId="0" applyFont="1" applyBorder="1"/>
    <xf numFmtId="0" fontId="4" fillId="0" borderId="113" xfId="0" applyFont="1" applyBorder="1"/>
    <xf numFmtId="2" fontId="4" fillId="0" borderId="128" xfId="0" applyNumberFormat="1" applyFont="1" applyBorder="1" applyAlignment="1">
      <alignment horizontal="center" vertical="center"/>
    </xf>
    <xf numFmtId="0" fontId="4" fillId="0" borderId="114" xfId="0" applyFont="1" applyBorder="1"/>
    <xf numFmtId="0" fontId="4" fillId="0" borderId="115" xfId="0" applyFont="1" applyBorder="1"/>
    <xf numFmtId="0" fontId="4" fillId="0" borderId="116" xfId="0" applyFont="1" applyBorder="1"/>
    <xf numFmtId="0" fontId="7" fillId="0" borderId="0" xfId="2"/>
    <xf numFmtId="0" fontId="7" fillId="2" borderId="0" xfId="2" applyFill="1" applyBorder="1" applyAlignment="1"/>
    <xf numFmtId="0" fontId="12" fillId="0" borderId="87" xfId="0" applyFont="1" applyBorder="1" applyAlignment="1">
      <alignment horizontal="right"/>
    </xf>
    <xf numFmtId="0" fontId="4" fillId="0" borderId="0" xfId="0" applyFont="1" applyAlignment="1">
      <alignment horizontal="left" wrapText="1"/>
    </xf>
    <xf numFmtId="2" fontId="9" fillId="6" borderId="83" xfId="0" applyNumberFormat="1" applyFont="1" applyFill="1" applyBorder="1"/>
    <xf numFmtId="2" fontId="0" fillId="13" borderId="0" xfId="0" applyNumberFormat="1" applyFill="1"/>
    <xf numFmtId="2" fontId="0" fillId="13" borderId="83" xfId="0" applyNumberFormat="1" applyFill="1" applyBorder="1"/>
    <xf numFmtId="0" fontId="4" fillId="0" borderId="6" xfId="5" applyFont="1" applyBorder="1" applyAlignment="1">
      <alignment wrapText="1"/>
    </xf>
    <xf numFmtId="0" fontId="4" fillId="0" borderId="9" xfId="5" applyFont="1" applyBorder="1" applyAlignment="1">
      <alignment wrapText="1"/>
    </xf>
    <xf numFmtId="10" fontId="0" fillId="0" borderId="9" xfId="0" applyNumberFormat="1" applyBorder="1"/>
    <xf numFmtId="10" fontId="0" fillId="0" borderId="15" xfId="0" applyNumberFormat="1" applyBorder="1"/>
    <xf numFmtId="0" fontId="34" fillId="0" borderId="0" xfId="0" applyNumberFormat="1" applyFont="1" applyFill="1" applyBorder="1"/>
    <xf numFmtId="0" fontId="4" fillId="0" borderId="64" xfId="0" applyFont="1" applyBorder="1" applyAlignment="1">
      <alignment horizontal="left"/>
    </xf>
    <xf numFmtId="2" fontId="0" fillId="0" borderId="59" xfId="0" applyNumberFormat="1" applyBorder="1"/>
    <xf numFmtId="2" fontId="0" fillId="0" borderId="74" xfId="0" applyNumberFormat="1" applyBorder="1"/>
    <xf numFmtId="0" fontId="0" fillId="0" borderId="117" xfId="0" applyFont="1" applyBorder="1" applyAlignment="1">
      <alignment horizontal="center"/>
    </xf>
    <xf numFmtId="0" fontId="4" fillId="0" borderId="118" xfId="0" applyFont="1" applyBorder="1" applyAlignment="1">
      <alignment wrapText="1"/>
    </xf>
    <xf numFmtId="0" fontId="4" fillId="0" borderId="119" xfId="0" applyFont="1" applyBorder="1" applyAlignment="1">
      <alignment wrapText="1"/>
    </xf>
    <xf numFmtId="0" fontId="23" fillId="0" borderId="0" xfId="0" applyFont="1"/>
    <xf numFmtId="0" fontId="0" fillId="0" borderId="10" xfId="0" applyFont="1" applyBorder="1"/>
    <xf numFmtId="0" fontId="12" fillId="0" borderId="0" xfId="0" applyFont="1" applyAlignment="1">
      <alignment horizontal="center"/>
    </xf>
    <xf numFmtId="0" fontId="12" fillId="0" borderId="67" xfId="0" applyFont="1" applyBorder="1" applyAlignment="1">
      <alignment horizontal="center"/>
    </xf>
    <xf numFmtId="0" fontId="33" fillId="0" borderId="0" xfId="0" applyFont="1"/>
    <xf numFmtId="0" fontId="33" fillId="0" borderId="2" xfId="0" applyFont="1" applyBorder="1"/>
    <xf numFmtId="0" fontId="33" fillId="0" borderId="12" xfId="0" applyFont="1" applyBorder="1"/>
    <xf numFmtId="0" fontId="11" fillId="0" borderId="18" xfId="0" applyFont="1" applyBorder="1"/>
    <xf numFmtId="165" fontId="23" fillId="9" borderId="19" xfId="0" applyNumberFormat="1" applyFont="1" applyFill="1" applyBorder="1" applyAlignment="1">
      <alignment horizontal="center" vertical="center"/>
    </xf>
    <xf numFmtId="165" fontId="23" fillId="9" borderId="21" xfId="0" applyNumberFormat="1" applyFont="1" applyFill="1" applyBorder="1" applyAlignment="1">
      <alignment horizontal="center" vertical="center"/>
    </xf>
    <xf numFmtId="165" fontId="23" fillId="9" borderId="22" xfId="0" applyNumberFormat="1" applyFont="1" applyFill="1" applyBorder="1" applyAlignment="1">
      <alignment horizontal="center" vertical="center"/>
    </xf>
    <xf numFmtId="165" fontId="23" fillId="9" borderId="27" xfId="0" applyNumberFormat="1" applyFont="1" applyFill="1" applyBorder="1" applyAlignment="1">
      <alignment horizontal="center" vertical="center"/>
    </xf>
    <xf numFmtId="165" fontId="23" fillId="9" borderId="0" xfId="0" applyNumberFormat="1" applyFont="1" applyFill="1" applyBorder="1" applyAlignment="1">
      <alignment horizontal="center" vertical="center"/>
    </xf>
    <xf numFmtId="165" fontId="23" fillId="9" borderId="29" xfId="0" applyNumberFormat="1" applyFont="1" applyFill="1" applyBorder="1" applyAlignment="1">
      <alignment horizontal="center" vertical="center"/>
    </xf>
    <xf numFmtId="165" fontId="23" fillId="9" borderId="30" xfId="0" applyNumberFormat="1" applyFont="1" applyFill="1" applyBorder="1" applyAlignment="1">
      <alignment horizontal="center" vertical="center"/>
    </xf>
    <xf numFmtId="165" fontId="23" fillId="9" borderId="32" xfId="0" applyNumberFormat="1" applyFont="1" applyFill="1" applyBorder="1" applyAlignment="1">
      <alignment horizontal="center" vertical="center"/>
    </xf>
    <xf numFmtId="165" fontId="23" fillId="9" borderId="33" xfId="0" applyNumberFormat="1" applyFont="1" applyFill="1" applyBorder="1" applyAlignment="1">
      <alignment horizontal="center" vertical="center"/>
    </xf>
    <xf numFmtId="9" fontId="11" fillId="4" borderId="8" xfId="0" applyNumberFormat="1" applyFont="1" applyFill="1" applyBorder="1" applyAlignment="1">
      <alignment horizontal="center" wrapText="1"/>
    </xf>
    <xf numFmtId="9" fontId="11" fillId="4" borderId="49" xfId="0" applyNumberFormat="1" applyFont="1" applyFill="1" applyBorder="1" applyAlignment="1">
      <alignment horizontal="center" wrapText="1"/>
    </xf>
    <xf numFmtId="9" fontId="11" fillId="4" borderId="46" xfId="0" applyNumberFormat="1" applyFont="1" applyFill="1" applyBorder="1" applyAlignment="1">
      <alignment horizontal="center" wrapText="1"/>
    </xf>
    <xf numFmtId="0" fontId="10" fillId="0" borderId="0" xfId="0" applyFont="1" applyFill="1" applyBorder="1"/>
    <xf numFmtId="0" fontId="33" fillId="0" borderId="8" xfId="0" applyFont="1" applyFill="1" applyBorder="1" applyAlignment="1">
      <alignment horizontal="center" wrapText="1"/>
    </xf>
    <xf numFmtId="0" fontId="21" fillId="0" borderId="3" xfId="0" applyFont="1" applyBorder="1" applyAlignment="1">
      <alignment wrapText="1"/>
    </xf>
    <xf numFmtId="0" fontId="4" fillId="0" borderId="7" xfId="0" applyFont="1" applyFill="1" applyBorder="1" applyAlignment="1">
      <alignment horizontal="center" wrapText="1"/>
    </xf>
    <xf numFmtId="2" fontId="12" fillId="0" borderId="7" xfId="0" applyNumberFormat="1" applyFont="1" applyBorder="1"/>
    <xf numFmtId="0" fontId="0" fillId="0" borderId="7" xfId="0" applyBorder="1" applyAlignment="1">
      <alignment wrapText="1"/>
    </xf>
    <xf numFmtId="0" fontId="0" fillId="0" borderId="47" xfId="0" applyBorder="1"/>
    <xf numFmtId="0" fontId="12" fillId="0" borderId="0" xfId="0" applyFont="1" applyBorder="1" applyAlignment="1">
      <alignment horizontal="center"/>
    </xf>
    <xf numFmtId="0" fontId="12" fillId="0" borderId="0" xfId="0" applyFont="1" applyAlignment="1">
      <alignment horizontal="center" wrapText="1"/>
    </xf>
    <xf numFmtId="3" fontId="4" fillId="3" borderId="0" xfId="0" applyNumberFormat="1" applyFont="1" applyFill="1" applyBorder="1"/>
    <xf numFmtId="0" fontId="0" fillId="0" borderId="50" xfId="0" applyFont="1" applyBorder="1"/>
    <xf numFmtId="0" fontId="4" fillId="0" borderId="0" xfId="0" applyFont="1" applyBorder="1" applyAlignment="1">
      <alignment horizontal="left" wrapText="1"/>
    </xf>
    <xf numFmtId="0" fontId="4" fillId="0" borderId="0" xfId="0" applyFont="1" applyBorder="1" applyAlignment="1">
      <alignment horizontal="right" wrapText="1"/>
    </xf>
    <xf numFmtId="0" fontId="4" fillId="0" borderId="28" xfId="0" applyFont="1" applyBorder="1" applyAlignment="1">
      <alignment wrapText="1"/>
    </xf>
    <xf numFmtId="0" fontId="4" fillId="0" borderId="28" xfId="0" applyFont="1" applyFill="1" applyBorder="1"/>
    <xf numFmtId="0" fontId="4" fillId="0" borderId="28" xfId="0" applyFont="1" applyBorder="1" applyAlignment="1">
      <alignment horizontal="right" wrapText="1"/>
    </xf>
    <xf numFmtId="0" fontId="12" fillId="0" borderId="28" xfId="0" applyFont="1" applyBorder="1" applyAlignment="1">
      <alignment horizontal="right"/>
    </xf>
    <xf numFmtId="0" fontId="0" fillId="0" borderId="129" xfId="0" applyBorder="1"/>
    <xf numFmtId="0" fontId="0" fillId="0" borderId="68" xfId="0" applyFont="1" applyBorder="1"/>
    <xf numFmtId="0" fontId="0" fillId="0" borderId="120" xfId="0" applyBorder="1"/>
    <xf numFmtId="0" fontId="12" fillId="0" borderId="57" xfId="0" applyFont="1" applyBorder="1" applyAlignment="1">
      <alignment horizontal="center"/>
    </xf>
    <xf numFmtId="1" fontId="21" fillId="0" borderId="59" xfId="0" applyNumberFormat="1" applyFont="1" applyBorder="1" applyAlignment="1">
      <alignment horizontal="center" vertical="center"/>
    </xf>
    <xf numFmtId="0" fontId="11" fillId="0" borderId="121" xfId="0" applyFont="1" applyBorder="1" applyAlignment="1">
      <alignment wrapText="1"/>
    </xf>
    <xf numFmtId="166" fontId="1" fillId="0" borderId="86" xfId="7" applyNumberFormat="1" applyBorder="1"/>
    <xf numFmtId="0" fontId="11" fillId="0" borderId="125" xfId="0" applyFont="1" applyBorder="1"/>
    <xf numFmtId="0" fontId="7" fillId="0" borderId="0" xfId="2" quotePrefix="1" applyFill="1" applyBorder="1" applyAlignment="1"/>
    <xf numFmtId="10" fontId="0" fillId="0" borderId="0" xfId="0" applyNumberFormat="1" applyFont="1" applyBorder="1"/>
    <xf numFmtId="0" fontId="4" fillId="0" borderId="0" xfId="0" applyNumberFormat="1" applyFont="1"/>
    <xf numFmtId="0" fontId="9" fillId="0" borderId="0" xfId="0" quotePrefix="1" applyFont="1" applyFill="1" applyBorder="1" applyAlignment="1"/>
    <xf numFmtId="0" fontId="4" fillId="0" borderId="28" xfId="0" applyFont="1" applyFill="1" applyBorder="1" applyAlignment="1">
      <alignment horizontal="right"/>
    </xf>
    <xf numFmtId="0" fontId="4" fillId="0" borderId="0" xfId="0" applyFont="1" applyFill="1" applyBorder="1" applyAlignment="1">
      <alignment horizontal="right"/>
    </xf>
    <xf numFmtId="0" fontId="4" fillId="3" borderId="0" xfId="0" applyFont="1" applyFill="1" applyAlignment="1">
      <alignment horizontal="right" wrapText="1"/>
    </xf>
    <xf numFmtId="0" fontId="4" fillId="3" borderId="0" xfId="0" applyFont="1" applyFill="1" applyAlignment="1">
      <alignment horizontal="right"/>
    </xf>
    <xf numFmtId="0" fontId="4" fillId="3" borderId="0" xfId="0" applyFont="1" applyFill="1" applyBorder="1" applyAlignment="1">
      <alignment horizontal="right"/>
    </xf>
    <xf numFmtId="0" fontId="12" fillId="2" borderId="0" xfId="0" applyFont="1" applyFill="1" applyBorder="1"/>
    <xf numFmtId="0" fontId="31" fillId="2" borderId="0" xfId="0" applyFont="1" applyFill="1" applyBorder="1"/>
    <xf numFmtId="0" fontId="10" fillId="0" borderId="0" xfId="0" applyFont="1"/>
    <xf numFmtId="0" fontId="30" fillId="0" borderId="0" xfId="0" applyFont="1"/>
    <xf numFmtId="2" fontId="12" fillId="0" borderId="0" xfId="0" applyNumberFormat="1" applyFont="1" applyAlignment="1">
      <alignment horizontal="center"/>
    </xf>
    <xf numFmtId="1" fontId="18" fillId="0" borderId="0" xfId="0" applyNumberFormat="1" applyFont="1" applyBorder="1" applyAlignment="1">
      <alignment horizontal="center" vertical="center"/>
    </xf>
    <xf numFmtId="3" fontId="0" fillId="0" borderId="0" xfId="0" applyNumberFormat="1" applyFont="1" applyFill="1" applyBorder="1"/>
    <xf numFmtId="0" fontId="4" fillId="3" borderId="0" xfId="0" applyFont="1" applyFill="1" applyAlignment="1">
      <alignment horizontal="center"/>
    </xf>
    <xf numFmtId="0" fontId="0" fillId="0" borderId="0" xfId="0" applyFill="1" applyAlignment="1">
      <alignment horizontal="center"/>
    </xf>
    <xf numFmtId="0" fontId="4" fillId="0" borderId="0" xfId="0" applyFont="1" applyFill="1" applyAlignment="1">
      <alignment horizontal="center"/>
    </xf>
    <xf numFmtId="0" fontId="33" fillId="0" borderId="0" xfId="0" applyFont="1" applyBorder="1" applyAlignment="1"/>
    <xf numFmtId="3" fontId="12" fillId="0" borderId="42" xfId="0" applyNumberFormat="1" applyFont="1" applyBorder="1"/>
    <xf numFmtId="3" fontId="0" fillId="0" borderId="0" xfId="1" applyNumberFormat="1" applyFont="1"/>
    <xf numFmtId="2" fontId="0" fillId="6" borderId="83" xfId="0" applyNumberFormat="1" applyFill="1" applyBorder="1" applyAlignment="1">
      <alignment horizontal="center"/>
    </xf>
    <xf numFmtId="2" fontId="4" fillId="6" borderId="83" xfId="0" applyNumberFormat="1" applyFont="1" applyFill="1" applyBorder="1"/>
    <xf numFmtId="2" fontId="0" fillId="6" borderId="0" xfId="0" applyNumberFormat="1" applyFill="1" applyBorder="1" applyAlignment="1">
      <alignment horizontal="center"/>
    </xf>
    <xf numFmtId="2" fontId="9" fillId="6" borderId="0" xfId="0" applyNumberFormat="1" applyFont="1" applyFill="1"/>
    <xf numFmtId="2" fontId="0" fillId="6" borderId="0" xfId="0" applyNumberFormat="1" applyFont="1" applyFill="1"/>
    <xf numFmtId="2" fontId="4" fillId="6" borderId="0" xfId="0" applyNumberFormat="1" applyFont="1" applyFill="1" applyBorder="1" applyAlignment="1">
      <alignment horizontal="center"/>
    </xf>
    <xf numFmtId="2" fontId="0" fillId="10" borderId="0" xfId="0" applyNumberFormat="1" applyFont="1" applyFill="1" applyBorder="1" applyProtection="1"/>
    <xf numFmtId="0" fontId="0" fillId="0" borderId="0" xfId="0" applyNumberFormat="1" applyAlignment="1">
      <alignment horizontal="center"/>
    </xf>
    <xf numFmtId="0" fontId="0" fillId="0" borderId="9" xfId="0" applyFont="1" applyBorder="1" applyAlignment="1"/>
    <xf numFmtId="0" fontId="0" fillId="0" borderId="9" xfId="0" applyFont="1" applyFill="1" applyBorder="1" applyAlignment="1"/>
    <xf numFmtId="0" fontId="4" fillId="0" borderId="9" xfId="0" applyFont="1" applyFill="1" applyBorder="1" applyAlignment="1"/>
    <xf numFmtId="0" fontId="0" fillId="0" borderId="15" xfId="0" applyBorder="1" applyAlignment="1"/>
    <xf numFmtId="0" fontId="4" fillId="0" borderId="9" xfId="0" applyFont="1" applyBorder="1" applyAlignment="1"/>
    <xf numFmtId="0" fontId="0" fillId="2" borderId="0" xfId="0" applyFont="1" applyFill="1" applyBorder="1" applyAlignment="1"/>
    <xf numFmtId="0" fontId="0" fillId="2" borderId="0" xfId="0" applyFill="1" applyBorder="1" applyAlignment="1"/>
    <xf numFmtId="0" fontId="4" fillId="0" borderId="6" xfId="0" applyFont="1" applyBorder="1" applyAlignment="1"/>
    <xf numFmtId="0" fontId="0" fillId="0" borderId="9" xfId="0" applyFont="1" applyBorder="1" applyAlignment="1">
      <alignment horizontal="left"/>
    </xf>
    <xf numFmtId="0" fontId="0" fillId="2" borderId="0" xfId="0" applyFont="1" applyFill="1" applyBorder="1" applyAlignment="1">
      <alignment wrapText="1"/>
    </xf>
    <xf numFmtId="0" fontId="0" fillId="2" borderId="0" xfId="0" quotePrefix="1" applyFill="1" applyBorder="1" applyAlignment="1"/>
    <xf numFmtId="0" fontId="4" fillId="2" borderId="1" xfId="0" applyFont="1" applyFill="1" applyBorder="1" applyAlignment="1"/>
    <xf numFmtId="0" fontId="8" fillId="2" borderId="0" xfId="2" applyNumberFormat="1" applyFont="1" applyFill="1" applyBorder="1" applyAlignment="1" applyProtection="1"/>
    <xf numFmtId="0" fontId="0" fillId="2" borderId="0" xfId="0" applyFont="1" applyFill="1" applyBorder="1" applyAlignment="1">
      <alignment horizontal="left"/>
    </xf>
    <xf numFmtId="0" fontId="6" fillId="2" borderId="0" xfId="0" applyFont="1" applyFill="1" applyBorder="1" applyAlignment="1">
      <alignment horizontal="left"/>
    </xf>
    <xf numFmtId="0" fontId="6" fillId="3" borderId="0" xfId="0" applyFont="1" applyFill="1" applyBorder="1" applyAlignment="1">
      <alignment horizontal="left"/>
    </xf>
    <xf numFmtId="0" fontId="3" fillId="2" borderId="0" xfId="0" applyFont="1" applyFill="1" applyBorder="1" applyAlignment="1">
      <alignment horizontal="center"/>
    </xf>
    <xf numFmtId="0" fontId="4" fillId="0" borderId="0" xfId="0" applyFont="1" applyBorder="1" applyAlignment="1">
      <alignment horizontal="left"/>
    </xf>
    <xf numFmtId="0" fontId="4" fillId="0" borderId="0" xfId="0" applyFont="1" applyBorder="1" applyAlignment="1"/>
    <xf numFmtId="0" fontId="0" fillId="0" borderId="0" xfId="0" applyFont="1" applyBorder="1" applyAlignment="1"/>
    <xf numFmtId="0" fontId="4" fillId="0" borderId="28" xfId="0" applyFont="1" applyBorder="1" applyAlignment="1"/>
    <xf numFmtId="0" fontId="4" fillId="2" borderId="92" xfId="0" applyFont="1" applyFill="1" applyBorder="1" applyAlignment="1"/>
    <xf numFmtId="0" fontId="0" fillId="0" borderId="0" xfId="0" applyAlignment="1"/>
    <xf numFmtId="0" fontId="4" fillId="0" borderId="1" xfId="0" applyFont="1" applyBorder="1" applyAlignment="1"/>
    <xf numFmtId="0" fontId="3" fillId="0" borderId="57" xfId="0" applyFont="1" applyBorder="1" applyAlignment="1"/>
    <xf numFmtId="0" fontId="3" fillId="0" borderId="122" xfId="0" applyFont="1" applyBorder="1" applyAlignment="1"/>
    <xf numFmtId="0" fontId="6" fillId="5" borderId="123" xfId="0" applyFont="1" applyFill="1" applyBorder="1" applyAlignment="1"/>
    <xf numFmtId="0" fontId="6" fillId="5" borderId="124" xfId="0" applyFont="1" applyFill="1" applyBorder="1" applyAlignment="1"/>
    <xf numFmtId="0" fontId="4" fillId="0" borderId="57" xfId="0" applyFont="1" applyBorder="1" applyAlignment="1"/>
    <xf numFmtId="0" fontId="4" fillId="0" borderId="122" xfId="0" applyFont="1" applyBorder="1" applyAlignment="1"/>
    <xf numFmtId="0" fontId="8" fillId="2" borderId="92" xfId="2" applyFont="1" applyFill="1" applyBorder="1" applyAlignment="1" applyProtection="1"/>
    <xf numFmtId="0" fontId="8" fillId="2" borderId="92" xfId="2" applyFont="1" applyFill="1" applyBorder="1"/>
    <xf numFmtId="0" fontId="8" fillId="2" borderId="0" xfId="2" applyFont="1" applyFill="1" applyBorder="1"/>
  </cellXfs>
  <cellStyles count="19">
    <cellStyle name="Comma" xfId="1" builtinId="3"/>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Hyperlink" xfId="2" builtinId="8"/>
    <cellStyle name="Normal" xfId="0" builtinId="0"/>
    <cellStyle name="Normal 2" xfId="3"/>
    <cellStyle name="Normal 2 2" xfId="4"/>
    <cellStyle name="Normal 48" xfId="5"/>
    <cellStyle name="Normal 48 2" xfId="6"/>
    <cellStyle name="Percent" xfId="7" builtinId="5"/>
    <cellStyle name="Percent 2" xfId="8"/>
  </cellStyles>
  <dxfs count="44">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52"/>
          <bgColor indexed="53"/>
        </patternFill>
      </fill>
    </dxf>
    <dxf>
      <fill>
        <patternFill patternType="solid">
          <fgColor indexed="35"/>
          <bgColor indexed="15"/>
        </patternFill>
      </fill>
    </dxf>
    <dxf>
      <fill>
        <patternFill patternType="solid">
          <fgColor indexed="60"/>
          <bgColor indexed="10"/>
        </patternFill>
      </fill>
    </dxf>
    <dxf>
      <fill>
        <patternFill patternType="solid">
          <fgColor indexed="49"/>
          <bgColor indexed="40"/>
        </patternFill>
      </fill>
    </dxf>
    <dxf>
      <fill>
        <patternFill patternType="solid">
          <fgColor indexed="52"/>
          <bgColor indexed="53"/>
        </patternFill>
      </fill>
    </dxf>
    <dxf>
      <fill>
        <patternFill patternType="solid">
          <fgColor indexed="35"/>
          <bgColor indexed="15"/>
        </patternFill>
      </fill>
    </dxf>
    <dxf>
      <fill>
        <patternFill patternType="solid">
          <fgColor indexed="60"/>
          <bgColor indexed="10"/>
        </patternFill>
      </fill>
    </dxf>
    <dxf>
      <fill>
        <patternFill patternType="solid">
          <fgColor indexed="49"/>
          <bgColor indexed="40"/>
        </patternFill>
      </fill>
    </dxf>
  </dxfs>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1" Type="http://schemas.openxmlformats.org/officeDocument/2006/relationships/image" Target="../media/image1.jpeg"/></Relationships>
</file>

<file path=xl/charts/_rels/chart4.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8.xml"/></Relationships>
</file>

<file path=xl/charts/_rels/chart9.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9.xml"/></Relationships>
</file>

<file path=xl/charts/_rels/chart10.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0.xml"/></Relationships>
</file>

<file path=xl/charts/_rels/chart1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3.xml"/></Relationships>
</file>

<file path=xl/charts/_rels/chart14.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1" Type="http://schemas.openxmlformats.org/officeDocument/2006/relationships/image" Target="../media/image1.jpeg"/></Relationships>
</file>

<file path=xl/charts/_rels/chart17.xml.rels><?xml version="1.0" encoding="UTF-8" standalone="yes"?>
<Relationships xmlns="http://schemas.openxmlformats.org/package/2006/relationships"><Relationship Id="rId1" Type="http://schemas.openxmlformats.org/officeDocument/2006/relationships/image" Target="../media/image1.jpeg"/></Relationships>
</file>

<file path=xl/charts/_rels/chart18.xml.rels><?xml version="1.0" encoding="UTF-8" standalone="yes"?>
<Relationships xmlns="http://schemas.openxmlformats.org/package/2006/relationships"><Relationship Id="rId1" Type="http://schemas.openxmlformats.org/officeDocument/2006/relationships/image" Target="../media/image1.jpeg"/></Relationships>
</file>

<file path=xl/charts/_rels/chart19.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7.xml"/></Relationships>
</file>

<file path=xl/charts/_rels/chart20.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chartUserShapes" Target="../drawings/drawing18.xml"/></Relationships>
</file>

<file path=xl/charts/_rels/chart21.xml.rels><?xml version="1.0" encoding="UTF-8" standalone="yes"?>
<Relationships xmlns="http://schemas.openxmlformats.org/package/2006/relationships"><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Returns_85_15!$U$43</c:f>
          <c:strCache>
            <c:ptCount val="1"/>
            <c:pt idx="0">
              <c:v>Rolling Returns (Nominal) 1985 - 2015</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942770522822"/>
          <c:y val="0.107555649055318"/>
          <c:w val="0.862070578286972"/>
          <c:h val="0.781677115981186"/>
        </c:manualLayout>
      </c:layout>
      <c:barChart>
        <c:barDir val="col"/>
        <c:grouping val="clustered"/>
        <c:varyColors val="0"/>
        <c:ser>
          <c:idx val="0"/>
          <c:order val="0"/>
          <c:tx>
            <c:v>3-Year Rolling Returns</c:v>
          </c:tx>
          <c:spPr>
            <a:solidFill>
              <a:srgbClr val="4F81BD"/>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Returns_85_15!$AA$113:$AA$142</c:f>
              <c:numCache>
                <c:formatCode>0.00%</c:formatCode>
                <c:ptCount val="30"/>
                <c:pt idx="0">
                  <c:v>0.154915942790206</c:v>
                </c:pt>
                <c:pt idx="1">
                  <c:v>0.11765889804607</c:v>
                </c:pt>
                <c:pt idx="2">
                  <c:v>0.0873779612995389</c:v>
                </c:pt>
                <c:pt idx="3">
                  <c:v>0.0625711414764471</c:v>
                </c:pt>
                <c:pt idx="4">
                  <c:v>0.0882785427816086</c:v>
                </c:pt>
                <c:pt idx="5">
                  <c:v>0.0701857306846469</c:v>
                </c:pt>
                <c:pt idx="6">
                  <c:v>0.125750393676697</c:v>
                </c:pt>
                <c:pt idx="7">
                  <c:v>0.0635047208061214</c:v>
                </c:pt>
                <c:pt idx="8">
                  <c:v>0.0964321224606514</c:v>
                </c:pt>
                <c:pt idx="9">
                  <c:v>0.0579563427078082</c:v>
                </c:pt>
                <c:pt idx="10">
                  <c:v>0.0908188430681127</c:v>
                </c:pt>
                <c:pt idx="11">
                  <c:v>0.0577066849804106</c:v>
                </c:pt>
                <c:pt idx="12">
                  <c:v>0.0561184652085038</c:v>
                </c:pt>
                <c:pt idx="13">
                  <c:v>0.0625858753338215</c:v>
                </c:pt>
                <c:pt idx="14">
                  <c:v>0.0519367744907708</c:v>
                </c:pt>
                <c:pt idx="15">
                  <c:v>0.0759950550840167</c:v>
                </c:pt>
                <c:pt idx="16">
                  <c:v>0.0980120396071522</c:v>
                </c:pt>
                <c:pt idx="17">
                  <c:v>0.122858087364218</c:v>
                </c:pt>
                <c:pt idx="18">
                  <c:v>0.120781826036825</c:v>
                </c:pt>
                <c:pt idx="19">
                  <c:v>0.0994387138980499</c:v>
                </c:pt>
                <c:pt idx="20">
                  <c:v>0.113564615669568</c:v>
                </c:pt>
                <c:pt idx="21">
                  <c:v>0.0621222897912912</c:v>
                </c:pt>
                <c:pt idx="22">
                  <c:v>0.0819756196625518</c:v>
                </c:pt>
                <c:pt idx="23">
                  <c:v>0.0916812166317278</c:v>
                </c:pt>
                <c:pt idx="24">
                  <c:v>0.152123805794351</c:v>
                </c:pt>
                <c:pt idx="25">
                  <c:v>0.126411035373293</c:v>
                </c:pt>
                <c:pt idx="26">
                  <c:v>0.0538162791056524</c:v>
                </c:pt>
                <c:pt idx="27">
                  <c:v>0.0463711491022742</c:v>
                </c:pt>
                <c:pt idx="28">
                  <c:v>0.00601773129278959</c:v>
                </c:pt>
                <c:pt idx="29">
                  <c:v>0.0</c:v>
                </c:pt>
              </c:numCache>
            </c:numRef>
          </c:val>
        </c:ser>
        <c:ser>
          <c:idx val="1"/>
          <c:order val="1"/>
          <c:tx>
            <c:v>5-Year Rolling Returns</c:v>
          </c:tx>
          <c:spPr>
            <a:solidFill>
              <a:srgbClr val="C0504D"/>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Returns_85_15!$AB$113:$AB$143</c:f>
              <c:numCache>
                <c:formatCode>0.00%</c:formatCode>
                <c:ptCount val="31"/>
                <c:pt idx="0">
                  <c:v>0.131711549412444</c:v>
                </c:pt>
                <c:pt idx="1">
                  <c:v>0.0918598788676716</c:v>
                </c:pt>
                <c:pt idx="2">
                  <c:v>0.0821819947167168</c:v>
                </c:pt>
                <c:pt idx="3">
                  <c:v>0.081137709823968</c:v>
                </c:pt>
                <c:pt idx="4">
                  <c:v>0.0965958660029331</c:v>
                </c:pt>
                <c:pt idx="5">
                  <c:v>0.0678632510553891</c:v>
                </c:pt>
                <c:pt idx="6">
                  <c:v>0.10167946940516</c:v>
                </c:pt>
                <c:pt idx="7">
                  <c:v>0.0781599927550975</c:v>
                </c:pt>
                <c:pt idx="8">
                  <c:v>0.0801690427914252</c:v>
                </c:pt>
                <c:pt idx="9">
                  <c:v>0.0612290776707025</c:v>
                </c:pt>
                <c:pt idx="10">
                  <c:v>0.0736609080726882</c:v>
                </c:pt>
                <c:pt idx="11">
                  <c:v>0.0600371827174737</c:v>
                </c:pt>
                <c:pt idx="12">
                  <c:v>0.0576020302799365</c:v>
                </c:pt>
                <c:pt idx="13">
                  <c:v>0.0648825911195214</c:v>
                </c:pt>
                <c:pt idx="14">
                  <c:v>0.084092178156745</c:v>
                </c:pt>
                <c:pt idx="15">
                  <c:v>0.0972096462890508</c:v>
                </c:pt>
                <c:pt idx="16">
                  <c:v>0.0995018185723382</c:v>
                </c:pt>
                <c:pt idx="17">
                  <c:v>0.113204731437365</c:v>
                </c:pt>
                <c:pt idx="18">
                  <c:v>0.120037865646762</c:v>
                </c:pt>
                <c:pt idx="19">
                  <c:v>0.0777955957395078</c:v>
                </c:pt>
                <c:pt idx="20">
                  <c:v>0.0887059730987682</c:v>
                </c:pt>
                <c:pt idx="21">
                  <c:v>0.102497364688779</c:v>
                </c:pt>
                <c:pt idx="22">
                  <c:v>0.10849382842674</c:v>
                </c:pt>
                <c:pt idx="23">
                  <c:v>0.096224464748788</c:v>
                </c:pt>
                <c:pt idx="24">
                  <c:v>0.0973161930092532</c:v>
                </c:pt>
                <c:pt idx="25">
                  <c:v>0.0864612682655568</c:v>
                </c:pt>
                <c:pt idx="26">
                  <c:v>0.0437713418662253</c:v>
                </c:pt>
                <c:pt idx="27">
                  <c:v>0.0</c:v>
                </c:pt>
                <c:pt idx="28">
                  <c:v>0.0</c:v>
                </c:pt>
                <c:pt idx="29">
                  <c:v>0.0</c:v>
                </c:pt>
                <c:pt idx="30">
                  <c:v>0.0</c:v>
                </c:pt>
              </c:numCache>
            </c:numRef>
          </c:val>
        </c:ser>
        <c:ser>
          <c:idx val="2"/>
          <c:order val="2"/>
          <c:tx>
            <c:v>10-Year Rolling Returns</c:v>
          </c:tx>
          <c:spPr>
            <a:solidFill>
              <a:srgbClr val="9BBB59"/>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Returns_85_15!$AC$113:$AC$143</c:f>
              <c:numCache>
                <c:formatCode>0.00%</c:formatCode>
                <c:ptCount val="31"/>
                <c:pt idx="0">
                  <c:v>0.0993239624480602</c:v>
                </c:pt>
                <c:pt idx="1">
                  <c:v>0.0967586844952353</c:v>
                </c:pt>
                <c:pt idx="2">
                  <c:v>0.0801691217506046</c:v>
                </c:pt>
                <c:pt idx="3">
                  <c:v>0.0806532677719849</c:v>
                </c:pt>
                <c:pt idx="4">
                  <c:v>0.0787675465343764</c:v>
                </c:pt>
                <c:pt idx="5">
                  <c:v>0.0707581556194574</c:v>
                </c:pt>
                <c:pt idx="6">
                  <c:v>0.0806577631266649</c:v>
                </c:pt>
                <c:pt idx="7">
                  <c:v>0.067831539759148</c:v>
                </c:pt>
                <c:pt idx="8">
                  <c:v>0.0724985823463013</c:v>
                </c:pt>
                <c:pt idx="9">
                  <c:v>0.0725997120712392</c:v>
                </c:pt>
                <c:pt idx="10">
                  <c:v>0.0853714134713588</c:v>
                </c:pt>
                <c:pt idx="11">
                  <c:v>0.0795891858258679</c:v>
                </c:pt>
                <c:pt idx="12">
                  <c:v>0.0850472727422471</c:v>
                </c:pt>
                <c:pt idx="13">
                  <c:v>0.0921120933868933</c:v>
                </c:pt>
                <c:pt idx="14">
                  <c:v>0.0809393021779667</c:v>
                </c:pt>
                <c:pt idx="15">
                  <c:v>0.0929495393916759</c:v>
                </c:pt>
                <c:pt idx="16">
                  <c:v>0.100998572863073</c:v>
                </c:pt>
                <c:pt idx="17">
                  <c:v>0.110846782672465</c:v>
                </c:pt>
                <c:pt idx="18">
                  <c:v>0.108067195510722</c:v>
                </c:pt>
                <c:pt idx="19">
                  <c:v>0.0875120964656055</c:v>
                </c:pt>
                <c:pt idx="20">
                  <c:v>0.0875830415656429</c:v>
                </c:pt>
                <c:pt idx="21">
                  <c:v>0.0727325639436811</c:v>
                </c:pt>
                <c:pt idx="22">
                  <c:v>0.0</c:v>
                </c:pt>
                <c:pt idx="23">
                  <c:v>0.0</c:v>
                </c:pt>
                <c:pt idx="24">
                  <c:v>0.0</c:v>
                </c:pt>
                <c:pt idx="25">
                  <c:v>0.0</c:v>
                </c:pt>
                <c:pt idx="26">
                  <c:v>0.0</c:v>
                </c:pt>
                <c:pt idx="27">
                  <c:v>0.0</c:v>
                </c:pt>
                <c:pt idx="28">
                  <c:v>0.0</c:v>
                </c:pt>
                <c:pt idx="29">
                  <c:v>0.0</c:v>
                </c:pt>
                <c:pt idx="30">
                  <c:v>0.0</c:v>
                </c:pt>
              </c:numCache>
            </c:numRef>
          </c:val>
        </c:ser>
        <c:ser>
          <c:idx val="3"/>
          <c:order val="3"/>
          <c:tx>
            <c:v>15-Year Rolling Returns</c:v>
          </c:tx>
          <c:spPr>
            <a:solidFill>
              <a:srgbClr val="8064A2"/>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Returns_85_15!$AD$113:$AD$143</c:f>
              <c:numCache>
                <c:formatCode>0.00%</c:formatCode>
                <c:ptCount val="31"/>
                <c:pt idx="0">
                  <c:v>0.0907021686356215</c:v>
                </c:pt>
                <c:pt idx="1">
                  <c:v>0.0843789731328253</c:v>
                </c:pt>
                <c:pt idx="2">
                  <c:v>0.0725937550901434</c:v>
                </c:pt>
                <c:pt idx="3">
                  <c:v>0.0753705937682014</c:v>
                </c:pt>
                <c:pt idx="4">
                  <c:v>0.0805395115489482</c:v>
                </c:pt>
                <c:pt idx="5">
                  <c:v>0.0795036945219005</c:v>
                </c:pt>
                <c:pt idx="6">
                  <c:v>0.0869029540558475</c:v>
                </c:pt>
                <c:pt idx="7">
                  <c:v>0.0827466381398354</c:v>
                </c:pt>
                <c:pt idx="8">
                  <c:v>0.0881164759243025</c:v>
                </c:pt>
                <c:pt idx="9">
                  <c:v>0.074328884142743</c:v>
                </c:pt>
                <c:pt idx="10">
                  <c:v>0.0864817969877618</c:v>
                </c:pt>
                <c:pt idx="11">
                  <c:v>0.0871718625486954</c:v>
                </c:pt>
                <c:pt idx="12">
                  <c:v>0.0928071629041995</c:v>
                </c:pt>
                <c:pt idx="13">
                  <c:v>0.0934811668510034</c:v>
                </c:pt>
                <c:pt idx="14">
                  <c:v>0.0863709266398165</c:v>
                </c:pt>
                <c:pt idx="15">
                  <c:v>0.0907824884588097</c:v>
                </c:pt>
                <c:pt idx="16">
                  <c:v>0.0815824379845116</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numCache>
            </c:numRef>
          </c:val>
        </c:ser>
        <c:dLbls>
          <c:showLegendKey val="0"/>
          <c:showVal val="0"/>
          <c:showCatName val="0"/>
          <c:showSerName val="0"/>
          <c:showPercent val="0"/>
          <c:showBubbleSize val="0"/>
        </c:dLbls>
        <c:gapWidth val="150"/>
        <c:axId val="-2119033896"/>
        <c:axId val="-2119037640"/>
      </c:barChart>
      <c:dateAx>
        <c:axId val="-2119033896"/>
        <c:scaling>
          <c:orientation val="minMax"/>
        </c:scaling>
        <c:delete val="0"/>
        <c:axPos val="b"/>
        <c:majorGridlines>
          <c:spPr>
            <a:ln w="3175">
              <a:solidFill>
                <a:srgbClr val="C0C0C0"/>
              </a:solidFill>
              <a:prstDash val="solid"/>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9037640"/>
        <c:crosses val="autoZero"/>
        <c:auto val="0"/>
        <c:lblOffset val="100"/>
        <c:baseTimeUnit val="days"/>
      </c:dateAx>
      <c:valAx>
        <c:axId val="-2119037640"/>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9033896"/>
        <c:crosses val="autoZero"/>
        <c:crossBetween val="between"/>
      </c:valAx>
      <c:spPr>
        <a:solidFill>
          <a:srgbClr val="FFFFFF"/>
        </a:solidFill>
        <a:ln w="12700">
          <a:solidFill>
            <a:srgbClr val="808080"/>
          </a:solidFill>
          <a:prstDash val="solid"/>
        </a:ln>
      </c:spPr>
    </c:plotArea>
    <c:legend>
      <c:legendPos val="r"/>
      <c:layout>
        <c:manualLayout>
          <c:xMode val="edge"/>
          <c:yMode val="edge"/>
          <c:wMode val="edge"/>
          <c:hMode val="edge"/>
          <c:x val="0.319098706411698"/>
          <c:y val="0.107555555555556"/>
          <c:w val="0.676473284589426"/>
          <c:h val="0.191222222222222"/>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Returns_85_15!$Y$43</c:f>
          <c:strCache>
            <c:ptCount val="1"/>
            <c:pt idx="0">
              <c:v>Rolling Returns (Nominal) 1871 - 2015</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2917880818142"/>
          <c:y val="0.101989419291339"/>
          <c:w val="0.862070578286972"/>
          <c:h val="0.785892388451444"/>
        </c:manualLayout>
      </c:layout>
      <c:barChart>
        <c:barDir val="col"/>
        <c:grouping val="clustered"/>
        <c:varyColors val="0"/>
        <c:ser>
          <c:idx val="0"/>
          <c:order val="0"/>
          <c:tx>
            <c:v>3-Year Rolling Returns</c:v>
          </c:tx>
          <c:spPr>
            <a:solidFill>
              <a:srgbClr val="4F81BD"/>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Returns_All!$AA$339:$AA$484</c:f>
              <c:numCache>
                <c:formatCode>0.00%</c:formatCode>
                <c:ptCount val="146"/>
                <c:pt idx="0">
                  <c:v>0.0673621564778646</c:v>
                </c:pt>
                <c:pt idx="1">
                  <c:v>0.0555080505281276</c:v>
                </c:pt>
                <c:pt idx="2">
                  <c:v>0.0454846301586871</c:v>
                </c:pt>
                <c:pt idx="3">
                  <c:v>0.0176877330700718</c:v>
                </c:pt>
                <c:pt idx="4">
                  <c:v>-0.00346277893958702</c:v>
                </c:pt>
                <c:pt idx="5">
                  <c:v>0.0167172256130335</c:v>
                </c:pt>
                <c:pt idx="6">
                  <c:v>0.133774962691667</c:v>
                </c:pt>
                <c:pt idx="7">
                  <c:v>0.197227481749522</c:v>
                </c:pt>
                <c:pt idx="8">
                  <c:v>0.160205893866908</c:v>
                </c:pt>
                <c:pt idx="9">
                  <c:v>0.0742775354177214</c:v>
                </c:pt>
                <c:pt idx="10">
                  <c:v>0.0104443064368311</c:v>
                </c:pt>
                <c:pt idx="11">
                  <c:v>-0.0113826500246313</c:v>
                </c:pt>
                <c:pt idx="12">
                  <c:v>0.0344380074854353</c:v>
                </c:pt>
                <c:pt idx="13">
                  <c:v>0.0640923211897275</c:v>
                </c:pt>
                <c:pt idx="14">
                  <c:v>0.0877333001533507</c:v>
                </c:pt>
                <c:pt idx="15">
                  <c:v>0.0404804215050785</c:v>
                </c:pt>
                <c:pt idx="16">
                  <c:v>0.0345845706105474</c:v>
                </c:pt>
                <c:pt idx="17">
                  <c:v>0.0187055445675301</c:v>
                </c:pt>
                <c:pt idx="18">
                  <c:v>0.0510774165107735</c:v>
                </c:pt>
                <c:pt idx="19">
                  <c:v>0.0404779760380085</c:v>
                </c:pt>
                <c:pt idx="20">
                  <c:v>0.0298433454669533</c:v>
                </c:pt>
                <c:pt idx="21">
                  <c:v>-0.00137129238736688</c:v>
                </c:pt>
                <c:pt idx="22">
                  <c:v>0.000275652959895289</c:v>
                </c:pt>
                <c:pt idx="23">
                  <c:v>0.0377050968674253</c:v>
                </c:pt>
                <c:pt idx="24">
                  <c:v>0.0681126833064334</c:v>
                </c:pt>
                <c:pt idx="25">
                  <c:v>0.123134954318406</c:v>
                </c:pt>
                <c:pt idx="26">
                  <c:v>0.113757801292965</c:v>
                </c:pt>
                <c:pt idx="27">
                  <c:v>0.116123541280039</c:v>
                </c:pt>
                <c:pt idx="28">
                  <c:v>0.095285141763765</c:v>
                </c:pt>
                <c:pt idx="29">
                  <c:v>0.105710384859147</c:v>
                </c:pt>
                <c:pt idx="30">
                  <c:v>0.0288405912277922</c:v>
                </c:pt>
                <c:pt idx="31">
                  <c:v>0.0510438589203279</c:v>
                </c:pt>
                <c:pt idx="32">
                  <c:v>0.075735832389834</c:v>
                </c:pt>
                <c:pt idx="33">
                  <c:v>0.110524841256869</c:v>
                </c:pt>
                <c:pt idx="34">
                  <c:v>0.000173131536708615</c:v>
                </c:pt>
                <c:pt idx="35">
                  <c:v>0.0361049652533052</c:v>
                </c:pt>
                <c:pt idx="36">
                  <c:v>0.0654272330628587</c:v>
                </c:pt>
                <c:pt idx="37">
                  <c:v>0.114887740523</c:v>
                </c:pt>
                <c:pt idx="38">
                  <c:v>0.0445031262325282</c:v>
                </c:pt>
                <c:pt idx="39">
                  <c:v>0.0273742264480297</c:v>
                </c:pt>
                <c:pt idx="40">
                  <c:v>0.0258450245972599</c:v>
                </c:pt>
                <c:pt idx="41">
                  <c:v>0.0108429174700044</c:v>
                </c:pt>
                <c:pt idx="42">
                  <c:v>0.0590340825903608</c:v>
                </c:pt>
                <c:pt idx="43">
                  <c:v>0.0807094331582494</c:v>
                </c:pt>
                <c:pt idx="44">
                  <c:v>0.0458737837613226</c:v>
                </c:pt>
                <c:pt idx="45">
                  <c:v>0.0221410194155682</c:v>
                </c:pt>
                <c:pt idx="46">
                  <c:v>0.0393932999362645</c:v>
                </c:pt>
                <c:pt idx="47">
                  <c:v>0.0539463923544954</c:v>
                </c:pt>
                <c:pt idx="48">
                  <c:v>0.048218412137508</c:v>
                </c:pt>
                <c:pt idx="49">
                  <c:v>0.0700082339004882</c:v>
                </c:pt>
                <c:pt idx="50">
                  <c:v>0.114435339175381</c:v>
                </c:pt>
                <c:pt idx="51">
                  <c:v>0.138791793091665</c:v>
                </c:pt>
                <c:pt idx="52">
                  <c:v>0.131946459094701</c:v>
                </c:pt>
                <c:pt idx="53">
                  <c:v>0.142827699103704</c:v>
                </c:pt>
                <c:pt idx="54">
                  <c:v>0.159328785826535</c:v>
                </c:pt>
                <c:pt idx="55">
                  <c:v>0.19603187719199</c:v>
                </c:pt>
                <c:pt idx="56">
                  <c:v>0.154771632446187</c:v>
                </c:pt>
                <c:pt idx="57">
                  <c:v>0.0382484551683913</c:v>
                </c:pt>
                <c:pt idx="58">
                  <c:v>-0.13293352969166</c:v>
                </c:pt>
                <c:pt idx="59">
                  <c:v>-0.131750464563416</c:v>
                </c:pt>
                <c:pt idx="60">
                  <c:v>-0.00413282285185379</c:v>
                </c:pt>
                <c:pt idx="61">
                  <c:v>0.0878221743954883</c:v>
                </c:pt>
                <c:pt idx="62">
                  <c:v>0.20522740738959</c:v>
                </c:pt>
                <c:pt idx="63">
                  <c:v>0.161916390992588</c:v>
                </c:pt>
                <c:pt idx="64">
                  <c:v>0.100569290515168</c:v>
                </c:pt>
                <c:pt idx="65">
                  <c:v>0.033433740405725</c:v>
                </c:pt>
                <c:pt idx="66">
                  <c:v>-0.0195324210603202</c:v>
                </c:pt>
                <c:pt idx="67">
                  <c:v>0.0309123935255591</c:v>
                </c:pt>
                <c:pt idx="68">
                  <c:v>-0.0199518603349559</c:v>
                </c:pt>
                <c:pt idx="69">
                  <c:v>0.00940421836584737</c:v>
                </c:pt>
                <c:pt idx="70">
                  <c:v>0.0723807461279957</c:v>
                </c:pt>
                <c:pt idx="71">
                  <c:v>0.135227382156231</c:v>
                </c:pt>
                <c:pt idx="72">
                  <c:v>0.17271295691589</c:v>
                </c:pt>
                <c:pt idx="73">
                  <c:v>0.0948718258413266</c:v>
                </c:pt>
                <c:pt idx="74">
                  <c:v>0.060026998939664</c:v>
                </c:pt>
                <c:pt idx="75">
                  <c:v>0.00804858097790695</c:v>
                </c:pt>
                <c:pt idx="76">
                  <c:v>0.0683855183442425</c:v>
                </c:pt>
                <c:pt idx="77">
                  <c:v>0.128980960237294</c:v>
                </c:pt>
                <c:pt idx="78">
                  <c:v>0.150537460534625</c:v>
                </c:pt>
                <c:pt idx="79">
                  <c:v>0.142480509388623</c:v>
                </c:pt>
                <c:pt idx="80">
                  <c:v>0.0864636032016894</c:v>
                </c:pt>
                <c:pt idx="81">
                  <c:v>0.133031250642157</c:v>
                </c:pt>
                <c:pt idx="82">
                  <c:v>0.160480593840526</c:v>
                </c:pt>
                <c:pt idx="83">
                  <c:v>0.161747039813464</c:v>
                </c:pt>
                <c:pt idx="84">
                  <c:v>0.0657186835652552</c:v>
                </c:pt>
                <c:pt idx="85">
                  <c:v>0.082865937197234</c:v>
                </c:pt>
                <c:pt idx="86">
                  <c:v>0.0845254903566506</c:v>
                </c:pt>
                <c:pt idx="87">
                  <c:v>0.115886263652512</c:v>
                </c:pt>
                <c:pt idx="88">
                  <c:v>0.0828779486189393</c:v>
                </c:pt>
                <c:pt idx="89">
                  <c:v>0.0688577237511492</c:v>
                </c:pt>
                <c:pt idx="90">
                  <c:v>0.0864932356493459</c:v>
                </c:pt>
                <c:pt idx="91">
                  <c:v>0.0822852803122747</c:v>
                </c:pt>
                <c:pt idx="92">
                  <c:v>0.106195339502274</c:v>
                </c:pt>
                <c:pt idx="93">
                  <c:v>0.0545188137111363</c:v>
                </c:pt>
                <c:pt idx="94">
                  <c:v>0.0504820919110913</c:v>
                </c:pt>
                <c:pt idx="95">
                  <c:v>0.0505859665281136</c:v>
                </c:pt>
                <c:pt idx="96">
                  <c:v>0.0372356471194968</c:v>
                </c:pt>
                <c:pt idx="97">
                  <c:v>0.040009662619521</c:v>
                </c:pt>
                <c:pt idx="98">
                  <c:v>0.0523886371261892</c:v>
                </c:pt>
                <c:pt idx="99">
                  <c:v>0.113534344172235</c:v>
                </c:pt>
                <c:pt idx="100">
                  <c:v>0.0465721537248971</c:v>
                </c:pt>
                <c:pt idx="101">
                  <c:v>-0.0266637736718758</c:v>
                </c:pt>
                <c:pt idx="102">
                  <c:v>0.0125971222138768</c:v>
                </c:pt>
                <c:pt idx="103">
                  <c:v>0.0787234066453613</c:v>
                </c:pt>
                <c:pt idx="104">
                  <c:v>0.104262836224846</c:v>
                </c:pt>
                <c:pt idx="105">
                  <c:v>0.0571706261513165</c:v>
                </c:pt>
                <c:pt idx="106">
                  <c:v>0.0572183024814323</c:v>
                </c:pt>
                <c:pt idx="107">
                  <c:v>0.128018006345485</c:v>
                </c:pt>
                <c:pt idx="108">
                  <c:v>0.0842060821814103</c:v>
                </c:pt>
                <c:pt idx="109">
                  <c:v>0.14396736021293</c:v>
                </c:pt>
                <c:pt idx="110">
                  <c:v>0.136651106265727</c:v>
                </c:pt>
                <c:pt idx="111">
                  <c:v>0.180143187137142</c:v>
                </c:pt>
                <c:pt idx="112">
                  <c:v>0.159101432439052</c:v>
                </c:pt>
                <c:pt idx="113">
                  <c:v>0.196503364414132</c:v>
                </c:pt>
                <c:pt idx="114">
                  <c:v>0.156484455851137</c:v>
                </c:pt>
                <c:pt idx="115">
                  <c:v>0.121703446115404</c:v>
                </c:pt>
                <c:pt idx="116">
                  <c:v>0.100885469547925</c:v>
                </c:pt>
                <c:pt idx="117">
                  <c:v>0.116220445287936</c:v>
                </c:pt>
                <c:pt idx="118">
                  <c:v>0.153418328870624</c:v>
                </c:pt>
                <c:pt idx="119">
                  <c:v>0.117331292837753</c:v>
                </c:pt>
                <c:pt idx="120">
                  <c:v>0.143898265844967</c:v>
                </c:pt>
                <c:pt idx="121">
                  <c:v>0.0595144256238227</c:v>
                </c:pt>
                <c:pt idx="122">
                  <c:v>0.12132562362931</c:v>
                </c:pt>
                <c:pt idx="123">
                  <c:v>0.141138112813749</c:v>
                </c:pt>
                <c:pt idx="124">
                  <c:v>0.219772821851784</c:v>
                </c:pt>
                <c:pt idx="125">
                  <c:v>0.200842990238817</c:v>
                </c:pt>
                <c:pt idx="126">
                  <c:v>0.169328519137264</c:v>
                </c:pt>
                <c:pt idx="127">
                  <c:v>0.106539500134791</c:v>
                </c:pt>
                <c:pt idx="128">
                  <c:v>0.0166761744872643</c:v>
                </c:pt>
                <c:pt idx="129">
                  <c:v>-0.0352005930468103</c:v>
                </c:pt>
                <c:pt idx="130">
                  <c:v>0.0129838480505713</c:v>
                </c:pt>
                <c:pt idx="131">
                  <c:v>0.0460187973634056</c:v>
                </c:pt>
                <c:pt idx="132">
                  <c:v>0.0983880081417261</c:v>
                </c:pt>
                <c:pt idx="133">
                  <c:v>0.0680475277439407</c:v>
                </c:pt>
                <c:pt idx="134">
                  <c:v>0.0666270766665844</c:v>
                </c:pt>
                <c:pt idx="135">
                  <c:v>-0.0194094358839073</c:v>
                </c:pt>
                <c:pt idx="136">
                  <c:v>0.00878349600510164</c:v>
                </c:pt>
                <c:pt idx="137">
                  <c:v>0.0341162351548938</c:v>
                </c:pt>
                <c:pt idx="138">
                  <c:v>0.121318862462408</c:v>
                </c:pt>
                <c:pt idx="139">
                  <c:v>0.0954180481269429</c:v>
                </c:pt>
                <c:pt idx="140">
                  <c:v>0.103226367125002</c:v>
                </c:pt>
                <c:pt idx="141">
                  <c:v>0.118327595404243</c:v>
                </c:pt>
                <c:pt idx="142">
                  <c:v>0.0756077189357558</c:v>
                </c:pt>
                <c:pt idx="143">
                  <c:v>0.0</c:v>
                </c:pt>
                <c:pt idx="144">
                  <c:v>0.0</c:v>
                </c:pt>
                <c:pt idx="145">
                  <c:v>0.0</c:v>
                </c:pt>
              </c:numCache>
            </c:numRef>
          </c:val>
        </c:ser>
        <c:ser>
          <c:idx val="1"/>
          <c:order val="1"/>
          <c:tx>
            <c:v>5-Year Rolling Returns</c:v>
          </c:tx>
          <c:spPr>
            <a:solidFill>
              <a:srgbClr val="C0504D"/>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Returns_All!$AB$339:$AB$484</c:f>
              <c:numCache>
                <c:formatCode>0.00%</c:formatCode>
                <c:ptCount val="146"/>
                <c:pt idx="0">
                  <c:v>0.0640505754512088</c:v>
                </c:pt>
                <c:pt idx="1">
                  <c:v>0.0305677141652558</c:v>
                </c:pt>
                <c:pt idx="2">
                  <c:v>0.0145667772126514</c:v>
                </c:pt>
                <c:pt idx="3">
                  <c:v>0.0334638728276033</c:v>
                </c:pt>
                <c:pt idx="4">
                  <c:v>0.0757608126056264</c:v>
                </c:pt>
                <c:pt idx="5">
                  <c:v>0.10051521635421</c:v>
                </c:pt>
                <c:pt idx="6">
                  <c:v>0.118014963150169</c:v>
                </c:pt>
                <c:pt idx="7">
                  <c:v>0.1253548883191</c:v>
                </c:pt>
                <c:pt idx="8">
                  <c:v>0.0964362142541897</c:v>
                </c:pt>
                <c:pt idx="9">
                  <c:v>0.029789443501798</c:v>
                </c:pt>
                <c:pt idx="10">
                  <c:v>0.0308754017905677</c:v>
                </c:pt>
                <c:pt idx="11">
                  <c:v>0.0409980513352861</c:v>
                </c:pt>
                <c:pt idx="12">
                  <c:v>0.0375092887839343</c:v>
                </c:pt>
                <c:pt idx="13">
                  <c:v>0.0491536496480138</c:v>
                </c:pt>
                <c:pt idx="14">
                  <c:v>0.0697753291818697</c:v>
                </c:pt>
                <c:pt idx="15">
                  <c:v>0.0280127809369681</c:v>
                </c:pt>
                <c:pt idx="16">
                  <c:v>0.0414353933580951</c:v>
                </c:pt>
                <c:pt idx="17">
                  <c:v>0.0416429015416921</c:v>
                </c:pt>
                <c:pt idx="18">
                  <c:v>0.0216940561226162</c:v>
                </c:pt>
                <c:pt idx="19">
                  <c:v>0.0195655736222318</c:v>
                </c:pt>
                <c:pt idx="20">
                  <c:v>0.0302947231507424</c:v>
                </c:pt>
                <c:pt idx="21">
                  <c:v>0.0138749984987476</c:v>
                </c:pt>
                <c:pt idx="22">
                  <c:v>0.0357278897120243</c:v>
                </c:pt>
                <c:pt idx="23">
                  <c:v>0.0853203380927752</c:v>
                </c:pt>
                <c:pt idx="24">
                  <c:v>0.0824714263806792</c:v>
                </c:pt>
                <c:pt idx="25">
                  <c:v>0.106117371935733</c:v>
                </c:pt>
                <c:pt idx="26">
                  <c:v>0.121062664647684</c:v>
                </c:pt>
                <c:pt idx="27">
                  <c:v>0.105174946168134</c:v>
                </c:pt>
                <c:pt idx="28">
                  <c:v>0.0494237800440156</c:v>
                </c:pt>
                <c:pt idx="29">
                  <c:v>0.0827493638919538</c:v>
                </c:pt>
                <c:pt idx="30">
                  <c:v>0.0810033780894648</c:v>
                </c:pt>
                <c:pt idx="31">
                  <c:v>0.0581605103781102</c:v>
                </c:pt>
                <c:pt idx="32">
                  <c:v>0.0195023103290821</c:v>
                </c:pt>
                <c:pt idx="33">
                  <c:v>0.0855765413078295</c:v>
                </c:pt>
                <c:pt idx="34">
                  <c:v>0.0668253396194729</c:v>
                </c:pt>
                <c:pt idx="35">
                  <c:v>0.0416061062065436</c:v>
                </c:pt>
                <c:pt idx="36">
                  <c:v>0.0463797581411658</c:v>
                </c:pt>
                <c:pt idx="37">
                  <c:v>0.084140110143222</c:v>
                </c:pt>
                <c:pt idx="38">
                  <c:v>0.0354051435754223</c:v>
                </c:pt>
                <c:pt idx="39">
                  <c:v>0.0138769675815433</c:v>
                </c:pt>
                <c:pt idx="40">
                  <c:v>0.0512177628104036</c:v>
                </c:pt>
                <c:pt idx="41">
                  <c:v>0.0567927786529858</c:v>
                </c:pt>
                <c:pt idx="42">
                  <c:v>0.0247917571348886</c:v>
                </c:pt>
                <c:pt idx="43">
                  <c:v>0.0489387445416793</c:v>
                </c:pt>
                <c:pt idx="44">
                  <c:v>0.0746018434064188</c:v>
                </c:pt>
                <c:pt idx="45">
                  <c:v>0.0218350002772907</c:v>
                </c:pt>
                <c:pt idx="46">
                  <c:v>0.0299018355098279</c:v>
                </c:pt>
                <c:pt idx="47">
                  <c:v>0.0894123313593222</c:v>
                </c:pt>
                <c:pt idx="48">
                  <c:v>0.0762352416147061</c:v>
                </c:pt>
                <c:pt idx="49">
                  <c:v>0.0879137895406912</c:v>
                </c:pt>
                <c:pt idx="50">
                  <c:v>0.137094882693043</c:v>
                </c:pt>
                <c:pt idx="51">
                  <c:v>0.133508010123889</c:v>
                </c:pt>
                <c:pt idx="52">
                  <c:v>0.141526982396809</c:v>
                </c:pt>
                <c:pt idx="53">
                  <c:v>0.186340707422937</c:v>
                </c:pt>
                <c:pt idx="54">
                  <c:v>0.143024818392626</c:v>
                </c:pt>
                <c:pt idx="55">
                  <c:v>0.083855601412067</c:v>
                </c:pt>
                <c:pt idx="56">
                  <c:v>0.0051998459470266</c:v>
                </c:pt>
                <c:pt idx="57">
                  <c:v>-0.0390109825561367</c:v>
                </c:pt>
                <c:pt idx="58">
                  <c:v>-0.0289387484960281</c:v>
                </c:pt>
                <c:pt idx="59">
                  <c:v>-0.0301836674242341</c:v>
                </c:pt>
                <c:pt idx="60">
                  <c:v>0.0509427239337081</c:v>
                </c:pt>
                <c:pt idx="61">
                  <c:v>0.157497645602161</c:v>
                </c:pt>
                <c:pt idx="62">
                  <c:v>0.11808080648095</c:v>
                </c:pt>
                <c:pt idx="63">
                  <c:v>0.0745528454878084</c:v>
                </c:pt>
                <c:pt idx="64">
                  <c:v>0.0875401878497943</c:v>
                </c:pt>
                <c:pt idx="65">
                  <c:v>0.0180400161080492</c:v>
                </c:pt>
                <c:pt idx="66">
                  <c:v>-0.0297776009471569</c:v>
                </c:pt>
                <c:pt idx="67">
                  <c:v>0.03255679580632</c:v>
                </c:pt>
                <c:pt idx="68">
                  <c:v>0.0408896062054018</c:v>
                </c:pt>
                <c:pt idx="69">
                  <c:v>0.0594026843801467</c:v>
                </c:pt>
                <c:pt idx="70">
                  <c:v>0.115567689218679</c:v>
                </c:pt>
                <c:pt idx="71">
                  <c:v>0.112433848626974</c:v>
                </c:pt>
                <c:pt idx="72">
                  <c:v>0.0909683612867062</c:v>
                </c:pt>
                <c:pt idx="73">
                  <c:v>0.074918159592114</c:v>
                </c:pt>
                <c:pt idx="74">
                  <c:v>0.0726579990392675</c:v>
                </c:pt>
                <c:pt idx="75">
                  <c:v>0.0663728823631335</c:v>
                </c:pt>
                <c:pt idx="76">
                  <c:v>0.107383096043416</c:v>
                </c:pt>
                <c:pt idx="77">
                  <c:v>0.121967816606406</c:v>
                </c:pt>
                <c:pt idx="78">
                  <c:v>0.115396620030726</c:v>
                </c:pt>
                <c:pt idx="79">
                  <c:v>0.147113068048252</c:v>
                </c:pt>
                <c:pt idx="80">
                  <c:v>0.140646725814734</c:v>
                </c:pt>
                <c:pt idx="81">
                  <c:v>0.121904295288776</c:v>
                </c:pt>
                <c:pt idx="82">
                  <c:v>0.100227498420842</c:v>
                </c:pt>
                <c:pt idx="83">
                  <c:v>0.138378971303874</c:v>
                </c:pt>
                <c:pt idx="84">
                  <c:v>0.0928348501015825</c:v>
                </c:pt>
                <c:pt idx="85">
                  <c:v>0.07466158486424</c:v>
                </c:pt>
                <c:pt idx="86">
                  <c:v>0.0913589790244649</c:v>
                </c:pt>
                <c:pt idx="87">
                  <c:v>0.0947650599097804</c:v>
                </c:pt>
                <c:pt idx="88">
                  <c:v>0.0768200298141499</c:v>
                </c:pt>
                <c:pt idx="89">
                  <c:v>0.0900058244646766</c:v>
                </c:pt>
                <c:pt idx="90">
                  <c:v>0.0890506132694808</c:v>
                </c:pt>
                <c:pt idx="91">
                  <c:v>0.0598100137493367</c:v>
                </c:pt>
                <c:pt idx="92">
                  <c:v>0.0787233277212638</c:v>
                </c:pt>
                <c:pt idx="93">
                  <c:v>0.0673105566738672</c:v>
                </c:pt>
                <c:pt idx="94">
                  <c:v>0.0331168096906729</c:v>
                </c:pt>
                <c:pt idx="95">
                  <c:v>0.0395213190920629</c:v>
                </c:pt>
                <c:pt idx="96">
                  <c:v>0.066016423653249</c:v>
                </c:pt>
                <c:pt idx="97">
                  <c:v>0.0698882201795325</c:v>
                </c:pt>
                <c:pt idx="98">
                  <c:v>0.0371365711435847</c:v>
                </c:pt>
                <c:pt idx="99">
                  <c:v>0.0261129482746651</c:v>
                </c:pt>
                <c:pt idx="100">
                  <c:v>0.0528778626979664</c:v>
                </c:pt>
                <c:pt idx="101">
                  <c:v>0.0526313972043477</c:v>
                </c:pt>
                <c:pt idx="102">
                  <c:v>0.0209782066015343</c:v>
                </c:pt>
                <c:pt idx="103">
                  <c:v>0.0592623640855967</c:v>
                </c:pt>
                <c:pt idx="104">
                  <c:v>0.106158576603258</c:v>
                </c:pt>
                <c:pt idx="105">
                  <c:v>0.0892914078175197</c:v>
                </c:pt>
                <c:pt idx="106">
                  <c:v>0.0624893464360014</c:v>
                </c:pt>
                <c:pt idx="107">
                  <c:v>0.129853400888803</c:v>
                </c:pt>
                <c:pt idx="108">
                  <c:v>0.137714603900085</c:v>
                </c:pt>
                <c:pt idx="109">
                  <c:v>0.134975802222707</c:v>
                </c:pt>
                <c:pt idx="110">
                  <c:v>0.148432153747586</c:v>
                </c:pt>
                <c:pt idx="111">
                  <c:v>0.207020326353473</c:v>
                </c:pt>
                <c:pt idx="112">
                  <c:v>0.142410805858013</c:v>
                </c:pt>
                <c:pt idx="113">
                  <c:v>0.139346620427719</c:v>
                </c:pt>
                <c:pt idx="114">
                  <c:v>0.157708029175644</c:v>
                </c:pt>
                <c:pt idx="115">
                  <c:v>0.116861757895288</c:v>
                </c:pt>
                <c:pt idx="116">
                  <c:v>0.114550171547513</c:v>
                </c:pt>
                <c:pt idx="117">
                  <c:v>0.134029475132764</c:v>
                </c:pt>
                <c:pt idx="118">
                  <c:v>0.130069175905196</c:v>
                </c:pt>
                <c:pt idx="119">
                  <c:v>0.0892271645534739</c:v>
                </c:pt>
                <c:pt idx="120">
                  <c:v>0.137138612728454</c:v>
                </c:pt>
                <c:pt idx="121">
                  <c:v>0.122834753888249</c:v>
                </c:pt>
                <c:pt idx="122">
                  <c:v>0.148091913442135</c:v>
                </c:pt>
                <c:pt idx="123">
                  <c:v>0.170773010235926</c:v>
                </c:pt>
                <c:pt idx="124">
                  <c:v>0.191279441760243</c:v>
                </c:pt>
                <c:pt idx="125">
                  <c:v>0.138984366560135</c:v>
                </c:pt>
                <c:pt idx="126">
                  <c:v>0.0923941441819722</c:v>
                </c:pt>
                <c:pt idx="127">
                  <c:v>0.0349240808524978</c:v>
                </c:pt>
                <c:pt idx="128">
                  <c:v>0.0284603168562543</c:v>
                </c:pt>
                <c:pt idx="129">
                  <c:v>0.021741731087173</c:v>
                </c:pt>
                <c:pt idx="130">
                  <c:v>0.0303429623922324</c:v>
                </c:pt>
                <c:pt idx="131">
                  <c:v>0.0593325057799479</c:v>
                </c:pt>
                <c:pt idx="132">
                  <c:v>0.0851417613145253</c:v>
                </c:pt>
                <c:pt idx="133">
                  <c:v>0.0104455662827834</c:v>
                </c:pt>
                <c:pt idx="134">
                  <c:v>0.0365431513675352</c:v>
                </c:pt>
                <c:pt idx="135">
                  <c:v>0.0465852787453103</c:v>
                </c:pt>
                <c:pt idx="136">
                  <c:v>0.0403897188064126</c:v>
                </c:pt>
                <c:pt idx="137">
                  <c:v>0.0532410060996098</c:v>
                </c:pt>
                <c:pt idx="138">
                  <c:v>0.123261246261448</c:v>
                </c:pt>
                <c:pt idx="139">
                  <c:v>0.106773356235225</c:v>
                </c:pt>
                <c:pt idx="140">
                  <c:v>0.0783965543250642</c:v>
                </c:pt>
                <c:pt idx="141">
                  <c:v>0.0</c:v>
                </c:pt>
                <c:pt idx="142">
                  <c:v>0.0</c:v>
                </c:pt>
                <c:pt idx="143">
                  <c:v>0.0</c:v>
                </c:pt>
                <c:pt idx="144">
                  <c:v>0.0</c:v>
                </c:pt>
                <c:pt idx="145">
                  <c:v>0.0</c:v>
                </c:pt>
              </c:numCache>
            </c:numRef>
          </c:val>
        </c:ser>
        <c:ser>
          <c:idx val="2"/>
          <c:order val="2"/>
          <c:tx>
            <c:v>10-Year Rolling Returns</c:v>
          </c:tx>
          <c:spPr>
            <a:solidFill>
              <a:srgbClr val="9BBB59"/>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Returns_All!$AC$339:$AC$484</c:f>
              <c:numCache>
                <c:formatCode>0.00%</c:formatCode>
                <c:ptCount val="146"/>
                <c:pt idx="0">
                  <c:v>0.0821293126306617</c:v>
                </c:pt>
                <c:pt idx="1">
                  <c:v>0.0734011947898245</c:v>
                </c:pt>
                <c:pt idx="2">
                  <c:v>0.0685259389750032</c:v>
                </c:pt>
                <c:pt idx="3">
                  <c:v>0.0644844838190788</c:v>
                </c:pt>
                <c:pt idx="4">
                  <c:v>0.0525241700570063</c:v>
                </c:pt>
                <c:pt idx="5">
                  <c:v>0.0651263144978531</c:v>
                </c:pt>
                <c:pt idx="6">
                  <c:v>0.0788194464334695</c:v>
                </c:pt>
                <c:pt idx="7">
                  <c:v>0.0805397492963751</c:v>
                </c:pt>
                <c:pt idx="8">
                  <c:v>0.0725344077422574</c:v>
                </c:pt>
                <c:pt idx="9">
                  <c:v>0.0495919878267699</c:v>
                </c:pt>
                <c:pt idx="10">
                  <c:v>0.0294430963361869</c:v>
                </c:pt>
                <c:pt idx="11">
                  <c:v>0.0412166993846066</c:v>
                </c:pt>
                <c:pt idx="12">
                  <c:v>0.0395740406269074</c:v>
                </c:pt>
                <c:pt idx="13">
                  <c:v>0.0353328198240048</c:v>
                </c:pt>
                <c:pt idx="14">
                  <c:v>0.0443687553466088</c:v>
                </c:pt>
                <c:pt idx="15">
                  <c:v>0.0291531195749632</c:v>
                </c:pt>
                <c:pt idx="16">
                  <c:v>0.0275627999677106</c:v>
                </c:pt>
                <c:pt idx="17">
                  <c:v>0.0386811850838959</c:v>
                </c:pt>
                <c:pt idx="18">
                  <c:v>0.0530267510459441</c:v>
                </c:pt>
                <c:pt idx="19">
                  <c:v>0.0505477622495287</c:v>
                </c:pt>
                <c:pt idx="20">
                  <c:v>0.0675330868365407</c:v>
                </c:pt>
                <c:pt idx="21">
                  <c:v>0.0661226043174738</c:v>
                </c:pt>
                <c:pt idx="22">
                  <c:v>0.0698880851553218</c:v>
                </c:pt>
                <c:pt idx="23">
                  <c:v>0.0672211447305424</c:v>
                </c:pt>
                <c:pt idx="24">
                  <c:v>0.0826103862169882</c:v>
                </c:pt>
                <c:pt idx="25">
                  <c:v>0.0934882786870505</c:v>
                </c:pt>
                <c:pt idx="26">
                  <c:v>0.0891575833594686</c:v>
                </c:pt>
                <c:pt idx="27">
                  <c:v>0.0614746397989125</c:v>
                </c:pt>
                <c:pt idx="28">
                  <c:v>0.0673471026364249</c:v>
                </c:pt>
                <c:pt idx="29">
                  <c:v>0.0747578601046852</c:v>
                </c:pt>
                <c:pt idx="30">
                  <c:v>0.0611219154498164</c:v>
                </c:pt>
                <c:pt idx="31">
                  <c:v>0.0522536476173316</c:v>
                </c:pt>
                <c:pt idx="32">
                  <c:v>0.0513245678720915</c:v>
                </c:pt>
                <c:pt idx="33">
                  <c:v>0.0601941023298251</c:v>
                </c:pt>
                <c:pt idx="34">
                  <c:v>0.0400142500334029</c:v>
                </c:pt>
                <c:pt idx="35">
                  <c:v>0.0464008986502726</c:v>
                </c:pt>
                <c:pt idx="36">
                  <c:v>0.0515733793379527</c:v>
                </c:pt>
                <c:pt idx="37">
                  <c:v>0.0540483140985919</c:v>
                </c:pt>
                <c:pt idx="38">
                  <c:v>0.042149975480497</c:v>
                </c:pt>
                <c:pt idx="39">
                  <c:v>0.0437979011046325</c:v>
                </c:pt>
                <c:pt idx="40">
                  <c:v>0.036422260930776</c:v>
                </c:pt>
                <c:pt idx="41">
                  <c:v>0.0432606685235677</c:v>
                </c:pt>
                <c:pt idx="42">
                  <c:v>0.0566081474691247</c:v>
                </c:pt>
                <c:pt idx="43">
                  <c:v>0.0624993379625422</c:v>
                </c:pt>
                <c:pt idx="44">
                  <c:v>0.0812373299640046</c:v>
                </c:pt>
                <c:pt idx="45">
                  <c:v>0.0779254843318029</c:v>
                </c:pt>
                <c:pt idx="46">
                  <c:v>0.0804637801387353</c:v>
                </c:pt>
                <c:pt idx="47">
                  <c:v>0.115165266318172</c:v>
                </c:pt>
                <c:pt idx="48">
                  <c:v>0.12994764387147</c:v>
                </c:pt>
                <c:pt idx="49">
                  <c:v>0.115128899148696</c:v>
                </c:pt>
                <c:pt idx="50">
                  <c:v>0.110156141244939</c:v>
                </c:pt>
                <c:pt idx="51">
                  <c:v>0.0674277854526055</c:v>
                </c:pt>
                <c:pt idx="52">
                  <c:v>0.0473752399208069</c:v>
                </c:pt>
                <c:pt idx="53">
                  <c:v>0.0733170510432715</c:v>
                </c:pt>
                <c:pt idx="54">
                  <c:v>0.0528647289260942</c:v>
                </c:pt>
                <c:pt idx="55">
                  <c:v>0.0672722980096529</c:v>
                </c:pt>
                <c:pt idx="56">
                  <c:v>0.0786641993889194</c:v>
                </c:pt>
                <c:pt idx="57">
                  <c:v>0.036563252118736</c:v>
                </c:pt>
                <c:pt idx="58">
                  <c:v>0.0214972496030252</c:v>
                </c:pt>
                <c:pt idx="59">
                  <c:v>0.0269928122967789</c:v>
                </c:pt>
                <c:pt idx="60">
                  <c:v>0.034360550099485</c:v>
                </c:pt>
                <c:pt idx="61">
                  <c:v>0.0597311652556729</c:v>
                </c:pt>
                <c:pt idx="62">
                  <c:v>0.0744682103219785</c:v>
                </c:pt>
                <c:pt idx="63">
                  <c:v>0.0575872957759558</c:v>
                </c:pt>
                <c:pt idx="64">
                  <c:v>0.0733792407063596</c:v>
                </c:pt>
                <c:pt idx="65">
                  <c:v>0.0656887670899993</c:v>
                </c:pt>
                <c:pt idx="66">
                  <c:v>0.0388976067940718</c:v>
                </c:pt>
                <c:pt idx="67">
                  <c:v>0.0613608224615572</c:v>
                </c:pt>
                <c:pt idx="68">
                  <c:v>0.0577670536752743</c:v>
                </c:pt>
                <c:pt idx="69">
                  <c:v>0.0660097389817959</c:v>
                </c:pt>
                <c:pt idx="70">
                  <c:v>0.0906929596468946</c:v>
                </c:pt>
                <c:pt idx="71">
                  <c:v>0.109905599335381</c:v>
                </c:pt>
                <c:pt idx="72">
                  <c:v>0.106359521267618</c:v>
                </c:pt>
                <c:pt idx="73">
                  <c:v>0.094970356684916</c:v>
                </c:pt>
                <c:pt idx="74">
                  <c:v>0.10926101898716</c:v>
                </c:pt>
                <c:pt idx="75">
                  <c:v>0.102884734124618</c:v>
                </c:pt>
                <c:pt idx="76">
                  <c:v>0.114620048259177</c:v>
                </c:pt>
                <c:pt idx="77">
                  <c:v>0.111044483435996</c:v>
                </c:pt>
                <c:pt idx="78">
                  <c:v>0.126829204851559</c:v>
                </c:pt>
                <c:pt idx="79">
                  <c:v>0.11964509455902</c:v>
                </c:pt>
                <c:pt idx="80">
                  <c:v>0.107162688196395</c:v>
                </c:pt>
                <c:pt idx="81">
                  <c:v>0.106526242919489</c:v>
                </c:pt>
                <c:pt idx="82">
                  <c:v>0.0974928807163542</c:v>
                </c:pt>
                <c:pt idx="83">
                  <c:v>0.107171747209637</c:v>
                </c:pt>
                <c:pt idx="84">
                  <c:v>0.0914194206576622</c:v>
                </c:pt>
                <c:pt idx="85">
                  <c:v>0.0818321764735752</c:v>
                </c:pt>
                <c:pt idx="86">
                  <c:v>0.0754688161752437</c:v>
                </c:pt>
                <c:pt idx="87">
                  <c:v>0.0867145938556486</c:v>
                </c:pt>
                <c:pt idx="88">
                  <c:v>0.0720547492821955</c:v>
                </c:pt>
                <c:pt idx="89">
                  <c:v>0.061180163739974</c:v>
                </c:pt>
                <c:pt idx="90">
                  <c:v>0.0639978054788979</c:v>
                </c:pt>
                <c:pt idx="91">
                  <c:v>0.0629086887446957</c:v>
                </c:pt>
                <c:pt idx="92">
                  <c:v>0.074296691404123</c:v>
                </c:pt>
                <c:pt idx="93">
                  <c:v>0.0521153981831486</c:v>
                </c:pt>
                <c:pt idx="94">
                  <c:v>0.029608923574292</c:v>
                </c:pt>
                <c:pt idx="95">
                  <c:v>0.0461782757611735</c:v>
                </c:pt>
                <c:pt idx="96">
                  <c:v>0.0593027695011947</c:v>
                </c:pt>
                <c:pt idx="97">
                  <c:v>0.0451471457660908</c:v>
                </c:pt>
                <c:pt idx="98">
                  <c:v>0.0481410860324021</c:v>
                </c:pt>
                <c:pt idx="99">
                  <c:v>0.065384267904157</c:v>
                </c:pt>
                <c:pt idx="100">
                  <c:v>0.0709298806729455</c:v>
                </c:pt>
                <c:pt idx="101">
                  <c:v>0.0575488855148316</c:v>
                </c:pt>
                <c:pt idx="102">
                  <c:v>0.0740371031589619</c:v>
                </c:pt>
                <c:pt idx="103">
                  <c:v>0.0977878943502304</c:v>
                </c:pt>
                <c:pt idx="104">
                  <c:v>0.120474550298137</c:v>
                </c:pt>
                <c:pt idx="105">
                  <c:v>0.118470955160935</c:v>
                </c:pt>
                <c:pt idx="106">
                  <c:v>0.132451428398707</c:v>
                </c:pt>
                <c:pt idx="107">
                  <c:v>0.136114753979894</c:v>
                </c:pt>
                <c:pt idx="108">
                  <c:v>0.138530319738927</c:v>
                </c:pt>
                <c:pt idx="109">
                  <c:v>0.146285566145407</c:v>
                </c:pt>
                <c:pt idx="110">
                  <c:v>0.132536954831056</c:v>
                </c:pt>
                <c:pt idx="111">
                  <c:v>0.159864091951552</c:v>
                </c:pt>
                <c:pt idx="112">
                  <c:v>0.138212425935142</c:v>
                </c:pt>
                <c:pt idx="113">
                  <c:v>0.134698416504193</c:v>
                </c:pt>
                <c:pt idx="114">
                  <c:v>0.122945695035952</c:v>
                </c:pt>
                <c:pt idx="115">
                  <c:v>0.126954582040692</c:v>
                </c:pt>
                <c:pt idx="116">
                  <c:v>0.118684793659795</c:v>
                </c:pt>
                <c:pt idx="117">
                  <c:v>0.141039030885865</c:v>
                </c:pt>
                <c:pt idx="118">
                  <c:v>0.150241057713277</c:v>
                </c:pt>
                <c:pt idx="119">
                  <c:v>0.139111025554294</c:v>
                </c:pt>
                <c:pt idx="120">
                  <c:v>0.138061115454521</c:v>
                </c:pt>
                <c:pt idx="121">
                  <c:v>0.107509869044755</c:v>
                </c:pt>
                <c:pt idx="122">
                  <c:v>0.0900403516628578</c:v>
                </c:pt>
                <c:pt idx="123">
                  <c:v>0.0973119798279753</c:v>
                </c:pt>
                <c:pt idx="124">
                  <c:v>0.103258772470299</c:v>
                </c:pt>
                <c:pt idx="125">
                  <c:v>0.0833026014738494</c:v>
                </c:pt>
                <c:pt idx="126">
                  <c:v>0.0757363180889776</c:v>
                </c:pt>
                <c:pt idx="127">
                  <c:v>0.0597355047006285</c:v>
                </c:pt>
                <c:pt idx="128">
                  <c:v>0.0194131484659143</c:v>
                </c:pt>
                <c:pt idx="129">
                  <c:v>0.0291158311020285</c:v>
                </c:pt>
                <c:pt idx="130">
                  <c:v>0.0384323649128735</c:v>
                </c:pt>
                <c:pt idx="131">
                  <c:v>0.0498183880133232</c:v>
                </c:pt>
                <c:pt idx="132">
                  <c:v>0.0690724018735182</c:v>
                </c:pt>
                <c:pt idx="133">
                  <c:v>0.0653611341053104</c:v>
                </c:pt>
                <c:pt idx="134">
                  <c:v>0.0710827897607558</c:v>
                </c:pt>
                <c:pt idx="135">
                  <c:v>0.0623718550518362</c:v>
                </c:pt>
                <c:pt idx="136">
                  <c:v>0.0</c:v>
                </c:pt>
                <c:pt idx="137">
                  <c:v>0.0</c:v>
                </c:pt>
                <c:pt idx="138">
                  <c:v>0.0</c:v>
                </c:pt>
                <c:pt idx="139">
                  <c:v>0.0</c:v>
                </c:pt>
                <c:pt idx="140">
                  <c:v>0.0</c:v>
                </c:pt>
                <c:pt idx="141">
                  <c:v>0.0</c:v>
                </c:pt>
                <c:pt idx="142">
                  <c:v>0.0</c:v>
                </c:pt>
                <c:pt idx="143">
                  <c:v>0.0</c:v>
                </c:pt>
                <c:pt idx="144">
                  <c:v>0.0</c:v>
                </c:pt>
                <c:pt idx="145">
                  <c:v>0.0</c:v>
                </c:pt>
              </c:numCache>
            </c:numRef>
          </c:val>
        </c:ser>
        <c:ser>
          <c:idx val="3"/>
          <c:order val="3"/>
          <c:tx>
            <c:v>15-Year Rolling Returns</c:v>
          </c:tx>
          <c:spPr>
            <a:solidFill>
              <a:srgbClr val="8064A2"/>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Returns_All!$AD$339:$AD$484</c:f>
              <c:numCache>
                <c:formatCode>0.00%</c:formatCode>
                <c:ptCount val="146"/>
                <c:pt idx="0">
                  <c:v>0.0647676140303568</c:v>
                </c:pt>
                <c:pt idx="1">
                  <c:v>0.0624896017047065</c:v>
                </c:pt>
                <c:pt idx="2">
                  <c:v>0.0580853730809816</c:v>
                </c:pt>
                <c:pt idx="3">
                  <c:v>0.0593494746173839</c:v>
                </c:pt>
                <c:pt idx="4">
                  <c:v>0.0582434226133934</c:v>
                </c:pt>
                <c:pt idx="5">
                  <c:v>0.0526086006691933</c:v>
                </c:pt>
                <c:pt idx="6">
                  <c:v>0.0662113186570865</c:v>
                </c:pt>
                <c:pt idx="7">
                  <c:v>0.0674153682897815</c:v>
                </c:pt>
                <c:pt idx="8">
                  <c:v>0.0553125704959794</c:v>
                </c:pt>
                <c:pt idx="9">
                  <c:v>0.039486193684477</c:v>
                </c:pt>
                <c:pt idx="10">
                  <c:v>0.0297268936964585</c:v>
                </c:pt>
                <c:pt idx="11">
                  <c:v>0.0320218394005955</c:v>
                </c:pt>
                <c:pt idx="12">
                  <c:v>0.0382904059809992</c:v>
                </c:pt>
                <c:pt idx="13">
                  <c:v>0.0517341311687238</c:v>
                </c:pt>
                <c:pt idx="14">
                  <c:v>0.056918242797751</c:v>
                </c:pt>
                <c:pt idx="15">
                  <c:v>0.0541936622132009</c:v>
                </c:pt>
                <c:pt idx="16">
                  <c:v>0.057829186397438</c:v>
                </c:pt>
                <c:pt idx="17">
                  <c:v>0.0603889340143724</c:v>
                </c:pt>
                <c:pt idx="18">
                  <c:v>0.0518243883576561</c:v>
                </c:pt>
                <c:pt idx="19">
                  <c:v>0.0611737875256328</c:v>
                </c:pt>
                <c:pt idx="20">
                  <c:v>0.0720044296358682</c:v>
                </c:pt>
                <c:pt idx="21">
                  <c:v>0.0634619384448349</c:v>
                </c:pt>
                <c:pt idx="22">
                  <c:v>0.0528220499982908</c:v>
                </c:pt>
                <c:pt idx="23">
                  <c:v>0.0733048639728593</c:v>
                </c:pt>
                <c:pt idx="24">
                  <c:v>0.0773229221089731</c:v>
                </c:pt>
                <c:pt idx="25">
                  <c:v>0.0759132612419742</c:v>
                </c:pt>
                <c:pt idx="26">
                  <c:v>0.0747074422913552</c:v>
                </c:pt>
                <c:pt idx="27">
                  <c:v>0.0689766509315381</c:v>
                </c:pt>
                <c:pt idx="28">
                  <c:v>0.0565917687345736</c:v>
                </c:pt>
                <c:pt idx="29">
                  <c:v>0.0540685098694187</c:v>
                </c:pt>
                <c:pt idx="30">
                  <c:v>0.0578102063082333</c:v>
                </c:pt>
                <c:pt idx="31">
                  <c:v>0.0537645208775941</c:v>
                </c:pt>
                <c:pt idx="32">
                  <c:v>0.0424048341159553</c:v>
                </c:pt>
                <c:pt idx="33">
                  <c:v>0.056428960818842</c:v>
                </c:pt>
                <c:pt idx="34">
                  <c:v>0.0514179498522667</c:v>
                </c:pt>
                <c:pt idx="35">
                  <c:v>0.0381473364568707</c:v>
                </c:pt>
                <c:pt idx="36">
                  <c:v>0.0442993306357662</c:v>
                </c:pt>
                <c:pt idx="37">
                  <c:v>0.065706891661649</c:v>
                </c:pt>
                <c:pt idx="38">
                  <c:v>0.0533900652328449</c:v>
                </c:pt>
                <c:pt idx="39">
                  <c:v>0.0583007567534472</c:v>
                </c:pt>
                <c:pt idx="40">
                  <c:v>0.0689483551243846</c:v>
                </c:pt>
                <c:pt idx="41">
                  <c:v>0.0725151136154285</c:v>
                </c:pt>
                <c:pt idx="42">
                  <c:v>0.0841882525144648</c:v>
                </c:pt>
                <c:pt idx="43">
                  <c:v>0.102272374205977</c:v>
                </c:pt>
                <c:pt idx="44">
                  <c:v>0.101452841631364</c:v>
                </c:pt>
                <c:pt idx="45">
                  <c:v>0.0798985761698774</c:v>
                </c:pt>
                <c:pt idx="46">
                  <c:v>0.0547696211311857</c:v>
                </c:pt>
                <c:pt idx="47">
                  <c:v>0.0612042099668615</c:v>
                </c:pt>
                <c:pt idx="48">
                  <c:v>0.0742889009930121</c:v>
                </c:pt>
                <c:pt idx="49">
                  <c:v>0.0644204551469345</c:v>
                </c:pt>
                <c:pt idx="50">
                  <c:v>0.0900566274770673</c:v>
                </c:pt>
                <c:pt idx="51">
                  <c:v>0.0966441032382035</c:v>
                </c:pt>
                <c:pt idx="52">
                  <c:v>0.0704324495595598</c:v>
                </c:pt>
                <c:pt idx="53">
                  <c:v>0.0737288245294485</c:v>
                </c:pt>
                <c:pt idx="54">
                  <c:v>0.0642985965904541</c:v>
                </c:pt>
                <c:pt idx="55">
                  <c:v>0.0506025270772175</c:v>
                </c:pt>
                <c:pt idx="56">
                  <c:v>0.0412330438965323</c:v>
                </c:pt>
                <c:pt idx="57">
                  <c:v>0.035226042366808</c:v>
                </c:pt>
                <c:pt idx="58">
                  <c:v>0.0279208890298319</c:v>
                </c:pt>
                <c:pt idx="59">
                  <c:v>0.0376844109144341</c:v>
                </c:pt>
                <c:pt idx="60">
                  <c:v>0.0607505720780872</c:v>
                </c:pt>
                <c:pt idx="61">
                  <c:v>0.0770152911419237</c:v>
                </c:pt>
                <c:pt idx="62">
                  <c:v>0.0799403444283355</c:v>
                </c:pt>
                <c:pt idx="63">
                  <c:v>0.0633329785842911</c:v>
                </c:pt>
                <c:pt idx="64">
                  <c:v>0.0731387729496729</c:v>
                </c:pt>
                <c:pt idx="65">
                  <c:v>0.0659167567356094</c:v>
                </c:pt>
                <c:pt idx="66">
                  <c:v>0.0612420759612275</c:v>
                </c:pt>
                <c:pt idx="67">
                  <c:v>0.0811903685530606</c:v>
                </c:pt>
                <c:pt idx="68">
                  <c:v>0.0766382341275829</c:v>
                </c:pt>
                <c:pt idx="69">
                  <c:v>0.0923861637678564</c:v>
                </c:pt>
                <c:pt idx="70">
                  <c:v>0.107096282852358</c:v>
                </c:pt>
                <c:pt idx="71">
                  <c:v>0.113890838086346</c:v>
                </c:pt>
                <c:pt idx="72">
                  <c:v>0.104311725661332</c:v>
                </c:pt>
                <c:pt idx="73">
                  <c:v>0.10925278954709</c:v>
                </c:pt>
                <c:pt idx="74">
                  <c:v>0.103758377890571</c:v>
                </c:pt>
                <c:pt idx="75">
                  <c:v>0.0933956082287135</c:v>
                </c:pt>
                <c:pt idx="76">
                  <c:v>0.106811786935224</c:v>
                </c:pt>
                <c:pt idx="77">
                  <c:v>0.105591287500379</c:v>
                </c:pt>
                <c:pt idx="78">
                  <c:v>0.109906610440749</c:v>
                </c:pt>
                <c:pt idx="79">
                  <c:v>0.109676853624286</c:v>
                </c:pt>
                <c:pt idx="80">
                  <c:v>0.101092105665336</c:v>
                </c:pt>
                <c:pt idx="81">
                  <c:v>0.0907297323245812</c:v>
                </c:pt>
                <c:pt idx="82">
                  <c:v>0.0912003535022416</c:v>
                </c:pt>
                <c:pt idx="83">
                  <c:v>0.0937219588973967</c:v>
                </c:pt>
                <c:pt idx="84">
                  <c:v>0.0716285140623225</c:v>
                </c:pt>
                <c:pt idx="85">
                  <c:v>0.0675405891405627</c:v>
                </c:pt>
                <c:pt idx="86">
                  <c:v>0.0723087424480422</c:v>
                </c:pt>
                <c:pt idx="87">
                  <c:v>0.0810766027162271</c:v>
                </c:pt>
                <c:pt idx="88">
                  <c:v>0.0602866491064848</c:v>
                </c:pt>
                <c:pt idx="89">
                  <c:v>0.0493599177242083</c:v>
                </c:pt>
                <c:pt idx="90">
                  <c:v>0.0602781695419747</c:v>
                </c:pt>
                <c:pt idx="91">
                  <c:v>0.0594718239363607</c:v>
                </c:pt>
                <c:pt idx="92">
                  <c:v>0.0562214494448294</c:v>
                </c:pt>
                <c:pt idx="93">
                  <c:v>0.05449234608606</c:v>
                </c:pt>
                <c:pt idx="94">
                  <c:v>0.054517995927581</c:v>
                </c:pt>
                <c:pt idx="95">
                  <c:v>0.060356308055501</c:v>
                </c:pt>
                <c:pt idx="96">
                  <c:v>0.0603638984994912</c:v>
                </c:pt>
                <c:pt idx="97">
                  <c:v>0.0726523575941371</c:v>
                </c:pt>
                <c:pt idx="98">
                  <c:v>0.0771865971232424</c:v>
                </c:pt>
                <c:pt idx="99">
                  <c:v>0.0880939288497053</c:v>
                </c:pt>
                <c:pt idx="100">
                  <c:v>0.0961646823115585</c:v>
                </c:pt>
                <c:pt idx="101">
                  <c:v>0.105193942333824</c:v>
                </c:pt>
                <c:pt idx="102">
                  <c:v>0.0963611148586492</c:v>
                </c:pt>
                <c:pt idx="103">
                  <c:v>0.11146958037354</c:v>
                </c:pt>
                <c:pt idx="104">
                  <c:v>0.132750718295714</c:v>
                </c:pt>
                <c:pt idx="105">
                  <c:v>0.117934298618958</c:v>
                </c:pt>
                <c:pt idx="106">
                  <c:v>0.126452622095691</c:v>
                </c:pt>
                <c:pt idx="107">
                  <c:v>0.135419235327832</c:v>
                </c:pt>
                <c:pt idx="108">
                  <c:v>0.135702922788382</c:v>
                </c:pt>
                <c:pt idx="109">
                  <c:v>0.12694149556205</c:v>
                </c:pt>
                <c:pt idx="110">
                  <c:v>0.134068768008415</c:v>
                </c:pt>
                <c:pt idx="111">
                  <c:v>0.147387245049238</c:v>
                </c:pt>
                <c:pt idx="112">
                  <c:v>0.141496106091166</c:v>
                </c:pt>
                <c:pt idx="113">
                  <c:v>0.14659805279597</c:v>
                </c:pt>
                <c:pt idx="114">
                  <c:v>0.145276594701203</c:v>
                </c:pt>
                <c:pt idx="115">
                  <c:v>0.130950326110381</c:v>
                </c:pt>
                <c:pt idx="116">
                  <c:v>0.109851681330131</c:v>
                </c:pt>
                <c:pt idx="117">
                  <c:v>0.104510454647937</c:v>
                </c:pt>
                <c:pt idx="118">
                  <c:v>0.10812415927971</c:v>
                </c:pt>
                <c:pt idx="119">
                  <c:v>0.0985615997937801</c:v>
                </c:pt>
                <c:pt idx="120">
                  <c:v>0.100958611930479</c:v>
                </c:pt>
                <c:pt idx="121">
                  <c:v>0.0912120912615326</c:v>
                </c:pt>
                <c:pt idx="122">
                  <c:v>0.0884050360842787</c:v>
                </c:pt>
                <c:pt idx="123">
                  <c:v>0.0675569558316478</c:v>
                </c:pt>
                <c:pt idx="124">
                  <c:v>0.0805562718058734</c:v>
                </c:pt>
                <c:pt idx="125">
                  <c:v>0.070922552890216</c:v>
                </c:pt>
                <c:pt idx="126">
                  <c:v>0.0709759286403055</c:v>
                </c:pt>
                <c:pt idx="127">
                  <c:v>0.0651765934817032</c:v>
                </c:pt>
                <c:pt idx="128">
                  <c:v>0.0516491311204017</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numCache>
            </c:numRef>
          </c:val>
        </c:ser>
        <c:dLbls>
          <c:showLegendKey val="0"/>
          <c:showVal val="0"/>
          <c:showCatName val="0"/>
          <c:showSerName val="0"/>
          <c:showPercent val="0"/>
          <c:showBubbleSize val="0"/>
        </c:dLbls>
        <c:gapWidth val="150"/>
        <c:axId val="-2119107224"/>
        <c:axId val="-2119110968"/>
      </c:barChart>
      <c:dateAx>
        <c:axId val="-2119107224"/>
        <c:scaling>
          <c:orientation val="minMax"/>
        </c:scaling>
        <c:delete val="0"/>
        <c:axPos val="b"/>
        <c:majorGridlines>
          <c:spPr>
            <a:ln w="3175">
              <a:solidFill>
                <a:srgbClr val="C0C0C0"/>
              </a:solidFill>
              <a:prstDash val="solid"/>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9110968"/>
        <c:crosses val="autoZero"/>
        <c:auto val="0"/>
        <c:lblOffset val="100"/>
        <c:baseTimeUnit val="days"/>
      </c:dateAx>
      <c:valAx>
        <c:axId val="-2119110968"/>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9107224"/>
        <c:crosses val="autoZero"/>
        <c:crossBetween val="between"/>
      </c:valAx>
      <c:spPr>
        <a:solidFill>
          <a:srgbClr val="FFFFFF"/>
        </a:solidFill>
        <a:ln w="12700">
          <a:solidFill>
            <a:srgbClr val="808080"/>
          </a:solidFill>
          <a:prstDash val="solid"/>
        </a:ln>
      </c:spPr>
    </c:plotArea>
    <c:legend>
      <c:legendPos val="r"/>
      <c:layout>
        <c:manualLayout>
          <c:xMode val="edge"/>
          <c:yMode val="edge"/>
          <c:wMode val="edge"/>
          <c:hMode val="edge"/>
          <c:x val="0.470652869961935"/>
          <c:y val="0.102603878116343"/>
          <c:w val="0.836197798573607"/>
          <c:h val="0.189353283748119"/>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Returns_All!$U$157</c:f>
          <c:strCache>
            <c:ptCount val="1"/>
            <c:pt idx="0">
              <c:v>Rolling Returns (Real) 1985 - 2015</c:v>
            </c:pt>
          </c:strCache>
        </c:strRef>
      </c:tx>
      <c:layout>
        <c:manualLayout>
          <c:xMode val="edge"/>
          <c:yMode val="edge"/>
          <c:x val="0.335657058492688"/>
          <c:y val="0.0185184703151775"/>
        </c:manualLayout>
      </c:layout>
      <c:overlay val="0"/>
      <c:spPr>
        <a:solidFill>
          <a:srgbClr val="FFFFFF"/>
        </a:solidFill>
        <a:ln w="12700">
          <a:solidFill>
            <a:srgbClr val="000000"/>
          </a:solidFill>
          <a:prstDash val="solid"/>
        </a:ln>
      </c:spPr>
      <c:txPr>
        <a:bodyPr/>
        <a:lstStyle/>
        <a:p>
          <a:pPr>
            <a:defRPr sz="1200">
              <a:latin typeface="Arial" pitchFamily="34" charset="0"/>
              <a:cs typeface="Arial" pitchFamily="34" charset="0"/>
            </a:defRPr>
          </a:pPr>
          <a:endParaRPr lang="en-US"/>
        </a:p>
      </c:txPr>
    </c:title>
    <c:autoTitleDeleted val="0"/>
    <c:plotArea>
      <c:layout>
        <c:manualLayout>
          <c:layoutTarget val="inner"/>
          <c:xMode val="edge"/>
          <c:yMode val="edge"/>
          <c:x val="0.116196546533336"/>
          <c:y val="0.0984681081531475"/>
          <c:w val="0.8628910520093"/>
          <c:h val="0.765717618631004"/>
        </c:manualLayout>
      </c:layout>
      <c:barChart>
        <c:barDir val="col"/>
        <c:grouping val="clustered"/>
        <c:varyColors val="0"/>
        <c:ser>
          <c:idx val="0"/>
          <c:order val="0"/>
          <c:tx>
            <c:v>3-Year Rolling Returns [Real]</c:v>
          </c:tx>
          <c:spPr>
            <a:solidFill>
              <a:srgbClr val="4F81BD"/>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Returns_85_15!$AE$113:$AE$143</c:f>
              <c:numCache>
                <c:formatCode>0.00%</c:formatCode>
                <c:ptCount val="31"/>
                <c:pt idx="0">
                  <c:v>0.120188811590239</c:v>
                </c:pt>
                <c:pt idx="1">
                  <c:v>0.0818996618146066</c:v>
                </c:pt>
                <c:pt idx="2">
                  <c:v>0.0405499285495701</c:v>
                </c:pt>
                <c:pt idx="3">
                  <c:v>0.0114426166294492</c:v>
                </c:pt>
                <c:pt idx="4">
                  <c:v>0.0404334986851391</c:v>
                </c:pt>
                <c:pt idx="5">
                  <c:v>0.0288926221532171</c:v>
                </c:pt>
                <c:pt idx="6">
                  <c:v>0.0939772836262527</c:v>
                </c:pt>
                <c:pt idx="7">
                  <c:v>0.0347932266114332</c:v>
                </c:pt>
                <c:pt idx="8">
                  <c:v>0.0680864919013708</c:v>
                </c:pt>
                <c:pt idx="9">
                  <c:v>0.0286931793025678</c:v>
                </c:pt>
                <c:pt idx="10">
                  <c:v>0.0640166952400738</c:v>
                </c:pt>
                <c:pt idx="11">
                  <c:v>0.0348444098024287</c:v>
                </c:pt>
                <c:pt idx="12">
                  <c:v>0.0354258223044022</c:v>
                </c:pt>
                <c:pt idx="13">
                  <c:v>0.0360779037701602</c:v>
                </c:pt>
                <c:pt idx="14">
                  <c:v>0.0258970299335135</c:v>
                </c:pt>
                <c:pt idx="15">
                  <c:v>0.0504098650609697</c:v>
                </c:pt>
                <c:pt idx="16">
                  <c:v>0.0771637753986007</c:v>
                </c:pt>
                <c:pt idx="17">
                  <c:v>0.0954455405839569</c:v>
                </c:pt>
                <c:pt idx="18">
                  <c:v>0.0897467211614531</c:v>
                </c:pt>
                <c:pt idx="19">
                  <c:v>0.0666921111648209</c:v>
                </c:pt>
                <c:pt idx="20">
                  <c:v>0.0775326511983998</c:v>
                </c:pt>
                <c:pt idx="21">
                  <c:v>0.0390091405333861</c:v>
                </c:pt>
                <c:pt idx="22">
                  <c:v>0.0578095000771075</c:v>
                </c:pt>
                <c:pt idx="23">
                  <c:v>0.0762853705976039</c:v>
                </c:pt>
                <c:pt idx="24">
                  <c:v>0.125218275616222</c:v>
                </c:pt>
                <c:pt idx="25">
                  <c:v>0.103627983597743</c:v>
                </c:pt>
                <c:pt idx="26">
                  <c:v>0.0324811598522641</c:v>
                </c:pt>
                <c:pt idx="27">
                  <c:v>0.0326145021329884</c:v>
                </c:pt>
                <c:pt idx="28">
                  <c:v>-0.00389632274912033</c:v>
                </c:pt>
                <c:pt idx="29">
                  <c:v>0.0</c:v>
                </c:pt>
                <c:pt idx="30">
                  <c:v>0.0</c:v>
                </c:pt>
              </c:numCache>
            </c:numRef>
          </c:val>
        </c:ser>
        <c:ser>
          <c:idx val="1"/>
          <c:order val="1"/>
          <c:tx>
            <c:v>5-Year Rolling Returns [Real]</c:v>
          </c:tx>
          <c:spPr>
            <a:solidFill>
              <a:srgbClr val="C0504D"/>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Returns_85_15!$AF$113:$AF$143</c:f>
              <c:numCache>
                <c:formatCode>0.00%</c:formatCode>
                <c:ptCount val="31"/>
                <c:pt idx="0">
                  <c:v>0.0916373963297396</c:v>
                </c:pt>
                <c:pt idx="1">
                  <c:v>0.0485755274040713</c:v>
                </c:pt>
                <c:pt idx="2">
                  <c:v>0.0352849632699743</c:v>
                </c:pt>
                <c:pt idx="3">
                  <c:v>0.0373509246004298</c:v>
                </c:pt>
                <c:pt idx="4">
                  <c:v>0.0555832954453688</c:v>
                </c:pt>
                <c:pt idx="5">
                  <c:v>0.0318446064392257</c:v>
                </c:pt>
                <c:pt idx="6">
                  <c:v>0.0718272710846668</c:v>
                </c:pt>
                <c:pt idx="7">
                  <c:v>0.0484203186204781</c:v>
                </c:pt>
                <c:pt idx="8">
                  <c:v>0.0528374679333512</c:v>
                </c:pt>
                <c:pt idx="9">
                  <c:v>0.0366803226557684</c:v>
                </c:pt>
                <c:pt idx="10">
                  <c:v>0.0488048273868347</c:v>
                </c:pt>
                <c:pt idx="11">
                  <c:v>0.0337914250024622</c:v>
                </c:pt>
                <c:pt idx="12">
                  <c:v>0.0349886865555571</c:v>
                </c:pt>
                <c:pt idx="13">
                  <c:v>0.0407367424457587</c:v>
                </c:pt>
                <c:pt idx="14">
                  <c:v>0.0589536085534703</c:v>
                </c:pt>
                <c:pt idx="15">
                  <c:v>0.0705789074361742</c:v>
                </c:pt>
                <c:pt idx="16">
                  <c:v>0.0727555815762033</c:v>
                </c:pt>
                <c:pt idx="17">
                  <c:v>0.0840220620390053</c:v>
                </c:pt>
                <c:pt idx="18">
                  <c:v>0.0870804135498086</c:v>
                </c:pt>
                <c:pt idx="19">
                  <c:v>0.0497922441657317</c:v>
                </c:pt>
                <c:pt idx="20">
                  <c:v>0.0615198601086959</c:v>
                </c:pt>
                <c:pt idx="21">
                  <c:v>0.0790033440050002</c:v>
                </c:pt>
                <c:pt idx="22">
                  <c:v>0.0839817646685763</c:v>
                </c:pt>
                <c:pt idx="23">
                  <c:v>0.0768705070836617</c:v>
                </c:pt>
                <c:pt idx="24">
                  <c:v>0.0749306618305967</c:v>
                </c:pt>
                <c:pt idx="25">
                  <c:v>0.0684161165098607</c:v>
                </c:pt>
                <c:pt idx="26">
                  <c:v>0.0279920275133758</c:v>
                </c:pt>
                <c:pt idx="27">
                  <c:v>0.0</c:v>
                </c:pt>
                <c:pt idx="28">
                  <c:v>0.0</c:v>
                </c:pt>
                <c:pt idx="29">
                  <c:v>0.0</c:v>
                </c:pt>
                <c:pt idx="30">
                  <c:v>0.0</c:v>
                </c:pt>
              </c:numCache>
            </c:numRef>
          </c:val>
        </c:ser>
        <c:ser>
          <c:idx val="2"/>
          <c:order val="2"/>
          <c:tx>
            <c:v>10-Year Rolling Returns [Real]</c:v>
          </c:tx>
          <c:spPr>
            <a:solidFill>
              <a:srgbClr val="9BBB59"/>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Returns_85_15!$AG$113:$AG$143</c:f>
              <c:numCache>
                <c:formatCode>0.00%</c:formatCode>
                <c:ptCount val="31"/>
                <c:pt idx="0">
                  <c:v>0.0613200080985006</c:v>
                </c:pt>
                <c:pt idx="1">
                  <c:v>0.0601376542995118</c:v>
                </c:pt>
                <c:pt idx="2">
                  <c:v>0.0418319399281712</c:v>
                </c:pt>
                <c:pt idx="3">
                  <c:v>0.0450655102981043</c:v>
                </c:pt>
                <c:pt idx="4">
                  <c:v>0.0460891125101839</c:v>
                </c:pt>
                <c:pt idx="5">
                  <c:v>0.0402901539217453</c:v>
                </c:pt>
                <c:pt idx="6">
                  <c:v>0.0526375643739483</c:v>
                </c:pt>
                <c:pt idx="7">
                  <c:v>0.0416828541005978</c:v>
                </c:pt>
                <c:pt idx="8">
                  <c:v>0.0467696196880174</c:v>
                </c:pt>
                <c:pt idx="9">
                  <c:v>0.0477577814517542</c:v>
                </c:pt>
                <c:pt idx="10">
                  <c:v>0.0596359404142457</c:v>
                </c:pt>
                <c:pt idx="11">
                  <c:v>0.0530933108499969</c:v>
                </c:pt>
                <c:pt idx="12">
                  <c:v>0.0592216813240733</c:v>
                </c:pt>
                <c:pt idx="13">
                  <c:v>0.0636562077919802</c:v>
                </c:pt>
                <c:pt idx="14">
                  <c:v>0.0543629760147817</c:v>
                </c:pt>
                <c:pt idx="15">
                  <c:v>0.0660397610112713</c:v>
                </c:pt>
                <c:pt idx="16">
                  <c:v>0.0758749275918424</c:v>
                </c:pt>
                <c:pt idx="17">
                  <c:v>0.0840019131665359</c:v>
                </c:pt>
                <c:pt idx="18">
                  <c:v>0.0819634172097037</c:v>
                </c:pt>
                <c:pt idx="19">
                  <c:v>0.0622870948127427</c:v>
                </c:pt>
                <c:pt idx="20">
                  <c:v>0.0649624061606229</c:v>
                </c:pt>
                <c:pt idx="21">
                  <c:v>0.053188888707725</c:v>
                </c:pt>
                <c:pt idx="22">
                  <c:v>0.0</c:v>
                </c:pt>
                <c:pt idx="23">
                  <c:v>0.0</c:v>
                </c:pt>
                <c:pt idx="24">
                  <c:v>0.0</c:v>
                </c:pt>
                <c:pt idx="25">
                  <c:v>0.0</c:v>
                </c:pt>
                <c:pt idx="26">
                  <c:v>0.0</c:v>
                </c:pt>
                <c:pt idx="27">
                  <c:v>0.0</c:v>
                </c:pt>
                <c:pt idx="28">
                  <c:v>0.0</c:v>
                </c:pt>
                <c:pt idx="29">
                  <c:v>0.0</c:v>
                </c:pt>
                <c:pt idx="30">
                  <c:v>0.0</c:v>
                </c:pt>
              </c:numCache>
            </c:numRef>
          </c:val>
        </c:ser>
        <c:ser>
          <c:idx val="3"/>
          <c:order val="3"/>
          <c:tx>
            <c:v>10-Year Rolling Returns [Real]</c:v>
          </c:tx>
          <c:spPr>
            <a:solidFill>
              <a:srgbClr val="8064A2"/>
            </a:solidFill>
            <a:ln w="25400">
              <a:noFill/>
            </a:ln>
          </c:spPr>
          <c:invertIfNegative val="0"/>
          <c:cat>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cat>
          <c:val>
            <c:numRef>
              <c:f>Returns_85_15!$AH$113:$AH$143</c:f>
              <c:numCache>
                <c:formatCode>0.00%</c:formatCode>
                <c:ptCount val="31"/>
                <c:pt idx="0">
                  <c:v>0.05713177512557</c:v>
                </c:pt>
                <c:pt idx="1">
                  <c:v>0.0512818066351561</c:v>
                </c:pt>
                <c:pt idx="2">
                  <c:v>0.0395458427449953</c:v>
                </c:pt>
                <c:pt idx="3">
                  <c:v>0.0436205908392901</c:v>
                </c:pt>
                <c:pt idx="4">
                  <c:v>0.0503598187789458</c:v>
                </c:pt>
                <c:pt idx="5">
                  <c:v>0.0502899735370399</c:v>
                </c:pt>
                <c:pt idx="6">
                  <c:v>0.0593012962740824</c:v>
                </c:pt>
                <c:pt idx="7">
                  <c:v>0.0556089187936073</c:v>
                </c:pt>
                <c:pt idx="8">
                  <c:v>0.0600376649020964</c:v>
                </c:pt>
                <c:pt idx="9">
                  <c:v>0.0484354972318175</c:v>
                </c:pt>
                <c:pt idx="10">
                  <c:v>0.0602635418564019</c:v>
                </c:pt>
                <c:pt idx="11">
                  <c:v>0.0616601096248974</c:v>
                </c:pt>
                <c:pt idx="12">
                  <c:v>0.0674115553434327</c:v>
                </c:pt>
                <c:pt idx="13">
                  <c:v>0.0619924426555582</c:v>
                </c:pt>
                <c:pt idx="14">
                  <c:v>0.0564033454411226</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numCache>
            </c:numRef>
          </c:val>
        </c:ser>
        <c:dLbls>
          <c:showLegendKey val="0"/>
          <c:showVal val="0"/>
          <c:showCatName val="0"/>
          <c:showSerName val="0"/>
          <c:showPercent val="0"/>
          <c:showBubbleSize val="0"/>
        </c:dLbls>
        <c:gapWidth val="150"/>
        <c:axId val="-2119170072"/>
        <c:axId val="-2133564040"/>
      </c:barChart>
      <c:dateAx>
        <c:axId val="-2119170072"/>
        <c:scaling>
          <c:orientation val="minMax"/>
        </c:scaling>
        <c:delete val="0"/>
        <c:axPos val="b"/>
        <c:minorGridlines>
          <c:spPr>
            <a:ln w="3175">
              <a:solidFill>
                <a:srgbClr val="C0C0C0"/>
              </a:solidFill>
              <a:prstDash val="solid"/>
            </a:ln>
          </c:spPr>
        </c:minorGridlines>
        <c:numFmt formatCode="General" sourceLinked="0"/>
        <c:majorTickMark val="out"/>
        <c:minorTickMark val="none"/>
        <c:tickLblPos val="nextTo"/>
        <c:spPr>
          <a:ln w="3175">
            <a:solidFill>
              <a:srgbClr val="80808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33564040"/>
        <c:crosses val="autoZero"/>
        <c:auto val="0"/>
        <c:lblOffset val="100"/>
        <c:baseTimeUnit val="days"/>
      </c:dateAx>
      <c:valAx>
        <c:axId val="-2133564040"/>
        <c:scaling>
          <c:orientation val="minMax"/>
        </c:scaling>
        <c:delete val="0"/>
        <c:axPos val="l"/>
        <c:majorGridlines>
          <c:spPr>
            <a:ln w="3175">
              <a:solidFill>
                <a:srgbClr val="C0C0C0"/>
              </a:solidFill>
              <a:prstDash val="solid"/>
            </a:ln>
          </c:spPr>
        </c:majorGridlines>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2119170072"/>
        <c:crosses val="autoZero"/>
        <c:crossBetween val="between"/>
      </c:valAx>
      <c:spPr>
        <a:solidFill>
          <a:srgbClr val="FFFFFF"/>
        </a:solidFill>
        <a:ln w="25400">
          <a:noFill/>
        </a:ln>
      </c:spPr>
    </c:plotArea>
    <c:legend>
      <c:legendPos val="r"/>
      <c:layout>
        <c:manualLayout>
          <c:xMode val="edge"/>
          <c:yMode val="edge"/>
          <c:wMode val="edge"/>
          <c:hMode val="edge"/>
          <c:x val="0.329069881889764"/>
          <c:y val="0.100142730092623"/>
          <c:w val="0.692863751406074"/>
          <c:h val="0.188826489663999"/>
        </c:manualLayout>
      </c:layout>
      <c:overlay val="1"/>
      <c:spPr>
        <a:solidFill>
          <a:srgbClr val="FFFFFF"/>
        </a:solidFill>
        <a:ln w="3175">
          <a:solidFill>
            <a:schemeClr val="bg1">
              <a:lumMod val="50000"/>
            </a:schemeClr>
          </a:solidFill>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Returns_All!$Y$157</c:f>
          <c:strCache>
            <c:ptCount val="1"/>
            <c:pt idx="0">
              <c:v>Rolling Returns (Real) 1871 - 2015</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942684503859"/>
          <c:y val="0.0928991076115485"/>
          <c:w val="0.862070578286972"/>
          <c:h val="0.784230761154856"/>
        </c:manualLayout>
      </c:layout>
      <c:barChart>
        <c:barDir val="col"/>
        <c:grouping val="clustered"/>
        <c:varyColors val="0"/>
        <c:ser>
          <c:idx val="0"/>
          <c:order val="0"/>
          <c:tx>
            <c:v>3-Year Rolling Returns [Real]</c:v>
          </c:tx>
          <c:spPr>
            <a:solidFill>
              <a:srgbClr val="4F81BD"/>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Returns_All!$AE$339:$AE$484</c:f>
              <c:numCache>
                <c:formatCode>0.00%</c:formatCode>
                <c:ptCount val="146"/>
                <c:pt idx="0">
                  <c:v>0.0700925570893778</c:v>
                </c:pt>
                <c:pt idx="1">
                  <c:v>0.0893067584315812</c:v>
                </c:pt>
                <c:pt idx="2">
                  <c:v>0.108824238688257</c:v>
                </c:pt>
                <c:pt idx="3">
                  <c:v>0.0601387817566365</c:v>
                </c:pt>
                <c:pt idx="4">
                  <c:v>0.0727512308174243</c:v>
                </c:pt>
                <c:pt idx="5">
                  <c:v>0.112572165735365</c:v>
                </c:pt>
                <c:pt idx="6">
                  <c:v>0.168680252515709</c:v>
                </c:pt>
                <c:pt idx="7">
                  <c:v>0.189108752520386</c:v>
                </c:pt>
                <c:pt idx="8">
                  <c:v>0.082880232440464</c:v>
                </c:pt>
                <c:pt idx="9">
                  <c:v>0.0742775354177214</c:v>
                </c:pt>
                <c:pt idx="10">
                  <c:v>0.017343190754767</c:v>
                </c:pt>
                <c:pt idx="11">
                  <c:v>0.0592119440905645</c:v>
                </c:pt>
                <c:pt idx="12">
                  <c:v>0.114316068862273</c:v>
                </c:pt>
                <c:pt idx="13">
                  <c:v>0.116373612829895</c:v>
                </c:pt>
                <c:pt idx="14">
                  <c:v>0.0835965483066903</c:v>
                </c:pt>
                <c:pt idx="15">
                  <c:v>0.0404804215050785</c:v>
                </c:pt>
                <c:pt idx="16">
                  <c:v>0.0515478833477241</c:v>
                </c:pt>
                <c:pt idx="17">
                  <c:v>0.0429706992151044</c:v>
                </c:pt>
                <c:pt idx="18">
                  <c:v>0.0820090494527763</c:v>
                </c:pt>
                <c:pt idx="19">
                  <c:v>0.0277878564473077</c:v>
                </c:pt>
                <c:pt idx="20">
                  <c:v>0.0754700767253149</c:v>
                </c:pt>
                <c:pt idx="21">
                  <c:v>0.035820468521556</c:v>
                </c:pt>
                <c:pt idx="22">
                  <c:v>0.0587167901015151</c:v>
                </c:pt>
                <c:pt idx="23">
                  <c:v>0.0576657187754805</c:v>
                </c:pt>
                <c:pt idx="24">
                  <c:v>0.0630022674713224</c:v>
                </c:pt>
                <c:pt idx="25">
                  <c:v>0.117836877207844</c:v>
                </c:pt>
                <c:pt idx="26">
                  <c:v>0.0421597747958426</c:v>
                </c:pt>
                <c:pt idx="27">
                  <c:v>0.063122522786319</c:v>
                </c:pt>
                <c:pt idx="28">
                  <c:v>0.0397300703779104</c:v>
                </c:pt>
                <c:pt idx="29">
                  <c:v>0.0723097096481005</c:v>
                </c:pt>
                <c:pt idx="30">
                  <c:v>0.00462300974597807</c:v>
                </c:pt>
                <c:pt idx="31">
                  <c:v>0.0268747792794246</c:v>
                </c:pt>
                <c:pt idx="32">
                  <c:v>0.0837358335252984</c:v>
                </c:pt>
                <c:pt idx="33">
                  <c:v>0.0861115762515825</c:v>
                </c:pt>
                <c:pt idx="34">
                  <c:v>-0.0072100202798433</c:v>
                </c:pt>
                <c:pt idx="35">
                  <c:v>0.0173978820455964</c:v>
                </c:pt>
                <c:pt idx="36">
                  <c:v>0.0264539640036192</c:v>
                </c:pt>
                <c:pt idx="37">
                  <c:v>0.0914111590316231</c:v>
                </c:pt>
                <c:pt idx="38">
                  <c:v>0.0371971685855035</c:v>
                </c:pt>
                <c:pt idx="39">
                  <c:v>0.030689042721397</c:v>
                </c:pt>
                <c:pt idx="40">
                  <c:v>-0.00122413519105213</c:v>
                </c:pt>
                <c:pt idx="41">
                  <c:v>-0.0224695460600445</c:v>
                </c:pt>
                <c:pt idx="42">
                  <c:v>0.0382633306946043</c:v>
                </c:pt>
                <c:pt idx="43">
                  <c:v>0.0256054540694888</c:v>
                </c:pt>
                <c:pt idx="44">
                  <c:v>-0.0619836904190444</c:v>
                </c:pt>
                <c:pt idx="45">
                  <c:v>-0.123616991148711</c:v>
                </c:pt>
                <c:pt idx="46">
                  <c:v>-0.120323958445736</c:v>
                </c:pt>
                <c:pt idx="47">
                  <c:v>-0.0480590710153353</c:v>
                </c:pt>
                <c:pt idx="48">
                  <c:v>0.0398823263786945</c:v>
                </c:pt>
                <c:pt idx="49">
                  <c:v>0.12064948383366</c:v>
                </c:pt>
                <c:pt idx="50">
                  <c:v>0.149804598503948</c:v>
                </c:pt>
                <c:pt idx="51">
                  <c:v>0.129946451154519</c:v>
                </c:pt>
                <c:pt idx="52">
                  <c:v>0.108267596475905</c:v>
                </c:pt>
                <c:pt idx="53">
                  <c:v>0.138457378406897</c:v>
                </c:pt>
                <c:pt idx="54">
                  <c:v>0.159328785826535</c:v>
                </c:pt>
                <c:pt idx="55">
                  <c:v>0.21439991555542</c:v>
                </c:pt>
                <c:pt idx="56">
                  <c:v>0.16370639098851</c:v>
                </c:pt>
                <c:pt idx="57">
                  <c:v>0.0678681163701233</c:v>
                </c:pt>
                <c:pt idx="58">
                  <c:v>-0.079679526993045</c:v>
                </c:pt>
                <c:pt idx="59">
                  <c:v>-0.0462233346702818</c:v>
                </c:pt>
                <c:pt idx="60">
                  <c:v>0.059601301431474</c:v>
                </c:pt>
                <c:pt idx="61">
                  <c:v>0.10617443456119</c:v>
                </c:pt>
                <c:pt idx="62">
                  <c:v>0.178435654050132</c:v>
                </c:pt>
                <c:pt idx="63">
                  <c:v>0.136649288616065</c:v>
                </c:pt>
                <c:pt idx="64">
                  <c:v>0.0848447170298441</c:v>
                </c:pt>
                <c:pt idx="65">
                  <c:v>0.0284890057113685</c:v>
                </c:pt>
                <c:pt idx="66">
                  <c:v>-0.0148523139642863</c:v>
                </c:pt>
                <c:pt idx="67">
                  <c:v>0.033343799685938</c:v>
                </c:pt>
                <c:pt idx="68">
                  <c:v>-0.0566847190483549</c:v>
                </c:pt>
                <c:pt idx="69">
                  <c:v>-0.0542540709380953</c:v>
                </c:pt>
                <c:pt idx="70">
                  <c:v>-0.000217272788718081</c:v>
                </c:pt>
                <c:pt idx="71">
                  <c:v>0.0887029707222342</c:v>
                </c:pt>
                <c:pt idx="72">
                  <c:v>0.144098709575357</c:v>
                </c:pt>
                <c:pt idx="73">
                  <c:v>0.0203132888690249</c:v>
                </c:pt>
                <c:pt idx="74">
                  <c:v>-0.0364502442072926</c:v>
                </c:pt>
                <c:pt idx="75">
                  <c:v>-0.0807474469805012</c:v>
                </c:pt>
                <c:pt idx="76">
                  <c:v>0.0371737705266843</c:v>
                </c:pt>
                <c:pt idx="77">
                  <c:v>0.103209926596599</c:v>
                </c:pt>
                <c:pt idx="78">
                  <c:v>0.113155627211219</c:v>
                </c:pt>
                <c:pt idx="79">
                  <c:v>0.0962532022691593</c:v>
                </c:pt>
                <c:pt idx="80">
                  <c:v>0.0658816710709891</c:v>
                </c:pt>
                <c:pt idx="81">
                  <c:v>0.130195115499733</c:v>
                </c:pt>
                <c:pt idx="82">
                  <c:v>0.157586615259144</c:v>
                </c:pt>
                <c:pt idx="83">
                  <c:v>0.151841284488331</c:v>
                </c:pt>
                <c:pt idx="84">
                  <c:v>0.0415760593174736</c:v>
                </c:pt>
                <c:pt idx="85">
                  <c:v>0.0547599348875562</c:v>
                </c:pt>
                <c:pt idx="86">
                  <c:v>0.0631313326877021</c:v>
                </c:pt>
                <c:pt idx="87">
                  <c:v>0.100702250786947</c:v>
                </c:pt>
                <c:pt idx="88">
                  <c:v>0.0707097506643892</c:v>
                </c:pt>
                <c:pt idx="89">
                  <c:v>0.05580710148123</c:v>
                </c:pt>
                <c:pt idx="90">
                  <c:v>0.0734445656158493</c:v>
                </c:pt>
                <c:pt idx="91">
                  <c:v>0.0682280362117296</c:v>
                </c:pt>
                <c:pt idx="92">
                  <c:v>0.0897176344394002</c:v>
                </c:pt>
                <c:pt idx="93">
                  <c:v>0.0327024156433171</c:v>
                </c:pt>
                <c:pt idx="94">
                  <c:v>0.0198165560662336</c:v>
                </c:pt>
                <c:pt idx="95">
                  <c:v>0.0117905899365858</c:v>
                </c:pt>
                <c:pt idx="96">
                  <c:v>-0.00967258890634292</c:v>
                </c:pt>
                <c:pt idx="97">
                  <c:v>-0.0122179195511071</c:v>
                </c:pt>
                <c:pt idx="98">
                  <c:v>0.00318002405476814</c:v>
                </c:pt>
                <c:pt idx="99">
                  <c:v>0.0708728456989072</c:v>
                </c:pt>
                <c:pt idx="100">
                  <c:v>-0.00417534598293967</c:v>
                </c:pt>
                <c:pt idx="101">
                  <c:v>-0.0994917231613484</c:v>
                </c:pt>
                <c:pt idx="102">
                  <c:v>-0.0735926235459996</c:v>
                </c:pt>
                <c:pt idx="103">
                  <c:v>-0.00118949976417615</c:v>
                </c:pt>
                <c:pt idx="104">
                  <c:v>0.0401541564807235</c:v>
                </c:pt>
                <c:pt idx="105">
                  <c:v>-0.0105818813568583</c:v>
                </c:pt>
                <c:pt idx="106">
                  <c:v>-0.035710998671411</c:v>
                </c:pt>
                <c:pt idx="107">
                  <c:v>0.0108257586512215</c:v>
                </c:pt>
                <c:pt idx="108">
                  <c:v>-0.0281510324644452</c:v>
                </c:pt>
                <c:pt idx="109">
                  <c:v>0.0556715445946216</c:v>
                </c:pt>
                <c:pt idx="110">
                  <c:v>0.0775256796241235</c:v>
                </c:pt>
                <c:pt idx="111">
                  <c:v>0.13632143148166</c:v>
                </c:pt>
                <c:pt idx="112">
                  <c:v>0.116172524448453</c:v>
                </c:pt>
                <c:pt idx="113">
                  <c:v>0.16233053364258</c:v>
                </c:pt>
                <c:pt idx="114">
                  <c:v>0.121710161081218</c:v>
                </c:pt>
                <c:pt idx="115">
                  <c:v>0.0858148055101073</c:v>
                </c:pt>
                <c:pt idx="116">
                  <c:v>0.0534757347025136</c:v>
                </c:pt>
                <c:pt idx="117">
                  <c:v>0.062510437041023</c:v>
                </c:pt>
                <c:pt idx="118">
                  <c:v>0.102709481239172</c:v>
                </c:pt>
                <c:pt idx="119">
                  <c:v>0.0742190731380978</c:v>
                </c:pt>
                <c:pt idx="120">
                  <c:v>0.111612951363752</c:v>
                </c:pt>
                <c:pt idx="121">
                  <c:v>0.0309106576429634</c:v>
                </c:pt>
                <c:pt idx="122">
                  <c:v>0.0923364311267054</c:v>
                </c:pt>
                <c:pt idx="123">
                  <c:v>0.109574134495185</c:v>
                </c:pt>
                <c:pt idx="124">
                  <c:v>0.189802188601682</c:v>
                </c:pt>
                <c:pt idx="125">
                  <c:v>0.174886831241014</c:v>
                </c:pt>
                <c:pt idx="126">
                  <c:v>0.146417739446169</c:v>
                </c:pt>
                <c:pt idx="127">
                  <c:v>0.0789350323129065</c:v>
                </c:pt>
                <c:pt idx="128">
                  <c:v>-0.00849072577051379</c:v>
                </c:pt>
                <c:pt idx="129">
                  <c:v>-0.0581417543880145</c:v>
                </c:pt>
                <c:pt idx="130">
                  <c:v>-0.00624996190902571</c:v>
                </c:pt>
                <c:pt idx="131">
                  <c:v>0.0204821426975736</c:v>
                </c:pt>
                <c:pt idx="132">
                  <c:v>0.0679730011933448</c:v>
                </c:pt>
                <c:pt idx="133">
                  <c:v>0.0362359063692166</c:v>
                </c:pt>
                <c:pt idx="134">
                  <c:v>0.0321138850747995</c:v>
                </c:pt>
                <c:pt idx="135">
                  <c:v>-0.0407483497614818</c:v>
                </c:pt>
                <c:pt idx="136">
                  <c:v>-0.0137478643668494</c:v>
                </c:pt>
                <c:pt idx="137">
                  <c:v>0.0195322209799904</c:v>
                </c:pt>
                <c:pt idx="138">
                  <c:v>0.0951327196698062</c:v>
                </c:pt>
                <c:pt idx="139">
                  <c:v>0.0732618677251084</c:v>
                </c:pt>
                <c:pt idx="140">
                  <c:v>0.0808909121004599</c:v>
                </c:pt>
                <c:pt idx="141">
                  <c:v>0.103624936659126</c:v>
                </c:pt>
                <c:pt idx="142">
                  <c:v>0.0650078729074743</c:v>
                </c:pt>
                <c:pt idx="143">
                  <c:v>0.0</c:v>
                </c:pt>
                <c:pt idx="144">
                  <c:v>0.0</c:v>
                </c:pt>
                <c:pt idx="145">
                  <c:v>0.0</c:v>
                </c:pt>
              </c:numCache>
            </c:numRef>
          </c:val>
        </c:ser>
        <c:ser>
          <c:idx val="1"/>
          <c:order val="1"/>
          <c:tx>
            <c:v>5-Year Rolling Returns[Real]</c:v>
          </c:tx>
          <c:spPr>
            <a:solidFill>
              <a:srgbClr val="C0504D"/>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Returns_All!$AF$339:$AF$484</c:f>
              <c:numCache>
                <c:formatCode>0.00%</c:formatCode>
                <c:ptCount val="146"/>
                <c:pt idx="0">
                  <c:v>0.0940461933322294</c:v>
                </c:pt>
                <c:pt idx="1">
                  <c:v>0.0609807669441533</c:v>
                </c:pt>
                <c:pt idx="2">
                  <c:v>0.0855114956208072</c:v>
                </c:pt>
                <c:pt idx="3">
                  <c:v>0.119901348765579</c:v>
                </c:pt>
                <c:pt idx="4">
                  <c:v>0.106712501482477</c:v>
                </c:pt>
                <c:pt idx="5">
                  <c:v>0.132008651224482</c:v>
                </c:pt>
                <c:pt idx="6">
                  <c:v>0.134254184126922</c:v>
                </c:pt>
                <c:pt idx="7">
                  <c:v>0.107657007523351</c:v>
                </c:pt>
                <c:pt idx="8">
                  <c:v>0.0728359577248199</c:v>
                </c:pt>
                <c:pt idx="9">
                  <c:v>0.0692584430547678</c:v>
                </c:pt>
                <c:pt idx="10">
                  <c:v>0.0653134001380595</c:v>
                </c:pt>
                <c:pt idx="11">
                  <c:v>0.0926241697091339</c:v>
                </c:pt>
                <c:pt idx="12">
                  <c:v>0.0748141108522646</c:v>
                </c:pt>
                <c:pt idx="13">
                  <c:v>0.0797848949347735</c:v>
                </c:pt>
                <c:pt idx="14">
                  <c:v>0.0878737905513096</c:v>
                </c:pt>
                <c:pt idx="15">
                  <c:v>0.0329792273188592</c:v>
                </c:pt>
                <c:pt idx="16">
                  <c:v>0.0597173530317407</c:v>
                </c:pt>
                <c:pt idx="17">
                  <c:v>0.0539015304388868</c:v>
                </c:pt>
                <c:pt idx="18">
                  <c:v>0.0536836457424903</c:v>
                </c:pt>
                <c:pt idx="19">
                  <c:v>0.050178945633506</c:v>
                </c:pt>
                <c:pt idx="20">
                  <c:v>0.0634195762937357</c:v>
                </c:pt>
                <c:pt idx="21">
                  <c:v>0.0393953282597605</c:v>
                </c:pt>
                <c:pt idx="22">
                  <c:v>0.0716222751436766</c:v>
                </c:pt>
                <c:pt idx="23">
                  <c:v>0.0883603503699104</c:v>
                </c:pt>
                <c:pt idx="24">
                  <c:v>0.0432073806624329</c:v>
                </c:pt>
                <c:pt idx="25">
                  <c:v>0.0742957150219206</c:v>
                </c:pt>
                <c:pt idx="26">
                  <c:v>0.0772487965886985</c:v>
                </c:pt>
                <c:pt idx="27">
                  <c:v>0.0486782956663765</c:v>
                </c:pt>
                <c:pt idx="28">
                  <c:v>0.00762435552029838</c:v>
                </c:pt>
                <c:pt idx="29">
                  <c:v>0.0677410168335268</c:v>
                </c:pt>
                <c:pt idx="30">
                  <c:v>0.0608313563720912</c:v>
                </c:pt>
                <c:pt idx="31">
                  <c:v>0.0343581940904754</c:v>
                </c:pt>
                <c:pt idx="32">
                  <c:v>0.0195023103290821</c:v>
                </c:pt>
                <c:pt idx="33">
                  <c:v>0.0689046668468303</c:v>
                </c:pt>
                <c:pt idx="34">
                  <c:v>0.0341038440453445</c:v>
                </c:pt>
                <c:pt idx="35">
                  <c:v>0.0238284373407784</c:v>
                </c:pt>
                <c:pt idx="36">
                  <c:v>0.0397552003075103</c:v>
                </c:pt>
                <c:pt idx="37">
                  <c:v>0.0576118710811126</c:v>
                </c:pt>
                <c:pt idx="38">
                  <c:v>0.012543089763444</c:v>
                </c:pt>
                <c:pt idx="39">
                  <c:v>0.00973077524475929</c:v>
                </c:pt>
                <c:pt idx="40">
                  <c:v>0.0264027158158608</c:v>
                </c:pt>
                <c:pt idx="41">
                  <c:v>0.00573812538865326</c:v>
                </c:pt>
                <c:pt idx="42">
                  <c:v>-0.0457652423539589</c:v>
                </c:pt>
                <c:pt idx="43">
                  <c:v>-0.0510281314034145</c:v>
                </c:pt>
                <c:pt idx="44">
                  <c:v>-0.0559382668290839</c:v>
                </c:pt>
                <c:pt idx="45">
                  <c:v>-0.0941908113967952</c:v>
                </c:pt>
                <c:pt idx="46">
                  <c:v>-0.0431239963193501</c:v>
                </c:pt>
                <c:pt idx="47">
                  <c:v>0.0504032036646846</c:v>
                </c:pt>
                <c:pt idx="48">
                  <c:v>0.0660922279318707</c:v>
                </c:pt>
                <c:pt idx="49">
                  <c:v>0.11197935123332</c:v>
                </c:pt>
                <c:pt idx="50">
                  <c:v>0.150738965365273</c:v>
                </c:pt>
                <c:pt idx="51">
                  <c:v>0.12562654087976</c:v>
                </c:pt>
                <c:pt idx="52">
                  <c:v>0.134850928020608</c:v>
                </c:pt>
                <c:pt idx="53">
                  <c:v>0.189102881008168</c:v>
                </c:pt>
                <c:pt idx="54">
                  <c:v>0.145686138990388</c:v>
                </c:pt>
                <c:pt idx="55">
                  <c:v>0.109845710195491</c:v>
                </c:pt>
                <c:pt idx="56">
                  <c:v>0.046629124361113</c:v>
                </c:pt>
                <c:pt idx="57">
                  <c:v>0.0190833427829207</c:v>
                </c:pt>
                <c:pt idx="58">
                  <c:v>0.0226595081422656</c:v>
                </c:pt>
                <c:pt idx="59">
                  <c:v>0.0152685521330023</c:v>
                </c:pt>
                <c:pt idx="60">
                  <c:v>0.0811417915638375</c:v>
                </c:pt>
                <c:pt idx="61">
                  <c:v>0.160762853053157</c:v>
                </c:pt>
                <c:pt idx="62">
                  <c:v>0.096815212631737</c:v>
                </c:pt>
                <c:pt idx="63">
                  <c:v>0.0619815155571814</c:v>
                </c:pt>
                <c:pt idx="64">
                  <c:v>0.0828047095466349</c:v>
                </c:pt>
                <c:pt idx="65">
                  <c:v>0.0136705843322327</c:v>
                </c:pt>
                <c:pt idx="66">
                  <c:v>-0.0504120633550271</c:v>
                </c:pt>
                <c:pt idx="67">
                  <c:v>-0.00277242878056583</c:v>
                </c:pt>
                <c:pt idx="68">
                  <c:v>-0.00340104053839829</c:v>
                </c:pt>
                <c:pt idx="69">
                  <c:v>0.00827739027962937</c:v>
                </c:pt>
                <c:pt idx="70">
                  <c:v>0.0600478560460638</c:v>
                </c:pt>
                <c:pt idx="71">
                  <c:v>0.0446394759772988</c:v>
                </c:pt>
                <c:pt idx="72">
                  <c:v>0.0196234795487797</c:v>
                </c:pt>
                <c:pt idx="73">
                  <c:v>0.00795931148487683</c:v>
                </c:pt>
                <c:pt idx="74">
                  <c:v>0.0146860828233109</c:v>
                </c:pt>
                <c:pt idx="75">
                  <c:v>-0.00239957198446639</c:v>
                </c:pt>
                <c:pt idx="76">
                  <c:v>0.0620290762102538</c:v>
                </c:pt>
                <c:pt idx="77">
                  <c:v>0.0963614115235203</c:v>
                </c:pt>
                <c:pt idx="78">
                  <c:v>0.0902375011191518</c:v>
                </c:pt>
                <c:pt idx="79">
                  <c:v>0.118195003923826</c:v>
                </c:pt>
                <c:pt idx="80">
                  <c:v>0.128472402783091</c:v>
                </c:pt>
                <c:pt idx="81">
                  <c:v>0.112815507613149</c:v>
                </c:pt>
                <c:pt idx="82">
                  <c:v>0.0843902796087392</c:v>
                </c:pt>
                <c:pt idx="83">
                  <c:v>0.121392690838677</c:v>
                </c:pt>
                <c:pt idx="84">
                  <c:v>0.0727123095505002</c:v>
                </c:pt>
                <c:pt idx="85">
                  <c:v>0.0520961484896116</c:v>
                </c:pt>
                <c:pt idx="86">
                  <c:v>0.0733100387539898</c:v>
                </c:pt>
                <c:pt idx="87">
                  <c:v>0.0814823052468725</c:v>
                </c:pt>
                <c:pt idx="88">
                  <c:v>0.0632393197491447</c:v>
                </c:pt>
                <c:pt idx="89">
                  <c:v>0.0763943856664402</c:v>
                </c:pt>
                <c:pt idx="90">
                  <c:v>0.0749936348016302</c:v>
                </c:pt>
                <c:pt idx="91">
                  <c:v>0.0404305361192456</c:v>
                </c:pt>
                <c:pt idx="92">
                  <c:v>0.0542264579308846</c:v>
                </c:pt>
                <c:pt idx="93">
                  <c:v>0.0375105016118153</c:v>
                </c:pt>
                <c:pt idx="94">
                  <c:v>-0.00578116408900797</c:v>
                </c:pt>
                <c:pt idx="95">
                  <c:v>-0.00610109965032923</c:v>
                </c:pt>
                <c:pt idx="96">
                  <c:v>0.0196114666524223</c:v>
                </c:pt>
                <c:pt idx="97">
                  <c:v>0.0237914436531434</c:v>
                </c:pt>
                <c:pt idx="98">
                  <c:v>-0.0155411829993646</c:v>
                </c:pt>
                <c:pt idx="99">
                  <c:v>-0.03692511767363</c:v>
                </c:pt>
                <c:pt idx="100">
                  <c:v>-0.0148644027564179</c:v>
                </c:pt>
                <c:pt idx="101">
                  <c:v>-0.0181162170329971</c:v>
                </c:pt>
                <c:pt idx="102">
                  <c:v>-0.0535973713508953</c:v>
                </c:pt>
                <c:pt idx="103">
                  <c:v>-0.0186719713651516</c:v>
                </c:pt>
                <c:pt idx="104">
                  <c:v>0.0230380570205184</c:v>
                </c:pt>
                <c:pt idx="105">
                  <c:v>-0.00275810461522885</c:v>
                </c:pt>
                <c:pt idx="106">
                  <c:v>-0.0346526465263813</c:v>
                </c:pt>
                <c:pt idx="107">
                  <c:v>0.0321681498474549</c:v>
                </c:pt>
                <c:pt idx="108">
                  <c:v>0.0496129430571239</c:v>
                </c:pt>
                <c:pt idx="109">
                  <c:v>0.0652707465074811</c:v>
                </c:pt>
                <c:pt idx="110">
                  <c:v>0.0954270729505473</c:v>
                </c:pt>
                <c:pt idx="111">
                  <c:v>0.168604888836768</c:v>
                </c:pt>
                <c:pt idx="112">
                  <c:v>0.104768045474221</c:v>
                </c:pt>
                <c:pt idx="113">
                  <c:v>0.100475423692313</c:v>
                </c:pt>
                <c:pt idx="114">
                  <c:v>0.116713335067991</c:v>
                </c:pt>
                <c:pt idx="115">
                  <c:v>0.0725862626594629</c:v>
                </c:pt>
                <c:pt idx="116">
                  <c:v>0.0662504449772898</c:v>
                </c:pt>
                <c:pt idx="117">
                  <c:v>0.0881005387784064</c:v>
                </c:pt>
                <c:pt idx="118">
                  <c:v>0.0878047070624723</c:v>
                </c:pt>
                <c:pt idx="119">
                  <c:v>0.0524879227942423</c:v>
                </c:pt>
                <c:pt idx="120">
                  <c:v>0.106325578331627</c:v>
                </c:pt>
                <c:pt idx="121">
                  <c:v>0.0918627832048158</c:v>
                </c:pt>
                <c:pt idx="122">
                  <c:v>0.119041682567992</c:v>
                </c:pt>
                <c:pt idx="123">
                  <c:v>0.143690243271547</c:v>
                </c:pt>
                <c:pt idx="124">
                  <c:v>0.163700401021073</c:v>
                </c:pt>
                <c:pt idx="125">
                  <c:v>0.11078393339298</c:v>
                </c:pt>
                <c:pt idx="126">
                  <c:v>0.0690368854422667</c:v>
                </c:pt>
                <c:pt idx="127">
                  <c:v>0.0114575311563232</c:v>
                </c:pt>
                <c:pt idx="128">
                  <c:v>0.00461177170444271</c:v>
                </c:pt>
                <c:pt idx="129">
                  <c:v>-0.0030573009917888</c:v>
                </c:pt>
                <c:pt idx="130">
                  <c:v>0.00527906836864167</c:v>
                </c:pt>
                <c:pt idx="131">
                  <c:v>0.0315620971335564</c:v>
                </c:pt>
                <c:pt idx="132">
                  <c:v>0.0532111376152315</c:v>
                </c:pt>
                <c:pt idx="133">
                  <c:v>-0.0158078926760702</c:v>
                </c:pt>
                <c:pt idx="134">
                  <c:v>0.0106595979302777</c:v>
                </c:pt>
                <c:pt idx="135">
                  <c:v>0.024282734563609</c:v>
                </c:pt>
                <c:pt idx="136">
                  <c:v>0.0173836375213991</c:v>
                </c:pt>
                <c:pt idx="137">
                  <c:v>0.0346459258959417</c:v>
                </c:pt>
                <c:pt idx="138">
                  <c:v>0.100346429356208</c:v>
                </c:pt>
                <c:pt idx="139">
                  <c:v>0.0883908388314434</c:v>
                </c:pt>
                <c:pt idx="140">
                  <c:v>0.0620937899693192</c:v>
                </c:pt>
                <c:pt idx="141">
                  <c:v>0.0</c:v>
                </c:pt>
                <c:pt idx="142">
                  <c:v>0.0</c:v>
                </c:pt>
                <c:pt idx="143">
                  <c:v>0.0</c:v>
                </c:pt>
                <c:pt idx="144">
                  <c:v>0.0</c:v>
                </c:pt>
                <c:pt idx="145">
                  <c:v>0.0</c:v>
                </c:pt>
              </c:numCache>
            </c:numRef>
          </c:val>
        </c:ser>
        <c:ser>
          <c:idx val="2"/>
          <c:order val="2"/>
          <c:tx>
            <c:v>10-Year Rolling Returns [Real]</c:v>
          </c:tx>
          <c:spPr>
            <a:solidFill>
              <a:srgbClr val="9BBB59"/>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Returns_All!$AG$339:$AG$484</c:f>
              <c:numCache>
                <c:formatCode>0.00%</c:formatCode>
                <c:ptCount val="146"/>
                <c:pt idx="0">
                  <c:v>0.112865560474982</c:v>
                </c:pt>
                <c:pt idx="1">
                  <c:v>0.0970058678897743</c:v>
                </c:pt>
                <c:pt idx="2">
                  <c:v>0.0965283465882407</c:v>
                </c:pt>
                <c:pt idx="3">
                  <c:v>0.0961160686990394</c:v>
                </c:pt>
                <c:pt idx="4">
                  <c:v>0.0878242901518611</c:v>
                </c:pt>
                <c:pt idx="5">
                  <c:v>0.0981548093149942</c:v>
                </c:pt>
                <c:pt idx="6">
                  <c:v>0.113244598536543</c:v>
                </c:pt>
                <c:pt idx="7">
                  <c:v>0.0911119931842428</c:v>
                </c:pt>
                <c:pt idx="8">
                  <c:v>0.0763048182992314</c:v>
                </c:pt>
                <c:pt idx="9">
                  <c:v>0.0785259549612063</c:v>
                </c:pt>
                <c:pt idx="10">
                  <c:v>0.0490217409220075</c:v>
                </c:pt>
                <c:pt idx="11">
                  <c:v>0.0760449772117646</c:v>
                </c:pt>
                <c:pt idx="12">
                  <c:v>0.0643064579173205</c:v>
                </c:pt>
                <c:pt idx="13">
                  <c:v>0.0666544354722123</c:v>
                </c:pt>
                <c:pt idx="14">
                  <c:v>0.0688602108524294</c:v>
                </c:pt>
                <c:pt idx="15">
                  <c:v>0.0480888951971832</c:v>
                </c:pt>
                <c:pt idx="16">
                  <c:v>0.0495071538665142</c:v>
                </c:pt>
                <c:pt idx="17">
                  <c:v>0.0627249671605172</c:v>
                </c:pt>
                <c:pt idx="18">
                  <c:v>0.0708816469896853</c:v>
                </c:pt>
                <c:pt idx="19">
                  <c:v>0.0466873588140659</c:v>
                </c:pt>
                <c:pt idx="20">
                  <c:v>0.068843811827896</c:v>
                </c:pt>
                <c:pt idx="21">
                  <c:v>0.0581528086943503</c:v>
                </c:pt>
                <c:pt idx="22">
                  <c:v>0.0600882138274132</c:v>
                </c:pt>
                <c:pt idx="23">
                  <c:v>0.0472145895733724</c:v>
                </c:pt>
                <c:pt idx="24">
                  <c:v>0.0554029132974507</c:v>
                </c:pt>
                <c:pt idx="25">
                  <c:v>0.0675423085346218</c:v>
                </c:pt>
                <c:pt idx="26">
                  <c:v>0.0555856762127951</c:v>
                </c:pt>
                <c:pt idx="27">
                  <c:v>0.0339874009018848</c:v>
                </c:pt>
                <c:pt idx="28">
                  <c:v>0.0378123028969046</c:v>
                </c:pt>
                <c:pt idx="29">
                  <c:v>0.0507878425031549</c:v>
                </c:pt>
                <c:pt idx="30">
                  <c:v>0.042165682545984</c:v>
                </c:pt>
                <c:pt idx="31">
                  <c:v>0.0370531863343639</c:v>
                </c:pt>
                <c:pt idx="32">
                  <c:v>0.0383822735383428</c:v>
                </c:pt>
                <c:pt idx="33">
                  <c:v>0.0403422677329102</c:v>
                </c:pt>
                <c:pt idx="34">
                  <c:v>0.0218446438336366</c:v>
                </c:pt>
                <c:pt idx="35">
                  <c:v>0.0251147685094015</c:v>
                </c:pt>
                <c:pt idx="36">
                  <c:v>0.0226052249134947</c:v>
                </c:pt>
                <c:pt idx="37">
                  <c:v>0.00459444926032781</c:v>
                </c:pt>
                <c:pt idx="38">
                  <c:v>-0.0197577299833599</c:v>
                </c:pt>
                <c:pt idx="39">
                  <c:v>-0.0236557032923375</c:v>
                </c:pt>
                <c:pt idx="40">
                  <c:v>-0.0357775094962311</c:v>
                </c:pt>
                <c:pt idx="41">
                  <c:v>-0.0189971059313011</c:v>
                </c:pt>
                <c:pt idx="42">
                  <c:v>0.00116494469173034</c:v>
                </c:pt>
                <c:pt idx="43">
                  <c:v>0.00582877948326987</c:v>
                </c:pt>
                <c:pt idx="44">
                  <c:v>0.0245863329049432</c:v>
                </c:pt>
                <c:pt idx="45">
                  <c:v>0.020955399864073</c:v>
                </c:pt>
                <c:pt idx="46">
                  <c:v>0.0378270694455307</c:v>
                </c:pt>
                <c:pt idx="47">
                  <c:v>0.0918109041746591</c:v>
                </c:pt>
                <c:pt idx="48">
                  <c:v>0.125918886800556</c:v>
                </c:pt>
                <c:pt idx="49">
                  <c:v>0.128706928104696</c:v>
                </c:pt>
                <c:pt idx="50">
                  <c:v>0.130107386165335</c:v>
                </c:pt>
                <c:pt idx="51">
                  <c:v>0.0854093793765611</c:v>
                </c:pt>
                <c:pt idx="52">
                  <c:v>0.0754104692104966</c:v>
                </c:pt>
                <c:pt idx="53">
                  <c:v>0.102745377420538</c:v>
                </c:pt>
                <c:pt idx="54">
                  <c:v>0.0785078152390091</c:v>
                </c:pt>
                <c:pt idx="55">
                  <c:v>0.095399735019227</c:v>
                </c:pt>
                <c:pt idx="56">
                  <c:v>0.102219673423557</c:v>
                </c:pt>
                <c:pt idx="57">
                  <c:v>0.0572351267830209</c:v>
                </c:pt>
                <c:pt idx="58">
                  <c:v>0.0421350653134578</c:v>
                </c:pt>
                <c:pt idx="59">
                  <c:v>0.0484929993587024</c:v>
                </c:pt>
                <c:pt idx="60">
                  <c:v>0.0468627568122346</c:v>
                </c:pt>
                <c:pt idx="61">
                  <c:v>0.0498792323714565</c:v>
                </c:pt>
                <c:pt idx="62">
                  <c:v>0.0458366844633413</c:v>
                </c:pt>
                <c:pt idx="63">
                  <c:v>0.0287709528227076</c:v>
                </c:pt>
                <c:pt idx="64">
                  <c:v>0.0448767902122111</c:v>
                </c:pt>
                <c:pt idx="65">
                  <c:v>0.0365998888955872</c:v>
                </c:pt>
                <c:pt idx="66">
                  <c:v>-0.00401955615023797</c:v>
                </c:pt>
                <c:pt idx="67">
                  <c:v>0.00836335022091017</c:v>
                </c:pt>
                <c:pt idx="68">
                  <c:v>0.00226303982809872</c:v>
                </c:pt>
                <c:pt idx="69">
                  <c:v>0.0114766608983856</c:v>
                </c:pt>
                <c:pt idx="70">
                  <c:v>0.0283502296924438</c:v>
                </c:pt>
                <c:pt idx="71">
                  <c:v>0.0532983896526824</c:v>
                </c:pt>
                <c:pt idx="72">
                  <c:v>0.0572964755737264</c:v>
                </c:pt>
                <c:pt idx="73">
                  <c:v>0.0482914866500887</c:v>
                </c:pt>
                <c:pt idx="74">
                  <c:v>0.0651839786459725</c:v>
                </c:pt>
                <c:pt idx="75">
                  <c:v>0.0610205238449111</c:v>
                </c:pt>
                <c:pt idx="76">
                  <c:v>0.0871257634436031</c:v>
                </c:pt>
                <c:pt idx="77">
                  <c:v>0.0903594167036035</c:v>
                </c:pt>
                <c:pt idx="78">
                  <c:v>0.105705369903412</c:v>
                </c:pt>
                <c:pt idx="79">
                  <c:v>0.0952175789252827</c:v>
                </c:pt>
                <c:pt idx="80">
                  <c:v>0.0896152846968088</c:v>
                </c:pt>
                <c:pt idx="81">
                  <c:v>0.0928842828050504</c:v>
                </c:pt>
                <c:pt idx="82">
                  <c:v>0.08293531634099</c:v>
                </c:pt>
                <c:pt idx="83">
                  <c:v>0.0919289362311899</c:v>
                </c:pt>
                <c:pt idx="84">
                  <c:v>0.0745517704770855</c:v>
                </c:pt>
                <c:pt idx="85">
                  <c:v>0.0634832687097824</c:v>
                </c:pt>
                <c:pt idx="86">
                  <c:v>0.0567424184932588</c:v>
                </c:pt>
                <c:pt idx="87">
                  <c:v>0.0677674184836969</c:v>
                </c:pt>
                <c:pt idx="88">
                  <c:v>0.0502961296540802</c:v>
                </c:pt>
                <c:pt idx="89">
                  <c:v>0.034490972941966</c:v>
                </c:pt>
                <c:pt idx="90">
                  <c:v>0.0336512910610791</c:v>
                </c:pt>
                <c:pt idx="91">
                  <c:v>0.0299683999436633</c:v>
                </c:pt>
                <c:pt idx="92">
                  <c:v>0.0388975056772445</c:v>
                </c:pt>
                <c:pt idx="93">
                  <c:v>0.0106366117663181</c:v>
                </c:pt>
                <c:pt idx="94">
                  <c:v>-0.0214770373661949</c:v>
                </c:pt>
                <c:pt idx="95">
                  <c:v>-0.0104924523806236</c:v>
                </c:pt>
                <c:pt idx="96">
                  <c:v>0.000569819669379523</c:v>
                </c:pt>
                <c:pt idx="97">
                  <c:v>-0.0156632113642218</c:v>
                </c:pt>
                <c:pt idx="98">
                  <c:v>-0.0171078237367903</c:v>
                </c:pt>
                <c:pt idx="99">
                  <c:v>-0.00739622387357719</c:v>
                </c:pt>
                <c:pt idx="100">
                  <c:v>-0.00882973702486489</c:v>
                </c:pt>
                <c:pt idx="101">
                  <c:v>-0.0264195404046663</c:v>
                </c:pt>
                <c:pt idx="102">
                  <c:v>-0.0116444717494042</c:v>
                </c:pt>
                <c:pt idx="103">
                  <c:v>0.0148963495056373</c:v>
                </c:pt>
                <c:pt idx="104">
                  <c:v>0.043940857859204</c:v>
                </c:pt>
                <c:pt idx="105">
                  <c:v>0.0451821709563342</c:v>
                </c:pt>
                <c:pt idx="106">
                  <c:v>0.0621250569941876</c:v>
                </c:pt>
                <c:pt idx="107">
                  <c:v>0.0678512955967769</c:v>
                </c:pt>
                <c:pt idx="108">
                  <c:v>0.0747433406277629</c:v>
                </c:pt>
                <c:pt idx="109">
                  <c:v>0.0906887952494688</c:v>
                </c:pt>
                <c:pt idx="110">
                  <c:v>0.0839465070712772</c:v>
                </c:pt>
                <c:pt idx="111">
                  <c:v>0.116255115430536</c:v>
                </c:pt>
                <c:pt idx="112">
                  <c:v>0.0964026201654511</c:v>
                </c:pt>
                <c:pt idx="113">
                  <c:v>0.0941217235294556</c:v>
                </c:pt>
                <c:pt idx="114">
                  <c:v>0.0841251304080821</c:v>
                </c:pt>
                <c:pt idx="115">
                  <c:v>0.0893253037303816</c:v>
                </c:pt>
                <c:pt idx="116">
                  <c:v>0.078980620051295</c:v>
                </c:pt>
                <c:pt idx="117">
                  <c:v>0.103462667115533</c:v>
                </c:pt>
                <c:pt idx="118">
                  <c:v>0.115397521089326</c:v>
                </c:pt>
                <c:pt idx="119">
                  <c:v>0.10669806985713</c:v>
                </c:pt>
                <c:pt idx="120">
                  <c:v>0.1085525145488</c:v>
                </c:pt>
                <c:pt idx="121">
                  <c:v>0.0803895543217738</c:v>
                </c:pt>
                <c:pt idx="122">
                  <c:v>0.0638905665110667</c:v>
                </c:pt>
                <c:pt idx="123">
                  <c:v>0.0718977010769795</c:v>
                </c:pt>
                <c:pt idx="124">
                  <c:v>0.0770991684292055</c:v>
                </c:pt>
                <c:pt idx="125">
                  <c:v>0.056715589797061</c:v>
                </c:pt>
                <c:pt idx="126">
                  <c:v>0.0501323399743243</c:v>
                </c:pt>
                <c:pt idx="127">
                  <c:v>0.0321232179534789</c:v>
                </c:pt>
                <c:pt idx="128">
                  <c:v>-0.0056504756192508</c:v>
                </c:pt>
                <c:pt idx="129">
                  <c:v>0.00377771809258864</c:v>
                </c:pt>
                <c:pt idx="130">
                  <c:v>0.0147364156017018</c:v>
                </c:pt>
                <c:pt idx="131">
                  <c:v>0.0244483387223293</c:v>
                </c:pt>
                <c:pt idx="132">
                  <c:v>0.0438872605036566</c:v>
                </c:pt>
                <c:pt idx="133">
                  <c:v>0.0406499272543326</c:v>
                </c:pt>
                <c:pt idx="134">
                  <c:v>0.0488053430281448</c:v>
                </c:pt>
                <c:pt idx="135">
                  <c:v>0.0430169373278661</c:v>
                </c:pt>
                <c:pt idx="136">
                  <c:v>0.0</c:v>
                </c:pt>
                <c:pt idx="137">
                  <c:v>0.0</c:v>
                </c:pt>
                <c:pt idx="138">
                  <c:v>0.0</c:v>
                </c:pt>
                <c:pt idx="139">
                  <c:v>0.0</c:v>
                </c:pt>
                <c:pt idx="140">
                  <c:v>0.0</c:v>
                </c:pt>
                <c:pt idx="141">
                  <c:v>0.0</c:v>
                </c:pt>
                <c:pt idx="142">
                  <c:v>0.0</c:v>
                </c:pt>
                <c:pt idx="143">
                  <c:v>0.0</c:v>
                </c:pt>
                <c:pt idx="144">
                  <c:v>0.0</c:v>
                </c:pt>
                <c:pt idx="145">
                  <c:v>0.0</c:v>
                </c:pt>
              </c:numCache>
            </c:numRef>
          </c:val>
        </c:ser>
        <c:ser>
          <c:idx val="3"/>
          <c:order val="3"/>
          <c:tx>
            <c:v>15-Year Rolling Returns [Real]</c:v>
          </c:tx>
          <c:spPr>
            <a:solidFill>
              <a:srgbClr val="8064A2"/>
            </a:solidFill>
            <a:ln w="25400">
              <a:noFill/>
            </a:ln>
          </c:spPr>
          <c:invertIfNegative val="0"/>
          <c:cat>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cat>
          <c:val>
            <c:numRef>
              <c:f>Returns_All!$AH$339:$AH$484</c:f>
              <c:numCache>
                <c:formatCode>0.00%</c:formatCode>
                <c:ptCount val="146"/>
                <c:pt idx="0">
                  <c:v>0.0967835591062351</c:v>
                </c:pt>
                <c:pt idx="1">
                  <c:v>0.0955433528886753</c:v>
                </c:pt>
                <c:pt idx="2">
                  <c:v>0.0892419574761298</c:v>
                </c:pt>
                <c:pt idx="3">
                  <c:v>0.0906450824987583</c:v>
                </c:pt>
                <c:pt idx="4">
                  <c:v>0.0878407900347426</c:v>
                </c:pt>
                <c:pt idx="5">
                  <c:v>0.0759850602429752</c:v>
                </c:pt>
                <c:pt idx="6">
                  <c:v>0.0951083231737315</c:v>
                </c:pt>
                <c:pt idx="7">
                  <c:v>0.0785647721528901</c:v>
                </c:pt>
                <c:pt idx="8">
                  <c:v>0.0687109752748161</c:v>
                </c:pt>
                <c:pt idx="9">
                  <c:v>0.0689929384375134</c:v>
                </c:pt>
                <c:pt idx="10">
                  <c:v>0.0537992285655111</c:v>
                </c:pt>
                <c:pt idx="11">
                  <c:v>0.0636870451354687</c:v>
                </c:pt>
                <c:pt idx="12">
                  <c:v>0.0667394974129833</c:v>
                </c:pt>
                <c:pt idx="13">
                  <c:v>0.0738412095182597</c:v>
                </c:pt>
                <c:pt idx="14">
                  <c:v>0.0602399324454437</c:v>
                </c:pt>
                <c:pt idx="15">
                  <c:v>0.0567526871744828</c:v>
                </c:pt>
                <c:pt idx="16">
                  <c:v>0.0586740666537906</c:v>
                </c:pt>
                <c:pt idx="17">
                  <c:v>0.0580219612474575</c:v>
                </c:pt>
                <c:pt idx="18">
                  <c:v>0.0493665165941373</c:v>
                </c:pt>
                <c:pt idx="19">
                  <c:v>0.0536587097862164</c:v>
                </c:pt>
                <c:pt idx="20">
                  <c:v>0.0661662915886456</c:v>
                </c:pt>
                <c:pt idx="21">
                  <c:v>0.0501610644557895</c:v>
                </c:pt>
                <c:pt idx="22">
                  <c:v>0.0463831609481116</c:v>
                </c:pt>
                <c:pt idx="23">
                  <c:v>0.054395265409467</c:v>
                </c:pt>
                <c:pt idx="24">
                  <c:v>0.0482549211953296</c:v>
                </c:pt>
                <c:pt idx="25">
                  <c:v>0.0527674771943454</c:v>
                </c:pt>
                <c:pt idx="26">
                  <c:v>0.0502822503011926</c:v>
                </c:pt>
                <c:pt idx="27">
                  <c:v>0.0418029996964857</c:v>
                </c:pt>
                <c:pt idx="28">
                  <c:v>0.02931992866489</c:v>
                </c:pt>
                <c:pt idx="29">
                  <c:v>0.0369199350876796</c:v>
                </c:pt>
                <c:pt idx="30">
                  <c:v>0.0368846445372053</c:v>
                </c:pt>
                <c:pt idx="31">
                  <c:v>0.0265079676546267</c:v>
                </c:pt>
                <c:pt idx="32">
                  <c:v>0.00953935607336586</c:v>
                </c:pt>
                <c:pt idx="33">
                  <c:v>0.00894759291453573</c:v>
                </c:pt>
                <c:pt idx="34">
                  <c:v>-0.00477018071763457</c:v>
                </c:pt>
                <c:pt idx="35">
                  <c:v>-0.0163047654038287</c:v>
                </c:pt>
                <c:pt idx="36">
                  <c:v>0.00020854258401104</c:v>
                </c:pt>
                <c:pt idx="37">
                  <c:v>0.0196376468353483</c:v>
                </c:pt>
                <c:pt idx="38">
                  <c:v>0.00806192121794047</c:v>
                </c:pt>
                <c:pt idx="39">
                  <c:v>0.0196103532583811</c:v>
                </c:pt>
                <c:pt idx="40">
                  <c:v>0.022767952030986</c:v>
                </c:pt>
                <c:pt idx="41">
                  <c:v>0.0270185801105056</c:v>
                </c:pt>
                <c:pt idx="42">
                  <c:v>0.0438786825271247</c:v>
                </c:pt>
                <c:pt idx="43">
                  <c:v>0.0635449480310741</c:v>
                </c:pt>
                <c:pt idx="44">
                  <c:v>0.0634594266662827</c:v>
                </c:pt>
                <c:pt idx="45">
                  <c:v>0.0497649047904591</c:v>
                </c:pt>
                <c:pt idx="46">
                  <c:v>0.0407528319147978</c:v>
                </c:pt>
                <c:pt idx="47">
                  <c:v>0.0670092537891671</c:v>
                </c:pt>
                <c:pt idx="48">
                  <c:v>0.0903897400450617</c:v>
                </c:pt>
                <c:pt idx="49">
                  <c:v>0.0895515225288523</c:v>
                </c:pt>
                <c:pt idx="50">
                  <c:v>0.113543944911199</c:v>
                </c:pt>
                <c:pt idx="51">
                  <c:v>0.109967374976256</c:v>
                </c:pt>
                <c:pt idx="52">
                  <c:v>0.0824985629998316</c:v>
                </c:pt>
                <c:pt idx="53">
                  <c:v>0.0889864680829768</c:v>
                </c:pt>
                <c:pt idx="54">
                  <c:v>0.0799382153959629</c:v>
                </c:pt>
                <c:pt idx="55">
                  <c:v>0.0674495758472471</c:v>
                </c:pt>
                <c:pt idx="56">
                  <c:v>0.0487947431803086</c:v>
                </c:pt>
                <c:pt idx="57">
                  <c:v>0.0368417631274911</c:v>
                </c:pt>
                <c:pt idx="58">
                  <c:v>0.0267297573164698</c:v>
                </c:pt>
                <c:pt idx="59">
                  <c:v>0.0349126598465919</c:v>
                </c:pt>
                <c:pt idx="60">
                  <c:v>0.0512394663028899</c:v>
                </c:pt>
                <c:pt idx="61">
                  <c:v>0.0481297331932777</c:v>
                </c:pt>
                <c:pt idx="62">
                  <c:v>0.0370249138141148</c:v>
                </c:pt>
                <c:pt idx="63">
                  <c:v>0.0217864270546679</c:v>
                </c:pt>
                <c:pt idx="64">
                  <c:v>0.0347147088787183</c:v>
                </c:pt>
                <c:pt idx="65">
                  <c:v>0.0234335446837155</c:v>
                </c:pt>
                <c:pt idx="66">
                  <c:v>0.017527158662374</c:v>
                </c:pt>
                <c:pt idx="67">
                  <c:v>0.0368818730150937</c:v>
                </c:pt>
                <c:pt idx="68">
                  <c:v>0.0307693960275523</c:v>
                </c:pt>
                <c:pt idx="69">
                  <c:v>0.0458669195830512</c:v>
                </c:pt>
                <c:pt idx="70">
                  <c:v>0.0606962021201025</c:v>
                </c:pt>
                <c:pt idx="71">
                  <c:v>0.0727750634985838</c:v>
                </c:pt>
                <c:pt idx="72">
                  <c:v>0.0662516796816974</c:v>
                </c:pt>
                <c:pt idx="73">
                  <c:v>0.0721131253867515</c:v>
                </c:pt>
                <c:pt idx="74">
                  <c:v>0.0676875334416684</c:v>
                </c:pt>
                <c:pt idx="75">
                  <c:v>0.0580373524186009</c:v>
                </c:pt>
                <c:pt idx="76">
                  <c:v>0.0825008744144659</c:v>
                </c:pt>
                <c:pt idx="77">
                  <c:v>0.0873923127431302</c:v>
                </c:pt>
                <c:pt idx="78">
                  <c:v>0.0913648331552095</c:v>
                </c:pt>
                <c:pt idx="79">
                  <c:v>0.0889068885460382</c:v>
                </c:pt>
                <c:pt idx="80">
                  <c:v>0.0847194363694781</c:v>
                </c:pt>
                <c:pt idx="81">
                  <c:v>0.0751122661822794</c:v>
                </c:pt>
                <c:pt idx="82">
                  <c:v>0.0732798647147468</c:v>
                </c:pt>
                <c:pt idx="83">
                  <c:v>0.0734794881460063</c:v>
                </c:pt>
                <c:pt idx="84">
                  <c:v>0.0470776548547849</c:v>
                </c:pt>
                <c:pt idx="85">
                  <c:v>0.0397633643941093</c:v>
                </c:pt>
                <c:pt idx="86">
                  <c:v>0.0442175725910028</c:v>
                </c:pt>
                <c:pt idx="87">
                  <c:v>0.0529027865590892</c:v>
                </c:pt>
                <c:pt idx="88">
                  <c:v>0.027875136778418</c:v>
                </c:pt>
                <c:pt idx="89">
                  <c:v>0.0101157798948237</c:v>
                </c:pt>
                <c:pt idx="90">
                  <c:v>0.0172195657702103</c:v>
                </c:pt>
                <c:pt idx="91">
                  <c:v>0.0136840881013642</c:v>
                </c:pt>
                <c:pt idx="92">
                  <c:v>0.00710274956005197</c:v>
                </c:pt>
                <c:pt idx="93">
                  <c:v>0.000771093314394289</c:v>
                </c:pt>
                <c:pt idx="94">
                  <c:v>-0.0068581623322157</c:v>
                </c:pt>
                <c:pt idx="95">
                  <c:v>-0.00792102460240318</c:v>
                </c:pt>
                <c:pt idx="96">
                  <c:v>-0.0113115300267279</c:v>
                </c:pt>
                <c:pt idx="97">
                  <c:v>2.90799077071746E-5</c:v>
                </c:pt>
                <c:pt idx="98">
                  <c:v>0.00464735359538171</c:v>
                </c:pt>
                <c:pt idx="99">
                  <c:v>0.0162579336134301</c:v>
                </c:pt>
                <c:pt idx="100">
                  <c:v>0.024770620459281</c:v>
                </c:pt>
                <c:pt idx="101">
                  <c:v>0.0346746260879727</c:v>
                </c:pt>
                <c:pt idx="102">
                  <c:v>0.025728679393872</c:v>
                </c:pt>
                <c:pt idx="103">
                  <c:v>0.0426564711306339</c:v>
                </c:pt>
                <c:pt idx="104">
                  <c:v>0.0676555557339853</c:v>
                </c:pt>
                <c:pt idx="105">
                  <c:v>0.0542381756094021</c:v>
                </c:pt>
                <c:pt idx="106">
                  <c:v>0.0634984097789266</c:v>
                </c:pt>
                <c:pt idx="107">
                  <c:v>0.0745588229101495</c:v>
                </c:pt>
                <c:pt idx="108">
                  <c:v>0.0790796103509259</c:v>
                </c:pt>
                <c:pt idx="109">
                  <c:v>0.0778035459663724</c:v>
                </c:pt>
                <c:pt idx="110">
                  <c:v>0.0913554409580843</c:v>
                </c:pt>
                <c:pt idx="111">
                  <c:v>0.108064383993457</c:v>
                </c:pt>
                <c:pt idx="112">
                  <c:v>0.103897621765403</c:v>
                </c:pt>
                <c:pt idx="113">
                  <c:v>0.110401140950103</c:v>
                </c:pt>
                <c:pt idx="114">
                  <c:v>0.110026471370041</c:v>
                </c:pt>
                <c:pt idx="115">
                  <c:v>0.0964317194504531</c:v>
                </c:pt>
                <c:pt idx="116">
                  <c:v>0.0756558071637456</c:v>
                </c:pt>
                <c:pt idx="117">
                  <c:v>0.0719001058311601</c:v>
                </c:pt>
                <c:pt idx="118">
                  <c:v>0.07717402157476</c:v>
                </c:pt>
                <c:pt idx="119">
                  <c:v>0.0688321303867565</c:v>
                </c:pt>
                <c:pt idx="120">
                  <c:v>0.0730000138560178</c:v>
                </c:pt>
                <c:pt idx="121">
                  <c:v>0.0638621956934047</c:v>
                </c:pt>
                <c:pt idx="122">
                  <c:v>0.0603187787763304</c:v>
                </c:pt>
                <c:pt idx="123">
                  <c:v>0.0418267853830927</c:v>
                </c:pt>
                <c:pt idx="124">
                  <c:v>0.0544810075018212</c:v>
                </c:pt>
                <c:pt idx="125">
                  <c:v>0.0457921089272821</c:v>
                </c:pt>
                <c:pt idx="126">
                  <c:v>0.047002469737963</c:v>
                </c:pt>
                <c:pt idx="127">
                  <c:v>0.0419054868987401</c:v>
                </c:pt>
                <c:pt idx="128">
                  <c:v>0.029201453847735</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numCache>
            </c:numRef>
          </c:val>
        </c:ser>
        <c:dLbls>
          <c:showLegendKey val="0"/>
          <c:showVal val="0"/>
          <c:showCatName val="0"/>
          <c:showSerName val="0"/>
          <c:showPercent val="0"/>
          <c:showBubbleSize val="0"/>
        </c:dLbls>
        <c:gapWidth val="150"/>
        <c:axId val="-2132843208"/>
        <c:axId val="-2132839640"/>
      </c:barChart>
      <c:dateAx>
        <c:axId val="-2132843208"/>
        <c:scaling>
          <c:orientation val="minMax"/>
        </c:scaling>
        <c:delete val="0"/>
        <c:axPos val="b"/>
        <c:majorGridlines>
          <c:spPr>
            <a:ln w="3175">
              <a:solidFill>
                <a:srgbClr val="C0C0C0"/>
              </a:solidFill>
              <a:prstDash val="solid"/>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32839640"/>
        <c:crosses val="autoZero"/>
        <c:auto val="0"/>
        <c:lblOffset val="100"/>
        <c:baseTimeUnit val="days"/>
      </c:dateAx>
      <c:valAx>
        <c:axId val="-2132839640"/>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32843208"/>
        <c:crosses val="autoZero"/>
        <c:crossBetween val="between"/>
      </c:valAx>
      <c:spPr>
        <a:solidFill>
          <a:srgbClr val="FFFFFF"/>
        </a:solidFill>
        <a:ln w="12700">
          <a:solidFill>
            <a:srgbClr val="808080"/>
          </a:solidFill>
          <a:prstDash val="solid"/>
        </a:ln>
      </c:spPr>
    </c:plotArea>
    <c:legend>
      <c:legendPos val="r"/>
      <c:layout>
        <c:manualLayout>
          <c:xMode val="edge"/>
          <c:yMode val="edge"/>
          <c:wMode val="edge"/>
          <c:hMode val="edge"/>
          <c:x val="0.473909661815833"/>
          <c:y val="0.0903333333333333"/>
          <c:w val="0.968567836088552"/>
          <c:h val="0.171889107611549"/>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Returns_72_15!$Y$56</c:f>
          <c:strCache>
            <c:ptCount val="1"/>
            <c:pt idx="0">
              <c:v>Rolling Returns (Real)  1972 - 2015</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942684503859"/>
          <c:y val="0.0928991076115485"/>
          <c:w val="0.862070578286972"/>
          <c:h val="0.784230761154856"/>
        </c:manualLayout>
      </c:layout>
      <c:barChart>
        <c:barDir val="col"/>
        <c:grouping val="clustered"/>
        <c:varyColors val="0"/>
        <c:ser>
          <c:idx val="0"/>
          <c:order val="0"/>
          <c:tx>
            <c:v>3-Year Rolling Returns [Real]</c:v>
          </c:tx>
          <c:spPr>
            <a:solidFill>
              <a:srgbClr val="4F81BD"/>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Returns_72_15!$AE$137:$AE$181</c:f>
              <c:numCache>
                <c:formatCode>0.00%</c:formatCode>
                <c:ptCount val="45"/>
                <c:pt idx="0">
                  <c:v>-0.126545538316605</c:v>
                </c:pt>
                <c:pt idx="1">
                  <c:v>-0.110342490010917</c:v>
                </c:pt>
                <c:pt idx="2">
                  <c:v>-0.00872977407537245</c:v>
                </c:pt>
                <c:pt idx="3">
                  <c:v>0.103872938245036</c:v>
                </c:pt>
                <c:pt idx="4">
                  <c:v>0.047833843763452</c:v>
                </c:pt>
                <c:pt idx="5">
                  <c:v>0.0119821223685419</c:v>
                </c:pt>
                <c:pt idx="6">
                  <c:v>0.0496603389688706</c:v>
                </c:pt>
                <c:pt idx="7">
                  <c:v>-0.000176336059072635</c:v>
                </c:pt>
                <c:pt idx="8">
                  <c:v>0.0394746789779206</c:v>
                </c:pt>
                <c:pt idx="9">
                  <c:v>0.0558652174277951</c:v>
                </c:pt>
                <c:pt idx="10">
                  <c:v>0.100988258162568</c:v>
                </c:pt>
                <c:pt idx="11">
                  <c:v>0.162444649159785</c:v>
                </c:pt>
                <c:pt idx="12">
                  <c:v>0.21189890102707</c:v>
                </c:pt>
                <c:pt idx="13">
                  <c:v>0.216466767182738</c:v>
                </c:pt>
                <c:pt idx="14">
                  <c:v>0.157966284748942</c:v>
                </c:pt>
                <c:pt idx="15">
                  <c:v>0.116378287607444</c:v>
                </c:pt>
                <c:pt idx="16">
                  <c:v>0.0511654254266975</c:v>
                </c:pt>
                <c:pt idx="17">
                  <c:v>0.0755574201634213</c:v>
                </c:pt>
                <c:pt idx="18">
                  <c:v>0.0233329668743061</c:v>
                </c:pt>
                <c:pt idx="19">
                  <c:v>0.126064259017364</c:v>
                </c:pt>
                <c:pt idx="20">
                  <c:v>0.0468383966409387</c:v>
                </c:pt>
                <c:pt idx="21">
                  <c:v>0.114865169613806</c:v>
                </c:pt>
                <c:pt idx="22">
                  <c:v>0.0937054297670479</c:v>
                </c:pt>
                <c:pt idx="23">
                  <c:v>0.153351856937975</c:v>
                </c:pt>
                <c:pt idx="24">
                  <c:v>0.136541284381874</c:v>
                </c:pt>
                <c:pt idx="25">
                  <c:v>0.162037696227966</c:v>
                </c:pt>
                <c:pt idx="26">
                  <c:v>0.0699589247397139</c:v>
                </c:pt>
                <c:pt idx="27">
                  <c:v>-0.0234859211632995</c:v>
                </c:pt>
                <c:pt idx="28">
                  <c:v>-0.11953221089373</c:v>
                </c:pt>
                <c:pt idx="29">
                  <c:v>-0.0145878294917319</c:v>
                </c:pt>
                <c:pt idx="30">
                  <c:v>0.0578703691928468</c:v>
                </c:pt>
                <c:pt idx="31">
                  <c:v>0.129983310054596</c:v>
                </c:pt>
                <c:pt idx="32">
                  <c:v>0.0916126851857175</c:v>
                </c:pt>
                <c:pt idx="33">
                  <c:v>0.0764125653523064</c:v>
                </c:pt>
                <c:pt idx="34">
                  <c:v>-0.0545384427987607</c:v>
                </c:pt>
                <c:pt idx="35">
                  <c:v>-0.0322236126604052</c:v>
                </c:pt>
                <c:pt idx="36">
                  <c:v>-0.0124556383151515</c:v>
                </c:pt>
                <c:pt idx="37">
                  <c:v>0.0899343113876485</c:v>
                </c:pt>
                <c:pt idx="38">
                  <c:v>0.0605856667036091</c:v>
                </c:pt>
                <c:pt idx="39">
                  <c:v>0.0826147662577989</c:v>
                </c:pt>
                <c:pt idx="40">
                  <c:v>0.118404657119991</c:v>
                </c:pt>
                <c:pt idx="41">
                  <c:v>0.0707542444581433</c:v>
                </c:pt>
                <c:pt idx="42">
                  <c:v>0.0</c:v>
                </c:pt>
                <c:pt idx="43">
                  <c:v>0.0</c:v>
                </c:pt>
                <c:pt idx="44">
                  <c:v>0.0</c:v>
                </c:pt>
              </c:numCache>
            </c:numRef>
          </c:val>
        </c:ser>
        <c:ser>
          <c:idx val="1"/>
          <c:order val="1"/>
          <c:tx>
            <c:v>5-Year Rolling Returns[Real]</c:v>
          </c:tx>
          <c:spPr>
            <a:solidFill>
              <a:srgbClr val="C0504D"/>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Returns_72_15!$AF$137:$AF$181</c:f>
              <c:numCache>
                <c:formatCode>0.00%</c:formatCode>
                <c:ptCount val="45"/>
                <c:pt idx="0">
                  <c:v>-0.018865716766099</c:v>
                </c:pt>
                <c:pt idx="1">
                  <c:v>-0.0509548279048162</c:v>
                </c:pt>
                <c:pt idx="2">
                  <c:v>0.00208526579071178</c:v>
                </c:pt>
                <c:pt idx="3">
                  <c:v>0.0717364340312849</c:v>
                </c:pt>
                <c:pt idx="4">
                  <c:v>0.0480510741537934</c:v>
                </c:pt>
                <c:pt idx="5">
                  <c:v>0.00726440342959078</c:v>
                </c:pt>
                <c:pt idx="6">
                  <c:v>0.0337723016936369</c:v>
                </c:pt>
                <c:pt idx="7">
                  <c:v>0.0528635351299735</c:v>
                </c:pt>
                <c:pt idx="8">
                  <c:v>0.0595205743830132</c:v>
                </c:pt>
                <c:pt idx="9">
                  <c:v>0.0990538923629549</c:v>
                </c:pt>
                <c:pt idx="10">
                  <c:v>0.181674524349313</c:v>
                </c:pt>
                <c:pt idx="11">
                  <c:v>0.164343693061226</c:v>
                </c:pt>
                <c:pt idx="12">
                  <c:v>0.161639703801757</c:v>
                </c:pt>
                <c:pt idx="13">
                  <c:v>0.191557731905499</c:v>
                </c:pt>
                <c:pt idx="14">
                  <c:v>0.0961259666823883</c:v>
                </c:pt>
                <c:pt idx="15">
                  <c:v>0.0813636654067369</c:v>
                </c:pt>
                <c:pt idx="16">
                  <c:v>0.0741504603618936</c:v>
                </c:pt>
                <c:pt idx="17">
                  <c:v>0.0779058324456019</c:v>
                </c:pt>
                <c:pt idx="18">
                  <c:v>0.0404296741758989</c:v>
                </c:pt>
                <c:pt idx="19">
                  <c:v>0.112745602777671</c:v>
                </c:pt>
                <c:pt idx="20">
                  <c:v>0.0887818744449238</c:v>
                </c:pt>
                <c:pt idx="21">
                  <c:v>0.117839991181711</c:v>
                </c:pt>
                <c:pt idx="22">
                  <c:v>0.118945957790632</c:v>
                </c:pt>
                <c:pt idx="23">
                  <c:v>0.159164911009821</c:v>
                </c:pt>
                <c:pt idx="24">
                  <c:v>0.0906025215631403</c:v>
                </c:pt>
                <c:pt idx="25">
                  <c:v>0.0453843550198936</c:v>
                </c:pt>
                <c:pt idx="26">
                  <c:v>-0.0141831929326616</c:v>
                </c:pt>
                <c:pt idx="27">
                  <c:v>0.00111996168486939</c:v>
                </c:pt>
                <c:pt idx="28">
                  <c:v>-0.0118944516921363</c:v>
                </c:pt>
                <c:pt idx="29">
                  <c:v>0.0186363552020703</c:v>
                </c:pt>
                <c:pt idx="30">
                  <c:v>0.0703360664694474</c:v>
                </c:pt>
                <c:pt idx="31">
                  <c:v>0.114711572237784</c:v>
                </c:pt>
                <c:pt idx="32">
                  <c:v>-0.00634700929931375</c:v>
                </c:pt>
                <c:pt idx="33">
                  <c:v>0.0146720584130295</c:v>
                </c:pt>
                <c:pt idx="34">
                  <c:v>0.0281423787742114</c:v>
                </c:pt>
                <c:pt idx="35">
                  <c:v>-0.00726394679832864</c:v>
                </c:pt>
                <c:pt idx="36">
                  <c:v>0.00569408998159626</c:v>
                </c:pt>
                <c:pt idx="37">
                  <c:v>0.115196257800945</c:v>
                </c:pt>
                <c:pt idx="38">
                  <c:v>0.0827499231664572</c:v>
                </c:pt>
                <c:pt idx="39">
                  <c:v>0.0557128614770843</c:v>
                </c:pt>
                <c:pt idx="40">
                  <c:v>0.0</c:v>
                </c:pt>
                <c:pt idx="41">
                  <c:v>0.0</c:v>
                </c:pt>
                <c:pt idx="42">
                  <c:v>0.0</c:v>
                </c:pt>
                <c:pt idx="43">
                  <c:v>0.0</c:v>
                </c:pt>
                <c:pt idx="44">
                  <c:v>0.0</c:v>
                </c:pt>
              </c:numCache>
            </c:numRef>
          </c:val>
        </c:ser>
        <c:ser>
          <c:idx val="2"/>
          <c:order val="2"/>
          <c:tx>
            <c:v>10-Year Rolling Returns [Real]</c:v>
          </c:tx>
          <c:spPr>
            <a:solidFill>
              <a:srgbClr val="9BBB59"/>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Returns_72_15!$AG$137:$AG$181</c:f>
              <c:numCache>
                <c:formatCode>0.00%</c:formatCode>
                <c:ptCount val="45"/>
                <c:pt idx="0">
                  <c:v>-0.00588650623486941</c:v>
                </c:pt>
                <c:pt idx="1">
                  <c:v>-0.00949678851198476</c:v>
                </c:pt>
                <c:pt idx="2">
                  <c:v>0.0271606668102453</c:v>
                </c:pt>
                <c:pt idx="3">
                  <c:v>0.0656109994608864</c:v>
                </c:pt>
                <c:pt idx="4">
                  <c:v>0.0732495573928287</c:v>
                </c:pt>
                <c:pt idx="5">
                  <c:v>0.0909897730119455</c:v>
                </c:pt>
                <c:pt idx="6">
                  <c:v>0.0971172496767942</c:v>
                </c:pt>
                <c:pt idx="7">
                  <c:v>0.105915044247094</c:v>
                </c:pt>
                <c:pt idx="8">
                  <c:v>0.123601322764901</c:v>
                </c:pt>
                <c:pt idx="9">
                  <c:v>0.0975889532071583</c:v>
                </c:pt>
                <c:pt idx="10">
                  <c:v>0.13040695989017</c:v>
                </c:pt>
                <c:pt idx="11">
                  <c:v>0.118338192999409</c:v>
                </c:pt>
                <c:pt idx="12">
                  <c:v>0.118989817616003</c:v>
                </c:pt>
                <c:pt idx="13">
                  <c:v>0.113432540735276</c:v>
                </c:pt>
                <c:pt idx="14">
                  <c:v>0.10440452258955</c:v>
                </c:pt>
                <c:pt idx="15">
                  <c:v>0.0850664304908619</c:v>
                </c:pt>
                <c:pt idx="16">
                  <c:v>0.095777505307884</c:v>
                </c:pt>
                <c:pt idx="17">
                  <c:v>0.0982342073045952</c:v>
                </c:pt>
                <c:pt idx="18">
                  <c:v>0.0981937764702925</c:v>
                </c:pt>
                <c:pt idx="19">
                  <c:v>0.10161842769973</c:v>
                </c:pt>
                <c:pt idx="20">
                  <c:v>0.0668624735990846</c:v>
                </c:pt>
                <c:pt idx="21">
                  <c:v>0.0497549480326043</c:v>
                </c:pt>
                <c:pt idx="22">
                  <c:v>0.0583946024006343</c:v>
                </c:pt>
                <c:pt idx="23">
                  <c:v>0.0702230047857293</c:v>
                </c:pt>
                <c:pt idx="24">
                  <c:v>0.0540053973008223</c:v>
                </c:pt>
                <c:pt idx="25">
                  <c:v>0.0577866412943082</c:v>
                </c:pt>
                <c:pt idx="26">
                  <c:v>0.0482849817413511</c:v>
                </c:pt>
                <c:pt idx="27">
                  <c:v>-0.00262051155123166</c:v>
                </c:pt>
                <c:pt idx="28">
                  <c:v>0.00130069940596522</c:v>
                </c:pt>
                <c:pt idx="29">
                  <c:v>0.0233783295259622</c:v>
                </c:pt>
                <c:pt idx="30">
                  <c:v>0.0308060934173222</c:v>
                </c:pt>
                <c:pt idx="31">
                  <c:v>0.0588006612359253</c:v>
                </c:pt>
                <c:pt idx="32">
                  <c:v>0.0526718846735303</c:v>
                </c:pt>
                <c:pt idx="33">
                  <c:v>0.0481584294780339</c:v>
                </c:pt>
                <c:pt idx="34">
                  <c:v>0.041836423197797</c:v>
                </c:pt>
                <c:pt idx="35">
                  <c:v>0.0</c:v>
                </c:pt>
                <c:pt idx="36">
                  <c:v>0.0</c:v>
                </c:pt>
                <c:pt idx="37">
                  <c:v>0.0</c:v>
                </c:pt>
                <c:pt idx="38">
                  <c:v>0.0</c:v>
                </c:pt>
                <c:pt idx="39">
                  <c:v>0.0</c:v>
                </c:pt>
                <c:pt idx="40">
                  <c:v>0.0</c:v>
                </c:pt>
                <c:pt idx="41">
                  <c:v>0.0</c:v>
                </c:pt>
                <c:pt idx="42">
                  <c:v>0.0</c:v>
                </c:pt>
                <c:pt idx="43">
                  <c:v>0.0</c:v>
                </c:pt>
                <c:pt idx="44">
                  <c:v>0.0</c:v>
                </c:pt>
              </c:numCache>
            </c:numRef>
          </c:val>
        </c:ser>
        <c:ser>
          <c:idx val="3"/>
          <c:order val="3"/>
          <c:tx>
            <c:v>15-Year Rolling Returns [Real]</c:v>
          </c:tx>
          <c:spPr>
            <a:solidFill>
              <a:srgbClr val="8064A2"/>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Returns_72_15!$AH$137:$AH$181</c:f>
              <c:numCache>
                <c:formatCode>0.00%</c:formatCode>
                <c:ptCount val="45"/>
                <c:pt idx="0">
                  <c:v>0.0530684547675169</c:v>
                </c:pt>
                <c:pt idx="1">
                  <c:v>0.0453562584766909</c:v>
                </c:pt>
                <c:pt idx="2">
                  <c:v>0.0701616972345234</c:v>
                </c:pt>
                <c:pt idx="3">
                  <c:v>0.10603998127647</c:v>
                </c:pt>
                <c:pt idx="4">
                  <c:v>0.0808214805663316</c:v>
                </c:pt>
                <c:pt idx="5">
                  <c:v>0.0877715868510425</c:v>
                </c:pt>
                <c:pt idx="6">
                  <c:v>0.0894076030239752</c:v>
                </c:pt>
                <c:pt idx="7">
                  <c:v>0.0964986920068729</c:v>
                </c:pt>
                <c:pt idx="8">
                  <c:v>0.0951637779934207</c:v>
                </c:pt>
                <c:pt idx="9">
                  <c:v>0.102618091093297</c:v>
                </c:pt>
                <c:pt idx="10">
                  <c:v>0.11635805230696</c:v>
                </c:pt>
                <c:pt idx="11">
                  <c:v>0.118172101060631</c:v>
                </c:pt>
                <c:pt idx="12">
                  <c:v>0.118975197483194</c:v>
                </c:pt>
                <c:pt idx="13">
                  <c:v>0.128472591071086</c:v>
                </c:pt>
                <c:pt idx="14">
                  <c:v>0.0997845561965988</c:v>
                </c:pt>
                <c:pt idx="15">
                  <c:v>0.0716744674745906</c:v>
                </c:pt>
                <c:pt idx="16">
                  <c:v>0.0578245937772206</c:v>
                </c:pt>
                <c:pt idx="17">
                  <c:v>0.0648587851468765</c:v>
                </c:pt>
                <c:pt idx="18">
                  <c:v>0.0601982868080026</c:v>
                </c:pt>
                <c:pt idx="19">
                  <c:v>0.0732325901074879</c:v>
                </c:pt>
                <c:pt idx="20">
                  <c:v>0.0680190835288827</c:v>
                </c:pt>
                <c:pt idx="21">
                  <c:v>0.070975305043617</c:v>
                </c:pt>
                <c:pt idx="22">
                  <c:v>0.036358448706546</c:v>
                </c:pt>
                <c:pt idx="23">
                  <c:v>0.0513760710425852</c:v>
                </c:pt>
                <c:pt idx="24">
                  <c:v>0.0453129002299808</c:v>
                </c:pt>
                <c:pt idx="25">
                  <c:v>0.0356427840077411</c:v>
                </c:pt>
                <c:pt idx="26">
                  <c:v>0.0338912867575971</c:v>
                </c:pt>
                <c:pt idx="27">
                  <c:v>0.0351995061720507</c:v>
                </c:pt>
                <c:pt idx="28">
                  <c:v>0.0277458541409676</c:v>
                </c:pt>
                <c:pt idx="29">
                  <c:v>0.0340449430770284</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numCache>
            </c:numRef>
          </c:val>
        </c:ser>
        <c:dLbls>
          <c:showLegendKey val="0"/>
          <c:showVal val="0"/>
          <c:showCatName val="0"/>
          <c:showSerName val="0"/>
          <c:showPercent val="0"/>
          <c:showBubbleSize val="0"/>
        </c:dLbls>
        <c:gapWidth val="150"/>
        <c:axId val="-2132913864"/>
        <c:axId val="-2132918776"/>
      </c:barChart>
      <c:dateAx>
        <c:axId val="-2132913864"/>
        <c:scaling>
          <c:orientation val="minMax"/>
        </c:scaling>
        <c:delete val="0"/>
        <c:axPos val="b"/>
        <c:majorGridlines>
          <c:spPr>
            <a:ln w="3175">
              <a:solidFill>
                <a:srgbClr val="C0C0C0"/>
              </a:solidFill>
              <a:prstDash val="solid"/>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32918776"/>
        <c:crosses val="autoZero"/>
        <c:auto val="0"/>
        <c:lblOffset val="100"/>
        <c:baseTimeUnit val="days"/>
      </c:dateAx>
      <c:valAx>
        <c:axId val="-2132918776"/>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32913864"/>
        <c:crosses val="autoZero"/>
        <c:crossBetween val="between"/>
      </c:valAx>
      <c:spPr>
        <a:solidFill>
          <a:srgbClr val="FFFFFF"/>
        </a:solidFill>
        <a:ln w="12700">
          <a:solidFill>
            <a:srgbClr val="808080"/>
          </a:solidFill>
          <a:prstDash val="solid"/>
        </a:ln>
      </c:spPr>
    </c:plotArea>
    <c:legend>
      <c:legendPos val="r"/>
      <c:layout>
        <c:manualLayout>
          <c:xMode val="edge"/>
          <c:yMode val="edge"/>
          <c:wMode val="edge"/>
          <c:hMode val="edge"/>
          <c:x val="0.558853908886389"/>
          <c:y val="0.093"/>
          <c:w val="0.951791479190101"/>
          <c:h val="0.177222440944882"/>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Returns_72_15!$U$56</c:f>
          <c:strCache>
            <c:ptCount val="1"/>
            <c:pt idx="0">
              <c:v>Rolling Returns (Nominal) 1972 - 2015</c:v>
            </c:pt>
          </c:strCache>
        </c:strRef>
      </c:tx>
      <c:overlay val="0"/>
      <c:spPr>
        <a:solidFill>
          <a:srgbClr val="FFFFFF"/>
        </a:solidFill>
        <a:ln w="12700">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2917880818142"/>
          <c:y val="0.101989419291339"/>
          <c:w val="0.862070578286972"/>
          <c:h val="0.785892388451444"/>
        </c:manualLayout>
      </c:layout>
      <c:barChart>
        <c:barDir val="col"/>
        <c:grouping val="clustered"/>
        <c:varyColors val="0"/>
        <c:ser>
          <c:idx val="0"/>
          <c:order val="0"/>
          <c:tx>
            <c:v>3-Year Rolling Returns</c:v>
          </c:tx>
          <c:spPr>
            <a:solidFill>
              <a:srgbClr val="4F81BD"/>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Returns_72_15!$AA$137:$AA$181</c:f>
              <c:numCache>
                <c:formatCode>0.00%</c:formatCode>
                <c:ptCount val="45"/>
                <c:pt idx="0">
                  <c:v>-0.0559055463776631</c:v>
                </c:pt>
                <c:pt idx="1">
                  <c:v>-0.0275718250224449</c:v>
                </c:pt>
                <c:pt idx="2">
                  <c:v>0.0705798494940359</c:v>
                </c:pt>
                <c:pt idx="3">
                  <c:v>0.171908850263685</c:v>
                </c:pt>
                <c:pt idx="4">
                  <c:v>0.119586492142543</c:v>
                </c:pt>
                <c:pt idx="5">
                  <c:v>0.109507647684405</c:v>
                </c:pt>
                <c:pt idx="6">
                  <c:v>0.171354956845866</c:v>
                </c:pt>
                <c:pt idx="7">
                  <c:v>0.115414980892077</c:v>
                </c:pt>
                <c:pt idx="8">
                  <c:v>0.126415797230926</c:v>
                </c:pt>
                <c:pt idx="9">
                  <c:v>0.113802102494167</c:v>
                </c:pt>
                <c:pt idx="10">
                  <c:v>0.143447404925156</c:v>
                </c:pt>
                <c:pt idx="11">
                  <c:v>0.207153220903748</c:v>
                </c:pt>
                <c:pt idx="12">
                  <c:v>0.247529055151338</c:v>
                </c:pt>
                <c:pt idx="13">
                  <c:v>0.254178624851076</c:v>
                </c:pt>
                <c:pt idx="14">
                  <c:v>0.196239695293277</c:v>
                </c:pt>
                <c:pt idx="15">
                  <c:v>0.166618835974312</c:v>
                </c:pt>
                <c:pt idx="16">
                  <c:v>0.104301942208375</c:v>
                </c:pt>
                <c:pt idx="17">
                  <c:v>0.125017661746413</c:v>
                </c:pt>
                <c:pt idx="18">
                  <c:v>0.0644029467294422</c:v>
                </c:pt>
                <c:pt idx="19">
                  <c:v>0.158769292440941</c:v>
                </c:pt>
                <c:pt idx="20">
                  <c:v>0.0758840975355572</c:v>
                </c:pt>
                <c:pt idx="21">
                  <c:v>0.144452245623939</c:v>
                </c:pt>
                <c:pt idx="22">
                  <c:v>0.124817992144657</c:v>
                </c:pt>
                <c:pt idx="23">
                  <c:v>0.182404321157458</c:v>
                </c:pt>
                <c:pt idx="24">
                  <c:v>0.161650295310035</c:v>
                </c:pt>
                <c:pt idx="25">
                  <c:v>0.185260635593758</c:v>
                </c:pt>
                <c:pt idx="26">
                  <c:v>0.0973337395563205</c:v>
                </c:pt>
                <c:pt idx="27">
                  <c:v>0.00130036481622131</c:v>
                </c:pt>
                <c:pt idx="28">
                  <c:v>-0.098086357762725</c:v>
                </c:pt>
                <c:pt idx="29">
                  <c:v>0.0044846029036818</c:v>
                </c:pt>
                <c:pt idx="30">
                  <c:v>0.0843426308513242</c:v>
                </c:pt>
                <c:pt idx="31">
                  <c:v>0.162164320425141</c:v>
                </c:pt>
                <c:pt idx="32">
                  <c:v>0.125124329798234</c:v>
                </c:pt>
                <c:pt idx="33">
                  <c:v>0.112407074908891</c:v>
                </c:pt>
                <c:pt idx="34">
                  <c:v>-0.0335062947293171</c:v>
                </c:pt>
                <c:pt idx="35">
                  <c:v>-0.0101143388197814</c:v>
                </c:pt>
                <c:pt idx="36">
                  <c:v>0.00167080190202373</c:v>
                </c:pt>
                <c:pt idx="37">
                  <c:v>0.115996153025581</c:v>
                </c:pt>
                <c:pt idx="38">
                  <c:v>0.0824801624177751</c:v>
                </c:pt>
                <c:pt idx="39">
                  <c:v>0.104985842885381</c:v>
                </c:pt>
                <c:pt idx="40">
                  <c:v>0.133304213542087</c:v>
                </c:pt>
                <c:pt idx="41">
                  <c:v>0.0814112831656601</c:v>
                </c:pt>
                <c:pt idx="42">
                  <c:v>0.0</c:v>
                </c:pt>
                <c:pt idx="43">
                  <c:v>0.0</c:v>
                </c:pt>
                <c:pt idx="44">
                  <c:v>0.0</c:v>
                </c:pt>
              </c:numCache>
            </c:numRef>
          </c:val>
        </c:ser>
        <c:ser>
          <c:idx val="1"/>
          <c:order val="1"/>
          <c:tx>
            <c:v>5-Year Rolling Returns</c:v>
          </c:tx>
          <c:spPr>
            <a:solidFill>
              <a:srgbClr val="C0504D"/>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Returns_72_15!$AB$137:$AB$181</c:f>
              <c:numCache>
                <c:formatCode>0.00%</c:formatCode>
                <c:ptCount val="45"/>
                <c:pt idx="0">
                  <c:v>0.0518278938112318</c:v>
                </c:pt>
                <c:pt idx="1">
                  <c:v>0.0238289798208517</c:v>
                </c:pt>
                <c:pt idx="2">
                  <c:v>0.0816680831316454</c:v>
                </c:pt>
                <c:pt idx="3">
                  <c:v>0.158813633790479</c:v>
                </c:pt>
                <c:pt idx="4">
                  <c:v>0.144790481941362</c:v>
                </c:pt>
                <c:pt idx="5">
                  <c:v>0.108624469562397</c:v>
                </c:pt>
                <c:pt idx="6">
                  <c:v>0.131609370998149</c:v>
                </c:pt>
                <c:pt idx="7">
                  <c:v>0.141238041846487</c:v>
                </c:pt>
                <c:pt idx="8">
                  <c:v>0.128849372635409</c:v>
                </c:pt>
                <c:pt idx="9">
                  <c:v>0.15223446622634</c:v>
                </c:pt>
                <c:pt idx="10">
                  <c:v>0.220519598752869</c:v>
                </c:pt>
                <c:pt idx="11">
                  <c:v>0.204016374418941</c:v>
                </c:pt>
                <c:pt idx="12">
                  <c:v>0.202671356567464</c:v>
                </c:pt>
                <c:pt idx="13">
                  <c:v>0.235299973711988</c:v>
                </c:pt>
                <c:pt idx="14">
                  <c:v>0.141373161901333</c:v>
                </c:pt>
                <c:pt idx="15">
                  <c:v>0.13034800075511</c:v>
                </c:pt>
                <c:pt idx="16">
                  <c:v>0.119490561180474</c:v>
                </c:pt>
                <c:pt idx="17">
                  <c:v>0.119785700380546</c:v>
                </c:pt>
                <c:pt idx="18">
                  <c:v>0.0767479981254457</c:v>
                </c:pt>
                <c:pt idx="19">
                  <c:v>0.143737445689785</c:v>
                </c:pt>
                <c:pt idx="20">
                  <c:v>0.1196664515316</c:v>
                </c:pt>
                <c:pt idx="21">
                  <c:v>0.146859026245407</c:v>
                </c:pt>
                <c:pt idx="22">
                  <c:v>0.145442776137086</c:v>
                </c:pt>
                <c:pt idx="23">
                  <c:v>0.186636463203243</c:v>
                </c:pt>
                <c:pt idx="24">
                  <c:v>0.118290591759949</c:v>
                </c:pt>
                <c:pt idx="25">
                  <c:v>0.0682248324581795</c:v>
                </c:pt>
                <c:pt idx="26">
                  <c:v>0.00868847333287381</c:v>
                </c:pt>
                <c:pt idx="27">
                  <c:v>0.0248856145281704</c:v>
                </c:pt>
                <c:pt idx="28">
                  <c:v>0.0126847555323757</c:v>
                </c:pt>
                <c:pt idx="29">
                  <c:v>0.0440332767721105</c:v>
                </c:pt>
                <c:pt idx="30">
                  <c:v>0.0991502988238759</c:v>
                </c:pt>
                <c:pt idx="31">
                  <c:v>0.148506729234477</c:v>
                </c:pt>
                <c:pt idx="32">
                  <c:v>0.0201588200165035</c:v>
                </c:pt>
                <c:pt idx="33">
                  <c:v>0.0406583731910322</c:v>
                </c:pt>
                <c:pt idx="34">
                  <c:v>0.0505289621402394</c:v>
                </c:pt>
                <c:pt idx="35">
                  <c:v>0.0151847790236852</c:v>
                </c:pt>
                <c:pt idx="36">
                  <c:v>0.0237688359362269</c:v>
                </c:pt>
                <c:pt idx="37">
                  <c:v>0.138420323767033</c:v>
                </c:pt>
                <c:pt idx="38">
                  <c:v>0.101037167597805</c:v>
                </c:pt>
                <c:pt idx="39">
                  <c:v>0.0719176808353517</c:v>
                </c:pt>
                <c:pt idx="40">
                  <c:v>0.0</c:v>
                </c:pt>
                <c:pt idx="41">
                  <c:v>0.0</c:v>
                </c:pt>
                <c:pt idx="42">
                  <c:v>0.0</c:v>
                </c:pt>
                <c:pt idx="43">
                  <c:v>0.0</c:v>
                </c:pt>
                <c:pt idx="44">
                  <c:v>0.0</c:v>
                </c:pt>
              </c:numCache>
            </c:numRef>
          </c:val>
        </c:ser>
        <c:ser>
          <c:idx val="2"/>
          <c:order val="2"/>
          <c:tx>
            <c:v>10-Year Rolling Returns</c:v>
          </c:tx>
          <c:spPr>
            <a:solidFill>
              <a:srgbClr val="9BBB59"/>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Returns_72_15!$AC$137:$AC$181</c:f>
              <c:numCache>
                <c:formatCode>0.00%</c:formatCode>
                <c:ptCount val="45"/>
                <c:pt idx="0">
                  <c:v>0.0798528329579964</c:v>
                </c:pt>
                <c:pt idx="1">
                  <c:v>0.0763709713034584</c:v>
                </c:pt>
                <c:pt idx="2">
                  <c:v>0.111053898387024</c:v>
                </c:pt>
                <c:pt idx="3">
                  <c:v>0.14373337955388</c:v>
                </c:pt>
                <c:pt idx="4">
                  <c:v>0.148506443125462</c:v>
                </c:pt>
                <c:pt idx="5">
                  <c:v>0.163227360733021</c:v>
                </c:pt>
                <c:pt idx="6">
                  <c:v>0.167251563343433</c:v>
                </c:pt>
                <c:pt idx="7">
                  <c:v>0.171552091865279</c:v>
                </c:pt>
                <c:pt idx="8">
                  <c:v>0.180875776845861</c:v>
                </c:pt>
                <c:pt idx="9">
                  <c:v>0.146790955653406</c:v>
                </c:pt>
                <c:pt idx="10">
                  <c:v>0.174568809535114</c:v>
                </c:pt>
                <c:pt idx="11">
                  <c:v>0.160984481665771</c:v>
                </c:pt>
                <c:pt idx="12">
                  <c:v>0.160488770881269</c:v>
                </c:pt>
                <c:pt idx="13">
                  <c:v>0.153302550842058</c:v>
                </c:pt>
                <c:pt idx="14">
                  <c:v>0.142554692245366</c:v>
                </c:pt>
                <c:pt idx="15">
                  <c:v>0.124994548876266</c:v>
                </c:pt>
                <c:pt idx="16">
                  <c:v>0.133092165221507</c:v>
                </c:pt>
                <c:pt idx="17">
                  <c:v>0.132541584809363</c:v>
                </c:pt>
                <c:pt idx="18">
                  <c:v>0.130357658556242</c:v>
                </c:pt>
                <c:pt idx="19">
                  <c:v>0.130942449887898</c:v>
                </c:pt>
                <c:pt idx="20">
                  <c:v>0.0936432268324016</c:v>
                </c:pt>
                <c:pt idx="21">
                  <c:v>0.0755572882517725</c:v>
                </c:pt>
                <c:pt idx="22">
                  <c:v>0.0834887279192666</c:v>
                </c:pt>
                <c:pt idx="23">
                  <c:v>0.0962156068241222</c:v>
                </c:pt>
                <c:pt idx="24">
                  <c:v>0.080524220412741</c:v>
                </c:pt>
                <c:pt idx="25">
                  <c:v>0.0835772440428477</c:v>
                </c:pt>
                <c:pt idx="26">
                  <c:v>0.076329642499944</c:v>
                </c:pt>
                <c:pt idx="27">
                  <c:v>0.0225194859605109</c:v>
                </c:pt>
                <c:pt idx="28">
                  <c:v>0.0265762856445106</c:v>
                </c:pt>
                <c:pt idx="29">
                  <c:v>0.0472760833167529</c:v>
                </c:pt>
                <c:pt idx="30">
                  <c:v>0.0563335899351749</c:v>
                </c:pt>
                <c:pt idx="31">
                  <c:v>0.0843456078452591</c:v>
                </c:pt>
                <c:pt idx="32">
                  <c:v>0.0776685641592141</c:v>
                </c:pt>
                <c:pt idx="33">
                  <c:v>0.0704221352602878</c:v>
                </c:pt>
                <c:pt idx="34">
                  <c:v>0.0611694345144578</c:v>
                </c:pt>
                <c:pt idx="35">
                  <c:v>0.0</c:v>
                </c:pt>
                <c:pt idx="36">
                  <c:v>0.0</c:v>
                </c:pt>
                <c:pt idx="37">
                  <c:v>0.0</c:v>
                </c:pt>
                <c:pt idx="38">
                  <c:v>0.0</c:v>
                </c:pt>
                <c:pt idx="39">
                  <c:v>0.0</c:v>
                </c:pt>
                <c:pt idx="40">
                  <c:v>0.0</c:v>
                </c:pt>
                <c:pt idx="41">
                  <c:v>0.0</c:v>
                </c:pt>
                <c:pt idx="42">
                  <c:v>0.0</c:v>
                </c:pt>
                <c:pt idx="43">
                  <c:v>0.0</c:v>
                </c:pt>
                <c:pt idx="44">
                  <c:v>0.0</c:v>
                </c:pt>
              </c:numCache>
            </c:numRef>
          </c:val>
        </c:ser>
        <c:ser>
          <c:idx val="3"/>
          <c:order val="3"/>
          <c:tx>
            <c:v>15-Year Rolling Returns</c:v>
          </c:tx>
          <c:spPr>
            <a:solidFill>
              <a:srgbClr val="8064A2"/>
            </a:solidFill>
            <a:ln w="25400">
              <a:noFill/>
            </a:ln>
          </c:spPr>
          <c:invertIfNegative val="0"/>
          <c:cat>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cat>
          <c:val>
            <c:numRef>
              <c:f>Returns_72_15!$AD$137:$AD$181</c:f>
              <c:numCache>
                <c:formatCode>0.00%</c:formatCode>
                <c:ptCount val="45"/>
                <c:pt idx="0">
                  <c:v>0.124841421377376</c:v>
                </c:pt>
                <c:pt idx="1">
                  <c:v>0.117340263553148</c:v>
                </c:pt>
                <c:pt idx="2">
                  <c:v>0.140790092893468</c:v>
                </c:pt>
                <c:pt idx="3">
                  <c:v>0.173475449573609</c:v>
                </c:pt>
                <c:pt idx="4">
                  <c:v>0.14612374296802</c:v>
                </c:pt>
                <c:pt idx="5">
                  <c:v>0.152162659560779</c:v>
                </c:pt>
                <c:pt idx="6">
                  <c:v>0.151109014428739</c:v>
                </c:pt>
                <c:pt idx="7">
                  <c:v>0.154036048314232</c:v>
                </c:pt>
                <c:pt idx="8">
                  <c:v>0.145093194837008</c:v>
                </c:pt>
                <c:pt idx="9">
                  <c:v>0.145772214277155</c:v>
                </c:pt>
                <c:pt idx="10">
                  <c:v>0.155975238107265</c:v>
                </c:pt>
                <c:pt idx="11">
                  <c:v>0.156256770677003</c:v>
                </c:pt>
                <c:pt idx="12">
                  <c:v>0.155451606852113</c:v>
                </c:pt>
                <c:pt idx="13">
                  <c:v>0.164308491418575</c:v>
                </c:pt>
                <c:pt idx="14">
                  <c:v>0.134408719135848</c:v>
                </c:pt>
                <c:pt idx="15">
                  <c:v>0.105743771979829</c:v>
                </c:pt>
                <c:pt idx="16">
                  <c:v>0.0900067241850644</c:v>
                </c:pt>
                <c:pt idx="17">
                  <c:v>0.0954550726329404</c:v>
                </c:pt>
                <c:pt idx="18">
                  <c:v>0.0896876066337755</c:v>
                </c:pt>
                <c:pt idx="19">
                  <c:v>0.10119724829924</c:v>
                </c:pt>
                <c:pt idx="20">
                  <c:v>0.0954758448627544</c:v>
                </c:pt>
                <c:pt idx="21">
                  <c:v>0.0993438377811277</c:v>
                </c:pt>
                <c:pt idx="22">
                  <c:v>0.0619535667291779</c:v>
                </c:pt>
                <c:pt idx="23">
                  <c:v>0.0773745563072372</c:v>
                </c:pt>
                <c:pt idx="24">
                  <c:v>0.0704318287806147</c:v>
                </c:pt>
                <c:pt idx="25">
                  <c:v>0.0602825563468541</c:v>
                </c:pt>
                <c:pt idx="26">
                  <c:v>0.0585161839685158</c:v>
                </c:pt>
                <c:pt idx="27">
                  <c:v>0.0597789169659921</c:v>
                </c:pt>
                <c:pt idx="28">
                  <c:v>0.0508195523044677</c:v>
                </c:pt>
                <c:pt idx="29">
                  <c:v>0.055426356307912</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numCache>
            </c:numRef>
          </c:val>
        </c:ser>
        <c:dLbls>
          <c:showLegendKey val="0"/>
          <c:showVal val="0"/>
          <c:showCatName val="0"/>
          <c:showSerName val="0"/>
          <c:showPercent val="0"/>
          <c:showBubbleSize val="0"/>
        </c:dLbls>
        <c:gapWidth val="150"/>
        <c:axId val="-2133709448"/>
        <c:axId val="-2133705832"/>
      </c:barChart>
      <c:dateAx>
        <c:axId val="-2133709448"/>
        <c:scaling>
          <c:orientation val="minMax"/>
        </c:scaling>
        <c:delete val="0"/>
        <c:axPos val="b"/>
        <c:majorGridlines>
          <c:spPr>
            <a:ln w="3175">
              <a:solidFill>
                <a:srgbClr val="C0C0C0"/>
              </a:solidFill>
              <a:prstDash val="solid"/>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33705832"/>
        <c:crosses val="autoZero"/>
        <c:auto val="0"/>
        <c:lblOffset val="100"/>
        <c:baseTimeUnit val="days"/>
      </c:dateAx>
      <c:valAx>
        <c:axId val="-2133705832"/>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33709448"/>
        <c:crosses val="autoZero"/>
        <c:crossBetween val="between"/>
      </c:valAx>
      <c:spPr>
        <a:solidFill>
          <a:srgbClr val="FFFFFF"/>
        </a:solidFill>
        <a:ln w="12700">
          <a:solidFill>
            <a:srgbClr val="808080"/>
          </a:solidFill>
          <a:prstDash val="solid"/>
        </a:ln>
      </c:spPr>
    </c:plotArea>
    <c:legend>
      <c:legendPos val="r"/>
      <c:layout>
        <c:manualLayout>
          <c:xMode val="edge"/>
          <c:yMode val="edge"/>
          <c:wMode val="edge"/>
          <c:hMode val="edge"/>
          <c:x val="0.598185883014623"/>
          <c:y val="0.102603878116343"/>
          <c:w val="0.955367688413948"/>
          <c:h val="0.189353283748119"/>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Returns_72_15!$E$56</c:f>
          <c:strCache>
            <c:ptCount val="1"/>
            <c:pt idx="0">
              <c:v>Portfolio Growth (Nominal) 1972 - 2015</c:v>
            </c:pt>
          </c:strCache>
        </c:strRef>
      </c:tx>
      <c:layout>
        <c:manualLayout>
          <c:xMode val="edge"/>
          <c:yMode val="edge"/>
          <c:x val="0.372374318594791"/>
          <c:y val="0.0672"/>
        </c:manualLayout>
      </c:layout>
      <c:overlay val="1"/>
      <c:spPr>
        <a:solidFill>
          <a:schemeClr val="bg1"/>
        </a:solidFill>
        <a:ln>
          <a:solidFill>
            <a:schemeClr val="tx1"/>
          </a:solidFill>
        </a:ln>
      </c:spPr>
    </c:title>
    <c:autoTitleDeleted val="0"/>
    <c:plotArea>
      <c:layout>
        <c:manualLayout>
          <c:layoutTarget val="inner"/>
          <c:xMode val="edge"/>
          <c:yMode val="edge"/>
          <c:x val="0.114942743771596"/>
          <c:y val="0.0515760033913908"/>
          <c:w val="0.862070578286971"/>
          <c:h val="0.82235072074051"/>
        </c:manualLayout>
      </c:layout>
      <c:scatterChart>
        <c:scatterStyle val="smooth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Returns_72_15!$U$137:$U$181</c:f>
              <c:numCache>
                <c:formatCode>#,##0</c:formatCode>
                <c:ptCount val="45"/>
                <c:pt idx="0">
                  <c:v>12039.00929411998</c:v>
                </c:pt>
                <c:pt idx="1">
                  <c:v>10433.68400905325</c:v>
                </c:pt>
                <c:pt idx="2">
                  <c:v>8398.94649602531</c:v>
                </c:pt>
                <c:pt idx="3">
                  <c:v>10869.0836936771</c:v>
                </c:pt>
                <c:pt idx="4">
                  <c:v>12508.83779678076</c:v>
                </c:pt>
                <c:pt idx="5">
                  <c:v>13177.29453501197</c:v>
                </c:pt>
                <c:pt idx="6">
                  <c:v>15303.24608512723</c:v>
                </c:pt>
                <c:pt idx="7">
                  <c:v>17061.81428479603</c:v>
                </c:pt>
                <c:pt idx="8">
                  <c:v>21145.18920254481</c:v>
                </c:pt>
                <c:pt idx="9">
                  <c:v>20884.83335193846</c:v>
                </c:pt>
                <c:pt idx="10">
                  <c:v>23830.80024413154</c:v>
                </c:pt>
                <c:pt idx="11">
                  <c:v>28648.68635119952</c:v>
                </c:pt>
                <c:pt idx="12">
                  <c:v>30636.08637839048</c:v>
                </c:pt>
                <c:pt idx="13">
                  <c:v>42544.73002497134</c:v>
                </c:pt>
                <c:pt idx="14">
                  <c:v>58304.45602713248</c:v>
                </c:pt>
                <c:pt idx="15">
                  <c:v>66257.3189684099</c:v>
                </c:pt>
                <c:pt idx="16">
                  <c:v>81591.77957441836</c:v>
                </c:pt>
                <c:pt idx="17">
                  <c:v>99127.4498968952</c:v>
                </c:pt>
                <c:pt idx="18">
                  <c:v>85827.54817488462</c:v>
                </c:pt>
                <c:pt idx="19">
                  <c:v>106925.5388117511</c:v>
                </c:pt>
                <c:pt idx="20">
                  <c:v>107552.6566686207</c:v>
                </c:pt>
                <c:pt idx="21">
                  <c:v>132427.2188609506</c:v>
                </c:pt>
                <c:pt idx="22">
                  <c:v>135463.8868808375</c:v>
                </c:pt>
                <c:pt idx="23">
                  <c:v>163889.1206121301</c:v>
                </c:pt>
                <c:pt idx="24">
                  <c:v>185227.9706484574</c:v>
                </c:pt>
                <c:pt idx="25">
                  <c:v>213030.8140676868</c:v>
                </c:pt>
                <c:pt idx="26">
                  <c:v>254293.6224470582</c:v>
                </c:pt>
                <c:pt idx="27">
                  <c:v>315720.5216409747</c:v>
                </c:pt>
                <c:pt idx="28">
                  <c:v>280414.3717903387</c:v>
                </c:pt>
                <c:pt idx="29">
                  <c:v>243803.4914358993</c:v>
                </c:pt>
                <c:pt idx="30">
                  <c:v>204972.3347646331</c:v>
                </c:pt>
                <c:pt idx="31">
                  <c:v>268542.41660624</c:v>
                </c:pt>
                <c:pt idx="32">
                  <c:v>308095.0883642727</c:v>
                </c:pt>
                <c:pt idx="33">
                  <c:v>336982.1839193223</c:v>
                </c:pt>
                <c:pt idx="34">
                  <c:v>401304.2004536871</c:v>
                </c:pt>
                <c:pt idx="35">
                  <c:v>441991.57678512</c:v>
                </c:pt>
                <c:pt idx="36">
                  <c:v>279012.5970228574</c:v>
                </c:pt>
                <c:pt idx="37">
                  <c:v>357905.410746852</c:v>
                </c:pt>
                <c:pt idx="38">
                  <c:v>406687.8620559395</c:v>
                </c:pt>
                <c:pt idx="39">
                  <c:v>387238.36800652</c:v>
                </c:pt>
                <c:pt idx="40">
                  <c:v>447637.004334928</c:v>
                </c:pt>
                <c:pt idx="41">
                  <c:v>550827.4743009118</c:v>
                </c:pt>
                <c:pt idx="42">
                  <c:v>583121.46188388</c:v>
                </c:pt>
                <c:pt idx="43">
                  <c:v>576458.0988374998</c:v>
                </c:pt>
                <c:pt idx="44">
                  <c:v>576458.0988374998</c:v>
                </c:pt>
              </c:numCache>
            </c:numRef>
          </c:yVal>
          <c:smooth val="1"/>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Returns_72_15!$S$137:$S$181</c:f>
              <c:numCache>
                <c:formatCode>#,##0</c:formatCode>
                <c:ptCount val="45"/>
                <c:pt idx="0">
                  <c:v>12039.00929411998</c:v>
                </c:pt>
                <c:pt idx="1">
                  <c:v>10492.19189138353</c:v>
                </c:pt>
                <c:pt idx="2">
                  <c:v>8414.849223360776</c:v>
                </c:pt>
                <c:pt idx="3">
                  <c:v>11070.40094483053</c:v>
                </c:pt>
                <c:pt idx="4">
                  <c:v>12874.29390169326</c:v>
                </c:pt>
                <c:pt idx="5">
                  <c:v>13543.4042260965</c:v>
                </c:pt>
                <c:pt idx="6">
                  <c:v>15535.89582575696</c:v>
                </c:pt>
                <c:pt idx="7">
                  <c:v>17583.86414003504</c:v>
                </c:pt>
                <c:pt idx="8">
                  <c:v>21766.74051645951</c:v>
                </c:pt>
                <c:pt idx="9">
                  <c:v>21559.84924584817</c:v>
                </c:pt>
                <c:pt idx="10">
                  <c:v>25131.04322566587</c:v>
                </c:pt>
                <c:pt idx="11">
                  <c:v>30075.82160264001</c:v>
                </c:pt>
                <c:pt idx="12">
                  <c:v>32232.52285992241</c:v>
                </c:pt>
                <c:pt idx="13">
                  <c:v>44207.67854684802</c:v>
                </c:pt>
                <c:pt idx="14">
                  <c:v>58394.1723992209</c:v>
                </c:pt>
                <c:pt idx="15">
                  <c:v>63587.60732005841</c:v>
                </c:pt>
                <c:pt idx="16">
                  <c:v>75674.98415261683</c:v>
                </c:pt>
                <c:pt idx="17">
                  <c:v>92716.3786028158</c:v>
                </c:pt>
                <c:pt idx="18">
                  <c:v>85631.98110533032</c:v>
                </c:pt>
                <c:pt idx="19">
                  <c:v>107753.2455974127</c:v>
                </c:pt>
                <c:pt idx="20">
                  <c:v>111808.4597653401</c:v>
                </c:pt>
                <c:pt idx="21">
                  <c:v>133237.6380002714</c:v>
                </c:pt>
                <c:pt idx="22">
                  <c:v>134192.061663951</c:v>
                </c:pt>
                <c:pt idx="23">
                  <c:v>167597.560075906</c:v>
                </c:pt>
                <c:pt idx="24">
                  <c:v>189615.4358434918</c:v>
                </c:pt>
                <c:pt idx="25">
                  <c:v>221832.3346208583</c:v>
                </c:pt>
                <c:pt idx="26">
                  <c:v>262720.4705381748</c:v>
                </c:pt>
                <c:pt idx="27">
                  <c:v>315729.5798786624</c:v>
                </c:pt>
                <c:pt idx="28">
                  <c:v>293117.0273677526</c:v>
                </c:pt>
                <c:pt idx="29">
                  <c:v>263746.7012255038</c:v>
                </c:pt>
                <c:pt idx="30">
                  <c:v>231638.177818311</c:v>
                </c:pt>
                <c:pt idx="31">
                  <c:v>297078.279433762</c:v>
                </c:pt>
                <c:pt idx="32">
                  <c:v>336268.8460566638</c:v>
                </c:pt>
                <c:pt idx="33">
                  <c:v>363590.6897987678</c:v>
                </c:pt>
                <c:pt idx="34">
                  <c:v>423128.6652533161</c:v>
                </c:pt>
                <c:pt idx="35">
                  <c:v>462890.0659271702</c:v>
                </c:pt>
                <c:pt idx="36">
                  <c:v>328253.8613515935</c:v>
                </c:pt>
                <c:pt idx="37">
                  <c:v>410419.0853865108</c:v>
                </c:pt>
                <c:pt idx="38">
                  <c:v>465214.1374764638</c:v>
                </c:pt>
                <c:pt idx="39">
                  <c:v>456244.8089059176</c:v>
                </c:pt>
                <c:pt idx="40">
                  <c:v>520579.8894097411</c:v>
                </c:pt>
                <c:pt idx="41">
                  <c:v>627657.9668624307</c:v>
                </c:pt>
                <c:pt idx="42">
                  <c:v>664106.0649981322</c:v>
                </c:pt>
                <c:pt idx="43">
                  <c:v>658354.9064752483</c:v>
                </c:pt>
                <c:pt idx="44">
                  <c:v>658354.9064752483</c:v>
                </c:pt>
              </c:numCache>
            </c:numRef>
          </c:yVal>
          <c:smooth val="1"/>
        </c:ser>
        <c:ser>
          <c:idx val="0"/>
          <c:order val="2"/>
          <c:tx>
            <c:v>CHP</c:v>
          </c:tx>
          <c:spPr>
            <a:ln w="12700">
              <a:solidFill>
                <a:srgbClr val="000080"/>
              </a:solidFill>
              <a:prstDash val="solid"/>
            </a:ln>
          </c:spPr>
          <c:marker>
            <c:symbol val="circle"/>
            <c:size val="5"/>
            <c:spPr>
              <a:solidFill>
                <a:srgbClr val="00FFFF"/>
              </a:solidFill>
              <a:ln>
                <a:solidFill>
                  <a:srgbClr val="000000"/>
                </a:solidFill>
                <a:prstDash val="solid"/>
              </a:ln>
            </c:spPr>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Returns_72_15!$T$137:$T$181</c:f>
              <c:numCache>
                <c:formatCode>#,##0</c:formatCode>
                <c:ptCount val="45"/>
                <c:pt idx="0">
                  <c:v>11185.21757753186</c:v>
                </c:pt>
                <c:pt idx="1">
                  <c:v>10093.84866917681</c:v>
                </c:pt>
                <c:pt idx="2">
                  <c:v>8952.953549799478</c:v>
                </c:pt>
                <c:pt idx="3">
                  <c:v>11597.48100404246</c:v>
                </c:pt>
                <c:pt idx="4">
                  <c:v>14742.60631452224</c:v>
                </c:pt>
                <c:pt idx="5">
                  <c:v>16068.73817308422</c:v>
                </c:pt>
                <c:pt idx="6">
                  <c:v>17761.48677437772</c:v>
                </c:pt>
                <c:pt idx="7">
                  <c:v>20983.80332211822</c:v>
                </c:pt>
                <c:pt idx="8">
                  <c:v>25012.57856880525</c:v>
                </c:pt>
                <c:pt idx="9">
                  <c:v>26511.61085532828</c:v>
                </c:pt>
                <c:pt idx="10">
                  <c:v>32189.84480150128</c:v>
                </c:pt>
                <c:pt idx="11">
                  <c:v>38760.19726299177</c:v>
                </c:pt>
                <c:pt idx="12">
                  <c:v>42462.03375657158</c:v>
                </c:pt>
                <c:pt idx="13">
                  <c:v>53959.07348242834</c:v>
                </c:pt>
                <c:pt idx="14">
                  <c:v>64169.90700584792</c:v>
                </c:pt>
                <c:pt idx="15">
                  <c:v>65138.93905115673</c:v>
                </c:pt>
                <c:pt idx="16">
                  <c:v>75928.74792830167</c:v>
                </c:pt>
                <c:pt idx="17">
                  <c:v>88540.12642457714</c:v>
                </c:pt>
                <c:pt idx="18">
                  <c:v>83599.83661659964</c:v>
                </c:pt>
                <c:pt idx="19">
                  <c:v>105115.8586153754</c:v>
                </c:pt>
                <c:pt idx="20">
                  <c:v>115841.1382143508</c:v>
                </c:pt>
                <c:pt idx="21">
                  <c:v>135206.6934448236</c:v>
                </c:pt>
                <c:pt idx="22">
                  <c:v>134674.5359338275</c:v>
                </c:pt>
                <c:pt idx="23">
                  <c:v>165119.7316032113</c:v>
                </c:pt>
                <c:pt idx="24">
                  <c:v>188373.276202386</c:v>
                </c:pt>
                <c:pt idx="25">
                  <c:v>221203.2962209169</c:v>
                </c:pt>
                <c:pt idx="26">
                  <c:v>236142.3589304334</c:v>
                </c:pt>
                <c:pt idx="27">
                  <c:v>255676.7256157192</c:v>
                </c:pt>
                <c:pt idx="28">
                  <c:v>274220.9585246273</c:v>
                </c:pt>
                <c:pt idx="29">
                  <c:v>279381.7969640608</c:v>
                </c:pt>
                <c:pt idx="30">
                  <c:v>263856.5505067679</c:v>
                </c:pt>
                <c:pt idx="31">
                  <c:v>325978.9367580814</c:v>
                </c:pt>
                <c:pt idx="32">
                  <c:v>370977.069188167</c:v>
                </c:pt>
                <c:pt idx="33">
                  <c:v>394107.4894520491</c:v>
                </c:pt>
                <c:pt idx="34">
                  <c:v>453799.0098044566</c:v>
                </c:pt>
                <c:pt idx="35">
                  <c:v>465738.4617524119</c:v>
                </c:pt>
                <c:pt idx="36">
                  <c:v>371631.3481707195</c:v>
                </c:pt>
                <c:pt idx="37">
                  <c:v>446908.9940561805</c:v>
                </c:pt>
                <c:pt idx="38">
                  <c:v>512528.6416534494</c:v>
                </c:pt>
                <c:pt idx="39">
                  <c:v>522861.219069183</c:v>
                </c:pt>
                <c:pt idx="40">
                  <c:v>585233.3338919458</c:v>
                </c:pt>
                <c:pt idx="41">
                  <c:v>671479.170307602</c:v>
                </c:pt>
                <c:pt idx="42">
                  <c:v>734094.6029387858</c:v>
                </c:pt>
                <c:pt idx="43">
                  <c:v>727274.8640774845</c:v>
                </c:pt>
                <c:pt idx="44">
                  <c:v>727274.8640774845</c:v>
                </c:pt>
              </c:numCache>
            </c:numRef>
          </c:yVal>
          <c:smooth val="1"/>
        </c:ser>
        <c:dLbls>
          <c:showLegendKey val="0"/>
          <c:showVal val="0"/>
          <c:showCatName val="0"/>
          <c:showSerName val="0"/>
          <c:showPercent val="0"/>
          <c:showBubbleSize val="0"/>
        </c:dLbls>
        <c:axId val="-2133799224"/>
        <c:axId val="-2133810424"/>
      </c:scatterChart>
      <c:valAx>
        <c:axId val="-2133799224"/>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33810424"/>
        <c:crosses val="autoZero"/>
        <c:crossBetween val="midCat"/>
        <c:majorUnit val="2.0"/>
        <c:minorUnit val="1.0"/>
      </c:valAx>
      <c:valAx>
        <c:axId val="-2133810424"/>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33799224"/>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wMode val="edge"/>
          <c:hMode val="edge"/>
          <c:x val="0.121645936923359"/>
          <c:y val="0.0744"/>
          <c:w val="0.289803501753694"/>
          <c:h val="0.2244"/>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Returns_72_15!$I$56</c:f>
          <c:strCache>
            <c:ptCount val="1"/>
            <c:pt idx="0">
              <c:v>Portfolio Growth (Real) 1972 - 2015</c:v>
            </c:pt>
          </c:strCache>
        </c:strRef>
      </c:tx>
      <c:layout>
        <c:manualLayout>
          <c:xMode val="edge"/>
          <c:yMode val="edge"/>
          <c:x val="0.375896496837716"/>
          <c:y val="0.0738461538461538"/>
        </c:manualLayout>
      </c:layout>
      <c:overlay val="1"/>
      <c:spPr>
        <a:solidFill>
          <a:srgbClr val="FFFFFF"/>
        </a:solidFill>
        <a:ln>
          <a:solidFill>
            <a:schemeClr val="tx1"/>
          </a:solidFill>
        </a:ln>
      </c:spPr>
    </c:title>
    <c:autoTitleDeleted val="0"/>
    <c:plotArea>
      <c:layout>
        <c:manualLayout>
          <c:layoutTarget val="inner"/>
          <c:xMode val="edge"/>
          <c:yMode val="edge"/>
          <c:x val="0.114068546953484"/>
          <c:y val="0.0521978722176986"/>
          <c:w val="0.86311867194803"/>
          <c:h val="0.804946134725563"/>
        </c:manualLayout>
      </c:layout>
      <c:scatterChart>
        <c:scatterStyle val="line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Returns_72_15!$Z$137:$Z$181</c:f>
              <c:numCache>
                <c:formatCode>#,##0</c:formatCode>
                <c:ptCount val="45"/>
                <c:pt idx="0">
                  <c:v>11642.43016443132</c:v>
                </c:pt>
                <c:pt idx="1">
                  <c:v>9281.913696365555</c:v>
                </c:pt>
                <c:pt idx="2">
                  <c:v>6651.188843673222</c:v>
                </c:pt>
                <c:pt idx="3">
                  <c:v>8048.997113696018</c:v>
                </c:pt>
                <c:pt idx="4">
                  <c:v>8833.560712159605</c:v>
                </c:pt>
                <c:pt idx="5">
                  <c:v>8721.20459563594</c:v>
                </c:pt>
                <c:pt idx="6">
                  <c:v>9290.449248134846</c:v>
                </c:pt>
                <c:pt idx="7">
                  <c:v>9142.641031357454</c:v>
                </c:pt>
                <c:pt idx="8">
                  <c:v>10070.30447537186</c:v>
                </c:pt>
                <c:pt idx="9">
                  <c:v>9131.560114517772</c:v>
                </c:pt>
                <c:pt idx="10">
                  <c:v>10035.30625034638</c:v>
                </c:pt>
                <c:pt idx="11">
                  <c:v>11623.50453143435</c:v>
                </c:pt>
                <c:pt idx="12">
                  <c:v>11957.67474028346</c:v>
                </c:pt>
                <c:pt idx="13">
                  <c:v>15998.06408075318</c:v>
                </c:pt>
                <c:pt idx="14">
                  <c:v>21686.09178927734</c:v>
                </c:pt>
                <c:pt idx="15">
                  <c:v>23597.71065512692</c:v>
                </c:pt>
                <c:pt idx="16">
                  <c:v>27829.22938181408</c:v>
                </c:pt>
                <c:pt idx="17">
                  <c:v>32308.78819002691</c:v>
                </c:pt>
                <c:pt idx="18">
                  <c:v>26364.06748869775</c:v>
                </c:pt>
                <c:pt idx="19">
                  <c:v>31868.3077966858</c:v>
                </c:pt>
                <c:pt idx="20">
                  <c:v>31151.61514503392</c:v>
                </c:pt>
                <c:pt idx="21">
                  <c:v>37330.30655133793</c:v>
                </c:pt>
                <c:pt idx="22">
                  <c:v>37191.48798131212</c:v>
                </c:pt>
                <c:pt idx="23">
                  <c:v>43881.71242448568</c:v>
                </c:pt>
                <c:pt idx="24">
                  <c:v>48000.43879982095</c:v>
                </c:pt>
                <c:pt idx="25">
                  <c:v>54281.25516541806</c:v>
                </c:pt>
                <c:pt idx="26">
                  <c:v>63767.34522619948</c:v>
                </c:pt>
                <c:pt idx="27">
                  <c:v>77101.08995510438</c:v>
                </c:pt>
                <c:pt idx="28">
                  <c:v>66235.80850909726</c:v>
                </c:pt>
                <c:pt idx="29">
                  <c:v>56708.11260902922</c:v>
                </c:pt>
                <c:pt idx="30">
                  <c:v>46569.17058499957</c:v>
                </c:pt>
                <c:pt idx="31">
                  <c:v>59886.5617065462</c:v>
                </c:pt>
                <c:pt idx="32">
                  <c:v>66540.76790211041</c:v>
                </c:pt>
                <c:pt idx="33">
                  <c:v>70375.8524343707</c:v>
                </c:pt>
                <c:pt idx="34">
                  <c:v>81732.4214006271</c:v>
                </c:pt>
                <c:pt idx="35">
                  <c:v>86489.2390155423</c:v>
                </c:pt>
                <c:pt idx="36">
                  <c:v>54547.52810110662</c:v>
                </c:pt>
                <c:pt idx="37">
                  <c:v>68117.52951713422</c:v>
                </c:pt>
                <c:pt idx="38">
                  <c:v>76261.28018879143</c:v>
                </c:pt>
                <c:pt idx="39">
                  <c:v>70524.9074987946</c:v>
                </c:pt>
                <c:pt idx="40">
                  <c:v>80129.79420022362</c:v>
                </c:pt>
                <c:pt idx="41">
                  <c:v>97142.70043539117</c:v>
                </c:pt>
                <c:pt idx="42">
                  <c:v>102065.8743310711</c:v>
                </c:pt>
                <c:pt idx="43">
                  <c:v>100168.8103254254</c:v>
                </c:pt>
                <c:pt idx="44">
                  <c:v>100168.8103254254</c:v>
                </c:pt>
              </c:numCache>
            </c:numRef>
          </c:yVal>
          <c:smooth val="0"/>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Returns_72_15!$V$137:$V$181</c:f>
              <c:numCache>
                <c:formatCode>#,##0</c:formatCode>
                <c:ptCount val="45"/>
                <c:pt idx="0">
                  <c:v>11642.43016443132</c:v>
                </c:pt>
                <c:pt idx="1">
                  <c:v>9333.962916360675</c:v>
                </c:pt>
                <c:pt idx="2">
                  <c:v>6663.782332950443</c:v>
                </c:pt>
                <c:pt idx="3">
                  <c:v>8198.080699685315</c:v>
                </c:pt>
                <c:pt idx="4">
                  <c:v>9091.64053882462</c:v>
                </c:pt>
                <c:pt idx="5">
                  <c:v>8963.509077174972</c:v>
                </c:pt>
                <c:pt idx="6">
                  <c:v>9431.688603229115</c:v>
                </c:pt>
                <c:pt idx="7">
                  <c:v>9422.383522235204</c:v>
                </c:pt>
                <c:pt idx="8">
                  <c:v>10366.31558779242</c:v>
                </c:pt>
                <c:pt idx="9">
                  <c:v>9426.700042599573</c:v>
                </c:pt>
                <c:pt idx="10">
                  <c:v>10582.84709605397</c:v>
                </c:pt>
                <c:pt idx="11">
                  <c:v>12202.5297913969</c:v>
                </c:pt>
                <c:pt idx="12">
                  <c:v>12580.78527581018</c:v>
                </c:pt>
                <c:pt idx="13">
                  <c:v>16623.38141148633</c:v>
                </c:pt>
                <c:pt idx="14">
                  <c:v>21719.46140821702</c:v>
                </c:pt>
                <c:pt idx="15">
                  <c:v>22646.88614258582</c:v>
                </c:pt>
                <c:pt idx="16">
                  <c:v>25811.13567363117</c:v>
                </c:pt>
                <c:pt idx="17">
                  <c:v>30219.21618220248</c:v>
                </c:pt>
                <c:pt idx="18">
                  <c:v>26303.99419603199</c:v>
                </c:pt>
                <c:pt idx="19">
                  <c:v>32114.9992317162</c:v>
                </c:pt>
                <c:pt idx="20">
                  <c:v>32384.2684732592</c:v>
                </c:pt>
                <c:pt idx="21">
                  <c:v>37558.75803711357</c:v>
                </c:pt>
                <c:pt idx="22">
                  <c:v>36842.30951495251</c:v>
                </c:pt>
                <c:pt idx="23">
                  <c:v>44874.65615061724</c:v>
                </c:pt>
                <c:pt idx="24">
                  <c:v>49137.41748529334</c:v>
                </c:pt>
                <c:pt idx="25">
                  <c:v>56523.9240726428</c:v>
                </c:pt>
                <c:pt idx="26">
                  <c:v>65880.48407028065</c:v>
                </c:pt>
                <c:pt idx="27">
                  <c:v>77103.30203810481</c:v>
                </c:pt>
                <c:pt idx="28">
                  <c:v>69236.26336100373</c:v>
                </c:pt>
                <c:pt idx="29">
                  <c:v>61346.85580287618</c:v>
                </c:pt>
                <c:pt idx="30">
                  <c:v>52627.57937165613</c:v>
                </c:pt>
                <c:pt idx="31">
                  <c:v>66250.22943422482</c:v>
                </c:pt>
                <c:pt idx="32">
                  <c:v>72625.5889276348</c:v>
                </c:pt>
                <c:pt idx="33">
                  <c:v>75932.81174151106</c:v>
                </c:pt>
                <c:pt idx="34">
                  <c:v>86177.3446080838</c:v>
                </c:pt>
                <c:pt idx="35">
                  <c:v>90578.67084503</c:v>
                </c:pt>
                <c:pt idx="36">
                  <c:v>64174.29505846277</c:v>
                </c:pt>
                <c:pt idx="37">
                  <c:v>78112.0746536711</c:v>
                </c:pt>
                <c:pt idx="38">
                  <c:v>87236.00824113029</c:v>
                </c:pt>
                <c:pt idx="39">
                  <c:v>83092.54868141924</c:v>
                </c:pt>
                <c:pt idx="40">
                  <c:v>93187.02207194389</c:v>
                </c:pt>
                <c:pt idx="41">
                  <c:v>110692.3541317317</c:v>
                </c:pt>
                <c:pt idx="42">
                  <c:v>116240.904516904</c:v>
                </c:pt>
                <c:pt idx="43">
                  <c:v>114399.6899107187</c:v>
                </c:pt>
                <c:pt idx="44">
                  <c:v>114399.6899107187</c:v>
                </c:pt>
              </c:numCache>
            </c:numRef>
          </c:yVal>
          <c:smooth val="0"/>
        </c:ser>
        <c:ser>
          <c:idx val="0"/>
          <c:order val="2"/>
          <c:tx>
            <c:v>CHP</c:v>
          </c:tx>
          <c:spPr>
            <a:ln w="12700">
              <a:solidFill>
                <a:srgbClr val="000080"/>
              </a:solidFill>
              <a:prstDash val="solid"/>
            </a:ln>
          </c:spPr>
          <c:marker>
            <c:symbol val="circle"/>
            <c:size val="5"/>
            <c:spPr>
              <a:solidFill>
                <a:srgbClr val="00FFFF"/>
              </a:solidFill>
              <a:ln>
                <a:solidFill>
                  <a:srgbClr val="000000"/>
                </a:solidFill>
                <a:prstDash val="solid"/>
              </a:ln>
            </c:spPr>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Returns_72_15!$Y$137:$Y$181</c:f>
              <c:numCache>
                <c:formatCode>#,##0</c:formatCode>
                <c:ptCount val="45"/>
                <c:pt idx="0">
                  <c:v>10816.76335144846</c:v>
                </c:pt>
                <c:pt idx="1">
                  <c:v>8979.592647254692</c:v>
                </c:pt>
                <c:pt idx="2">
                  <c:v>7089.911192615771</c:v>
                </c:pt>
                <c:pt idx="3">
                  <c:v>8588.40485164225</c:v>
                </c:pt>
                <c:pt idx="4">
                  <c:v>10411.01579943065</c:v>
                </c:pt>
                <c:pt idx="5">
                  <c:v>10634.86536093013</c:v>
                </c:pt>
                <c:pt idx="6">
                  <c:v>10782.82284234748</c:v>
                </c:pt>
                <c:pt idx="7">
                  <c:v>11244.25445292124</c:v>
                </c:pt>
                <c:pt idx="8">
                  <c:v>11912.13185605905</c:v>
                </c:pt>
                <c:pt idx="9">
                  <c:v>11591.77878887226</c:v>
                </c:pt>
                <c:pt idx="10">
                  <c:v>13555.35472686171</c:v>
                </c:pt>
                <c:pt idx="11">
                  <c:v>15726.00303562647</c:v>
                </c:pt>
                <c:pt idx="12">
                  <c:v>16573.50035512908</c:v>
                </c:pt>
                <c:pt idx="13">
                  <c:v>20290.19140098633</c:v>
                </c:pt>
                <c:pt idx="14">
                  <c:v>23867.7210673335</c:v>
                </c:pt>
                <c:pt idx="15">
                  <c:v>23199.39683711043</c:v>
                </c:pt>
                <c:pt idx="16">
                  <c:v>25897.68912741246</c:v>
                </c:pt>
                <c:pt idx="17">
                  <c:v>28858.04279183286</c:v>
                </c:pt>
                <c:pt idx="18">
                  <c:v>25679.77044052502</c:v>
                </c:pt>
                <c:pt idx="19">
                  <c:v>31328.9469839879</c:v>
                </c:pt>
                <c:pt idx="20">
                  <c:v>33552.29584643991</c:v>
                </c:pt>
                <c:pt idx="21">
                  <c:v>38113.82099164783</c:v>
                </c:pt>
                <c:pt idx="22">
                  <c:v>36974.77239065006</c:v>
                </c:pt>
                <c:pt idx="23">
                  <c:v>44211.21152372629</c:v>
                </c:pt>
                <c:pt idx="24">
                  <c:v>48815.52113441403</c:v>
                </c:pt>
                <c:pt idx="25">
                  <c:v>56363.64212448658</c:v>
                </c:pt>
                <c:pt idx="26">
                  <c:v>59215.68610153031</c:v>
                </c:pt>
                <c:pt idx="27">
                  <c:v>62437.98825196712</c:v>
                </c:pt>
                <c:pt idx="28">
                  <c:v>64772.88158254133</c:v>
                </c:pt>
                <c:pt idx="29">
                  <c:v>64983.54190844883</c:v>
                </c:pt>
                <c:pt idx="30">
                  <c:v>59947.50815825413</c:v>
                </c:pt>
                <c:pt idx="31">
                  <c:v>72695.24851197589</c:v>
                </c:pt>
                <c:pt idx="32">
                  <c:v>80121.68966701878</c:v>
                </c:pt>
                <c:pt idx="33">
                  <c:v>82305.9848398335</c:v>
                </c:pt>
                <c:pt idx="34">
                  <c:v>92423.88158059057</c:v>
                </c:pt>
                <c:pt idx="35">
                  <c:v>91136.04704919223</c:v>
                </c:pt>
                <c:pt idx="36">
                  <c:v>72654.68163049918</c:v>
                </c:pt>
                <c:pt idx="37">
                  <c:v>85056.93314490473</c:v>
                </c:pt>
                <c:pt idx="38">
                  <c:v>96108.3277684303</c:v>
                </c:pt>
                <c:pt idx="39">
                  <c:v>95224.91094926902</c:v>
                </c:pt>
                <c:pt idx="40">
                  <c:v>104760.3887742605</c:v>
                </c:pt>
                <c:pt idx="41">
                  <c:v>118420.5634851145</c:v>
                </c:pt>
                <c:pt idx="42">
                  <c:v>128491.2533464394</c:v>
                </c:pt>
                <c:pt idx="43">
                  <c:v>126375.6343455645</c:v>
                </c:pt>
                <c:pt idx="44">
                  <c:v>126375.6343455645</c:v>
                </c:pt>
              </c:numCache>
            </c:numRef>
          </c:yVal>
          <c:smooth val="0"/>
        </c:ser>
        <c:dLbls>
          <c:showLegendKey val="0"/>
          <c:showVal val="0"/>
          <c:showCatName val="0"/>
          <c:showSerName val="0"/>
          <c:showPercent val="0"/>
          <c:showBubbleSize val="0"/>
        </c:dLbls>
        <c:axId val="-2115853480"/>
        <c:axId val="-2115846984"/>
      </c:scatterChart>
      <c:valAx>
        <c:axId val="-2115853480"/>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846984"/>
        <c:crosses val="autoZero"/>
        <c:crossBetween val="midCat"/>
        <c:majorUnit val="2.0"/>
        <c:minorUnit val="1.0"/>
      </c:valAx>
      <c:valAx>
        <c:axId val="-2115846984"/>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853480"/>
        <c:crosses val="autoZero"/>
        <c:crossBetween val="midCat"/>
      </c:valAx>
      <c:spPr>
        <a:gradFill rotWithShape="0">
          <a:gsLst>
            <a:gs pos="0">
              <a:srgbClr val="E6DCAC"/>
            </a:gs>
            <a:gs pos="12000">
              <a:srgbClr val="E6D78A"/>
            </a:gs>
            <a:gs pos="30000">
              <a:srgbClr val="C7AC4C"/>
            </a:gs>
            <a:gs pos="45000">
              <a:srgbClr val="E6D78A"/>
            </a:gs>
            <a:gs pos="77000">
              <a:srgbClr val="C7AC4C"/>
            </a:gs>
            <a:gs pos="100000">
              <a:srgbClr val="E6DCAC"/>
            </a:gs>
          </a:gsLst>
          <a:lin ang="2700000"/>
        </a:gradFill>
        <a:ln w="12700">
          <a:solidFill>
            <a:srgbClr val="808080"/>
          </a:solidFill>
          <a:prstDash val="solid"/>
        </a:ln>
      </c:spPr>
    </c:plotArea>
    <c:legend>
      <c:legendPos val="r"/>
      <c:layout>
        <c:manualLayout>
          <c:xMode val="edge"/>
          <c:yMode val="edge"/>
          <c:wMode val="edge"/>
          <c:hMode val="edge"/>
          <c:x val="0.1180689645458"/>
          <c:y val="0.0688459014738542"/>
          <c:w val="0.28264871184483"/>
          <c:h val="0.213076418332324"/>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744337745780469"/>
          <c:y val="0.121495696723182"/>
          <c:w val="0.902914048142395"/>
          <c:h val="0.834893505687505"/>
        </c:manualLayout>
      </c:layout>
      <c:scatterChart>
        <c:scatterStyle val="lineMarker"/>
        <c:varyColors val="0"/>
        <c:ser>
          <c:idx val="1"/>
          <c:order val="0"/>
          <c:tx>
            <c:strRef>
              <c:f>Returns_72_15!$AQ$4</c:f>
              <c:strCache>
                <c:ptCount val="1"/>
                <c:pt idx="0">
                  <c:v>Avg. Drawdown Rebalanced = 3.6%</c:v>
                </c:pt>
              </c:strCache>
            </c:strRef>
          </c:tx>
          <c:spPr>
            <a:ln w="25400">
              <a:solidFill>
                <a:srgbClr val="FF0000"/>
              </a:solidFill>
              <a:prstDash val="solid"/>
            </a:ln>
          </c:spPr>
          <c:marker>
            <c:symbol val="none"/>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Returns_72_15!$W$137:$W$181</c:f>
              <c:numCache>
                <c:formatCode>0.0%</c:formatCode>
                <c:ptCount val="45"/>
                <c:pt idx="0">
                  <c:v>0.0</c:v>
                </c:pt>
                <c:pt idx="1">
                  <c:v>0.128483778436149</c:v>
                </c:pt>
                <c:pt idx="2">
                  <c:v>0.301034743160244</c:v>
                </c:pt>
                <c:pt idx="3">
                  <c:v>0.0804558187161238</c:v>
                </c:pt>
                <c:pt idx="4">
                  <c:v>0.0</c:v>
                </c:pt>
                <c:pt idx="5">
                  <c:v>0.0</c:v>
                </c:pt>
                <c:pt idx="6">
                  <c:v>0.0</c:v>
                </c:pt>
                <c:pt idx="7">
                  <c:v>0.0</c:v>
                </c:pt>
                <c:pt idx="8">
                  <c:v>0.0</c:v>
                </c:pt>
                <c:pt idx="9">
                  <c:v>0.0095049265853514</c:v>
                </c:pt>
                <c:pt idx="10">
                  <c:v>0.0</c:v>
                </c:pt>
                <c:pt idx="11">
                  <c:v>0.0</c:v>
                </c:pt>
                <c:pt idx="12">
                  <c:v>0.0</c:v>
                </c:pt>
                <c:pt idx="13">
                  <c:v>0.0</c:v>
                </c:pt>
                <c:pt idx="14">
                  <c:v>0.0</c:v>
                </c:pt>
                <c:pt idx="15">
                  <c:v>0.0</c:v>
                </c:pt>
                <c:pt idx="16">
                  <c:v>0.0</c:v>
                </c:pt>
                <c:pt idx="17">
                  <c:v>0.0</c:v>
                </c:pt>
                <c:pt idx="18">
                  <c:v>0.0764093421706433</c:v>
                </c:pt>
                <c:pt idx="19">
                  <c:v>0.0</c:v>
                </c:pt>
                <c:pt idx="20">
                  <c:v>0.0</c:v>
                </c:pt>
                <c:pt idx="21">
                  <c:v>0.0</c:v>
                </c:pt>
                <c:pt idx="22">
                  <c:v>0.0</c:v>
                </c:pt>
                <c:pt idx="23">
                  <c:v>0.0</c:v>
                </c:pt>
                <c:pt idx="24">
                  <c:v>0.0</c:v>
                </c:pt>
                <c:pt idx="25">
                  <c:v>0.0</c:v>
                </c:pt>
                <c:pt idx="26">
                  <c:v>0.0</c:v>
                </c:pt>
                <c:pt idx="27">
                  <c:v>0.0</c:v>
                </c:pt>
                <c:pt idx="28">
                  <c:v>0.0716199999999999</c:v>
                </c:pt>
                <c:pt idx="29">
                  <c:v>0.164643676</c:v>
                </c:pt>
                <c:pt idx="30">
                  <c:v>0.26633995488376</c:v>
                </c:pt>
                <c:pt idx="31">
                  <c:v>0.0590736555379709</c:v>
                </c:pt>
                <c:pt idx="32">
                  <c:v>0.0</c:v>
                </c:pt>
                <c:pt idx="33">
                  <c:v>0.0</c:v>
                </c:pt>
                <c:pt idx="34">
                  <c:v>0.0</c:v>
                </c:pt>
                <c:pt idx="35">
                  <c:v>0.0</c:v>
                </c:pt>
                <c:pt idx="36">
                  <c:v>0.29086</c:v>
                </c:pt>
                <c:pt idx="37">
                  <c:v>0.1133551666</c:v>
                </c:pt>
                <c:pt idx="38">
                  <c:v>0.0</c:v>
                </c:pt>
                <c:pt idx="39">
                  <c:v>0.01928</c:v>
                </c:pt>
                <c:pt idx="40">
                  <c:v>0.0</c:v>
                </c:pt>
                <c:pt idx="41">
                  <c:v>0.0</c:v>
                </c:pt>
                <c:pt idx="42">
                  <c:v>0.0</c:v>
                </c:pt>
                <c:pt idx="43">
                  <c:v>0.00866</c:v>
                </c:pt>
                <c:pt idx="44">
                  <c:v>0.00866</c:v>
                </c:pt>
              </c:numCache>
            </c:numRef>
          </c:yVal>
          <c:smooth val="0"/>
        </c:ser>
        <c:ser>
          <c:idx val="0"/>
          <c:order val="1"/>
          <c:tx>
            <c:strRef>
              <c:f>Returns_72_15!$AQ$67</c:f>
              <c:strCache>
                <c:ptCount val="1"/>
                <c:pt idx="0">
                  <c:v>Avg. Drawdown Unbalanced = 5.3%</c:v>
                </c:pt>
              </c:strCache>
            </c:strRef>
          </c:tx>
          <c:spPr>
            <a:ln w="25400">
              <a:solidFill>
                <a:srgbClr val="000080"/>
              </a:solidFill>
              <a:prstDash val="solid"/>
            </a:ln>
          </c:spPr>
          <c:marker>
            <c:symbol val="none"/>
          </c:marker>
          <c:xVal>
            <c:numRef>
              <c:f>Returns_72_15!$Q$137:$Q$181</c:f>
              <c:numCache>
                <c:formatCode>General</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2015.0</c:v>
                </c:pt>
              </c:numCache>
            </c:numRef>
          </c:xVal>
          <c:yVal>
            <c:numRef>
              <c:f>Returns_72_15!$X$137:$X$181</c:f>
              <c:numCache>
                <c:formatCode>0.0%</c:formatCode>
                <c:ptCount val="45"/>
                <c:pt idx="0">
                  <c:v>0.0</c:v>
                </c:pt>
                <c:pt idx="1">
                  <c:v>0.133343636992688</c:v>
                </c:pt>
                <c:pt idx="2">
                  <c:v>0.302355676382153</c:v>
                </c:pt>
                <c:pt idx="3">
                  <c:v>0.0971778966076787</c:v>
                </c:pt>
                <c:pt idx="4">
                  <c:v>0.0</c:v>
                </c:pt>
                <c:pt idx="5">
                  <c:v>0.0</c:v>
                </c:pt>
                <c:pt idx="6">
                  <c:v>0.0</c:v>
                </c:pt>
                <c:pt idx="7">
                  <c:v>0.0</c:v>
                </c:pt>
                <c:pt idx="8">
                  <c:v>0.0</c:v>
                </c:pt>
                <c:pt idx="9">
                  <c:v>0.0123127699692099</c:v>
                </c:pt>
                <c:pt idx="10">
                  <c:v>0.0</c:v>
                </c:pt>
                <c:pt idx="11">
                  <c:v>0.0</c:v>
                </c:pt>
                <c:pt idx="12">
                  <c:v>0.0</c:v>
                </c:pt>
                <c:pt idx="13">
                  <c:v>0.0</c:v>
                </c:pt>
                <c:pt idx="14">
                  <c:v>0.0</c:v>
                </c:pt>
                <c:pt idx="15">
                  <c:v>0.0</c:v>
                </c:pt>
                <c:pt idx="16">
                  <c:v>0.0</c:v>
                </c:pt>
                <c:pt idx="17">
                  <c:v>0.0</c:v>
                </c:pt>
                <c:pt idx="18">
                  <c:v>0.134169715208493</c:v>
                </c:pt>
                <c:pt idx="19">
                  <c:v>0.0</c:v>
                </c:pt>
                <c:pt idx="20">
                  <c:v>0.0</c:v>
                </c:pt>
                <c:pt idx="21">
                  <c:v>0.0</c:v>
                </c:pt>
                <c:pt idx="22">
                  <c:v>0.0</c:v>
                </c:pt>
                <c:pt idx="23">
                  <c:v>0.0</c:v>
                </c:pt>
                <c:pt idx="24">
                  <c:v>0.0</c:v>
                </c:pt>
                <c:pt idx="25">
                  <c:v>0.0</c:v>
                </c:pt>
                <c:pt idx="26">
                  <c:v>0.0</c:v>
                </c:pt>
                <c:pt idx="27">
                  <c:v>0.0</c:v>
                </c:pt>
                <c:pt idx="28">
                  <c:v>0.11182722512661</c:v>
                </c:pt>
                <c:pt idx="29">
                  <c:v>0.227786999182957</c:v>
                </c:pt>
                <c:pt idx="30">
                  <c:v>0.350779183756323</c:v>
                </c:pt>
                <c:pt idx="31">
                  <c:v>0.149429960363438</c:v>
                </c:pt>
                <c:pt idx="32">
                  <c:v>0.0241524790250206</c:v>
                </c:pt>
                <c:pt idx="33">
                  <c:v>0.0</c:v>
                </c:pt>
                <c:pt idx="34">
                  <c:v>0.0</c:v>
                </c:pt>
                <c:pt idx="35">
                  <c:v>0.0</c:v>
                </c:pt>
                <c:pt idx="36">
                  <c:v>0.368737750496763</c:v>
                </c:pt>
                <c:pt idx="37">
                  <c:v>0.190243820142182</c:v>
                </c:pt>
                <c:pt idx="38">
                  <c:v>0.0798741799243471</c:v>
                </c:pt>
                <c:pt idx="39">
                  <c:v>0.12387839871713</c:v>
                </c:pt>
                <c:pt idx="40">
                  <c:v>0.0</c:v>
                </c:pt>
                <c:pt idx="41">
                  <c:v>0.0</c:v>
                </c:pt>
                <c:pt idx="42">
                  <c:v>0.0</c:v>
                </c:pt>
                <c:pt idx="43">
                  <c:v>0.0114270584808405</c:v>
                </c:pt>
                <c:pt idx="44">
                  <c:v>0.0114270584808405</c:v>
                </c:pt>
              </c:numCache>
            </c:numRef>
          </c:yVal>
          <c:smooth val="0"/>
        </c:ser>
        <c:dLbls>
          <c:showLegendKey val="0"/>
          <c:showVal val="0"/>
          <c:showCatName val="0"/>
          <c:showSerName val="0"/>
          <c:showPercent val="0"/>
          <c:showBubbleSize val="0"/>
        </c:dLbls>
        <c:axId val="-2115794456"/>
        <c:axId val="-2115790856"/>
      </c:scatterChart>
      <c:valAx>
        <c:axId val="-2115794456"/>
        <c:scaling>
          <c:orientation val="minMax"/>
        </c:scaling>
        <c:delete val="0"/>
        <c:axPos val="t"/>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790856"/>
        <c:crosses val="autoZero"/>
        <c:crossBetween val="midCat"/>
        <c:majorUnit val="2.0"/>
        <c:minorUnit val="1.0"/>
      </c:valAx>
      <c:valAx>
        <c:axId val="-2115790856"/>
        <c:scaling>
          <c:orientation val="maxMin"/>
        </c:scaling>
        <c:delete val="0"/>
        <c:axPos val="l"/>
        <c:majorGridlines>
          <c:spPr>
            <a:ln w="3175">
              <a:solidFill>
                <a:srgbClr val="C0C0C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794456"/>
        <c:crosses val="autoZero"/>
        <c:crossBetween val="midCat"/>
      </c:valAx>
      <c:spPr>
        <a:gradFill rotWithShape="0">
          <a:gsLst>
            <a:gs pos="0">
              <a:srgbClr val="5E9EFF"/>
            </a:gs>
            <a:gs pos="39999">
              <a:srgbClr val="85C2FF"/>
            </a:gs>
            <a:gs pos="70000">
              <a:srgbClr val="C4D6EB"/>
            </a:gs>
            <a:gs pos="100000">
              <a:srgbClr val="FFEBFA"/>
            </a:gs>
          </a:gsLst>
          <a:lin ang="5400000"/>
        </a:gradFill>
        <a:ln w="12700">
          <a:solidFill>
            <a:srgbClr val="808080"/>
          </a:solidFill>
          <a:prstDash val="solid"/>
        </a:ln>
      </c:spPr>
    </c:plotArea>
    <c:legend>
      <c:legendPos val="r"/>
      <c:layout>
        <c:manualLayout>
          <c:xMode val="edge"/>
          <c:yMode val="edge"/>
          <c:wMode val="edge"/>
          <c:hMode val="edge"/>
          <c:x val="0.21825025002465"/>
          <c:y val="0.502034062922751"/>
          <c:w val="0.481239981406618"/>
          <c:h val="0.638261472822505"/>
        </c:manualLayout>
      </c:layout>
      <c:overlay val="0"/>
      <c:spPr>
        <a:solidFill>
          <a:srgbClr val="FFFFFF"/>
        </a:solidFill>
        <a:ln w="3175">
          <a:solidFill>
            <a:srgbClr val="000000"/>
          </a:solidFill>
          <a:prstDash val="solid"/>
        </a:ln>
      </c:spPr>
      <c:txPr>
        <a:bodyPr/>
        <a:lstStyle/>
        <a:p>
          <a:pPr>
            <a:defRPr sz="630"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horizontalDpi="-3"/>
  </c:printSettings>
  <c:userShapes r:id="rId2"/>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683507182382974"/>
          <c:y val="0.120370733177605"/>
          <c:w val="0.910847614784267"/>
          <c:h val="0.836422274131565"/>
        </c:manualLayout>
      </c:layout>
      <c:scatterChart>
        <c:scatterStyle val="lineMarker"/>
        <c:varyColors val="0"/>
        <c:ser>
          <c:idx val="1"/>
          <c:order val="0"/>
          <c:tx>
            <c:strRef>
              <c:f>Returns_85_15!$BD$4</c:f>
              <c:strCache>
                <c:ptCount val="1"/>
                <c:pt idx="0">
                  <c:v>Avg. Drawdown Rebalanced = 0.5%</c:v>
                </c:pt>
              </c:strCache>
            </c:strRef>
          </c:tx>
          <c:spPr>
            <a:ln w="25400">
              <a:solidFill>
                <a:srgbClr val="FF0000"/>
              </a:solidFill>
              <a:prstDash val="solid"/>
            </a:ln>
          </c:spPr>
          <c:marker>
            <c:symbol val="none"/>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Returns_85_15!$W$113:$W$143</c:f>
              <c:numCache>
                <c:formatCode>0.00%</c:formatCode>
                <c:ptCount val="31"/>
                <c:pt idx="0">
                  <c:v>0.0</c:v>
                </c:pt>
                <c:pt idx="1">
                  <c:v>0.0</c:v>
                </c:pt>
                <c:pt idx="2">
                  <c:v>0.0</c:v>
                </c:pt>
                <c:pt idx="3">
                  <c:v>0.0</c:v>
                </c:pt>
                <c:pt idx="4">
                  <c:v>0.0</c:v>
                </c:pt>
                <c:pt idx="5">
                  <c:v>0.00448813725495922</c:v>
                </c:pt>
                <c:pt idx="6">
                  <c:v>0.0</c:v>
                </c:pt>
                <c:pt idx="7">
                  <c:v>0.0</c:v>
                </c:pt>
                <c:pt idx="8">
                  <c:v>0.0</c:v>
                </c:pt>
                <c:pt idx="9">
                  <c:v>0.0223003859647342</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0.042975</c:v>
                </c:pt>
                <c:pt idx="24">
                  <c:v>0.0</c:v>
                </c:pt>
                <c:pt idx="25">
                  <c:v>0.0</c:v>
                </c:pt>
                <c:pt idx="26">
                  <c:v>0.0</c:v>
                </c:pt>
                <c:pt idx="27">
                  <c:v>0.0</c:v>
                </c:pt>
                <c:pt idx="28">
                  <c:v>0.0381999999999999</c:v>
                </c:pt>
                <c:pt idx="29">
                  <c:v>0.0</c:v>
                </c:pt>
                <c:pt idx="30">
                  <c:v>0.0387499999999999</c:v>
                </c:pt>
              </c:numCache>
            </c:numRef>
          </c:yVal>
          <c:smooth val="0"/>
        </c:ser>
        <c:ser>
          <c:idx val="0"/>
          <c:order val="1"/>
          <c:tx>
            <c:strRef>
              <c:f>Returns_85_15!$BD$56</c:f>
              <c:strCache>
                <c:ptCount val="1"/>
                <c:pt idx="0">
                  <c:v>Avg. Drawdown Unbalanced = 1.0%</c:v>
                </c:pt>
              </c:strCache>
            </c:strRef>
          </c:tx>
          <c:spPr>
            <a:ln w="25400">
              <a:solidFill>
                <a:srgbClr val="000090"/>
              </a:solidFill>
              <a:prstDash val="solid"/>
            </a:ln>
          </c:spPr>
          <c:marker>
            <c:symbol val="none"/>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Returns_85_15!$X$113:$X$143</c:f>
              <c:numCache>
                <c:formatCode>0.00%</c:formatCode>
                <c:ptCount val="31"/>
                <c:pt idx="0">
                  <c:v>0.0</c:v>
                </c:pt>
                <c:pt idx="1">
                  <c:v>0.0</c:v>
                </c:pt>
                <c:pt idx="2">
                  <c:v>0.0</c:v>
                </c:pt>
                <c:pt idx="3">
                  <c:v>0.0</c:v>
                </c:pt>
                <c:pt idx="4">
                  <c:v>0.0</c:v>
                </c:pt>
                <c:pt idx="5">
                  <c:v>0.00971994923576114</c:v>
                </c:pt>
                <c:pt idx="6">
                  <c:v>0.0</c:v>
                </c:pt>
                <c:pt idx="7">
                  <c:v>0.0</c:v>
                </c:pt>
                <c:pt idx="8">
                  <c:v>0.0</c:v>
                </c:pt>
                <c:pt idx="9">
                  <c:v>0.0237792195243107</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0.18671160712127</c:v>
                </c:pt>
                <c:pt idx="24">
                  <c:v>0.0550785141295292</c:v>
                </c:pt>
                <c:pt idx="25">
                  <c:v>0.0</c:v>
                </c:pt>
                <c:pt idx="26">
                  <c:v>0.0</c:v>
                </c:pt>
                <c:pt idx="27">
                  <c:v>0.0</c:v>
                </c:pt>
                <c:pt idx="28">
                  <c:v>0.0</c:v>
                </c:pt>
                <c:pt idx="29">
                  <c:v>0.0</c:v>
                </c:pt>
                <c:pt idx="30">
                  <c:v>0.0200642135191904</c:v>
                </c:pt>
              </c:numCache>
            </c:numRef>
          </c:yVal>
          <c:smooth val="0"/>
        </c:ser>
        <c:dLbls>
          <c:showLegendKey val="0"/>
          <c:showVal val="0"/>
          <c:showCatName val="0"/>
          <c:showSerName val="0"/>
          <c:showPercent val="0"/>
          <c:showBubbleSize val="0"/>
        </c:dLbls>
        <c:axId val="-2115745592"/>
        <c:axId val="-2115741992"/>
      </c:scatterChart>
      <c:valAx>
        <c:axId val="-2115745592"/>
        <c:scaling>
          <c:orientation val="minMax"/>
        </c:scaling>
        <c:delete val="0"/>
        <c:axPos val="t"/>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741992"/>
        <c:crosses val="autoZero"/>
        <c:crossBetween val="midCat"/>
        <c:majorUnit val="2.0"/>
        <c:minorUnit val="1.0"/>
      </c:valAx>
      <c:valAx>
        <c:axId val="-2115741992"/>
        <c:scaling>
          <c:orientation val="maxMin"/>
        </c:scaling>
        <c:delete val="0"/>
        <c:axPos val="l"/>
        <c:majorGridlines>
          <c:spPr>
            <a:ln w="3175">
              <a:solidFill>
                <a:srgbClr val="C0C0C0"/>
              </a:solidFill>
              <a:prstDash val="solid"/>
            </a:ln>
          </c:spPr>
        </c:majorGridlines>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745592"/>
        <c:crosses val="autoZero"/>
        <c:crossBetween val="midCat"/>
      </c:valAx>
      <c:spPr>
        <a:gradFill rotWithShape="0">
          <a:gsLst>
            <a:gs pos="0">
              <a:srgbClr val="5E9EFF"/>
            </a:gs>
            <a:gs pos="39999">
              <a:srgbClr val="85C2FF"/>
            </a:gs>
            <a:gs pos="70000">
              <a:srgbClr val="C4D6EB"/>
            </a:gs>
            <a:gs pos="100000">
              <a:srgbClr val="FFEBFA"/>
            </a:gs>
          </a:gsLst>
          <a:lin ang="5400000"/>
        </a:gradFill>
        <a:ln w="12700">
          <a:solidFill>
            <a:srgbClr val="808080"/>
          </a:solidFill>
          <a:prstDash val="solid"/>
        </a:ln>
      </c:spPr>
    </c:plotArea>
    <c:legend>
      <c:legendPos val="r"/>
      <c:layout>
        <c:manualLayout>
          <c:xMode val="edge"/>
          <c:yMode val="edge"/>
          <c:wMode val="edge"/>
          <c:hMode val="edge"/>
          <c:x val="0.173457817772778"/>
          <c:y val="0.533580422491241"/>
          <c:w val="0.438714988751406"/>
          <c:h val="0.661333379583059"/>
        </c:manualLayout>
      </c:layout>
      <c:overlay val="0"/>
      <c:spPr>
        <a:solidFill>
          <a:srgbClr val="FFFFFF"/>
        </a:solidFill>
        <a:ln w="3175">
          <a:solidFill>
            <a:srgbClr val="000000"/>
          </a:solidFill>
          <a:prstDash val="solid"/>
        </a:ln>
      </c:spPr>
      <c:txPr>
        <a:bodyPr/>
        <a:lstStyle/>
        <a:p>
          <a:pPr>
            <a:defRPr sz="630"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Returns_All!$E$157</c:f>
          <c:strCache>
            <c:ptCount val="1"/>
            <c:pt idx="0">
              <c:v>Portfolio Growth (Nominal) 1871 - 2015</c:v>
            </c:pt>
          </c:strCache>
        </c:strRef>
      </c:tx>
      <c:layout>
        <c:manualLayout>
          <c:xMode val="edge"/>
          <c:yMode val="edge"/>
          <c:x val="0.380676174219481"/>
          <c:y val="0.0704"/>
        </c:manualLayout>
      </c:layout>
      <c:overlay val="1"/>
      <c:spPr>
        <a:solidFill>
          <a:srgbClr val="FFFFFF"/>
        </a:solidFill>
        <a:ln>
          <a:solidFill>
            <a:schemeClr val="tx1"/>
          </a:solidFill>
        </a:ln>
      </c:spPr>
    </c:title>
    <c:autoTitleDeleted val="0"/>
    <c:plotArea>
      <c:layout>
        <c:manualLayout>
          <c:layoutTarget val="inner"/>
          <c:xMode val="edge"/>
          <c:yMode val="edge"/>
          <c:x val="0.114942743771596"/>
          <c:y val="0.0515760033913908"/>
          <c:w val="0.862070578286971"/>
          <c:h val="0.82235072074051"/>
        </c:manualLayout>
      </c:layout>
      <c:scatterChart>
        <c:scatterStyle val="smooth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Returns_All!$U$339:$U$484</c:f>
              <c:numCache>
                <c:formatCode>#,##0</c:formatCode>
                <c:ptCount val="146"/>
                <c:pt idx="0">
                  <c:v>11025.45085932357</c:v>
                </c:pt>
                <c:pt idx="1">
                  <c:v>11959.2053278112</c:v>
                </c:pt>
                <c:pt idx="2">
                  <c:v>12128.09549410872</c:v>
                </c:pt>
                <c:pt idx="3">
                  <c:v>12918.26802198571</c:v>
                </c:pt>
                <c:pt idx="4">
                  <c:v>13589.49999330958</c:v>
                </c:pt>
                <c:pt idx="5">
                  <c:v>12752.7644891134</c:v>
                </c:pt>
                <c:pt idx="6">
                  <c:v>12810.10606192735</c:v>
                </c:pt>
                <c:pt idx="7">
                  <c:v>14233.46368681052</c:v>
                </c:pt>
                <c:pt idx="8">
                  <c:v>18291.75619071173</c:v>
                </c:pt>
                <c:pt idx="9">
                  <c:v>21740.06241531848</c:v>
                </c:pt>
                <c:pt idx="10">
                  <c:v>22063.75141337851</c:v>
                </c:pt>
                <c:pt idx="11">
                  <c:v>22827.7533650171</c:v>
                </c:pt>
                <c:pt idx="12">
                  <c:v>22237.91372539244</c:v>
                </c:pt>
                <c:pt idx="13">
                  <c:v>20911.41420114982</c:v>
                </c:pt>
                <c:pt idx="14">
                  <c:v>24887.02051564817</c:v>
                </c:pt>
                <c:pt idx="15">
                  <c:v>26777.2756990783</c:v>
                </c:pt>
                <c:pt idx="16">
                  <c:v>27107.07608863201</c:v>
                </c:pt>
                <c:pt idx="17">
                  <c:v>28075.35038238246</c:v>
                </c:pt>
                <c:pt idx="18">
                  <c:v>29575.06772301211</c:v>
                </c:pt>
                <c:pt idx="19">
                  <c:v>28518.14967217837</c:v>
                </c:pt>
                <c:pt idx="20">
                  <c:v>32718.5566510257</c:v>
                </c:pt>
                <c:pt idx="21">
                  <c:v>33647.21016112051</c:v>
                </c:pt>
                <c:pt idx="22">
                  <c:v>30442.36207355282</c:v>
                </c:pt>
                <c:pt idx="23">
                  <c:v>31600.46896974933</c:v>
                </c:pt>
                <c:pt idx="24">
                  <c:v>32420.4088426306</c:v>
                </c:pt>
                <c:pt idx="25">
                  <c:v>33989.18168362513</c:v>
                </c:pt>
                <c:pt idx="26">
                  <c:v>38753.48134581647</c:v>
                </c:pt>
                <c:pt idx="27">
                  <c:v>46838.15544207036</c:v>
                </c:pt>
                <c:pt idx="28">
                  <c:v>48198.36988787434</c:v>
                </c:pt>
                <c:pt idx="29">
                  <c:v>55998.30747055316</c:v>
                </c:pt>
                <c:pt idx="30">
                  <c:v>64485.81836799527</c:v>
                </c:pt>
                <c:pt idx="31">
                  <c:v>68843.46832174655</c:v>
                </c:pt>
                <c:pt idx="32">
                  <c:v>60278.83596561471</c:v>
                </c:pt>
                <c:pt idx="33">
                  <c:v>74820.3732663121</c:v>
                </c:pt>
                <c:pt idx="34">
                  <c:v>87512.44819914774</c:v>
                </c:pt>
                <c:pt idx="35">
                  <c:v>88359.94487125907</c:v>
                </c:pt>
                <c:pt idx="36">
                  <c:v>71798.494136432</c:v>
                </c:pt>
                <c:pt idx="37">
                  <c:v>94095.59408364684</c:v>
                </c:pt>
                <c:pt idx="38">
                  <c:v>106523.3790508188</c:v>
                </c:pt>
                <c:pt idx="39">
                  <c:v>104560.8571771061</c:v>
                </c:pt>
                <c:pt idx="40">
                  <c:v>108135.2583072766</c:v>
                </c:pt>
                <c:pt idx="41">
                  <c:v>114667.292377674</c:v>
                </c:pt>
                <c:pt idx="42">
                  <c:v>111403.2189363719</c:v>
                </c:pt>
                <c:pt idx="43">
                  <c:v>107486.0268923224</c:v>
                </c:pt>
                <c:pt idx="44">
                  <c:v>134643.570972791</c:v>
                </c:pt>
                <c:pt idx="45">
                  <c:v>144797.9776775643</c:v>
                </c:pt>
                <c:pt idx="46">
                  <c:v>123698.7033585378</c:v>
                </c:pt>
                <c:pt idx="47">
                  <c:v>141773.08782378</c:v>
                </c:pt>
                <c:pt idx="48">
                  <c:v>164312.7444077267</c:v>
                </c:pt>
                <c:pt idx="49">
                  <c:v>146254.8498385239</c:v>
                </c:pt>
                <c:pt idx="50">
                  <c:v>160443.245331551</c:v>
                </c:pt>
                <c:pt idx="51">
                  <c:v>199405.8477709225</c:v>
                </c:pt>
                <c:pt idx="52">
                  <c:v>210036.0867854655</c:v>
                </c:pt>
                <c:pt idx="53">
                  <c:v>258150.2304845863</c:v>
                </c:pt>
                <c:pt idx="54">
                  <c:v>316007.6552758658</c:v>
                </c:pt>
                <c:pt idx="55">
                  <c:v>349611.9580675303</c:v>
                </c:pt>
                <c:pt idx="56">
                  <c:v>465033.6102247408</c:v>
                </c:pt>
                <c:pt idx="57">
                  <c:v>664546.566702527</c:v>
                </c:pt>
                <c:pt idx="58">
                  <c:v>612445.3481888214</c:v>
                </c:pt>
                <c:pt idx="59">
                  <c:v>489824.0681880613</c:v>
                </c:pt>
                <c:pt idx="60">
                  <c:v>298332.2425338773</c:v>
                </c:pt>
                <c:pt idx="61">
                  <c:v>280134.8581584959</c:v>
                </c:pt>
                <c:pt idx="62">
                  <c:v>410381.1606757052</c:v>
                </c:pt>
                <c:pt idx="63">
                  <c:v>384288.0606231033</c:v>
                </c:pt>
                <c:pt idx="64">
                  <c:v>564628.9523436492</c:v>
                </c:pt>
                <c:pt idx="65">
                  <c:v>735048.0843749179</c:v>
                </c:pt>
                <c:pt idx="66">
                  <c:v>524827.3288056815</c:v>
                </c:pt>
                <c:pt idx="67">
                  <c:v>597442.493490613</c:v>
                </c:pt>
                <c:pt idx="68">
                  <c:v>617284.1432624807</c:v>
                </c:pt>
                <c:pt idx="69">
                  <c:v>570301.78169433</c:v>
                </c:pt>
                <c:pt idx="70">
                  <c:v>526767.7051612837</c:v>
                </c:pt>
                <c:pt idx="71">
                  <c:v>619299.8957624963</c:v>
                </c:pt>
                <c:pt idx="72">
                  <c:v>751348.6175532665</c:v>
                </c:pt>
                <c:pt idx="73">
                  <c:v>885179.2150800812</c:v>
                </c:pt>
                <c:pt idx="74">
                  <c:v>1.20175372395457E6</c:v>
                </c:pt>
                <c:pt idx="75">
                  <c:v>1.0710059276408E6</c:v>
                </c:pt>
                <c:pt idx="76">
                  <c:v>1.10209303540484E6</c:v>
                </c:pt>
                <c:pt idx="77">
                  <c:v>1.20530296265393E6</c:v>
                </c:pt>
                <c:pt idx="78">
                  <c:v>1.40339931989241E6</c:v>
                </c:pt>
                <c:pt idx="79">
                  <c:v>1.85978716107683E6</c:v>
                </c:pt>
                <c:pt idx="80">
                  <c:v>2.23039871001736E6</c:v>
                </c:pt>
                <c:pt idx="81">
                  <c:v>2.53453697637352E6</c:v>
                </c:pt>
                <c:pt idx="82">
                  <c:v>2.60720070167342E6</c:v>
                </c:pt>
                <c:pt idx="83">
                  <c:v>3.76692996994602E6</c:v>
                </c:pt>
                <c:pt idx="84">
                  <c:v>4.82133327695732E6</c:v>
                </c:pt>
                <c:pt idx="85">
                  <c:v>5.14540840283284E6</c:v>
                </c:pt>
                <c:pt idx="86">
                  <c:v>4.86975413433833E6</c:v>
                </c:pt>
                <c:pt idx="87">
                  <c:v>6.75728267644542E6</c:v>
                </c:pt>
                <c:pt idx="88">
                  <c:v>7.26575816236267E6</c:v>
                </c:pt>
                <c:pt idx="89">
                  <c:v>7.72511312208186E6</c:v>
                </c:pt>
                <c:pt idx="90">
                  <c:v>9.17987107491741E6</c:v>
                </c:pt>
                <c:pt idx="91">
                  <c:v>8.93836742723281E6</c:v>
                </c:pt>
                <c:pt idx="92">
                  <c:v>1.07960781054022E7</c:v>
                </c:pt>
                <c:pt idx="93">
                  <c:v>1.25019245865404E7</c:v>
                </c:pt>
                <c:pt idx="94">
                  <c:v>1.39305054427113E7</c:v>
                </c:pt>
                <c:pt idx="95">
                  <c:v>1.3047943603653E7</c:v>
                </c:pt>
                <c:pt idx="96">
                  <c:v>1.51171205505886E7</c:v>
                </c:pt>
                <c:pt idx="97">
                  <c:v>1.67094100299087E7</c:v>
                </c:pt>
                <c:pt idx="98">
                  <c:v>1.5314953812294E7</c:v>
                </c:pt>
                <c:pt idx="99">
                  <c:v>1.63983323355529E7</c:v>
                </c:pt>
                <c:pt idx="100">
                  <c:v>1.86488326875483E7</c:v>
                </c:pt>
                <c:pt idx="101">
                  <c:v>2.1925023092409E7</c:v>
                </c:pt>
                <c:pt idx="102">
                  <c:v>1.84517957365936E7</c:v>
                </c:pt>
                <c:pt idx="103">
                  <c:v>1.46641866140921E7</c:v>
                </c:pt>
                <c:pt idx="104">
                  <c:v>2.02646155130223E7</c:v>
                </c:pt>
                <c:pt idx="105">
                  <c:v>2.25653109932874E7</c:v>
                </c:pt>
                <c:pt idx="106">
                  <c:v>2.06567802215965E7</c:v>
                </c:pt>
                <c:pt idx="107">
                  <c:v>2.39531621554652E7</c:v>
                </c:pt>
                <c:pt idx="108">
                  <c:v>2.7960830676014E7</c:v>
                </c:pt>
                <c:pt idx="109">
                  <c:v>3.50388418953769E7</c:v>
                </c:pt>
                <c:pt idx="110">
                  <c:v>3.26803156747227E7</c:v>
                </c:pt>
                <c:pt idx="111">
                  <c:v>4.21263353475314E7</c:v>
                </c:pt>
                <c:pt idx="112">
                  <c:v>5.06086143688192E7</c:v>
                </c:pt>
                <c:pt idx="113">
                  <c:v>5.45058185780935E7</c:v>
                </c:pt>
                <c:pt idx="114">
                  <c:v>6.86125144111403E7</c:v>
                </c:pt>
                <c:pt idx="115">
                  <c:v>8.9842469551855E7</c:v>
                </c:pt>
                <c:pt idx="116">
                  <c:v>8.80862195684227E7</c:v>
                </c:pt>
                <c:pt idx="117">
                  <c:v>1.0372324248418E8</c:v>
                </c:pt>
                <c:pt idx="118">
                  <c:v>1.27508525339736E8</c:v>
                </c:pt>
                <c:pt idx="119">
                  <c:v>1.26689018557645E8</c:v>
                </c:pt>
                <c:pt idx="120">
                  <c:v>1.66564437989674E8</c:v>
                </c:pt>
                <c:pt idx="121">
                  <c:v>1.79199792873094E8</c:v>
                </c:pt>
                <c:pt idx="122">
                  <c:v>1.99913394199063E8</c:v>
                </c:pt>
                <c:pt idx="123">
                  <c:v>2.02159036158987E8</c:v>
                </c:pt>
                <c:pt idx="124">
                  <c:v>2.72804508238846E8</c:v>
                </c:pt>
                <c:pt idx="125">
                  <c:v>3.46529437324737E8</c:v>
                </c:pt>
                <c:pt idx="126">
                  <c:v>4.42499446246671E8</c:v>
                </c:pt>
                <c:pt idx="127">
                  <c:v>5.80750523167387E8</c:v>
                </c:pt>
                <c:pt idx="128">
                  <c:v>6.70480796571478E8</c:v>
                </c:pt>
                <c:pt idx="129">
                  <c:v>6.36083447925139E8</c:v>
                </c:pt>
                <c:pt idx="130">
                  <c:v>5.50837298643337E8</c:v>
                </c:pt>
                <c:pt idx="131">
                  <c:v>4.41058931406526E8</c:v>
                </c:pt>
                <c:pt idx="132">
                  <c:v>5.65698379531774E8</c:v>
                </c:pt>
                <c:pt idx="133">
                  <c:v>5.9975714752203E8</c:v>
                </c:pt>
                <c:pt idx="134">
                  <c:v>6.60283738790593E8</c:v>
                </c:pt>
                <c:pt idx="135">
                  <c:v>7.48011531945263E8</c:v>
                </c:pt>
                <c:pt idx="136">
                  <c:v>7.39005998859454E8</c:v>
                </c:pt>
                <c:pt idx="137">
                  <c:v>4.80211923473216E8</c:v>
                </c:pt>
                <c:pt idx="138">
                  <c:v>6.34910377370038E8</c:v>
                </c:pt>
                <c:pt idx="139">
                  <c:v>7.37372846216089E8</c:v>
                </c:pt>
                <c:pt idx="140">
                  <c:v>7.6305243844033E8</c:v>
                </c:pt>
                <c:pt idx="141">
                  <c:v>8.86485892163683E8</c:v>
                </c:pt>
                <c:pt idx="142">
                  <c:v>1.11139847642792E9</c:v>
                </c:pt>
                <c:pt idx="143">
                  <c:v>1.26074217783581E9</c:v>
                </c:pt>
                <c:pt idx="144">
                  <c:v>1.21977722766516E9</c:v>
                </c:pt>
                <c:pt idx="145">
                  <c:v>1.21977722766516E9</c:v>
                </c:pt>
              </c:numCache>
            </c:numRef>
          </c:yVal>
          <c:smooth val="1"/>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Returns_All!$S$339:$S$484</c:f>
              <c:numCache>
                <c:formatCode>#,##0</c:formatCode>
                <c:ptCount val="146"/>
                <c:pt idx="0">
                  <c:v>11025.45085932357</c:v>
                </c:pt>
                <c:pt idx="1">
                  <c:v>11935.98864391128</c:v>
                </c:pt>
                <c:pt idx="2">
                  <c:v>12160.05116381046</c:v>
                </c:pt>
                <c:pt idx="3">
                  <c:v>12965.25336787606</c:v>
                </c:pt>
                <c:pt idx="4">
                  <c:v>13639.90528582824</c:v>
                </c:pt>
                <c:pt idx="5">
                  <c:v>12816.78270263411</c:v>
                </c:pt>
                <c:pt idx="6">
                  <c:v>12831.03180336933</c:v>
                </c:pt>
                <c:pt idx="7">
                  <c:v>14335.46878623791</c:v>
                </c:pt>
                <c:pt idx="8">
                  <c:v>18679.2574475248</c:v>
                </c:pt>
                <c:pt idx="9">
                  <c:v>22018.69690615214</c:v>
                </c:pt>
                <c:pt idx="10">
                  <c:v>22388.09296027202</c:v>
                </c:pt>
                <c:pt idx="11">
                  <c:v>23158.42875872573</c:v>
                </c:pt>
                <c:pt idx="12">
                  <c:v>22715.83767759018</c:v>
                </c:pt>
                <c:pt idx="13">
                  <c:v>21632.25458297553</c:v>
                </c:pt>
                <c:pt idx="14">
                  <c:v>25634.36108655075</c:v>
                </c:pt>
                <c:pt idx="15">
                  <c:v>27369.48869975986</c:v>
                </c:pt>
                <c:pt idx="16">
                  <c:v>27839.98893879778</c:v>
                </c:pt>
                <c:pt idx="17">
                  <c:v>28875.149091728</c:v>
                </c:pt>
                <c:pt idx="18">
                  <c:v>30308.51624152789</c:v>
                </c:pt>
                <c:pt idx="19">
                  <c:v>29431.68103271686</c:v>
                </c:pt>
                <c:pt idx="20">
                  <c:v>33529.59827346136</c:v>
                </c:pt>
                <c:pt idx="21">
                  <c:v>34139.98700927737</c:v>
                </c:pt>
                <c:pt idx="22">
                  <c:v>32146.12057503752</c:v>
                </c:pt>
                <c:pt idx="23">
                  <c:v>33391.85068988525</c:v>
                </c:pt>
                <c:pt idx="24">
                  <c:v>34168.22715773721</c:v>
                </c:pt>
                <c:pt idx="25">
                  <c:v>35921.16546137682</c:v>
                </c:pt>
                <c:pt idx="26">
                  <c:v>40690.37630026591</c:v>
                </c:pt>
                <c:pt idx="27">
                  <c:v>48408.12669214692</c:v>
                </c:pt>
                <c:pt idx="28">
                  <c:v>49627.53405855442</c:v>
                </c:pt>
                <c:pt idx="29">
                  <c:v>56575.51439029242</c:v>
                </c:pt>
                <c:pt idx="30">
                  <c:v>63606.26074640713</c:v>
                </c:pt>
                <c:pt idx="31">
                  <c:v>67088.31151259737</c:v>
                </c:pt>
                <c:pt idx="32">
                  <c:v>61613.06052700765</c:v>
                </c:pt>
                <c:pt idx="33">
                  <c:v>73852.02063569096</c:v>
                </c:pt>
                <c:pt idx="34">
                  <c:v>83514.86180923262</c:v>
                </c:pt>
                <c:pt idx="35">
                  <c:v>84383.51564120554</c:v>
                </c:pt>
                <c:pt idx="36">
                  <c:v>73890.3856185779</c:v>
                </c:pt>
                <c:pt idx="37">
                  <c:v>92891.29804559601</c:v>
                </c:pt>
                <c:pt idx="38">
                  <c:v>102053.7565843355</c:v>
                </c:pt>
                <c:pt idx="39">
                  <c:v>102395.6135949207</c:v>
                </c:pt>
                <c:pt idx="40">
                  <c:v>105853.2664634098</c:v>
                </c:pt>
                <c:pt idx="41">
                  <c:v>110666.1993424032</c:v>
                </c:pt>
                <c:pt idx="42">
                  <c:v>110541.8229149399</c:v>
                </c:pt>
                <c:pt idx="43">
                  <c:v>109334.0112439769</c:v>
                </c:pt>
                <c:pt idx="44">
                  <c:v>131445.2226424606</c:v>
                </c:pt>
                <c:pt idx="45">
                  <c:v>139525.4555086097</c:v>
                </c:pt>
                <c:pt idx="46">
                  <c:v>125081.5091912505</c:v>
                </c:pt>
                <c:pt idx="47">
                  <c:v>140370.9561392452</c:v>
                </c:pt>
                <c:pt idx="48">
                  <c:v>156672.6495352107</c:v>
                </c:pt>
                <c:pt idx="49">
                  <c:v>146436.2765348216</c:v>
                </c:pt>
                <c:pt idx="50">
                  <c:v>161671.1806176683</c:v>
                </c:pt>
                <c:pt idx="51">
                  <c:v>191935.1634944155</c:v>
                </c:pt>
                <c:pt idx="52">
                  <c:v>202681.1236369667</c:v>
                </c:pt>
                <c:pt idx="53">
                  <c:v>238762.2131311093</c:v>
                </c:pt>
                <c:pt idx="54">
                  <c:v>278376.2644978003</c:v>
                </c:pt>
                <c:pt idx="55">
                  <c:v>302521.0347793819</c:v>
                </c:pt>
                <c:pt idx="56">
                  <c:v>372036.4177804525</c:v>
                </c:pt>
                <c:pt idx="57">
                  <c:v>476277.9407800268</c:v>
                </c:pt>
                <c:pt idx="58">
                  <c:v>465847.6374074186</c:v>
                </c:pt>
                <c:pt idx="59">
                  <c:v>416379.4956474888</c:v>
                </c:pt>
                <c:pt idx="60">
                  <c:v>310468.571941304</c:v>
                </c:pt>
                <c:pt idx="61">
                  <c:v>304914.1480144279</c:v>
                </c:pt>
                <c:pt idx="62">
                  <c:v>411238.333737554</c:v>
                </c:pt>
                <c:pt idx="63">
                  <c:v>399660.6275826833</c:v>
                </c:pt>
                <c:pt idx="64">
                  <c:v>533807.3798261816</c:v>
                </c:pt>
                <c:pt idx="65">
                  <c:v>645086.9044919758</c:v>
                </c:pt>
                <c:pt idx="66">
                  <c:v>532774.631330947</c:v>
                </c:pt>
                <c:pt idx="67">
                  <c:v>589158.955444874</c:v>
                </c:pt>
                <c:pt idx="68">
                  <c:v>608020.1021437843</c:v>
                </c:pt>
                <c:pt idx="69">
                  <c:v>583725.7063004825</c:v>
                </c:pt>
                <c:pt idx="70">
                  <c:v>554593.4159560604</c:v>
                </c:pt>
                <c:pt idx="71">
                  <c:v>625335.7879286481</c:v>
                </c:pt>
                <c:pt idx="72">
                  <c:v>719872.930594977</c:v>
                </c:pt>
                <c:pt idx="73">
                  <c:v>811378.1033284381</c:v>
                </c:pt>
                <c:pt idx="74">
                  <c:v>1.00852914848789E6</c:v>
                </c:pt>
                <c:pt idx="75">
                  <c:v>944812.6164139675</c:v>
                </c:pt>
                <c:pt idx="76">
                  <c:v>966438.146914021</c:v>
                </c:pt>
                <c:pt idx="77">
                  <c:v>1.03307735639289E6</c:v>
                </c:pt>
                <c:pt idx="78">
                  <c:v>1.15220475160353E6</c:v>
                </c:pt>
                <c:pt idx="79">
                  <c:v>1.39070148164135E6</c:v>
                </c:pt>
                <c:pt idx="80">
                  <c:v>1.57338546209695E6</c:v>
                </c:pt>
                <c:pt idx="81">
                  <c:v>1.71820928363076E6</c:v>
                </c:pt>
                <c:pt idx="82">
                  <c:v>1.78352607525495E6</c:v>
                </c:pt>
                <c:pt idx="83">
                  <c:v>2.28855207215892E6</c:v>
                </c:pt>
                <c:pt idx="84">
                  <c:v>2.68528081042134E6</c:v>
                </c:pt>
                <c:pt idx="85">
                  <c:v>2.79649589898804E6</c:v>
                </c:pt>
                <c:pt idx="86">
                  <c:v>2.77005592674462E6</c:v>
                </c:pt>
                <c:pt idx="87">
                  <c:v>3.4096812891799E6</c:v>
                </c:pt>
                <c:pt idx="88">
                  <c:v>3.5672494425763E6</c:v>
                </c:pt>
                <c:pt idx="89">
                  <c:v>3.84900373076535E6</c:v>
                </c:pt>
                <c:pt idx="90">
                  <c:v>4.32964527436698E6</c:v>
                </c:pt>
                <c:pt idx="91">
                  <c:v>4.35605323292805E6</c:v>
                </c:pt>
                <c:pt idx="92">
                  <c:v>4.9366167503266E6</c:v>
                </c:pt>
                <c:pt idx="93">
                  <c:v>5.48880209142136E6</c:v>
                </c:pt>
                <c:pt idx="94">
                  <c:v>5.89642327256664E6</c:v>
                </c:pt>
                <c:pt idx="95">
                  <c:v>5.78885151129122E6</c:v>
                </c:pt>
                <c:pt idx="96">
                  <c:v>6.36273053924683E6</c:v>
                </c:pt>
                <c:pt idx="97">
                  <c:v>6.83728113483039E6</c:v>
                </c:pt>
                <c:pt idx="98">
                  <c:v>6.45988388204174E6</c:v>
                </c:pt>
                <c:pt idx="99">
                  <c:v>7.15740601954751E6</c:v>
                </c:pt>
                <c:pt idx="100">
                  <c:v>7.96914792473729E6</c:v>
                </c:pt>
                <c:pt idx="101">
                  <c:v>8.91939834995577E6</c:v>
                </c:pt>
                <c:pt idx="102">
                  <c:v>8.20470895390216E6</c:v>
                </c:pt>
                <c:pt idx="103">
                  <c:v>7.34853134574335E6</c:v>
                </c:pt>
                <c:pt idx="104">
                  <c:v>9.26073862390746E6</c:v>
                </c:pt>
                <c:pt idx="105">
                  <c:v>1.02989627411684E7</c:v>
                </c:pt>
                <c:pt idx="106">
                  <c:v>9.89504833450239E6</c:v>
                </c:pt>
                <c:pt idx="107">
                  <c:v>1.09416014034244E7</c:v>
                </c:pt>
                <c:pt idx="108">
                  <c:v>1.21699139083314E7</c:v>
                </c:pt>
                <c:pt idx="109">
                  <c:v>1.42025398578888E7</c:v>
                </c:pt>
                <c:pt idx="110">
                  <c:v>1.39449322101193E7</c:v>
                </c:pt>
                <c:pt idx="111">
                  <c:v>1.82191623521627E7</c:v>
                </c:pt>
                <c:pt idx="112">
                  <c:v>2.08567940928735E7</c:v>
                </c:pt>
                <c:pt idx="113">
                  <c:v>2.29203116323188E7</c:v>
                </c:pt>
                <c:pt idx="114">
                  <c:v>2.83721817670852E7</c:v>
                </c:pt>
                <c:pt idx="115">
                  <c:v>3.57264057295623E7</c:v>
                </c:pt>
                <c:pt idx="116">
                  <c:v>3.545193282392E7</c:v>
                </c:pt>
                <c:pt idx="117">
                  <c:v>4.00430266221791E7</c:v>
                </c:pt>
                <c:pt idx="118">
                  <c:v>4.76667722477668E7</c:v>
                </c:pt>
                <c:pt idx="119">
                  <c:v>4.93048721257288E7</c:v>
                </c:pt>
                <c:pt idx="120">
                  <c:v>6.14451263024352E7</c:v>
                </c:pt>
                <c:pt idx="121">
                  <c:v>6.64908111401073E7</c:v>
                </c:pt>
                <c:pt idx="122">
                  <c:v>7.37992658616982E7</c:v>
                </c:pt>
                <c:pt idx="123">
                  <c:v>7.30816028202747E7</c:v>
                </c:pt>
                <c:pt idx="124">
                  <c:v>9.37468902458363E7</c:v>
                </c:pt>
                <c:pt idx="125">
                  <c:v>1.09664654157291E8</c:v>
                </c:pt>
                <c:pt idx="126">
                  <c:v>1.32630962445799E8</c:v>
                </c:pt>
                <c:pt idx="127">
                  <c:v>1.62336265953366E8</c:v>
                </c:pt>
                <c:pt idx="128">
                  <c:v>1.75338101251493E8</c:v>
                </c:pt>
                <c:pt idx="129">
                  <c:v>1.79699010526971E8</c:v>
                </c:pt>
                <c:pt idx="130">
                  <c:v>1.70593897099117E8</c:v>
                </c:pt>
                <c:pt idx="131">
                  <c:v>1.57466212913752E8</c:v>
                </c:pt>
                <c:pt idx="132">
                  <c:v>1.86789838943335E8</c:v>
                </c:pt>
                <c:pt idx="133">
                  <c:v>1.95245915630439E8</c:v>
                </c:pt>
                <c:pt idx="134">
                  <c:v>2.08667460679477E8</c:v>
                </c:pt>
                <c:pt idx="135">
                  <c:v>2.27575227139951E8</c:v>
                </c:pt>
                <c:pt idx="136">
                  <c:v>2.36929844916941E8</c:v>
                </c:pt>
                <c:pt idx="137">
                  <c:v>1.96751413296083E8</c:v>
                </c:pt>
                <c:pt idx="138">
                  <c:v>2.33624771801684E8</c:v>
                </c:pt>
                <c:pt idx="139">
                  <c:v>2.62016016334024E8</c:v>
                </c:pt>
                <c:pt idx="140">
                  <c:v>2.77399225362848E8</c:v>
                </c:pt>
                <c:pt idx="141">
                  <c:v>3.07084974001106E8</c:v>
                </c:pt>
                <c:pt idx="142">
                  <c:v>3.51820983393094E8</c:v>
                </c:pt>
                <c:pt idx="143">
                  <c:v>3.87982706694195E8</c:v>
                </c:pt>
                <c:pt idx="144">
                  <c:v>3.8213806229316E8</c:v>
                </c:pt>
                <c:pt idx="145">
                  <c:v>3.8213806229316E8</c:v>
                </c:pt>
              </c:numCache>
            </c:numRef>
          </c:yVal>
          <c:smooth val="1"/>
        </c:ser>
        <c:ser>
          <c:idx val="0"/>
          <c:order val="2"/>
          <c:tx>
            <c:v>C64</c:v>
          </c:tx>
          <c:spPr>
            <a:ln w="12700">
              <a:solidFill>
                <a:srgbClr val="000080"/>
              </a:solidFill>
              <a:prstDash val="solid"/>
            </a:ln>
          </c:spPr>
          <c:marker>
            <c:symbol val="circle"/>
            <c:size val="5"/>
            <c:spPr>
              <a:solidFill>
                <a:srgbClr val="00FFFF"/>
              </a:solidFill>
              <a:ln>
                <a:solidFill>
                  <a:srgbClr val="000000"/>
                </a:solidFill>
                <a:prstDash val="solid"/>
              </a:ln>
            </c:spPr>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Returns_All!$T$339:$T$484</c:f>
              <c:numCache>
                <c:formatCode>#,##0</c:formatCode>
                <c:ptCount val="146"/>
                <c:pt idx="0">
                  <c:v>11005.5119883624</c:v>
                </c:pt>
                <c:pt idx="1">
                  <c:v>11892.81891785449</c:v>
                </c:pt>
                <c:pt idx="2">
                  <c:v>12093.97000381733</c:v>
                </c:pt>
                <c:pt idx="3">
                  <c:v>12871.325016096</c:v>
                </c:pt>
                <c:pt idx="4">
                  <c:v>13516.48135935319</c:v>
                </c:pt>
                <c:pt idx="5">
                  <c:v>12677.5485418443</c:v>
                </c:pt>
                <c:pt idx="6">
                  <c:v>12668.51331931156</c:v>
                </c:pt>
                <c:pt idx="7">
                  <c:v>14128.27217641838</c:v>
                </c:pt>
                <c:pt idx="8">
                  <c:v>18376.29124590468</c:v>
                </c:pt>
                <c:pt idx="9">
                  <c:v>21622.49008270275</c:v>
                </c:pt>
                <c:pt idx="10">
                  <c:v>21945.26548094498</c:v>
                </c:pt>
                <c:pt idx="11">
                  <c:v>22659.12941773654</c:v>
                </c:pt>
                <c:pt idx="12">
                  <c:v>22185.57100500588</c:v>
                </c:pt>
                <c:pt idx="13">
                  <c:v>21088.60706079688</c:v>
                </c:pt>
                <c:pt idx="14">
                  <c:v>24945.10706430871</c:v>
                </c:pt>
                <c:pt idx="15">
                  <c:v>26585.4096387369</c:v>
                </c:pt>
                <c:pt idx="16">
                  <c:v>26993.20474234192</c:v>
                </c:pt>
                <c:pt idx="17">
                  <c:v>27945.9840672339</c:v>
                </c:pt>
                <c:pt idx="18">
                  <c:v>29280.03398964948</c:v>
                </c:pt>
                <c:pt idx="19">
                  <c:v>28381.1393396513</c:v>
                </c:pt>
                <c:pt idx="20">
                  <c:v>32274.27369592692</c:v>
                </c:pt>
                <c:pt idx="21">
                  <c:v>32802.36255626125</c:v>
                </c:pt>
                <c:pt idx="22">
                  <c:v>30829.75912570936</c:v>
                </c:pt>
                <c:pt idx="23">
                  <c:v>31966.26439719883</c:v>
                </c:pt>
                <c:pt idx="24">
                  <c:v>32650.2228492778</c:v>
                </c:pt>
                <c:pt idx="25">
                  <c:v>34262.80280572164</c:v>
                </c:pt>
                <c:pt idx="26">
                  <c:v>38741.73368985685</c:v>
                </c:pt>
                <c:pt idx="27">
                  <c:v>46006.82993587172</c:v>
                </c:pt>
                <c:pt idx="28">
                  <c:v>47080.16788482032</c:v>
                </c:pt>
                <c:pt idx="29">
                  <c:v>53574.58274403108</c:v>
                </c:pt>
                <c:pt idx="30">
                  <c:v>60123.6429102208</c:v>
                </c:pt>
                <c:pt idx="31">
                  <c:v>63300.13688273994</c:v>
                </c:pt>
                <c:pt idx="32">
                  <c:v>58027.44577141909</c:v>
                </c:pt>
                <c:pt idx="33">
                  <c:v>69428.93603477298</c:v>
                </c:pt>
                <c:pt idx="34">
                  <c:v>78371.41094942654</c:v>
                </c:pt>
                <c:pt idx="35">
                  <c:v>79042.69272193798</c:v>
                </c:pt>
                <c:pt idx="36">
                  <c:v>69086.35478322048</c:v>
                </c:pt>
                <c:pt idx="37">
                  <c:v>86695.66398077235</c:v>
                </c:pt>
                <c:pt idx="38">
                  <c:v>95074.94711459147</c:v>
                </c:pt>
                <c:pt idx="39">
                  <c:v>95219.49588537929</c:v>
                </c:pt>
                <c:pt idx="40">
                  <c:v>98256.01760666535</c:v>
                </c:pt>
                <c:pt idx="41">
                  <c:v>102537.3780750312</c:v>
                </c:pt>
                <c:pt idx="42">
                  <c:v>102235.2009843223</c:v>
                </c:pt>
                <c:pt idx="43">
                  <c:v>100933.6221174202</c:v>
                </c:pt>
                <c:pt idx="44">
                  <c:v>121127.3880606474</c:v>
                </c:pt>
                <c:pt idx="45">
                  <c:v>128340.3120976263</c:v>
                </c:pt>
                <c:pt idx="46">
                  <c:v>114843.6239547206</c:v>
                </c:pt>
                <c:pt idx="47">
                  <c:v>128648.437314886</c:v>
                </c:pt>
                <c:pt idx="48">
                  <c:v>143329.6648840603</c:v>
                </c:pt>
                <c:pt idx="49">
                  <c:v>133719.8563613303</c:v>
                </c:pt>
                <c:pt idx="50">
                  <c:v>147363.2713116311</c:v>
                </c:pt>
                <c:pt idx="51">
                  <c:v>174633.756640002</c:v>
                </c:pt>
                <c:pt idx="52">
                  <c:v>184075.905994094</c:v>
                </c:pt>
                <c:pt idx="53">
                  <c:v>216453.6992805743</c:v>
                </c:pt>
                <c:pt idx="54">
                  <c:v>251911.3391634956</c:v>
                </c:pt>
                <c:pt idx="55">
                  <c:v>273264.5835396546</c:v>
                </c:pt>
                <c:pt idx="56">
                  <c:v>335453.3695255272</c:v>
                </c:pt>
                <c:pt idx="57">
                  <c:v>428675.6811293807</c:v>
                </c:pt>
                <c:pt idx="58">
                  <c:v>418521.0825034552</c:v>
                </c:pt>
                <c:pt idx="59">
                  <c:v>373390.4957798095</c:v>
                </c:pt>
                <c:pt idx="60">
                  <c:v>277896.8187373872</c:v>
                </c:pt>
                <c:pt idx="61">
                  <c:v>272425.931279389</c:v>
                </c:pt>
                <c:pt idx="62">
                  <c:v>366763.6943808681</c:v>
                </c:pt>
                <c:pt idx="63">
                  <c:v>355787.2360635489</c:v>
                </c:pt>
                <c:pt idx="64">
                  <c:v>474357.3439753329</c:v>
                </c:pt>
                <c:pt idx="65">
                  <c:v>572212.6872050789</c:v>
                </c:pt>
                <c:pt idx="66">
                  <c:v>471715.4727019336</c:v>
                </c:pt>
                <c:pt idx="67">
                  <c:v>520693.9338577004</c:v>
                </c:pt>
                <c:pt idx="68">
                  <c:v>536387.1984759722</c:v>
                </c:pt>
                <c:pt idx="69">
                  <c:v>514014.9004271006</c:v>
                </c:pt>
                <c:pt idx="70">
                  <c:v>487471.158344231</c:v>
                </c:pt>
                <c:pt idx="71">
                  <c:v>548659.0482942771</c:v>
                </c:pt>
                <c:pt idx="72">
                  <c:v>630465.1573715322</c:v>
                </c:pt>
                <c:pt idx="73">
                  <c:v>709321.8893282383</c:v>
                </c:pt>
                <c:pt idx="74">
                  <c:v>880091.3312278708</c:v>
                </c:pt>
                <c:pt idx="75">
                  <c:v>822982.9541121639</c:v>
                </c:pt>
                <c:pt idx="76">
                  <c:v>840291.736876037</c:v>
                </c:pt>
                <c:pt idx="77">
                  <c:v>896605.371219528</c:v>
                </c:pt>
                <c:pt idx="78">
                  <c:v>998188.3928388533</c:v>
                </c:pt>
                <c:pt idx="79">
                  <c:v>1.20264074602539E6</c:v>
                </c:pt>
                <c:pt idx="80">
                  <c:v>1.35816538110352E6</c:v>
                </c:pt>
                <c:pt idx="81">
                  <c:v>1.48049642225502E6</c:v>
                </c:pt>
                <c:pt idx="82">
                  <c:v>1.53398217959305E6</c:v>
                </c:pt>
                <c:pt idx="83">
                  <c:v>1.96481940717115E6</c:v>
                </c:pt>
                <c:pt idx="84">
                  <c:v>2.30127949168166E6</c:v>
                </c:pt>
                <c:pt idx="85">
                  <c:v>2.39224788545991E6</c:v>
                </c:pt>
                <c:pt idx="86">
                  <c:v>2.36530536661228E6</c:v>
                </c:pt>
                <c:pt idx="87">
                  <c:v>2.90625147871507E6</c:v>
                </c:pt>
                <c:pt idx="88">
                  <c:v>3.03504709362856E6</c:v>
                </c:pt>
                <c:pt idx="89">
                  <c:v>3.2688080865115E6</c:v>
                </c:pt>
                <c:pt idx="90">
                  <c:v>3.67035662604041E6</c:v>
                </c:pt>
                <c:pt idx="91">
                  <c:v>3.68601292720085E6</c:v>
                </c:pt>
                <c:pt idx="92">
                  <c:v>4.16973725623174E6</c:v>
                </c:pt>
                <c:pt idx="93">
                  <c:v>4.62775632320206E6</c:v>
                </c:pt>
                <c:pt idx="94">
                  <c:v>4.96243517914288E6</c:v>
                </c:pt>
                <c:pt idx="95">
                  <c:v>4.86301105429003E6</c:v>
                </c:pt>
                <c:pt idx="96">
                  <c:v>5.33544944515719E6</c:v>
                </c:pt>
                <c:pt idx="97">
                  <c:v>5.72299682825927E6</c:v>
                </c:pt>
                <c:pt idx="98">
                  <c:v>5.39725221682023E6</c:v>
                </c:pt>
                <c:pt idx="99">
                  <c:v>5.96913350082749E6</c:v>
                </c:pt>
                <c:pt idx="100">
                  <c:v>6.63406228775691E6</c:v>
                </c:pt>
                <c:pt idx="101">
                  <c:v>7.52796468386868E6</c:v>
                </c:pt>
                <c:pt idx="102">
                  <c:v>6.95362515024958E6</c:v>
                </c:pt>
                <c:pt idx="103">
                  <c:v>6.03155554779303E6</c:v>
                </c:pt>
                <c:pt idx="104">
                  <c:v>7.56440460605061E6</c:v>
                </c:pt>
                <c:pt idx="105">
                  <c:v>8.98686478301487E6</c:v>
                </c:pt>
                <c:pt idx="106">
                  <c:v>8.6582942290082E6</c:v>
                </c:pt>
                <c:pt idx="107">
                  <c:v>9.03392594235188E6</c:v>
                </c:pt>
                <c:pt idx="108">
                  <c:v>1.02403968344694E7</c:v>
                </c:pt>
                <c:pt idx="109">
                  <c:v>1.24620396857549E7</c:v>
                </c:pt>
                <c:pt idx="110">
                  <c:v>1.26005598586133E7</c:v>
                </c:pt>
                <c:pt idx="111">
                  <c:v>1.5448271296169E7</c:v>
                </c:pt>
                <c:pt idx="112">
                  <c:v>1.79159183333657E7</c:v>
                </c:pt>
                <c:pt idx="113">
                  <c:v>1.95919063626444E7</c:v>
                </c:pt>
                <c:pt idx="114">
                  <c:v>2.46551971910686E7</c:v>
                </c:pt>
                <c:pt idx="115">
                  <c:v>2.85965031960772E7</c:v>
                </c:pt>
                <c:pt idx="116">
                  <c:v>2.95119486119445E7</c:v>
                </c:pt>
                <c:pt idx="117">
                  <c:v>3.32517027400501E7</c:v>
                </c:pt>
                <c:pt idx="118">
                  <c:v>4.13225560291151E7</c:v>
                </c:pt>
                <c:pt idx="119">
                  <c:v>4.19291711516225E7</c:v>
                </c:pt>
                <c:pt idx="120">
                  <c:v>5.20894479050837E7</c:v>
                </c:pt>
                <c:pt idx="121">
                  <c:v>5.58961447579872E7</c:v>
                </c:pt>
                <c:pt idx="122">
                  <c:v>6.13773207129554E7</c:v>
                </c:pt>
                <c:pt idx="123">
                  <c:v>6.11588174512173E7</c:v>
                </c:pt>
                <c:pt idx="124">
                  <c:v>7.93486729375583E7</c:v>
                </c:pt>
                <c:pt idx="125">
                  <c:v>9.13779317548921E7</c:v>
                </c:pt>
                <c:pt idx="126">
                  <c:v>1.13025363787626E8</c:v>
                </c:pt>
                <c:pt idx="127">
                  <c:v>1.36313109742429E8</c:v>
                </c:pt>
                <c:pt idx="128">
                  <c:v>1.53131421222449E8</c:v>
                </c:pt>
                <c:pt idx="129">
                  <c:v>1.51783864715692E8</c:v>
                </c:pt>
                <c:pt idx="130">
                  <c:v>1.45955364310609E8</c:v>
                </c:pt>
                <c:pt idx="131">
                  <c:v>1.31380261630552E8</c:v>
                </c:pt>
                <c:pt idx="132">
                  <c:v>1.55932604924069E8</c:v>
                </c:pt>
                <c:pt idx="133">
                  <c:v>1.68625518964889E8</c:v>
                </c:pt>
                <c:pt idx="134">
                  <c:v>1.75070386299727E8</c:v>
                </c:pt>
                <c:pt idx="135">
                  <c:v>1.94489193548092E8</c:v>
                </c:pt>
                <c:pt idx="136">
                  <c:v>2.06162434944849E8</c:v>
                </c:pt>
                <c:pt idx="137">
                  <c:v>1.64534116080785E8</c:v>
                </c:pt>
                <c:pt idx="138">
                  <c:v>1.94587917724101E8</c:v>
                </c:pt>
                <c:pt idx="139">
                  <c:v>2.16992770570854E8</c:v>
                </c:pt>
                <c:pt idx="140">
                  <c:v>2.26119486501064E8</c:v>
                </c:pt>
                <c:pt idx="141">
                  <c:v>2.51245883841063E8</c:v>
                </c:pt>
                <c:pt idx="142">
                  <c:v>2.97485176303172E8</c:v>
                </c:pt>
                <c:pt idx="143">
                  <c:v>3.28453383156332E8</c:v>
                </c:pt>
                <c:pt idx="144">
                  <c:v>3.31310927589792E8</c:v>
                </c:pt>
                <c:pt idx="145">
                  <c:v>3.31310927589792E8</c:v>
                </c:pt>
              </c:numCache>
            </c:numRef>
          </c:yVal>
          <c:smooth val="1"/>
        </c:ser>
        <c:dLbls>
          <c:showLegendKey val="0"/>
          <c:showVal val="0"/>
          <c:showCatName val="0"/>
          <c:showSerName val="0"/>
          <c:showPercent val="0"/>
          <c:showBubbleSize val="0"/>
        </c:dLbls>
        <c:axId val="-2115673976"/>
        <c:axId val="-2115668600"/>
      </c:scatterChart>
      <c:valAx>
        <c:axId val="-2115673976"/>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668600"/>
        <c:crosses val="autoZero"/>
        <c:crossBetween val="midCat"/>
      </c:valAx>
      <c:valAx>
        <c:axId val="-2115668600"/>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673976"/>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wMode val="edge"/>
          <c:hMode val="edge"/>
          <c:x val="0.128715654424316"/>
          <c:y val="0.068"/>
          <c:w val="0.296873244865371"/>
          <c:h val="0.218"/>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Returns_All!$I$157</c:f>
          <c:strCache>
            <c:ptCount val="1"/>
            <c:pt idx="0">
              <c:v>Portfolio Growth (Real) 1871 - 2015</c:v>
            </c:pt>
          </c:strCache>
        </c:strRef>
      </c:tx>
      <c:layout>
        <c:manualLayout>
          <c:xMode val="edge"/>
          <c:yMode val="edge"/>
          <c:x val="0.384117477011178"/>
          <c:y val="0.0738461538461538"/>
        </c:manualLayout>
      </c:layout>
      <c:overlay val="1"/>
      <c:spPr>
        <a:solidFill>
          <a:srgbClr val="FFFFFF"/>
        </a:solidFill>
        <a:ln>
          <a:solidFill>
            <a:schemeClr val="tx1"/>
          </a:solidFill>
        </a:ln>
      </c:spPr>
    </c:title>
    <c:autoTitleDeleted val="0"/>
    <c:plotArea>
      <c:layout>
        <c:manualLayout>
          <c:layoutTarget val="inner"/>
          <c:xMode val="edge"/>
          <c:yMode val="edge"/>
          <c:x val="0.114068546953484"/>
          <c:y val="0.0521978722176986"/>
          <c:w val="0.86311867194803"/>
          <c:h val="0.804946134725563"/>
        </c:manualLayout>
      </c:layout>
      <c:scatterChart>
        <c:scatterStyle val="line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Returns_All!$Z$339:$Z$484</c:f>
              <c:numCache>
                <c:formatCode>#,##0</c:formatCode>
                <c:ptCount val="146"/>
                <c:pt idx="0">
                  <c:v>10859.62028544014</c:v>
                </c:pt>
                <c:pt idx="1">
                  <c:v>11519.51220890418</c:v>
                </c:pt>
                <c:pt idx="2">
                  <c:v>12221.40780004911</c:v>
                </c:pt>
                <c:pt idx="3">
                  <c:v>13985.83876471016</c:v>
                </c:pt>
                <c:pt idx="4">
                  <c:v>15616.02228132937</c:v>
                </c:pt>
                <c:pt idx="5">
                  <c:v>14527.05278236764</c:v>
                </c:pt>
                <c:pt idx="6">
                  <c:v>17300.29238879856</c:v>
                </c:pt>
                <c:pt idx="7">
                  <c:v>21431.94405147965</c:v>
                </c:pt>
                <c:pt idx="8">
                  <c:v>22821.02305584948</c:v>
                </c:pt>
                <c:pt idx="9">
                  <c:v>28767.10772444145</c:v>
                </c:pt>
                <c:pt idx="10">
                  <c:v>27012.60080517867</c:v>
                </c:pt>
                <c:pt idx="11">
                  <c:v>28480.18967806013</c:v>
                </c:pt>
                <c:pt idx="12">
                  <c:v>30032.726326099</c:v>
                </c:pt>
                <c:pt idx="13">
                  <c:v>31487.22398551941</c:v>
                </c:pt>
                <c:pt idx="14">
                  <c:v>38811.85355156166</c:v>
                </c:pt>
                <c:pt idx="15">
                  <c:v>41759.74790911409</c:v>
                </c:pt>
                <c:pt idx="16">
                  <c:v>40352.38512611958</c:v>
                </c:pt>
                <c:pt idx="17">
                  <c:v>43784.12380721379</c:v>
                </c:pt>
                <c:pt idx="18">
                  <c:v>48429.09962537226</c:v>
                </c:pt>
                <c:pt idx="19">
                  <c:v>45559.4206059416</c:v>
                </c:pt>
                <c:pt idx="20">
                  <c:v>55663.97027079762</c:v>
                </c:pt>
                <c:pt idx="21">
                  <c:v>53105.74167341516</c:v>
                </c:pt>
                <c:pt idx="22">
                  <c:v>55388.12813268566</c:v>
                </c:pt>
                <c:pt idx="23">
                  <c:v>59994.97778076574</c:v>
                </c:pt>
                <c:pt idx="24">
                  <c:v>60672.40531776255</c:v>
                </c:pt>
                <c:pt idx="25">
                  <c:v>65479.06733703211</c:v>
                </c:pt>
                <c:pt idx="26">
                  <c:v>72524.28367269612</c:v>
                </c:pt>
                <c:pt idx="27">
                  <c:v>86419.54520550909</c:v>
                </c:pt>
                <c:pt idx="28">
                  <c:v>76071.98837848391</c:v>
                </c:pt>
                <c:pt idx="29">
                  <c:v>90565.0806069708</c:v>
                </c:pt>
                <c:pt idx="30">
                  <c:v>101778.6376775638</c:v>
                </c:pt>
                <c:pt idx="31">
                  <c:v>99104.1200155547</c:v>
                </c:pt>
                <c:pt idx="32">
                  <c:v>90764.45960939991</c:v>
                </c:pt>
                <c:pt idx="33">
                  <c:v>110129.1363504579</c:v>
                </c:pt>
                <c:pt idx="34">
                  <c:v>128810.7759872095</c:v>
                </c:pt>
                <c:pt idx="35">
                  <c:v>124464.3284405969</c:v>
                </c:pt>
                <c:pt idx="36">
                  <c:v>103358.0491119065</c:v>
                </c:pt>
                <c:pt idx="37">
                  <c:v>131133.264924069</c:v>
                </c:pt>
                <c:pt idx="38">
                  <c:v>134178.0409080712</c:v>
                </c:pt>
                <c:pt idx="39">
                  <c:v>141211.4304785996</c:v>
                </c:pt>
                <c:pt idx="40">
                  <c:v>147558.9794173149</c:v>
                </c:pt>
                <c:pt idx="41">
                  <c:v>145838.7884592004</c:v>
                </c:pt>
                <c:pt idx="42">
                  <c:v>138853.6516419294</c:v>
                </c:pt>
                <c:pt idx="43">
                  <c:v>132644.7916666877</c:v>
                </c:pt>
                <c:pt idx="44">
                  <c:v>161365.9309483361</c:v>
                </c:pt>
                <c:pt idx="45">
                  <c:v>154253.916790581</c:v>
                </c:pt>
                <c:pt idx="46">
                  <c:v>110127.7274486942</c:v>
                </c:pt>
                <c:pt idx="47">
                  <c:v>107095.0554420576</c:v>
                </c:pt>
                <c:pt idx="48">
                  <c:v>106114.2004857675</c:v>
                </c:pt>
                <c:pt idx="49">
                  <c:v>95943.65104911585</c:v>
                </c:pt>
                <c:pt idx="50">
                  <c:v>118329.8459674802</c:v>
                </c:pt>
                <c:pt idx="51">
                  <c:v>147940.8720460412</c:v>
                </c:pt>
                <c:pt idx="52">
                  <c:v>151323.8495893257</c:v>
                </c:pt>
                <c:pt idx="53">
                  <c:v>185988.452018725</c:v>
                </c:pt>
                <c:pt idx="54">
                  <c:v>220041.2676997409</c:v>
                </c:pt>
                <c:pt idx="55">
                  <c:v>249004.8440961794</c:v>
                </c:pt>
                <c:pt idx="56">
                  <c:v>335040.8835197336</c:v>
                </c:pt>
                <c:pt idx="57">
                  <c:v>484382.9792234424</c:v>
                </c:pt>
                <c:pt idx="58">
                  <c:v>446406.7940930824</c:v>
                </c:pt>
                <c:pt idx="59">
                  <c:v>383974.6581864249</c:v>
                </c:pt>
                <c:pt idx="60">
                  <c:v>260030.1586859469</c:v>
                </c:pt>
                <c:pt idx="61">
                  <c:v>270668.0589390574</c:v>
                </c:pt>
                <c:pt idx="62">
                  <c:v>387501.1984782418</c:v>
                </c:pt>
                <c:pt idx="63">
                  <c:v>352190.4286160337</c:v>
                </c:pt>
                <c:pt idx="64">
                  <c:v>509968.8191577782</c:v>
                </c:pt>
                <c:pt idx="65">
                  <c:v>649764.8341547608</c:v>
                </c:pt>
                <c:pt idx="66">
                  <c:v>460667.5944155686</c:v>
                </c:pt>
                <c:pt idx="67">
                  <c:v>531897.120204222</c:v>
                </c:pt>
                <c:pt idx="68">
                  <c:v>553515.627047216</c:v>
                </c:pt>
                <c:pt idx="69">
                  <c:v>504133.0635068665</c:v>
                </c:pt>
                <c:pt idx="70">
                  <c:v>418195.2108254943</c:v>
                </c:pt>
                <c:pt idx="71">
                  <c:v>456745.069708722</c:v>
                </c:pt>
                <c:pt idx="72">
                  <c:v>538210.0575545742</c:v>
                </c:pt>
                <c:pt idx="73">
                  <c:v>619827.400712936</c:v>
                </c:pt>
                <c:pt idx="74">
                  <c:v>823007.2374915885</c:v>
                </c:pt>
                <c:pt idx="75">
                  <c:v>620887.591324488</c:v>
                </c:pt>
                <c:pt idx="76">
                  <c:v>579601.4692388675</c:v>
                </c:pt>
                <c:pt idx="77">
                  <c:v>625957.0687499715</c:v>
                </c:pt>
                <c:pt idx="78">
                  <c:v>744342.7544892564</c:v>
                </c:pt>
                <c:pt idx="79">
                  <c:v>912618.1347511223</c:v>
                </c:pt>
                <c:pt idx="80">
                  <c:v>1.04905002173501E6</c:v>
                </c:pt>
                <c:pt idx="81">
                  <c:v>1.18761742407049E6</c:v>
                </c:pt>
                <c:pt idx="82">
                  <c:v>1.20804121133458E6</c:v>
                </c:pt>
                <c:pt idx="83">
                  <c:v>1.75847359281406E6</c:v>
                </c:pt>
                <c:pt idx="84">
                  <c:v>2.2422907487062E6</c:v>
                </c:pt>
                <c:pt idx="85">
                  <c:v>2.32364797836308E6</c:v>
                </c:pt>
                <c:pt idx="86">
                  <c:v>2.12226967081801E6</c:v>
                </c:pt>
                <c:pt idx="87">
                  <c:v>2.90424770598135E6</c:v>
                </c:pt>
                <c:pt idx="88">
                  <c:v>3.09081409375209E6</c:v>
                </c:pt>
                <c:pt idx="89">
                  <c:v>3.23108326125936E6</c:v>
                </c:pt>
                <c:pt idx="90">
                  <c:v>3.81394910166354E6</c:v>
                </c:pt>
                <c:pt idx="91">
                  <c:v>3.66474858070536E6</c:v>
                </c:pt>
                <c:pt idx="92">
                  <c:v>4.35478886946595E6</c:v>
                </c:pt>
                <c:pt idx="93">
                  <c:v>4.99438303410382E6</c:v>
                </c:pt>
                <c:pt idx="94">
                  <c:v>5.46008394964735E6</c:v>
                </c:pt>
                <c:pt idx="95">
                  <c:v>4.94317218846478E6</c:v>
                </c:pt>
                <c:pt idx="96">
                  <c:v>5.52553409638975E6</c:v>
                </c:pt>
                <c:pt idx="97">
                  <c:v>5.85019960356163E6</c:v>
                </c:pt>
                <c:pt idx="98">
                  <c:v>5.04990789758242E6</c:v>
                </c:pt>
                <c:pt idx="99">
                  <c:v>5.13542247559306E6</c:v>
                </c:pt>
                <c:pt idx="100">
                  <c:v>5.65547903154249E6</c:v>
                </c:pt>
                <c:pt idx="101">
                  <c:v>6.42999588823989E6</c:v>
                </c:pt>
                <c:pt idx="102">
                  <c:v>4.97801531645981E6</c:v>
                </c:pt>
                <c:pt idx="103">
                  <c:v>3.52168239833193E6</c:v>
                </c:pt>
                <c:pt idx="104">
                  <c:v>4.55098025037579E6</c:v>
                </c:pt>
                <c:pt idx="105">
                  <c:v>4.83256722859631E6</c:v>
                </c:pt>
                <c:pt idx="106">
                  <c:v>4.14601237915576E6</c:v>
                </c:pt>
                <c:pt idx="107">
                  <c:v>4.40995087516411E6</c:v>
                </c:pt>
                <c:pt idx="108">
                  <c:v>4.54374835927654E6</c:v>
                </c:pt>
                <c:pt idx="109">
                  <c:v>5.0605592439552E6</c:v>
                </c:pt>
                <c:pt idx="110">
                  <c:v>4.33329200073405E6</c:v>
                </c:pt>
                <c:pt idx="111">
                  <c:v>5.37976653153779E6</c:v>
                </c:pt>
                <c:pt idx="112">
                  <c:v>6.22693836740809E6</c:v>
                </c:pt>
                <c:pt idx="113">
                  <c:v>6.45169845785652E6</c:v>
                </c:pt>
                <c:pt idx="114">
                  <c:v>7.82425036581732E6</c:v>
                </c:pt>
                <c:pt idx="115">
                  <c:v>1.01339549401354E7</c:v>
                </c:pt>
                <c:pt idx="116">
                  <c:v>9.51396892513185E6</c:v>
                </c:pt>
                <c:pt idx="117">
                  <c:v>1.0728737107391E7</c:v>
                </c:pt>
                <c:pt idx="118">
                  <c:v>1.26032834088383E7</c:v>
                </c:pt>
                <c:pt idx="119">
                  <c:v>1.18016416691526E7</c:v>
                </c:pt>
                <c:pt idx="120">
                  <c:v>1.50548898878464E7</c:v>
                </c:pt>
                <c:pt idx="121">
                  <c:v>1.57403604619987E7</c:v>
                </c:pt>
                <c:pt idx="122">
                  <c:v>1.70900736626486E7</c:v>
                </c:pt>
                <c:pt idx="123">
                  <c:v>1.68318140172801E7</c:v>
                </c:pt>
                <c:pt idx="124">
                  <c:v>2.2151479034293E7</c:v>
                </c:pt>
                <c:pt idx="125">
                  <c:v>2.72330645971703E7</c:v>
                </c:pt>
                <c:pt idx="126">
                  <c:v>3.41930569775867E7</c:v>
                </c:pt>
                <c:pt idx="127">
                  <c:v>4.41641851527774E7</c:v>
                </c:pt>
                <c:pt idx="128">
                  <c:v>4.96548636232649E7</c:v>
                </c:pt>
                <c:pt idx="129">
                  <c:v>4.55642695174095E7</c:v>
                </c:pt>
                <c:pt idx="130">
                  <c:v>3.8854950149212E7</c:v>
                </c:pt>
                <c:pt idx="131">
                  <c:v>3.0389084718882E7</c:v>
                </c:pt>
                <c:pt idx="132">
                  <c:v>3.82577271301421E7</c:v>
                </c:pt>
                <c:pt idx="133">
                  <c:v>3.92822368465611E7</c:v>
                </c:pt>
                <c:pt idx="134">
                  <c:v>4.18181747845224E7</c:v>
                </c:pt>
                <c:pt idx="135">
                  <c:v>4.62005022937027E7</c:v>
                </c:pt>
                <c:pt idx="136">
                  <c:v>4.38544623262211E7</c:v>
                </c:pt>
                <c:pt idx="137">
                  <c:v>2.84709491937206E7</c:v>
                </c:pt>
                <c:pt idx="138">
                  <c:v>3.66455120101189E7</c:v>
                </c:pt>
                <c:pt idx="139">
                  <c:v>4.19322112747159E7</c:v>
                </c:pt>
                <c:pt idx="140">
                  <c:v>4.21440503869289E7</c:v>
                </c:pt>
                <c:pt idx="141">
                  <c:v>4.8123545784067E7</c:v>
                </c:pt>
                <c:pt idx="142">
                  <c:v>5.94404541770383E7</c:v>
                </c:pt>
                <c:pt idx="143">
                  <c:v>6.69214836116486E7</c:v>
                </c:pt>
                <c:pt idx="144">
                  <c:v>6.42781007167508E7</c:v>
                </c:pt>
                <c:pt idx="145">
                  <c:v>6.42781007167508E7</c:v>
                </c:pt>
              </c:numCache>
            </c:numRef>
          </c:yVal>
          <c:smooth val="0"/>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Returns_All!$V$339:$V$484</c:f>
              <c:numCache>
                <c:formatCode>#,##0</c:formatCode>
                <c:ptCount val="146"/>
                <c:pt idx="0">
                  <c:v>10859.62028544014</c:v>
                </c:pt>
                <c:pt idx="1">
                  <c:v>11497.14911149892</c:v>
                </c:pt>
                <c:pt idx="2">
                  <c:v>12253.60933335154</c:v>
                </c:pt>
                <c:pt idx="3">
                  <c:v>14036.70699803743</c:v>
                </c:pt>
                <c:pt idx="4">
                  <c:v>15673.94421896181</c:v>
                </c:pt>
                <c:pt idx="5">
                  <c:v>14599.9778307085</c:v>
                </c:pt>
                <c:pt idx="6">
                  <c:v>17328.55300144677</c:v>
                </c:pt>
                <c:pt idx="7">
                  <c:v>21585.53755703791</c:v>
                </c:pt>
                <c:pt idx="8">
                  <c:v>23304.47445459445</c:v>
                </c:pt>
                <c:pt idx="9">
                  <c:v>29135.80530499252</c:v>
                </c:pt>
                <c:pt idx="10">
                  <c:v>27409.69142529217</c:v>
                </c:pt>
                <c:pt idx="11">
                  <c:v>28892.7444215822</c:v>
                </c:pt>
                <c:pt idx="12">
                  <c:v>30678.17173245711</c:v>
                </c:pt>
                <c:pt idx="13">
                  <c:v>32572.6246352328</c:v>
                </c:pt>
                <c:pt idx="14">
                  <c:v>39977.34753959345</c:v>
                </c:pt>
                <c:pt idx="15">
                  <c:v>42683.31705389507</c:v>
                </c:pt>
                <c:pt idx="16">
                  <c:v>41443.42059955356</c:v>
                </c:pt>
                <c:pt idx="17">
                  <c:v>45031.42741104734</c:v>
                </c:pt>
                <c:pt idx="18">
                  <c:v>49630.11974495239</c:v>
                </c:pt>
                <c:pt idx="19">
                  <c:v>47018.8406584317</c:v>
                </c:pt>
                <c:pt idx="20">
                  <c:v>57043.79265236415</c:v>
                </c:pt>
                <c:pt idx="21">
                  <c:v>53883.49649693678</c:v>
                </c:pt>
                <c:pt idx="22">
                  <c:v>58488.0188034352</c:v>
                </c:pt>
                <c:pt idx="23">
                  <c:v>63396.00029721342</c:v>
                </c:pt>
                <c:pt idx="24">
                  <c:v>63943.31845617171</c:v>
                </c:pt>
                <c:pt idx="25">
                  <c:v>69200.97206115795</c:v>
                </c:pt>
                <c:pt idx="26">
                  <c:v>76149.03980407963</c:v>
                </c:pt>
                <c:pt idx="27">
                  <c:v>89316.2476938286</c:v>
                </c:pt>
                <c:pt idx="28">
                  <c:v>78327.65305004517</c:v>
                </c:pt>
                <c:pt idx="29">
                  <c:v>91498.58723555194</c:v>
                </c:pt>
                <c:pt idx="30">
                  <c:v>100390.4227374461</c:v>
                </c:pt>
                <c:pt idx="31">
                  <c:v>96577.47115110326</c:v>
                </c:pt>
                <c:pt idx="32">
                  <c:v>92773.45944114016</c:v>
                </c:pt>
                <c:pt idx="33">
                  <c:v>108703.8047965319</c:v>
                </c:pt>
                <c:pt idx="34">
                  <c:v>122926.6736045511</c:v>
                </c:pt>
                <c:pt idx="35">
                  <c:v>118863.1072715334</c:v>
                </c:pt>
                <c:pt idx="36">
                  <c:v>106369.4468459253</c:v>
                </c:pt>
                <c:pt idx="37">
                  <c:v>129454.936911555</c:v>
                </c:pt>
                <c:pt idx="38">
                  <c:v>128548.0544065605</c:v>
                </c:pt>
                <c:pt idx="39">
                  <c:v>138287.2277527448</c:v>
                </c:pt>
                <c:pt idx="40">
                  <c:v>144445.0238695068</c:v>
                </c:pt>
                <c:pt idx="41">
                  <c:v>140750.0264532524</c:v>
                </c:pt>
                <c:pt idx="42">
                  <c:v>137780.0023863009</c:v>
                </c:pt>
                <c:pt idx="43">
                  <c:v>134925.3252989717</c:v>
                </c:pt>
                <c:pt idx="44">
                  <c:v>157532.8147282894</c:v>
                </c:pt>
                <c:pt idx="45">
                  <c:v>148637.075941205</c:v>
                </c:pt>
                <c:pt idx="46">
                  <c:v>111358.8257522719</c:v>
                </c:pt>
                <c:pt idx="47">
                  <c:v>106035.8884816895</c:v>
                </c:pt>
                <c:pt idx="48">
                  <c:v>101180.1793180564</c:v>
                </c:pt>
                <c:pt idx="49">
                  <c:v>96062.66754436235</c:v>
                </c:pt>
                <c:pt idx="50">
                  <c:v>119235.4708379074</c:v>
                </c:pt>
                <c:pt idx="51">
                  <c:v>142398.3086809147</c:v>
                </c:pt>
                <c:pt idx="52">
                  <c:v>146024.8490496934</c:v>
                </c:pt>
                <c:pt idx="53">
                  <c:v>172020.0456046906</c:v>
                </c:pt>
                <c:pt idx="54">
                  <c:v>193837.9185280848</c:v>
                </c:pt>
                <c:pt idx="55">
                  <c:v>215465.178929905</c:v>
                </c:pt>
                <c:pt idx="56">
                  <c:v>268039.5725686153</c:v>
                </c:pt>
                <c:pt idx="57">
                  <c:v>347155.3980606223</c:v>
                </c:pt>
                <c:pt idx="58">
                  <c:v>339552.8286170729</c:v>
                </c:pt>
                <c:pt idx="59">
                  <c:v>326401.2221949393</c:v>
                </c:pt>
                <c:pt idx="60">
                  <c:v>270608.33701114</c:v>
                </c:pt>
                <c:pt idx="61">
                  <c:v>294609.9643887486</c:v>
                </c:pt>
                <c:pt idx="62">
                  <c:v>388310.5816093357</c:v>
                </c:pt>
                <c:pt idx="63">
                  <c:v>366279.0030506505</c:v>
                </c:pt>
                <c:pt idx="64">
                  <c:v>482130.9959712823</c:v>
                </c:pt>
                <c:pt idx="65">
                  <c:v>570241.314034692</c:v>
                </c:pt>
                <c:pt idx="66">
                  <c:v>467643.3453634811</c:v>
                </c:pt>
                <c:pt idx="67">
                  <c:v>524522.3685257993</c:v>
                </c:pt>
                <c:pt idx="68">
                  <c:v>545208.6073630474</c:v>
                </c:pt>
                <c:pt idx="69">
                  <c:v>515999.4901132836</c:v>
                </c:pt>
                <c:pt idx="70">
                  <c:v>440285.7431003001</c:v>
                </c:pt>
                <c:pt idx="71">
                  <c:v>461196.6512559608</c:v>
                </c:pt>
                <c:pt idx="72">
                  <c:v>515663.2252404923</c:v>
                </c:pt>
                <c:pt idx="73">
                  <c:v>568149.7850533685</c:v>
                </c:pt>
                <c:pt idx="74">
                  <c:v>690679.6058808286</c:v>
                </c:pt>
                <c:pt idx="75">
                  <c:v>547730.329514107</c:v>
                </c:pt>
                <c:pt idx="76">
                  <c:v>508259.2411756678</c:v>
                </c:pt>
                <c:pt idx="77">
                  <c:v>536514.1328249891</c:v>
                </c:pt>
                <c:pt idx="78">
                  <c:v>611112.7790840982</c:v>
                </c:pt>
                <c:pt idx="79">
                  <c:v>682432.6023609507</c:v>
                </c:pt>
                <c:pt idx="80">
                  <c:v>740029.1462675303</c:v>
                </c:pt>
                <c:pt idx="81">
                  <c:v>805107.7188699286</c:v>
                </c:pt>
                <c:pt idx="82">
                  <c:v>826393.2266568134</c:v>
                </c:pt>
                <c:pt idx="83">
                  <c:v>1.06833904977772E6</c:v>
                </c:pt>
                <c:pt idx="84">
                  <c:v>1.24886208295601E6</c:v>
                </c:pt>
                <c:pt idx="85">
                  <c:v>1.2628875170738E6</c:v>
                </c:pt>
                <c:pt idx="86">
                  <c:v>1.20720790364883E6</c:v>
                </c:pt>
                <c:pt idx="87">
                  <c:v>1.46546467513437E6</c:v>
                </c:pt>
                <c:pt idx="88">
                  <c:v>1.51748855476065E6</c:v>
                </c:pt>
                <c:pt idx="89">
                  <c:v>1.6098730634056E6</c:v>
                </c:pt>
                <c:pt idx="90">
                  <c:v>1.79883209360239E6</c:v>
                </c:pt>
                <c:pt idx="91">
                  <c:v>1.78599056626521E6</c:v>
                </c:pt>
                <c:pt idx="92">
                  <c:v>1.99127159578293E6</c:v>
                </c:pt>
                <c:pt idx="93">
                  <c:v>2.19271679757703E6</c:v>
                </c:pt>
                <c:pt idx="94">
                  <c:v>2.31111255821039E6</c:v>
                </c:pt>
                <c:pt idx="95">
                  <c:v>2.1930880959476E6</c:v>
                </c:pt>
                <c:pt idx="96">
                  <c:v>2.32567335975764E6</c:v>
                </c:pt>
                <c:pt idx="97">
                  <c:v>2.393828346592E6</c:v>
                </c:pt>
                <c:pt idx="98">
                  <c:v>2.13006314176416E6</c:v>
                </c:pt>
                <c:pt idx="99">
                  <c:v>2.24146596053787E6</c:v>
                </c:pt>
                <c:pt idx="100">
                  <c:v>2.41673834189657E6</c:v>
                </c:pt>
                <c:pt idx="101">
                  <c:v>2.61581000275642E6</c:v>
                </c:pt>
                <c:pt idx="102">
                  <c:v>2.21350633958188E6</c:v>
                </c:pt>
                <c:pt idx="103">
                  <c:v>1.76478888157528E6</c:v>
                </c:pt>
                <c:pt idx="104">
                  <c:v>2.07975515519709E6</c:v>
                </c:pt>
                <c:pt idx="105">
                  <c:v>2.20561683578436E6</c:v>
                </c:pt>
                <c:pt idx="106">
                  <c:v>1.98603037100139E6</c:v>
                </c:pt>
                <c:pt idx="107">
                  <c:v>2.01442817326391E6</c:v>
                </c:pt>
                <c:pt idx="108">
                  <c:v>1.97766035616938E6</c:v>
                </c:pt>
                <c:pt idx="109">
                  <c:v>2.0512320178871E6</c:v>
                </c:pt>
                <c:pt idx="110">
                  <c:v>1.84904772029566E6</c:v>
                </c:pt>
                <c:pt idx="111">
                  <c:v>2.32668802178545E6</c:v>
                </c:pt>
                <c:pt idx="112">
                  <c:v>2.56624238734467E6</c:v>
                </c:pt>
                <c:pt idx="113">
                  <c:v>2.71301198788443E6</c:v>
                </c:pt>
                <c:pt idx="114">
                  <c:v>3.23543096292807E6</c:v>
                </c:pt>
                <c:pt idx="115">
                  <c:v>4.02982896220827E6</c:v>
                </c:pt>
                <c:pt idx="116">
                  <c:v>3.82907325203848E6</c:v>
                </c:pt>
                <c:pt idx="117">
                  <c:v>4.14189814475904E6</c:v>
                </c:pt>
                <c:pt idx="118">
                  <c:v>4.71151115756758E6</c:v>
                </c:pt>
                <c:pt idx="119">
                  <c:v>4.5929666201217E6</c:v>
                </c:pt>
                <c:pt idx="120">
                  <c:v>5.55370415073428E6</c:v>
                </c:pt>
                <c:pt idx="121">
                  <c:v>5.84034902036488E6</c:v>
                </c:pt>
                <c:pt idx="122">
                  <c:v>6.30890638858315E6</c:v>
                </c:pt>
                <c:pt idx="123">
                  <c:v>6.08479329011139E6</c:v>
                </c:pt>
                <c:pt idx="124">
                  <c:v>7.6121625966411E6</c:v>
                </c:pt>
                <c:pt idx="125">
                  <c:v>8.61832874502129E6</c:v>
                </c:pt>
                <c:pt idx="126">
                  <c:v>1.02487315958657E7</c:v>
                </c:pt>
                <c:pt idx="127">
                  <c:v>1.23451441205307E7</c:v>
                </c:pt>
                <c:pt idx="128">
                  <c:v>1.29852928676339E7</c:v>
                </c:pt>
                <c:pt idx="129">
                  <c:v>1.28722955680909E7</c:v>
                </c:pt>
                <c:pt idx="130">
                  <c:v>1.20333488379803E7</c:v>
                </c:pt>
                <c:pt idx="131">
                  <c:v>1.08494664632172E7</c:v>
                </c:pt>
                <c:pt idx="132">
                  <c:v>1.26324468083012E7</c:v>
                </c:pt>
                <c:pt idx="133">
                  <c:v>1.27880031656261E7</c:v>
                </c:pt>
                <c:pt idx="134">
                  <c:v>1.32156705214639E7</c:v>
                </c:pt>
                <c:pt idx="135">
                  <c:v>1.40560530880139E7</c:v>
                </c:pt>
                <c:pt idx="136">
                  <c:v>1.40600089497291E7</c:v>
                </c:pt>
                <c:pt idx="137">
                  <c:v>1.16650570673677E7</c:v>
                </c:pt>
                <c:pt idx="138">
                  <c:v>1.34842643718992E7</c:v>
                </c:pt>
                <c:pt idx="139">
                  <c:v>1.4900075329134E7</c:v>
                </c:pt>
                <c:pt idx="140">
                  <c:v>1.53210006836262E7</c:v>
                </c:pt>
                <c:pt idx="141">
                  <c:v>1.66703361402311E7</c:v>
                </c:pt>
                <c:pt idx="142">
                  <c:v>1.88162927027858E7</c:v>
                </c:pt>
                <c:pt idx="143">
                  <c:v>2.05945186923222E7</c:v>
                </c:pt>
                <c:pt idx="144">
                  <c:v>2.01373728732428E7</c:v>
                </c:pt>
                <c:pt idx="145">
                  <c:v>2.01373728732428E7</c:v>
                </c:pt>
              </c:numCache>
            </c:numRef>
          </c:yVal>
          <c:smooth val="0"/>
        </c:ser>
        <c:ser>
          <c:idx val="0"/>
          <c:order val="2"/>
          <c:tx>
            <c:v>C64</c:v>
          </c:tx>
          <c:spPr>
            <a:ln w="12700">
              <a:solidFill>
                <a:srgbClr val="000080"/>
              </a:solidFill>
              <a:prstDash val="solid"/>
            </a:ln>
          </c:spPr>
          <c:marker>
            <c:symbol val="circle"/>
            <c:size val="5"/>
            <c:spPr>
              <a:solidFill>
                <a:srgbClr val="00FFFF"/>
              </a:solidFill>
              <a:ln>
                <a:solidFill>
                  <a:srgbClr val="000000"/>
                </a:solidFill>
                <a:prstDash val="solid"/>
              </a:ln>
            </c:spPr>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Returns_All!$Y$339:$Y$484</c:f>
              <c:numCache>
                <c:formatCode>#,##0</c:formatCode>
                <c:ptCount val="146"/>
                <c:pt idx="0">
                  <c:v>10839.98130919132</c:v>
                </c:pt>
                <c:pt idx="1">
                  <c:v>11455.56656711281</c:v>
                </c:pt>
                <c:pt idx="2">
                  <c:v>12187.01975178297</c:v>
                </c:pt>
                <c:pt idx="3">
                  <c:v>13935.01637037781</c:v>
                </c:pt>
                <c:pt idx="4">
                  <c:v>15532.11480751675</c:v>
                </c:pt>
                <c:pt idx="5">
                  <c:v>14441.37206294505</c:v>
                </c:pt>
                <c:pt idx="6">
                  <c:v>17109.06869123172</c:v>
                </c:pt>
                <c:pt idx="7">
                  <c:v>21273.55262863124</c:v>
                </c:pt>
                <c:pt idx="8">
                  <c:v>22926.49004455586</c:v>
                </c:pt>
                <c:pt idx="9">
                  <c:v>28611.53246006745</c:v>
                </c:pt>
                <c:pt idx="10">
                  <c:v>26867.53874687812</c:v>
                </c:pt>
                <c:pt idx="11">
                  <c:v>28269.81233929962</c:v>
                </c:pt>
                <c:pt idx="12">
                  <c:v>29962.03648459924</c:v>
                </c:pt>
                <c:pt idx="13">
                  <c:v>31754.03096503182</c:v>
                </c:pt>
                <c:pt idx="14">
                  <c:v>38902.44079636708</c:v>
                </c:pt>
                <c:pt idx="15">
                  <c:v>41460.52858590087</c:v>
                </c:pt>
                <c:pt idx="16">
                  <c:v>40182.8729144261</c:v>
                </c:pt>
                <c:pt idx="17">
                  <c:v>43582.37420545273</c:v>
                </c:pt>
                <c:pt idx="18">
                  <c:v>47945.98262291322</c:v>
                </c:pt>
                <c:pt idx="19">
                  <c:v>45340.53854526392</c:v>
                </c:pt>
                <c:pt idx="20">
                  <c:v>54908.11317513735</c:v>
                </c:pt>
                <c:pt idx="21">
                  <c:v>51772.30991362834</c:v>
                </c:pt>
                <c:pt idx="22">
                  <c:v>56092.9748036249</c:v>
                </c:pt>
                <c:pt idx="23">
                  <c:v>60689.45761785762</c:v>
                </c:pt>
                <c:pt idx="24">
                  <c:v>61102.48529074129</c:v>
                </c:pt>
                <c:pt idx="25">
                  <c:v>66006.18964451688</c:v>
                </c:pt>
                <c:pt idx="26">
                  <c:v>72502.29880053194</c:v>
                </c:pt>
                <c:pt idx="27">
                  <c:v>84885.6937656871</c:v>
                </c:pt>
                <c:pt idx="28">
                  <c:v>74307.11852958635</c:v>
                </c:pt>
                <c:pt idx="29">
                  <c:v>86645.2331126156</c:v>
                </c:pt>
                <c:pt idx="30">
                  <c:v>94893.77079304676</c:v>
                </c:pt>
                <c:pt idx="31">
                  <c:v>91124.17656398733</c:v>
                </c:pt>
                <c:pt idx="32">
                  <c:v>87374.44367640092</c:v>
                </c:pt>
                <c:pt idx="33">
                  <c:v>102193.4057455901</c:v>
                </c:pt>
                <c:pt idx="34">
                  <c:v>115355.9575505789</c:v>
                </c:pt>
                <c:pt idx="35">
                  <c:v>111339.9932753068</c:v>
                </c:pt>
                <c:pt idx="36">
                  <c:v>99453.76900353951</c:v>
                </c:pt>
                <c:pt idx="37">
                  <c:v>120820.5929647717</c:v>
                </c:pt>
                <c:pt idx="38">
                  <c:v>119757.4678624158</c:v>
                </c:pt>
                <c:pt idx="39">
                  <c:v>128595.7440139425</c:v>
                </c:pt>
                <c:pt idx="40">
                  <c:v>134077.9862794634</c:v>
                </c:pt>
                <c:pt idx="41">
                  <c:v>130411.4423578827</c:v>
                </c:pt>
                <c:pt idx="42">
                  <c:v>127426.5781415853</c:v>
                </c:pt>
                <c:pt idx="43">
                  <c:v>124558.6953487598</c:v>
                </c:pt>
                <c:pt idx="44">
                  <c:v>145167.2263037096</c:v>
                </c:pt>
                <c:pt idx="45">
                  <c:v>136721.4939097309</c:v>
                </c:pt>
                <c:pt idx="46">
                  <c:v>102244.1381737642</c:v>
                </c:pt>
                <c:pt idx="47">
                  <c:v>97180.72546954026</c:v>
                </c:pt>
                <c:pt idx="48">
                  <c:v>92563.19617743444</c:v>
                </c:pt>
                <c:pt idx="49">
                  <c:v>87720.65508415037</c:v>
                </c:pt>
                <c:pt idx="50">
                  <c:v>108683.1244253088</c:v>
                </c:pt>
                <c:pt idx="51">
                  <c:v>129562.2497273892</c:v>
                </c:pt>
                <c:pt idx="52">
                  <c:v>132620.4231757602</c:v>
                </c:pt>
                <c:pt idx="53">
                  <c:v>155947.5208964584</c:v>
                </c:pt>
                <c:pt idx="54">
                  <c:v>175409.9607779606</c:v>
                </c:pt>
                <c:pt idx="55">
                  <c:v>194627.7964787342</c:v>
                </c:pt>
                <c:pt idx="56">
                  <c:v>241682.7318162837</c:v>
                </c:pt>
                <c:pt idx="57">
                  <c:v>312458.4701060319</c:v>
                </c:pt>
                <c:pt idx="58">
                  <c:v>305056.8597724616</c:v>
                </c:pt>
                <c:pt idx="59">
                  <c:v>292702.0073094204</c:v>
                </c:pt>
                <c:pt idx="60">
                  <c:v>242218.3846467646</c:v>
                </c:pt>
                <c:pt idx="61">
                  <c:v>263219.6453835743</c:v>
                </c:pt>
                <c:pt idx="62">
                  <c:v>346315.5347991283</c:v>
                </c:pt>
                <c:pt idx="63">
                  <c:v>326070.133332167</c:v>
                </c:pt>
                <c:pt idx="64">
                  <c:v>428436.150080183</c:v>
                </c:pt>
                <c:pt idx="65">
                  <c:v>505822.2580353204</c:v>
                </c:pt>
                <c:pt idx="66">
                  <c:v>414048.6215775163</c:v>
                </c:pt>
                <c:pt idx="67">
                  <c:v>463568.6395665957</c:v>
                </c:pt>
                <c:pt idx="68">
                  <c:v>480975.7382319151</c:v>
                </c:pt>
                <c:pt idx="69">
                  <c:v>454376.813746972</c:v>
                </c:pt>
                <c:pt idx="70">
                  <c:v>386998.105308481</c:v>
                </c:pt>
                <c:pt idx="71">
                  <c:v>404646.1447421192</c:v>
                </c:pt>
                <c:pt idx="72">
                  <c:v>451618.1712559412</c:v>
                </c:pt>
                <c:pt idx="73">
                  <c:v>496687.1515293487</c:v>
                </c:pt>
                <c:pt idx="74">
                  <c:v>602720.4416480981</c:v>
                </c:pt>
                <c:pt idx="75">
                  <c:v>477102.7786983353</c:v>
                </c:pt>
                <c:pt idx="76">
                  <c:v>441917.6146083914</c:v>
                </c:pt>
                <c:pt idx="77">
                  <c:v>465639.3349919934</c:v>
                </c:pt>
                <c:pt idx="78">
                  <c:v>529424.7241632098</c:v>
                </c:pt>
                <c:pt idx="79">
                  <c:v>590149.1188797604</c:v>
                </c:pt>
                <c:pt idx="80">
                  <c:v>638802.1191759454</c:v>
                </c:pt>
                <c:pt idx="81">
                  <c:v>693721.7186942988</c:v>
                </c:pt>
                <c:pt idx="82">
                  <c:v>710767.5635450098</c:v>
                </c:pt>
                <c:pt idx="83">
                  <c:v>917214.5672271542</c:v>
                </c:pt>
                <c:pt idx="84">
                  <c:v>1.07027193889437E6</c:v>
                </c:pt>
                <c:pt idx="85">
                  <c:v>1.08033056418454E6</c:v>
                </c:pt>
                <c:pt idx="86">
                  <c:v>1.03081504800989E6</c:v>
                </c:pt>
                <c:pt idx="87">
                  <c:v>1.24909295558775E6</c:v>
                </c:pt>
                <c:pt idx="88">
                  <c:v>1.29109256357881E6</c:v>
                </c:pt>
                <c:pt idx="89">
                  <c:v>1.36720212709975E6</c:v>
                </c:pt>
                <c:pt idx="90">
                  <c:v>1.52491829595739E6</c:v>
                </c:pt>
                <c:pt idx="91">
                  <c:v>1.51127269642829E6</c:v>
                </c:pt>
                <c:pt idx="92">
                  <c:v>1.68193720115356E6</c:v>
                </c:pt>
                <c:pt idx="93">
                  <c:v>1.84873836876686E6</c:v>
                </c:pt>
                <c:pt idx="94">
                  <c:v>1.94503442708751E6</c:v>
                </c:pt>
                <c:pt idx="95">
                  <c:v>1.84233636548162E6</c:v>
                </c:pt>
                <c:pt idx="96">
                  <c:v>1.95018672571423E6</c:v>
                </c:pt>
                <c:pt idx="97">
                  <c:v>2.00370172950084E6</c:v>
                </c:pt>
                <c:pt idx="98">
                  <c:v>1.77967409690033E6</c:v>
                </c:pt>
                <c:pt idx="99">
                  <c:v>1.86933779074013E6</c:v>
                </c:pt>
                <c:pt idx="100">
                  <c:v>2.01185783533824E6</c:v>
                </c:pt>
                <c:pt idx="101">
                  <c:v>2.20774143589611E6</c:v>
                </c:pt>
                <c:pt idx="102">
                  <c:v>1.87598285809188E6</c:v>
                </c:pt>
                <c:pt idx="103">
                  <c:v>1.44851014012679E6</c:v>
                </c:pt>
                <c:pt idx="104">
                  <c:v>1.69879640429722E6</c:v>
                </c:pt>
                <c:pt idx="105">
                  <c:v>1.92461908684277E6</c:v>
                </c:pt>
                <c:pt idx="106">
                  <c:v>1.7378020519534E6</c:v>
                </c:pt>
                <c:pt idx="107">
                  <c:v>1.66321128530216E6</c:v>
                </c:pt>
                <c:pt idx="108">
                  <c:v>1.66410600794046E6</c:v>
                </c:pt>
                <c:pt idx="109">
                  <c:v>1.7998565796949E6</c:v>
                </c:pt>
                <c:pt idx="110">
                  <c:v>1.67078879480752E6</c:v>
                </c:pt>
                <c:pt idx="111">
                  <c:v>1.97282987479508E6</c:v>
                </c:pt>
                <c:pt idx="112">
                  <c:v>2.20439386947768E6</c:v>
                </c:pt>
                <c:pt idx="113">
                  <c:v>2.31903813874917E6</c:v>
                </c:pt>
                <c:pt idx="114">
                  <c:v>2.81156341954719E6</c:v>
                </c:pt>
                <c:pt idx="115">
                  <c:v>3.22559783006879E6</c:v>
                </c:pt>
                <c:pt idx="116">
                  <c:v>3.18751063889204E6</c:v>
                </c:pt>
                <c:pt idx="117">
                  <c:v>3.43942947141786E6</c:v>
                </c:pt>
                <c:pt idx="118">
                  <c:v>4.0844318717114E6</c:v>
                </c:pt>
                <c:pt idx="119">
                  <c:v>3.90588749561482E6</c:v>
                </c:pt>
                <c:pt idx="120">
                  <c:v>4.70809322802962E6</c:v>
                </c:pt>
                <c:pt idx="121">
                  <c:v>4.90974600372362E6</c:v>
                </c:pt>
                <c:pt idx="122">
                  <c:v>5.24698675845568E6</c:v>
                </c:pt>
                <c:pt idx="123">
                  <c:v>5.0920990741472E6</c:v>
                </c:pt>
                <c:pt idx="124">
                  <c:v>6.44304038933404E6</c:v>
                </c:pt>
                <c:pt idx="125">
                  <c:v>7.1812113205978E6</c:v>
                </c:pt>
                <c:pt idx="126">
                  <c:v>8.73375715310701E6</c:v>
                </c:pt>
                <c:pt idx="127">
                  <c:v>1.03661678763229E7</c:v>
                </c:pt>
                <c:pt idx="128">
                  <c:v>1.13406974161218E7</c:v>
                </c:pt>
                <c:pt idx="129">
                  <c:v>1.08726629231732E7</c:v>
                </c:pt>
                <c:pt idx="130">
                  <c:v>1.0295396514118E7</c:v>
                </c:pt>
                <c:pt idx="131">
                  <c:v>9.05213706555642E6</c:v>
                </c:pt>
                <c:pt idx="132">
                  <c:v>1.05455968511259E7</c:v>
                </c:pt>
                <c:pt idx="133">
                  <c:v>1.10444495771678E7</c:v>
                </c:pt>
                <c:pt idx="134">
                  <c:v>1.10878453970191E7</c:v>
                </c:pt>
                <c:pt idx="135">
                  <c:v>1.20125132419436E7</c:v>
                </c:pt>
                <c:pt idx="136">
                  <c:v>1.22341939718007E7</c:v>
                </c:pt>
                <c:pt idx="137">
                  <c:v>9.75494824386848E6</c:v>
                </c:pt>
                <c:pt idx="138">
                  <c:v>1.12311503011182E7</c:v>
                </c:pt>
                <c:pt idx="139">
                  <c:v>1.23397366032062E7</c:v>
                </c:pt>
                <c:pt idx="140">
                  <c:v>1.24887760689759E7</c:v>
                </c:pt>
                <c:pt idx="141">
                  <c:v>1.36390696129107E7</c:v>
                </c:pt>
                <c:pt idx="142">
                  <c:v>1.59102737365897E7</c:v>
                </c:pt>
                <c:pt idx="143">
                  <c:v>1.74346413442111E7</c:v>
                </c:pt>
                <c:pt idx="144">
                  <c:v>1.74589561841063E7</c:v>
                </c:pt>
                <c:pt idx="145">
                  <c:v>1.74589561841063E7</c:v>
                </c:pt>
              </c:numCache>
            </c:numRef>
          </c:yVal>
          <c:smooth val="0"/>
        </c:ser>
        <c:dLbls>
          <c:showLegendKey val="0"/>
          <c:showVal val="0"/>
          <c:showCatName val="0"/>
          <c:showSerName val="0"/>
          <c:showPercent val="0"/>
          <c:showBubbleSize val="0"/>
        </c:dLbls>
        <c:axId val="-2115610872"/>
        <c:axId val="-2115605512"/>
      </c:scatterChart>
      <c:valAx>
        <c:axId val="-2115610872"/>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605512"/>
        <c:crosses val="autoZero"/>
        <c:crossBetween val="midCat"/>
        <c:majorUnit val="10.0"/>
        <c:minorUnit val="1.0"/>
      </c:valAx>
      <c:valAx>
        <c:axId val="-2115605512"/>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610872"/>
        <c:crosses val="autoZero"/>
        <c:crossBetween val="midCat"/>
      </c:valAx>
      <c:spPr>
        <a:gradFill rotWithShape="0">
          <a:gsLst>
            <a:gs pos="0">
              <a:srgbClr val="E6DCAC"/>
            </a:gs>
            <a:gs pos="12000">
              <a:srgbClr val="E6D78A"/>
            </a:gs>
            <a:gs pos="30000">
              <a:srgbClr val="C7AC4C"/>
            </a:gs>
            <a:gs pos="45000">
              <a:srgbClr val="E6D78A"/>
            </a:gs>
            <a:gs pos="77000">
              <a:srgbClr val="C7AC4C"/>
            </a:gs>
            <a:gs pos="100000">
              <a:srgbClr val="E6DCAC"/>
            </a:gs>
          </a:gsLst>
          <a:lin ang="2700000"/>
        </a:gradFill>
        <a:ln w="12700">
          <a:solidFill>
            <a:srgbClr val="808080"/>
          </a:solidFill>
          <a:prstDash val="solid"/>
        </a:ln>
      </c:spPr>
    </c:plotArea>
    <c:legend>
      <c:legendPos val="r"/>
      <c:layout>
        <c:manualLayout>
          <c:xMode val="edge"/>
          <c:yMode val="edge"/>
          <c:wMode val="edge"/>
          <c:hMode val="edge"/>
          <c:x val="0.121519464787181"/>
          <c:y val="0.0688459014738542"/>
          <c:w val="0.286099196079511"/>
          <c:h val="0.213076418332324"/>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744337745780469"/>
          <c:y val="0.121495696723182"/>
          <c:w val="0.902914048142395"/>
          <c:h val="0.834893505687505"/>
        </c:manualLayout>
      </c:layout>
      <c:scatterChart>
        <c:scatterStyle val="lineMarker"/>
        <c:varyColors val="0"/>
        <c:ser>
          <c:idx val="1"/>
          <c:order val="0"/>
          <c:tx>
            <c:strRef>
              <c:f>Returns_All!$CE$4</c:f>
              <c:strCache>
                <c:ptCount val="1"/>
                <c:pt idx="0">
                  <c:v>Avg. Drawdown Rebalanced = 2.3%</c:v>
                </c:pt>
              </c:strCache>
            </c:strRef>
          </c:tx>
          <c:spPr>
            <a:ln w="25400">
              <a:solidFill>
                <a:srgbClr val="FF0000"/>
              </a:solidFill>
              <a:prstDash val="solid"/>
            </a:ln>
          </c:spPr>
          <c:marker>
            <c:symbol val="none"/>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Returns_All!$W$339:$W$484</c:f>
              <c:numCache>
                <c:formatCode>0.0%</c:formatCode>
                <c:ptCount val="146"/>
                <c:pt idx="0">
                  <c:v>0.0</c:v>
                </c:pt>
                <c:pt idx="1">
                  <c:v>0.0</c:v>
                </c:pt>
                <c:pt idx="2">
                  <c:v>0.0</c:v>
                </c:pt>
                <c:pt idx="3">
                  <c:v>0.0</c:v>
                </c:pt>
                <c:pt idx="4">
                  <c:v>0.0</c:v>
                </c:pt>
                <c:pt idx="5">
                  <c:v>0.0603466494777898</c:v>
                </c:pt>
                <c:pt idx="6">
                  <c:v>0.059301986744683</c:v>
                </c:pt>
                <c:pt idx="7">
                  <c:v>0.0</c:v>
                </c:pt>
                <c:pt idx="8">
                  <c:v>0.0</c:v>
                </c:pt>
                <c:pt idx="9">
                  <c:v>0.0</c:v>
                </c:pt>
                <c:pt idx="10">
                  <c:v>0.0</c:v>
                </c:pt>
                <c:pt idx="11">
                  <c:v>0.0</c:v>
                </c:pt>
                <c:pt idx="12">
                  <c:v>0.019111446883839</c:v>
                </c:pt>
                <c:pt idx="13">
                  <c:v>0.0659014560810898</c:v>
                </c:pt>
                <c:pt idx="14">
                  <c:v>0.0</c:v>
                </c:pt>
                <c:pt idx="15">
                  <c:v>0.0</c:v>
                </c:pt>
                <c:pt idx="16">
                  <c:v>0.0</c:v>
                </c:pt>
                <c:pt idx="17">
                  <c:v>0.0</c:v>
                </c:pt>
                <c:pt idx="18">
                  <c:v>0.0</c:v>
                </c:pt>
                <c:pt idx="19">
                  <c:v>0.0289303244614006</c:v>
                </c:pt>
                <c:pt idx="20">
                  <c:v>0.0</c:v>
                </c:pt>
                <c:pt idx="21">
                  <c:v>0.0</c:v>
                </c:pt>
                <c:pt idx="22">
                  <c:v>0.0584026711462436</c:v>
                </c:pt>
                <c:pt idx="23">
                  <c:v>0.0219137845362629</c:v>
                </c:pt>
                <c:pt idx="24">
                  <c:v>0.0</c:v>
                </c:pt>
                <c:pt idx="25">
                  <c:v>0.0</c:v>
                </c:pt>
                <c:pt idx="26">
                  <c:v>0.0</c:v>
                </c:pt>
                <c:pt idx="27">
                  <c:v>0.0</c:v>
                </c:pt>
                <c:pt idx="28">
                  <c:v>0.0</c:v>
                </c:pt>
                <c:pt idx="29">
                  <c:v>0.0</c:v>
                </c:pt>
                <c:pt idx="30">
                  <c:v>0.0</c:v>
                </c:pt>
                <c:pt idx="31">
                  <c:v>0.0</c:v>
                </c:pt>
                <c:pt idx="32">
                  <c:v>0.0816125918530773</c:v>
                </c:pt>
                <c:pt idx="33">
                  <c:v>0.0</c:v>
                </c:pt>
                <c:pt idx="34">
                  <c:v>0.0</c:v>
                </c:pt>
                <c:pt idx="35">
                  <c:v>0.0</c:v>
                </c:pt>
                <c:pt idx="36">
                  <c:v>0.124350472279964</c:v>
                </c:pt>
                <c:pt idx="37">
                  <c:v>0.0</c:v>
                </c:pt>
                <c:pt idx="38">
                  <c:v>0.0</c:v>
                </c:pt>
                <c:pt idx="39">
                  <c:v>0.0</c:v>
                </c:pt>
                <c:pt idx="40">
                  <c:v>0.0</c:v>
                </c:pt>
                <c:pt idx="41">
                  <c:v>0.0</c:v>
                </c:pt>
                <c:pt idx="42">
                  <c:v>0.00112388812665787</c:v>
                </c:pt>
                <c:pt idx="43">
                  <c:v>0.0120378950966278</c:v>
                </c:pt>
                <c:pt idx="44">
                  <c:v>0.0</c:v>
                </c:pt>
                <c:pt idx="45">
                  <c:v>0.0</c:v>
                </c:pt>
                <c:pt idx="46">
                  <c:v>0.103521943466925</c:v>
                </c:pt>
                <c:pt idx="47">
                  <c:v>0.0</c:v>
                </c:pt>
                <c:pt idx="48">
                  <c:v>0.0</c:v>
                </c:pt>
                <c:pt idx="49">
                  <c:v>0.0653360559788618</c:v>
                </c:pt>
                <c:pt idx="50">
                  <c:v>0.0</c:v>
                </c:pt>
                <c:pt idx="51">
                  <c:v>0.0</c:v>
                </c:pt>
                <c:pt idx="52">
                  <c:v>0.0</c:v>
                </c:pt>
                <c:pt idx="53">
                  <c:v>0.0</c:v>
                </c:pt>
                <c:pt idx="54">
                  <c:v>0.0</c:v>
                </c:pt>
                <c:pt idx="55">
                  <c:v>0.0</c:v>
                </c:pt>
                <c:pt idx="56">
                  <c:v>0.0</c:v>
                </c:pt>
                <c:pt idx="57">
                  <c:v>0.0</c:v>
                </c:pt>
                <c:pt idx="58">
                  <c:v>0.021899614656782</c:v>
                </c:pt>
                <c:pt idx="59">
                  <c:v>0.125763635062415</c:v>
                </c:pt>
                <c:pt idx="60">
                  <c:v>0.348135730508886</c:v>
                </c:pt>
                <c:pt idx="61">
                  <c:v>0.359797878702816</c:v>
                </c:pt>
                <c:pt idx="62">
                  <c:v>0.13655809239444</c:v>
                </c:pt>
                <c:pt idx="63">
                  <c:v>0.160866810400379</c:v>
                </c:pt>
                <c:pt idx="64">
                  <c:v>0.0</c:v>
                </c:pt>
                <c:pt idx="65">
                  <c:v>0.0</c:v>
                </c:pt>
                <c:pt idx="66">
                  <c:v>0.174104097260319</c:v>
                </c:pt>
                <c:pt idx="67">
                  <c:v>0.0866983171688263</c:v>
                </c:pt>
                <c:pt idx="68">
                  <c:v>0.0574601686843767</c:v>
                </c:pt>
                <c:pt idx="69">
                  <c:v>0.0951208244411918</c:v>
                </c:pt>
                <c:pt idx="70">
                  <c:v>0.140281081364039</c:v>
                </c:pt>
                <c:pt idx="71">
                  <c:v>0.0306177608408934</c:v>
                </c:pt>
                <c:pt idx="72">
                  <c:v>0.0</c:v>
                </c:pt>
                <c:pt idx="73">
                  <c:v>0.0</c:v>
                </c:pt>
                <c:pt idx="74">
                  <c:v>0.0</c:v>
                </c:pt>
                <c:pt idx="75">
                  <c:v>0.0631776802578793</c:v>
                </c:pt>
                <c:pt idx="76">
                  <c:v>0.0417350372440633</c:v>
                </c:pt>
                <c:pt idx="77">
                  <c:v>0.0</c:v>
                </c:pt>
                <c:pt idx="78">
                  <c:v>0.0</c:v>
                </c:pt>
                <c:pt idx="79">
                  <c:v>0.0</c:v>
                </c:pt>
                <c:pt idx="80">
                  <c:v>0.0</c:v>
                </c:pt>
                <c:pt idx="81">
                  <c:v>0.0</c:v>
                </c:pt>
                <c:pt idx="82">
                  <c:v>0.0</c:v>
                </c:pt>
                <c:pt idx="83">
                  <c:v>0.0</c:v>
                </c:pt>
                <c:pt idx="84">
                  <c:v>0.0</c:v>
                </c:pt>
                <c:pt idx="85">
                  <c:v>0.0</c:v>
                </c:pt>
                <c:pt idx="86">
                  <c:v>0.00945467942684852</c:v>
                </c:pt>
                <c:pt idx="87">
                  <c:v>0.0</c:v>
                </c:pt>
                <c:pt idx="88">
                  <c:v>0.0</c:v>
                </c:pt>
                <c:pt idx="89">
                  <c:v>0.0</c:v>
                </c:pt>
                <c:pt idx="90">
                  <c:v>0.0</c:v>
                </c:pt>
                <c:pt idx="91">
                  <c:v>0.0</c:v>
                </c:pt>
                <c:pt idx="92">
                  <c:v>0.0</c:v>
                </c:pt>
                <c:pt idx="93">
                  <c:v>0.0</c:v>
                </c:pt>
                <c:pt idx="94">
                  <c:v>0.0</c:v>
                </c:pt>
                <c:pt idx="95">
                  <c:v>0.0182435616140216</c:v>
                </c:pt>
                <c:pt idx="96">
                  <c:v>0.0</c:v>
                </c:pt>
                <c:pt idx="97">
                  <c:v>0.0</c:v>
                </c:pt>
                <c:pt idx="98">
                  <c:v>0.0551969774748789</c:v>
                </c:pt>
                <c:pt idx="99">
                  <c:v>0.0</c:v>
                </c:pt>
                <c:pt idx="100">
                  <c:v>0.0</c:v>
                </c:pt>
                <c:pt idx="101">
                  <c:v>0.0</c:v>
                </c:pt>
                <c:pt idx="102">
                  <c:v>0.0801275341690677</c:v>
                </c:pt>
                <c:pt idx="103">
                  <c:v>0.176118045475591</c:v>
                </c:pt>
                <c:pt idx="104">
                  <c:v>0.0</c:v>
                </c:pt>
                <c:pt idx="105">
                  <c:v>0.0</c:v>
                </c:pt>
                <c:pt idx="106">
                  <c:v>0.0392189404716861</c:v>
                </c:pt>
                <c:pt idx="107">
                  <c:v>0.0</c:v>
                </c:pt>
                <c:pt idx="108">
                  <c:v>0.0</c:v>
                </c:pt>
                <c:pt idx="109">
                  <c:v>0.0</c:v>
                </c:pt>
                <c:pt idx="110">
                  <c:v>0.0181381393995099</c:v>
                </c:pt>
                <c:pt idx="111">
                  <c:v>0.0</c:v>
                </c:pt>
                <c:pt idx="112">
                  <c:v>0.0</c:v>
                </c:pt>
                <c:pt idx="113">
                  <c:v>0.0</c:v>
                </c:pt>
                <c:pt idx="114">
                  <c:v>0.0</c:v>
                </c:pt>
                <c:pt idx="115">
                  <c:v>0.0</c:v>
                </c:pt>
                <c:pt idx="116">
                  <c:v>0.0076826341759646</c:v>
                </c:pt>
                <c:pt idx="117">
                  <c:v>0.0</c:v>
                </c:pt>
                <c:pt idx="118">
                  <c:v>0.0</c:v>
                </c:pt>
                <c:pt idx="119">
                  <c:v>0.0</c:v>
                </c:pt>
                <c:pt idx="120">
                  <c:v>0.0</c:v>
                </c:pt>
                <c:pt idx="121">
                  <c:v>0.0</c:v>
                </c:pt>
                <c:pt idx="122">
                  <c:v>0.0</c:v>
                </c:pt>
                <c:pt idx="123">
                  <c:v>0.00972452819203451</c:v>
                </c:pt>
                <c:pt idx="124">
                  <c:v>0.0</c:v>
                </c:pt>
                <c:pt idx="125">
                  <c:v>0.0</c:v>
                </c:pt>
                <c:pt idx="126">
                  <c:v>0.0</c:v>
                </c:pt>
                <c:pt idx="127">
                  <c:v>0.0</c:v>
                </c:pt>
                <c:pt idx="128">
                  <c:v>0.0</c:v>
                </c:pt>
                <c:pt idx="129">
                  <c:v>0.0</c:v>
                </c:pt>
                <c:pt idx="130">
                  <c:v>0.0506686898339242</c:v>
                </c:pt>
                <c:pt idx="131">
                  <c:v>0.123722426450878</c:v>
                </c:pt>
                <c:pt idx="132">
                  <c:v>0.0</c:v>
                </c:pt>
                <c:pt idx="133">
                  <c:v>0.0</c:v>
                </c:pt>
                <c:pt idx="134">
                  <c:v>0.0</c:v>
                </c:pt>
                <c:pt idx="135">
                  <c:v>0.0</c:v>
                </c:pt>
                <c:pt idx="136">
                  <c:v>0.0</c:v>
                </c:pt>
                <c:pt idx="137">
                  <c:v>0.169579445067141</c:v>
                </c:pt>
                <c:pt idx="138">
                  <c:v>0.0139495854412784</c:v>
                </c:pt>
                <c:pt idx="139">
                  <c:v>0.0</c:v>
                </c:pt>
                <c:pt idx="140">
                  <c:v>0.0</c:v>
                </c:pt>
                <c:pt idx="141">
                  <c:v>0.0</c:v>
                </c:pt>
                <c:pt idx="142">
                  <c:v>0.0</c:v>
                </c:pt>
                <c:pt idx="143">
                  <c:v>0.0</c:v>
                </c:pt>
                <c:pt idx="144">
                  <c:v>0.0150641879140294</c:v>
                </c:pt>
                <c:pt idx="145">
                  <c:v>0.0150641879140294</c:v>
                </c:pt>
              </c:numCache>
            </c:numRef>
          </c:yVal>
          <c:smooth val="0"/>
        </c:ser>
        <c:ser>
          <c:idx val="0"/>
          <c:order val="1"/>
          <c:tx>
            <c:strRef>
              <c:f>Returns_All!$CE$168</c:f>
              <c:strCache>
                <c:ptCount val="1"/>
                <c:pt idx="0">
                  <c:v>Avg. Drawdown Unbalanced = 5.2%</c:v>
                </c:pt>
              </c:strCache>
            </c:strRef>
          </c:tx>
          <c:spPr>
            <a:ln w="25400">
              <a:solidFill>
                <a:srgbClr val="000080"/>
              </a:solidFill>
              <a:prstDash val="solid"/>
            </a:ln>
          </c:spPr>
          <c:marker>
            <c:symbol val="none"/>
          </c:marker>
          <c:xVal>
            <c:numRef>
              <c:f>Returns_All!$Q$339:$Q$484</c:f>
              <c:numCache>
                <c:formatCode>General</c:formatCode>
                <c:ptCount val="146"/>
                <c:pt idx="0">
                  <c:v>1871.0</c:v>
                </c:pt>
                <c:pt idx="1">
                  <c:v>1872.0</c:v>
                </c:pt>
                <c:pt idx="2">
                  <c:v>1873.0</c:v>
                </c:pt>
                <c:pt idx="3">
                  <c:v>1874.0</c:v>
                </c:pt>
                <c:pt idx="4">
                  <c:v>1875.0</c:v>
                </c:pt>
                <c:pt idx="5">
                  <c:v>1876.0</c:v>
                </c:pt>
                <c:pt idx="6">
                  <c:v>1877.0</c:v>
                </c:pt>
                <c:pt idx="7">
                  <c:v>1878.0</c:v>
                </c:pt>
                <c:pt idx="8">
                  <c:v>1879.0</c:v>
                </c:pt>
                <c:pt idx="9">
                  <c:v>1880.0</c:v>
                </c:pt>
                <c:pt idx="10">
                  <c:v>1881.0</c:v>
                </c:pt>
                <c:pt idx="11">
                  <c:v>1882.0</c:v>
                </c:pt>
                <c:pt idx="12">
                  <c:v>1883.0</c:v>
                </c:pt>
                <c:pt idx="13">
                  <c:v>1884.0</c:v>
                </c:pt>
                <c:pt idx="14">
                  <c:v>1885.0</c:v>
                </c:pt>
                <c:pt idx="15">
                  <c:v>1886.0</c:v>
                </c:pt>
                <c:pt idx="16">
                  <c:v>1887.0</c:v>
                </c:pt>
                <c:pt idx="17">
                  <c:v>1888.0</c:v>
                </c:pt>
                <c:pt idx="18">
                  <c:v>1889.0</c:v>
                </c:pt>
                <c:pt idx="19">
                  <c:v>1890.0</c:v>
                </c:pt>
                <c:pt idx="20">
                  <c:v>1891.0</c:v>
                </c:pt>
                <c:pt idx="21">
                  <c:v>1892.0</c:v>
                </c:pt>
                <c:pt idx="22">
                  <c:v>1893.0</c:v>
                </c:pt>
                <c:pt idx="23">
                  <c:v>1894.0</c:v>
                </c:pt>
                <c:pt idx="24">
                  <c:v>1895.0</c:v>
                </c:pt>
                <c:pt idx="25">
                  <c:v>1896.0</c:v>
                </c:pt>
                <c:pt idx="26">
                  <c:v>1897.0</c:v>
                </c:pt>
                <c:pt idx="27">
                  <c:v>1898.0</c:v>
                </c:pt>
                <c:pt idx="28">
                  <c:v>1899.0</c:v>
                </c:pt>
                <c:pt idx="29">
                  <c:v>1900.0</c:v>
                </c:pt>
                <c:pt idx="30">
                  <c:v>1901.0</c:v>
                </c:pt>
                <c:pt idx="31">
                  <c:v>1902.0</c:v>
                </c:pt>
                <c:pt idx="32">
                  <c:v>1903.0</c:v>
                </c:pt>
                <c:pt idx="33">
                  <c:v>1904.0</c:v>
                </c:pt>
                <c:pt idx="34">
                  <c:v>1905.0</c:v>
                </c:pt>
                <c:pt idx="35">
                  <c:v>1906.0</c:v>
                </c:pt>
                <c:pt idx="36">
                  <c:v>1907.0</c:v>
                </c:pt>
                <c:pt idx="37">
                  <c:v>1908.0</c:v>
                </c:pt>
                <c:pt idx="38">
                  <c:v>1909.0</c:v>
                </c:pt>
                <c:pt idx="39">
                  <c:v>1910.0</c:v>
                </c:pt>
                <c:pt idx="40">
                  <c:v>1911.0</c:v>
                </c:pt>
                <c:pt idx="41">
                  <c:v>1912.0</c:v>
                </c:pt>
                <c:pt idx="42">
                  <c:v>1913.0</c:v>
                </c:pt>
                <c:pt idx="43">
                  <c:v>1914.0</c:v>
                </c:pt>
                <c:pt idx="44">
                  <c:v>1915.0</c:v>
                </c:pt>
                <c:pt idx="45">
                  <c:v>1916.0</c:v>
                </c:pt>
                <c:pt idx="46">
                  <c:v>1917.0</c:v>
                </c:pt>
                <c:pt idx="47">
                  <c:v>1918.0</c:v>
                </c:pt>
                <c:pt idx="48">
                  <c:v>1919.0</c:v>
                </c:pt>
                <c:pt idx="49">
                  <c:v>1920.0</c:v>
                </c:pt>
                <c:pt idx="50">
                  <c:v>1921.0</c:v>
                </c:pt>
                <c:pt idx="51">
                  <c:v>1922.0</c:v>
                </c:pt>
                <c:pt idx="52">
                  <c:v>1923.0</c:v>
                </c:pt>
                <c:pt idx="53">
                  <c:v>1924.0</c:v>
                </c:pt>
                <c:pt idx="54">
                  <c:v>1925.0</c:v>
                </c:pt>
                <c:pt idx="55">
                  <c:v>1926.0</c:v>
                </c:pt>
                <c:pt idx="56">
                  <c:v>1927.0</c:v>
                </c:pt>
                <c:pt idx="57">
                  <c:v>1928.0</c:v>
                </c:pt>
                <c:pt idx="58">
                  <c:v>1929.0</c:v>
                </c:pt>
                <c:pt idx="59">
                  <c:v>1930.0</c:v>
                </c:pt>
                <c:pt idx="60">
                  <c:v>1931.0</c:v>
                </c:pt>
                <c:pt idx="61">
                  <c:v>1932.0</c:v>
                </c:pt>
                <c:pt idx="62">
                  <c:v>1933.0</c:v>
                </c:pt>
                <c:pt idx="63">
                  <c:v>1934.0</c:v>
                </c:pt>
                <c:pt idx="64">
                  <c:v>1935.0</c:v>
                </c:pt>
                <c:pt idx="65">
                  <c:v>1936.0</c:v>
                </c:pt>
                <c:pt idx="66">
                  <c:v>1937.0</c:v>
                </c:pt>
                <c:pt idx="67">
                  <c:v>1938.0</c:v>
                </c:pt>
                <c:pt idx="68">
                  <c:v>1939.0</c:v>
                </c:pt>
                <c:pt idx="69">
                  <c:v>1940.0</c:v>
                </c:pt>
                <c:pt idx="70">
                  <c:v>1941.0</c:v>
                </c:pt>
                <c:pt idx="71">
                  <c:v>1942.0</c:v>
                </c:pt>
                <c:pt idx="72">
                  <c:v>1943.0</c:v>
                </c:pt>
                <c:pt idx="73">
                  <c:v>1944.0</c:v>
                </c:pt>
                <c:pt idx="74">
                  <c:v>1945.0</c:v>
                </c:pt>
                <c:pt idx="75">
                  <c:v>1946.0</c:v>
                </c:pt>
                <c:pt idx="76">
                  <c:v>1947.0</c:v>
                </c:pt>
                <c:pt idx="77">
                  <c:v>1948.0</c:v>
                </c:pt>
                <c:pt idx="78">
                  <c:v>1949.0</c:v>
                </c:pt>
                <c:pt idx="79">
                  <c:v>1950.0</c:v>
                </c:pt>
                <c:pt idx="80">
                  <c:v>1951.0</c:v>
                </c:pt>
                <c:pt idx="81">
                  <c:v>1952.0</c:v>
                </c:pt>
                <c:pt idx="82">
                  <c:v>1953.0</c:v>
                </c:pt>
                <c:pt idx="83">
                  <c:v>1954.0</c:v>
                </c:pt>
                <c:pt idx="84">
                  <c:v>1955.0</c:v>
                </c:pt>
                <c:pt idx="85">
                  <c:v>1956.0</c:v>
                </c:pt>
                <c:pt idx="86">
                  <c:v>1957.0</c:v>
                </c:pt>
                <c:pt idx="87">
                  <c:v>1958.0</c:v>
                </c:pt>
                <c:pt idx="88">
                  <c:v>1959.0</c:v>
                </c:pt>
                <c:pt idx="89">
                  <c:v>1960.0</c:v>
                </c:pt>
                <c:pt idx="90">
                  <c:v>1961.0</c:v>
                </c:pt>
                <c:pt idx="91">
                  <c:v>1962.0</c:v>
                </c:pt>
                <c:pt idx="92">
                  <c:v>1963.0</c:v>
                </c:pt>
                <c:pt idx="93">
                  <c:v>1964.0</c:v>
                </c:pt>
                <c:pt idx="94">
                  <c:v>1965.0</c:v>
                </c:pt>
                <c:pt idx="95">
                  <c:v>1966.0</c:v>
                </c:pt>
                <c:pt idx="96">
                  <c:v>1967.0</c:v>
                </c:pt>
                <c:pt idx="97">
                  <c:v>1968.0</c:v>
                </c:pt>
                <c:pt idx="98">
                  <c:v>1969.0</c:v>
                </c:pt>
                <c:pt idx="99">
                  <c:v>1970.0</c:v>
                </c:pt>
                <c:pt idx="100">
                  <c:v>1971.0</c:v>
                </c:pt>
                <c:pt idx="101">
                  <c:v>1972.0</c:v>
                </c:pt>
                <c:pt idx="102">
                  <c:v>1973.0</c:v>
                </c:pt>
                <c:pt idx="103">
                  <c:v>1974.0</c:v>
                </c:pt>
                <c:pt idx="104">
                  <c:v>1975.0</c:v>
                </c:pt>
                <c:pt idx="105">
                  <c:v>1976.0</c:v>
                </c:pt>
                <c:pt idx="106">
                  <c:v>1977.0</c:v>
                </c:pt>
                <c:pt idx="107">
                  <c:v>1978.0</c:v>
                </c:pt>
                <c:pt idx="108">
                  <c:v>1979.0</c:v>
                </c:pt>
                <c:pt idx="109">
                  <c:v>1980.0</c:v>
                </c:pt>
                <c:pt idx="110">
                  <c:v>1981.0</c:v>
                </c:pt>
                <c:pt idx="111">
                  <c:v>1982.0</c:v>
                </c:pt>
                <c:pt idx="112">
                  <c:v>1983.0</c:v>
                </c:pt>
                <c:pt idx="113">
                  <c:v>1984.0</c:v>
                </c:pt>
                <c:pt idx="114">
                  <c:v>1985.0</c:v>
                </c:pt>
                <c:pt idx="115">
                  <c:v>1986.0</c:v>
                </c:pt>
                <c:pt idx="116">
                  <c:v>1987.0</c:v>
                </c:pt>
                <c:pt idx="117">
                  <c:v>1988.0</c:v>
                </c:pt>
                <c:pt idx="118">
                  <c:v>1989.0</c:v>
                </c:pt>
                <c:pt idx="119">
                  <c:v>1990.0</c:v>
                </c:pt>
                <c:pt idx="120">
                  <c:v>1991.0</c:v>
                </c:pt>
                <c:pt idx="121">
                  <c:v>1992.0</c:v>
                </c:pt>
                <c:pt idx="122">
                  <c:v>1993.0</c:v>
                </c:pt>
                <c:pt idx="123">
                  <c:v>1994.0</c:v>
                </c:pt>
                <c:pt idx="124">
                  <c:v>1995.0</c:v>
                </c:pt>
                <c:pt idx="125">
                  <c:v>1996.0</c:v>
                </c:pt>
                <c:pt idx="126">
                  <c:v>1997.0</c:v>
                </c:pt>
                <c:pt idx="127">
                  <c:v>1998.0</c:v>
                </c:pt>
                <c:pt idx="128">
                  <c:v>1999.0</c:v>
                </c:pt>
                <c:pt idx="129">
                  <c:v>2000.0</c:v>
                </c:pt>
                <c:pt idx="130">
                  <c:v>2001.0</c:v>
                </c:pt>
                <c:pt idx="131">
                  <c:v>2002.0</c:v>
                </c:pt>
                <c:pt idx="132">
                  <c:v>2003.0</c:v>
                </c:pt>
                <c:pt idx="133">
                  <c:v>2004.0</c:v>
                </c:pt>
                <c:pt idx="134">
                  <c:v>2005.0</c:v>
                </c:pt>
                <c:pt idx="135">
                  <c:v>2006.0</c:v>
                </c:pt>
                <c:pt idx="136">
                  <c:v>2007.0</c:v>
                </c:pt>
                <c:pt idx="137">
                  <c:v>2008.0</c:v>
                </c:pt>
                <c:pt idx="138">
                  <c:v>2009.0</c:v>
                </c:pt>
                <c:pt idx="139">
                  <c:v>2010.0</c:v>
                </c:pt>
                <c:pt idx="140">
                  <c:v>2011.0</c:v>
                </c:pt>
                <c:pt idx="141">
                  <c:v>2012.0</c:v>
                </c:pt>
                <c:pt idx="142">
                  <c:v>2013.0</c:v>
                </c:pt>
                <c:pt idx="143">
                  <c:v>2014.0</c:v>
                </c:pt>
                <c:pt idx="144">
                  <c:v>2015.0</c:v>
                </c:pt>
                <c:pt idx="145">
                  <c:v>2015.0</c:v>
                </c:pt>
              </c:numCache>
            </c:numRef>
          </c:xVal>
          <c:yVal>
            <c:numRef>
              <c:f>Returns_All!$X$339:$X$484</c:f>
              <c:numCache>
                <c:formatCode>0.0%</c:formatCode>
                <c:ptCount val="146"/>
                <c:pt idx="0">
                  <c:v>0.0</c:v>
                </c:pt>
                <c:pt idx="1">
                  <c:v>0.0</c:v>
                </c:pt>
                <c:pt idx="2">
                  <c:v>0.0</c:v>
                </c:pt>
                <c:pt idx="3">
                  <c:v>0.0</c:v>
                </c:pt>
                <c:pt idx="4">
                  <c:v>0.0</c:v>
                </c:pt>
                <c:pt idx="5">
                  <c:v>0.0615722068220403</c:v>
                </c:pt>
                <c:pt idx="6">
                  <c:v>0.0573526569605903</c:v>
                </c:pt>
                <c:pt idx="7">
                  <c:v>0.0</c:v>
                </c:pt>
                <c:pt idx="8">
                  <c:v>0.0</c:v>
                </c:pt>
                <c:pt idx="9">
                  <c:v>0.0</c:v>
                </c:pt>
                <c:pt idx="10">
                  <c:v>0.0</c:v>
                </c:pt>
                <c:pt idx="11">
                  <c:v>0.0</c:v>
                </c:pt>
                <c:pt idx="12">
                  <c:v>0.0258387073924049</c:v>
                </c:pt>
                <c:pt idx="13">
                  <c:v>0.0839477776557733</c:v>
                </c:pt>
                <c:pt idx="14">
                  <c:v>0.0</c:v>
                </c:pt>
                <c:pt idx="15">
                  <c:v>0.0</c:v>
                </c:pt>
                <c:pt idx="16">
                  <c:v>0.0</c:v>
                </c:pt>
                <c:pt idx="17">
                  <c:v>0.0</c:v>
                </c:pt>
                <c:pt idx="18">
                  <c:v>0.0</c:v>
                </c:pt>
                <c:pt idx="19">
                  <c:v>0.0357367922444811</c:v>
                </c:pt>
                <c:pt idx="20">
                  <c:v>0.0</c:v>
                </c:pt>
                <c:pt idx="21">
                  <c:v>0.0</c:v>
                </c:pt>
                <c:pt idx="22">
                  <c:v>0.0952485532149975</c:v>
                </c:pt>
                <c:pt idx="23">
                  <c:v>0.0608294471241542</c:v>
                </c:pt>
                <c:pt idx="24">
                  <c:v>0.0364607143538901</c:v>
                </c:pt>
                <c:pt idx="25">
                  <c:v>0.0</c:v>
                </c:pt>
                <c:pt idx="26">
                  <c:v>0.0</c:v>
                </c:pt>
                <c:pt idx="27">
                  <c:v>0.0</c:v>
                </c:pt>
                <c:pt idx="28">
                  <c:v>0.0</c:v>
                </c:pt>
                <c:pt idx="29">
                  <c:v>0.0</c:v>
                </c:pt>
                <c:pt idx="30">
                  <c:v>0.0</c:v>
                </c:pt>
                <c:pt idx="31">
                  <c:v>0.0</c:v>
                </c:pt>
                <c:pt idx="32">
                  <c:v>0.124407333984165</c:v>
                </c:pt>
                <c:pt idx="33">
                  <c:v>0.0</c:v>
                </c:pt>
                <c:pt idx="34">
                  <c:v>0.0</c:v>
                </c:pt>
                <c:pt idx="35">
                  <c:v>0.0</c:v>
                </c:pt>
                <c:pt idx="36">
                  <c:v>0.187431655361003</c:v>
                </c:pt>
                <c:pt idx="37">
                  <c:v>0.0</c:v>
                </c:pt>
                <c:pt idx="38">
                  <c:v>0.0</c:v>
                </c:pt>
                <c:pt idx="39">
                  <c:v>0.0184233911015578</c:v>
                </c:pt>
                <c:pt idx="40">
                  <c:v>0.0</c:v>
                </c:pt>
                <c:pt idx="41">
                  <c:v>0.0</c:v>
                </c:pt>
                <c:pt idx="42">
                  <c:v>0.0284656014249592</c:v>
                </c:pt>
                <c:pt idx="43">
                  <c:v>0.0626269735374851</c:v>
                </c:pt>
                <c:pt idx="44">
                  <c:v>0.0</c:v>
                </c:pt>
                <c:pt idx="45">
                  <c:v>0.0</c:v>
                </c:pt>
                <c:pt idx="46">
                  <c:v>0.145715255540448</c:v>
                </c:pt>
                <c:pt idx="47">
                  <c:v>0.0208904150617358</c:v>
                </c:pt>
                <c:pt idx="48">
                  <c:v>0.0</c:v>
                </c:pt>
                <c:pt idx="49">
                  <c:v>0.109899537216625</c:v>
                </c:pt>
                <c:pt idx="50">
                  <c:v>0.0235495979945046</c:v>
                </c:pt>
                <c:pt idx="51">
                  <c:v>0.0</c:v>
                </c:pt>
                <c:pt idx="52">
                  <c:v>0.0</c:v>
                </c:pt>
                <c:pt idx="53">
                  <c:v>0.0</c:v>
                </c:pt>
                <c:pt idx="54">
                  <c:v>0.0</c:v>
                </c:pt>
                <c:pt idx="55">
                  <c:v>0.0</c:v>
                </c:pt>
                <c:pt idx="56">
                  <c:v>0.0</c:v>
                </c:pt>
                <c:pt idx="57">
                  <c:v>0.0</c:v>
                </c:pt>
                <c:pt idx="58">
                  <c:v>0.0784011552000505</c:v>
                </c:pt>
                <c:pt idx="59">
                  <c:v>0.262919872389736</c:v>
                </c:pt>
                <c:pt idx="60">
                  <c:v>0.55107398415404</c:v>
                </c:pt>
                <c:pt idx="61">
                  <c:v>0.578457143269098</c:v>
                </c:pt>
                <c:pt idx="62">
                  <c:v>0.382464403191469</c:v>
                </c:pt>
                <c:pt idx="63">
                  <c:v>0.421728920322414</c:v>
                </c:pt>
                <c:pt idx="64">
                  <c:v>0.15035457162117</c:v>
                </c:pt>
                <c:pt idx="65">
                  <c:v>0.0</c:v>
                </c:pt>
                <c:pt idx="66">
                  <c:v>0.285995923311612</c:v>
                </c:pt>
                <c:pt idx="67">
                  <c:v>0.187206243794682</c:v>
                </c:pt>
                <c:pt idx="68">
                  <c:v>0.160212567879261</c:v>
                </c:pt>
                <c:pt idx="69">
                  <c:v>0.224129966709168</c:v>
                </c:pt>
                <c:pt idx="70">
                  <c:v>0.283356128178682</c:v>
                </c:pt>
                <c:pt idx="71">
                  <c:v>0.157470226877543</c:v>
                </c:pt>
                <c:pt idx="72">
                  <c:v>0.0</c:v>
                </c:pt>
                <c:pt idx="73">
                  <c:v>0.0</c:v>
                </c:pt>
                <c:pt idx="74">
                  <c:v>0.0</c:v>
                </c:pt>
                <c:pt idx="75">
                  <c:v>0.108797496281953</c:v>
                </c:pt>
                <c:pt idx="76">
                  <c:v>0.0829293777611716</c:v>
                </c:pt>
                <c:pt idx="77">
                  <c:v>0.0</c:v>
                </c:pt>
                <c:pt idx="78">
                  <c:v>0.0</c:v>
                </c:pt>
                <c:pt idx="79">
                  <c:v>0.0</c:v>
                </c:pt>
                <c:pt idx="80">
                  <c:v>0.0</c:v>
                </c:pt>
                <c:pt idx="81">
                  <c:v>0.0</c:v>
                </c:pt>
                <c:pt idx="82">
                  <c:v>0.0</c:v>
                </c:pt>
                <c:pt idx="83">
                  <c:v>0.0</c:v>
                </c:pt>
                <c:pt idx="84">
                  <c:v>0.0</c:v>
                </c:pt>
                <c:pt idx="85">
                  <c:v>0.0</c:v>
                </c:pt>
                <c:pt idx="86">
                  <c:v>0.0535728647589466</c:v>
                </c:pt>
                <c:pt idx="87">
                  <c:v>0.0</c:v>
                </c:pt>
                <c:pt idx="88">
                  <c:v>0.0</c:v>
                </c:pt>
                <c:pt idx="89">
                  <c:v>0.0</c:v>
                </c:pt>
                <c:pt idx="90">
                  <c:v>0.0</c:v>
                </c:pt>
                <c:pt idx="91">
                  <c:v>0.0263079563660179</c:v>
                </c:pt>
                <c:pt idx="92">
                  <c:v>0.0</c:v>
                </c:pt>
                <c:pt idx="93">
                  <c:v>0.0</c:v>
                </c:pt>
                <c:pt idx="94">
                  <c:v>0.0</c:v>
                </c:pt>
                <c:pt idx="95">
                  <c:v>0.0633546171521045</c:v>
                </c:pt>
                <c:pt idx="96">
                  <c:v>0.0</c:v>
                </c:pt>
                <c:pt idx="97">
                  <c:v>0.0</c:v>
                </c:pt>
                <c:pt idx="98">
                  <c:v>0.0834533484496866</c:v>
                </c:pt>
                <c:pt idx="99">
                  <c:v>0.0186169166834128</c:v>
                </c:pt>
                <c:pt idx="100">
                  <c:v>0.0</c:v>
                </c:pt>
                <c:pt idx="101">
                  <c:v>0.0</c:v>
                </c:pt>
                <c:pt idx="102">
                  <c:v>0.158413851660567</c:v>
                </c:pt>
                <c:pt idx="103">
                  <c:v>0.33116665135148</c:v>
                </c:pt>
                <c:pt idx="104">
                  <c:v>0.0757311667307483</c:v>
                </c:pt>
                <c:pt idx="105">
                  <c:v>0.0</c:v>
                </c:pt>
                <c:pt idx="106">
                  <c:v>0.0845780841335921</c:v>
                </c:pt>
                <c:pt idx="107">
                  <c:v>0.0</c:v>
                </c:pt>
                <c:pt idx="108">
                  <c:v>0.0</c:v>
                </c:pt>
                <c:pt idx="109">
                  <c:v>0.0</c:v>
                </c:pt>
                <c:pt idx="110">
                  <c:v>0.0673117629771149</c:v>
                </c:pt>
                <c:pt idx="111">
                  <c:v>0.0</c:v>
                </c:pt>
                <c:pt idx="112">
                  <c:v>0.0</c:v>
                </c:pt>
                <c:pt idx="113">
                  <c:v>0.0</c:v>
                </c:pt>
                <c:pt idx="114">
                  <c:v>0.0</c:v>
                </c:pt>
                <c:pt idx="115">
                  <c:v>0.0</c:v>
                </c:pt>
                <c:pt idx="116">
                  <c:v>0.019548104501052</c:v>
                </c:pt>
                <c:pt idx="117">
                  <c:v>0.0</c:v>
                </c:pt>
                <c:pt idx="118">
                  <c:v>0.0</c:v>
                </c:pt>
                <c:pt idx="119">
                  <c:v>0.00642707442429702</c:v>
                </c:pt>
                <c:pt idx="120">
                  <c:v>0.0</c:v>
                </c:pt>
                <c:pt idx="121">
                  <c:v>0.0</c:v>
                </c:pt>
                <c:pt idx="122">
                  <c:v>0.0</c:v>
                </c:pt>
                <c:pt idx="123">
                  <c:v>0.0</c:v>
                </c:pt>
                <c:pt idx="124">
                  <c:v>0.0</c:v>
                </c:pt>
                <c:pt idx="125">
                  <c:v>0.0</c:v>
                </c:pt>
                <c:pt idx="126">
                  <c:v>0.0</c:v>
                </c:pt>
                <c:pt idx="127">
                  <c:v>0.0</c:v>
                </c:pt>
                <c:pt idx="128">
                  <c:v>0.0</c:v>
                </c:pt>
                <c:pt idx="129">
                  <c:v>0.0513025113056636</c:v>
                </c:pt>
                <c:pt idx="130">
                  <c:v>0.178444332097118</c:v>
                </c:pt>
                <c:pt idx="131">
                  <c:v>0.342175147055825</c:v>
                </c:pt>
                <c:pt idx="132">
                  <c:v>0.156279519973594</c:v>
                </c:pt>
                <c:pt idx="133">
                  <c:v>0.105481990552294</c:v>
                </c:pt>
                <c:pt idx="134">
                  <c:v>0.0152085754476905</c:v>
                </c:pt>
                <c:pt idx="135">
                  <c:v>0.0</c:v>
                </c:pt>
                <c:pt idx="136">
                  <c:v>0.0120392971247234</c:v>
                </c:pt>
                <c:pt idx="137">
                  <c:v>0.358015347404622</c:v>
                </c:pt>
                <c:pt idx="138">
                  <c:v>0.151202421012276</c:v>
                </c:pt>
                <c:pt idx="139">
                  <c:v>0.0142226226131927</c:v>
                </c:pt>
                <c:pt idx="140">
                  <c:v>0.0</c:v>
                </c:pt>
                <c:pt idx="141">
                  <c:v>0.0</c:v>
                </c:pt>
                <c:pt idx="142">
                  <c:v>0.0</c:v>
                </c:pt>
                <c:pt idx="143">
                  <c:v>0.0</c:v>
                </c:pt>
                <c:pt idx="144">
                  <c:v>0.0324927260234701</c:v>
                </c:pt>
                <c:pt idx="145">
                  <c:v>0.0324927260234701</c:v>
                </c:pt>
              </c:numCache>
            </c:numRef>
          </c:yVal>
          <c:smooth val="0"/>
        </c:ser>
        <c:dLbls>
          <c:showLegendKey val="0"/>
          <c:showVal val="0"/>
          <c:showCatName val="0"/>
          <c:showSerName val="0"/>
          <c:showPercent val="0"/>
          <c:showBubbleSize val="0"/>
        </c:dLbls>
        <c:axId val="-2115554856"/>
        <c:axId val="-2115551256"/>
      </c:scatterChart>
      <c:valAx>
        <c:axId val="-2115554856"/>
        <c:scaling>
          <c:orientation val="minMax"/>
        </c:scaling>
        <c:delete val="0"/>
        <c:axPos val="t"/>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551256"/>
        <c:crosses val="autoZero"/>
        <c:crossBetween val="midCat"/>
        <c:majorUnit val="10.0"/>
        <c:minorUnit val="1.0"/>
      </c:valAx>
      <c:valAx>
        <c:axId val="-2115551256"/>
        <c:scaling>
          <c:orientation val="maxMin"/>
        </c:scaling>
        <c:delete val="0"/>
        <c:axPos val="l"/>
        <c:majorGridlines>
          <c:spPr>
            <a:ln w="3175">
              <a:solidFill>
                <a:srgbClr val="C0C0C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554856"/>
        <c:crosses val="autoZero"/>
        <c:crossBetween val="midCat"/>
      </c:valAx>
      <c:spPr>
        <a:gradFill rotWithShape="0">
          <a:gsLst>
            <a:gs pos="0">
              <a:srgbClr val="5E9EFF"/>
            </a:gs>
            <a:gs pos="39999">
              <a:srgbClr val="85C2FF"/>
            </a:gs>
            <a:gs pos="70000">
              <a:srgbClr val="C4D6EB"/>
            </a:gs>
            <a:gs pos="100000">
              <a:srgbClr val="FFEBFA"/>
            </a:gs>
          </a:gsLst>
          <a:lin ang="5400000"/>
        </a:gradFill>
        <a:ln w="12700">
          <a:solidFill>
            <a:srgbClr val="808080"/>
          </a:solidFill>
          <a:prstDash val="solid"/>
        </a:ln>
      </c:spPr>
    </c:plotArea>
    <c:legend>
      <c:legendPos val="r"/>
      <c:layout>
        <c:manualLayout>
          <c:xMode val="edge"/>
          <c:yMode val="edge"/>
          <c:wMode val="edge"/>
          <c:hMode val="edge"/>
          <c:x val="0.123755162160674"/>
          <c:y val="0.518982968538624"/>
          <c:w val="0.383923655085072"/>
          <c:h val="0.646735925630441"/>
        </c:manualLayout>
      </c:layout>
      <c:overlay val="0"/>
      <c:spPr>
        <a:solidFill>
          <a:srgbClr val="FFFFFF"/>
        </a:solidFill>
        <a:ln w="3175">
          <a:solidFill>
            <a:srgbClr val="000000"/>
          </a:solidFill>
          <a:prstDash val="solid"/>
        </a:ln>
      </c:spPr>
      <c:txPr>
        <a:bodyPr/>
        <a:lstStyle/>
        <a:p>
          <a:pPr>
            <a:defRPr sz="630"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horizontalDpi="-3"/>
  </c:printSettings>
  <c:userShapes r:id="rId2"/>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Returns_85_15!$E$43</c:f>
          <c:strCache>
            <c:ptCount val="1"/>
            <c:pt idx="0">
              <c:v>Portfolio Growth (Nominal) 1985 - 2015</c:v>
            </c:pt>
          </c:strCache>
        </c:strRef>
      </c:tx>
      <c:layout>
        <c:manualLayout>
          <c:xMode val="edge"/>
          <c:yMode val="edge"/>
          <c:x val="0.431155702311405"/>
          <c:y val="0.0608"/>
        </c:manualLayout>
      </c:layout>
      <c:overlay val="0"/>
      <c:spPr>
        <a:solidFill>
          <a:srgbClr val="FFFFFF"/>
        </a:solidFill>
        <a:ln>
          <a:solidFill>
            <a:schemeClr val="tx1"/>
          </a:solidFill>
        </a:ln>
      </c:spPr>
    </c:title>
    <c:autoTitleDeleted val="0"/>
    <c:plotArea>
      <c:layout>
        <c:manualLayout>
          <c:layoutTarget val="inner"/>
          <c:xMode val="edge"/>
          <c:yMode val="edge"/>
          <c:x val="0.114942743771596"/>
          <c:y val="0.0515760033913908"/>
          <c:w val="0.862070578286971"/>
          <c:h val="0.82235072074051"/>
        </c:manualLayout>
      </c:layout>
      <c:scatterChart>
        <c:scatterStyle val="smooth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Returns_85_15!$U$113:$U$143</c:f>
              <c:numCache>
                <c:formatCode>#,##0</c:formatCode>
                <c:ptCount val="31"/>
                <c:pt idx="0">
                  <c:v>11909.42079258483</c:v>
                </c:pt>
                <c:pt idx="1">
                  <c:v>14436.9093015189</c:v>
                </c:pt>
                <c:pt idx="2">
                  <c:v>15270.65444433507</c:v>
                </c:pt>
                <c:pt idx="3">
                  <c:v>16454.09096799874</c:v>
                </c:pt>
                <c:pt idx="4">
                  <c:v>18575.84046086351</c:v>
                </c:pt>
                <c:pt idx="5">
                  <c:v>18395.28423457232</c:v>
                </c:pt>
                <c:pt idx="6">
                  <c:v>21878.95147768698</c:v>
                </c:pt>
                <c:pt idx="7">
                  <c:v>23752.28779374928</c:v>
                </c:pt>
                <c:pt idx="8">
                  <c:v>27440.04512006843</c:v>
                </c:pt>
                <c:pt idx="9">
                  <c:v>26787.54226340133</c:v>
                </c:pt>
                <c:pt idx="10">
                  <c:v>32269.44030070473</c:v>
                </c:pt>
                <c:pt idx="11">
                  <c:v>34644.35773704303</c:v>
                </c:pt>
                <c:pt idx="12">
                  <c:v>40216.93463331304</c:v>
                </c:pt>
                <c:pt idx="13">
                  <c:v>43698.67254794937</c:v>
                </c:pt>
                <c:pt idx="14">
                  <c:v>46477.69470126879</c:v>
                </c:pt>
                <c:pt idx="15">
                  <c:v>53356.10578939514</c:v>
                </c:pt>
                <c:pt idx="16">
                  <c:v>54471.26106101604</c:v>
                </c:pt>
                <c:pt idx="17">
                  <c:v>54745.97359627537</c:v>
                </c:pt>
                <c:pt idx="18">
                  <c:v>64960.28021952329</c:v>
                </c:pt>
                <c:pt idx="19">
                  <c:v>73993.0829071464</c:v>
                </c:pt>
                <c:pt idx="20">
                  <c:v>81610.71907191437</c:v>
                </c:pt>
                <c:pt idx="21">
                  <c:v>88978.24240246807</c:v>
                </c:pt>
                <c:pt idx="22">
                  <c:v>96877.39939844924</c:v>
                </c:pt>
                <c:pt idx="23">
                  <c:v>78789.26446303562</c:v>
                </c:pt>
                <c:pt idx="24">
                  <c:v>91541.53618684971</c:v>
                </c:pt>
                <c:pt idx="25">
                  <c:v>108196.3764010086</c:v>
                </c:pt>
                <c:pt idx="26">
                  <c:v>117581.4344871761</c:v>
                </c:pt>
                <c:pt idx="27">
                  <c:v>129379.593162329</c:v>
                </c:pt>
                <c:pt idx="28">
                  <c:v>141793.6648787027</c:v>
                </c:pt>
                <c:pt idx="29">
                  <c:v>161170.9008182275</c:v>
                </c:pt>
                <c:pt idx="30">
                  <c:v>157937.1334511304</c:v>
                </c:pt>
              </c:numCache>
            </c:numRef>
          </c:yVal>
          <c:smooth val="1"/>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Returns_85_15!$S$113:$S$143</c:f>
              <c:numCache>
                <c:formatCode>#,##0</c:formatCode>
                <c:ptCount val="31"/>
                <c:pt idx="0">
                  <c:v>11909.42079258483</c:v>
                </c:pt>
                <c:pt idx="1">
                  <c:v>14439.00145769517</c:v>
                </c:pt>
                <c:pt idx="2">
                  <c:v>15404.62496223876</c:v>
                </c:pt>
                <c:pt idx="3">
                  <c:v>16627.17548610381</c:v>
                </c:pt>
                <c:pt idx="4">
                  <c:v>18564.30692360702</c:v>
                </c:pt>
                <c:pt idx="5">
                  <c:v>18480.98776609069</c:v>
                </c:pt>
                <c:pt idx="6">
                  <c:v>21430.8146247336</c:v>
                </c:pt>
                <c:pt idx="7">
                  <c:v>22753.91901553485</c:v>
                </c:pt>
                <c:pt idx="8">
                  <c:v>26366.44041340434</c:v>
                </c:pt>
                <c:pt idx="9">
                  <c:v>25778.45861566926</c:v>
                </c:pt>
                <c:pt idx="10">
                  <c:v>29991.72602324393</c:v>
                </c:pt>
                <c:pt idx="11">
                  <c:v>31221.57027304633</c:v>
                </c:pt>
                <c:pt idx="12">
                  <c:v>33459.14508708743</c:v>
                </c:pt>
                <c:pt idx="13">
                  <c:v>35489.28157014455</c:v>
                </c:pt>
                <c:pt idx="14">
                  <c:v>36778.38456713253</c:v>
                </c:pt>
                <c:pt idx="15">
                  <c:v>40142.73478117061</c:v>
                </c:pt>
                <c:pt idx="16">
                  <c:v>41311.03931187602</c:v>
                </c:pt>
                <c:pt idx="17">
                  <c:v>45816.66524691936</c:v>
                </c:pt>
                <c:pt idx="18">
                  <c:v>53140.82133656149</c:v>
                </c:pt>
                <c:pt idx="19">
                  <c:v>58484.49378426671</c:v>
                </c:pt>
                <c:pt idx="20">
                  <c:v>64504.01030701236</c:v>
                </c:pt>
                <c:pt idx="21">
                  <c:v>70622.21568463249</c:v>
                </c:pt>
                <c:pt idx="22">
                  <c:v>80758.26919076936</c:v>
                </c:pt>
                <c:pt idx="23">
                  <c:v>77287.68257229605</c:v>
                </c:pt>
                <c:pt idx="24">
                  <c:v>89452.76380917545</c:v>
                </c:pt>
                <c:pt idx="25">
                  <c:v>105068.9800511622</c:v>
                </c:pt>
                <c:pt idx="26">
                  <c:v>118197.349108555</c:v>
                </c:pt>
                <c:pt idx="27">
                  <c:v>127845.2077295408</c:v>
                </c:pt>
                <c:pt idx="28">
                  <c:v>122961.5207942723</c:v>
                </c:pt>
                <c:pt idx="29">
                  <c:v>135414.4488127122</c:v>
                </c:pt>
                <c:pt idx="30">
                  <c:v>130167.1389212197</c:v>
                </c:pt>
              </c:numCache>
            </c:numRef>
          </c:yVal>
          <c:smooth val="1"/>
        </c:ser>
        <c:ser>
          <c:idx val="0"/>
          <c:order val="2"/>
          <c:tx>
            <c:v>CHP</c:v>
          </c:tx>
          <c:spPr>
            <a:ln w="12700">
              <a:solidFill>
                <a:srgbClr val="000080"/>
              </a:solidFill>
              <a:prstDash val="solid"/>
            </a:ln>
          </c:spPr>
          <c:marker>
            <c:symbol val="circle"/>
            <c:size val="5"/>
            <c:spPr>
              <a:solidFill>
                <a:srgbClr val="00FFFF"/>
              </a:solidFill>
              <a:ln>
                <a:solidFill>
                  <a:srgbClr val="000000"/>
                </a:solidFill>
                <a:prstDash val="solid"/>
              </a:ln>
            </c:spPr>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Returns_85_15!$T$113:$T$143</c:f>
              <c:numCache>
                <c:formatCode>#,##0</c:formatCode>
                <c:ptCount val="31"/>
                <c:pt idx="0">
                  <c:v>12707.60458431349</c:v>
                </c:pt>
                <c:pt idx="1">
                  <c:v>15112.30182089824</c:v>
                </c:pt>
                <c:pt idx="2">
                  <c:v>15340.51322755486</c:v>
                </c:pt>
                <c:pt idx="3">
                  <c:v>17881.56176493799</c:v>
                </c:pt>
                <c:pt idx="4">
                  <c:v>20851.59814345311</c:v>
                </c:pt>
                <c:pt idx="5">
                  <c:v>19688.13766572389</c:v>
                </c:pt>
                <c:pt idx="6">
                  <c:v>24755.25765392884</c:v>
                </c:pt>
                <c:pt idx="7">
                  <c:v>27281.10925596511</c:v>
                </c:pt>
                <c:pt idx="8">
                  <c:v>31841.78464459406</c:v>
                </c:pt>
                <c:pt idx="9">
                  <c:v>31716.45915640692</c:v>
                </c:pt>
                <c:pt idx="10">
                  <c:v>38886.43971926018</c:v>
                </c:pt>
                <c:pt idx="11">
                  <c:v>44362.75409753129</c:v>
                </c:pt>
                <c:pt idx="12">
                  <c:v>52094.3715246994</c:v>
                </c:pt>
                <c:pt idx="13">
                  <c:v>55612.58800843165</c:v>
                </c:pt>
                <c:pt idx="14">
                  <c:v>60213.01925420602</c:v>
                </c:pt>
                <c:pt idx="15">
                  <c:v>64580.26954071358</c:v>
                </c:pt>
                <c:pt idx="16">
                  <c:v>65795.67021346981</c:v>
                </c:pt>
                <c:pt idx="17">
                  <c:v>62139.4048197073</c:v>
                </c:pt>
                <c:pt idx="18">
                  <c:v>76769.50629045919</c:v>
                </c:pt>
                <c:pt idx="19">
                  <c:v>87366.76893879417</c:v>
                </c:pt>
                <c:pt idx="20">
                  <c:v>92814.08698212799</c:v>
                </c:pt>
                <c:pt idx="21">
                  <c:v>106871.7085964411</c:v>
                </c:pt>
                <c:pt idx="22">
                  <c:v>109683.5032496135</c:v>
                </c:pt>
                <c:pt idx="23">
                  <c:v>87520.85458299657</c:v>
                </c:pt>
                <c:pt idx="24">
                  <c:v>105249.0788873284</c:v>
                </c:pt>
                <c:pt idx="25">
                  <c:v>120702.8011403548</c:v>
                </c:pt>
                <c:pt idx="26">
                  <c:v>123136.1696113443</c:v>
                </c:pt>
                <c:pt idx="27">
                  <c:v>137825.0832842816</c:v>
                </c:pt>
                <c:pt idx="28">
                  <c:v>158136.3658078862</c:v>
                </c:pt>
                <c:pt idx="29">
                  <c:v>172882.5819194716</c:v>
                </c:pt>
                <c:pt idx="30">
                  <c:v>171276.5027334397</c:v>
                </c:pt>
              </c:numCache>
            </c:numRef>
          </c:yVal>
          <c:smooth val="1"/>
        </c:ser>
        <c:dLbls>
          <c:showLegendKey val="0"/>
          <c:showVal val="0"/>
          <c:showCatName val="0"/>
          <c:showSerName val="0"/>
          <c:showPercent val="0"/>
          <c:showBubbleSize val="0"/>
        </c:dLbls>
        <c:axId val="-2115499816"/>
        <c:axId val="-2115493624"/>
      </c:scatterChart>
      <c:valAx>
        <c:axId val="-2115499816"/>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493624"/>
        <c:crosses val="autoZero"/>
        <c:crossBetween val="midCat"/>
        <c:majorUnit val="2.0"/>
        <c:minorUnit val="1.0"/>
      </c:valAx>
      <c:valAx>
        <c:axId val="-2115493624"/>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499816"/>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wMode val="edge"/>
          <c:hMode val="edge"/>
          <c:x val="0.121645923291847"/>
          <c:y val="0.0744"/>
          <c:w val="0.289803572940479"/>
          <c:h val="0.2244"/>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Returns_85_15!$I$43</c:f>
          <c:strCache>
            <c:ptCount val="1"/>
            <c:pt idx="0">
              <c:v>Portfolio Growth (Real) 1985 - 2015</c:v>
            </c:pt>
          </c:strCache>
        </c:strRef>
      </c:tx>
      <c:layout>
        <c:manualLayout>
          <c:xMode val="edge"/>
          <c:yMode val="edge"/>
          <c:x val="0.434624502582338"/>
          <c:y val="0.0707692307692308"/>
        </c:manualLayout>
      </c:layout>
      <c:overlay val="1"/>
      <c:spPr>
        <a:solidFill>
          <a:srgbClr val="FFFFFF"/>
        </a:solidFill>
        <a:ln>
          <a:solidFill>
            <a:schemeClr val="tx1"/>
          </a:solidFill>
        </a:ln>
      </c:spPr>
    </c:title>
    <c:autoTitleDeleted val="0"/>
    <c:plotArea>
      <c:layout>
        <c:manualLayout>
          <c:layoutTarget val="inner"/>
          <c:xMode val="edge"/>
          <c:yMode val="edge"/>
          <c:x val="0.114068546953484"/>
          <c:y val="0.0521978722176986"/>
          <c:w val="0.86311867194803"/>
          <c:h val="0.804946134725563"/>
        </c:manualLayout>
      </c:layout>
      <c:scatterChart>
        <c:scatterStyle val="lineMarker"/>
        <c:varyColors val="0"/>
        <c:ser>
          <c:idx val="2"/>
          <c:order val="0"/>
          <c:tx>
            <c:v>Portfolio Unbalanced</c:v>
          </c:tx>
          <c:spPr>
            <a:ln w="12700">
              <a:solidFill>
                <a:srgbClr val="993366"/>
              </a:solidFill>
              <a:prstDash val="solid"/>
            </a:ln>
          </c:spPr>
          <c:marker>
            <c:symbol val="triangle"/>
            <c:size val="5"/>
            <c:spPr>
              <a:solidFill>
                <a:srgbClr val="FFFF00"/>
              </a:solidFill>
              <a:ln>
                <a:solidFill>
                  <a:srgbClr val="993366"/>
                </a:solidFill>
                <a:prstDash val="solid"/>
              </a:ln>
            </c:spPr>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Returns_85_15!$Z$113:$Z$143</c:f>
              <c:numCache>
                <c:formatCode>#,##0</c:formatCode>
                <c:ptCount val="31"/>
                <c:pt idx="0">
                  <c:v>11473.57739669883</c:v>
                </c:pt>
                <c:pt idx="1">
                  <c:v>13757.5253343886</c:v>
                </c:pt>
                <c:pt idx="2">
                  <c:v>13934.14136038547</c:v>
                </c:pt>
                <c:pt idx="3">
                  <c:v>14378.55418199392</c:v>
                </c:pt>
                <c:pt idx="4">
                  <c:v>15511.78430237056</c:v>
                </c:pt>
                <c:pt idx="5">
                  <c:v>14477.00620254458</c:v>
                </c:pt>
                <c:pt idx="6">
                  <c:v>16706.69753879941</c:v>
                </c:pt>
                <c:pt idx="7">
                  <c:v>17625.90489557293</c:v>
                </c:pt>
                <c:pt idx="8">
                  <c:v>19817.81036449386</c:v>
                </c:pt>
                <c:pt idx="9">
                  <c:v>18842.53974840454</c:v>
                </c:pt>
                <c:pt idx="10">
                  <c:v>22136.62582191665</c:v>
                </c:pt>
                <c:pt idx="11">
                  <c:v>23001.58177623348</c:v>
                </c:pt>
                <c:pt idx="12">
                  <c:v>26254.45267754408</c:v>
                </c:pt>
                <c:pt idx="13">
                  <c:v>28074.86405917673</c:v>
                </c:pt>
                <c:pt idx="14">
                  <c:v>29079.62716603446</c:v>
                </c:pt>
                <c:pt idx="15">
                  <c:v>32289.64333116841</c:v>
                </c:pt>
                <c:pt idx="16">
                  <c:v>32460.80243194671</c:v>
                </c:pt>
                <c:pt idx="17">
                  <c:v>31867.0592575334</c:v>
                </c:pt>
                <c:pt idx="18">
                  <c:v>37115.12483513725</c:v>
                </c:pt>
                <c:pt idx="19">
                  <c:v>40943.09842418554</c:v>
                </c:pt>
                <c:pt idx="20">
                  <c:v>43666.71096683219</c:v>
                </c:pt>
                <c:pt idx="21">
                  <c:v>46429.18198701624</c:v>
                </c:pt>
                <c:pt idx="22">
                  <c:v>48568.76990923792</c:v>
                </c:pt>
                <c:pt idx="23">
                  <c:v>39464.34132445555</c:v>
                </c:pt>
                <c:pt idx="24">
                  <c:v>44637.03819177335</c:v>
                </c:pt>
                <c:pt idx="25">
                  <c:v>51980.7026906145</c:v>
                </c:pt>
                <c:pt idx="26">
                  <c:v>54864.25011299423</c:v>
                </c:pt>
                <c:pt idx="27">
                  <c:v>59336.28843077003</c:v>
                </c:pt>
                <c:pt idx="28">
                  <c:v>64067.52619289238</c:v>
                </c:pt>
                <c:pt idx="29">
                  <c:v>72276.1011198718</c:v>
                </c:pt>
                <c:pt idx="30">
                  <c:v>70312.99081451859</c:v>
                </c:pt>
              </c:numCache>
            </c:numRef>
          </c:yVal>
          <c:smooth val="0"/>
        </c:ser>
        <c:ser>
          <c:idx val="1"/>
          <c:order val="1"/>
          <c:tx>
            <c:v>Portfolio Rebalanced</c:v>
          </c:tx>
          <c:spPr>
            <a:ln w="12700">
              <a:solidFill>
                <a:srgbClr val="FF0000"/>
              </a:solidFill>
              <a:prstDash val="solid"/>
            </a:ln>
          </c:spPr>
          <c:marker>
            <c:symbol val="circle"/>
            <c:size val="5"/>
            <c:spPr>
              <a:solidFill>
                <a:srgbClr val="FF0000"/>
              </a:solidFill>
              <a:ln>
                <a:solidFill>
                  <a:srgbClr val="000000"/>
                </a:solidFill>
                <a:prstDash val="solid"/>
              </a:ln>
            </c:spPr>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Returns_85_15!$V$113:$V$143</c:f>
              <c:numCache>
                <c:formatCode>#,##0</c:formatCode>
                <c:ptCount val="31"/>
                <c:pt idx="0">
                  <c:v>11473.57739669883</c:v>
                </c:pt>
                <c:pt idx="1">
                  <c:v>13759.51903615657</c:v>
                </c:pt>
                <c:pt idx="2">
                  <c:v>14056.38655566501</c:v>
                </c:pt>
                <c:pt idx="3">
                  <c:v>14529.80563225504</c:v>
                </c:pt>
                <c:pt idx="4">
                  <c:v>15502.15320424917</c:v>
                </c:pt>
                <c:pt idx="5">
                  <c:v>14544.45449752877</c:v>
                </c:pt>
                <c:pt idx="6">
                  <c:v>16364.5016677625</c:v>
                </c:pt>
                <c:pt idx="7">
                  <c:v>16885.04349778591</c:v>
                </c:pt>
                <c:pt idx="8">
                  <c:v>19042.4291874587</c:v>
                </c:pt>
                <c:pt idx="9">
                  <c:v>18132.74343506997</c:v>
                </c:pt>
                <c:pt idx="10">
                  <c:v>20574.12866610805</c:v>
                </c:pt>
                <c:pt idx="11">
                  <c:v>20729.07534521929</c:v>
                </c:pt>
                <c:pt idx="12">
                  <c:v>21842.82689194238</c:v>
                </c:pt>
                <c:pt idx="13">
                  <c:v>22800.61836080673</c:v>
                </c:pt>
                <c:pt idx="14">
                  <c:v>23011.07483612037</c:v>
                </c:pt>
                <c:pt idx="15">
                  <c:v>24293.2757037774</c:v>
                </c:pt>
                <c:pt idx="16">
                  <c:v>24618.29337600763</c:v>
                </c:pt>
                <c:pt idx="17">
                  <c:v>26669.40215865457</c:v>
                </c:pt>
                <c:pt idx="18">
                  <c:v>30362.06449668979</c:v>
                </c:pt>
                <c:pt idx="19">
                  <c:v>32361.62477920804</c:v>
                </c:pt>
                <c:pt idx="20">
                  <c:v>34513.57868561183</c:v>
                </c:pt>
                <c:pt idx="21">
                  <c:v>36850.93811492471</c:v>
                </c:pt>
                <c:pt idx="22">
                  <c:v>40487.5628263156</c:v>
                </c:pt>
                <c:pt idx="23">
                  <c:v>38712.22184895819</c:v>
                </c:pt>
                <c:pt idx="24">
                  <c:v>43618.5211744726</c:v>
                </c:pt>
                <c:pt idx="25">
                  <c:v>50478.21004470044</c:v>
                </c:pt>
                <c:pt idx="26">
                  <c:v>55151.63981854574</c:v>
                </c:pt>
                <c:pt idx="27">
                  <c:v>58632.58598142281</c:v>
                </c:pt>
                <c:pt idx="28">
                  <c:v>55558.47971729931</c:v>
                </c:pt>
                <c:pt idx="29">
                  <c:v>60725.7783246964</c:v>
                </c:pt>
                <c:pt idx="30">
                  <c:v>57949.8984395072</c:v>
                </c:pt>
              </c:numCache>
            </c:numRef>
          </c:yVal>
          <c:smooth val="0"/>
        </c:ser>
        <c:ser>
          <c:idx val="0"/>
          <c:order val="2"/>
          <c:tx>
            <c:v>CHP</c:v>
          </c:tx>
          <c:spPr>
            <a:ln w="12700">
              <a:solidFill>
                <a:srgbClr val="000080"/>
              </a:solidFill>
              <a:prstDash val="solid"/>
            </a:ln>
          </c:spPr>
          <c:marker>
            <c:symbol val="circle"/>
            <c:size val="5"/>
            <c:spPr>
              <a:solidFill>
                <a:srgbClr val="00FFFF"/>
              </a:solidFill>
              <a:ln>
                <a:solidFill>
                  <a:srgbClr val="000000"/>
                </a:solidFill>
                <a:prstDash val="solid"/>
              </a:ln>
            </c:spPr>
          </c:marker>
          <c:xVal>
            <c:numRef>
              <c:f>Returns_85_15!$Q$113:$Q$143</c:f>
              <c:numCache>
                <c:formatCode>General</c:formatCode>
                <c:ptCount val="31"/>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numCache>
            </c:numRef>
          </c:xVal>
          <c:yVal>
            <c:numRef>
              <c:f>Returns_85_15!$Y$113:$Y$143</c:f>
              <c:numCache>
                <c:formatCode>#,##0</c:formatCode>
                <c:ptCount val="31"/>
                <c:pt idx="0">
                  <c:v>12242.55043667165</c:v>
                </c:pt>
                <c:pt idx="1">
                  <c:v>14401.13467638539</c:v>
                </c:pt>
                <c:pt idx="2">
                  <c:v>13997.88598666835</c:v>
                </c:pt>
                <c:pt idx="3">
                  <c:v>15625.96227259727</c:v>
                </c:pt>
                <c:pt idx="4">
                  <c:v>17412.15927442993</c:v>
                </c:pt>
                <c:pt idx="5">
                  <c:v>15494.47605531186</c:v>
                </c:pt>
                <c:pt idx="6">
                  <c:v>18903.03575749607</c:v>
                </c:pt>
                <c:pt idx="7">
                  <c:v>20244.54407789378</c:v>
                </c:pt>
                <c:pt idx="8">
                  <c:v>22996.84446554017</c:v>
                </c:pt>
                <c:pt idx="9">
                  <c:v>22309.57347474717</c:v>
                </c:pt>
                <c:pt idx="10">
                  <c:v>26675.84431555766</c:v>
                </c:pt>
                <c:pt idx="11">
                  <c:v>29453.95968770523</c:v>
                </c:pt>
                <c:pt idx="12">
                  <c:v>34008.2908961615</c:v>
                </c:pt>
                <c:pt idx="13">
                  <c:v>35729.1367741785</c:v>
                </c:pt>
                <c:pt idx="14">
                  <c:v>37673.38637830005</c:v>
                </c:pt>
                <c:pt idx="15">
                  <c:v>39082.19760136292</c:v>
                </c:pt>
                <c:pt idx="16">
                  <c:v>39209.30432076049</c:v>
                </c:pt>
                <c:pt idx="17">
                  <c:v>36170.69832788936</c:v>
                </c:pt>
                <c:pt idx="18">
                  <c:v>43862.33864560695</c:v>
                </c:pt>
                <c:pt idx="19">
                  <c:v>48343.25154626924</c:v>
                </c:pt>
                <c:pt idx="20">
                  <c:v>49661.19593098621</c:v>
                </c:pt>
                <c:pt idx="21">
                  <c:v>55766.06003570495</c:v>
                </c:pt>
                <c:pt idx="22">
                  <c:v>54989.01565533675</c:v>
                </c:pt>
                <c:pt idx="23">
                  <c:v>43837.8616910666</c:v>
                </c:pt>
                <c:pt idx="24">
                  <c:v>51321.04342615937</c:v>
                </c:pt>
                <c:pt idx="25">
                  <c:v>57989.15480077642</c:v>
                </c:pt>
                <c:pt idx="26">
                  <c:v>57456.12508452345</c:v>
                </c:pt>
                <c:pt idx="27">
                  <c:v>63209.57343319442</c:v>
                </c:pt>
                <c:pt idx="28">
                  <c:v>71451.7518614988</c:v>
                </c:pt>
                <c:pt idx="29">
                  <c:v>77528.13261724433</c:v>
                </c:pt>
                <c:pt idx="30">
                  <c:v>76251.62556952211</c:v>
                </c:pt>
              </c:numCache>
            </c:numRef>
          </c:yVal>
          <c:smooth val="0"/>
        </c:ser>
        <c:dLbls>
          <c:showLegendKey val="0"/>
          <c:showVal val="0"/>
          <c:showCatName val="0"/>
          <c:showSerName val="0"/>
          <c:showPercent val="0"/>
          <c:showBubbleSize val="0"/>
        </c:dLbls>
        <c:axId val="-2115434216"/>
        <c:axId val="-2115428072"/>
      </c:scatterChart>
      <c:valAx>
        <c:axId val="-2115434216"/>
        <c:scaling>
          <c:orientation val="minMax"/>
        </c:scaling>
        <c:delete val="0"/>
        <c:axPos val="b"/>
        <c:majorGridlines>
          <c:spPr>
            <a:ln w="3175">
              <a:solidFill>
                <a:srgbClr val="C0C0C0"/>
              </a:solidFill>
              <a:prstDash val="solid"/>
            </a:ln>
          </c:spPr>
        </c:majorGridlines>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5428072"/>
        <c:crosses val="autoZero"/>
        <c:crossBetween val="midCat"/>
        <c:majorUnit val="2.0"/>
        <c:minorUnit val="1.0"/>
      </c:valAx>
      <c:valAx>
        <c:axId val="-2115428072"/>
        <c:scaling>
          <c:orientation val="minMax"/>
        </c:scaling>
        <c:delete val="0"/>
        <c:axPos val="l"/>
        <c:majorGridlines>
          <c:spPr>
            <a:ln w="3175">
              <a:solidFill>
                <a:srgbClr val="C0C0C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434216"/>
        <c:crosses val="autoZero"/>
        <c:crossBetween val="midCat"/>
      </c:valAx>
      <c:spPr>
        <a:gradFill rotWithShape="0">
          <a:gsLst>
            <a:gs pos="0">
              <a:srgbClr val="E6DCAC"/>
            </a:gs>
            <a:gs pos="12000">
              <a:srgbClr val="E6D78A"/>
            </a:gs>
            <a:gs pos="30000">
              <a:srgbClr val="C7AC4C"/>
            </a:gs>
            <a:gs pos="45000">
              <a:srgbClr val="E6D78A"/>
            </a:gs>
            <a:gs pos="77000">
              <a:srgbClr val="C7AC4C"/>
            </a:gs>
            <a:gs pos="100000">
              <a:srgbClr val="E6DCAC"/>
            </a:gs>
          </a:gsLst>
          <a:lin ang="2700000"/>
        </a:gradFill>
        <a:ln w="12700">
          <a:solidFill>
            <a:srgbClr val="808080"/>
          </a:solidFill>
          <a:prstDash val="solid"/>
        </a:ln>
      </c:spPr>
    </c:plotArea>
    <c:legend>
      <c:legendPos val="r"/>
      <c:layout>
        <c:manualLayout>
          <c:xMode val="edge"/>
          <c:yMode val="edge"/>
          <c:wMode val="edge"/>
          <c:hMode val="edge"/>
          <c:x val="0.118069031693619"/>
          <c:y val="0.0688459014738542"/>
          <c:w val="0.282648660852877"/>
          <c:h val="0.213076418332324"/>
        </c:manualLayout>
      </c:layout>
      <c:overlay val="0"/>
      <c:spPr>
        <a:solidFill>
          <a:srgbClr val="FFFFFF"/>
        </a:solidFill>
        <a:ln w="3175">
          <a:solidFill>
            <a:srgbClr val="808080"/>
          </a:solidFill>
          <a:prstDash val="solid"/>
        </a:ln>
      </c:spPr>
      <c:txPr>
        <a:bodyPr/>
        <a:lstStyle/>
        <a:p>
          <a:pPr>
            <a:defRPr sz="630" b="1"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Portfolios Return vs. Risk</a:t>
            </a:r>
          </a:p>
        </c:rich>
      </c:tx>
      <c:layout>
        <c:manualLayout>
          <c:xMode val="edge"/>
          <c:yMode val="edge"/>
          <c:x val="0.311844246699646"/>
          <c:y val="0.04"/>
        </c:manualLayout>
      </c:layout>
      <c:overlay val="0"/>
      <c:spPr>
        <a:noFill/>
        <a:ln w="25400">
          <a:noFill/>
        </a:ln>
      </c:spPr>
    </c:title>
    <c:autoTitleDeleted val="0"/>
    <c:plotArea>
      <c:layout>
        <c:manualLayout>
          <c:layoutTarget val="inner"/>
          <c:xMode val="edge"/>
          <c:yMode val="edge"/>
          <c:x val="0.127436375149614"/>
          <c:y val="0.157353640929585"/>
          <c:w val="0.739130975867761"/>
          <c:h val="0.703981845711218"/>
        </c:manualLayout>
      </c:layout>
      <c:scatterChart>
        <c:scatterStyle val="lineMarker"/>
        <c:varyColors val="0"/>
        <c:ser>
          <c:idx val="0"/>
          <c:order val="0"/>
          <c:tx>
            <c:strRef>
              <c:f>Compare_Portfolios!$C$95</c:f>
              <c:strCache>
                <c:ptCount val="1"/>
                <c:pt idx="0">
                  <c:v>P1</c:v>
                </c:pt>
              </c:strCache>
            </c:strRef>
          </c:tx>
          <c:spPr>
            <a:ln w="28575">
              <a:noFill/>
            </a:ln>
          </c:spPr>
          <c:marker>
            <c:symbol val="diamond"/>
            <c:size val="15"/>
            <c:spPr>
              <a:solidFill>
                <a:srgbClr val="000080"/>
              </a:solidFill>
              <a:ln>
                <a:solidFill>
                  <a:srgbClr val="000080"/>
                </a:solidFill>
                <a:prstDash val="solid"/>
              </a:ln>
            </c:spPr>
          </c:marker>
          <c:xVal>
            <c:numRef>
              <c:f>Compare_Portfolios!$C$97</c:f>
              <c:numCache>
                <c:formatCode>0.00%</c:formatCode>
                <c:ptCount val="1"/>
                <c:pt idx="0">
                  <c:v>0.145781288981225</c:v>
                </c:pt>
              </c:numCache>
            </c:numRef>
          </c:xVal>
          <c:yVal>
            <c:numRef>
              <c:f>Compare_Portfolios!$C$100</c:f>
              <c:numCache>
                <c:formatCode>0.00%</c:formatCode>
                <c:ptCount val="1"/>
                <c:pt idx="0">
                  <c:v>0.0995441346643346</c:v>
                </c:pt>
              </c:numCache>
            </c:numRef>
          </c:yVal>
          <c:smooth val="0"/>
        </c:ser>
        <c:ser>
          <c:idx val="1"/>
          <c:order val="1"/>
          <c:tx>
            <c:strRef>
              <c:f>Compare_Portfolios!$D$95</c:f>
              <c:strCache>
                <c:ptCount val="1"/>
                <c:pt idx="0">
                  <c:v>P2</c:v>
                </c:pt>
              </c:strCache>
            </c:strRef>
          </c:tx>
          <c:spPr>
            <a:ln w="28575">
              <a:noFill/>
            </a:ln>
          </c:spPr>
          <c:marker>
            <c:symbol val="square"/>
            <c:size val="15"/>
            <c:spPr>
              <a:solidFill>
                <a:srgbClr val="FF00FF"/>
              </a:solidFill>
              <a:ln>
                <a:solidFill>
                  <a:srgbClr val="FF00FF"/>
                </a:solidFill>
                <a:prstDash val="solid"/>
              </a:ln>
            </c:spPr>
          </c:marker>
          <c:xVal>
            <c:numRef>
              <c:f>Compare_Portfolios!$D$97</c:f>
              <c:numCache>
                <c:formatCode>0.00%</c:formatCode>
                <c:ptCount val="1"/>
                <c:pt idx="0">
                  <c:v>0.136846076315135</c:v>
                </c:pt>
              </c:numCache>
            </c:numRef>
          </c:xVal>
          <c:yVal>
            <c:numRef>
              <c:f>Compare_Portfolios!$D$100</c:f>
              <c:numCache>
                <c:formatCode>0.00%</c:formatCode>
                <c:ptCount val="1"/>
                <c:pt idx="0">
                  <c:v>0.109020333304814</c:v>
                </c:pt>
              </c:numCache>
            </c:numRef>
          </c:yVal>
          <c:smooth val="0"/>
        </c:ser>
        <c:ser>
          <c:idx val="2"/>
          <c:order val="2"/>
          <c:tx>
            <c:strRef>
              <c:f>Compare_Portfolios!$E$95</c:f>
              <c:strCache>
                <c:ptCount val="1"/>
                <c:pt idx="0">
                  <c:v>P3</c:v>
                </c:pt>
              </c:strCache>
            </c:strRef>
          </c:tx>
          <c:spPr>
            <a:ln w="28575">
              <a:noFill/>
            </a:ln>
          </c:spPr>
          <c:marker>
            <c:symbol val="triangle"/>
            <c:size val="15"/>
            <c:spPr>
              <a:solidFill>
                <a:srgbClr val="FFFF00"/>
              </a:solidFill>
              <a:ln>
                <a:solidFill>
                  <a:srgbClr val="FFFF00"/>
                </a:solidFill>
                <a:prstDash val="solid"/>
              </a:ln>
            </c:spPr>
          </c:marker>
          <c:xVal>
            <c:numRef>
              <c:f>Compare_Portfolios!$E$97</c:f>
              <c:numCache>
                <c:formatCode>0.00%</c:formatCode>
                <c:ptCount val="1"/>
                <c:pt idx="0">
                  <c:v>0.151747973815743</c:v>
                </c:pt>
              </c:numCache>
            </c:numRef>
          </c:xVal>
          <c:yVal>
            <c:numRef>
              <c:f>Compare_Portfolios!$E$100</c:f>
              <c:numCache>
                <c:formatCode>0.00%</c:formatCode>
                <c:ptCount val="1"/>
                <c:pt idx="0">
                  <c:v>0.114688610268292</c:v>
                </c:pt>
              </c:numCache>
            </c:numRef>
          </c:yVal>
          <c:smooth val="0"/>
        </c:ser>
        <c:ser>
          <c:idx val="3"/>
          <c:order val="3"/>
          <c:tx>
            <c:strRef>
              <c:f>Compare_Portfolios!$F$95</c:f>
              <c:strCache>
                <c:ptCount val="1"/>
                <c:pt idx="0">
                  <c:v>P4</c:v>
                </c:pt>
              </c:strCache>
            </c:strRef>
          </c:tx>
          <c:spPr>
            <a:ln w="28575">
              <a:noFill/>
            </a:ln>
          </c:spPr>
          <c:marker>
            <c:symbol val="diamond"/>
            <c:size val="15"/>
            <c:spPr>
              <a:solidFill>
                <a:srgbClr val="00FFFF"/>
              </a:solidFill>
              <a:ln>
                <a:solidFill>
                  <a:srgbClr val="00FFFF"/>
                </a:solidFill>
                <a:prstDash val="solid"/>
              </a:ln>
            </c:spPr>
          </c:marker>
          <c:xVal>
            <c:numRef>
              <c:f>Compare_Portfolios!$F$97</c:f>
              <c:numCache>
                <c:formatCode>0.00%</c:formatCode>
                <c:ptCount val="1"/>
                <c:pt idx="0">
                  <c:v>0.126367169767615</c:v>
                </c:pt>
              </c:numCache>
            </c:numRef>
          </c:xVal>
          <c:yVal>
            <c:numRef>
              <c:f>Compare_Portfolios!$F$100</c:f>
              <c:numCache>
                <c:formatCode>0.00%</c:formatCode>
                <c:ptCount val="1"/>
                <c:pt idx="0">
                  <c:v>0.111086131761435</c:v>
                </c:pt>
              </c:numCache>
            </c:numRef>
          </c:yVal>
          <c:smooth val="0"/>
        </c:ser>
        <c:ser>
          <c:idx val="4"/>
          <c:order val="4"/>
          <c:tx>
            <c:strRef>
              <c:f>Compare_Portfolios!$G$95</c:f>
              <c:strCache>
                <c:ptCount val="1"/>
                <c:pt idx="0">
                  <c:v>P5</c:v>
                </c:pt>
              </c:strCache>
            </c:strRef>
          </c:tx>
          <c:spPr>
            <a:ln w="28575">
              <a:noFill/>
            </a:ln>
          </c:spPr>
          <c:marker>
            <c:symbol val="circle"/>
            <c:size val="15"/>
            <c:spPr>
              <a:solidFill>
                <a:srgbClr val="808080"/>
              </a:solidFill>
              <a:ln>
                <a:solidFill>
                  <a:srgbClr val="808080"/>
                </a:solidFill>
                <a:prstDash val="solid"/>
              </a:ln>
            </c:spPr>
          </c:marker>
          <c:xVal>
            <c:numRef>
              <c:f>Compare_Portfolios!$G$97</c:f>
              <c:numCache>
                <c:formatCode>0.00%</c:formatCode>
                <c:ptCount val="1"/>
                <c:pt idx="0">
                  <c:v>0.120329089683156</c:v>
                </c:pt>
              </c:numCache>
            </c:numRef>
          </c:xVal>
          <c:yVal>
            <c:numRef>
              <c:f>Compare_Portfolios!$G$100</c:f>
              <c:numCache>
                <c:formatCode>0.00%</c:formatCode>
                <c:ptCount val="1"/>
                <c:pt idx="0">
                  <c:v>0.101942262066034</c:v>
                </c:pt>
              </c:numCache>
            </c:numRef>
          </c:yVal>
          <c:smooth val="0"/>
        </c:ser>
        <c:dLbls>
          <c:showLegendKey val="0"/>
          <c:showVal val="0"/>
          <c:showCatName val="0"/>
          <c:showSerName val="0"/>
          <c:showPercent val="0"/>
          <c:showBubbleSize val="0"/>
        </c:dLbls>
        <c:axId val="-2115928088"/>
        <c:axId val="-2115936328"/>
      </c:scatterChart>
      <c:valAx>
        <c:axId val="-21159280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Annualized Standard Deviation</a:t>
                </a:r>
              </a:p>
            </c:rich>
          </c:tx>
          <c:layout>
            <c:manualLayout>
              <c:xMode val="edge"/>
              <c:yMode val="edge"/>
              <c:x val="0.368815824137224"/>
              <c:y val="0.933335800130247"/>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936328"/>
        <c:crossesAt val="0.0"/>
        <c:crossBetween val="midCat"/>
      </c:valAx>
      <c:valAx>
        <c:axId val="-2115936328"/>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Annualized Return</a:t>
                </a:r>
              </a:p>
            </c:rich>
          </c:tx>
          <c:layout>
            <c:manualLayout>
              <c:xMode val="edge"/>
              <c:yMode val="edge"/>
              <c:x val="0.0254873693762257"/>
              <c:y val="0.418667929666686"/>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5928088"/>
        <c:crossesAt val="0.0"/>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manualLayout>
          <c:xMode val="edge"/>
          <c:yMode val="edge"/>
          <c:x val="0.911817024266019"/>
          <c:y val="0.354717305073708"/>
          <c:w val="0.058201124023066"/>
          <c:h val="0.339622876087857"/>
        </c:manualLayout>
      </c:layout>
      <c:overlay val="0"/>
      <c:spPr>
        <a:solidFill>
          <a:srgbClr val="FFFFFF"/>
        </a:solidFill>
        <a:ln w="3175">
          <a:solidFill>
            <a:srgbClr val="000000"/>
          </a:solidFill>
          <a:prstDash val="solid"/>
        </a:ln>
      </c:spPr>
      <c:txPr>
        <a:bodyPr/>
        <a:lstStyle/>
        <a:p>
          <a:pPr>
            <a:defRPr sz="705"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Portfolios Return vs. Risk</a:t>
            </a:r>
          </a:p>
        </c:rich>
      </c:tx>
      <c:layout>
        <c:manualLayout>
          <c:xMode val="edge"/>
          <c:yMode val="edge"/>
          <c:x val="0.318386118401866"/>
          <c:y val="0.0401070746838463"/>
        </c:manualLayout>
      </c:layout>
      <c:overlay val="0"/>
      <c:spPr>
        <a:noFill/>
        <a:ln w="25400">
          <a:noFill/>
        </a:ln>
      </c:spPr>
    </c:title>
    <c:autoTitleDeleted val="0"/>
    <c:plotArea>
      <c:layout>
        <c:manualLayout>
          <c:layoutTarget val="inner"/>
          <c:xMode val="edge"/>
          <c:yMode val="edge"/>
          <c:x val="0.125560721401931"/>
          <c:y val="0.149878370863592"/>
          <c:w val="0.744395705454306"/>
          <c:h val="0.708410434424076"/>
        </c:manualLayout>
      </c:layout>
      <c:scatterChart>
        <c:scatterStyle val="lineMarker"/>
        <c:varyColors val="0"/>
        <c:ser>
          <c:idx val="0"/>
          <c:order val="0"/>
          <c:tx>
            <c:strRef>
              <c:f>Compare_Portfolios!$L$95</c:f>
              <c:strCache>
                <c:ptCount val="1"/>
                <c:pt idx="0">
                  <c:v>P1</c:v>
                </c:pt>
              </c:strCache>
            </c:strRef>
          </c:tx>
          <c:spPr>
            <a:ln w="28575">
              <a:noFill/>
            </a:ln>
          </c:spPr>
          <c:marker>
            <c:symbol val="diamond"/>
            <c:size val="15"/>
            <c:spPr>
              <a:solidFill>
                <a:srgbClr val="000080"/>
              </a:solidFill>
              <a:ln>
                <a:solidFill>
                  <a:srgbClr val="000080"/>
                </a:solidFill>
                <a:prstDash val="solid"/>
              </a:ln>
            </c:spPr>
          </c:marker>
          <c:xVal>
            <c:numRef>
              <c:f>Compare_Portfolios!$L$97</c:f>
              <c:numCache>
                <c:formatCode>0.00%</c:formatCode>
                <c:ptCount val="1"/>
                <c:pt idx="0">
                  <c:v>0.103042426849762</c:v>
                </c:pt>
              </c:numCache>
            </c:numRef>
          </c:xVal>
          <c:yVal>
            <c:numRef>
              <c:f>Compare_Portfolios!$L$100</c:f>
              <c:numCache>
                <c:formatCode>0.00%</c:formatCode>
                <c:ptCount val="1"/>
                <c:pt idx="0">
                  <c:v>0.0948437269762572</c:v>
                </c:pt>
              </c:numCache>
            </c:numRef>
          </c:yVal>
          <c:smooth val="0"/>
        </c:ser>
        <c:ser>
          <c:idx val="1"/>
          <c:order val="1"/>
          <c:tx>
            <c:strRef>
              <c:f>Compare_Portfolios!$M$95</c:f>
              <c:strCache>
                <c:ptCount val="1"/>
                <c:pt idx="0">
                  <c:v>P2</c:v>
                </c:pt>
              </c:strCache>
            </c:strRef>
          </c:tx>
          <c:spPr>
            <a:ln w="28575">
              <a:noFill/>
            </a:ln>
          </c:spPr>
          <c:marker>
            <c:symbol val="square"/>
            <c:size val="15"/>
            <c:spPr>
              <a:solidFill>
                <a:srgbClr val="FF00FF"/>
              </a:solidFill>
              <a:ln>
                <a:solidFill>
                  <a:srgbClr val="FF00FF"/>
                </a:solidFill>
                <a:prstDash val="solid"/>
              </a:ln>
            </c:spPr>
          </c:marker>
          <c:xVal>
            <c:numRef>
              <c:f>Compare_Portfolios!$M$97</c:f>
              <c:numCache>
                <c:formatCode>0.00%</c:formatCode>
                <c:ptCount val="1"/>
                <c:pt idx="0">
                  <c:v>0.0596986192770447</c:v>
                </c:pt>
              </c:numCache>
            </c:numRef>
          </c:xVal>
          <c:yVal>
            <c:numRef>
              <c:f>Compare_Portfolios!$M$100</c:f>
              <c:numCache>
                <c:formatCode>0.00%</c:formatCode>
                <c:ptCount val="1"/>
                <c:pt idx="0">
                  <c:v>0.0737523404115916</c:v>
                </c:pt>
              </c:numCache>
            </c:numRef>
          </c:yVal>
          <c:smooth val="0"/>
        </c:ser>
        <c:ser>
          <c:idx val="2"/>
          <c:order val="2"/>
          <c:tx>
            <c:strRef>
              <c:f>Compare_Portfolios!$N$95</c:f>
              <c:strCache>
                <c:ptCount val="1"/>
                <c:pt idx="0">
                  <c:v>P3</c:v>
                </c:pt>
              </c:strCache>
            </c:strRef>
          </c:tx>
          <c:spPr>
            <a:ln w="28575">
              <a:noFill/>
            </a:ln>
          </c:spPr>
          <c:marker>
            <c:symbol val="triangle"/>
            <c:size val="15"/>
            <c:spPr>
              <a:solidFill>
                <a:srgbClr val="FFFF00"/>
              </a:solidFill>
              <a:ln>
                <a:solidFill>
                  <a:srgbClr val="FFFF00"/>
                </a:solidFill>
                <a:prstDash val="solid"/>
              </a:ln>
            </c:spPr>
          </c:marker>
          <c:xVal>
            <c:numRef>
              <c:f>Compare_Portfolios!$N$97</c:f>
              <c:numCache>
                <c:formatCode>0.00%</c:formatCode>
                <c:ptCount val="1"/>
                <c:pt idx="0">
                  <c:v>0.141635863868682</c:v>
                </c:pt>
              </c:numCache>
            </c:numRef>
          </c:xVal>
          <c:yVal>
            <c:numRef>
              <c:f>Compare_Portfolios!$N$100</c:f>
              <c:numCache>
                <c:formatCode>0.00%</c:formatCode>
                <c:ptCount val="1"/>
                <c:pt idx="0">
                  <c:v>0.106379594397376</c:v>
                </c:pt>
              </c:numCache>
            </c:numRef>
          </c:yVal>
          <c:smooth val="0"/>
        </c:ser>
        <c:ser>
          <c:idx val="3"/>
          <c:order val="3"/>
          <c:tx>
            <c:strRef>
              <c:f>Compare_Portfolios!$O$95</c:f>
              <c:strCache>
                <c:ptCount val="1"/>
                <c:pt idx="0">
                  <c:v>P4</c:v>
                </c:pt>
              </c:strCache>
            </c:strRef>
          </c:tx>
          <c:spPr>
            <a:ln w="28575">
              <a:noFill/>
            </a:ln>
          </c:spPr>
          <c:marker>
            <c:symbol val="diamond"/>
            <c:size val="15"/>
            <c:spPr>
              <a:solidFill>
                <a:srgbClr val="00FFFF"/>
              </a:solidFill>
              <a:ln>
                <a:solidFill>
                  <a:srgbClr val="00FFFF"/>
                </a:solidFill>
                <a:prstDash val="solid"/>
              </a:ln>
            </c:spPr>
          </c:marker>
          <c:xVal>
            <c:numRef>
              <c:f>Compare_Portfolios!$O$97</c:f>
              <c:numCache>
                <c:formatCode>0.00%</c:formatCode>
                <c:ptCount val="1"/>
                <c:pt idx="0">
                  <c:v>0.132427810736312</c:v>
                </c:pt>
              </c:numCache>
            </c:numRef>
          </c:xVal>
          <c:yVal>
            <c:numRef>
              <c:f>Compare_Portfolios!$O$100</c:f>
              <c:numCache>
                <c:formatCode>0.00%</c:formatCode>
                <c:ptCount val="1"/>
                <c:pt idx="0">
                  <c:v>0.104257797798848</c:v>
                </c:pt>
              </c:numCache>
            </c:numRef>
          </c:yVal>
          <c:smooth val="0"/>
        </c:ser>
        <c:ser>
          <c:idx val="4"/>
          <c:order val="4"/>
          <c:tx>
            <c:strRef>
              <c:f>Compare_Portfolios!$P$95</c:f>
              <c:strCache>
                <c:ptCount val="1"/>
                <c:pt idx="0">
                  <c:v>P5</c:v>
                </c:pt>
              </c:strCache>
            </c:strRef>
          </c:tx>
          <c:spPr>
            <a:ln w="28575">
              <a:noFill/>
            </a:ln>
          </c:spPr>
          <c:marker>
            <c:symbol val="circle"/>
            <c:size val="15"/>
            <c:spPr>
              <a:solidFill>
                <a:srgbClr val="808080"/>
              </a:solidFill>
              <a:ln>
                <a:solidFill>
                  <a:srgbClr val="808080"/>
                </a:solidFill>
                <a:prstDash val="solid"/>
              </a:ln>
            </c:spPr>
          </c:marker>
          <c:xVal>
            <c:numRef>
              <c:f>Compare_Portfolios!$P$97</c:f>
              <c:numCache>
                <c:formatCode>0.00%</c:formatCode>
                <c:ptCount val="1"/>
                <c:pt idx="0">
                  <c:v>0.064476642719058</c:v>
                </c:pt>
              </c:numCache>
            </c:numRef>
          </c:xVal>
          <c:yVal>
            <c:numRef>
              <c:f>Compare_Portfolios!$P$100</c:f>
              <c:numCache>
                <c:formatCode>0.00%</c:formatCode>
                <c:ptCount val="1"/>
                <c:pt idx="0">
                  <c:v>0.0755815059360234</c:v>
                </c:pt>
              </c:numCache>
            </c:numRef>
          </c:yVal>
          <c:smooth val="0"/>
        </c:ser>
        <c:dLbls>
          <c:showLegendKey val="0"/>
          <c:showVal val="0"/>
          <c:showCatName val="0"/>
          <c:showSerName val="0"/>
          <c:showPercent val="0"/>
          <c:showBubbleSize val="0"/>
        </c:dLbls>
        <c:axId val="-2115992520"/>
        <c:axId val="-2116000760"/>
      </c:scatterChart>
      <c:valAx>
        <c:axId val="-2115992520"/>
        <c:scaling>
          <c:orientation val="minMax"/>
        </c:scaling>
        <c:delete val="0"/>
        <c:axPos val="b"/>
        <c:title>
          <c:tx>
            <c:rich>
              <a:bodyPr/>
              <a:lstStyle/>
              <a:p>
                <a:pPr>
                  <a:defRPr sz="825" b="1" i="0" u="none" strike="noStrike" baseline="0">
                    <a:solidFill>
                      <a:srgbClr val="000000"/>
                    </a:solidFill>
                    <a:latin typeface="Arial"/>
                    <a:ea typeface="Arial"/>
                    <a:cs typeface="Arial"/>
                  </a:defRPr>
                </a:pPr>
                <a:r>
                  <a:rPr lang="en-US"/>
                  <a:t>Annualized Standard Deviation</a:t>
                </a:r>
              </a:p>
            </c:rich>
          </c:tx>
          <c:layout>
            <c:manualLayout>
              <c:xMode val="edge"/>
              <c:yMode val="edge"/>
              <c:x val="0.370702974628171"/>
              <c:y val="0.93048138869005"/>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2116000760"/>
        <c:crossesAt val="0.0"/>
        <c:crossBetween val="midCat"/>
      </c:valAx>
      <c:valAx>
        <c:axId val="-2116000760"/>
        <c:scaling>
          <c:orientation val="minMax"/>
        </c:scaling>
        <c:delete val="0"/>
        <c:axPos val="l"/>
        <c:majorGridlines>
          <c:spPr>
            <a:ln w="3175">
              <a:solidFill>
                <a:srgbClr val="000000"/>
              </a:solidFill>
              <a:prstDash val="solid"/>
            </a:ln>
          </c:spPr>
        </c:majorGridlines>
        <c:title>
          <c:tx>
            <c:rich>
              <a:bodyPr/>
              <a:lstStyle/>
              <a:p>
                <a:pPr>
                  <a:defRPr sz="825" b="1" i="0" u="none" strike="noStrike" baseline="0">
                    <a:solidFill>
                      <a:srgbClr val="000000"/>
                    </a:solidFill>
                    <a:latin typeface="Arial"/>
                    <a:ea typeface="Arial"/>
                    <a:cs typeface="Arial"/>
                  </a:defRPr>
                </a:pPr>
                <a:r>
                  <a:rPr lang="en-US"/>
                  <a:t>Annualized return</a:t>
                </a:r>
              </a:p>
            </c:rich>
          </c:tx>
          <c:layout>
            <c:manualLayout>
              <c:xMode val="edge"/>
              <c:yMode val="edge"/>
              <c:x val="0.0239163021289005"/>
              <c:y val="0.41978614889048"/>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2115992520"/>
        <c:crossesAt val="0.0"/>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manualLayout>
          <c:xMode val="edge"/>
          <c:yMode val="edge"/>
          <c:x val="0.912966754155731"/>
          <c:y val="0.344696671438797"/>
          <c:w val="0.0568384368620581"/>
          <c:h val="0.340908792650919"/>
        </c:manualLayout>
      </c:layout>
      <c:overlay val="0"/>
      <c:spPr>
        <a:solidFill>
          <a:srgbClr val="FFFFFF"/>
        </a:solidFill>
        <a:ln w="3175">
          <a:solidFill>
            <a:srgbClr val="000000"/>
          </a:solidFill>
          <a:prstDash val="solid"/>
        </a:ln>
      </c:spPr>
      <c:txPr>
        <a:bodyPr/>
        <a:lstStyle/>
        <a:p>
          <a:pPr>
            <a:defRPr sz="705"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Portfolios Return vs. Risk</a:t>
            </a:r>
          </a:p>
        </c:rich>
      </c:tx>
      <c:layout>
        <c:manualLayout>
          <c:xMode val="edge"/>
          <c:yMode val="edge"/>
          <c:x val="0.311844108935924"/>
          <c:y val="0.04"/>
        </c:manualLayout>
      </c:layout>
      <c:overlay val="0"/>
      <c:spPr>
        <a:noFill/>
        <a:ln w="25400">
          <a:noFill/>
        </a:ln>
      </c:spPr>
    </c:title>
    <c:autoTitleDeleted val="0"/>
    <c:plotArea>
      <c:layout>
        <c:manualLayout>
          <c:layoutTarget val="inner"/>
          <c:xMode val="edge"/>
          <c:yMode val="edge"/>
          <c:x val="0.127436375149614"/>
          <c:y val="0.153292883131554"/>
          <c:w val="0.739130975867761"/>
          <c:h val="0.708042883787992"/>
        </c:manualLayout>
      </c:layout>
      <c:scatterChart>
        <c:scatterStyle val="lineMarker"/>
        <c:varyColors val="0"/>
        <c:ser>
          <c:idx val="0"/>
          <c:order val="0"/>
          <c:tx>
            <c:strRef>
              <c:f>Compare_Portfolios!$U$95</c:f>
              <c:strCache>
                <c:ptCount val="1"/>
                <c:pt idx="0">
                  <c:v>P1</c:v>
                </c:pt>
              </c:strCache>
            </c:strRef>
          </c:tx>
          <c:spPr>
            <a:ln w="28575">
              <a:noFill/>
            </a:ln>
          </c:spPr>
          <c:marker>
            <c:symbol val="diamond"/>
            <c:size val="15"/>
            <c:spPr>
              <a:solidFill>
                <a:srgbClr val="000080"/>
              </a:solidFill>
              <a:ln>
                <a:solidFill>
                  <a:srgbClr val="000080"/>
                </a:solidFill>
                <a:prstDash val="solid"/>
              </a:ln>
            </c:spPr>
          </c:marker>
          <c:xVal>
            <c:numRef>
              <c:f>Compare_Portfolios!$U$97</c:f>
              <c:numCache>
                <c:formatCode>0.00%</c:formatCode>
                <c:ptCount val="1"/>
                <c:pt idx="0">
                  <c:v>0.0634845238254857</c:v>
                </c:pt>
              </c:numCache>
            </c:numRef>
          </c:xVal>
          <c:yVal>
            <c:numRef>
              <c:f>Compare_Portfolios!$U$100</c:f>
              <c:numCache>
                <c:formatCode>0.00%</c:formatCode>
                <c:ptCount val="1"/>
                <c:pt idx="0">
                  <c:v>0.0626797632801961</c:v>
                </c:pt>
              </c:numCache>
            </c:numRef>
          </c:yVal>
          <c:smooth val="0"/>
        </c:ser>
        <c:ser>
          <c:idx val="1"/>
          <c:order val="1"/>
          <c:tx>
            <c:strRef>
              <c:f>Compare_Portfolios!$V$95</c:f>
              <c:strCache>
                <c:ptCount val="1"/>
                <c:pt idx="0">
                  <c:v>P2</c:v>
                </c:pt>
              </c:strCache>
            </c:strRef>
          </c:tx>
          <c:spPr>
            <a:ln w="28575">
              <a:noFill/>
            </a:ln>
          </c:spPr>
          <c:marker>
            <c:symbol val="square"/>
            <c:size val="15"/>
            <c:spPr>
              <a:solidFill>
                <a:srgbClr val="FF00FF"/>
              </a:solidFill>
              <a:ln>
                <a:solidFill>
                  <a:srgbClr val="FF00FF"/>
                </a:solidFill>
                <a:prstDash val="solid"/>
              </a:ln>
            </c:spPr>
          </c:marker>
          <c:xVal>
            <c:numRef>
              <c:f>Compare_Portfolios!$V$97</c:f>
              <c:numCache>
                <c:formatCode>0.00%</c:formatCode>
                <c:ptCount val="1"/>
                <c:pt idx="0">
                  <c:v>0.0922780709518273</c:v>
                </c:pt>
              </c:numCache>
            </c:numRef>
          </c:xVal>
          <c:yVal>
            <c:numRef>
              <c:f>Compare_Portfolios!$V$100</c:f>
              <c:numCache>
                <c:formatCode>0.00%</c:formatCode>
                <c:ptCount val="1"/>
                <c:pt idx="0">
                  <c:v>0.071533353718547</c:v>
                </c:pt>
              </c:numCache>
            </c:numRef>
          </c:yVal>
          <c:smooth val="0"/>
        </c:ser>
        <c:ser>
          <c:idx val="2"/>
          <c:order val="2"/>
          <c:tx>
            <c:strRef>
              <c:f>Compare_Portfolios!$W$95</c:f>
              <c:strCache>
                <c:ptCount val="1"/>
                <c:pt idx="0">
                  <c:v>P3</c:v>
                </c:pt>
              </c:strCache>
            </c:strRef>
          </c:tx>
          <c:spPr>
            <a:ln w="28575">
              <a:noFill/>
            </a:ln>
          </c:spPr>
          <c:marker>
            <c:symbol val="triangle"/>
            <c:size val="15"/>
            <c:spPr>
              <a:solidFill>
                <a:srgbClr val="FFFF00"/>
              </a:solidFill>
              <a:ln>
                <a:solidFill>
                  <a:srgbClr val="FFFF00"/>
                </a:solidFill>
                <a:prstDash val="solid"/>
              </a:ln>
            </c:spPr>
          </c:marker>
          <c:xVal>
            <c:numRef>
              <c:f>Compare_Portfolios!$W$97</c:f>
              <c:numCache>
                <c:formatCode>0.00%</c:formatCode>
                <c:ptCount val="1"/>
                <c:pt idx="0">
                  <c:v>0.108539686341414</c:v>
                </c:pt>
              </c:numCache>
            </c:numRef>
          </c:xVal>
          <c:yVal>
            <c:numRef>
              <c:f>Compare_Portfolios!$W$100</c:f>
              <c:numCache>
                <c:formatCode>0.00%</c:formatCode>
                <c:ptCount val="1"/>
                <c:pt idx="0">
                  <c:v>0.0754779713057159</c:v>
                </c:pt>
              </c:numCache>
            </c:numRef>
          </c:yVal>
          <c:smooth val="0"/>
        </c:ser>
        <c:ser>
          <c:idx val="3"/>
          <c:order val="3"/>
          <c:tx>
            <c:strRef>
              <c:f>Compare_Portfolios!$X$95</c:f>
              <c:strCache>
                <c:ptCount val="1"/>
                <c:pt idx="0">
                  <c:v>P4</c:v>
                </c:pt>
              </c:strCache>
            </c:strRef>
          </c:tx>
          <c:spPr>
            <a:ln w="28575">
              <a:noFill/>
            </a:ln>
          </c:spPr>
          <c:marker>
            <c:symbol val="diamond"/>
            <c:size val="15"/>
            <c:spPr>
              <a:solidFill>
                <a:srgbClr val="00FFFF"/>
              </a:solidFill>
              <a:ln>
                <a:solidFill>
                  <a:srgbClr val="00FFFF"/>
                </a:solidFill>
                <a:prstDash val="solid"/>
              </a:ln>
            </c:spPr>
          </c:marker>
          <c:xVal>
            <c:numRef>
              <c:f>Compare_Portfolios!$X$97</c:f>
              <c:numCache>
                <c:formatCode>0.00%</c:formatCode>
                <c:ptCount val="1"/>
                <c:pt idx="0">
                  <c:v>0.125413633738582</c:v>
                </c:pt>
              </c:numCache>
            </c:numRef>
          </c:xVal>
          <c:yVal>
            <c:numRef>
              <c:f>Compare_Portfolios!$X$100</c:f>
              <c:numCache>
                <c:formatCode>0.00%</c:formatCode>
                <c:ptCount val="1"/>
                <c:pt idx="0">
                  <c:v>0.0790965860461987</c:v>
                </c:pt>
              </c:numCache>
            </c:numRef>
          </c:yVal>
          <c:smooth val="0"/>
        </c:ser>
        <c:ser>
          <c:idx val="4"/>
          <c:order val="4"/>
          <c:tx>
            <c:strRef>
              <c:f>Compare_Portfolios!$Y$95</c:f>
              <c:strCache>
                <c:ptCount val="1"/>
                <c:pt idx="0">
                  <c:v>P5</c:v>
                </c:pt>
              </c:strCache>
            </c:strRef>
          </c:tx>
          <c:spPr>
            <a:ln w="28575">
              <a:noFill/>
            </a:ln>
          </c:spPr>
          <c:marker>
            <c:symbol val="circle"/>
            <c:size val="15"/>
            <c:spPr>
              <a:solidFill>
                <a:srgbClr val="808080"/>
              </a:solidFill>
              <a:ln>
                <a:solidFill>
                  <a:srgbClr val="808080"/>
                </a:solidFill>
                <a:prstDash val="solid"/>
              </a:ln>
            </c:spPr>
          </c:marker>
          <c:xVal>
            <c:numRef>
              <c:f>Compare_Portfolios!$Y$97</c:f>
              <c:numCache>
                <c:formatCode>0.00%</c:formatCode>
                <c:ptCount val="1"/>
                <c:pt idx="0">
                  <c:v>0.142682831580602</c:v>
                </c:pt>
              </c:numCache>
            </c:numRef>
          </c:xVal>
          <c:yVal>
            <c:numRef>
              <c:f>Compare_Portfolios!$Y$100</c:f>
              <c:numCache>
                <c:formatCode>0.00%</c:formatCode>
                <c:ptCount val="1"/>
                <c:pt idx="0">
                  <c:v>0.0823834586727217</c:v>
                </c:pt>
              </c:numCache>
            </c:numRef>
          </c:yVal>
          <c:smooth val="0"/>
        </c:ser>
        <c:dLbls>
          <c:showLegendKey val="0"/>
          <c:showVal val="0"/>
          <c:showCatName val="0"/>
          <c:showSerName val="0"/>
          <c:showPercent val="0"/>
          <c:showBubbleSize val="0"/>
        </c:dLbls>
        <c:axId val="-2114796792"/>
        <c:axId val="-2114788504"/>
      </c:scatterChart>
      <c:valAx>
        <c:axId val="-21147967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Annualized Standard Deviation</a:t>
                </a:r>
              </a:p>
            </c:rich>
          </c:tx>
          <c:layout>
            <c:manualLayout>
              <c:xMode val="edge"/>
              <c:yMode val="edge"/>
              <c:x val="0.368815863613379"/>
              <c:y val="0.933335908483138"/>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4788504"/>
        <c:crossesAt val="0.0"/>
        <c:crossBetween val="midCat"/>
      </c:valAx>
      <c:valAx>
        <c:axId val="-211478850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Annualized Return</a:t>
                </a:r>
              </a:p>
            </c:rich>
          </c:tx>
          <c:layout>
            <c:manualLayout>
              <c:xMode val="edge"/>
              <c:yMode val="edge"/>
              <c:x val="0.0254873943509355"/>
              <c:y val="0.418667954241569"/>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4796792"/>
        <c:crossesAt val="0.0"/>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manualLayout>
          <c:xMode val="edge"/>
          <c:yMode val="edge"/>
          <c:x val="0.911816947193527"/>
          <c:y val="0.354717278264745"/>
          <c:w val="0.0582009679982669"/>
          <c:h val="0.339622938642104"/>
        </c:manualLayout>
      </c:layout>
      <c:overlay val="0"/>
      <c:spPr>
        <a:solidFill>
          <a:srgbClr val="FFFFFF"/>
        </a:solidFill>
        <a:ln w="3175">
          <a:solidFill>
            <a:srgbClr val="000000"/>
          </a:solidFill>
          <a:prstDash val="solid"/>
        </a:ln>
      </c:spPr>
      <c:txPr>
        <a:bodyPr/>
        <a:lstStyle/>
        <a:p>
          <a:pPr>
            <a:defRPr sz="705"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Compare_Portfolios!$C$213</c:f>
          <c:strCache>
            <c:ptCount val="1"/>
            <c:pt idx="0">
              <c:v>Telltale chart relative to P1</c:v>
            </c:pt>
          </c:strCache>
        </c:strRef>
      </c:tx>
      <c:layout>
        <c:manualLayout>
          <c:xMode val="edge"/>
          <c:yMode val="edge"/>
          <c:x val="0.157116707814121"/>
          <c:y val="0.0649076760141824"/>
        </c:manualLayout>
      </c:layout>
      <c:overlay val="1"/>
      <c:spPr>
        <a:solidFill>
          <a:schemeClr val="bg1"/>
        </a:solidFill>
        <a:ln>
          <a:solidFill>
            <a:schemeClr val="tx1"/>
          </a:solidFill>
        </a:ln>
      </c:spPr>
      <c:txPr>
        <a:bodyPr lIns="2">
          <a:spAutoFit/>
        </a:bodyPr>
        <a:lstStyle/>
        <a:p>
          <a:pPr>
            <a:defRPr b="0"/>
          </a:pPr>
          <a:endParaRPr lang="en-US"/>
        </a:p>
      </c:txPr>
    </c:title>
    <c:autoTitleDeleted val="0"/>
    <c:plotArea>
      <c:layout>
        <c:manualLayout>
          <c:layoutTarget val="inner"/>
          <c:xMode val="edge"/>
          <c:yMode val="edge"/>
          <c:x val="0.114942743771596"/>
          <c:y val="0.0515760033913908"/>
          <c:w val="0.862070578286971"/>
          <c:h val="0.783501903826491"/>
        </c:manualLayout>
      </c:layout>
      <c:scatterChart>
        <c:scatterStyle val="smoothMarker"/>
        <c:varyColors val="0"/>
        <c:ser>
          <c:idx val="2"/>
          <c:order val="0"/>
          <c:tx>
            <c:strRef>
              <c:f>Compare_Portfolios!$D$95</c:f>
              <c:strCache>
                <c:ptCount val="1"/>
                <c:pt idx="0">
                  <c:v>P2</c:v>
                </c:pt>
              </c:strCache>
            </c:strRef>
          </c:tx>
          <c:spPr>
            <a:ln w="12700">
              <a:solidFill>
                <a:srgbClr val="993366"/>
              </a:solidFill>
              <a:prstDash val="solid"/>
            </a:ln>
          </c:spPr>
          <c:marker>
            <c:symbol val="triangle"/>
            <c:size val="5"/>
            <c:spPr>
              <a:solidFill>
                <a:srgbClr val="FFFF00"/>
              </a:solidFill>
              <a:ln>
                <a:solidFill>
                  <a:srgbClr val="993366"/>
                </a:solidFill>
                <a:prstDash val="solid"/>
              </a:ln>
            </c:spPr>
          </c:marker>
          <c:xVal>
            <c:numRef>
              <c:f>Compare_Portfolios!$B$215:$B$259</c:f>
              <c:numCache>
                <c:formatCode>0</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#N/A</c:v>
                </c:pt>
              </c:numCache>
            </c:numRef>
          </c:xVal>
          <c:yVal>
            <c:numRef>
              <c:f>Compare_Portfolios!$D$215:$D$259</c:f>
              <c:numCache>
                <c:formatCode>0.00</c:formatCode>
                <c:ptCount val="45"/>
                <c:pt idx="0">
                  <c:v>0.970545469308219</c:v>
                </c:pt>
                <c:pt idx="1">
                  <c:v>0.978400020198568</c:v>
                </c:pt>
                <c:pt idx="2">
                  <c:v>1.018609232194742</c:v>
                </c:pt>
                <c:pt idx="3">
                  <c:v>1.066330365895905</c:v>
                </c:pt>
                <c:pt idx="4">
                  <c:v>1.145441784990607</c:v>
                </c:pt>
                <c:pt idx="5">
                  <c:v>1.212535262563619</c:v>
                </c:pt>
                <c:pt idx="6">
                  <c:v>1.230584904876845</c:v>
                </c:pt>
                <c:pt idx="7">
                  <c:v>1.264747161999382</c:v>
                </c:pt>
                <c:pt idx="8">
                  <c:v>1.237657665676138</c:v>
                </c:pt>
                <c:pt idx="9">
                  <c:v>1.302869552164578</c:v>
                </c:pt>
                <c:pt idx="10">
                  <c:v>1.319920866169675</c:v>
                </c:pt>
                <c:pt idx="11">
                  <c:v>1.350866222645671</c:v>
                </c:pt>
                <c:pt idx="12">
                  <c:v>1.349663887347694</c:v>
                </c:pt>
                <c:pt idx="13">
                  <c:v>1.320620156335987</c:v>
                </c:pt>
                <c:pt idx="14">
                  <c:v>1.277204225603183</c:v>
                </c:pt>
                <c:pt idx="15">
                  <c:v>1.258114999015378</c:v>
                </c:pt>
                <c:pt idx="16">
                  <c:v>1.283401052244723</c:v>
                </c:pt>
                <c:pt idx="17">
                  <c:v>1.260135667113859</c:v>
                </c:pt>
                <c:pt idx="18">
                  <c:v>1.241515876357347</c:v>
                </c:pt>
                <c:pt idx="19">
                  <c:v>1.242738005396505</c:v>
                </c:pt>
                <c:pt idx="20">
                  <c:v>1.29778096993556</c:v>
                </c:pt>
                <c:pt idx="21">
                  <c:v>1.327683619733133</c:v>
                </c:pt>
                <c:pt idx="22">
                  <c:v>1.322574378117406</c:v>
                </c:pt>
                <c:pt idx="23">
                  <c:v>1.304691847985264</c:v>
                </c:pt>
                <c:pt idx="24">
                  <c:v>1.305944217431993</c:v>
                </c:pt>
                <c:pt idx="25">
                  <c:v>1.29226226143226</c:v>
                </c:pt>
                <c:pt idx="26">
                  <c:v>1.2014292536401</c:v>
                </c:pt>
                <c:pt idx="27">
                  <c:v>1.147336870271112</c:v>
                </c:pt>
                <c:pt idx="28">
                  <c:v>1.27678412459623</c:v>
                </c:pt>
                <c:pt idx="29">
                  <c:v>1.369948195750759</c:v>
                </c:pt>
                <c:pt idx="30">
                  <c:v>1.412581208744043</c:v>
                </c:pt>
                <c:pt idx="31">
                  <c:v>1.419068901954522</c:v>
                </c:pt>
                <c:pt idx="32">
                  <c:v>1.441307574363853</c:v>
                </c:pt>
                <c:pt idx="33">
                  <c:v>1.458174208992321</c:v>
                </c:pt>
                <c:pt idx="34">
                  <c:v>1.461344397601165</c:v>
                </c:pt>
                <c:pt idx="35">
                  <c:v>1.430085047385451</c:v>
                </c:pt>
                <c:pt idx="36">
                  <c:v>1.484121035964825</c:v>
                </c:pt>
                <c:pt idx="37">
                  <c:v>1.476258026564841</c:v>
                </c:pt>
                <c:pt idx="38">
                  <c:v>1.487926941907582</c:v>
                </c:pt>
                <c:pt idx="39">
                  <c:v>1.483354520345547</c:v>
                </c:pt>
                <c:pt idx="40">
                  <c:v>1.476260481136366</c:v>
                </c:pt>
                <c:pt idx="41">
                  <c:v>1.479433459931705</c:v>
                </c:pt>
                <c:pt idx="42">
                  <c:v>1.476804936370771</c:v>
                </c:pt>
                <c:pt idx="43">
                  <c:v>1.458750684666198</c:v>
                </c:pt>
                <c:pt idx="44">
                  <c:v>#N/A</c:v>
                </c:pt>
              </c:numCache>
            </c:numRef>
          </c:yVal>
          <c:smooth val="1"/>
        </c:ser>
        <c:ser>
          <c:idx val="1"/>
          <c:order val="1"/>
          <c:tx>
            <c:strRef>
              <c:f>Compare_Portfolios!$E$95</c:f>
              <c:strCache>
                <c:ptCount val="1"/>
                <c:pt idx="0">
                  <c:v>P3</c:v>
                </c:pt>
              </c:strCache>
            </c:strRef>
          </c:tx>
          <c:spPr>
            <a:ln w="12700">
              <a:solidFill>
                <a:srgbClr val="FF0000"/>
              </a:solidFill>
              <a:prstDash val="solid"/>
            </a:ln>
          </c:spPr>
          <c:marker>
            <c:symbol val="circle"/>
            <c:size val="5"/>
            <c:spPr>
              <a:solidFill>
                <a:schemeClr val="accent6">
                  <a:lumMod val="40000"/>
                  <a:lumOff val="60000"/>
                </a:schemeClr>
              </a:solidFill>
              <a:ln>
                <a:solidFill>
                  <a:srgbClr val="FF6600"/>
                </a:solidFill>
                <a:prstDash val="solid"/>
              </a:ln>
            </c:spPr>
          </c:marker>
          <c:xVal>
            <c:numRef>
              <c:f>Compare_Portfolios!$B$215:$B$259</c:f>
              <c:numCache>
                <c:formatCode>0</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#N/A</c:v>
                </c:pt>
              </c:numCache>
            </c:numRef>
          </c:xVal>
          <c:yVal>
            <c:numRef>
              <c:f>Compare_Portfolios!$E$215:$E$259</c:f>
              <c:numCache>
                <c:formatCode>0.00</c:formatCode>
                <c:ptCount val="45"/>
                <c:pt idx="0">
                  <c:v>0.978385173068737</c:v>
                </c:pt>
                <c:pt idx="1">
                  <c:v>0.935007741439313</c:v>
                </c:pt>
                <c:pt idx="2">
                  <c:v>0.96009149354068</c:v>
                </c:pt>
                <c:pt idx="3">
                  <c:v>1.019347292780635</c:v>
                </c:pt>
                <c:pt idx="4">
                  <c:v>1.099034333586384</c:v>
                </c:pt>
                <c:pt idx="5">
                  <c:v>1.195618997151113</c:v>
                </c:pt>
                <c:pt idx="6">
                  <c:v>1.251809094233282</c:v>
                </c:pt>
                <c:pt idx="7">
                  <c:v>1.297141759601411</c:v>
                </c:pt>
                <c:pt idx="8">
                  <c:v>1.283080992919789</c:v>
                </c:pt>
                <c:pt idx="9">
                  <c:v>1.36467633959727</c:v>
                </c:pt>
                <c:pt idx="10">
                  <c:v>1.380764320342789</c:v>
                </c:pt>
                <c:pt idx="11">
                  <c:v>1.429482701862487</c:v>
                </c:pt>
                <c:pt idx="12">
                  <c:v>1.429622249198516</c:v>
                </c:pt>
                <c:pt idx="13">
                  <c:v>1.423061495941473</c:v>
                </c:pt>
                <c:pt idx="14">
                  <c:v>1.399616159653535</c:v>
                </c:pt>
                <c:pt idx="15">
                  <c:v>1.393970165565395</c:v>
                </c:pt>
                <c:pt idx="16">
                  <c:v>1.448851341399447</c:v>
                </c:pt>
                <c:pt idx="17">
                  <c:v>1.438426786010536</c:v>
                </c:pt>
                <c:pt idx="18">
                  <c:v>1.382394848730427</c:v>
                </c:pt>
                <c:pt idx="19">
                  <c:v>1.429565025278696</c:v>
                </c:pt>
                <c:pt idx="20">
                  <c:v>1.505165466316196</c:v>
                </c:pt>
                <c:pt idx="21">
                  <c:v>1.587079197537751</c:v>
                </c:pt>
                <c:pt idx="22">
                  <c:v>1.573091416191887</c:v>
                </c:pt>
                <c:pt idx="23">
                  <c:v>1.53473028836406</c:v>
                </c:pt>
                <c:pt idx="24">
                  <c:v>1.547023875283803</c:v>
                </c:pt>
                <c:pt idx="25">
                  <c:v>1.50259400477481</c:v>
                </c:pt>
                <c:pt idx="26">
                  <c:v>1.353672155523411</c:v>
                </c:pt>
                <c:pt idx="27">
                  <c:v>1.329491024757319</c:v>
                </c:pt>
                <c:pt idx="28">
                  <c:v>1.463294092779018</c:v>
                </c:pt>
                <c:pt idx="29">
                  <c:v>1.605214936910006</c:v>
                </c:pt>
                <c:pt idx="30">
                  <c:v>1.645230450986808</c:v>
                </c:pt>
                <c:pt idx="31">
                  <c:v>1.70379902223668</c:v>
                </c:pt>
                <c:pt idx="32">
                  <c:v>1.749971134060155</c:v>
                </c:pt>
                <c:pt idx="33">
                  <c:v>1.790960924080352</c:v>
                </c:pt>
                <c:pt idx="34">
                  <c:v>1.804631091767004</c:v>
                </c:pt>
                <c:pt idx="35">
                  <c:v>1.789701018847122</c:v>
                </c:pt>
                <c:pt idx="36">
                  <c:v>1.7731632098367</c:v>
                </c:pt>
                <c:pt idx="37">
                  <c:v>1.849383097328397</c:v>
                </c:pt>
                <c:pt idx="38">
                  <c:v>1.891268564376092</c:v>
                </c:pt>
                <c:pt idx="39">
                  <c:v>1.853491238098403</c:v>
                </c:pt>
                <c:pt idx="40">
                  <c:v>1.87154372451824</c:v>
                </c:pt>
                <c:pt idx="41">
                  <c:v>1.880239927189001</c:v>
                </c:pt>
                <c:pt idx="42">
                  <c:v>1.870049645289443</c:v>
                </c:pt>
                <c:pt idx="43">
                  <c:v>1.825574178974791</c:v>
                </c:pt>
                <c:pt idx="44">
                  <c:v>#N/A</c:v>
                </c:pt>
              </c:numCache>
            </c:numRef>
          </c:yVal>
          <c:smooth val="1"/>
        </c:ser>
        <c:ser>
          <c:idx val="0"/>
          <c:order val="2"/>
          <c:tx>
            <c:strRef>
              <c:f>Compare_Portfolios!$F$95</c:f>
              <c:strCache>
                <c:ptCount val="1"/>
                <c:pt idx="0">
                  <c:v>P4</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Compare_Portfolios!$B$215:$B$259</c:f>
              <c:numCache>
                <c:formatCode>0</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#N/A</c:v>
                </c:pt>
              </c:numCache>
            </c:numRef>
          </c:xVal>
          <c:yVal>
            <c:numRef>
              <c:f>Compare_Portfolios!$F$215:$F$259</c:f>
              <c:numCache>
                <c:formatCode>0.00</c:formatCode>
                <c:ptCount val="45"/>
                <c:pt idx="0">
                  <c:v>0.94884091165641</c:v>
                </c:pt>
                <c:pt idx="1">
                  <c:v>0.96518897493845</c:v>
                </c:pt>
                <c:pt idx="2">
                  <c:v>1.034958800773428</c:v>
                </c:pt>
                <c:pt idx="3">
                  <c:v>1.051642606156746</c:v>
                </c:pt>
                <c:pt idx="4">
                  <c:v>1.142336930243721</c:v>
                </c:pt>
                <c:pt idx="5">
                  <c:v>1.246211177100159</c:v>
                </c:pt>
                <c:pt idx="6">
                  <c:v>1.27159567334223</c:v>
                </c:pt>
                <c:pt idx="7">
                  <c:v>1.323372452239282</c:v>
                </c:pt>
                <c:pt idx="8">
                  <c:v>1.300661995521732</c:v>
                </c:pt>
                <c:pt idx="9">
                  <c:v>1.401755869759503</c:v>
                </c:pt>
                <c:pt idx="10">
                  <c:v>1.397497246456584</c:v>
                </c:pt>
                <c:pt idx="11">
                  <c:v>1.450307621704929</c:v>
                </c:pt>
                <c:pt idx="12">
                  <c:v>1.482076052732567</c:v>
                </c:pt>
                <c:pt idx="13">
                  <c:v>1.404589567804726</c:v>
                </c:pt>
                <c:pt idx="14">
                  <c:v>1.335395417767329</c:v>
                </c:pt>
                <c:pt idx="15">
                  <c:v>1.305941481466198</c:v>
                </c:pt>
                <c:pt idx="16">
                  <c:v>1.324361824557247</c:v>
                </c:pt>
                <c:pt idx="17">
                  <c:v>1.278710001211512</c:v>
                </c:pt>
                <c:pt idx="18">
                  <c:v>1.269123492738811</c:v>
                </c:pt>
                <c:pt idx="19">
                  <c:v>1.293666134365498</c:v>
                </c:pt>
                <c:pt idx="20">
                  <c:v>1.390732309831882</c:v>
                </c:pt>
                <c:pt idx="21">
                  <c:v>1.439971420409043</c:v>
                </c:pt>
                <c:pt idx="22">
                  <c:v>1.426161566280791</c:v>
                </c:pt>
                <c:pt idx="23">
                  <c:v>1.34695066497949</c:v>
                </c:pt>
                <c:pt idx="24">
                  <c:v>1.370840307080921</c:v>
                </c:pt>
                <c:pt idx="25">
                  <c:v>1.34403294995508</c:v>
                </c:pt>
                <c:pt idx="26">
                  <c:v>1.170118694613771</c:v>
                </c:pt>
                <c:pt idx="27">
                  <c:v>1.103646179907763</c:v>
                </c:pt>
                <c:pt idx="28">
                  <c:v>1.250516544989481</c:v>
                </c:pt>
                <c:pt idx="29">
                  <c:v>1.407871433068759</c:v>
                </c:pt>
                <c:pt idx="30">
                  <c:v>1.532332415172293</c:v>
                </c:pt>
                <c:pt idx="31">
                  <c:v>1.528756960952047</c:v>
                </c:pt>
                <c:pt idx="32">
                  <c:v>1.567555776907048</c:v>
                </c:pt>
                <c:pt idx="33">
                  <c:v>1.578383900979771</c:v>
                </c:pt>
                <c:pt idx="34">
                  <c:v>1.59033674001688</c:v>
                </c:pt>
                <c:pt idx="35">
                  <c:v>1.538512097434175</c:v>
                </c:pt>
                <c:pt idx="36">
                  <c:v>1.648846916780918</c:v>
                </c:pt>
                <c:pt idx="37">
                  <c:v>1.637016858699954</c:v>
                </c:pt>
                <c:pt idx="38">
                  <c:v>1.660639432201086</c:v>
                </c:pt>
                <c:pt idx="39">
                  <c:v>1.680950047234777</c:v>
                </c:pt>
                <c:pt idx="40">
                  <c:v>1.662564633129752</c:v>
                </c:pt>
                <c:pt idx="41">
                  <c:v>1.582324734862898</c:v>
                </c:pt>
                <c:pt idx="42">
                  <c:v>1.605367212975572</c:v>
                </c:pt>
                <c:pt idx="43">
                  <c:v>1.583225112559995</c:v>
                </c:pt>
                <c:pt idx="44">
                  <c:v>#N/A</c:v>
                </c:pt>
              </c:numCache>
            </c:numRef>
          </c:yVal>
          <c:smooth val="1"/>
        </c:ser>
        <c:ser>
          <c:idx val="3"/>
          <c:order val="3"/>
          <c:tx>
            <c:strRef>
              <c:f>Compare_Portfolios!$G$95</c:f>
              <c:strCache>
                <c:ptCount val="1"/>
                <c:pt idx="0">
                  <c:v>P5</c:v>
                </c:pt>
              </c:strCache>
            </c:strRef>
          </c:tx>
          <c:spPr>
            <a:ln w="9525" cmpd="sng"/>
          </c:spPr>
          <c:marker>
            <c:symbol val="triangle"/>
            <c:size val="5"/>
            <c:spPr>
              <a:solidFill>
                <a:schemeClr val="accent1">
                  <a:lumMod val="20000"/>
                  <a:lumOff val="80000"/>
                </a:schemeClr>
              </a:solidFill>
              <a:ln>
                <a:solidFill>
                  <a:srgbClr val="0000FF"/>
                </a:solidFill>
              </a:ln>
            </c:spPr>
          </c:marker>
          <c:xVal>
            <c:numRef>
              <c:f>Compare_Portfolios!$B$215:$B$259</c:f>
              <c:numCache>
                <c:formatCode>0</c:formatCode>
                <c:ptCount val="45"/>
                <c:pt idx="0">
                  <c:v>1972.0</c:v>
                </c:pt>
                <c:pt idx="1">
                  <c:v>1973.0</c:v>
                </c:pt>
                <c:pt idx="2">
                  <c:v>1974.0</c:v>
                </c:pt>
                <c:pt idx="3">
                  <c:v>1975.0</c:v>
                </c:pt>
                <c:pt idx="4">
                  <c:v>1976.0</c:v>
                </c:pt>
                <c:pt idx="5">
                  <c:v>1977.0</c:v>
                </c:pt>
                <c:pt idx="6">
                  <c:v>1978.0</c:v>
                </c:pt>
                <c:pt idx="7">
                  <c:v>1979.0</c:v>
                </c:pt>
                <c:pt idx="8">
                  <c:v>1980.0</c:v>
                </c:pt>
                <c:pt idx="9">
                  <c:v>1981.0</c:v>
                </c:pt>
                <c:pt idx="10">
                  <c:v>1982.0</c:v>
                </c:pt>
                <c:pt idx="11">
                  <c:v>1983.0</c:v>
                </c:pt>
                <c:pt idx="12">
                  <c:v>1984.0</c:v>
                </c:pt>
                <c:pt idx="13">
                  <c:v>1985.0</c:v>
                </c:pt>
                <c:pt idx="14">
                  <c:v>1986.0</c:v>
                </c:pt>
                <c:pt idx="15">
                  <c:v>1987.0</c:v>
                </c:pt>
                <c:pt idx="16">
                  <c:v>1988.0</c:v>
                </c:pt>
                <c:pt idx="17">
                  <c:v>1989.0</c:v>
                </c:pt>
                <c:pt idx="18">
                  <c:v>1990.0</c:v>
                </c:pt>
                <c:pt idx="19">
                  <c:v>1991.0</c:v>
                </c:pt>
                <c:pt idx="20">
                  <c:v>1992.0</c:v>
                </c:pt>
                <c:pt idx="21">
                  <c:v>1993.0</c:v>
                </c:pt>
                <c:pt idx="22">
                  <c:v>1994.0</c:v>
                </c:pt>
                <c:pt idx="23">
                  <c:v>1995.0</c:v>
                </c:pt>
                <c:pt idx="24">
                  <c:v>1996.0</c:v>
                </c:pt>
                <c:pt idx="25">
                  <c:v>1997.0</c:v>
                </c:pt>
                <c:pt idx="26">
                  <c:v>1998.0</c:v>
                </c:pt>
                <c:pt idx="27">
                  <c:v>1999.0</c:v>
                </c:pt>
                <c:pt idx="28">
                  <c:v>2000.0</c:v>
                </c:pt>
                <c:pt idx="29">
                  <c:v>2001.0</c:v>
                </c:pt>
                <c:pt idx="30">
                  <c:v>2002.0</c:v>
                </c:pt>
                <c:pt idx="31">
                  <c:v>2003.0</c:v>
                </c:pt>
                <c:pt idx="32">
                  <c:v>2004.0</c:v>
                </c:pt>
                <c:pt idx="33">
                  <c:v>2005.0</c:v>
                </c:pt>
                <c:pt idx="34">
                  <c:v>2006.0</c:v>
                </c:pt>
                <c:pt idx="35">
                  <c:v>2007.0</c:v>
                </c:pt>
                <c:pt idx="36">
                  <c:v>2008.0</c:v>
                </c:pt>
                <c:pt idx="37">
                  <c:v>2009.0</c:v>
                </c:pt>
                <c:pt idx="38">
                  <c:v>2010.0</c:v>
                </c:pt>
                <c:pt idx="39">
                  <c:v>2011.0</c:v>
                </c:pt>
                <c:pt idx="40">
                  <c:v>2012.0</c:v>
                </c:pt>
                <c:pt idx="41">
                  <c:v>2013.0</c:v>
                </c:pt>
                <c:pt idx="42">
                  <c:v>2014.0</c:v>
                </c:pt>
                <c:pt idx="43">
                  <c:v>2015.0</c:v>
                </c:pt>
                <c:pt idx="44">
                  <c:v>#N/A</c:v>
                </c:pt>
              </c:numCache>
            </c:numRef>
          </c:xVal>
          <c:yVal>
            <c:numRef>
              <c:f>Compare_Portfolios!$G$215:$G$259</c:f>
              <c:numCache>
                <c:formatCode>0.00</c:formatCode>
                <c:ptCount val="45"/>
                <c:pt idx="0">
                  <c:v>0.966466261746093</c:v>
                </c:pt>
                <c:pt idx="1">
                  <c:v>0.988568945108714</c:v>
                </c:pt>
                <c:pt idx="2">
                  <c:v>1.077119484485648</c:v>
                </c:pt>
                <c:pt idx="3">
                  <c:v>1.060682406599011</c:v>
                </c:pt>
                <c:pt idx="4">
                  <c:v>1.045178073364573</c:v>
                </c:pt>
                <c:pt idx="5">
                  <c:v>1.114285233815996</c:v>
                </c:pt>
                <c:pt idx="6">
                  <c:v>1.144314095511392</c:v>
                </c:pt>
                <c:pt idx="7">
                  <c:v>1.129479534200812</c:v>
                </c:pt>
                <c:pt idx="8">
                  <c:v>1.093626753480215</c:v>
                </c:pt>
                <c:pt idx="9">
                  <c:v>1.138454596365053</c:v>
                </c:pt>
                <c:pt idx="10">
                  <c:v>1.089830737273591</c:v>
                </c:pt>
                <c:pt idx="11">
                  <c:v>1.099993264322121</c:v>
                </c:pt>
                <c:pt idx="12">
                  <c:v>1.122233496956346</c:v>
                </c:pt>
                <c:pt idx="13">
                  <c:v>1.08500490630109</c:v>
                </c:pt>
                <c:pt idx="14">
                  <c:v>1.084729977368348</c:v>
                </c:pt>
                <c:pt idx="15">
                  <c:v>1.096352263793438</c:v>
                </c:pt>
                <c:pt idx="16">
                  <c:v>1.11451945692291</c:v>
                </c:pt>
                <c:pt idx="17">
                  <c:v>1.085196752159229</c:v>
                </c:pt>
                <c:pt idx="18">
                  <c:v>1.103428912104353</c:v>
                </c:pt>
                <c:pt idx="19">
                  <c:v>1.099427379146519</c:v>
                </c:pt>
                <c:pt idx="20">
                  <c:v>1.128453597561956</c:v>
                </c:pt>
                <c:pt idx="21">
                  <c:v>1.172431632216931</c:v>
                </c:pt>
                <c:pt idx="22">
                  <c:v>1.168370038709714</c:v>
                </c:pt>
                <c:pt idx="23">
                  <c:v>1.087118145659707</c:v>
                </c:pt>
                <c:pt idx="24">
                  <c:v>1.06003442311234</c:v>
                </c:pt>
                <c:pt idx="25">
                  <c:v>1.009567305489178</c:v>
                </c:pt>
                <c:pt idx="26">
                  <c:v>0.927586874173155</c:v>
                </c:pt>
                <c:pt idx="27">
                  <c:v>0.907021341417363</c:v>
                </c:pt>
                <c:pt idx="28">
                  <c:v>0.95940032294311</c:v>
                </c:pt>
                <c:pt idx="29">
                  <c:v>1.039158841718407</c:v>
                </c:pt>
                <c:pt idx="30">
                  <c:v>1.145259828154132</c:v>
                </c:pt>
                <c:pt idx="31">
                  <c:v>1.121307275261912</c:v>
                </c:pt>
                <c:pt idx="32">
                  <c:v>1.127865379738784</c:v>
                </c:pt>
                <c:pt idx="33">
                  <c:v>1.133966684952788</c:v>
                </c:pt>
                <c:pt idx="34">
                  <c:v>1.110217775040732</c:v>
                </c:pt>
                <c:pt idx="35">
                  <c:v>1.124791392568505</c:v>
                </c:pt>
                <c:pt idx="36">
                  <c:v>1.238991985588174</c:v>
                </c:pt>
                <c:pt idx="37">
                  <c:v>1.227410242322773</c:v>
                </c:pt>
                <c:pt idx="38">
                  <c:v>1.214514110319755</c:v>
                </c:pt>
                <c:pt idx="39">
                  <c:v>1.238051976999317</c:v>
                </c:pt>
                <c:pt idx="40">
                  <c:v>1.221501608718704</c:v>
                </c:pt>
                <c:pt idx="41">
                  <c:v>1.132804009815008</c:v>
                </c:pt>
                <c:pt idx="42">
                  <c:v>1.114204221087007</c:v>
                </c:pt>
                <c:pt idx="43">
                  <c:v>1.100605372877286</c:v>
                </c:pt>
                <c:pt idx="44">
                  <c:v>#N/A</c:v>
                </c:pt>
              </c:numCache>
            </c:numRef>
          </c:yVal>
          <c:smooth val="1"/>
        </c:ser>
        <c:dLbls>
          <c:showLegendKey val="0"/>
          <c:showVal val="0"/>
          <c:showCatName val="0"/>
          <c:showSerName val="0"/>
          <c:showPercent val="0"/>
          <c:showBubbleSize val="0"/>
        </c:dLbls>
        <c:axId val="-2114738440"/>
        <c:axId val="-2114731768"/>
      </c:scatterChart>
      <c:valAx>
        <c:axId val="-2114738440"/>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4731768"/>
        <c:crosses val="autoZero"/>
        <c:crossBetween val="midCat"/>
        <c:majorUnit val="2.0"/>
      </c:valAx>
      <c:valAx>
        <c:axId val="-2114731768"/>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4738440"/>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x val="0.121645946854046"/>
          <c:y val="0.727119537689368"/>
          <c:w val="0.187422611134647"/>
          <c:h val="0.094939908827186"/>
        </c:manualLayout>
      </c:layout>
      <c:overlay val="0"/>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Compare_Portfolios!$L$213</c:f>
          <c:strCache>
            <c:ptCount val="1"/>
            <c:pt idx="0">
              <c:v>Telltale chart relative to P1</c:v>
            </c:pt>
          </c:strCache>
        </c:strRef>
      </c:tx>
      <c:layout>
        <c:manualLayout>
          <c:xMode val="edge"/>
          <c:yMode val="edge"/>
          <c:x val="0.171952142345843"/>
          <c:y val="0.067775935902749"/>
        </c:manualLayout>
      </c:layout>
      <c:overlay val="1"/>
      <c:spPr>
        <a:solidFill>
          <a:schemeClr val="bg1"/>
        </a:solidFill>
        <a:ln>
          <a:solidFill>
            <a:schemeClr val="tx1"/>
          </a:solidFill>
        </a:ln>
      </c:spPr>
      <c:txPr>
        <a:bodyPr lIns="2">
          <a:spAutoFit/>
        </a:bodyPr>
        <a:lstStyle/>
        <a:p>
          <a:pPr>
            <a:defRPr b="0"/>
          </a:pPr>
          <a:endParaRPr lang="en-US"/>
        </a:p>
      </c:txPr>
    </c:title>
    <c:autoTitleDeleted val="0"/>
    <c:plotArea>
      <c:layout>
        <c:manualLayout>
          <c:layoutTarget val="inner"/>
          <c:xMode val="edge"/>
          <c:yMode val="edge"/>
          <c:x val="0.114942743771596"/>
          <c:y val="0.0515760033913908"/>
          <c:w val="0.862070578286971"/>
          <c:h val="0.783501903826491"/>
        </c:manualLayout>
      </c:layout>
      <c:scatterChart>
        <c:scatterStyle val="smoothMarker"/>
        <c:varyColors val="0"/>
        <c:ser>
          <c:idx val="2"/>
          <c:order val="0"/>
          <c:tx>
            <c:strRef>
              <c:f>Compare_Portfolios!$M$95</c:f>
              <c:strCache>
                <c:ptCount val="1"/>
                <c:pt idx="0">
                  <c:v>P2</c:v>
                </c:pt>
              </c:strCache>
            </c:strRef>
          </c:tx>
          <c:spPr>
            <a:ln w="12700">
              <a:solidFill>
                <a:srgbClr val="993366"/>
              </a:solidFill>
              <a:prstDash val="solid"/>
            </a:ln>
          </c:spPr>
          <c:marker>
            <c:symbol val="triangle"/>
            <c:size val="5"/>
            <c:spPr>
              <a:solidFill>
                <a:srgbClr val="FFFF00"/>
              </a:solidFill>
              <a:ln>
                <a:solidFill>
                  <a:srgbClr val="993366"/>
                </a:solidFill>
                <a:prstDash val="solid"/>
              </a:ln>
            </c:spPr>
          </c:marker>
          <c:xVal>
            <c:numRef>
              <c:f>Compare_Portfolios!$K$215:$K$246</c:f>
              <c:numCache>
                <c:formatCode>0</c:formatCode>
                <c:ptCount val="32"/>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#N/A</c:v>
                </c:pt>
              </c:numCache>
            </c:numRef>
          </c:xVal>
          <c:yVal>
            <c:numRef>
              <c:f>Compare_Portfolios!$M$215:$M$246</c:f>
              <c:numCache>
                <c:formatCode>0.00</c:formatCode>
                <c:ptCount val="32"/>
                <c:pt idx="0">
                  <c:v>0.973392493252532</c:v>
                </c:pt>
                <c:pt idx="1">
                  <c:v>0.989688637185647</c:v>
                </c:pt>
                <c:pt idx="2">
                  <c:v>0.997287333419889</c:v>
                </c:pt>
                <c:pt idx="3">
                  <c:v>0.886344793448229</c:v>
                </c:pt>
                <c:pt idx="4">
                  <c:v>0.827104849575519</c:v>
                </c:pt>
                <c:pt idx="5">
                  <c:v>0.81623984176425</c:v>
                </c:pt>
                <c:pt idx="6">
                  <c:v>0.739675819735528</c:v>
                </c:pt>
                <c:pt idx="7">
                  <c:v>0.707280109107034</c:v>
                </c:pt>
                <c:pt idx="8">
                  <c:v>0.708315035655055</c:v>
                </c:pt>
                <c:pt idx="9">
                  <c:v>0.688515947276502</c:v>
                </c:pt>
                <c:pt idx="10">
                  <c:v>0.659282639624353</c:v>
                </c:pt>
                <c:pt idx="11">
                  <c:v>0.605203061947688</c:v>
                </c:pt>
                <c:pt idx="12">
                  <c:v>0.547416744175234</c:v>
                </c:pt>
                <c:pt idx="13">
                  <c:v>0.551206744377493</c:v>
                </c:pt>
                <c:pt idx="14">
                  <c:v>0.496009840283887</c:v>
                </c:pt>
                <c:pt idx="15">
                  <c:v>0.495184701116565</c:v>
                </c:pt>
                <c:pt idx="16">
                  <c:v>0.520188279439355</c:v>
                </c:pt>
                <c:pt idx="17">
                  <c:v>0.541843395523238</c:v>
                </c:pt>
                <c:pt idx="18">
                  <c:v>0.50126008589019</c:v>
                </c:pt>
                <c:pt idx="19">
                  <c:v>0.477577647933499</c:v>
                </c:pt>
                <c:pt idx="20">
                  <c:v>0.482824774579248</c:v>
                </c:pt>
                <c:pt idx="21">
                  <c:v>0.498441415546549</c:v>
                </c:pt>
                <c:pt idx="22">
                  <c:v>0.50852742420006</c:v>
                </c:pt>
                <c:pt idx="23">
                  <c:v>0.662947737023001</c:v>
                </c:pt>
                <c:pt idx="24">
                  <c:v>0.594575043692519</c:v>
                </c:pt>
                <c:pt idx="25">
                  <c:v>0.591266135034345</c:v>
                </c:pt>
                <c:pt idx="26">
                  <c:v>0.620470558331003</c:v>
                </c:pt>
                <c:pt idx="27">
                  <c:v>0.595099879056858</c:v>
                </c:pt>
                <c:pt idx="28">
                  <c:v>0.524807769087092</c:v>
                </c:pt>
                <c:pt idx="29">
                  <c:v>0.539481487164213</c:v>
                </c:pt>
                <c:pt idx="30">
                  <c:v>0.547156624143962</c:v>
                </c:pt>
                <c:pt idx="31">
                  <c:v>#N/A</c:v>
                </c:pt>
              </c:numCache>
            </c:numRef>
          </c:yVal>
          <c:smooth val="1"/>
        </c:ser>
        <c:ser>
          <c:idx val="1"/>
          <c:order val="1"/>
          <c:tx>
            <c:strRef>
              <c:f>Compare_Portfolios!$N$95</c:f>
              <c:strCache>
                <c:ptCount val="1"/>
                <c:pt idx="0">
                  <c:v>P3</c:v>
                </c:pt>
              </c:strCache>
            </c:strRef>
          </c:tx>
          <c:spPr>
            <a:ln w="12700">
              <a:solidFill>
                <a:srgbClr val="FF0000"/>
              </a:solidFill>
              <a:prstDash val="solid"/>
            </a:ln>
          </c:spPr>
          <c:marker>
            <c:symbol val="circle"/>
            <c:size val="5"/>
            <c:spPr>
              <a:solidFill>
                <a:schemeClr val="accent6">
                  <a:lumMod val="40000"/>
                  <a:lumOff val="60000"/>
                </a:schemeClr>
              </a:solidFill>
              <a:ln>
                <a:solidFill>
                  <a:srgbClr val="FF6600"/>
                </a:solidFill>
                <a:prstDash val="solid"/>
              </a:ln>
            </c:spPr>
          </c:marker>
          <c:xVal>
            <c:numRef>
              <c:f>Compare_Portfolios!$K$215:$K$246</c:f>
              <c:numCache>
                <c:formatCode>0</c:formatCode>
                <c:ptCount val="32"/>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#N/A</c:v>
                </c:pt>
              </c:numCache>
            </c:numRef>
          </c:xVal>
          <c:yVal>
            <c:numRef>
              <c:f>Compare_Portfolios!$N$215:$N$246</c:f>
              <c:numCache>
                <c:formatCode>0.00</c:formatCode>
                <c:ptCount val="32"/>
                <c:pt idx="0">
                  <c:v>1.109647809419499</c:v>
                </c:pt>
                <c:pt idx="1">
                  <c:v>1.258814394420413</c:v>
                </c:pt>
                <c:pt idx="2">
                  <c:v>1.284185993325142</c:v>
                </c:pt>
                <c:pt idx="3">
                  <c:v>1.322613068255469</c:v>
                </c:pt>
                <c:pt idx="4">
                  <c:v>1.326509628067076</c:v>
                </c:pt>
                <c:pt idx="5">
                  <c:v>1.169248941110097</c:v>
                </c:pt>
                <c:pt idx="6">
                  <c:v>1.200508297693373</c:v>
                </c:pt>
                <c:pt idx="7">
                  <c:v>1.186358540812406</c:v>
                </c:pt>
                <c:pt idx="8">
                  <c:v>1.3143237347615</c:v>
                </c:pt>
                <c:pt idx="9">
                  <c:v>1.308780890911038</c:v>
                </c:pt>
                <c:pt idx="10">
                  <c:v>1.290795943897302</c:v>
                </c:pt>
                <c:pt idx="11">
                  <c:v>1.303711783139749</c:v>
                </c:pt>
                <c:pt idx="12">
                  <c:v>1.254863847667329</c:v>
                </c:pt>
                <c:pt idx="13">
                  <c:v>1.237442322941096</c:v>
                </c:pt>
                <c:pt idx="14">
                  <c:v>1.250861004281927</c:v>
                </c:pt>
                <c:pt idx="15">
                  <c:v>1.221255551664574</c:v>
                </c:pt>
                <c:pt idx="16">
                  <c:v>1.232946988753948</c:v>
                </c:pt>
                <c:pt idx="17">
                  <c:v>1.100384941770784</c:v>
                </c:pt>
                <c:pt idx="18">
                  <c:v>1.177595850257754</c:v>
                </c:pt>
                <c:pt idx="19">
                  <c:v>1.231809111358041</c:v>
                </c:pt>
                <c:pt idx="20">
                  <c:v>1.26937053967145</c:v>
                </c:pt>
                <c:pt idx="21">
                  <c:v>1.40988796347775</c:v>
                </c:pt>
                <c:pt idx="22">
                  <c:v>1.349626231224145</c:v>
                </c:pt>
                <c:pt idx="23">
                  <c:v>1.254087153149541</c:v>
                </c:pt>
                <c:pt idx="24">
                  <c:v>1.294333014722823</c:v>
                </c:pt>
                <c:pt idx="25">
                  <c:v>1.299967211439511</c:v>
                </c:pt>
                <c:pt idx="26">
                  <c:v>1.214003278626013</c:v>
                </c:pt>
                <c:pt idx="27">
                  <c:v>1.253164058018013</c:v>
                </c:pt>
                <c:pt idx="28">
                  <c:v>1.328843772876453</c:v>
                </c:pt>
                <c:pt idx="29">
                  <c:v>1.349346923278164</c:v>
                </c:pt>
                <c:pt idx="30">
                  <c:v>1.383925489744302</c:v>
                </c:pt>
                <c:pt idx="31">
                  <c:v>#N/A</c:v>
                </c:pt>
              </c:numCache>
            </c:numRef>
          </c:yVal>
          <c:smooth val="1"/>
        </c:ser>
        <c:ser>
          <c:idx val="0"/>
          <c:order val="2"/>
          <c:tx>
            <c:strRef>
              <c:f>Compare_Portfolios!$O$95</c:f>
              <c:strCache>
                <c:ptCount val="1"/>
                <c:pt idx="0">
                  <c:v>P4</c:v>
                </c:pt>
              </c:strCache>
            </c:strRef>
          </c:tx>
          <c:spPr>
            <a:ln w="12700">
              <a:solidFill>
                <a:srgbClr val="000080"/>
              </a:solidFill>
              <a:prstDash val="solid"/>
            </a:ln>
          </c:spPr>
          <c:marker>
            <c:symbol val="circle"/>
            <c:size val="5"/>
            <c:spPr>
              <a:solidFill>
                <a:srgbClr val="00FFFF"/>
              </a:solidFill>
              <a:ln>
                <a:solidFill>
                  <a:srgbClr val="000000"/>
                </a:solidFill>
                <a:prstDash val="solid"/>
              </a:ln>
            </c:spPr>
          </c:marker>
          <c:xVal>
            <c:numRef>
              <c:f>Compare_Portfolios!$K$215:$K$246</c:f>
              <c:numCache>
                <c:formatCode>0</c:formatCode>
                <c:ptCount val="32"/>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#N/A</c:v>
                </c:pt>
              </c:numCache>
            </c:numRef>
          </c:xVal>
          <c:yVal>
            <c:numRef>
              <c:f>Compare_Portfolios!$O$215:$O$246</c:f>
              <c:numCache>
                <c:formatCode>0.00</c:formatCode>
                <c:ptCount val="32"/>
                <c:pt idx="0">
                  <c:v>1.089643427977705</c:v>
                </c:pt>
                <c:pt idx="1">
                  <c:v>1.23522609446981</c:v>
                </c:pt>
                <c:pt idx="2">
                  <c:v>1.265483144556714</c:v>
                </c:pt>
                <c:pt idx="3">
                  <c:v>1.310738817094013</c:v>
                </c:pt>
                <c:pt idx="4">
                  <c:v>1.285288493620755</c:v>
                </c:pt>
                <c:pt idx="5">
                  <c:v>1.134855748494472</c:v>
                </c:pt>
                <c:pt idx="6">
                  <c:v>1.163612173978437</c:v>
                </c:pt>
                <c:pt idx="7">
                  <c:v>1.15762078561023</c:v>
                </c:pt>
                <c:pt idx="8">
                  <c:v>1.289245117982158</c:v>
                </c:pt>
                <c:pt idx="9">
                  <c:v>1.28640539937389</c:v>
                </c:pt>
                <c:pt idx="10">
                  <c:v>1.22838145492165</c:v>
                </c:pt>
                <c:pt idx="11">
                  <c:v>1.210344108308537</c:v>
                </c:pt>
                <c:pt idx="12">
                  <c:v>1.14126044643591</c:v>
                </c:pt>
                <c:pt idx="13">
                  <c:v>1.107634714436866</c:v>
                </c:pt>
                <c:pt idx="14">
                  <c:v>1.129053945858927</c:v>
                </c:pt>
                <c:pt idx="15">
                  <c:v>1.103178585272508</c:v>
                </c:pt>
                <c:pt idx="16">
                  <c:v>1.148212230932666</c:v>
                </c:pt>
                <c:pt idx="17">
                  <c:v>1.076272396134625</c:v>
                </c:pt>
                <c:pt idx="18">
                  <c:v>1.152909935337876</c:v>
                </c:pt>
                <c:pt idx="19">
                  <c:v>1.200077533274231</c:v>
                </c:pt>
                <c:pt idx="20">
                  <c:v>1.23212793724553</c:v>
                </c:pt>
                <c:pt idx="21">
                  <c:v>1.328721885541659</c:v>
                </c:pt>
                <c:pt idx="22">
                  <c:v>1.293959443554568</c:v>
                </c:pt>
                <c:pt idx="23">
                  <c:v>1.246771703735755</c:v>
                </c:pt>
                <c:pt idx="24">
                  <c:v>1.282038040294226</c:v>
                </c:pt>
                <c:pt idx="25">
                  <c:v>1.280369157450984</c:v>
                </c:pt>
                <c:pt idx="26">
                  <c:v>1.202287436200079</c:v>
                </c:pt>
                <c:pt idx="27">
                  <c:v>1.234316627094178</c:v>
                </c:pt>
                <c:pt idx="28">
                  <c:v>1.286532332365396</c:v>
                </c:pt>
                <c:pt idx="29">
                  <c:v>1.279411483978676</c:v>
                </c:pt>
                <c:pt idx="30">
                  <c:v>1.30397285701688</c:v>
                </c:pt>
                <c:pt idx="31">
                  <c:v>#N/A</c:v>
                </c:pt>
              </c:numCache>
            </c:numRef>
          </c:yVal>
          <c:smooth val="1"/>
        </c:ser>
        <c:ser>
          <c:idx val="3"/>
          <c:order val="3"/>
          <c:tx>
            <c:strRef>
              <c:f>Compare_Portfolios!$P$95</c:f>
              <c:strCache>
                <c:ptCount val="1"/>
                <c:pt idx="0">
                  <c:v>P5</c:v>
                </c:pt>
              </c:strCache>
            </c:strRef>
          </c:tx>
          <c:spPr>
            <a:ln w="9525" cmpd="sng"/>
          </c:spPr>
          <c:marker>
            <c:symbol val="triangle"/>
            <c:size val="5"/>
            <c:spPr>
              <a:solidFill>
                <a:schemeClr val="accent1">
                  <a:lumMod val="20000"/>
                  <a:lumOff val="80000"/>
                </a:schemeClr>
              </a:solidFill>
              <a:ln>
                <a:solidFill>
                  <a:srgbClr val="0000FF"/>
                </a:solidFill>
              </a:ln>
            </c:spPr>
          </c:marker>
          <c:xVal>
            <c:numRef>
              <c:f>Compare_Portfolios!$K$215:$K$246</c:f>
              <c:numCache>
                <c:formatCode>0</c:formatCode>
                <c:ptCount val="32"/>
                <c:pt idx="0">
                  <c:v>1985.0</c:v>
                </c:pt>
                <c:pt idx="1">
                  <c:v>1986.0</c:v>
                </c:pt>
                <c:pt idx="2">
                  <c:v>1987.0</c:v>
                </c:pt>
                <c:pt idx="3">
                  <c:v>1988.0</c:v>
                </c:pt>
                <c:pt idx="4">
                  <c:v>1989.0</c:v>
                </c:pt>
                <c:pt idx="5">
                  <c:v>1990.0</c:v>
                </c:pt>
                <c:pt idx="6">
                  <c:v>1991.0</c:v>
                </c:pt>
                <c:pt idx="7">
                  <c:v>1992.0</c:v>
                </c:pt>
                <c:pt idx="8">
                  <c:v>1993.0</c:v>
                </c:pt>
                <c:pt idx="9">
                  <c:v>1994.0</c:v>
                </c:pt>
                <c:pt idx="10">
                  <c:v>1995.0</c:v>
                </c:pt>
                <c:pt idx="11">
                  <c:v>1996.0</c:v>
                </c:pt>
                <c:pt idx="12">
                  <c:v>1997.0</c:v>
                </c:pt>
                <c:pt idx="13">
                  <c:v>1998.0</c:v>
                </c:pt>
                <c:pt idx="14">
                  <c:v>1999.0</c:v>
                </c:pt>
                <c:pt idx="15">
                  <c:v>2000.0</c:v>
                </c:pt>
                <c:pt idx="16">
                  <c:v>2001.0</c:v>
                </c:pt>
                <c:pt idx="17">
                  <c:v>2002.0</c:v>
                </c:pt>
                <c:pt idx="18">
                  <c:v>2003.0</c:v>
                </c:pt>
                <c:pt idx="19">
                  <c:v>2004.0</c:v>
                </c:pt>
                <c:pt idx="20">
                  <c:v>2005.0</c:v>
                </c:pt>
                <c:pt idx="21">
                  <c:v>2006.0</c:v>
                </c:pt>
                <c:pt idx="22">
                  <c:v>2007.0</c:v>
                </c:pt>
                <c:pt idx="23">
                  <c:v>2008.0</c:v>
                </c:pt>
                <c:pt idx="24">
                  <c:v>2009.0</c:v>
                </c:pt>
                <c:pt idx="25">
                  <c:v>2010.0</c:v>
                </c:pt>
                <c:pt idx="26">
                  <c:v>2011.0</c:v>
                </c:pt>
                <c:pt idx="27">
                  <c:v>2012.0</c:v>
                </c:pt>
                <c:pt idx="28">
                  <c:v>2013.0</c:v>
                </c:pt>
                <c:pt idx="29">
                  <c:v>2014.0</c:v>
                </c:pt>
                <c:pt idx="30">
                  <c:v>2015.0</c:v>
                </c:pt>
                <c:pt idx="31">
                  <c:v>#N/A</c:v>
                </c:pt>
              </c:numCache>
            </c:numRef>
          </c:xVal>
          <c:yVal>
            <c:numRef>
              <c:f>Compare_Portfolios!$P$215:$P$246</c:f>
              <c:numCache>
                <c:formatCode>0.00</c:formatCode>
                <c:ptCount val="32"/>
                <c:pt idx="0">
                  <c:v>0.989372928946068</c:v>
                </c:pt>
                <c:pt idx="1">
                  <c:v>1.034689207214131</c:v>
                </c:pt>
                <c:pt idx="2">
                  <c:v>1.054465299516383</c:v>
                </c:pt>
                <c:pt idx="3">
                  <c:v>0.940993484147251</c:v>
                </c:pt>
                <c:pt idx="4">
                  <c:v>0.8738373609021</c:v>
                </c:pt>
                <c:pt idx="5">
                  <c:v>0.856633522356064</c:v>
                </c:pt>
                <c:pt idx="6">
                  <c:v>0.775151758759794</c:v>
                </c:pt>
                <c:pt idx="7">
                  <c:v>0.73740433286477</c:v>
                </c:pt>
                <c:pt idx="8">
                  <c:v>0.750807216212071</c:v>
                </c:pt>
                <c:pt idx="9">
                  <c:v>0.727876693981134</c:v>
                </c:pt>
                <c:pt idx="10">
                  <c:v>0.694155351197561</c:v>
                </c:pt>
                <c:pt idx="11">
                  <c:v>0.632621771812023</c:v>
                </c:pt>
                <c:pt idx="12">
                  <c:v>0.564521010327329</c:v>
                </c:pt>
                <c:pt idx="13">
                  <c:v>0.567974777932584</c:v>
                </c:pt>
                <c:pt idx="14">
                  <c:v>0.510943043523501</c:v>
                </c:pt>
                <c:pt idx="15">
                  <c:v>0.510725177565201</c:v>
                </c:pt>
                <c:pt idx="16">
                  <c:v>0.536606516269665</c:v>
                </c:pt>
                <c:pt idx="17">
                  <c:v>0.564811585361912</c:v>
                </c:pt>
                <c:pt idx="18">
                  <c:v>0.525475182700159</c:v>
                </c:pt>
                <c:pt idx="19">
                  <c:v>0.50262596871713</c:v>
                </c:pt>
                <c:pt idx="20">
                  <c:v>0.50981086208133</c:v>
                </c:pt>
                <c:pt idx="21">
                  <c:v>0.528476819934495</c:v>
                </c:pt>
                <c:pt idx="22">
                  <c:v>0.543515694012027</c:v>
                </c:pt>
                <c:pt idx="23">
                  <c:v>0.71026334620145</c:v>
                </c:pt>
                <c:pt idx="24">
                  <c:v>0.639986690845361</c:v>
                </c:pt>
                <c:pt idx="25">
                  <c:v>0.636594194430219</c:v>
                </c:pt>
                <c:pt idx="26">
                  <c:v>0.665024101597824</c:v>
                </c:pt>
                <c:pt idx="27">
                  <c:v>0.638898347100339</c:v>
                </c:pt>
                <c:pt idx="28">
                  <c:v>0.558090291442061</c:v>
                </c:pt>
                <c:pt idx="29">
                  <c:v>0.569763880481653</c:v>
                </c:pt>
                <c:pt idx="30">
                  <c:v>0.576802248789056</c:v>
                </c:pt>
                <c:pt idx="31">
                  <c:v>#N/A</c:v>
                </c:pt>
              </c:numCache>
            </c:numRef>
          </c:yVal>
          <c:smooth val="1"/>
        </c:ser>
        <c:dLbls>
          <c:showLegendKey val="0"/>
          <c:showVal val="0"/>
          <c:showCatName val="0"/>
          <c:showSerName val="0"/>
          <c:showPercent val="0"/>
          <c:showBubbleSize val="0"/>
        </c:dLbls>
        <c:axId val="-2114675880"/>
        <c:axId val="-2114669496"/>
      </c:scatterChart>
      <c:valAx>
        <c:axId val="-2114675880"/>
        <c:scaling>
          <c:orientation val="minMax"/>
        </c:scaling>
        <c:delete val="0"/>
        <c:axPos val="b"/>
        <c:majorGridlines>
          <c:spPr>
            <a:ln w="3175">
              <a:solidFill>
                <a:srgbClr val="C0C0C0"/>
              </a:solidFill>
              <a:prstDash val="solid"/>
            </a:ln>
          </c:spPr>
        </c:majorGridlines>
        <c:numFmt formatCode="0" sourceLinked="1"/>
        <c:majorTickMark val="out"/>
        <c:minorTickMark val="none"/>
        <c:tickLblPos val="low"/>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114669496"/>
        <c:crosses val="autoZero"/>
        <c:crossBetween val="midCat"/>
        <c:majorUnit val="2.0"/>
      </c:valAx>
      <c:valAx>
        <c:axId val="-2114669496"/>
        <c:scaling>
          <c:orientation val="minMax"/>
        </c:scaling>
        <c:delete val="0"/>
        <c:axPos val="l"/>
        <c:majorGridlines>
          <c:spPr>
            <a:ln w="3175">
              <a:solidFill>
                <a:srgbClr val="C0C0C0"/>
              </a:solidFill>
              <a:prstDash val="solid"/>
            </a:ln>
          </c:spPr>
        </c:majorGridlines>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4675880"/>
        <c:crosses val="autoZero"/>
        <c:crossBetween val="midCat"/>
      </c:valAx>
      <c:spPr>
        <a:gradFill rotWithShape="0">
          <a:gsLst>
            <a:gs pos="0">
              <a:srgbClr val="FFFFFF"/>
            </a:gs>
            <a:gs pos="7001">
              <a:srgbClr val="E6E6E6"/>
            </a:gs>
            <a:gs pos="32001">
              <a:srgbClr val="7D8496"/>
            </a:gs>
            <a:gs pos="47000">
              <a:srgbClr val="E6E6E6"/>
            </a:gs>
            <a:gs pos="85001">
              <a:srgbClr val="7D8496"/>
            </a:gs>
            <a:gs pos="100000">
              <a:srgbClr val="E6E6E6"/>
            </a:gs>
          </a:gsLst>
          <a:lin ang="2700000"/>
        </a:gradFill>
        <a:ln w="12700">
          <a:solidFill>
            <a:srgbClr val="808080"/>
          </a:solidFill>
          <a:prstDash val="solid"/>
        </a:ln>
      </c:spPr>
    </c:plotArea>
    <c:legend>
      <c:legendPos val="r"/>
      <c:layout>
        <c:manualLayout>
          <c:xMode val="edge"/>
          <c:yMode val="edge"/>
          <c:x val="0.121645946854046"/>
          <c:y val="0.721361375880646"/>
          <c:w val="0.181856456254656"/>
          <c:h val="0.103573467790211"/>
        </c:manualLayout>
      </c:layout>
      <c:overlay val="0"/>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 footer="0.5"/>
    <c:pageSetup orientation="landscape"/>
  </c:printSettings>
  <c:userShapes r:id="rId2"/>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i="0" u="none" strike="noStrike" baseline="0">
                <a:solidFill>
                  <a:srgbClr val="000000"/>
                </a:solidFill>
                <a:latin typeface="Arial"/>
                <a:ea typeface="Arial"/>
                <a:cs typeface="Arial"/>
              </a:defRPr>
            </a:pPr>
            <a:r>
              <a:rPr lang="en-US"/>
              <a:t>Portfolios Return vs. Risk</a:t>
            </a:r>
          </a:p>
        </c:rich>
      </c:tx>
      <c:layout>
        <c:manualLayout>
          <c:xMode val="edge"/>
          <c:yMode val="edge"/>
          <c:x val="0.314694550795829"/>
          <c:y val="0.036020609561008"/>
        </c:manualLayout>
      </c:layout>
      <c:overlay val="0"/>
      <c:spPr>
        <a:noFill/>
        <a:ln w="25400">
          <a:noFill/>
        </a:ln>
      </c:spPr>
    </c:title>
    <c:autoTitleDeleted val="0"/>
    <c:plotArea>
      <c:layout>
        <c:manualLayout>
          <c:layoutTarget val="inner"/>
          <c:xMode val="edge"/>
          <c:yMode val="edge"/>
          <c:x val="0.12613792144445"/>
          <c:y val="0.219554214758502"/>
          <c:w val="0.738622055468531"/>
          <c:h val="0.641509971247497"/>
        </c:manualLayout>
      </c:layout>
      <c:scatterChart>
        <c:scatterStyle val="lineMarker"/>
        <c:varyColors val="0"/>
        <c:ser>
          <c:idx val="0"/>
          <c:order val="0"/>
          <c:tx>
            <c:strRef>
              <c:f>Lazy_Portfolios_85!$B$11</c:f>
              <c:strCache>
                <c:ptCount val="1"/>
                <c:pt idx="0">
                  <c:v>P1</c:v>
                </c:pt>
              </c:strCache>
            </c:strRef>
          </c:tx>
          <c:spPr>
            <a:ln w="28575">
              <a:noFill/>
            </a:ln>
          </c:spPr>
          <c:marker>
            <c:symbol val="diamond"/>
            <c:size val="15"/>
            <c:spPr>
              <a:solidFill>
                <a:srgbClr val="000080"/>
              </a:solidFill>
              <a:ln>
                <a:solidFill>
                  <a:srgbClr val="000080"/>
                </a:solidFill>
                <a:prstDash val="solid"/>
              </a:ln>
            </c:spPr>
          </c:marker>
          <c:xVal>
            <c:numRef>
              <c:f>Lazy_Portfolios_85!$D$11</c:f>
              <c:numCache>
                <c:formatCode>0.00%</c:formatCode>
                <c:ptCount val="1"/>
                <c:pt idx="0">
                  <c:v>0.11199534917379</c:v>
                </c:pt>
              </c:numCache>
            </c:numRef>
          </c:xVal>
          <c:yVal>
            <c:numRef>
              <c:f>Lazy_Portfolios_85!$G$11</c:f>
              <c:numCache>
                <c:formatCode>0.00%</c:formatCode>
                <c:ptCount val="1"/>
                <c:pt idx="0">
                  <c:v>0.105183102899583</c:v>
                </c:pt>
              </c:numCache>
            </c:numRef>
          </c:yVal>
          <c:smooth val="0"/>
        </c:ser>
        <c:ser>
          <c:idx val="1"/>
          <c:order val="1"/>
          <c:tx>
            <c:strRef>
              <c:f>Lazy_Portfolios_85!$B$12</c:f>
              <c:strCache>
                <c:ptCount val="1"/>
                <c:pt idx="0">
                  <c:v>P2</c:v>
                </c:pt>
              </c:strCache>
            </c:strRef>
          </c:tx>
          <c:spPr>
            <a:ln w="28575">
              <a:noFill/>
            </a:ln>
          </c:spPr>
          <c:marker>
            <c:symbol val="square"/>
            <c:size val="6"/>
            <c:spPr>
              <a:solidFill>
                <a:srgbClr val="993366"/>
              </a:solidFill>
              <a:ln>
                <a:solidFill>
                  <a:srgbClr val="993366"/>
                </a:solidFill>
                <a:prstDash val="solid"/>
              </a:ln>
            </c:spPr>
          </c:marker>
          <c:xVal>
            <c:numRef>
              <c:f>Lazy_Portfolios_85!$D$12</c:f>
              <c:numCache>
                <c:formatCode>0.00%</c:formatCode>
                <c:ptCount val="1"/>
                <c:pt idx="0">
                  <c:v>0.0888995138900797</c:v>
                </c:pt>
              </c:numCache>
            </c:numRef>
          </c:xVal>
          <c:yVal>
            <c:numRef>
              <c:f>Lazy_Portfolios_85!$G$12</c:f>
              <c:numCache>
                <c:formatCode>0.00%</c:formatCode>
                <c:ptCount val="1"/>
                <c:pt idx="0">
                  <c:v>0.0963895084415025</c:v>
                </c:pt>
              </c:numCache>
            </c:numRef>
          </c:yVal>
          <c:smooth val="0"/>
        </c:ser>
        <c:ser>
          <c:idx val="2"/>
          <c:order val="2"/>
          <c:tx>
            <c:strRef>
              <c:f>Lazy_Portfolios_85!$B$13</c:f>
              <c:strCache>
                <c:ptCount val="1"/>
                <c:pt idx="0">
                  <c:v>P3</c:v>
                </c:pt>
              </c:strCache>
            </c:strRef>
          </c:tx>
          <c:spPr>
            <a:ln w="28575">
              <a:noFill/>
            </a:ln>
          </c:spPr>
          <c:marker>
            <c:symbol val="triangle"/>
            <c:size val="6"/>
            <c:spPr>
              <a:solidFill>
                <a:srgbClr val="808080"/>
              </a:solidFill>
              <a:ln>
                <a:solidFill>
                  <a:srgbClr val="808080"/>
                </a:solidFill>
                <a:prstDash val="solid"/>
              </a:ln>
            </c:spPr>
          </c:marker>
          <c:xVal>
            <c:numRef>
              <c:f>Lazy_Portfolios_85!$D$13</c:f>
              <c:numCache>
                <c:formatCode>0.00%</c:formatCode>
                <c:ptCount val="1"/>
                <c:pt idx="0">
                  <c:v>0.14227075765594</c:v>
                </c:pt>
              </c:numCache>
            </c:numRef>
          </c:xVal>
          <c:yVal>
            <c:numRef>
              <c:f>Lazy_Portfolios_85!$G$13</c:f>
              <c:numCache>
                <c:formatCode>0.00%</c:formatCode>
                <c:ptCount val="1"/>
                <c:pt idx="0">
                  <c:v>0.101982290591626</c:v>
                </c:pt>
              </c:numCache>
            </c:numRef>
          </c:yVal>
          <c:smooth val="0"/>
        </c:ser>
        <c:ser>
          <c:idx val="3"/>
          <c:order val="3"/>
          <c:tx>
            <c:strRef>
              <c:f>Lazy_Portfolios_85!$B$14</c:f>
              <c:strCache>
                <c:ptCount val="1"/>
                <c:pt idx="0">
                  <c:v>P4</c:v>
                </c:pt>
              </c:strCache>
            </c:strRef>
          </c:tx>
          <c:spPr>
            <a:ln w="28575">
              <a:noFill/>
            </a:ln>
          </c:spPr>
          <c:marker>
            <c:symbol val="x"/>
            <c:size val="6"/>
            <c:spPr>
              <a:noFill/>
              <a:ln>
                <a:solidFill>
                  <a:srgbClr val="666699"/>
                </a:solidFill>
                <a:prstDash val="solid"/>
              </a:ln>
            </c:spPr>
          </c:marker>
          <c:xVal>
            <c:numRef>
              <c:f>Lazy_Portfolios_85!$D$14</c:f>
              <c:numCache>
                <c:formatCode>0.00%</c:formatCode>
                <c:ptCount val="1"/>
                <c:pt idx="0">
                  <c:v>0.148465713368857</c:v>
                </c:pt>
              </c:numCache>
            </c:numRef>
          </c:xVal>
          <c:yVal>
            <c:numRef>
              <c:f>Lazy_Portfolios_85!$G$14</c:f>
              <c:numCache>
                <c:formatCode>0.00%</c:formatCode>
                <c:ptCount val="1"/>
                <c:pt idx="0">
                  <c:v>0.100922374210451</c:v>
                </c:pt>
              </c:numCache>
            </c:numRef>
          </c:yVal>
          <c:smooth val="0"/>
        </c:ser>
        <c:ser>
          <c:idx val="4"/>
          <c:order val="4"/>
          <c:tx>
            <c:strRef>
              <c:f>Lazy_Portfolios_85!$B$15</c:f>
              <c:strCache>
                <c:ptCount val="1"/>
                <c:pt idx="0">
                  <c:v>P5</c:v>
                </c:pt>
              </c:strCache>
            </c:strRef>
          </c:tx>
          <c:spPr>
            <a:ln w="28575">
              <a:noFill/>
            </a:ln>
          </c:spPr>
          <c:marker>
            <c:symbol val="star"/>
            <c:size val="6"/>
            <c:spPr>
              <a:noFill/>
              <a:ln>
                <a:solidFill>
                  <a:srgbClr val="339966"/>
                </a:solidFill>
                <a:prstDash val="solid"/>
              </a:ln>
            </c:spPr>
          </c:marker>
          <c:xVal>
            <c:numRef>
              <c:f>Lazy_Portfolios_85!$D$15</c:f>
              <c:numCache>
                <c:formatCode>0.00%</c:formatCode>
                <c:ptCount val="1"/>
                <c:pt idx="0">
                  <c:v>0.148782498277825</c:v>
                </c:pt>
              </c:numCache>
            </c:numRef>
          </c:xVal>
          <c:yVal>
            <c:numRef>
              <c:f>Lazy_Portfolios_85!$G$15</c:f>
              <c:numCache>
                <c:formatCode>0.00%</c:formatCode>
                <c:ptCount val="1"/>
                <c:pt idx="0">
                  <c:v>0.101071905344777</c:v>
                </c:pt>
              </c:numCache>
            </c:numRef>
          </c:yVal>
          <c:smooth val="0"/>
        </c:ser>
        <c:ser>
          <c:idx val="5"/>
          <c:order val="5"/>
          <c:tx>
            <c:strRef>
              <c:f>Lazy_Portfolios_85!$B$16</c:f>
              <c:strCache>
                <c:ptCount val="1"/>
                <c:pt idx="0">
                  <c:v>P6</c:v>
                </c:pt>
              </c:strCache>
            </c:strRef>
          </c:tx>
          <c:spPr>
            <a:ln w="28575">
              <a:noFill/>
            </a:ln>
          </c:spPr>
          <c:marker>
            <c:symbol val="circle"/>
            <c:size val="6"/>
            <c:spPr>
              <a:solidFill>
                <a:srgbClr val="808000"/>
              </a:solidFill>
              <a:ln>
                <a:solidFill>
                  <a:srgbClr val="808000"/>
                </a:solidFill>
                <a:prstDash val="solid"/>
              </a:ln>
            </c:spPr>
          </c:marker>
          <c:xVal>
            <c:numRef>
              <c:f>Lazy_Portfolios_85!$D$16</c:f>
              <c:numCache>
                <c:formatCode>0.00%</c:formatCode>
                <c:ptCount val="1"/>
                <c:pt idx="0">
                  <c:v>0.140274236211215</c:v>
                </c:pt>
              </c:numCache>
            </c:numRef>
          </c:xVal>
          <c:yVal>
            <c:numRef>
              <c:f>Lazy_Portfolios_85!$G$16</c:f>
              <c:numCache>
                <c:formatCode>0.00%</c:formatCode>
                <c:ptCount val="1"/>
                <c:pt idx="0">
                  <c:v>0.10207104066884</c:v>
                </c:pt>
              </c:numCache>
            </c:numRef>
          </c:yVal>
          <c:smooth val="0"/>
        </c:ser>
        <c:ser>
          <c:idx val="6"/>
          <c:order val="6"/>
          <c:tx>
            <c:strRef>
              <c:f>Lazy_Portfolios_85!$B$17</c:f>
              <c:strCache>
                <c:ptCount val="1"/>
                <c:pt idx="0">
                  <c:v>P7</c:v>
                </c:pt>
              </c:strCache>
            </c:strRef>
          </c:tx>
          <c:spPr>
            <a:ln w="28575">
              <a:noFill/>
            </a:ln>
          </c:spPr>
          <c:marker>
            <c:symbol val="plus"/>
            <c:size val="6"/>
            <c:spPr>
              <a:noFill/>
              <a:ln>
                <a:solidFill>
                  <a:srgbClr val="666699"/>
                </a:solidFill>
                <a:prstDash val="solid"/>
              </a:ln>
            </c:spPr>
          </c:marker>
          <c:xVal>
            <c:numRef>
              <c:f>Lazy_Portfolios_85!$D$17</c:f>
              <c:numCache>
                <c:formatCode>0.00%</c:formatCode>
                <c:ptCount val="1"/>
                <c:pt idx="0">
                  <c:v>0.112492398363534</c:v>
                </c:pt>
              </c:numCache>
            </c:numRef>
          </c:xVal>
          <c:yVal>
            <c:numRef>
              <c:f>Lazy_Portfolios_85!$G$17</c:f>
              <c:numCache>
                <c:formatCode>0.00%</c:formatCode>
                <c:ptCount val="1"/>
                <c:pt idx="0">
                  <c:v>0.0943312825818378</c:v>
                </c:pt>
              </c:numCache>
            </c:numRef>
          </c:yVal>
          <c:smooth val="0"/>
        </c:ser>
        <c:ser>
          <c:idx val="7"/>
          <c:order val="7"/>
          <c:tx>
            <c:strRef>
              <c:f>Lazy_Portfolios_85!$B$18</c:f>
              <c:strCache>
                <c:ptCount val="1"/>
                <c:pt idx="0">
                  <c:v>P8</c:v>
                </c:pt>
              </c:strCache>
            </c:strRef>
          </c:tx>
          <c:spPr>
            <a:ln w="28575">
              <a:noFill/>
            </a:ln>
          </c:spPr>
          <c:marker>
            <c:symbol val="dot"/>
            <c:size val="6"/>
            <c:spPr>
              <a:noFill/>
              <a:ln>
                <a:solidFill>
                  <a:srgbClr val="993366"/>
                </a:solidFill>
                <a:prstDash val="solid"/>
              </a:ln>
            </c:spPr>
          </c:marker>
          <c:xVal>
            <c:numRef>
              <c:f>Lazy_Portfolios_85!$D$18</c:f>
              <c:numCache>
                <c:formatCode>0.00%</c:formatCode>
                <c:ptCount val="1"/>
                <c:pt idx="0">
                  <c:v>0.137694911634615</c:v>
                </c:pt>
              </c:numCache>
            </c:numRef>
          </c:xVal>
          <c:yVal>
            <c:numRef>
              <c:f>Lazy_Portfolios_85!$G$18</c:f>
              <c:numCache>
                <c:formatCode>0.00%</c:formatCode>
                <c:ptCount val="1"/>
                <c:pt idx="0">
                  <c:v>0.0983794322109696</c:v>
                </c:pt>
              </c:numCache>
            </c:numRef>
          </c:yVal>
          <c:smooth val="0"/>
        </c:ser>
        <c:ser>
          <c:idx val="8"/>
          <c:order val="8"/>
          <c:tx>
            <c:strRef>
              <c:f>Lazy_Portfolios_85!$B$19</c:f>
              <c:strCache>
                <c:ptCount val="1"/>
                <c:pt idx="0">
                  <c:v>P9</c:v>
                </c:pt>
              </c:strCache>
            </c:strRef>
          </c:tx>
          <c:spPr>
            <a:ln w="28575">
              <a:noFill/>
            </a:ln>
          </c:spPr>
          <c:marker>
            <c:symbol val="dash"/>
            <c:size val="6"/>
            <c:spPr>
              <a:noFill/>
              <a:ln>
                <a:solidFill>
                  <a:srgbClr val="808080"/>
                </a:solidFill>
                <a:prstDash val="solid"/>
              </a:ln>
            </c:spPr>
          </c:marker>
          <c:xVal>
            <c:numRef>
              <c:f>Lazy_Portfolios_85!$D$19</c:f>
              <c:numCache>
                <c:formatCode>0.00%</c:formatCode>
                <c:ptCount val="1"/>
                <c:pt idx="0">
                  <c:v>0.112492398363534</c:v>
                </c:pt>
              </c:numCache>
            </c:numRef>
          </c:xVal>
          <c:yVal>
            <c:numRef>
              <c:f>Lazy_Portfolios_85!$G$19</c:f>
              <c:numCache>
                <c:formatCode>0.00%</c:formatCode>
                <c:ptCount val="1"/>
                <c:pt idx="0">
                  <c:v>0.0943312825818378</c:v>
                </c:pt>
              </c:numCache>
            </c:numRef>
          </c:yVal>
          <c:smooth val="0"/>
        </c:ser>
        <c:ser>
          <c:idx val="9"/>
          <c:order val="9"/>
          <c:tx>
            <c:strRef>
              <c:f>Lazy_Portfolios_85!$B$20</c:f>
              <c:strCache>
                <c:ptCount val="1"/>
                <c:pt idx="0">
                  <c:v>P10</c:v>
                </c:pt>
              </c:strCache>
            </c:strRef>
          </c:tx>
          <c:spPr>
            <a:ln w="28575">
              <a:noFill/>
            </a:ln>
          </c:spPr>
          <c:marker>
            <c:symbol val="diamond"/>
            <c:size val="6"/>
            <c:spPr>
              <a:solidFill>
                <a:srgbClr val="666699"/>
              </a:solidFill>
              <a:ln>
                <a:solidFill>
                  <a:srgbClr val="666699"/>
                </a:solidFill>
                <a:prstDash val="solid"/>
              </a:ln>
            </c:spPr>
          </c:marker>
          <c:xVal>
            <c:numRef>
              <c:f>Lazy_Portfolios_85!$D$20</c:f>
              <c:numCache>
                <c:formatCode>0.00%</c:formatCode>
                <c:ptCount val="1"/>
                <c:pt idx="0">
                  <c:v>0.126559400785803</c:v>
                </c:pt>
              </c:numCache>
            </c:numRef>
          </c:xVal>
          <c:yVal>
            <c:numRef>
              <c:f>Lazy_Portfolios_85!$G$20</c:f>
              <c:numCache>
                <c:formatCode>0.00%</c:formatCode>
                <c:ptCount val="1"/>
                <c:pt idx="0">
                  <c:v>0.0986989054603067</c:v>
                </c:pt>
              </c:numCache>
            </c:numRef>
          </c:yVal>
          <c:smooth val="0"/>
        </c:ser>
        <c:ser>
          <c:idx val="10"/>
          <c:order val="10"/>
          <c:tx>
            <c:strRef>
              <c:f>Lazy_Portfolios_85!$B$21</c:f>
              <c:strCache>
                <c:ptCount val="1"/>
                <c:pt idx="0">
                  <c:v>P11</c:v>
                </c:pt>
              </c:strCache>
            </c:strRef>
          </c:tx>
          <c:spPr>
            <a:ln w="28575">
              <a:noFill/>
            </a:ln>
          </c:spPr>
          <c:marker>
            <c:symbol val="square"/>
            <c:size val="6"/>
            <c:spPr>
              <a:solidFill>
                <a:srgbClr val="339966"/>
              </a:solidFill>
              <a:ln>
                <a:solidFill>
                  <a:srgbClr val="339966"/>
                </a:solidFill>
                <a:prstDash val="solid"/>
              </a:ln>
            </c:spPr>
          </c:marker>
          <c:xVal>
            <c:numRef>
              <c:f>Lazy_Portfolios_85!$D$21</c:f>
              <c:numCache>
                <c:formatCode>0.00%</c:formatCode>
                <c:ptCount val="1"/>
                <c:pt idx="0">
                  <c:v>0.14058340717424</c:v>
                </c:pt>
              </c:numCache>
            </c:numRef>
          </c:xVal>
          <c:yVal>
            <c:numRef>
              <c:f>Lazy_Portfolios_85!$G$21</c:f>
              <c:numCache>
                <c:formatCode>0.00%</c:formatCode>
                <c:ptCount val="1"/>
                <c:pt idx="0">
                  <c:v>0.104585424828247</c:v>
                </c:pt>
              </c:numCache>
            </c:numRef>
          </c:yVal>
          <c:smooth val="0"/>
        </c:ser>
        <c:ser>
          <c:idx val="11"/>
          <c:order val="11"/>
          <c:tx>
            <c:strRef>
              <c:f>Lazy_Portfolios_85!$B$22</c:f>
              <c:strCache>
                <c:ptCount val="1"/>
                <c:pt idx="0">
                  <c:v>P12</c:v>
                </c:pt>
              </c:strCache>
            </c:strRef>
          </c:tx>
          <c:spPr>
            <a:ln w="28575">
              <a:noFill/>
            </a:ln>
          </c:spPr>
          <c:marker>
            <c:symbol val="triangle"/>
            <c:size val="6"/>
            <c:spPr>
              <a:solidFill>
                <a:srgbClr val="FF8080"/>
              </a:solidFill>
              <a:ln>
                <a:solidFill>
                  <a:srgbClr val="FF8080"/>
                </a:solidFill>
                <a:prstDash val="solid"/>
              </a:ln>
            </c:spPr>
          </c:marker>
          <c:xVal>
            <c:numRef>
              <c:f>Lazy_Portfolios_85!$D$22</c:f>
              <c:numCache>
                <c:formatCode>0.00%</c:formatCode>
                <c:ptCount val="1"/>
                <c:pt idx="0">
                  <c:v>0.104486852964417</c:v>
                </c:pt>
              </c:numCache>
            </c:numRef>
          </c:xVal>
          <c:yVal>
            <c:numRef>
              <c:f>Lazy_Portfolios_85!$G$22</c:f>
              <c:numCache>
                <c:formatCode>0.00%</c:formatCode>
                <c:ptCount val="1"/>
                <c:pt idx="0">
                  <c:v>0.0959650448168985</c:v>
                </c:pt>
              </c:numCache>
            </c:numRef>
          </c:yVal>
          <c:smooth val="0"/>
        </c:ser>
        <c:ser>
          <c:idx val="12"/>
          <c:order val="12"/>
          <c:tx>
            <c:strRef>
              <c:f>Lazy_Portfolios_85!$B$23</c:f>
              <c:strCache>
                <c:ptCount val="1"/>
                <c:pt idx="0">
                  <c:v>P13</c:v>
                </c:pt>
              </c:strCache>
            </c:strRef>
          </c:tx>
          <c:spPr>
            <a:ln w="28575">
              <a:noFill/>
            </a:ln>
          </c:spPr>
          <c:marker>
            <c:symbol val="x"/>
            <c:size val="6"/>
            <c:spPr>
              <a:noFill/>
              <a:ln>
                <a:solidFill>
                  <a:srgbClr val="666699"/>
                </a:solidFill>
                <a:prstDash val="solid"/>
              </a:ln>
            </c:spPr>
          </c:marker>
          <c:xVal>
            <c:numRef>
              <c:f>Lazy_Portfolios_85!$D$23</c:f>
              <c:numCache>
                <c:formatCode>0.00%</c:formatCode>
                <c:ptCount val="1"/>
                <c:pt idx="0">
                  <c:v>0.116531080926003</c:v>
                </c:pt>
              </c:numCache>
            </c:numRef>
          </c:xVal>
          <c:yVal>
            <c:numRef>
              <c:f>Lazy_Portfolios_85!$G$23</c:f>
              <c:numCache>
                <c:formatCode>0.00%</c:formatCode>
                <c:ptCount val="1"/>
                <c:pt idx="0">
                  <c:v>0.102903458843263</c:v>
                </c:pt>
              </c:numCache>
            </c:numRef>
          </c:yVal>
          <c:smooth val="0"/>
        </c:ser>
        <c:ser>
          <c:idx val="13"/>
          <c:order val="13"/>
          <c:tx>
            <c:strRef>
              <c:f>Lazy_Portfolios_85!$B$24</c:f>
              <c:strCache>
                <c:ptCount val="1"/>
                <c:pt idx="0">
                  <c:v>P14</c:v>
                </c:pt>
              </c:strCache>
            </c:strRef>
          </c:tx>
          <c:spPr>
            <a:ln w="28575">
              <a:noFill/>
            </a:ln>
          </c:spPr>
          <c:marker>
            <c:symbol val="star"/>
            <c:size val="6"/>
            <c:spPr>
              <a:noFill/>
              <a:ln>
                <a:solidFill>
                  <a:srgbClr val="993366"/>
                </a:solidFill>
                <a:prstDash val="solid"/>
              </a:ln>
            </c:spPr>
          </c:marker>
          <c:xVal>
            <c:numRef>
              <c:f>Lazy_Portfolios_85!$D$24</c:f>
              <c:numCache>
                <c:formatCode>0.00%</c:formatCode>
                <c:ptCount val="1"/>
                <c:pt idx="0">
                  <c:v>0.118359363472314</c:v>
                </c:pt>
              </c:numCache>
            </c:numRef>
          </c:xVal>
          <c:yVal>
            <c:numRef>
              <c:f>Lazy_Portfolios_85!$G$24</c:f>
              <c:numCache>
                <c:formatCode>0.00%</c:formatCode>
                <c:ptCount val="1"/>
                <c:pt idx="0">
                  <c:v>0.0998570462011674</c:v>
                </c:pt>
              </c:numCache>
            </c:numRef>
          </c:yVal>
          <c:smooth val="0"/>
        </c:ser>
        <c:ser>
          <c:idx val="14"/>
          <c:order val="14"/>
          <c:tx>
            <c:strRef>
              <c:f>Lazy_Portfolios_85!$B$25</c:f>
              <c:strCache>
                <c:ptCount val="1"/>
                <c:pt idx="0">
                  <c:v>P15</c:v>
                </c:pt>
              </c:strCache>
            </c:strRef>
          </c:tx>
          <c:spPr>
            <a:ln w="28575">
              <a:noFill/>
            </a:ln>
          </c:spPr>
          <c:marker>
            <c:symbol val="circle"/>
            <c:size val="6"/>
            <c:spPr>
              <a:solidFill>
                <a:srgbClr val="969696"/>
              </a:solidFill>
              <a:ln>
                <a:solidFill>
                  <a:srgbClr val="969696"/>
                </a:solidFill>
                <a:prstDash val="solid"/>
              </a:ln>
            </c:spPr>
          </c:marker>
          <c:xVal>
            <c:numRef>
              <c:f>Lazy_Portfolios_85!$D$25</c:f>
              <c:numCache>
                <c:formatCode>0.00%</c:formatCode>
                <c:ptCount val="1"/>
                <c:pt idx="0">
                  <c:v>0.118387877309001</c:v>
                </c:pt>
              </c:numCache>
            </c:numRef>
          </c:xVal>
          <c:yVal>
            <c:numRef>
              <c:f>Lazy_Portfolios_85!$G$25</c:f>
              <c:numCache>
                <c:formatCode>0.00%</c:formatCode>
                <c:ptCount val="1"/>
                <c:pt idx="0">
                  <c:v>0.106419825628582</c:v>
                </c:pt>
              </c:numCache>
            </c:numRef>
          </c:yVal>
          <c:smooth val="0"/>
        </c:ser>
        <c:ser>
          <c:idx val="15"/>
          <c:order val="15"/>
          <c:tx>
            <c:strRef>
              <c:f>Lazy_Portfolios_85!$B$26</c:f>
              <c:strCache>
                <c:ptCount val="1"/>
                <c:pt idx="0">
                  <c:v>P16</c:v>
                </c:pt>
              </c:strCache>
            </c:strRef>
          </c:tx>
          <c:spPr>
            <a:ln w="28575">
              <a:noFill/>
            </a:ln>
          </c:spPr>
          <c:marker>
            <c:symbol val="plus"/>
            <c:size val="6"/>
            <c:spPr>
              <a:noFill/>
              <a:ln>
                <a:solidFill>
                  <a:srgbClr val="666699"/>
                </a:solidFill>
                <a:prstDash val="solid"/>
              </a:ln>
            </c:spPr>
          </c:marker>
          <c:xVal>
            <c:numRef>
              <c:f>Lazy_Portfolios_85!$D$26</c:f>
              <c:numCache>
                <c:formatCode>0.00%</c:formatCode>
                <c:ptCount val="1"/>
                <c:pt idx="0">
                  <c:v>0.163787964773512</c:v>
                </c:pt>
              </c:numCache>
            </c:numRef>
          </c:xVal>
          <c:yVal>
            <c:numRef>
              <c:f>Lazy_Portfolios_85!$G$26</c:f>
              <c:numCache>
                <c:formatCode>0.00%</c:formatCode>
                <c:ptCount val="1"/>
                <c:pt idx="0">
                  <c:v>0.10397213860994</c:v>
                </c:pt>
              </c:numCache>
            </c:numRef>
          </c:yVal>
          <c:smooth val="0"/>
        </c:ser>
        <c:ser>
          <c:idx val="16"/>
          <c:order val="16"/>
          <c:tx>
            <c:strRef>
              <c:f>Lazy_Portfolios_85!$B$27</c:f>
              <c:strCache>
                <c:ptCount val="1"/>
                <c:pt idx="0">
                  <c:v>P17</c:v>
                </c:pt>
              </c:strCache>
            </c:strRef>
          </c:tx>
          <c:spPr>
            <a:ln w="28575">
              <a:noFill/>
            </a:ln>
          </c:spPr>
          <c:marker>
            <c:symbol val="dot"/>
            <c:size val="6"/>
            <c:spPr>
              <a:noFill/>
              <a:ln>
                <a:solidFill>
                  <a:srgbClr val="33CCCC"/>
                </a:solidFill>
                <a:prstDash val="solid"/>
              </a:ln>
            </c:spPr>
          </c:marker>
          <c:xVal>
            <c:numRef>
              <c:f>Lazy_Portfolios_85!$D$27</c:f>
              <c:numCache>
                <c:formatCode>0.00%</c:formatCode>
                <c:ptCount val="1"/>
                <c:pt idx="0">
                  <c:v>0.124643905335154</c:v>
                </c:pt>
              </c:numCache>
            </c:numRef>
          </c:xVal>
          <c:yVal>
            <c:numRef>
              <c:f>Lazy_Portfolios_85!$G$27</c:f>
              <c:numCache>
                <c:formatCode>0.00%</c:formatCode>
                <c:ptCount val="1"/>
                <c:pt idx="0">
                  <c:v>0.0939163490124584</c:v>
                </c:pt>
              </c:numCache>
            </c:numRef>
          </c:yVal>
          <c:smooth val="0"/>
        </c:ser>
        <c:ser>
          <c:idx val="17"/>
          <c:order val="17"/>
          <c:tx>
            <c:strRef>
              <c:f>Lazy_Portfolios_85!$B$28</c:f>
              <c:strCache>
                <c:ptCount val="1"/>
                <c:pt idx="0">
                  <c:v>P18</c:v>
                </c:pt>
              </c:strCache>
            </c:strRef>
          </c:tx>
          <c:spPr>
            <a:ln w="28575">
              <a:noFill/>
            </a:ln>
          </c:spPr>
          <c:marker>
            <c:symbol val="dash"/>
            <c:size val="6"/>
            <c:spPr>
              <a:noFill/>
              <a:ln>
                <a:solidFill>
                  <a:srgbClr val="FF9900"/>
                </a:solidFill>
                <a:prstDash val="solid"/>
              </a:ln>
            </c:spPr>
          </c:marker>
          <c:xVal>
            <c:numRef>
              <c:f>Lazy_Portfolios_85!$D$28</c:f>
              <c:numCache>
                <c:formatCode>0.00%</c:formatCode>
                <c:ptCount val="1"/>
                <c:pt idx="0">
                  <c:v>0.0942479921761691</c:v>
                </c:pt>
              </c:numCache>
            </c:numRef>
          </c:xVal>
          <c:yVal>
            <c:numRef>
              <c:f>Lazy_Portfolios_85!$G$28</c:f>
              <c:numCache>
                <c:formatCode>0.00%</c:formatCode>
                <c:ptCount val="1"/>
                <c:pt idx="0">
                  <c:v>0.092466740192199</c:v>
                </c:pt>
              </c:numCache>
            </c:numRef>
          </c:yVal>
          <c:smooth val="0"/>
        </c:ser>
        <c:ser>
          <c:idx val="18"/>
          <c:order val="18"/>
          <c:tx>
            <c:strRef>
              <c:f>Lazy_Portfolios_85!$B$29</c:f>
              <c:strCache>
                <c:ptCount val="1"/>
                <c:pt idx="0">
                  <c:v>P19</c:v>
                </c:pt>
              </c:strCache>
            </c:strRef>
          </c:tx>
          <c:spPr>
            <a:ln w="28575">
              <a:noFill/>
            </a:ln>
          </c:spPr>
          <c:marker>
            <c:symbol val="diamond"/>
            <c:size val="6"/>
            <c:spPr>
              <a:solidFill>
                <a:srgbClr val="9999FF"/>
              </a:solidFill>
              <a:ln>
                <a:solidFill>
                  <a:srgbClr val="9999FF"/>
                </a:solidFill>
                <a:prstDash val="solid"/>
              </a:ln>
            </c:spPr>
          </c:marker>
          <c:xVal>
            <c:numRef>
              <c:f>Lazy_Portfolios_85!$D$29</c:f>
              <c:numCache>
                <c:formatCode>0.00%</c:formatCode>
                <c:ptCount val="1"/>
                <c:pt idx="0">
                  <c:v>0.134498501716661</c:v>
                </c:pt>
              </c:numCache>
            </c:numRef>
          </c:xVal>
          <c:yVal>
            <c:numRef>
              <c:f>Lazy_Portfolios_85!$G$29</c:f>
              <c:numCache>
                <c:formatCode>0.00%</c:formatCode>
                <c:ptCount val="1"/>
                <c:pt idx="0">
                  <c:v>0.0967386132017307</c:v>
                </c:pt>
              </c:numCache>
            </c:numRef>
          </c:yVal>
          <c:smooth val="0"/>
        </c:ser>
        <c:ser>
          <c:idx val="19"/>
          <c:order val="19"/>
          <c:tx>
            <c:strRef>
              <c:f>Lazy_Portfolios_85!$B$30</c:f>
              <c:strCache>
                <c:ptCount val="1"/>
                <c:pt idx="0">
                  <c:v>P20</c:v>
                </c:pt>
              </c:strCache>
            </c:strRef>
          </c:tx>
          <c:spPr>
            <a:ln w="28575">
              <a:noFill/>
            </a:ln>
          </c:spPr>
          <c:marker>
            <c:symbol val="square"/>
            <c:size val="6"/>
            <c:spPr>
              <a:solidFill>
                <a:srgbClr val="969696"/>
              </a:solidFill>
              <a:ln>
                <a:solidFill>
                  <a:srgbClr val="969696"/>
                </a:solidFill>
                <a:prstDash val="solid"/>
              </a:ln>
            </c:spPr>
          </c:marker>
          <c:xVal>
            <c:numRef>
              <c:f>Lazy_Portfolios_85!$D$30</c:f>
              <c:numCache>
                <c:formatCode>0.00%</c:formatCode>
                <c:ptCount val="1"/>
                <c:pt idx="0">
                  <c:v>0.106797547553981</c:v>
                </c:pt>
              </c:numCache>
            </c:numRef>
          </c:xVal>
          <c:yVal>
            <c:numRef>
              <c:f>Lazy_Portfolios_85!$G$30</c:f>
              <c:numCache>
                <c:formatCode>0.00%</c:formatCode>
                <c:ptCount val="1"/>
                <c:pt idx="0">
                  <c:v>0.0889188577044439</c:v>
                </c:pt>
              </c:numCache>
            </c:numRef>
          </c:yVal>
          <c:smooth val="0"/>
        </c:ser>
        <c:ser>
          <c:idx val="20"/>
          <c:order val="20"/>
          <c:tx>
            <c:strRef>
              <c:f>Lazy_Portfolios_85!$B$31</c:f>
              <c:strCache>
                <c:ptCount val="1"/>
                <c:pt idx="0">
                  <c:v>P21</c:v>
                </c:pt>
              </c:strCache>
            </c:strRef>
          </c:tx>
          <c:spPr>
            <a:ln w="28575">
              <a:noFill/>
            </a:ln>
          </c:spPr>
          <c:marker>
            <c:symbol val="triangle"/>
            <c:size val="6"/>
            <c:spPr>
              <a:solidFill>
                <a:srgbClr val="C0C0C0"/>
              </a:solidFill>
              <a:ln>
                <a:solidFill>
                  <a:srgbClr val="C0C0C0"/>
                </a:solidFill>
                <a:prstDash val="solid"/>
              </a:ln>
            </c:spPr>
          </c:marker>
          <c:xVal>
            <c:numRef>
              <c:f>Lazy_Portfolios_85!$D$31</c:f>
              <c:numCache>
                <c:formatCode>0.00%</c:formatCode>
                <c:ptCount val="1"/>
                <c:pt idx="0">
                  <c:v>0.108217685351</c:v>
                </c:pt>
              </c:numCache>
            </c:numRef>
          </c:xVal>
          <c:yVal>
            <c:numRef>
              <c:f>Lazy_Portfolios_85!$G$31</c:f>
              <c:numCache>
                <c:formatCode>0.00%</c:formatCode>
                <c:ptCount val="1"/>
                <c:pt idx="0">
                  <c:v>0.0944046728275751</c:v>
                </c:pt>
              </c:numCache>
            </c:numRef>
          </c:yVal>
          <c:smooth val="0"/>
        </c:ser>
        <c:ser>
          <c:idx val="21"/>
          <c:order val="21"/>
          <c:tx>
            <c:strRef>
              <c:f>Lazy_Portfolios_85!$B$32</c:f>
              <c:strCache>
                <c:ptCount val="1"/>
                <c:pt idx="0">
                  <c:v>P22</c:v>
                </c:pt>
              </c:strCache>
            </c:strRef>
          </c:tx>
          <c:spPr>
            <a:ln w="28575">
              <a:noFill/>
            </a:ln>
          </c:spPr>
          <c:marker>
            <c:symbol val="x"/>
            <c:size val="6"/>
            <c:spPr>
              <a:noFill/>
              <a:ln>
                <a:solidFill>
                  <a:srgbClr val="C0C0C0"/>
                </a:solidFill>
                <a:prstDash val="solid"/>
              </a:ln>
            </c:spPr>
          </c:marker>
          <c:xVal>
            <c:numRef>
              <c:f>Lazy_Portfolios_85!$D$32</c:f>
              <c:numCache>
                <c:formatCode>0.00%</c:formatCode>
                <c:ptCount val="1"/>
                <c:pt idx="0">
                  <c:v>0.114256447332907</c:v>
                </c:pt>
              </c:numCache>
            </c:numRef>
          </c:xVal>
          <c:yVal>
            <c:numRef>
              <c:f>Lazy_Portfolios_85!$G$32</c:f>
              <c:numCache>
                <c:formatCode>0.00%</c:formatCode>
                <c:ptCount val="1"/>
                <c:pt idx="0">
                  <c:v>0.0984168407507297</c:v>
                </c:pt>
              </c:numCache>
            </c:numRef>
          </c:yVal>
          <c:smooth val="0"/>
        </c:ser>
        <c:ser>
          <c:idx val="22"/>
          <c:order val="22"/>
          <c:tx>
            <c:strRef>
              <c:f>Lazy_Portfolios_85!$B$33</c:f>
              <c:strCache>
                <c:ptCount val="1"/>
                <c:pt idx="0">
                  <c:v>P23</c:v>
                </c:pt>
              </c:strCache>
            </c:strRef>
          </c:tx>
          <c:spPr>
            <a:ln w="28575">
              <a:noFill/>
            </a:ln>
          </c:spPr>
          <c:marker>
            <c:symbol val="star"/>
            <c:size val="6"/>
            <c:spPr>
              <a:noFill/>
              <a:ln>
                <a:solidFill>
                  <a:srgbClr val="99CCFF"/>
                </a:solidFill>
                <a:prstDash val="solid"/>
              </a:ln>
            </c:spPr>
          </c:marker>
          <c:xVal>
            <c:numRef>
              <c:f>Lazy_Portfolios_85!$D$33</c:f>
              <c:numCache>
                <c:formatCode>0.00%</c:formatCode>
                <c:ptCount val="1"/>
                <c:pt idx="0">
                  <c:v>0.0596986192770447</c:v>
                </c:pt>
              </c:numCache>
            </c:numRef>
          </c:xVal>
          <c:yVal>
            <c:numRef>
              <c:f>Lazy_Portfolios_85!$G$33</c:f>
              <c:numCache>
                <c:formatCode>0.00%</c:formatCode>
                <c:ptCount val="1"/>
                <c:pt idx="0">
                  <c:v>0.0737523404115916</c:v>
                </c:pt>
              </c:numCache>
            </c:numRef>
          </c:yVal>
          <c:smooth val="0"/>
        </c:ser>
        <c:ser>
          <c:idx val="23"/>
          <c:order val="23"/>
          <c:tx>
            <c:strRef>
              <c:f>Lazy_Portfolios_85!$B$34</c:f>
              <c:strCache>
                <c:ptCount val="1"/>
                <c:pt idx="0">
                  <c:v>P24</c:v>
                </c:pt>
              </c:strCache>
            </c:strRef>
          </c:tx>
          <c:spPr>
            <a:ln w="28575">
              <a:noFill/>
            </a:ln>
          </c:spPr>
          <c:marker>
            <c:symbol val="circle"/>
            <c:size val="6"/>
            <c:spPr>
              <a:solidFill>
                <a:srgbClr val="FFCC99"/>
              </a:solidFill>
              <a:ln>
                <a:solidFill>
                  <a:srgbClr val="FFCC99"/>
                </a:solidFill>
                <a:prstDash val="solid"/>
              </a:ln>
            </c:spPr>
          </c:marker>
          <c:xVal>
            <c:numRef>
              <c:f>Lazy_Portfolios_85!$D$34</c:f>
              <c:numCache>
                <c:formatCode>0.00%</c:formatCode>
                <c:ptCount val="1"/>
                <c:pt idx="0">
                  <c:v>0.114143328096848</c:v>
                </c:pt>
              </c:numCache>
            </c:numRef>
          </c:xVal>
          <c:yVal>
            <c:numRef>
              <c:f>Lazy_Portfolios_85!$G$34</c:f>
              <c:numCache>
                <c:formatCode>0.00%</c:formatCode>
                <c:ptCount val="1"/>
                <c:pt idx="0">
                  <c:v>0.0994777406041414</c:v>
                </c:pt>
              </c:numCache>
            </c:numRef>
          </c:yVal>
          <c:smooth val="0"/>
        </c:ser>
        <c:ser>
          <c:idx val="24"/>
          <c:order val="24"/>
          <c:tx>
            <c:strRef>
              <c:f>Lazy_Portfolios_85!$B$35</c:f>
              <c:strCache>
                <c:ptCount val="1"/>
                <c:pt idx="0">
                  <c:v>P25</c:v>
                </c:pt>
              </c:strCache>
            </c:strRef>
          </c:tx>
          <c:spPr>
            <a:ln w="28575">
              <a:noFill/>
            </a:ln>
          </c:spPr>
          <c:marker>
            <c:symbol val="plus"/>
            <c:size val="6"/>
            <c:spPr>
              <a:noFill/>
              <a:ln>
                <a:solidFill>
                  <a:srgbClr val="C0C0C0"/>
                </a:solidFill>
                <a:prstDash val="solid"/>
              </a:ln>
            </c:spPr>
          </c:marker>
          <c:xVal>
            <c:numRef>
              <c:f>Lazy_Portfolios_85!$D$35</c:f>
              <c:numCache>
                <c:formatCode>0.00%</c:formatCode>
                <c:ptCount val="1"/>
                <c:pt idx="0">
                  <c:v>0.0844526787807791</c:v>
                </c:pt>
              </c:numCache>
            </c:numRef>
          </c:xVal>
          <c:yVal>
            <c:numRef>
              <c:f>Lazy_Portfolios_85!$G$35</c:f>
              <c:numCache>
                <c:formatCode>0.00%</c:formatCode>
                <c:ptCount val="1"/>
                <c:pt idx="0">
                  <c:v>0.0884487488518697</c:v>
                </c:pt>
              </c:numCache>
            </c:numRef>
          </c:yVal>
          <c:smooth val="0"/>
        </c:ser>
        <c:dLbls>
          <c:showLegendKey val="0"/>
          <c:showVal val="0"/>
          <c:showCatName val="0"/>
          <c:showSerName val="0"/>
          <c:showPercent val="0"/>
          <c:showBubbleSize val="0"/>
        </c:dLbls>
        <c:axId val="-2114150808"/>
        <c:axId val="-2114142744"/>
      </c:scatterChart>
      <c:valAx>
        <c:axId val="-211415080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Annualized Standard Deviation</a:t>
                </a:r>
              </a:p>
            </c:rich>
          </c:tx>
          <c:layout>
            <c:manualLayout>
              <c:xMode val="edge"/>
              <c:yMode val="edge"/>
              <c:x val="0.364109537913265"/>
              <c:y val="0.90737622836723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4142744"/>
        <c:crossesAt val="0.0"/>
        <c:crossBetween val="midCat"/>
      </c:valAx>
      <c:valAx>
        <c:axId val="-2114142744"/>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Annualized Return</a:t>
                </a:r>
              </a:p>
            </c:rich>
          </c:tx>
          <c:layout>
            <c:manualLayout>
              <c:xMode val="edge"/>
              <c:yMode val="edge"/>
              <c:x val="0.0351105251751788"/>
              <c:y val="0.435677809403112"/>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114150808"/>
        <c:crossesAt val="0.0"/>
        <c:crossBetween val="midCat"/>
      </c:valAx>
      <c:spPr>
        <a:gradFill rotWithShape="0">
          <a:gsLst>
            <a:gs pos="0">
              <a:srgbClr val="FFCC99"/>
            </a:gs>
            <a:gs pos="100000">
              <a:srgbClr val="FFCC99"/>
            </a:gs>
          </a:gsLst>
          <a:lin ang="2700000" scaled="1"/>
        </a:gradFill>
        <a:ln w="12700">
          <a:solidFill>
            <a:srgbClr val="808080"/>
          </a:solidFill>
          <a:prstDash val="solid"/>
        </a:ln>
      </c:spPr>
    </c:plotArea>
    <c:legend>
      <c:legendPos val="r"/>
      <c:layout/>
      <c:overlay val="0"/>
      <c:spPr>
        <a:solidFill>
          <a:srgbClr val="FFFFFF"/>
        </a:solidFill>
        <a:ln w="3175">
          <a:solidFill>
            <a:srgbClr val="000000"/>
          </a:solidFill>
          <a:prstDash val="solid"/>
        </a:ln>
      </c:spPr>
      <c:txPr>
        <a:bodyPr/>
        <a:lstStyle/>
        <a:p>
          <a:pPr>
            <a:defRPr sz="705" b="0" i="0" u="none" strike="noStrike" baseline="0">
              <a:solidFill>
                <a:srgbClr val="000000"/>
              </a:solidFill>
              <a:latin typeface="Arial"/>
              <a:ea typeface="Arial"/>
              <a:cs typeface="Arial"/>
            </a:defRPr>
          </a:pPr>
          <a:endParaRPr lang="en-US"/>
        </a:p>
      </c:txPr>
    </c:legend>
    <c:plotVisOnly val="1"/>
    <c:dispBlanksAs val="gap"/>
    <c:showDLblsOverMax val="0"/>
  </c:chart>
  <c:spPr>
    <a:blipFill dpi="0" rotWithShape="0">
      <a:blip xmlns:r="http://schemas.openxmlformats.org/officeDocument/2006/relationships" r:embed="rId1"/>
      <a:srcRect/>
      <a:tile tx="0" ty="0" sx="100000" sy="100000" flip="none" algn="tl"/>
    </a:blip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trlProps/ctrlProp1.xml><?xml version="1.0" encoding="utf-8"?>
<formControlPr xmlns="http://schemas.microsoft.com/office/spreadsheetml/2009/9/main" objectType="CheckBox" checked="Checked" fmlaLink="Returns_72_15!$BA$2" noThreeD="1"/>
</file>

<file path=xl/ctrlProps/ctrlProp2.xml><?xml version="1.0" encoding="utf-8"?>
<formControlPr xmlns="http://schemas.microsoft.com/office/spreadsheetml/2009/9/main" objectType="CheckBox" checked="Checked" fmlaLink="Returns_72_15!$BB$2" noThreeD="1"/>
</file>

<file path=xl/ctrlProps/ctrlProp3.xml><?xml version="1.0" encoding="utf-8"?>
<formControlPr xmlns="http://schemas.microsoft.com/office/spreadsheetml/2009/9/main" objectType="CheckBox" checked="Checked" fmlaLink="Returns_72_15!$BC$2" noThreeD="1"/>
</file>

<file path=xl/ctrlProps/ctrlProp4.xml><?xml version="1.0" encoding="utf-8"?>
<formControlPr xmlns="http://schemas.microsoft.com/office/spreadsheetml/2009/9/main" objectType="CheckBox" checked="Checked" fmlaLink="Returns_72_15!$BD$2" noThreeD="1"/>
</file>

<file path=xl/ctrlProps/ctrlProp5.xml><?xml version="1.0" encoding="utf-8"?>
<formControlPr xmlns="http://schemas.microsoft.com/office/spreadsheetml/2009/9/main" objectType="CheckBox" checked="Checked" fmlaLink="Returns_72_15!$BH$2" noThreeD="1"/>
</file>

<file path=xl/ctrlProps/ctrlProp6.xml><?xml version="1.0" encoding="utf-8"?>
<formControlPr xmlns="http://schemas.microsoft.com/office/spreadsheetml/2009/9/main" objectType="CheckBox" checked="Checked" fmlaLink="Returns_72_15!$BI$2" noThreeD="1"/>
</file>

<file path=xl/ctrlProps/ctrlProp7.xml><?xml version="1.0" encoding="utf-8"?>
<formControlPr xmlns="http://schemas.microsoft.com/office/spreadsheetml/2009/9/main" objectType="CheckBox" checked="Checked" fmlaLink="Returns_72_15!$BJ$2" noThreeD="1"/>
</file>

<file path=xl/ctrlProps/ctrlProp8.xml><?xml version="1.0" encoding="utf-8"?>
<formControlPr xmlns="http://schemas.microsoft.com/office/spreadsheetml/2009/9/main" objectType="CheckBox" checked="Checked" fmlaLink="Returns_72_15!$BK$2" noThreeD="1"/>
</file>

<file path=xl/ctrlProps/ctrlProp9.xml><?xml version="1.0" encoding="utf-8"?>
<formControlPr xmlns="http://schemas.microsoft.com/office/spreadsheetml/2009/9/main" objectType="CheckBox" checked="Checked" fmlaLink="Returns_85_15!$BO$2" noThreeD="1"/>
</file>

<file path=xl/ctrlProps/ctrlProp10.xml><?xml version="1.0" encoding="utf-8"?>
<formControlPr xmlns="http://schemas.microsoft.com/office/spreadsheetml/2009/9/main" objectType="CheckBox" checked="Checked" fmlaLink="Returns_85_15!$BP$2" noThreeD="1"/>
</file>

<file path=xl/ctrlProps/ctrlProp11.xml><?xml version="1.0" encoding="utf-8"?>
<formControlPr xmlns="http://schemas.microsoft.com/office/spreadsheetml/2009/9/main" objectType="CheckBox" checked="Checked" fmlaLink="Returns_85_15!$BQ$2" noThreeD="1"/>
</file>

<file path=xl/ctrlProps/ctrlProp12.xml><?xml version="1.0" encoding="utf-8"?>
<formControlPr xmlns="http://schemas.microsoft.com/office/spreadsheetml/2009/9/main" objectType="CheckBox" checked="Checked" fmlaLink="Returns_85_15!$BR$2" noThreeD="1"/>
</file>

<file path=xl/ctrlProps/ctrlProp13.xml><?xml version="1.0" encoding="utf-8"?>
<formControlPr xmlns="http://schemas.microsoft.com/office/spreadsheetml/2009/9/main" objectType="CheckBox" checked="Checked" fmlaLink="Returns_85_15!$BV$2" noThreeD="1"/>
</file>

<file path=xl/ctrlProps/ctrlProp14.xml><?xml version="1.0" encoding="utf-8"?>
<formControlPr xmlns="http://schemas.microsoft.com/office/spreadsheetml/2009/9/main" objectType="CheckBox" checked="Checked" fmlaLink="Returns_85_15!$BW$2" noThreeD="1"/>
</file>

<file path=xl/ctrlProps/ctrlProp15.xml><?xml version="1.0" encoding="utf-8"?>
<formControlPr xmlns="http://schemas.microsoft.com/office/spreadsheetml/2009/9/main" objectType="CheckBox" checked="Checked" fmlaLink="Returns_85_15!$BX$2" noThreeD="1"/>
</file>

<file path=xl/ctrlProps/ctrlProp16.xml><?xml version="1.0" encoding="utf-8"?>
<formControlPr xmlns="http://schemas.microsoft.com/office/spreadsheetml/2009/9/main" objectType="CheckBox" checked="Checked" fmlaLink="Returns_85_15!$BY$2" noThreeD="1"/>
</file>

<file path=xl/ctrlProps/ctrlProp17.xml><?xml version="1.0" encoding="utf-8"?>
<formControlPr xmlns="http://schemas.microsoft.com/office/spreadsheetml/2009/9/main" objectType="CheckBox" checked="Checked" fmlaLink="Returns_All!$CO$2" noThreeD="1"/>
</file>

<file path=xl/ctrlProps/ctrlProp18.xml><?xml version="1.0" encoding="utf-8"?>
<formControlPr xmlns="http://schemas.microsoft.com/office/spreadsheetml/2009/9/main" objectType="CheckBox" checked="Checked" fmlaLink="Returns_All!$CP$2" noThreeD="1"/>
</file>

<file path=xl/ctrlProps/ctrlProp19.xml><?xml version="1.0" encoding="utf-8"?>
<formControlPr xmlns="http://schemas.microsoft.com/office/spreadsheetml/2009/9/main" objectType="CheckBox" checked="Checked" fmlaLink="Returns_All!$CQ$2" noThreeD="1"/>
</file>

<file path=xl/ctrlProps/ctrlProp20.xml><?xml version="1.0" encoding="utf-8"?>
<formControlPr xmlns="http://schemas.microsoft.com/office/spreadsheetml/2009/9/main" objectType="CheckBox" checked="Checked" fmlaLink="Returns_All!$CV$2" noThreeD="1"/>
</file>

<file path=xl/ctrlProps/ctrlProp21.xml><?xml version="1.0" encoding="utf-8"?>
<formControlPr xmlns="http://schemas.microsoft.com/office/spreadsheetml/2009/9/main" objectType="CheckBox" checked="Checked" fmlaLink="Returns_All!$CW$2" noThreeD="1"/>
</file>

<file path=xl/ctrlProps/ctrlProp22.xml><?xml version="1.0" encoding="utf-8"?>
<formControlPr xmlns="http://schemas.microsoft.com/office/spreadsheetml/2009/9/main" objectType="CheckBox" checked="Checked" fmlaLink="Returns_All!$CX$2" noThreeD="1"/>
</file>

<file path=xl/ctrlProps/ctrlProp23.xml><?xml version="1.0" encoding="utf-8"?>
<formControlPr xmlns="http://schemas.microsoft.com/office/spreadsheetml/2009/9/main" objectType="CheckBox" checked="Checked" fmlaLink="Returns_All!$CY$2" noThreeD="1"/>
</file>

<file path=xl/ctrlProps/ctrlProp24.xml><?xml version="1.0" encoding="utf-8"?>
<formControlPr xmlns="http://schemas.microsoft.com/office/spreadsheetml/2009/9/main" objectType="CheckBox" checked="Checked" fmlaLink="Returns_All!$CR$2" noThreeD="1"/>
</file>

<file path=xl/ctrlProps/ctrlProp25.xml><?xml version="1.0" encoding="utf-8"?>
<formControlPr xmlns="http://schemas.microsoft.com/office/spreadsheetml/2009/9/main" objectType="CheckBox" checked="Checked" fmlaLink="Compare_Portfolios!$M$214" lockText="1" noThreeD="1"/>
</file>

<file path=xl/ctrlProps/ctrlProp26.xml><?xml version="1.0" encoding="utf-8"?>
<formControlPr xmlns="http://schemas.microsoft.com/office/spreadsheetml/2009/9/main" objectType="CheckBox" checked="Checked" fmlaLink="Compare_Portfolios!$N$214" lockText="1" noThreeD="1"/>
</file>

<file path=xl/ctrlProps/ctrlProp27.xml><?xml version="1.0" encoding="utf-8"?>
<formControlPr xmlns="http://schemas.microsoft.com/office/spreadsheetml/2009/9/main" objectType="CheckBox" checked="Checked" fmlaLink="Compare_Portfolios!$O$214" lockText="1" noThreeD="1"/>
</file>

<file path=xl/ctrlProps/ctrlProp28.xml><?xml version="1.0" encoding="utf-8"?>
<formControlPr xmlns="http://schemas.microsoft.com/office/spreadsheetml/2009/9/main" objectType="CheckBox" checked="Checked" fmlaLink="Compare_Portfolios!$P$214" lockText="1" noThreeD="1"/>
</file>

<file path=xl/ctrlProps/ctrlProp29.xml><?xml version="1.0" encoding="utf-8"?>
<formControlPr xmlns="http://schemas.microsoft.com/office/spreadsheetml/2009/9/main" objectType="CheckBox" checked="Checked" fmlaLink="Compare_Portfolios!$D$214" lockText="1" noThreeD="1"/>
</file>

<file path=xl/ctrlProps/ctrlProp30.xml><?xml version="1.0" encoding="utf-8"?>
<formControlPr xmlns="http://schemas.microsoft.com/office/spreadsheetml/2009/9/main" objectType="CheckBox" checked="Checked" fmlaLink="Compare_Portfolios!$E$214" lockText="1" noThreeD="1"/>
</file>

<file path=xl/ctrlProps/ctrlProp31.xml><?xml version="1.0" encoding="utf-8"?>
<formControlPr xmlns="http://schemas.microsoft.com/office/spreadsheetml/2009/9/main" objectType="CheckBox" checked="Checked" fmlaLink="Compare_Portfolios!$F$214" lockText="1" noThreeD="1"/>
</file>

<file path=xl/ctrlProps/ctrlProp32.xml><?xml version="1.0" encoding="utf-8"?>
<formControlPr xmlns="http://schemas.microsoft.com/office/spreadsheetml/2009/9/main" objectType="CheckBox" checked="Checked" fmlaLink="Compare_Portfolios!$G$214" lockText="1" noThreeD="1"/>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1" Type="http://schemas.openxmlformats.org/officeDocument/2006/relationships/chart" Target="../charts/chart16.xml"/><Relationship Id="rId2" Type="http://schemas.openxmlformats.org/officeDocument/2006/relationships/chart" Target="../charts/chart1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9</xdr:col>
      <xdr:colOff>0</xdr:colOff>
      <xdr:row>175</xdr:row>
      <xdr:rowOff>0</xdr:rowOff>
    </xdr:from>
    <xdr:to>
      <xdr:col>17</xdr:col>
      <xdr:colOff>12700</xdr:colOff>
      <xdr:row>205</xdr:row>
      <xdr:rowOff>0</xdr:rowOff>
    </xdr:to>
    <xdr:graphicFrame macro="">
      <xdr:nvGraphicFramePr>
        <xdr:cNvPr id="122542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50800</xdr:colOff>
      <xdr:row>175</xdr:row>
      <xdr:rowOff>0</xdr:rowOff>
    </xdr:from>
    <xdr:to>
      <xdr:col>26</xdr:col>
      <xdr:colOff>63500</xdr:colOff>
      <xdr:row>205</xdr:row>
      <xdr:rowOff>12700</xdr:rowOff>
    </xdr:to>
    <xdr:graphicFrame macro="">
      <xdr:nvGraphicFramePr>
        <xdr:cNvPr id="122542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207</xdr:row>
      <xdr:rowOff>0</xdr:rowOff>
    </xdr:from>
    <xdr:to>
      <xdr:col>17</xdr:col>
      <xdr:colOff>12700</xdr:colOff>
      <xdr:row>237</xdr:row>
      <xdr:rowOff>38100</xdr:rowOff>
    </xdr:to>
    <xdr:graphicFrame macro="">
      <xdr:nvGraphicFramePr>
        <xdr:cNvPr id="122542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12700</xdr:colOff>
      <xdr:row>207</xdr:row>
      <xdr:rowOff>12700</xdr:rowOff>
    </xdr:from>
    <xdr:to>
      <xdr:col>26</xdr:col>
      <xdr:colOff>25400</xdr:colOff>
      <xdr:row>237</xdr:row>
      <xdr:rowOff>12700</xdr:rowOff>
    </xdr:to>
    <xdr:graphicFrame macro="">
      <xdr:nvGraphicFramePr>
        <xdr:cNvPr id="1225429"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207</xdr:row>
      <xdr:rowOff>12700</xdr:rowOff>
    </xdr:from>
    <xdr:to>
      <xdr:col>8</xdr:col>
      <xdr:colOff>12700</xdr:colOff>
      <xdr:row>237</xdr:row>
      <xdr:rowOff>12700</xdr:rowOff>
    </xdr:to>
    <xdr:graphicFrame macro="">
      <xdr:nvGraphicFramePr>
        <xdr:cNvPr id="1225430"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xdr:colOff>
      <xdr:row>175</xdr:row>
      <xdr:rowOff>0</xdr:rowOff>
    </xdr:from>
    <xdr:to>
      <xdr:col>8</xdr:col>
      <xdr:colOff>25400</xdr:colOff>
      <xdr:row>205</xdr:row>
      <xdr:rowOff>12700</xdr:rowOff>
    </xdr:to>
    <xdr:graphicFrame macro="">
      <xdr:nvGraphicFramePr>
        <xdr:cNvPr id="1225431"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0</xdr:col>
          <xdr:colOff>863600</xdr:colOff>
          <xdr:row>203</xdr:row>
          <xdr:rowOff>76200</xdr:rowOff>
        </xdr:from>
        <xdr:to>
          <xdr:col>1</xdr:col>
          <xdr:colOff>203200</xdr:colOff>
          <xdr:row>204</xdr:row>
          <xdr:rowOff>114300</xdr:rowOff>
        </xdr:to>
        <xdr:sp macro="" textlink="">
          <xdr:nvSpPr>
            <xdr:cNvPr id="2068" name="Check Box 7909" hidden="1">
              <a:extLst>
                <a:ext uri="{63B3BB69-23CF-44E3-9099-C40C66FF867C}">
                  <a14:compatExt spid="_x0000_s206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xdr:col>
          <xdr:colOff>266700</xdr:colOff>
          <xdr:row>203</xdr:row>
          <xdr:rowOff>76200</xdr:rowOff>
        </xdr:from>
        <xdr:to>
          <xdr:col>3</xdr:col>
          <xdr:colOff>0</xdr:colOff>
          <xdr:row>204</xdr:row>
          <xdr:rowOff>139700</xdr:rowOff>
        </xdr:to>
        <xdr:sp macro="" textlink="">
          <xdr:nvSpPr>
            <xdr:cNvPr id="2069" name="Check Box 7910" hidden="1">
              <a:extLst>
                <a:ext uri="{63B3BB69-23CF-44E3-9099-C40C66FF867C}">
                  <a14:compatExt spid="_x0000_s206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0</xdr:colOff>
          <xdr:row>203</xdr:row>
          <xdr:rowOff>76200</xdr:rowOff>
        </xdr:from>
        <xdr:to>
          <xdr:col>5</xdr:col>
          <xdr:colOff>469900</xdr:colOff>
          <xdr:row>204</xdr:row>
          <xdr:rowOff>139700</xdr:rowOff>
        </xdr:to>
        <xdr:sp macro="" textlink="">
          <xdr:nvSpPr>
            <xdr:cNvPr id="2070" name="Check Box 7923" hidden="1">
              <a:extLst>
                <a:ext uri="{63B3BB69-23CF-44E3-9099-C40C66FF867C}">
                  <a14:compatExt spid="_x0000_s207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5</xdr:col>
          <xdr:colOff>292100</xdr:colOff>
          <xdr:row>203</xdr:row>
          <xdr:rowOff>76200</xdr:rowOff>
        </xdr:from>
        <xdr:to>
          <xdr:col>9</xdr:col>
          <xdr:colOff>38100</xdr:colOff>
          <xdr:row>204</xdr:row>
          <xdr:rowOff>139700</xdr:rowOff>
        </xdr:to>
        <xdr:sp macro="" textlink="">
          <xdr:nvSpPr>
            <xdr:cNvPr id="2071" name="Check Box 7924" hidden="1">
              <a:extLst>
                <a:ext uri="{63B3BB69-23CF-44E3-9099-C40C66FF867C}">
                  <a14:compatExt spid="_x0000_s207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0</xdr:col>
          <xdr:colOff>914400</xdr:colOff>
          <xdr:row>235</xdr:row>
          <xdr:rowOff>76200</xdr:rowOff>
        </xdr:from>
        <xdr:to>
          <xdr:col>1</xdr:col>
          <xdr:colOff>266700</xdr:colOff>
          <xdr:row>236</xdr:row>
          <xdr:rowOff>139700</xdr:rowOff>
        </xdr:to>
        <xdr:sp macro="" textlink="">
          <xdr:nvSpPr>
            <xdr:cNvPr id="2072" name="Check Box 7961" hidden="1">
              <a:extLst>
                <a:ext uri="{63B3BB69-23CF-44E3-9099-C40C66FF867C}">
                  <a14:compatExt spid="_x0000_s207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xdr:col>
          <xdr:colOff>304800</xdr:colOff>
          <xdr:row>235</xdr:row>
          <xdr:rowOff>76200</xdr:rowOff>
        </xdr:from>
        <xdr:to>
          <xdr:col>3</xdr:col>
          <xdr:colOff>38100</xdr:colOff>
          <xdr:row>236</xdr:row>
          <xdr:rowOff>139700</xdr:rowOff>
        </xdr:to>
        <xdr:sp macro="" textlink="">
          <xdr:nvSpPr>
            <xdr:cNvPr id="2073" name="Check Box 7962" hidden="1">
              <a:extLst>
                <a:ext uri="{63B3BB69-23CF-44E3-9099-C40C66FF867C}">
                  <a14:compatExt spid="_x0000_s207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0</xdr:colOff>
          <xdr:row>235</xdr:row>
          <xdr:rowOff>76200</xdr:rowOff>
        </xdr:from>
        <xdr:to>
          <xdr:col>5</xdr:col>
          <xdr:colOff>444500</xdr:colOff>
          <xdr:row>236</xdr:row>
          <xdr:rowOff>139700</xdr:rowOff>
        </xdr:to>
        <xdr:sp macro="" textlink="">
          <xdr:nvSpPr>
            <xdr:cNvPr id="2074" name="Check Box 7963" hidden="1">
              <a:extLst>
                <a:ext uri="{63B3BB69-23CF-44E3-9099-C40C66FF867C}">
                  <a14:compatExt spid="_x0000_s207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5</xdr:col>
          <xdr:colOff>254000</xdr:colOff>
          <xdr:row>235</xdr:row>
          <xdr:rowOff>76200</xdr:rowOff>
        </xdr:from>
        <xdr:to>
          <xdr:col>9</xdr:col>
          <xdr:colOff>0</xdr:colOff>
          <xdr:row>236</xdr:row>
          <xdr:rowOff>139700</xdr:rowOff>
        </xdr:to>
        <xdr:sp macro="" textlink="">
          <xdr:nvSpPr>
            <xdr:cNvPr id="2075" name="Check Box 7964" hidden="1">
              <a:extLst>
                <a:ext uri="{63B3BB69-23CF-44E3-9099-C40C66FF867C}">
                  <a14:compatExt spid="_x0000_s207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9</xdr:col>
          <xdr:colOff>952500</xdr:colOff>
          <xdr:row>203</xdr:row>
          <xdr:rowOff>50800</xdr:rowOff>
        </xdr:from>
        <xdr:to>
          <xdr:col>10</xdr:col>
          <xdr:colOff>266700</xdr:colOff>
          <xdr:row>204</xdr:row>
          <xdr:rowOff>101600</xdr:rowOff>
        </xdr:to>
        <xdr:sp macro="" textlink="">
          <xdr:nvSpPr>
            <xdr:cNvPr id="2076" name="Check Box 7977" hidden="1">
              <a:extLst>
                <a:ext uri="{63B3BB69-23CF-44E3-9099-C40C66FF867C}">
                  <a14:compatExt spid="_x0000_s207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355600</xdr:colOff>
          <xdr:row>203</xdr:row>
          <xdr:rowOff>50800</xdr:rowOff>
        </xdr:from>
        <xdr:to>
          <xdr:col>12</xdr:col>
          <xdr:colOff>12700</xdr:colOff>
          <xdr:row>204</xdr:row>
          <xdr:rowOff>101600</xdr:rowOff>
        </xdr:to>
        <xdr:sp macro="" textlink="">
          <xdr:nvSpPr>
            <xdr:cNvPr id="2077" name="Check Box 7978" hidden="1">
              <a:extLst>
                <a:ext uri="{63B3BB69-23CF-44E3-9099-C40C66FF867C}">
                  <a14:compatExt spid="_x0000_s207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12</xdr:col>
          <xdr:colOff>0</xdr:colOff>
          <xdr:row>203</xdr:row>
          <xdr:rowOff>50800</xdr:rowOff>
        </xdr:from>
        <xdr:to>
          <xdr:col>14</xdr:col>
          <xdr:colOff>304800</xdr:colOff>
          <xdr:row>204</xdr:row>
          <xdr:rowOff>101600</xdr:rowOff>
        </xdr:to>
        <xdr:sp macro="" textlink="">
          <xdr:nvSpPr>
            <xdr:cNvPr id="2078" name="Check Box 7979" hidden="1">
              <a:extLst>
                <a:ext uri="{63B3BB69-23CF-44E3-9099-C40C66FF867C}">
                  <a14:compatExt spid="_x0000_s207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215900</xdr:colOff>
          <xdr:row>203</xdr:row>
          <xdr:rowOff>50800</xdr:rowOff>
        </xdr:from>
        <xdr:to>
          <xdr:col>17</xdr:col>
          <xdr:colOff>0</xdr:colOff>
          <xdr:row>204</xdr:row>
          <xdr:rowOff>101600</xdr:rowOff>
        </xdr:to>
        <xdr:sp macro="" textlink="">
          <xdr:nvSpPr>
            <xdr:cNvPr id="2079" name="Check Box 7980" hidden="1">
              <a:extLst>
                <a:ext uri="{63B3BB69-23CF-44E3-9099-C40C66FF867C}">
                  <a14:compatExt spid="_x0000_s207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9</xdr:col>
          <xdr:colOff>990600</xdr:colOff>
          <xdr:row>235</xdr:row>
          <xdr:rowOff>38100</xdr:rowOff>
        </xdr:from>
        <xdr:to>
          <xdr:col>10</xdr:col>
          <xdr:colOff>304800</xdr:colOff>
          <xdr:row>236</xdr:row>
          <xdr:rowOff>76200</xdr:rowOff>
        </xdr:to>
        <xdr:sp macro="" textlink="">
          <xdr:nvSpPr>
            <xdr:cNvPr id="2080" name="Check Box 7981" hidden="1">
              <a:extLst>
                <a:ext uri="{63B3BB69-23CF-44E3-9099-C40C66FF867C}">
                  <a14:compatExt spid="_x0000_s208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317500</xdr:colOff>
          <xdr:row>235</xdr:row>
          <xdr:rowOff>50800</xdr:rowOff>
        </xdr:from>
        <xdr:to>
          <xdr:col>12</xdr:col>
          <xdr:colOff>0</xdr:colOff>
          <xdr:row>236</xdr:row>
          <xdr:rowOff>101600</xdr:rowOff>
        </xdr:to>
        <xdr:sp macro="" textlink="">
          <xdr:nvSpPr>
            <xdr:cNvPr id="2081" name="Check Box 7982" hidden="1">
              <a:extLst>
                <a:ext uri="{63B3BB69-23CF-44E3-9099-C40C66FF867C}">
                  <a14:compatExt spid="_x0000_s208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12</xdr:col>
          <xdr:colOff>0</xdr:colOff>
          <xdr:row>235</xdr:row>
          <xdr:rowOff>76200</xdr:rowOff>
        </xdr:from>
        <xdr:to>
          <xdr:col>14</xdr:col>
          <xdr:colOff>304800</xdr:colOff>
          <xdr:row>236</xdr:row>
          <xdr:rowOff>114300</xdr:rowOff>
        </xdr:to>
        <xdr:sp macro="" textlink="">
          <xdr:nvSpPr>
            <xdr:cNvPr id="2082" name="Check Box 7983" hidden="1">
              <a:extLst>
                <a:ext uri="{63B3BB69-23CF-44E3-9099-C40C66FF867C}">
                  <a14:compatExt spid="_x0000_s208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14</xdr:col>
          <xdr:colOff>177800</xdr:colOff>
          <xdr:row>235</xdr:row>
          <xdr:rowOff>50800</xdr:rowOff>
        </xdr:from>
        <xdr:to>
          <xdr:col>17</xdr:col>
          <xdr:colOff>0</xdr:colOff>
          <xdr:row>236</xdr:row>
          <xdr:rowOff>101600</xdr:rowOff>
        </xdr:to>
        <xdr:sp macro="" textlink="">
          <xdr:nvSpPr>
            <xdr:cNvPr id="2083" name="Check Box 7984" hidden="1">
              <a:extLst>
                <a:ext uri="{63B3BB69-23CF-44E3-9099-C40C66FF867C}">
                  <a14:compatExt spid="_x0000_s208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15-Year Rolling Returns</a:t>
              </a:r>
            </a:p>
          </xdr:txBody>
        </xdr:sp>
        <xdr:clientData/>
      </xdr:twoCellAnchor>
    </mc:Choice>
    <mc:Fallback/>
  </mc:AlternateContent>
  <xdr:twoCellAnchor>
    <xdr:from>
      <xdr:col>0</xdr:col>
      <xdr:colOff>0</xdr:colOff>
      <xdr:row>100</xdr:row>
      <xdr:rowOff>101600</xdr:rowOff>
    </xdr:from>
    <xdr:to>
      <xdr:col>7</xdr:col>
      <xdr:colOff>533400</xdr:colOff>
      <xdr:row>125</xdr:row>
      <xdr:rowOff>101600</xdr:rowOff>
    </xdr:to>
    <xdr:graphicFrame macro="">
      <xdr:nvGraphicFramePr>
        <xdr:cNvPr id="1225432"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127</xdr:row>
      <xdr:rowOff>0</xdr:rowOff>
    </xdr:from>
    <xdr:to>
      <xdr:col>8</xdr:col>
      <xdr:colOff>0</xdr:colOff>
      <xdr:row>153</xdr:row>
      <xdr:rowOff>0</xdr:rowOff>
    </xdr:to>
    <xdr:graphicFrame macro="">
      <xdr:nvGraphicFramePr>
        <xdr:cNvPr id="1225433"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154</xdr:row>
      <xdr:rowOff>0</xdr:rowOff>
    </xdr:from>
    <xdr:to>
      <xdr:col>8</xdr:col>
      <xdr:colOff>0</xdr:colOff>
      <xdr:row>172</xdr:row>
      <xdr:rowOff>139700</xdr:rowOff>
    </xdr:to>
    <xdr:graphicFrame macro="">
      <xdr:nvGraphicFramePr>
        <xdr:cNvPr id="1225434"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154</xdr:row>
      <xdr:rowOff>0</xdr:rowOff>
    </xdr:from>
    <xdr:to>
      <xdr:col>17</xdr:col>
      <xdr:colOff>12700</xdr:colOff>
      <xdr:row>172</xdr:row>
      <xdr:rowOff>139700</xdr:rowOff>
    </xdr:to>
    <xdr:graphicFrame macro="">
      <xdr:nvGraphicFramePr>
        <xdr:cNvPr id="1225435"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xdr:from>
          <xdr:col>18</xdr:col>
          <xdr:colOff>939800</xdr:colOff>
          <xdr:row>203</xdr:row>
          <xdr:rowOff>25400</xdr:rowOff>
        </xdr:from>
        <xdr:to>
          <xdr:col>19</xdr:col>
          <xdr:colOff>279400</xdr:colOff>
          <xdr:row>204</xdr:row>
          <xdr:rowOff>88900</xdr:rowOff>
        </xdr:to>
        <xdr:sp macro="" textlink="">
          <xdr:nvSpPr>
            <xdr:cNvPr id="2428" name="Check Box 7909" hidden="1">
              <a:extLst>
                <a:ext uri="{63B3BB69-23CF-44E3-9099-C40C66FF867C}">
                  <a14:compatExt spid="_x0000_s242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19</xdr:col>
          <xdr:colOff>241300</xdr:colOff>
          <xdr:row>203</xdr:row>
          <xdr:rowOff>50800</xdr:rowOff>
        </xdr:from>
        <xdr:to>
          <xdr:col>20</xdr:col>
          <xdr:colOff>939800</xdr:colOff>
          <xdr:row>204</xdr:row>
          <xdr:rowOff>114300</xdr:rowOff>
        </xdr:to>
        <xdr:sp macro="" textlink="">
          <xdr:nvSpPr>
            <xdr:cNvPr id="2429" name="Check Box 7910" hidden="1">
              <a:extLst>
                <a:ext uri="{63B3BB69-23CF-44E3-9099-C40C66FF867C}">
                  <a14:compatExt spid="_x0000_s242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20</xdr:col>
          <xdr:colOff>673100</xdr:colOff>
          <xdr:row>203</xdr:row>
          <xdr:rowOff>50800</xdr:rowOff>
        </xdr:from>
        <xdr:to>
          <xdr:col>23</xdr:col>
          <xdr:colOff>165100</xdr:colOff>
          <xdr:row>204</xdr:row>
          <xdr:rowOff>114300</xdr:rowOff>
        </xdr:to>
        <xdr:sp macro="" textlink="">
          <xdr:nvSpPr>
            <xdr:cNvPr id="2430" name="Check Box 7923" hidden="1">
              <a:extLst>
                <a:ext uri="{63B3BB69-23CF-44E3-9099-C40C66FF867C}">
                  <a14:compatExt spid="_x0000_s243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18</xdr:col>
          <xdr:colOff>723900</xdr:colOff>
          <xdr:row>235</xdr:row>
          <xdr:rowOff>12700</xdr:rowOff>
        </xdr:from>
        <xdr:to>
          <xdr:col>19</xdr:col>
          <xdr:colOff>76200</xdr:colOff>
          <xdr:row>236</xdr:row>
          <xdr:rowOff>76200</xdr:rowOff>
        </xdr:to>
        <xdr:sp macro="" textlink="">
          <xdr:nvSpPr>
            <xdr:cNvPr id="2431" name="Check Box 7961" hidden="1">
              <a:extLst>
                <a:ext uri="{63B3BB69-23CF-44E3-9099-C40C66FF867C}">
                  <a14:compatExt spid="_x0000_s243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3-Year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19</xdr:col>
          <xdr:colOff>101600</xdr:colOff>
          <xdr:row>235</xdr:row>
          <xdr:rowOff>12700</xdr:rowOff>
        </xdr:from>
        <xdr:to>
          <xdr:col>20</xdr:col>
          <xdr:colOff>800100</xdr:colOff>
          <xdr:row>236</xdr:row>
          <xdr:rowOff>76200</xdr:rowOff>
        </xdr:to>
        <xdr:sp macro="" textlink="">
          <xdr:nvSpPr>
            <xdr:cNvPr id="2432" name="Check Box 7962" hidden="1">
              <a:extLst>
                <a:ext uri="{63B3BB69-23CF-44E3-9099-C40C66FF867C}">
                  <a14:compatExt spid="_x0000_s243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5-Year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20</xdr:col>
          <xdr:colOff>444500</xdr:colOff>
          <xdr:row>234</xdr:row>
          <xdr:rowOff>152400</xdr:rowOff>
        </xdr:from>
        <xdr:to>
          <xdr:col>22</xdr:col>
          <xdr:colOff>571500</xdr:colOff>
          <xdr:row>236</xdr:row>
          <xdr:rowOff>63500</xdr:rowOff>
        </xdr:to>
        <xdr:sp macro="" textlink="">
          <xdr:nvSpPr>
            <xdr:cNvPr id="2433" name="Check Box 7963" hidden="1">
              <a:extLst>
                <a:ext uri="{63B3BB69-23CF-44E3-9099-C40C66FF867C}">
                  <a14:compatExt spid="_x0000_s243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10-Year Rolling Returns</a:t>
              </a:r>
            </a:p>
          </xdr:txBody>
        </xdr:sp>
        <xdr:clientData/>
      </xdr:twoCellAnchor>
    </mc:Choice>
    <mc:Fallback/>
  </mc:AlternateContent>
  <mc:AlternateContent xmlns:mc="http://schemas.openxmlformats.org/markup-compatibility/2006">
    <mc:Choice xmlns:a14="http://schemas.microsoft.com/office/drawing/2010/main" Requires="a14">
      <xdr:twoCellAnchor>
        <xdr:from>
          <xdr:col>22</xdr:col>
          <xdr:colOff>254000</xdr:colOff>
          <xdr:row>235</xdr:row>
          <xdr:rowOff>12700</xdr:rowOff>
        </xdr:from>
        <xdr:to>
          <xdr:col>26</xdr:col>
          <xdr:colOff>12700</xdr:colOff>
          <xdr:row>236</xdr:row>
          <xdr:rowOff>76200</xdr:rowOff>
        </xdr:to>
        <xdr:sp macro="" textlink="">
          <xdr:nvSpPr>
            <xdr:cNvPr id="2434" name="Check Box 7964" hidden="1">
              <a:extLst>
                <a:ext uri="{63B3BB69-23CF-44E3-9099-C40C66FF867C}">
                  <a14:compatExt spid="_x0000_s243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15-Year Rolling Returns</a:t>
              </a:r>
            </a:p>
          </xdr:txBody>
        </xdr:sp>
        <xdr:clientData/>
      </xdr:twoCellAnchor>
    </mc:Choice>
    <mc:Fallback/>
  </mc:AlternateContent>
  <xdr:twoCellAnchor>
    <xdr:from>
      <xdr:col>18</xdr:col>
      <xdr:colOff>0</xdr:colOff>
      <xdr:row>100</xdr:row>
      <xdr:rowOff>101600</xdr:rowOff>
    </xdr:from>
    <xdr:to>
      <xdr:col>26</xdr:col>
      <xdr:colOff>0</xdr:colOff>
      <xdr:row>125</xdr:row>
      <xdr:rowOff>101600</xdr:rowOff>
    </xdr:to>
    <xdr:graphicFrame macro="">
      <xdr:nvGraphicFramePr>
        <xdr:cNvPr id="122543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0</xdr:colOff>
      <xdr:row>127</xdr:row>
      <xdr:rowOff>0</xdr:rowOff>
    </xdr:from>
    <xdr:to>
      <xdr:col>26</xdr:col>
      <xdr:colOff>0</xdr:colOff>
      <xdr:row>153</xdr:row>
      <xdr:rowOff>0</xdr:rowOff>
    </xdr:to>
    <xdr:graphicFrame macro="">
      <xdr:nvGraphicFramePr>
        <xdr:cNvPr id="1225437"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0</xdr:colOff>
      <xdr:row>154</xdr:row>
      <xdr:rowOff>0</xdr:rowOff>
    </xdr:from>
    <xdr:to>
      <xdr:col>26</xdr:col>
      <xdr:colOff>0</xdr:colOff>
      <xdr:row>172</xdr:row>
      <xdr:rowOff>139700</xdr:rowOff>
    </xdr:to>
    <xdr:graphicFrame macro="">
      <xdr:nvGraphicFramePr>
        <xdr:cNvPr id="1225438"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12700</xdr:colOff>
      <xdr:row>100</xdr:row>
      <xdr:rowOff>114300</xdr:rowOff>
    </xdr:from>
    <xdr:to>
      <xdr:col>16</xdr:col>
      <xdr:colOff>660400</xdr:colOff>
      <xdr:row>125</xdr:row>
      <xdr:rowOff>114300</xdr:rowOff>
    </xdr:to>
    <xdr:graphicFrame macro="">
      <xdr:nvGraphicFramePr>
        <xdr:cNvPr id="1225439"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12700</xdr:colOff>
      <xdr:row>127</xdr:row>
      <xdr:rowOff>12700</xdr:rowOff>
    </xdr:from>
    <xdr:to>
      <xdr:col>17</xdr:col>
      <xdr:colOff>0</xdr:colOff>
      <xdr:row>153</xdr:row>
      <xdr:rowOff>12700</xdr:rowOff>
    </xdr:to>
    <xdr:graphicFrame macro="">
      <xdr:nvGraphicFramePr>
        <xdr:cNvPr id="1225440"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mc:AlternateContent xmlns:mc="http://schemas.openxmlformats.org/markup-compatibility/2006">
    <mc:Choice xmlns:a14="http://schemas.microsoft.com/office/drawing/2010/main" Requires="a14">
      <xdr:twoCellAnchor>
        <xdr:from>
          <xdr:col>22</xdr:col>
          <xdr:colOff>520700</xdr:colOff>
          <xdr:row>203</xdr:row>
          <xdr:rowOff>25400</xdr:rowOff>
        </xdr:from>
        <xdr:to>
          <xdr:col>25</xdr:col>
          <xdr:colOff>330200</xdr:colOff>
          <xdr:row>204</xdr:row>
          <xdr:rowOff>114300</xdr:rowOff>
        </xdr:to>
        <xdr:sp macro="" textlink="">
          <xdr:nvSpPr>
            <xdr:cNvPr id="1225259" name="Check Box 7924" hidden="1">
              <a:extLst>
                <a:ext uri="{63B3BB69-23CF-44E3-9099-C40C66FF867C}">
                  <a14:compatExt spid="_x0000_s12252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15-Year Rolling Returns</a:t>
              </a:r>
            </a:p>
          </xdr:txBody>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0.51644</cdr:x>
      <cdr:y>0.46874</cdr:y>
    </cdr:from>
    <cdr:to>
      <cdr:x>0.51644</cdr:x>
      <cdr:y>0.46874</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0.51644</cdr:x>
      <cdr:y>0.46874</cdr:y>
    </cdr:from>
    <cdr:to>
      <cdr:x>0.51644</cdr:x>
      <cdr:y>0.46874</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3.xml><?xml version="1.0" encoding="utf-8"?>
<c:userShapes xmlns:c="http://schemas.openxmlformats.org/drawingml/2006/chart">
  <cdr:relSizeAnchor xmlns:cdr="http://schemas.openxmlformats.org/drawingml/2006/chartDrawing">
    <cdr:from>
      <cdr:x>0.51571</cdr:x>
      <cdr:y>0.47657</cdr:y>
    </cdr:from>
    <cdr:to>
      <cdr:x>0.51571</cdr:x>
      <cdr:y>0.47657</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0.51571</cdr:x>
      <cdr:y>0.47657</cdr:y>
    </cdr:from>
    <cdr:to>
      <cdr:x>0.51571</cdr:x>
      <cdr:y>0.47657</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0.51324</cdr:x>
      <cdr:y>0.47462</cdr:y>
    </cdr:from>
    <cdr:to>
      <cdr:x>0.51324</cdr:x>
      <cdr:y>0.47462</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0.51324</cdr:x>
      <cdr:y>0.47462</cdr:y>
    </cdr:from>
    <cdr:to>
      <cdr:x>0.51324</cdr:x>
      <cdr:y>0.47462</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5.xml><?xml version="1.0" encoding="utf-8"?>
<c:userShapes xmlns:c="http://schemas.openxmlformats.org/drawingml/2006/chart">
  <cdr:relSizeAnchor xmlns:cdr="http://schemas.openxmlformats.org/drawingml/2006/chartDrawing">
    <cdr:from>
      <cdr:x>0.51324</cdr:x>
      <cdr:y>0.47462</cdr:y>
    </cdr:from>
    <cdr:to>
      <cdr:x>0.51324</cdr:x>
      <cdr:y>0.47462</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0.51324</cdr:x>
      <cdr:y>0.47462</cdr:y>
    </cdr:from>
    <cdr:to>
      <cdr:x>0.51324</cdr:x>
      <cdr:y>0.47462</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6.xml><?xml version="1.0" encoding="utf-8"?>
<c:userShapes xmlns:c="http://schemas.openxmlformats.org/drawingml/2006/chart">
  <cdr:relSizeAnchor xmlns:cdr="http://schemas.openxmlformats.org/drawingml/2006/chartDrawing">
    <cdr:from>
      <cdr:x>0.51571</cdr:x>
      <cdr:y>0.47657</cdr:y>
    </cdr:from>
    <cdr:to>
      <cdr:x>0.51571</cdr:x>
      <cdr:y>0.47657</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0.51571</cdr:x>
      <cdr:y>0.47657</cdr:y>
    </cdr:from>
    <cdr:to>
      <cdr:x>0.51571</cdr:x>
      <cdr:y>0.47657</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7.xml><?xml version="1.0" encoding="utf-8"?>
<c:userShapes xmlns:c="http://schemas.openxmlformats.org/drawingml/2006/chart">
  <cdr:relSizeAnchor xmlns:cdr="http://schemas.openxmlformats.org/drawingml/2006/chartDrawing">
    <cdr:from>
      <cdr:x>0.513</cdr:x>
      <cdr:y>0.47198</cdr:y>
    </cdr:from>
    <cdr:to>
      <cdr:x>0.513</cdr:x>
      <cdr:y>0.47198</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0.47198</cdr:y>
    </cdr:from>
    <cdr:to>
      <cdr:x>0.513</cdr:x>
      <cdr:y>0.47198</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0.12721</cdr:x>
      <cdr:y>0.3131</cdr:y>
    </cdr:from>
    <cdr:to>
      <cdr:x>0.59258</cdr:x>
      <cdr:y>0.3784</cdr:y>
    </cdr:to>
    <cdr:sp macro="" textlink="Returns_72_15!$M$56">
      <cdr:nvSpPr>
        <cdr:cNvPr id="1025027" name="Text Box 6"/>
        <cdr:cNvSpPr txBox="1">
          <a:spLocks xmlns:a="http://schemas.openxmlformats.org/drawingml/2006/main" noChangeArrowheads="1"/>
        </cdr:cNvSpPr>
      </cdr:nvSpPr>
      <cdr:spPr bwMode="auto">
        <a:xfrm xmlns:a="http://schemas.openxmlformats.org/drawingml/2006/main">
          <a:off x="903086" y="1242616"/>
          <a:ext cx="3303789" cy="259159"/>
        </a:xfrm>
        <a:prstGeom xmlns:a="http://schemas.openxmlformats.org/drawingml/2006/main" prst="rect">
          <a:avLst/>
        </a:prstGeom>
        <a:solidFill xmlns:a="http://schemas.openxmlformats.org/drawingml/2006/main">
          <a:srgbClr val="FF0000"/>
        </a:solidFill>
        <a:ln xmlns:a="http://schemas.openxmlformats.org/drawingml/2006/main" w="3175" algn="ctr">
          <a:solidFill>
            <a:srgbClr val="000000"/>
          </a:solid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fld id="{306F6DA4-AA8B-4E81-A073-CCA3E4CCC7C0}" type="TxLink">
            <a:rPr lang="en-US" sz="1100" b="1" i="0" u="none" strike="noStrike">
              <a:solidFill>
                <a:srgbClr val="000000"/>
              </a:solidFill>
              <a:latin typeface="Arial"/>
              <a:cs typeface="Arial"/>
            </a:rPr>
            <a:pPr algn="ctr" rtl="0">
              <a:defRPr sz="1000"/>
            </a:pPr>
            <a:t>Portfolio Nominal (Rebalanced) = 658,355</a:t>
          </a:fld>
          <a:endParaRPr lang="en-US" sz="1100" b="0" i="0" strike="noStrike">
            <a:solidFill>
              <a:srgbClr val="000000"/>
            </a:solidFill>
            <a:latin typeface="Calibri"/>
          </a:endParaRPr>
        </a:p>
      </cdr:txBody>
    </cdr:sp>
  </cdr:relSizeAnchor>
  <cdr:relSizeAnchor xmlns:cdr="http://schemas.openxmlformats.org/drawingml/2006/chartDrawing">
    <cdr:from>
      <cdr:x>0.12679</cdr:x>
      <cdr:y>0.39689</cdr:y>
    </cdr:from>
    <cdr:to>
      <cdr:x>0.59439</cdr:x>
      <cdr:y>0.45779</cdr:y>
    </cdr:to>
    <cdr:sp macro="" textlink="Returns_72_15!$A$192">
      <cdr:nvSpPr>
        <cdr:cNvPr id="1025028" name="Text Box 7"/>
        <cdr:cNvSpPr txBox="1">
          <a:spLocks xmlns:a="http://schemas.openxmlformats.org/drawingml/2006/main" noChangeArrowheads="1"/>
        </cdr:cNvSpPr>
      </cdr:nvSpPr>
      <cdr:spPr bwMode="auto">
        <a:xfrm xmlns:a="http://schemas.openxmlformats.org/drawingml/2006/main">
          <a:off x="900132" y="1575157"/>
          <a:ext cx="3319632" cy="241697"/>
        </a:xfrm>
        <a:prstGeom xmlns:a="http://schemas.openxmlformats.org/drawingml/2006/main" prst="rect">
          <a:avLst/>
        </a:prstGeom>
        <a:solidFill xmlns:a="http://schemas.openxmlformats.org/drawingml/2006/main">
          <a:srgbClr val="CCFFFF"/>
        </a:solidFill>
        <a:ln xmlns:a="http://schemas.openxmlformats.org/drawingml/2006/main" w="3175" algn="ctr">
          <a:solidFill>
            <a:srgbClr val="000000"/>
          </a:solidFill>
          <a:miter lim="800000"/>
          <a:headEnd/>
          <a:tailEnd/>
        </a:ln>
      </cdr:spPr>
      <cdr:txBody>
        <a:bodyPr xmlns:a="http://schemas.openxmlformats.org/drawingml/2006/main" vertOverflow="clip" wrap="square" lIns="27432" tIns="22860" rIns="27432" bIns="0" anchor="t" upright="1"/>
        <a:lstStyle xmlns:a="http://schemas.openxmlformats.org/drawingml/2006/main"/>
        <a:p xmlns:a="http://schemas.openxmlformats.org/drawingml/2006/main">
          <a:pPr algn="ctr" rtl="0">
            <a:defRPr sz="1000"/>
          </a:pPr>
          <a:fld id="{16763E38-0A4D-4F0A-A068-39ABDA281245}" type="TxLink">
            <a:rPr lang="en-US" sz="1000" b="1" i="0" u="none" strike="noStrike">
              <a:solidFill>
                <a:srgbClr val="000000"/>
              </a:solidFill>
              <a:latin typeface="Arial"/>
              <a:cs typeface="Arial"/>
            </a:rPr>
            <a:pPr algn="ctr" rtl="0">
              <a:defRPr sz="1000"/>
            </a:pPr>
            <a:t>CHP Nominal (Rebalanced) = 727,275</a:t>
          </a:fld>
          <a:endParaRPr lang="en-US" sz="1100" b="0" i="0" strike="noStrike">
            <a:solidFill>
              <a:srgbClr val="000000"/>
            </a:solidFill>
            <a:latin typeface="Calibri"/>
          </a:endParaRPr>
        </a:p>
      </cdr:txBody>
    </cdr:sp>
  </cdr:relSizeAnchor>
  <cdr:relSizeAnchor xmlns:cdr="http://schemas.openxmlformats.org/drawingml/2006/chartDrawing">
    <cdr:from>
      <cdr:x>0.12693</cdr:x>
      <cdr:y>0.24126</cdr:y>
    </cdr:from>
    <cdr:to>
      <cdr:x>0.59257</cdr:x>
      <cdr:y>0.2944</cdr:y>
    </cdr:to>
    <cdr:sp macro="" textlink="Returns_72_15!$I$119">
      <cdr:nvSpPr>
        <cdr:cNvPr id="1025029" name="Text Box 9"/>
        <cdr:cNvSpPr txBox="1">
          <a:spLocks xmlns:a="http://schemas.openxmlformats.org/drawingml/2006/main" noChangeArrowheads="1"/>
        </cdr:cNvSpPr>
      </cdr:nvSpPr>
      <cdr:spPr bwMode="auto">
        <a:xfrm xmlns:a="http://schemas.openxmlformats.org/drawingml/2006/main">
          <a:off x="901142" y="957501"/>
          <a:ext cx="3305718" cy="210899"/>
        </a:xfrm>
        <a:prstGeom xmlns:a="http://schemas.openxmlformats.org/drawingml/2006/main" prst="rect">
          <a:avLst/>
        </a:prstGeom>
        <a:solidFill xmlns:a="http://schemas.openxmlformats.org/drawingml/2006/main">
          <a:srgbClr val="FFFF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8BCB2924-404F-4C61-850E-F818867C7ACE}" type="TxLink">
            <a:rPr lang="en-US" sz="1100" b="1" i="0" u="none" strike="noStrike">
              <a:solidFill>
                <a:srgbClr val="000000"/>
              </a:solidFill>
              <a:latin typeface="Arial"/>
              <a:cs typeface="Arial"/>
            </a:rPr>
            <a:pPr algn="ctr" rtl="0">
              <a:defRPr sz="1000"/>
            </a:pPr>
            <a:t>Portfolio Nominal (Unbalanced) = 576,458</a:t>
          </a:fld>
          <a:endParaRPr lang="en-US" sz="1100" b="0" i="0" strike="noStrike">
            <a:solidFill>
              <a:srgbClr val="000000"/>
            </a:solidFill>
            <a:latin typeface="Calibri"/>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0.21387</cdr:x>
      <cdr:y>0.23099</cdr:y>
    </cdr:from>
    <cdr:to>
      <cdr:x>0.72753</cdr:x>
      <cdr:y>0.31465</cdr:y>
    </cdr:to>
    <cdr:sp macro="" textlink="">
      <cdr:nvSpPr>
        <cdr:cNvPr id="149505" name="Text Box 1"/>
        <cdr:cNvSpPr txBox="1">
          <a:spLocks xmlns:a="http://schemas.openxmlformats.org/drawingml/2006/main" noChangeArrowheads="1"/>
        </cdr:cNvSpPr>
      </cdr:nvSpPr>
      <cdr:spPr bwMode="auto">
        <a:xfrm xmlns:a="http://schemas.openxmlformats.org/drawingml/2006/main">
          <a:off x="1177693" y="1036680"/>
          <a:ext cx="3115013" cy="398433"/>
        </a:xfrm>
        <a:prstGeom xmlns:a="http://schemas.openxmlformats.org/drawingml/2006/main" prst="rect">
          <a:avLst/>
        </a:prstGeom>
        <a:noFill xmlns:a="http://schemas.openxmlformats.org/drawingml/2006/main"/>
        <a:ln xmlns:a="http://schemas.openxmlformats.org/drawingml/2006/main" w="9525" algn="ctr">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0.12278</cdr:x>
      <cdr:y>0.30886</cdr:y>
    </cdr:from>
    <cdr:to>
      <cdr:x>0.57271</cdr:x>
      <cdr:y>0.36923</cdr:y>
    </cdr:to>
    <cdr:sp macro="" textlink="Returns_72_15!$Q$56">
      <cdr:nvSpPr>
        <cdr:cNvPr id="1031170" name="Text Box 7"/>
        <cdr:cNvSpPr txBox="1">
          <a:spLocks xmlns:a="http://schemas.openxmlformats.org/drawingml/2006/main" noChangeArrowheads="1"/>
        </cdr:cNvSpPr>
      </cdr:nvSpPr>
      <cdr:spPr bwMode="auto">
        <a:xfrm xmlns:a="http://schemas.openxmlformats.org/drawingml/2006/main">
          <a:off x="871253" y="1274810"/>
          <a:ext cx="3192748" cy="249190"/>
        </a:xfrm>
        <a:prstGeom xmlns:a="http://schemas.openxmlformats.org/drawingml/2006/main" prst="rect">
          <a:avLst/>
        </a:prstGeom>
        <a:solidFill xmlns:a="http://schemas.openxmlformats.org/drawingml/2006/main">
          <a:srgbClr val="FF00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AFA80712-A6D6-4922-A39C-5AFB7A96C578}" type="TxLink">
            <a:rPr lang="en-US" sz="1100" b="1" i="0" u="none" strike="noStrike">
              <a:solidFill>
                <a:srgbClr val="000000"/>
              </a:solidFill>
              <a:latin typeface="Arial"/>
              <a:cs typeface="Arial"/>
            </a:rPr>
            <a:pPr algn="ctr" rtl="0">
              <a:defRPr sz="1000"/>
            </a:pPr>
            <a:t>Portfolio Real (Rebalanced) = 114,400</a:t>
          </a:fld>
          <a:endParaRPr lang="en-US" sz="1100" b="0" i="0" strike="noStrike">
            <a:solidFill>
              <a:srgbClr val="000000"/>
            </a:solidFill>
            <a:latin typeface="Calibri"/>
          </a:endParaRPr>
        </a:p>
      </cdr:txBody>
    </cdr:sp>
  </cdr:relSizeAnchor>
  <cdr:relSizeAnchor xmlns:cdr="http://schemas.openxmlformats.org/drawingml/2006/chartDrawing">
    <cdr:from>
      <cdr:x>0.12329</cdr:x>
      <cdr:y>0.38706</cdr:y>
    </cdr:from>
    <cdr:to>
      <cdr:x>0.57271</cdr:x>
      <cdr:y>0.44231</cdr:y>
    </cdr:to>
    <cdr:sp macro="" textlink="Returns_72_15!$A$193">
      <cdr:nvSpPr>
        <cdr:cNvPr id="1031171" name="Text Box 8"/>
        <cdr:cNvSpPr txBox="1">
          <a:spLocks xmlns:a="http://schemas.openxmlformats.org/drawingml/2006/main" noChangeArrowheads="1"/>
        </cdr:cNvSpPr>
      </cdr:nvSpPr>
      <cdr:spPr bwMode="auto">
        <a:xfrm xmlns:a="http://schemas.openxmlformats.org/drawingml/2006/main">
          <a:off x="874851" y="1597605"/>
          <a:ext cx="3189149" cy="228019"/>
        </a:xfrm>
        <a:prstGeom xmlns:a="http://schemas.openxmlformats.org/drawingml/2006/main" prst="rect">
          <a:avLst/>
        </a:prstGeom>
        <a:solidFill xmlns:a="http://schemas.openxmlformats.org/drawingml/2006/main">
          <a:srgbClr val="CCFFFF"/>
        </a:solidFill>
        <a:ln xmlns:a="http://schemas.openxmlformats.org/drawingml/2006/main" w="3175">
          <a:solidFill>
            <a:srgbClr val="000000"/>
          </a:solid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F1C865B-1FB1-4A65-B8F6-FDD746D30990}" type="TxLink">
            <a:rPr lang="en-US" sz="1000" b="1" i="0" u="none" strike="noStrike">
              <a:solidFill>
                <a:srgbClr val="000000"/>
              </a:solidFill>
              <a:latin typeface="Arial"/>
              <a:cs typeface="Arial"/>
            </a:rPr>
            <a:pPr algn="ctr" rtl="0">
              <a:defRPr sz="1000"/>
            </a:pPr>
            <a:t>CHP Real (Rebalanced) = 126,376</a:t>
          </a:fld>
          <a:endParaRPr lang="en-US" sz="1100" b="0" i="0" strike="noStrike">
            <a:solidFill>
              <a:srgbClr val="000000"/>
            </a:solidFill>
            <a:latin typeface="Calibri"/>
          </a:endParaRPr>
        </a:p>
      </cdr:txBody>
    </cdr:sp>
  </cdr:relSizeAnchor>
  <cdr:relSizeAnchor xmlns:cdr="http://schemas.openxmlformats.org/drawingml/2006/chartDrawing">
    <cdr:from>
      <cdr:x>0.12275</cdr:x>
      <cdr:y>0.23206</cdr:y>
    </cdr:from>
    <cdr:to>
      <cdr:x>0.57271</cdr:x>
      <cdr:y>0.28846</cdr:y>
    </cdr:to>
    <cdr:sp macro="" textlink="Returns_72_15!$Q$119">
      <cdr:nvSpPr>
        <cdr:cNvPr id="1031172" name="Text Box 9"/>
        <cdr:cNvSpPr txBox="1">
          <a:spLocks xmlns:a="http://schemas.openxmlformats.org/drawingml/2006/main" noChangeArrowheads="1"/>
        </cdr:cNvSpPr>
      </cdr:nvSpPr>
      <cdr:spPr bwMode="auto">
        <a:xfrm xmlns:a="http://schemas.openxmlformats.org/drawingml/2006/main">
          <a:off x="871061" y="957831"/>
          <a:ext cx="3192940" cy="232794"/>
        </a:xfrm>
        <a:prstGeom xmlns:a="http://schemas.openxmlformats.org/drawingml/2006/main" prst="rect">
          <a:avLst/>
        </a:prstGeom>
        <a:solidFill xmlns:a="http://schemas.openxmlformats.org/drawingml/2006/main">
          <a:srgbClr val="FFFF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352CC43A-9EC6-449E-8114-EA5ECE58F2A8}" type="TxLink">
            <a:rPr lang="en-US" sz="1100" b="1" i="0" u="none" strike="noStrike">
              <a:solidFill>
                <a:srgbClr val="000000"/>
              </a:solidFill>
              <a:latin typeface="Arial"/>
              <a:cs typeface="Arial"/>
            </a:rPr>
            <a:pPr algn="ctr" rtl="0">
              <a:defRPr sz="1000"/>
            </a:pPr>
            <a:t>Portfolio Real (Unbalanced) = 100,169</a:t>
          </a:fld>
          <a:endParaRPr lang="en-US" sz="1100" b="0" i="0" strike="noStrike">
            <a:solidFill>
              <a:srgbClr val="000000"/>
            </a:solidFill>
            <a:latin typeface="Calibri"/>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0.22103</cdr:x>
      <cdr:y>0.67797</cdr:y>
    </cdr:from>
    <cdr:to>
      <cdr:x>0.61745</cdr:x>
      <cdr:y>0.74682</cdr:y>
    </cdr:to>
    <cdr:sp macro="" textlink="Returns_72_15!$AQ$3">
      <cdr:nvSpPr>
        <cdr:cNvPr id="499715" name="Text Box 3"/>
        <cdr:cNvSpPr txBox="1">
          <a:spLocks xmlns:a="http://schemas.openxmlformats.org/drawingml/2006/main" noChangeArrowheads="1" noTextEdit="1"/>
        </cdr:cNvSpPr>
      </cdr:nvSpPr>
      <cdr:spPr bwMode="auto">
        <a:xfrm xmlns:a="http://schemas.openxmlformats.org/drawingml/2006/main">
          <a:off x="1568439" y="2032000"/>
          <a:ext cx="2813062" cy="206375"/>
        </a:xfrm>
        <a:prstGeom xmlns:a="http://schemas.openxmlformats.org/drawingml/2006/main" prst="rect">
          <a:avLst/>
        </a:prstGeom>
        <a:noFill xmlns:a="http://schemas.openxmlformats.org/drawingml/2006/main"/>
        <a:ln xmlns:a="http://schemas.openxmlformats.org/drawingml/2006/main" w="635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l" rtl="0">
            <a:defRPr sz="1000"/>
          </a:pPr>
          <a:fld id="{7C8B0587-2FE4-4BDF-9C64-ED5E71905DC7}" type="TxLink">
            <a:rPr lang="en-US" sz="1000" b="1" i="0" u="none" strike="noStrike">
              <a:solidFill>
                <a:srgbClr val="000000"/>
              </a:solidFill>
              <a:latin typeface="Arial"/>
              <a:cs typeface="Arial"/>
            </a:rPr>
            <a:pPr algn="l" rtl="0">
              <a:defRPr sz="1000"/>
            </a:pPr>
            <a:t>Max. Drawdown Rebalanced = 30.1%</a:t>
          </a:fld>
          <a:endParaRPr lang="en-US" sz="1000" b="0" i="0" strike="noStrike">
            <a:solidFill>
              <a:srgbClr val="000000"/>
            </a:solidFill>
            <a:latin typeface="Arial"/>
            <a:cs typeface="Arial"/>
          </a:endParaRPr>
        </a:p>
      </cdr:txBody>
    </cdr:sp>
  </cdr:relSizeAnchor>
  <cdr:relSizeAnchor xmlns:cdr="http://schemas.openxmlformats.org/drawingml/2006/chartDrawing">
    <cdr:from>
      <cdr:x>0.21879</cdr:x>
      <cdr:y>0.78824</cdr:y>
    </cdr:from>
    <cdr:to>
      <cdr:x>0.61521</cdr:x>
      <cdr:y>0.85805</cdr:y>
    </cdr:to>
    <cdr:sp macro="" textlink="Returns_72_15!$AQ$66">
      <cdr:nvSpPr>
        <cdr:cNvPr id="499716" name="Text Box 4"/>
        <cdr:cNvSpPr txBox="1">
          <a:spLocks xmlns:a="http://schemas.openxmlformats.org/drawingml/2006/main" noChangeArrowheads="1" noTextEdit="1"/>
        </cdr:cNvSpPr>
      </cdr:nvSpPr>
      <cdr:spPr bwMode="auto">
        <a:xfrm xmlns:a="http://schemas.openxmlformats.org/drawingml/2006/main">
          <a:off x="1552564" y="2362512"/>
          <a:ext cx="2813062" cy="209237"/>
        </a:xfrm>
        <a:prstGeom xmlns:a="http://schemas.openxmlformats.org/drawingml/2006/main" prst="rect">
          <a:avLst/>
        </a:prstGeom>
        <a:noFill xmlns:a="http://schemas.openxmlformats.org/drawingml/2006/main"/>
        <a:ln xmlns:a="http://schemas.openxmlformats.org/drawingml/2006/main" w="635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l" rtl="0">
            <a:defRPr sz="1000"/>
          </a:pPr>
          <a:fld id="{798FF181-909A-459C-B2D4-E55028F57E68}" type="TxLink">
            <a:rPr lang="en-US" sz="1000" b="1" i="0" u="none" strike="noStrike">
              <a:solidFill>
                <a:srgbClr val="000000"/>
              </a:solidFill>
              <a:latin typeface="Arial"/>
              <a:cs typeface="Arial"/>
            </a:rPr>
            <a:pPr algn="l" rtl="0">
              <a:defRPr sz="1000"/>
            </a:pPr>
            <a:t>Max. Drawdown Unbalanced = 36.9%</a:t>
          </a:fld>
          <a:endParaRPr lang="en-US" sz="1000" b="0" i="0" strike="noStrike">
            <a:solidFill>
              <a:srgbClr val="000000"/>
            </a:solidFill>
            <a:latin typeface="Arial"/>
            <a:cs typeface="Aria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0.17607</cdr:x>
      <cdr:y>0.70553</cdr:y>
    </cdr:from>
    <cdr:to>
      <cdr:x>0.52676</cdr:x>
      <cdr:y>0.77331</cdr:y>
    </cdr:to>
    <cdr:sp macro="" textlink="Returns_85_15!$BD$3">
      <cdr:nvSpPr>
        <cdr:cNvPr id="502787" name="Text Box 3"/>
        <cdr:cNvSpPr txBox="1">
          <a:spLocks xmlns:a="http://schemas.openxmlformats.org/drawingml/2006/main" noChangeArrowheads="1" noTextEdit="1"/>
        </cdr:cNvSpPr>
      </cdr:nvSpPr>
      <cdr:spPr bwMode="auto">
        <a:xfrm xmlns:a="http://schemas.openxmlformats.org/drawingml/2006/main">
          <a:off x="1315939" y="2114615"/>
          <a:ext cx="2621062" cy="203135"/>
        </a:xfrm>
        <a:prstGeom xmlns:a="http://schemas.openxmlformats.org/drawingml/2006/main" prst="rect">
          <a:avLst/>
        </a:prstGeom>
        <a:noFill xmlns:a="http://schemas.openxmlformats.org/drawingml/2006/main"/>
        <a:ln xmlns:a="http://schemas.openxmlformats.org/drawingml/2006/main" w="6350" algn="ctr">
          <a:solidFill>
            <a:srgbClr val="000000"/>
          </a:solidFill>
          <a:miter lim="800000"/>
          <a:headEnd/>
          <a:tailEnd/>
        </a:ln>
        <a:effectLst xmlns:a="http://schemas.openxmlformats.org/drawingml/2006/mai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5B9BF618-9FB1-43D9-A04B-3762A54CC9AF}" type="TxLink">
            <a:rPr lang="en-US" sz="1000" b="1" i="0" u="none" strike="noStrike">
              <a:solidFill>
                <a:srgbClr val="000000"/>
              </a:solidFill>
              <a:latin typeface="Arial"/>
              <a:cs typeface="Arial"/>
            </a:rPr>
            <a:pPr algn="l" rtl="0">
              <a:defRPr sz="1000"/>
            </a:pPr>
            <a:t>Max. Drawdown Rebalanced = 4.3%</a:t>
          </a:fld>
          <a:endParaRPr lang="en-US" sz="1000" b="0" i="0" strike="noStrike">
            <a:solidFill>
              <a:srgbClr val="000000"/>
            </a:solidFill>
            <a:latin typeface="Arial"/>
            <a:cs typeface="Arial"/>
          </a:endParaRPr>
        </a:p>
      </cdr:txBody>
    </cdr:sp>
  </cdr:relSizeAnchor>
  <cdr:relSizeAnchor xmlns:cdr="http://schemas.openxmlformats.org/drawingml/2006/chartDrawing">
    <cdr:from>
      <cdr:x>0.17555</cdr:x>
      <cdr:y>0.79881</cdr:y>
    </cdr:from>
    <cdr:to>
      <cdr:x>0.52768</cdr:x>
      <cdr:y>0.87019</cdr:y>
    </cdr:to>
    <cdr:sp macro="" textlink="Returns_85_15!$BD$55">
      <cdr:nvSpPr>
        <cdr:cNvPr id="502788" name="Text Box 4"/>
        <cdr:cNvSpPr txBox="1">
          <a:spLocks xmlns:a="http://schemas.openxmlformats.org/drawingml/2006/main" noChangeArrowheads="1" noTextEdit="1"/>
        </cdr:cNvSpPr>
      </cdr:nvSpPr>
      <cdr:spPr bwMode="auto">
        <a:xfrm xmlns:a="http://schemas.openxmlformats.org/drawingml/2006/main">
          <a:off x="1312034" y="2394182"/>
          <a:ext cx="2631802" cy="213940"/>
        </a:xfrm>
        <a:prstGeom xmlns:a="http://schemas.openxmlformats.org/drawingml/2006/main" prst="rect">
          <a:avLst/>
        </a:prstGeom>
        <a:noFill xmlns:a="http://schemas.openxmlformats.org/drawingml/2006/main"/>
        <a:ln xmlns:a="http://schemas.openxmlformats.org/drawingml/2006/main" w="6350" algn="ctr">
          <a:solidFill>
            <a:srgbClr val="000000"/>
          </a:solidFill>
          <a:miter lim="800000"/>
          <a:headEnd/>
          <a:tailEnd/>
        </a:ln>
        <a:effectLst xmlns:a="http://schemas.openxmlformats.org/drawingml/2006/mai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A8C9FD65-CD85-4078-B24D-B9A21FAAA3E0}" type="TxLink">
            <a:rPr lang="en-US" sz="1000" b="1" i="0" u="none" strike="noStrike">
              <a:solidFill>
                <a:srgbClr val="000000"/>
              </a:solidFill>
              <a:latin typeface="Arial"/>
              <a:cs typeface="Arial"/>
            </a:rPr>
            <a:pPr algn="l" rtl="0">
              <a:defRPr sz="1000"/>
            </a:pPr>
            <a:t>Max. Drawdown Unbalanced = 18.7%</a:t>
          </a:fld>
          <a:endParaRPr lang="en-US" sz="1000" b="0" i="0" strike="noStrike">
            <a:solidFill>
              <a:srgbClr val="000000"/>
            </a:solidFill>
            <a:latin typeface="Arial"/>
            <a:cs typeface="Aria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0.513</cdr:x>
      <cdr:y>0.47198</cdr:y>
    </cdr:from>
    <cdr:to>
      <cdr:x>0.513</cdr:x>
      <cdr:y>0.47198</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0.47198</cdr:y>
    </cdr:from>
    <cdr:to>
      <cdr:x>0.513</cdr:x>
      <cdr:y>0.47198</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0.1295</cdr:x>
      <cdr:y>0.3131</cdr:y>
    </cdr:from>
    <cdr:to>
      <cdr:x>0.60719</cdr:x>
      <cdr:y>0.36609</cdr:y>
    </cdr:to>
    <cdr:sp macro="" textlink="Returns_All!$M$157">
      <cdr:nvSpPr>
        <cdr:cNvPr id="1025027" name="Text Box 6"/>
        <cdr:cNvSpPr txBox="1">
          <a:spLocks xmlns:a="http://schemas.openxmlformats.org/drawingml/2006/main" noChangeArrowheads="1"/>
        </cdr:cNvSpPr>
      </cdr:nvSpPr>
      <cdr:spPr bwMode="auto">
        <a:xfrm xmlns:a="http://schemas.openxmlformats.org/drawingml/2006/main">
          <a:off x="941955" y="1242616"/>
          <a:ext cx="3474720" cy="210312"/>
        </a:xfrm>
        <a:prstGeom xmlns:a="http://schemas.openxmlformats.org/drawingml/2006/main" prst="rect">
          <a:avLst/>
        </a:prstGeom>
        <a:solidFill xmlns:a="http://schemas.openxmlformats.org/drawingml/2006/main">
          <a:srgbClr val="FF0000"/>
        </a:solidFill>
        <a:ln xmlns:a="http://schemas.openxmlformats.org/drawingml/2006/main" w="3175" algn="ctr">
          <a:solidFill>
            <a:srgbClr val="000000"/>
          </a:solid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fld id="{D1B7594C-8117-5A4E-BCAC-8560AADEBAB2}" type="TxLink">
            <a:rPr lang="en-US" sz="1100" b="1" i="0" u="none" strike="noStrike">
              <a:solidFill>
                <a:srgbClr val="000000"/>
              </a:solidFill>
              <a:latin typeface="Arial"/>
              <a:cs typeface="Arial"/>
            </a:rPr>
            <a:pPr algn="ctr" rtl="0">
              <a:defRPr sz="1000"/>
            </a:pPr>
            <a:t>Portfolio Nominal (Rebalanced) = 382,138,062</a:t>
          </a:fld>
          <a:endParaRPr lang="en-US" sz="1100" b="0" i="0" strike="noStrike">
            <a:solidFill>
              <a:srgbClr val="000000"/>
            </a:solidFill>
            <a:latin typeface="Calibri"/>
          </a:endParaRPr>
        </a:p>
      </cdr:txBody>
    </cdr:sp>
  </cdr:relSizeAnchor>
  <cdr:relSizeAnchor xmlns:cdr="http://schemas.openxmlformats.org/drawingml/2006/chartDrawing">
    <cdr:from>
      <cdr:x>0.12914</cdr:x>
      <cdr:y>0.38889</cdr:y>
    </cdr:from>
    <cdr:to>
      <cdr:x>0.60683</cdr:x>
      <cdr:y>0.44188</cdr:y>
    </cdr:to>
    <cdr:sp macro="" textlink="Returns_All!$A$495">
      <cdr:nvSpPr>
        <cdr:cNvPr id="1025028" name="Text Box 7"/>
        <cdr:cNvSpPr txBox="1">
          <a:spLocks xmlns:a="http://schemas.openxmlformats.org/drawingml/2006/main" noChangeArrowheads="1"/>
        </cdr:cNvSpPr>
      </cdr:nvSpPr>
      <cdr:spPr bwMode="auto">
        <a:xfrm xmlns:a="http://schemas.openxmlformats.org/drawingml/2006/main">
          <a:off x="939319" y="1543407"/>
          <a:ext cx="3474720" cy="210312"/>
        </a:xfrm>
        <a:prstGeom xmlns:a="http://schemas.openxmlformats.org/drawingml/2006/main" prst="rect">
          <a:avLst/>
        </a:prstGeom>
        <a:solidFill xmlns:a="http://schemas.openxmlformats.org/drawingml/2006/main">
          <a:srgbClr val="CCFFFF"/>
        </a:solidFill>
        <a:ln xmlns:a="http://schemas.openxmlformats.org/drawingml/2006/main" w="3175" algn="ctr">
          <a:solidFill>
            <a:srgbClr val="000000"/>
          </a:solidFill>
          <a:miter lim="800000"/>
          <a:headEnd/>
          <a:tailEnd/>
        </a:ln>
      </cdr:spPr>
      <cdr:txBody>
        <a:bodyPr xmlns:a="http://schemas.openxmlformats.org/drawingml/2006/main" vertOverflow="clip" wrap="square" lIns="27432" tIns="22860" rIns="27432" bIns="0" anchor="t" upright="1"/>
        <a:lstStyle xmlns:a="http://schemas.openxmlformats.org/drawingml/2006/main"/>
        <a:p xmlns:a="http://schemas.openxmlformats.org/drawingml/2006/main">
          <a:pPr algn="ctr" rtl="0">
            <a:defRPr sz="1000"/>
          </a:pPr>
          <a:fld id="{CB543F79-3FA3-CA4B-92D4-BBB2AB36FDCF}" type="TxLink">
            <a:rPr lang="en-US" sz="1000" b="1" i="0" u="none" strike="noStrike">
              <a:solidFill>
                <a:srgbClr val="000000"/>
              </a:solidFill>
              <a:latin typeface="Arial"/>
              <a:cs typeface="Arial"/>
            </a:rPr>
            <a:pPr algn="ctr" rtl="0">
              <a:defRPr sz="1000"/>
            </a:pPr>
            <a:t>C64 Nominal (Rebalanced) = 331,310,928</a:t>
          </a:fld>
          <a:endParaRPr lang="en-US" sz="1100" b="0" i="0" strike="noStrike">
            <a:solidFill>
              <a:srgbClr val="000000"/>
            </a:solidFill>
            <a:latin typeface="Calibri"/>
          </a:endParaRPr>
        </a:p>
      </cdr:txBody>
    </cdr:sp>
  </cdr:relSizeAnchor>
  <cdr:relSizeAnchor xmlns:cdr="http://schemas.openxmlformats.org/drawingml/2006/chartDrawing">
    <cdr:from>
      <cdr:x>0.12938</cdr:x>
      <cdr:y>0.23726</cdr:y>
    </cdr:from>
    <cdr:to>
      <cdr:x>0.60708</cdr:x>
      <cdr:y>0.29025</cdr:y>
    </cdr:to>
    <cdr:sp macro="" textlink="Returns_All!$I$321">
      <cdr:nvSpPr>
        <cdr:cNvPr id="1025029" name="Text Box 9"/>
        <cdr:cNvSpPr txBox="1">
          <a:spLocks xmlns:a="http://schemas.openxmlformats.org/drawingml/2006/main" noChangeArrowheads="1"/>
        </cdr:cNvSpPr>
      </cdr:nvSpPr>
      <cdr:spPr bwMode="auto">
        <a:xfrm xmlns:a="http://schemas.openxmlformats.org/drawingml/2006/main">
          <a:off x="941102" y="941626"/>
          <a:ext cx="3474720" cy="210312"/>
        </a:xfrm>
        <a:prstGeom xmlns:a="http://schemas.openxmlformats.org/drawingml/2006/main" prst="rect">
          <a:avLst/>
        </a:prstGeom>
        <a:solidFill xmlns:a="http://schemas.openxmlformats.org/drawingml/2006/main">
          <a:srgbClr val="FFFF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10707529-AA19-B84D-88D1-CD01B55B1562}" type="TxLink">
            <a:rPr lang="en-US" sz="1100" b="1" i="0" u="none" strike="noStrike">
              <a:solidFill>
                <a:srgbClr val="000000"/>
              </a:solidFill>
              <a:latin typeface="Arial"/>
              <a:cs typeface="Arial"/>
            </a:rPr>
            <a:pPr algn="ctr" rtl="0">
              <a:defRPr sz="1000"/>
            </a:pPr>
            <a:t>Portfolio Nominal (Unbalanced) = 1,219,777,228</a:t>
          </a:fld>
          <a:endParaRPr lang="en-US" sz="1100" b="0" i="0" strike="noStrike">
            <a:solidFill>
              <a:srgbClr val="000000"/>
            </a:solidFill>
            <a:latin typeface="Calibri"/>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0.21387</cdr:x>
      <cdr:y>0.23099</cdr:y>
    </cdr:from>
    <cdr:to>
      <cdr:x>0.72753</cdr:x>
      <cdr:y>0.31465</cdr:y>
    </cdr:to>
    <cdr:sp macro="" textlink="">
      <cdr:nvSpPr>
        <cdr:cNvPr id="149505" name="Text Box 1"/>
        <cdr:cNvSpPr txBox="1">
          <a:spLocks xmlns:a="http://schemas.openxmlformats.org/drawingml/2006/main" noChangeArrowheads="1"/>
        </cdr:cNvSpPr>
      </cdr:nvSpPr>
      <cdr:spPr bwMode="auto">
        <a:xfrm xmlns:a="http://schemas.openxmlformats.org/drawingml/2006/main">
          <a:off x="1177693" y="1036680"/>
          <a:ext cx="3115013" cy="398433"/>
        </a:xfrm>
        <a:prstGeom xmlns:a="http://schemas.openxmlformats.org/drawingml/2006/main" prst="rect">
          <a:avLst/>
        </a:prstGeom>
        <a:noFill xmlns:a="http://schemas.openxmlformats.org/drawingml/2006/main"/>
        <a:ln xmlns:a="http://schemas.openxmlformats.org/drawingml/2006/main" w="9525" algn="ctr">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0.13604</cdr:x>
      <cdr:y>0.3127</cdr:y>
    </cdr:from>
    <cdr:to>
      <cdr:x>0.61394</cdr:x>
      <cdr:y>0.36366</cdr:y>
    </cdr:to>
    <cdr:sp macro="" textlink="Returns_All!$Q$157">
      <cdr:nvSpPr>
        <cdr:cNvPr id="1031170" name="Text Box 7"/>
        <cdr:cNvSpPr txBox="1">
          <a:spLocks xmlns:a="http://schemas.openxmlformats.org/drawingml/2006/main" noChangeArrowheads="1"/>
        </cdr:cNvSpPr>
      </cdr:nvSpPr>
      <cdr:spPr bwMode="auto">
        <a:xfrm xmlns:a="http://schemas.openxmlformats.org/drawingml/2006/main">
          <a:off x="989114" y="1290685"/>
          <a:ext cx="3474720" cy="210312"/>
        </a:xfrm>
        <a:prstGeom xmlns:a="http://schemas.openxmlformats.org/drawingml/2006/main" prst="rect">
          <a:avLst/>
        </a:prstGeom>
        <a:solidFill xmlns:a="http://schemas.openxmlformats.org/drawingml/2006/main">
          <a:srgbClr val="FF00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59585192-E431-7A4B-A4AA-BC5F43CD89E0}" type="TxLink">
            <a:rPr lang="en-US" sz="1100" b="1" i="0" u="none" strike="noStrike">
              <a:solidFill>
                <a:srgbClr val="000000"/>
              </a:solidFill>
              <a:latin typeface="Arial"/>
              <a:cs typeface="Arial"/>
            </a:rPr>
            <a:pPr algn="ctr" rtl="0">
              <a:defRPr sz="1000"/>
            </a:pPr>
            <a:t>Portfolio Real (Rebalanced) = 20,137,373</a:t>
          </a:fld>
          <a:endParaRPr lang="en-US" sz="1100" b="0" i="0" strike="noStrike">
            <a:solidFill>
              <a:srgbClr val="000000"/>
            </a:solidFill>
            <a:latin typeface="Calibri"/>
          </a:endParaRPr>
        </a:p>
      </cdr:txBody>
    </cdr:sp>
  </cdr:relSizeAnchor>
  <cdr:relSizeAnchor xmlns:cdr="http://schemas.openxmlformats.org/drawingml/2006/chartDrawing">
    <cdr:from>
      <cdr:x>0.13431</cdr:x>
      <cdr:y>0.38322</cdr:y>
    </cdr:from>
    <cdr:to>
      <cdr:x>0.61221</cdr:x>
      <cdr:y>0.43312</cdr:y>
    </cdr:to>
    <cdr:sp macro="" textlink="Returns_All!$A$496">
      <cdr:nvSpPr>
        <cdr:cNvPr id="1031171" name="Text Box 8"/>
        <cdr:cNvSpPr txBox="1">
          <a:spLocks xmlns:a="http://schemas.openxmlformats.org/drawingml/2006/main" noChangeArrowheads="1"/>
        </cdr:cNvSpPr>
      </cdr:nvSpPr>
      <cdr:spPr bwMode="auto">
        <a:xfrm xmlns:a="http://schemas.openxmlformats.org/drawingml/2006/main">
          <a:off x="976536" y="1581731"/>
          <a:ext cx="3474720" cy="205962"/>
        </a:xfrm>
        <a:prstGeom xmlns:a="http://schemas.openxmlformats.org/drawingml/2006/main" prst="rect">
          <a:avLst/>
        </a:prstGeom>
        <a:solidFill xmlns:a="http://schemas.openxmlformats.org/drawingml/2006/main">
          <a:srgbClr val="CCFFFF"/>
        </a:solidFill>
        <a:ln xmlns:a="http://schemas.openxmlformats.org/drawingml/2006/main" w="3175">
          <a:solidFill>
            <a:srgbClr val="000000"/>
          </a:solid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B40CC62-1086-714C-A749-0820481E06D3}" type="TxLink">
            <a:rPr lang="en-US" sz="1000" b="1" i="0" u="none" strike="noStrike">
              <a:solidFill>
                <a:srgbClr val="000000"/>
              </a:solidFill>
              <a:latin typeface="Arial"/>
              <a:cs typeface="Arial"/>
            </a:rPr>
            <a:pPr algn="ctr" rtl="0">
              <a:defRPr sz="1000"/>
            </a:pPr>
            <a:t>C64 Real (Rebalanced) = 17,458,956</a:t>
          </a:fld>
          <a:endParaRPr lang="en-US" sz="1100" b="0" i="0" strike="noStrike">
            <a:solidFill>
              <a:srgbClr val="000000"/>
            </a:solidFill>
            <a:latin typeface="Calibri"/>
          </a:endParaRPr>
        </a:p>
      </cdr:txBody>
    </cdr:sp>
  </cdr:relSizeAnchor>
  <cdr:relSizeAnchor xmlns:cdr="http://schemas.openxmlformats.org/drawingml/2006/chartDrawing">
    <cdr:from>
      <cdr:x>0.13607</cdr:x>
      <cdr:y>0.23975</cdr:y>
    </cdr:from>
    <cdr:to>
      <cdr:x>0.61397</cdr:x>
      <cdr:y>0.29071</cdr:y>
    </cdr:to>
    <cdr:sp macro="" textlink="Returns_All!$Q$321">
      <cdr:nvSpPr>
        <cdr:cNvPr id="1031172" name="Text Box 9"/>
        <cdr:cNvSpPr txBox="1">
          <a:spLocks xmlns:a="http://schemas.openxmlformats.org/drawingml/2006/main" noChangeArrowheads="1"/>
        </cdr:cNvSpPr>
      </cdr:nvSpPr>
      <cdr:spPr bwMode="auto">
        <a:xfrm xmlns:a="http://schemas.openxmlformats.org/drawingml/2006/main">
          <a:off x="989308" y="989581"/>
          <a:ext cx="3474720" cy="210312"/>
        </a:xfrm>
        <a:prstGeom xmlns:a="http://schemas.openxmlformats.org/drawingml/2006/main" prst="rect">
          <a:avLst/>
        </a:prstGeom>
        <a:solidFill xmlns:a="http://schemas.openxmlformats.org/drawingml/2006/main">
          <a:srgbClr val="FFFF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AB233423-85BE-A242-A6D9-48647B21B676}" type="TxLink">
            <a:rPr lang="en-US" sz="1100" b="1" i="0" u="none" strike="noStrike">
              <a:solidFill>
                <a:srgbClr val="000000"/>
              </a:solidFill>
              <a:latin typeface="Arial"/>
              <a:cs typeface="Arial"/>
            </a:rPr>
            <a:pPr algn="ctr" rtl="0">
              <a:defRPr sz="1000"/>
            </a:pPr>
            <a:t>Portfolio Real (Unbalanced) = 64,278,101</a:t>
          </a:fld>
          <a:endParaRPr lang="en-US" sz="1100" b="0" i="0" strike="noStrike">
            <a:solidFill>
              <a:srgbClr val="000000"/>
            </a:solidFill>
            <a:latin typeface="Calibri"/>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0.10352</cdr:x>
      <cdr:y>0.68179</cdr:y>
    </cdr:from>
    <cdr:to>
      <cdr:x>0.42576</cdr:x>
      <cdr:y>0.75741</cdr:y>
    </cdr:to>
    <cdr:sp macro="" textlink="Returns_All!$CE$3">
      <cdr:nvSpPr>
        <cdr:cNvPr id="499715" name="Text Box 3"/>
        <cdr:cNvSpPr txBox="1">
          <a:spLocks xmlns:a="http://schemas.openxmlformats.org/drawingml/2006/main" noChangeArrowheads="1" noTextEdit="1"/>
        </cdr:cNvSpPr>
      </cdr:nvSpPr>
      <cdr:spPr bwMode="auto">
        <a:xfrm xmlns:a="http://schemas.openxmlformats.org/drawingml/2006/main">
          <a:off x="752693" y="2043472"/>
          <a:ext cx="2342926" cy="226648"/>
        </a:xfrm>
        <a:prstGeom xmlns:a="http://schemas.openxmlformats.org/drawingml/2006/main" prst="rect">
          <a:avLst/>
        </a:prstGeom>
        <a:noFill xmlns:a="http://schemas.openxmlformats.org/drawingml/2006/main"/>
        <a:ln xmlns:a="http://schemas.openxmlformats.org/drawingml/2006/main" w="635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l" rtl="0">
            <a:defRPr sz="1000"/>
          </a:pPr>
          <a:fld id="{FDF174F7-6E1B-8246-9E81-162372F8F0CC}" type="TxLink">
            <a:rPr lang="en-US" sz="1000" b="1" i="0" u="none" strike="noStrike">
              <a:solidFill>
                <a:srgbClr val="000000"/>
              </a:solidFill>
              <a:latin typeface="Arial"/>
              <a:cs typeface="Arial"/>
            </a:rPr>
            <a:pPr algn="l" rtl="0">
              <a:defRPr sz="1000"/>
            </a:pPr>
            <a:t>Max. Drawdown Rebalanced = 36.0%</a:t>
          </a:fld>
          <a:endParaRPr lang="en-US" sz="1000" b="0" i="0" strike="noStrike">
            <a:solidFill>
              <a:srgbClr val="000000"/>
            </a:solidFill>
            <a:latin typeface="Arial"/>
            <a:cs typeface="Arial"/>
          </a:endParaRPr>
        </a:p>
      </cdr:txBody>
    </cdr:sp>
  </cdr:relSizeAnchor>
  <cdr:relSizeAnchor xmlns:cdr="http://schemas.openxmlformats.org/drawingml/2006/chartDrawing">
    <cdr:from>
      <cdr:x>0.10352</cdr:x>
      <cdr:y>0.81568</cdr:y>
    </cdr:from>
    <cdr:to>
      <cdr:x>0.42795</cdr:x>
      <cdr:y>0.88983</cdr:y>
    </cdr:to>
    <cdr:sp macro="" textlink="Returns_All!$CE$167">
      <cdr:nvSpPr>
        <cdr:cNvPr id="499716" name="Text Box 4"/>
        <cdr:cNvSpPr txBox="1">
          <a:spLocks xmlns:a="http://schemas.openxmlformats.org/drawingml/2006/main" noChangeArrowheads="1" noTextEdit="1"/>
        </cdr:cNvSpPr>
      </cdr:nvSpPr>
      <cdr:spPr bwMode="auto">
        <a:xfrm xmlns:a="http://schemas.openxmlformats.org/drawingml/2006/main">
          <a:off x="752645" y="2444750"/>
          <a:ext cx="2358849" cy="222239"/>
        </a:xfrm>
        <a:prstGeom xmlns:a="http://schemas.openxmlformats.org/drawingml/2006/main" prst="rect">
          <a:avLst/>
        </a:prstGeom>
        <a:noFill xmlns:a="http://schemas.openxmlformats.org/drawingml/2006/main"/>
        <a:ln xmlns:a="http://schemas.openxmlformats.org/drawingml/2006/main" w="635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l" rtl="0">
            <a:defRPr sz="1000"/>
          </a:pPr>
          <a:fld id="{F48CFA35-F3EE-B94C-B6C5-857F20F2AE09}" type="TxLink">
            <a:rPr lang="en-US" sz="1000" b="1" i="0" u="none" strike="noStrike">
              <a:solidFill>
                <a:srgbClr val="000000"/>
              </a:solidFill>
              <a:latin typeface="Arial"/>
              <a:cs typeface="Arial"/>
            </a:rPr>
            <a:pPr algn="l" rtl="0">
              <a:defRPr sz="1000"/>
            </a:pPr>
            <a:t>Max. Drawdown Unbalanced = 57.8%</a:t>
          </a:fld>
          <a:endParaRPr lang="en-US" sz="1000" b="0" i="0" strike="noStrike">
            <a:solidFill>
              <a:srgbClr val="000000"/>
            </a:solidFill>
            <a:latin typeface="Arial"/>
            <a:cs typeface="Aria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0.513</cdr:x>
      <cdr:y>0.47198</cdr:y>
    </cdr:from>
    <cdr:to>
      <cdr:x>0.513</cdr:x>
      <cdr:y>0.47198</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0.47198</cdr:y>
    </cdr:from>
    <cdr:to>
      <cdr:x>0.513</cdr:x>
      <cdr:y>0.47198</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0.12721</cdr:x>
      <cdr:y>0.3131</cdr:y>
    </cdr:from>
    <cdr:to>
      <cdr:x>0.59391</cdr:x>
      <cdr:y>0.36609</cdr:y>
    </cdr:to>
    <cdr:sp macro="" textlink="Returns_85_15!$M$43">
      <cdr:nvSpPr>
        <cdr:cNvPr id="1025027" name="Text Box 6"/>
        <cdr:cNvSpPr txBox="1">
          <a:spLocks xmlns:a="http://schemas.openxmlformats.org/drawingml/2006/main" noChangeArrowheads="1"/>
        </cdr:cNvSpPr>
      </cdr:nvSpPr>
      <cdr:spPr bwMode="auto">
        <a:xfrm xmlns:a="http://schemas.openxmlformats.org/drawingml/2006/main">
          <a:off x="947126" y="1242616"/>
          <a:ext cx="3474720" cy="210312"/>
        </a:xfrm>
        <a:prstGeom xmlns:a="http://schemas.openxmlformats.org/drawingml/2006/main" prst="rect">
          <a:avLst/>
        </a:prstGeom>
        <a:solidFill xmlns:a="http://schemas.openxmlformats.org/drawingml/2006/main">
          <a:srgbClr val="FF0000"/>
        </a:solidFill>
        <a:ln xmlns:a="http://schemas.openxmlformats.org/drawingml/2006/main" w="3175" algn="ctr">
          <a:solidFill>
            <a:srgbClr val="000000"/>
          </a:solidFill>
          <a:miter lim="800000"/>
          <a:headEnd/>
          <a:tailEnd/>
        </a:ln>
      </cdr:spPr>
      <cdr:txBody>
        <a:bodyPr xmlns:a="http://schemas.openxmlformats.org/drawingml/2006/main" vertOverflow="clip" wrap="square" lIns="27432" tIns="27432" rIns="27432" bIns="0" anchor="t" upright="1"/>
        <a:lstStyle xmlns:a="http://schemas.openxmlformats.org/drawingml/2006/main"/>
        <a:p xmlns:a="http://schemas.openxmlformats.org/drawingml/2006/main">
          <a:pPr algn="ctr" rtl="0">
            <a:defRPr sz="1000"/>
          </a:pPr>
          <a:fld id="{3F21E3FF-60C7-6645-A08A-D528BDF2084F}" type="TxLink">
            <a:rPr lang="en-US" sz="1100" b="1" i="0" u="none" strike="noStrike">
              <a:solidFill>
                <a:srgbClr val="000000"/>
              </a:solidFill>
              <a:latin typeface="Arial"/>
              <a:cs typeface="Arial"/>
            </a:rPr>
            <a:pPr algn="ctr" rtl="0">
              <a:defRPr sz="1000"/>
            </a:pPr>
            <a:t>Portfolio Nominal (Rebalanced) = 130,167</a:t>
          </a:fld>
          <a:endParaRPr lang="en-US" sz="1100" b="0" i="0" strike="noStrike">
            <a:solidFill>
              <a:srgbClr val="000000"/>
            </a:solidFill>
            <a:latin typeface="Calibri"/>
          </a:endParaRPr>
        </a:p>
      </cdr:txBody>
    </cdr:sp>
  </cdr:relSizeAnchor>
  <cdr:relSizeAnchor xmlns:cdr="http://schemas.openxmlformats.org/drawingml/2006/chartDrawing">
    <cdr:from>
      <cdr:x>0.12679</cdr:x>
      <cdr:y>0.38489</cdr:y>
    </cdr:from>
    <cdr:to>
      <cdr:x>0.59349</cdr:x>
      <cdr:y>0.43788</cdr:y>
    </cdr:to>
    <cdr:sp macro="" textlink="Returns_85_15!$A$157">
      <cdr:nvSpPr>
        <cdr:cNvPr id="1025028" name="Text Box 7"/>
        <cdr:cNvSpPr txBox="1">
          <a:spLocks xmlns:a="http://schemas.openxmlformats.org/drawingml/2006/main" noChangeArrowheads="1"/>
        </cdr:cNvSpPr>
      </cdr:nvSpPr>
      <cdr:spPr bwMode="auto">
        <a:xfrm xmlns:a="http://schemas.openxmlformats.org/drawingml/2006/main">
          <a:off x="944000" y="1527532"/>
          <a:ext cx="3474720" cy="210312"/>
        </a:xfrm>
        <a:prstGeom xmlns:a="http://schemas.openxmlformats.org/drawingml/2006/main" prst="rect">
          <a:avLst/>
        </a:prstGeom>
        <a:solidFill xmlns:a="http://schemas.openxmlformats.org/drawingml/2006/main">
          <a:srgbClr val="CCFFFF"/>
        </a:solidFill>
        <a:ln xmlns:a="http://schemas.openxmlformats.org/drawingml/2006/main" w="3175" algn="ctr">
          <a:solidFill>
            <a:srgbClr val="000000"/>
          </a:solidFill>
          <a:miter lim="800000"/>
          <a:headEnd/>
          <a:tailEnd/>
        </a:ln>
      </cdr:spPr>
      <cdr:txBody>
        <a:bodyPr xmlns:a="http://schemas.openxmlformats.org/drawingml/2006/main" vertOverflow="clip" wrap="square" lIns="27432" tIns="22860" rIns="27432" bIns="0" anchor="t" upright="1"/>
        <a:lstStyle xmlns:a="http://schemas.openxmlformats.org/drawingml/2006/main"/>
        <a:p xmlns:a="http://schemas.openxmlformats.org/drawingml/2006/main">
          <a:pPr algn="ctr" rtl="0">
            <a:defRPr sz="1000"/>
          </a:pPr>
          <a:fld id="{CFA2B39B-66A9-9E4B-9165-B841FF19EC75}" type="TxLink">
            <a:rPr lang="en-US" sz="1000" b="1" i="0" u="none" strike="noStrike">
              <a:solidFill>
                <a:srgbClr val="000000"/>
              </a:solidFill>
              <a:latin typeface="Arial"/>
              <a:cs typeface="Arial"/>
            </a:rPr>
            <a:pPr algn="ctr" rtl="0">
              <a:defRPr sz="1000"/>
            </a:pPr>
            <a:t>CHP Nominal (Rebalanced) = 171,277</a:t>
          </a:fld>
          <a:endParaRPr lang="en-US" sz="1100" b="0" i="0" strike="noStrike">
            <a:solidFill>
              <a:srgbClr val="000000"/>
            </a:solidFill>
            <a:latin typeface="Calibri"/>
          </a:endParaRPr>
        </a:p>
      </cdr:txBody>
    </cdr:sp>
  </cdr:relSizeAnchor>
  <cdr:relSizeAnchor xmlns:cdr="http://schemas.openxmlformats.org/drawingml/2006/chartDrawing">
    <cdr:from>
      <cdr:x>0.12917</cdr:x>
      <cdr:y>0.24126</cdr:y>
    </cdr:from>
    <cdr:to>
      <cdr:x>0.59587</cdr:x>
      <cdr:y>0.2944</cdr:y>
    </cdr:to>
    <cdr:sp macro="" textlink="Returns_85_15!$I$95">
      <cdr:nvSpPr>
        <cdr:cNvPr id="1025029" name="Text Box 9"/>
        <cdr:cNvSpPr txBox="1">
          <a:spLocks xmlns:a="http://schemas.openxmlformats.org/drawingml/2006/main" noChangeArrowheads="1"/>
        </cdr:cNvSpPr>
      </cdr:nvSpPr>
      <cdr:spPr bwMode="auto">
        <a:xfrm xmlns:a="http://schemas.openxmlformats.org/drawingml/2006/main">
          <a:off x="961719" y="957501"/>
          <a:ext cx="3474720" cy="210899"/>
        </a:xfrm>
        <a:prstGeom xmlns:a="http://schemas.openxmlformats.org/drawingml/2006/main" prst="rect">
          <a:avLst/>
        </a:prstGeom>
        <a:solidFill xmlns:a="http://schemas.openxmlformats.org/drawingml/2006/main">
          <a:srgbClr val="FFFF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7715EA0A-8CE3-4646-9E61-A4D7297CE801}" type="TxLink">
            <a:rPr lang="en-US" sz="1100" b="1" i="0" u="none" strike="noStrike">
              <a:solidFill>
                <a:srgbClr val="000000"/>
              </a:solidFill>
              <a:latin typeface="Arial"/>
              <a:cs typeface="Arial"/>
            </a:rPr>
            <a:pPr algn="ctr" rtl="0">
              <a:defRPr sz="1000"/>
            </a:pPr>
            <a:t>Portfolio Nominal (Unbalanced) = 157,937</a:t>
          </a:fld>
          <a:endParaRPr lang="en-US" sz="1100" b="0" i="0" strike="noStrike">
            <a:solidFill>
              <a:srgbClr val="000000"/>
            </a:solidFill>
            <a:latin typeface="Calibri"/>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0.21387</cdr:x>
      <cdr:y>0.23099</cdr:y>
    </cdr:from>
    <cdr:to>
      <cdr:x>0.72753</cdr:x>
      <cdr:y>0.31465</cdr:y>
    </cdr:to>
    <cdr:sp macro="" textlink="">
      <cdr:nvSpPr>
        <cdr:cNvPr id="149505" name="Text Box 1"/>
        <cdr:cNvSpPr txBox="1">
          <a:spLocks xmlns:a="http://schemas.openxmlformats.org/drawingml/2006/main" noChangeArrowheads="1"/>
        </cdr:cNvSpPr>
      </cdr:nvSpPr>
      <cdr:spPr bwMode="auto">
        <a:xfrm xmlns:a="http://schemas.openxmlformats.org/drawingml/2006/main">
          <a:off x="1177693" y="1036680"/>
          <a:ext cx="3115013" cy="398433"/>
        </a:xfrm>
        <a:prstGeom xmlns:a="http://schemas.openxmlformats.org/drawingml/2006/main" prst="rect">
          <a:avLst/>
        </a:prstGeom>
        <a:noFill xmlns:a="http://schemas.openxmlformats.org/drawingml/2006/main"/>
        <a:ln xmlns:a="http://schemas.openxmlformats.org/drawingml/2006/main" w="9525" algn="ctr">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0.12278</cdr:x>
      <cdr:y>0.30886</cdr:y>
    </cdr:from>
    <cdr:to>
      <cdr:x>0.57271</cdr:x>
      <cdr:y>0.36923</cdr:y>
    </cdr:to>
    <cdr:sp macro="" textlink="Returns_85_15!$Q$43">
      <cdr:nvSpPr>
        <cdr:cNvPr id="1031170" name="Text Box 7"/>
        <cdr:cNvSpPr txBox="1">
          <a:spLocks xmlns:a="http://schemas.openxmlformats.org/drawingml/2006/main" noChangeArrowheads="1"/>
        </cdr:cNvSpPr>
      </cdr:nvSpPr>
      <cdr:spPr bwMode="auto">
        <a:xfrm xmlns:a="http://schemas.openxmlformats.org/drawingml/2006/main">
          <a:off x="871253" y="1274810"/>
          <a:ext cx="3192748" cy="249190"/>
        </a:xfrm>
        <a:prstGeom xmlns:a="http://schemas.openxmlformats.org/drawingml/2006/main" prst="rect">
          <a:avLst/>
        </a:prstGeom>
        <a:solidFill xmlns:a="http://schemas.openxmlformats.org/drawingml/2006/main">
          <a:srgbClr val="FF00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1F259686-B7D9-924E-BFDA-F2BBD769E1D1}" type="TxLink">
            <a:rPr lang="en-US" sz="1100" b="1" i="0" u="none" strike="noStrike">
              <a:solidFill>
                <a:srgbClr val="000000"/>
              </a:solidFill>
              <a:latin typeface="Arial"/>
              <a:cs typeface="Arial"/>
            </a:rPr>
            <a:pPr algn="ctr" rtl="0">
              <a:defRPr sz="1000"/>
            </a:pPr>
            <a:t>Portfolio Real (Rebalanced) = 57,950</a:t>
          </a:fld>
          <a:endParaRPr lang="en-US" sz="1100" b="0" i="0" strike="noStrike">
            <a:solidFill>
              <a:srgbClr val="000000"/>
            </a:solidFill>
            <a:latin typeface="Calibri"/>
          </a:endParaRPr>
        </a:p>
      </cdr:txBody>
    </cdr:sp>
  </cdr:relSizeAnchor>
  <cdr:relSizeAnchor xmlns:cdr="http://schemas.openxmlformats.org/drawingml/2006/chartDrawing">
    <cdr:from>
      <cdr:x>0.12329</cdr:x>
      <cdr:y>0.38706</cdr:y>
    </cdr:from>
    <cdr:to>
      <cdr:x>0.57271</cdr:x>
      <cdr:y>0.44231</cdr:y>
    </cdr:to>
    <cdr:sp macro="" textlink="Returns_85_15!$A$158">
      <cdr:nvSpPr>
        <cdr:cNvPr id="1031171" name="Text Box 8"/>
        <cdr:cNvSpPr txBox="1">
          <a:spLocks xmlns:a="http://schemas.openxmlformats.org/drawingml/2006/main" noChangeArrowheads="1"/>
        </cdr:cNvSpPr>
      </cdr:nvSpPr>
      <cdr:spPr bwMode="auto">
        <a:xfrm xmlns:a="http://schemas.openxmlformats.org/drawingml/2006/main">
          <a:off x="874851" y="1597605"/>
          <a:ext cx="3189149" cy="228019"/>
        </a:xfrm>
        <a:prstGeom xmlns:a="http://schemas.openxmlformats.org/drawingml/2006/main" prst="rect">
          <a:avLst/>
        </a:prstGeom>
        <a:solidFill xmlns:a="http://schemas.openxmlformats.org/drawingml/2006/main">
          <a:srgbClr val="CCFFFF"/>
        </a:solidFill>
        <a:ln xmlns:a="http://schemas.openxmlformats.org/drawingml/2006/main" w="3175">
          <a:solidFill>
            <a:srgbClr val="000000"/>
          </a:solid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67DF9A9-2F2B-184D-A487-989D2B2908E9}" type="TxLink">
            <a:rPr lang="en-US" sz="1000" b="1" i="0" u="none" strike="noStrike">
              <a:solidFill>
                <a:srgbClr val="000000"/>
              </a:solidFill>
              <a:latin typeface="Arial"/>
              <a:cs typeface="Arial"/>
            </a:rPr>
            <a:pPr algn="ctr" rtl="0">
              <a:defRPr sz="1000"/>
            </a:pPr>
            <a:t>CHP Real (Rebalanced) = 76,252</a:t>
          </a:fld>
          <a:endParaRPr lang="en-US" sz="1100" b="0" i="0" strike="noStrike">
            <a:solidFill>
              <a:srgbClr val="000000"/>
            </a:solidFill>
            <a:latin typeface="Calibri"/>
          </a:endParaRPr>
        </a:p>
      </cdr:txBody>
    </cdr:sp>
  </cdr:relSizeAnchor>
  <cdr:relSizeAnchor xmlns:cdr="http://schemas.openxmlformats.org/drawingml/2006/chartDrawing">
    <cdr:from>
      <cdr:x>0.12275</cdr:x>
      <cdr:y>0.23206</cdr:y>
    </cdr:from>
    <cdr:to>
      <cdr:x>0.57271</cdr:x>
      <cdr:y>0.28846</cdr:y>
    </cdr:to>
    <cdr:sp macro="" textlink="Returns_85_15!$Q$95">
      <cdr:nvSpPr>
        <cdr:cNvPr id="1031172" name="Text Box 9"/>
        <cdr:cNvSpPr txBox="1">
          <a:spLocks xmlns:a="http://schemas.openxmlformats.org/drawingml/2006/main" noChangeArrowheads="1"/>
        </cdr:cNvSpPr>
      </cdr:nvSpPr>
      <cdr:spPr bwMode="auto">
        <a:xfrm xmlns:a="http://schemas.openxmlformats.org/drawingml/2006/main">
          <a:off x="871061" y="957831"/>
          <a:ext cx="3192940" cy="232794"/>
        </a:xfrm>
        <a:prstGeom xmlns:a="http://schemas.openxmlformats.org/drawingml/2006/main" prst="rect">
          <a:avLst/>
        </a:prstGeom>
        <a:solidFill xmlns:a="http://schemas.openxmlformats.org/drawingml/2006/main">
          <a:srgbClr val="FFFF00"/>
        </a:solidFill>
        <a:ln xmlns:a="http://schemas.openxmlformats.org/drawingml/2006/main" w="3175">
          <a:solidFill>
            <a:srgbClr val="000000"/>
          </a:solidFill>
          <a:miter lim="800000"/>
          <a:headEnd/>
          <a:tailEnd/>
        </a:l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fld id="{2DD99F1B-C38D-C642-8CF6-F3E0F7166F15}" type="TxLink">
            <a:rPr lang="en-US" sz="1100" b="1" i="0" u="none" strike="noStrike">
              <a:solidFill>
                <a:srgbClr val="000000"/>
              </a:solidFill>
              <a:latin typeface="Arial"/>
              <a:cs typeface="Arial"/>
            </a:rPr>
            <a:pPr algn="ctr" rtl="0">
              <a:defRPr sz="1000"/>
            </a:pPr>
            <a:t>Portfolio Real (Unbalanced) = 70,313</a:t>
          </a:fld>
          <a:endParaRPr lang="en-US" sz="1100" b="0" i="0" strike="noStrike">
            <a:solidFill>
              <a:srgbClr val="000000"/>
            </a:solidFill>
            <a:latin typeface="Calibri"/>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266700</xdr:colOff>
      <xdr:row>109</xdr:row>
      <xdr:rowOff>50800</xdr:rowOff>
    </xdr:from>
    <xdr:to>
      <xdr:col>8</xdr:col>
      <xdr:colOff>0</xdr:colOff>
      <xdr:row>131</xdr:row>
      <xdr:rowOff>76200</xdr:rowOff>
    </xdr:to>
    <xdr:graphicFrame macro="">
      <xdr:nvGraphicFramePr>
        <xdr:cNvPr id="7078613"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109</xdr:row>
      <xdr:rowOff>63500</xdr:rowOff>
    </xdr:from>
    <xdr:to>
      <xdr:col>16</xdr:col>
      <xdr:colOff>406400</xdr:colOff>
      <xdr:row>131</xdr:row>
      <xdr:rowOff>63500</xdr:rowOff>
    </xdr:to>
    <xdr:graphicFrame macro="">
      <xdr:nvGraphicFramePr>
        <xdr:cNvPr id="7078614"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139700</xdr:colOff>
      <xdr:row>109</xdr:row>
      <xdr:rowOff>50800</xdr:rowOff>
    </xdr:from>
    <xdr:to>
      <xdr:col>25</xdr:col>
      <xdr:colOff>457200</xdr:colOff>
      <xdr:row>131</xdr:row>
      <xdr:rowOff>63500</xdr:rowOff>
    </xdr:to>
    <xdr:graphicFrame macro="">
      <xdr:nvGraphicFramePr>
        <xdr:cNvPr id="7078615"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254000</xdr:colOff>
      <xdr:row>133</xdr:row>
      <xdr:rowOff>0</xdr:rowOff>
    </xdr:from>
    <xdr:to>
      <xdr:col>8</xdr:col>
      <xdr:colOff>0</xdr:colOff>
      <xdr:row>161</xdr:row>
      <xdr:rowOff>76200</xdr:rowOff>
    </xdr:to>
    <xdr:graphicFrame macro="">
      <xdr:nvGraphicFramePr>
        <xdr:cNvPr id="707861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139700</xdr:colOff>
      <xdr:row>133</xdr:row>
      <xdr:rowOff>12700</xdr:rowOff>
    </xdr:from>
    <xdr:to>
      <xdr:col>16</xdr:col>
      <xdr:colOff>381000</xdr:colOff>
      <xdr:row>161</xdr:row>
      <xdr:rowOff>88900</xdr:rowOff>
    </xdr:to>
    <xdr:graphicFrame macro="">
      <xdr:nvGraphicFramePr>
        <xdr:cNvPr id="70786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1231900</xdr:colOff>
          <xdr:row>159</xdr:row>
          <xdr:rowOff>101600</xdr:rowOff>
        </xdr:from>
        <xdr:to>
          <xdr:col>10</xdr:col>
          <xdr:colOff>546100</xdr:colOff>
          <xdr:row>161</xdr:row>
          <xdr:rowOff>12700</xdr:rowOff>
        </xdr:to>
        <xdr:sp macro="" textlink="">
          <xdr:nvSpPr>
            <xdr:cNvPr id="7078549" name="Check Box 1685" hidden="1">
              <a:extLst>
                <a:ext uri="{63B3BB69-23CF-44E3-9099-C40C66FF867C}">
                  <a14:compatExt spid="_x0000_s707854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495300</xdr:colOff>
          <xdr:row>159</xdr:row>
          <xdr:rowOff>114300</xdr:rowOff>
        </xdr:from>
        <xdr:to>
          <xdr:col>11</xdr:col>
          <xdr:colOff>863600</xdr:colOff>
          <xdr:row>161</xdr:row>
          <xdr:rowOff>25400</xdr:rowOff>
        </xdr:to>
        <xdr:sp macro="" textlink="">
          <xdr:nvSpPr>
            <xdr:cNvPr id="7078551" name="Check Box 1687" hidden="1">
              <a:extLst>
                <a:ext uri="{63B3BB69-23CF-44E3-9099-C40C66FF867C}">
                  <a14:compatExt spid="_x0000_s707855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889000</xdr:colOff>
          <xdr:row>159</xdr:row>
          <xdr:rowOff>127000</xdr:rowOff>
        </xdr:from>
        <xdr:to>
          <xdr:col>13</xdr:col>
          <xdr:colOff>330200</xdr:colOff>
          <xdr:row>161</xdr:row>
          <xdr:rowOff>38100</xdr:rowOff>
        </xdr:to>
        <xdr:sp macro="" textlink="">
          <xdr:nvSpPr>
            <xdr:cNvPr id="7078552" name="Check Box 1688" hidden="1">
              <a:extLst>
                <a:ext uri="{63B3BB69-23CF-44E3-9099-C40C66FF867C}">
                  <a14:compatExt spid="_x0000_s70785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419100</xdr:colOff>
          <xdr:row>159</xdr:row>
          <xdr:rowOff>127000</xdr:rowOff>
        </xdr:from>
        <xdr:to>
          <xdr:col>15</xdr:col>
          <xdr:colOff>381000</xdr:colOff>
          <xdr:row>161</xdr:row>
          <xdr:rowOff>50800</xdr:rowOff>
        </xdr:to>
        <xdr:sp macro="" textlink="">
          <xdr:nvSpPr>
            <xdr:cNvPr id="7078553" name="Check Box 1689" hidden="1">
              <a:extLst>
                <a:ext uri="{63B3BB69-23CF-44E3-9099-C40C66FF867C}">
                  <a14:compatExt spid="_x0000_s70785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1358900</xdr:colOff>
          <xdr:row>159</xdr:row>
          <xdr:rowOff>76200</xdr:rowOff>
        </xdr:from>
        <xdr:to>
          <xdr:col>1</xdr:col>
          <xdr:colOff>266700</xdr:colOff>
          <xdr:row>161</xdr:row>
          <xdr:rowOff>50800</xdr:rowOff>
        </xdr:to>
        <xdr:sp macro="" textlink="">
          <xdr:nvSpPr>
            <xdr:cNvPr id="7078465" name="Check Box 1601" hidden="1">
              <a:extLst>
                <a:ext uri="{63B3BB69-23CF-44E3-9099-C40C66FF867C}">
                  <a14:compatExt spid="_x0000_s7078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635000</xdr:colOff>
          <xdr:row>159</xdr:row>
          <xdr:rowOff>101600</xdr:rowOff>
        </xdr:from>
        <xdr:to>
          <xdr:col>2</xdr:col>
          <xdr:colOff>889000</xdr:colOff>
          <xdr:row>161</xdr:row>
          <xdr:rowOff>12700</xdr:rowOff>
        </xdr:to>
        <xdr:sp macro="" textlink="">
          <xdr:nvSpPr>
            <xdr:cNvPr id="7078595" name="Check Box 1731" hidden="1">
              <a:extLst>
                <a:ext uri="{63B3BB69-23CF-44E3-9099-C40C66FF867C}">
                  <a14:compatExt spid="_x0000_s707859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127000</xdr:colOff>
          <xdr:row>159</xdr:row>
          <xdr:rowOff>114300</xdr:rowOff>
        </xdr:from>
        <xdr:to>
          <xdr:col>5</xdr:col>
          <xdr:colOff>127000</xdr:colOff>
          <xdr:row>161</xdr:row>
          <xdr:rowOff>25400</xdr:rowOff>
        </xdr:to>
        <xdr:sp macro="" textlink="">
          <xdr:nvSpPr>
            <xdr:cNvPr id="7078606" name="Check Box 1742" hidden="1">
              <a:extLst>
                <a:ext uri="{63B3BB69-23CF-44E3-9099-C40C66FF867C}">
                  <a14:compatExt spid="_x0000_s707860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330200</xdr:colOff>
          <xdr:row>159</xdr:row>
          <xdr:rowOff>127000</xdr:rowOff>
        </xdr:from>
        <xdr:to>
          <xdr:col>7</xdr:col>
          <xdr:colOff>241300</xdr:colOff>
          <xdr:row>161</xdr:row>
          <xdr:rowOff>38100</xdr:rowOff>
        </xdr:to>
        <xdr:sp macro="" textlink="">
          <xdr:nvSpPr>
            <xdr:cNvPr id="7078607" name="Check Box 1743" hidden="1">
              <a:extLst>
                <a:ext uri="{63B3BB69-23CF-44E3-9099-C40C66FF867C}">
                  <a14:compatExt spid="_x0000_s7078607"/>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Telltale P5</a:t>
              </a:r>
            </a:p>
          </xdr:txBody>
        </xdr:sp>
        <xdr:clientData/>
      </xdr:twoCellAnchor>
    </mc:Choice>
    <mc:Fallback/>
  </mc:AlternateContent>
</xdr:wsDr>
</file>

<file path=xl/drawings/drawing17.xml><?xml version="1.0" encoding="utf-8"?>
<c:userShapes xmlns:c="http://schemas.openxmlformats.org/drawingml/2006/chart">
  <cdr:relSizeAnchor xmlns:cdr="http://schemas.openxmlformats.org/drawingml/2006/chartDrawing">
    <cdr:from>
      <cdr:x>0.513</cdr:x>
      <cdr:y>0.47637</cdr:y>
    </cdr:from>
    <cdr:to>
      <cdr:x>0.513</cdr:x>
      <cdr:y>0.47637</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0.47637</cdr:y>
    </cdr:from>
    <cdr:to>
      <cdr:x>0.513</cdr:x>
      <cdr:y>0.47637</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8.xml><?xml version="1.0" encoding="utf-8"?>
<c:userShapes xmlns:c="http://schemas.openxmlformats.org/drawingml/2006/chart">
  <cdr:relSizeAnchor xmlns:cdr="http://schemas.openxmlformats.org/drawingml/2006/chartDrawing">
    <cdr:from>
      <cdr:x>0.513</cdr:x>
      <cdr:y>0.47637</cdr:y>
    </cdr:from>
    <cdr:to>
      <cdr:x>0.513</cdr:x>
      <cdr:y>0.47637</cdr:y>
    </cdr:to>
    <cdr:sp macro="" textlink="">
      <cdr:nvSpPr>
        <cdr:cNvPr id="147461" name="Text Box 5"/>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0.513</cdr:x>
      <cdr:y>0.47637</cdr:y>
    </cdr:from>
    <cdr:to>
      <cdr:x>0.513</cdr:x>
      <cdr:y>0.47637</cdr:y>
    </cdr:to>
    <cdr:sp macro="" textlink="">
      <cdr:nvSpPr>
        <cdr:cNvPr id="147463" name="Text Box 7"/>
        <cdr:cNvSpPr txBox="1">
          <a:spLocks xmlns:a="http://schemas.openxmlformats.org/drawingml/2006/main" noChangeArrowheads="1"/>
        </cdr:cNvSpPr>
      </cdr:nvSpPr>
      <cdr:spPr bwMode="auto">
        <a:xfrm xmlns:a="http://schemas.openxmlformats.org/drawingml/2006/main">
          <a:off x="2933370" y="2202498"/>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9.xml><?xml version="1.0" encoding="utf-8"?>
<xdr:wsDr xmlns:xdr="http://schemas.openxmlformats.org/drawingml/2006/spreadsheetDrawing" xmlns:a="http://schemas.openxmlformats.org/drawingml/2006/main">
  <xdr:twoCellAnchor>
    <xdr:from>
      <xdr:col>15</xdr:col>
      <xdr:colOff>381000</xdr:colOff>
      <xdr:row>9</xdr:row>
      <xdr:rowOff>381000</xdr:rowOff>
    </xdr:from>
    <xdr:to>
      <xdr:col>25</xdr:col>
      <xdr:colOff>863600</xdr:colOff>
      <xdr:row>35</xdr:row>
      <xdr:rowOff>25400</xdr:rowOff>
    </xdr:to>
    <xdr:graphicFrame macro="">
      <xdr:nvGraphicFramePr>
        <xdr:cNvPr id="1435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mba.tuck.dartmouth.edu/pages/faculty/ken.french/data_library.html" TargetMode="External"/><Relationship Id="rId4" Type="http://schemas.openxmlformats.org/officeDocument/2006/relationships/hyperlink" Target="https://www.bogleheads.org/forum/viewtopic.php?f=10&amp;t=2520&amp;start=500" TargetMode="External"/><Relationship Id="rId1" Type="http://schemas.openxmlformats.org/officeDocument/2006/relationships/hyperlink" Target="http://www.bogleheads.org/forum/viewtopic.php?t=2520" TargetMode="External"/><Relationship Id="rId2" Type="http://schemas.openxmlformats.org/officeDocument/2006/relationships/hyperlink" Target="http://www.bogleheads.org/" TargetMode="External"/></Relationships>
</file>

<file path=xl/worksheets/_rels/sheet2.xml.rels><?xml version="1.0" encoding="UTF-8" standalone="yes"?>
<Relationships xmlns="http://schemas.openxmlformats.org/package/2006/relationships"><Relationship Id="rId9" Type="http://schemas.openxmlformats.org/officeDocument/2006/relationships/ctrlProp" Target="../ctrlProps/ctrlProp7.xml"/><Relationship Id="rId20" Type="http://schemas.openxmlformats.org/officeDocument/2006/relationships/ctrlProp" Target="../ctrlProps/ctrlProp18.xml"/><Relationship Id="rId21" Type="http://schemas.openxmlformats.org/officeDocument/2006/relationships/ctrlProp" Target="../ctrlProps/ctrlProp19.xml"/><Relationship Id="rId22" Type="http://schemas.openxmlformats.org/officeDocument/2006/relationships/ctrlProp" Target="../ctrlProps/ctrlProp20.xml"/><Relationship Id="rId23" Type="http://schemas.openxmlformats.org/officeDocument/2006/relationships/ctrlProp" Target="../ctrlProps/ctrlProp21.xml"/><Relationship Id="rId24" Type="http://schemas.openxmlformats.org/officeDocument/2006/relationships/ctrlProp" Target="../ctrlProps/ctrlProp22.xml"/><Relationship Id="rId25" Type="http://schemas.openxmlformats.org/officeDocument/2006/relationships/ctrlProp" Target="../ctrlProps/ctrlProp23.xml"/><Relationship Id="rId26" Type="http://schemas.openxmlformats.org/officeDocument/2006/relationships/ctrlProp" Target="../ctrlProps/ctrlProp24.xml"/><Relationship Id="rId27" Type="http://schemas.openxmlformats.org/officeDocument/2006/relationships/comments" Target="../comments1.xml"/><Relationship Id="rId10" Type="http://schemas.openxmlformats.org/officeDocument/2006/relationships/ctrlProp" Target="../ctrlProps/ctrlProp8.xml"/><Relationship Id="rId11" Type="http://schemas.openxmlformats.org/officeDocument/2006/relationships/ctrlProp" Target="../ctrlProps/ctrlProp9.xml"/><Relationship Id="rId12" Type="http://schemas.openxmlformats.org/officeDocument/2006/relationships/ctrlProp" Target="../ctrlProps/ctrlProp10.xml"/><Relationship Id="rId13" Type="http://schemas.openxmlformats.org/officeDocument/2006/relationships/ctrlProp" Target="../ctrlProps/ctrlProp11.xml"/><Relationship Id="rId14" Type="http://schemas.openxmlformats.org/officeDocument/2006/relationships/ctrlProp" Target="../ctrlProps/ctrlProp12.xml"/><Relationship Id="rId15" Type="http://schemas.openxmlformats.org/officeDocument/2006/relationships/ctrlProp" Target="../ctrlProps/ctrlProp13.xml"/><Relationship Id="rId16" Type="http://schemas.openxmlformats.org/officeDocument/2006/relationships/ctrlProp" Target="../ctrlProps/ctrlProp14.xml"/><Relationship Id="rId17" Type="http://schemas.openxmlformats.org/officeDocument/2006/relationships/ctrlProp" Target="../ctrlProps/ctrlProp15.xml"/><Relationship Id="rId18" Type="http://schemas.openxmlformats.org/officeDocument/2006/relationships/ctrlProp" Target="../ctrlProps/ctrlProp16.xml"/><Relationship Id="rId19" Type="http://schemas.openxmlformats.org/officeDocument/2006/relationships/ctrlProp" Target="../ctrlProps/ctrlProp17.xml"/><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 Id="rId4" Type="http://schemas.openxmlformats.org/officeDocument/2006/relationships/ctrlProp" Target="../ctrlProps/ctrlProp2.xml"/><Relationship Id="rId5" Type="http://schemas.openxmlformats.org/officeDocument/2006/relationships/ctrlProp" Target="../ctrlProps/ctrlProp3.xml"/><Relationship Id="rId6" Type="http://schemas.openxmlformats.org/officeDocument/2006/relationships/ctrlProp" Target="../ctrlProps/ctrlProp4.xml"/><Relationship Id="rId7" Type="http://schemas.openxmlformats.org/officeDocument/2006/relationships/ctrlProp" Target="../ctrlProps/ctrlProp5.xml"/><Relationship Id="rId8"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25.xml"/><Relationship Id="rId4" Type="http://schemas.openxmlformats.org/officeDocument/2006/relationships/ctrlProp" Target="../ctrlProps/ctrlProp26.xml"/><Relationship Id="rId5" Type="http://schemas.openxmlformats.org/officeDocument/2006/relationships/ctrlProp" Target="../ctrlProps/ctrlProp27.xml"/><Relationship Id="rId6" Type="http://schemas.openxmlformats.org/officeDocument/2006/relationships/ctrlProp" Target="../ctrlProps/ctrlProp28.xml"/><Relationship Id="rId7" Type="http://schemas.openxmlformats.org/officeDocument/2006/relationships/ctrlProp" Target="../ctrlProps/ctrlProp29.xml"/><Relationship Id="rId8" Type="http://schemas.openxmlformats.org/officeDocument/2006/relationships/ctrlProp" Target="../ctrlProps/ctrlProp30.xml"/><Relationship Id="rId9" Type="http://schemas.openxmlformats.org/officeDocument/2006/relationships/ctrlProp" Target="../ctrlProps/ctrlProp31.xml"/><Relationship Id="rId10" Type="http://schemas.openxmlformats.org/officeDocument/2006/relationships/ctrlProp" Target="../ctrlProps/ctrlProp32.xml"/><Relationship Id="rId11" Type="http://schemas.openxmlformats.org/officeDocument/2006/relationships/comments" Target="../comments2.xml"/><Relationship Id="rId1" Type="http://schemas.openxmlformats.org/officeDocument/2006/relationships/drawing" Target="../drawings/drawing16.xml"/><Relationship Id="rId2"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9.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1" Type="http://schemas.openxmlformats.org/officeDocument/2006/relationships/hyperlink" Target="http://data.bls.gov/cgi-bin/surveymost?cu" TargetMode="External"/><Relationship Id="rId12" Type="http://schemas.openxmlformats.org/officeDocument/2006/relationships/hyperlink" Target="http://www.bogleheads.org" TargetMode="External"/><Relationship Id="rId13" Type="http://schemas.openxmlformats.org/officeDocument/2006/relationships/hyperlink" Target="http://www.ifa.com/library/support/data/IFAindexdata.asp" TargetMode="External"/><Relationship Id="rId14" Type="http://schemas.openxmlformats.org/officeDocument/2006/relationships/hyperlink" Target="https://www.msci.com/end-of-day-data-search" TargetMode="External"/><Relationship Id="rId1" Type="http://schemas.openxmlformats.org/officeDocument/2006/relationships/hyperlink" Target="http://gnobility.com/Syn_Comm/CCF_1972-2007_san.xls" TargetMode="External"/><Relationship Id="rId2" Type="http://schemas.openxmlformats.org/officeDocument/2006/relationships/hyperlink" Target="http://www.finfacts.ie/Private/curency/goldmarketprice.htm" TargetMode="External"/><Relationship Id="rId3" Type="http://schemas.openxmlformats.org/officeDocument/2006/relationships/hyperlink" Target="http://www.bogleheads.org/forum/viewtopic.php?t=2520" TargetMode="External"/><Relationship Id="rId4" Type="http://schemas.openxmlformats.org/officeDocument/2006/relationships/hyperlink" Target="https://investor.vanguard.com/mutual-funds/vanguard-mutual-funds-list" TargetMode="External"/><Relationship Id="rId5" Type="http://schemas.openxmlformats.org/officeDocument/2006/relationships/hyperlink" Target="http://www.fpanet.org/journal/articles/2006_Issues/jfp2006-art7.cfm" TargetMode="External"/><Relationship Id="rId6" Type="http://schemas.openxmlformats.org/officeDocument/2006/relationships/hyperlink" Target="http://crawlingroad.com/blog/2008/12/22/permanent-portfolio-historical-returns/" TargetMode="External"/><Relationship Id="rId7" Type="http://schemas.openxmlformats.org/officeDocument/2006/relationships/hyperlink" Target="https://www.bogleheads.org/forum/viewtopic.php?f=10&amp;t=179425" TargetMode="External"/><Relationship Id="rId8" Type="http://schemas.openxmlformats.org/officeDocument/2006/relationships/hyperlink" Target="http://www.econ.yale.edu/~shiller/data/ie_data.xls" TargetMode="External"/><Relationship Id="rId9" Type="http://schemas.openxmlformats.org/officeDocument/2006/relationships/hyperlink" Target="https://www.bogleheads.org/forum/viewtopic.php?f=10&amp;t=179425" TargetMode="External"/><Relationship Id="rId10" Type="http://schemas.openxmlformats.org/officeDocument/2006/relationships/hyperlink" Target="http://www.diehards.org/forum/viewtopic.php?t=281" TargetMode="Externa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abSelected="1" topLeftCell="A58" workbookViewId="0">
      <selection activeCell="A61" sqref="A61"/>
    </sheetView>
  </sheetViews>
  <sheetFormatPr baseColWidth="10" defaultColWidth="8.83203125" defaultRowHeight="12" x14ac:dyDescent="0"/>
  <cols>
    <col min="9" max="9" width="14.1640625" customWidth="1"/>
    <col min="10" max="10" width="8.83203125" customWidth="1"/>
    <col min="17" max="17" width="30" bestFit="1" customWidth="1"/>
  </cols>
  <sheetData>
    <row r="1" spans="1:17" ht="13">
      <c r="A1" s="632" t="s">
        <v>743</v>
      </c>
      <c r="B1" s="632"/>
      <c r="C1" s="632"/>
      <c r="D1" s="632"/>
      <c r="E1" s="632"/>
      <c r="F1" s="632"/>
      <c r="G1" s="632"/>
      <c r="H1" s="632"/>
      <c r="I1" s="632"/>
      <c r="J1" s="632"/>
      <c r="K1" s="632"/>
      <c r="L1" s="632"/>
      <c r="M1" s="632"/>
      <c r="N1" s="632"/>
      <c r="O1" s="632"/>
    </row>
    <row r="2" spans="1:17">
      <c r="A2" s="622"/>
      <c r="B2" s="622"/>
      <c r="C2" s="622"/>
      <c r="D2" s="622"/>
      <c r="E2" s="622"/>
      <c r="F2" s="622"/>
      <c r="G2" s="622"/>
      <c r="H2" s="622"/>
      <c r="I2" s="622"/>
      <c r="J2" s="622"/>
      <c r="K2" s="622"/>
      <c r="L2" s="622"/>
      <c r="M2" s="622"/>
      <c r="N2" s="622"/>
      <c r="O2" s="622"/>
    </row>
    <row r="3" spans="1:17">
      <c r="A3" s="622" t="s">
        <v>649</v>
      </c>
      <c r="B3" s="622"/>
      <c r="C3" s="622"/>
      <c r="D3" s="622"/>
      <c r="E3" s="622"/>
      <c r="F3" s="622"/>
      <c r="G3" s="622"/>
      <c r="H3" s="622"/>
      <c r="I3" s="622"/>
      <c r="J3" s="622"/>
      <c r="K3" s="622"/>
      <c r="L3" s="622"/>
      <c r="M3" s="622"/>
      <c r="N3" s="622"/>
      <c r="O3" s="622"/>
    </row>
    <row r="4" spans="1:17">
      <c r="A4" s="622" t="s">
        <v>654</v>
      </c>
      <c r="B4" s="622"/>
      <c r="C4" s="622"/>
      <c r="D4" s="622"/>
      <c r="E4" s="622"/>
      <c r="F4" s="622"/>
      <c r="G4" s="622"/>
      <c r="H4" s="622"/>
      <c r="I4" s="622"/>
      <c r="J4" s="622"/>
      <c r="K4" s="622"/>
      <c r="L4" s="622"/>
      <c r="M4" s="622"/>
      <c r="N4" s="622"/>
      <c r="O4" s="622"/>
    </row>
    <row r="5" spans="1:17">
      <c r="A5" s="622" t="s">
        <v>774</v>
      </c>
      <c r="B5" s="622"/>
      <c r="C5" s="622"/>
      <c r="D5" s="622"/>
      <c r="E5" s="622"/>
      <c r="F5" s="622"/>
      <c r="G5" s="622"/>
      <c r="H5" s="622"/>
      <c r="I5" s="622"/>
      <c r="J5" s="622"/>
      <c r="K5" s="622"/>
      <c r="L5" s="622"/>
      <c r="M5" s="622"/>
      <c r="N5" s="622"/>
      <c r="O5" s="622"/>
    </row>
    <row r="6" spans="1:17">
      <c r="A6" s="622" t="s">
        <v>847</v>
      </c>
      <c r="B6" s="622"/>
      <c r="C6" s="622"/>
      <c r="D6" s="622"/>
      <c r="E6" s="622"/>
      <c r="F6" s="622"/>
      <c r="G6" s="622"/>
      <c r="H6" s="622"/>
      <c r="I6" s="622"/>
      <c r="J6" s="622"/>
      <c r="K6" s="622"/>
      <c r="L6" s="622"/>
      <c r="M6" s="622"/>
      <c r="N6" s="622"/>
      <c r="O6" s="622"/>
    </row>
    <row r="7" spans="1:17">
      <c r="A7" s="622" t="s">
        <v>848</v>
      </c>
      <c r="B7" s="622"/>
      <c r="C7" s="622"/>
      <c r="D7" s="622"/>
      <c r="E7" s="622"/>
      <c r="F7" s="622"/>
      <c r="G7" s="622"/>
      <c r="H7" s="622"/>
      <c r="I7" s="622"/>
      <c r="J7" s="622"/>
      <c r="K7" s="622"/>
      <c r="L7" s="622"/>
      <c r="M7" s="622"/>
      <c r="N7" s="622"/>
      <c r="O7" s="622"/>
      <c r="Q7" s="421"/>
    </row>
    <row r="8" spans="1:17">
      <c r="A8" s="622" t="s">
        <v>775</v>
      </c>
      <c r="B8" s="622"/>
      <c r="C8" s="622"/>
      <c r="D8" s="622"/>
      <c r="E8" s="622"/>
      <c r="F8" s="622"/>
      <c r="G8" s="622"/>
      <c r="H8" s="622"/>
      <c r="I8" s="622"/>
      <c r="J8" s="622"/>
      <c r="K8" s="622"/>
      <c r="L8" s="622"/>
      <c r="M8" s="622"/>
      <c r="N8" s="622"/>
      <c r="O8" s="622"/>
    </row>
    <row r="9" spans="1:17">
      <c r="A9" s="622" t="s">
        <v>849</v>
      </c>
      <c r="B9" s="622"/>
      <c r="C9" s="622"/>
      <c r="D9" s="622"/>
      <c r="E9" s="622"/>
      <c r="F9" s="622"/>
      <c r="G9" s="622"/>
      <c r="H9" s="622"/>
      <c r="I9" s="622"/>
      <c r="J9" s="622"/>
      <c r="K9" s="622"/>
      <c r="L9" s="622"/>
      <c r="M9" s="622"/>
      <c r="N9" s="622"/>
      <c r="O9" s="622"/>
    </row>
    <row r="10" spans="1:17">
      <c r="A10" s="622" t="s">
        <v>850</v>
      </c>
      <c r="B10" s="622"/>
      <c r="C10" s="622"/>
      <c r="D10" s="622"/>
      <c r="E10" s="622"/>
      <c r="F10" s="622"/>
      <c r="G10" s="622"/>
      <c r="H10" s="622"/>
      <c r="I10" s="622"/>
      <c r="J10" s="622"/>
      <c r="K10" s="622"/>
      <c r="L10" s="622"/>
      <c r="M10" s="622"/>
      <c r="N10" s="622"/>
      <c r="O10" s="622"/>
    </row>
    <row r="11" spans="1:17">
      <c r="A11" s="622" t="s">
        <v>651</v>
      </c>
      <c r="B11" s="622"/>
      <c r="C11" s="622"/>
      <c r="D11" s="622"/>
      <c r="E11" s="622"/>
      <c r="F11" s="622"/>
      <c r="G11" s="622"/>
      <c r="H11" s="622"/>
      <c r="I11" s="622"/>
      <c r="J11" s="622"/>
      <c r="K11" s="622"/>
      <c r="L11" s="622"/>
      <c r="M11" s="622"/>
      <c r="N11" s="622"/>
      <c r="O11" s="622"/>
    </row>
    <row r="12" spans="1:17">
      <c r="A12" s="622"/>
      <c r="B12" s="622"/>
      <c r="C12" s="622"/>
      <c r="D12" s="622"/>
      <c r="E12" s="622"/>
      <c r="F12" s="622"/>
      <c r="G12" s="622"/>
      <c r="H12" s="622"/>
      <c r="I12" s="622"/>
      <c r="J12" s="622"/>
      <c r="K12" s="622"/>
      <c r="L12" s="622"/>
      <c r="M12" s="622"/>
      <c r="N12" s="622"/>
      <c r="O12" s="622"/>
    </row>
    <row r="13" spans="1:17">
      <c r="A13" s="622" t="s">
        <v>650</v>
      </c>
      <c r="B13" s="622"/>
      <c r="C13" s="622"/>
      <c r="D13" s="622"/>
      <c r="E13" s="622"/>
      <c r="F13" s="622"/>
      <c r="G13" s="622"/>
      <c r="H13" s="622"/>
      <c r="I13" s="622"/>
      <c r="J13" s="622"/>
      <c r="K13" s="622"/>
      <c r="L13" s="622"/>
      <c r="M13" s="622"/>
      <c r="N13" s="622"/>
      <c r="O13" s="622"/>
      <c r="Q13" s="421"/>
    </row>
    <row r="14" spans="1:17">
      <c r="A14" s="622" t="s">
        <v>0</v>
      </c>
      <c r="B14" s="622"/>
      <c r="C14" s="622"/>
      <c r="D14" s="622"/>
      <c r="E14" s="622"/>
      <c r="F14" s="622"/>
      <c r="G14" s="622"/>
      <c r="H14" s="622"/>
      <c r="I14" s="622"/>
      <c r="J14" s="622"/>
      <c r="K14" s="622"/>
      <c r="L14" s="622"/>
      <c r="M14" s="622"/>
      <c r="N14" s="622"/>
      <c r="O14" s="622"/>
      <c r="Q14" s="421"/>
    </row>
    <row r="15" spans="1:17">
      <c r="A15" s="622" t="s">
        <v>653</v>
      </c>
      <c r="B15" s="622"/>
      <c r="C15" s="622"/>
      <c r="D15" s="622"/>
      <c r="E15" s="622"/>
      <c r="F15" s="622"/>
      <c r="G15" s="622"/>
      <c r="H15" s="622"/>
      <c r="I15" s="622"/>
      <c r="J15" s="622"/>
      <c r="K15" s="622"/>
      <c r="L15" s="622"/>
      <c r="M15" s="622"/>
      <c r="N15" s="622"/>
      <c r="O15" s="622"/>
    </row>
    <row r="16" spans="1:17">
      <c r="A16" s="629" t="s">
        <v>652</v>
      </c>
      <c r="B16" s="629"/>
      <c r="C16" s="629"/>
      <c r="D16" s="629"/>
      <c r="E16" s="629"/>
      <c r="F16" s="629"/>
      <c r="G16" s="629"/>
      <c r="H16" s="629"/>
      <c r="I16" s="629"/>
      <c r="J16" s="629"/>
      <c r="K16" s="629"/>
      <c r="L16" s="629"/>
      <c r="M16" s="629"/>
      <c r="N16" s="629"/>
      <c r="O16" s="629"/>
    </row>
    <row r="17" spans="1:17">
      <c r="A17" s="629"/>
      <c r="B17" s="629"/>
      <c r="C17" s="629"/>
      <c r="D17" s="629"/>
      <c r="E17" s="629"/>
      <c r="F17" s="629"/>
      <c r="G17" s="629"/>
      <c r="H17" s="629"/>
      <c r="I17" s="629"/>
      <c r="J17" s="629"/>
      <c r="K17" s="629"/>
      <c r="L17" s="629"/>
      <c r="M17" s="629"/>
      <c r="N17" s="629"/>
      <c r="O17" s="629"/>
    </row>
    <row r="18" spans="1:17">
      <c r="A18" s="622" t="s">
        <v>1</v>
      </c>
      <c r="B18" s="622"/>
      <c r="C18" s="622"/>
      <c r="D18" s="622"/>
      <c r="E18" s="622"/>
      <c r="F18" s="622"/>
      <c r="G18" s="622"/>
      <c r="H18" s="622"/>
      <c r="I18" s="622"/>
      <c r="J18" s="622"/>
      <c r="K18" s="622"/>
      <c r="L18" s="622"/>
      <c r="M18" s="622"/>
      <c r="N18" s="622"/>
      <c r="O18" s="622"/>
    </row>
    <row r="19" spans="1:17">
      <c r="A19" s="622" t="s">
        <v>2</v>
      </c>
      <c r="B19" s="622"/>
      <c r="C19" s="622"/>
      <c r="D19" s="622"/>
      <c r="E19" s="622"/>
      <c r="F19" s="622"/>
      <c r="G19" s="622"/>
      <c r="H19" s="622"/>
      <c r="I19" s="622"/>
      <c r="J19" s="622"/>
      <c r="K19" s="622"/>
      <c r="L19" s="622"/>
      <c r="M19" s="622"/>
      <c r="N19" s="622"/>
      <c r="O19" s="622"/>
    </row>
    <row r="20" spans="1:17">
      <c r="A20" s="622"/>
      <c r="B20" s="622"/>
      <c r="C20" s="622"/>
      <c r="D20" s="622"/>
      <c r="E20" s="622"/>
      <c r="F20" s="622"/>
      <c r="G20" s="622"/>
      <c r="H20" s="622"/>
      <c r="I20" s="622"/>
      <c r="J20" s="622"/>
      <c r="K20" s="622"/>
      <c r="L20" s="622"/>
      <c r="M20" s="622"/>
      <c r="N20" s="622"/>
      <c r="O20" s="622"/>
    </row>
    <row r="21" spans="1:17" ht="15">
      <c r="A21" s="630" t="s">
        <v>656</v>
      </c>
      <c r="B21" s="630"/>
      <c r="C21" s="630"/>
      <c r="D21" s="630"/>
      <c r="E21" s="630"/>
      <c r="F21" s="630"/>
      <c r="G21" s="630"/>
      <c r="H21" s="631" t="s">
        <v>3</v>
      </c>
      <c r="I21" s="631"/>
      <c r="J21" s="2" t="s">
        <v>4</v>
      </c>
      <c r="K21" s="2"/>
      <c r="L21" s="2"/>
      <c r="M21" s="2"/>
      <c r="N21" s="2"/>
      <c r="O21" s="2"/>
    </row>
    <row r="22" spans="1:17">
      <c r="A22" s="622" t="s">
        <v>5</v>
      </c>
      <c r="B22" s="622"/>
      <c r="C22" s="622"/>
      <c r="D22" s="622"/>
      <c r="E22" s="622"/>
      <c r="F22" s="622"/>
      <c r="G22" s="622"/>
      <c r="H22" s="622"/>
      <c r="I22" s="622"/>
      <c r="J22" s="622"/>
      <c r="K22" s="622"/>
      <c r="L22" s="622"/>
      <c r="M22" s="622"/>
      <c r="N22" s="622"/>
      <c r="O22" s="622"/>
    </row>
    <row r="23" spans="1:17">
      <c r="A23" s="622" t="s">
        <v>657</v>
      </c>
      <c r="B23" s="622"/>
      <c r="C23" s="622"/>
      <c r="D23" s="622"/>
      <c r="E23" s="622"/>
      <c r="F23" s="622"/>
      <c r="G23" s="622"/>
      <c r="H23" s="622"/>
      <c r="I23" s="622"/>
      <c r="J23" s="622"/>
      <c r="K23" s="622"/>
      <c r="L23" s="622"/>
      <c r="M23" s="622"/>
      <c r="N23" s="622"/>
      <c r="O23" s="622"/>
      <c r="Q23" s="421"/>
    </row>
    <row r="24" spans="1:17">
      <c r="A24" s="622" t="s">
        <v>658</v>
      </c>
      <c r="B24" s="622"/>
      <c r="C24" s="622"/>
      <c r="D24" s="622"/>
      <c r="E24" s="622"/>
      <c r="F24" s="622"/>
      <c r="G24" s="622"/>
      <c r="H24" s="622"/>
      <c r="I24" s="622"/>
      <c r="J24" s="622"/>
      <c r="K24" s="622"/>
      <c r="L24" s="622"/>
      <c r="M24" s="622"/>
      <c r="N24" s="622"/>
      <c r="O24" s="622"/>
      <c r="Q24" s="421"/>
    </row>
    <row r="25" spans="1:17">
      <c r="A25" s="622" t="s">
        <v>6</v>
      </c>
      <c r="B25" s="622"/>
      <c r="C25" s="622"/>
      <c r="D25" s="622"/>
      <c r="E25" s="622"/>
      <c r="F25" s="622"/>
      <c r="G25" s="622"/>
      <c r="H25" s="622"/>
      <c r="I25" s="622"/>
      <c r="J25" s="622"/>
      <c r="K25" s="622"/>
      <c r="L25" s="622"/>
      <c r="M25" s="622"/>
      <c r="N25" s="622"/>
      <c r="O25" s="622"/>
    </row>
    <row r="26" spans="1:17">
      <c r="A26" s="622" t="s">
        <v>7</v>
      </c>
      <c r="B26" s="622"/>
      <c r="C26" s="622"/>
      <c r="D26" s="622"/>
      <c r="E26" s="622"/>
      <c r="F26" s="622"/>
      <c r="G26" s="622"/>
      <c r="H26" s="622"/>
      <c r="I26" s="622"/>
      <c r="J26" s="622"/>
      <c r="K26" s="622"/>
      <c r="L26" s="622"/>
      <c r="M26" s="622"/>
      <c r="N26" s="622"/>
      <c r="O26" s="622"/>
    </row>
    <row r="27" spans="1:17">
      <c r="A27" s="622" t="s">
        <v>851</v>
      </c>
      <c r="B27" s="622"/>
      <c r="C27" s="622"/>
      <c r="D27" s="622"/>
      <c r="E27" s="622"/>
      <c r="F27" s="622"/>
      <c r="G27" s="622"/>
      <c r="H27" s="622"/>
      <c r="I27" s="622"/>
      <c r="J27" s="622"/>
      <c r="K27" s="622"/>
      <c r="L27" s="622"/>
      <c r="M27" s="622"/>
      <c r="N27" s="622"/>
      <c r="O27" s="622"/>
      <c r="Q27" s="421"/>
    </row>
    <row r="28" spans="1:17">
      <c r="A28" s="622"/>
      <c r="B28" s="622"/>
      <c r="C28" s="622"/>
      <c r="D28" s="622"/>
      <c r="E28" s="622"/>
      <c r="F28" s="622"/>
      <c r="G28" s="622"/>
      <c r="H28" s="622"/>
      <c r="I28" s="622"/>
      <c r="J28" s="622"/>
      <c r="K28" s="622"/>
      <c r="L28" s="622"/>
      <c r="M28" s="622"/>
      <c r="N28" s="622"/>
      <c r="O28" s="622"/>
    </row>
    <row r="29" spans="1:17">
      <c r="A29" s="622" t="s">
        <v>659</v>
      </c>
      <c r="B29" s="622"/>
      <c r="C29" s="622"/>
      <c r="D29" s="622"/>
      <c r="E29" s="622"/>
      <c r="F29" s="622"/>
      <c r="G29" s="622"/>
      <c r="H29" s="622"/>
      <c r="I29" s="622"/>
      <c r="J29" s="622"/>
      <c r="K29" s="622"/>
      <c r="L29" s="622"/>
      <c r="M29" s="622"/>
      <c r="N29" s="622"/>
      <c r="O29" s="622"/>
    </row>
    <row r="30" spans="1:17">
      <c r="A30" s="626" t="s">
        <v>660</v>
      </c>
      <c r="B30" s="622"/>
      <c r="C30" s="622"/>
      <c r="D30" s="622"/>
      <c r="E30" s="622"/>
      <c r="F30" s="622"/>
      <c r="G30" s="622"/>
      <c r="H30" s="622"/>
      <c r="I30" s="622"/>
      <c r="J30" s="622"/>
      <c r="K30" s="622"/>
      <c r="L30" s="622"/>
      <c r="M30" s="622"/>
      <c r="N30" s="622"/>
      <c r="O30" s="622"/>
    </row>
    <row r="31" spans="1:17">
      <c r="A31" s="626" t="s">
        <v>661</v>
      </c>
      <c r="B31" s="622"/>
      <c r="C31" s="622"/>
      <c r="D31" s="622"/>
      <c r="E31" s="622"/>
      <c r="F31" s="622"/>
      <c r="G31" s="622"/>
      <c r="H31" s="622"/>
      <c r="I31" s="622"/>
      <c r="J31" s="622"/>
      <c r="K31" s="622"/>
      <c r="L31" s="622"/>
      <c r="M31" s="622"/>
      <c r="N31" s="622"/>
      <c r="O31" s="622"/>
    </row>
    <row r="32" spans="1:17">
      <c r="A32" s="622" t="s">
        <v>8</v>
      </c>
      <c r="B32" s="622"/>
      <c r="C32" s="622"/>
      <c r="D32" s="622"/>
      <c r="E32" s="622"/>
      <c r="F32" s="622"/>
      <c r="G32" s="622"/>
      <c r="H32" s="622"/>
      <c r="I32" s="622"/>
      <c r="J32" s="622"/>
      <c r="K32" s="622"/>
      <c r="L32" s="622"/>
      <c r="M32" s="622"/>
      <c r="N32" s="622"/>
      <c r="O32" s="622"/>
    </row>
    <row r="33" spans="1:15">
      <c r="A33" s="629"/>
      <c r="B33" s="629"/>
      <c r="C33" s="629"/>
      <c r="D33" s="629"/>
      <c r="E33" s="629"/>
      <c r="F33" s="629"/>
      <c r="G33" s="629"/>
      <c r="H33" s="629"/>
      <c r="I33" s="629"/>
      <c r="J33" s="629"/>
      <c r="K33" s="629"/>
      <c r="L33" s="629"/>
      <c r="M33" s="629"/>
      <c r="N33" s="629"/>
      <c r="O33" s="629"/>
    </row>
    <row r="34" spans="1:15">
      <c r="A34" s="622" t="s">
        <v>665</v>
      </c>
      <c r="B34" s="622"/>
      <c r="C34" s="622"/>
      <c r="D34" s="622"/>
      <c r="E34" s="622"/>
      <c r="F34" s="622"/>
      <c r="G34" s="622"/>
      <c r="H34" s="622"/>
      <c r="I34" s="622"/>
      <c r="J34" s="622"/>
      <c r="K34" s="622"/>
      <c r="L34" s="622"/>
      <c r="M34" s="622"/>
      <c r="N34" s="622"/>
      <c r="O34" s="622"/>
    </row>
    <row r="35" spans="1:15">
      <c r="A35" s="626" t="s">
        <v>662</v>
      </c>
      <c r="B35" s="622"/>
      <c r="C35" s="622"/>
      <c r="D35" s="622"/>
      <c r="E35" s="622"/>
      <c r="F35" s="622"/>
      <c r="G35" s="622"/>
      <c r="H35" s="622"/>
      <c r="I35" s="622"/>
      <c r="J35" s="622"/>
      <c r="K35" s="622"/>
      <c r="L35" s="622"/>
      <c r="M35" s="622"/>
      <c r="N35" s="622"/>
      <c r="O35" s="622"/>
    </row>
    <row r="36" spans="1:15">
      <c r="A36" s="626" t="s">
        <v>663</v>
      </c>
      <c r="B36" s="622"/>
      <c r="C36" s="622"/>
      <c r="D36" s="622"/>
      <c r="E36" s="622"/>
      <c r="F36" s="622"/>
      <c r="G36" s="622"/>
      <c r="H36" s="622"/>
      <c r="I36" s="622"/>
      <c r="J36" s="622"/>
      <c r="K36" s="622"/>
      <c r="L36" s="622"/>
      <c r="M36" s="622"/>
      <c r="N36" s="622"/>
      <c r="O36" s="622"/>
    </row>
    <row r="37" spans="1:15">
      <c r="A37" s="626" t="s">
        <v>664</v>
      </c>
      <c r="B37" s="622"/>
      <c r="C37" s="622"/>
      <c r="D37" s="622"/>
      <c r="E37" s="622"/>
      <c r="F37" s="622"/>
      <c r="G37" s="622"/>
      <c r="H37" s="622"/>
      <c r="I37" s="622"/>
      <c r="J37" s="622"/>
      <c r="K37" s="622"/>
      <c r="L37" s="622"/>
      <c r="M37" s="622"/>
      <c r="N37" s="622"/>
      <c r="O37" s="622"/>
    </row>
    <row r="38" spans="1:15">
      <c r="A38" s="622" t="s">
        <v>9</v>
      </c>
      <c r="B38" s="622"/>
      <c r="C38" s="622"/>
      <c r="D38" s="622"/>
      <c r="E38" s="622"/>
      <c r="F38" s="622"/>
      <c r="G38" s="622"/>
      <c r="H38" s="622"/>
      <c r="I38" s="622"/>
      <c r="J38" s="622"/>
      <c r="K38" s="622"/>
      <c r="L38" s="622"/>
      <c r="M38" s="622"/>
      <c r="N38" s="622"/>
      <c r="O38" s="622"/>
    </row>
    <row r="39" spans="1:15">
      <c r="A39" s="494"/>
      <c r="B39" s="494"/>
      <c r="C39" s="494"/>
      <c r="D39" s="494"/>
      <c r="E39" s="494"/>
      <c r="F39" s="494"/>
      <c r="G39" s="494"/>
      <c r="H39" s="494"/>
      <c r="I39" s="494"/>
      <c r="J39" s="494"/>
      <c r="K39" s="494"/>
      <c r="L39" s="494"/>
      <c r="M39" s="494"/>
      <c r="N39" s="494"/>
      <c r="O39" s="494"/>
    </row>
    <row r="40" spans="1:15">
      <c r="A40" s="495" t="s">
        <v>655</v>
      </c>
      <c r="B40" s="494"/>
      <c r="C40" s="494"/>
      <c r="D40" s="494"/>
      <c r="E40" s="494"/>
      <c r="F40" s="494"/>
      <c r="G40" s="494"/>
      <c r="H40" s="494"/>
      <c r="I40" s="494"/>
      <c r="J40" s="494"/>
      <c r="K40" s="494"/>
      <c r="L40" s="494"/>
      <c r="M40" s="494"/>
      <c r="N40" s="494"/>
      <c r="O40" s="494"/>
    </row>
    <row r="41" spans="1:15">
      <c r="A41" s="629" t="s">
        <v>852</v>
      </c>
      <c r="B41" s="629"/>
      <c r="C41" s="629"/>
      <c r="D41" s="629"/>
      <c r="E41" s="629"/>
      <c r="F41" s="629"/>
      <c r="G41" s="629"/>
      <c r="H41" s="629"/>
      <c r="I41" s="629"/>
      <c r="J41" s="629"/>
      <c r="K41" s="629"/>
      <c r="L41" s="629"/>
      <c r="M41" s="629"/>
      <c r="N41" s="629"/>
      <c r="O41" s="629"/>
    </row>
    <row r="42" spans="1:15" ht="85" customHeight="1">
      <c r="A42" s="625" t="s">
        <v>747</v>
      </c>
      <c r="B42" s="625"/>
      <c r="C42" s="625"/>
      <c r="D42" s="625"/>
      <c r="E42" s="625"/>
      <c r="F42" s="625"/>
      <c r="G42" s="625"/>
      <c r="H42" s="625"/>
      <c r="I42" s="625"/>
      <c r="J42" s="625"/>
      <c r="K42" s="625"/>
      <c r="L42" s="625"/>
      <c r="M42" s="625"/>
      <c r="N42" s="625"/>
      <c r="O42" s="625"/>
    </row>
    <row r="43" spans="1:15">
      <c r="A43" s="1"/>
      <c r="B43" s="1"/>
      <c r="C43" s="1"/>
      <c r="D43" s="1"/>
      <c r="E43" s="1"/>
      <c r="F43" s="1"/>
      <c r="G43" s="1"/>
      <c r="H43" s="1"/>
      <c r="I43" s="1"/>
      <c r="J43" s="1"/>
      <c r="K43" s="1"/>
      <c r="L43" s="1"/>
      <c r="M43" s="1"/>
      <c r="N43" s="1"/>
      <c r="O43" s="1"/>
    </row>
    <row r="44" spans="1:15">
      <c r="A44" s="495" t="s">
        <v>925</v>
      </c>
      <c r="B44" s="494"/>
      <c r="C44" s="494"/>
      <c r="D44" s="494"/>
      <c r="E44" s="494"/>
      <c r="F44" s="494"/>
      <c r="G44" s="494"/>
      <c r="H44" s="494"/>
      <c r="I44" s="494"/>
      <c r="J44" s="494"/>
      <c r="K44" s="494"/>
      <c r="L44" s="494"/>
      <c r="M44" s="494"/>
      <c r="N44" s="494"/>
      <c r="O44" s="494"/>
    </row>
    <row r="45" spans="1:15">
      <c r="A45" s="629" t="s">
        <v>926</v>
      </c>
      <c r="B45" s="629"/>
      <c r="C45" s="629"/>
      <c r="D45" s="629"/>
      <c r="E45" s="629"/>
      <c r="F45" s="629"/>
      <c r="G45" s="629"/>
      <c r="H45" s="629"/>
      <c r="I45" s="629"/>
      <c r="J45" s="629"/>
      <c r="K45" s="629"/>
      <c r="L45" s="629"/>
      <c r="M45" s="629"/>
      <c r="N45" s="629"/>
      <c r="O45" s="629"/>
    </row>
    <row r="46" spans="1:15">
      <c r="A46" s="494" t="s">
        <v>740</v>
      </c>
      <c r="B46" s="494"/>
      <c r="C46" s="494"/>
      <c r="D46" s="494"/>
      <c r="E46" s="494"/>
      <c r="F46" s="494"/>
      <c r="G46" s="506" t="s">
        <v>741</v>
      </c>
      <c r="H46" s="494"/>
      <c r="I46" s="495"/>
      <c r="J46" s="494"/>
      <c r="K46" s="494"/>
      <c r="L46" s="494"/>
      <c r="M46" s="494"/>
      <c r="N46" s="494"/>
      <c r="O46" s="494"/>
    </row>
    <row r="47" spans="1:15">
      <c r="A47" s="494" t="s">
        <v>763</v>
      </c>
      <c r="B47" s="494"/>
      <c r="C47" s="494"/>
      <c r="D47" s="494"/>
      <c r="E47" s="494"/>
      <c r="F47" s="494"/>
      <c r="G47" s="494"/>
      <c r="H47" s="494"/>
      <c r="I47" s="495"/>
      <c r="J47" s="494"/>
      <c r="K47" s="494"/>
      <c r="L47" s="494"/>
      <c r="M47" s="494"/>
      <c r="N47" s="494"/>
      <c r="O47" s="494"/>
    </row>
    <row r="48" spans="1:15">
      <c r="A48" s="1" t="s">
        <v>853</v>
      </c>
      <c r="B48" s="1"/>
      <c r="C48" s="1"/>
      <c r="D48" s="1"/>
      <c r="E48" s="1"/>
      <c r="F48" s="1"/>
      <c r="G48" s="524" t="s">
        <v>751</v>
      </c>
      <c r="H48" s="1"/>
      <c r="I48" s="1"/>
      <c r="J48" s="1"/>
      <c r="K48" s="1"/>
      <c r="L48" s="1"/>
      <c r="M48" s="1"/>
      <c r="N48" s="1"/>
      <c r="O48" s="1"/>
    </row>
    <row r="49" spans="1:18">
      <c r="A49" s="494"/>
      <c r="B49" s="494"/>
      <c r="C49" s="494"/>
      <c r="D49" s="494"/>
      <c r="E49" s="494"/>
      <c r="F49" s="494"/>
      <c r="G49" s="494"/>
      <c r="H49" s="494"/>
      <c r="I49" s="494"/>
      <c r="J49" s="494"/>
      <c r="K49" s="494"/>
      <c r="L49" s="494"/>
      <c r="M49" s="494"/>
      <c r="N49" s="494"/>
      <c r="O49" s="494"/>
    </row>
    <row r="50" spans="1:18" ht="15">
      <c r="A50" s="2" t="s">
        <v>10</v>
      </c>
      <c r="B50" s="1"/>
      <c r="C50" s="1"/>
      <c r="D50" s="1"/>
      <c r="E50" s="1"/>
      <c r="F50" s="1"/>
      <c r="G50" s="1"/>
      <c r="H50" s="1"/>
      <c r="I50" s="1"/>
      <c r="J50" s="1"/>
      <c r="K50" s="1"/>
      <c r="L50" s="1"/>
      <c r="M50" s="1"/>
      <c r="N50" s="1"/>
      <c r="O50" s="1"/>
    </row>
    <row r="51" spans="1:18">
      <c r="A51" s="622" t="s">
        <v>11</v>
      </c>
      <c r="B51" s="622"/>
      <c r="C51" s="622"/>
      <c r="D51" s="622"/>
      <c r="E51" s="622"/>
      <c r="F51" s="622"/>
      <c r="G51" s="622"/>
      <c r="H51" s="622"/>
      <c r="I51" s="622"/>
      <c r="J51" s="622"/>
      <c r="K51" s="622"/>
      <c r="L51" s="622"/>
      <c r="M51" s="622"/>
      <c r="N51" s="622"/>
      <c r="O51" s="622"/>
      <c r="Q51" s="523"/>
    </row>
    <row r="52" spans="1:18">
      <c r="A52" s="622" t="s">
        <v>12</v>
      </c>
      <c r="B52" s="622"/>
      <c r="C52" s="622"/>
      <c r="D52" s="622"/>
      <c r="E52" s="622"/>
      <c r="F52" s="622"/>
      <c r="G52" s="622"/>
      <c r="H52" s="622"/>
      <c r="I52" s="622"/>
      <c r="J52" s="622"/>
      <c r="K52" s="622"/>
      <c r="L52" s="622"/>
      <c r="M52" s="622"/>
      <c r="N52" s="622"/>
      <c r="O52" s="622"/>
    </row>
    <row r="53" spans="1:18">
      <c r="A53" s="622"/>
      <c r="B53" s="622"/>
      <c r="C53" s="622"/>
      <c r="D53" s="622"/>
      <c r="E53" s="622"/>
      <c r="F53" s="622"/>
      <c r="G53" s="622"/>
      <c r="H53" s="622"/>
      <c r="I53" s="622"/>
      <c r="J53" s="622"/>
      <c r="K53" s="622"/>
      <c r="L53" s="622"/>
      <c r="M53" s="622"/>
      <c r="N53" s="622"/>
      <c r="O53" s="622"/>
    </row>
    <row r="54" spans="1:18">
      <c r="A54" s="627" t="s">
        <v>637</v>
      </c>
      <c r="B54" s="627"/>
      <c r="C54" s="627"/>
      <c r="D54" s="627"/>
      <c r="E54" s="445" t="s">
        <v>13</v>
      </c>
      <c r="F54" s="1"/>
      <c r="G54" s="1"/>
      <c r="H54" s="1"/>
      <c r="I54" s="1"/>
      <c r="J54" s="1"/>
      <c r="K54" s="1"/>
      <c r="L54" s="1"/>
      <c r="M54" s="1"/>
      <c r="N54" s="1"/>
      <c r="O54" s="1"/>
    </row>
    <row r="55" spans="1:18">
      <c r="A55" s="622"/>
      <c r="B55" s="622"/>
      <c r="C55" s="622"/>
      <c r="D55" s="622"/>
      <c r="E55" s="622"/>
      <c r="F55" s="622"/>
      <c r="G55" s="622"/>
      <c r="H55" s="622"/>
      <c r="I55" s="622"/>
      <c r="J55" s="622"/>
      <c r="K55" s="622"/>
      <c r="L55" s="622"/>
      <c r="M55" s="622"/>
      <c r="N55" s="622"/>
      <c r="O55" s="622"/>
    </row>
    <row r="56" spans="1:18">
      <c r="A56" s="628" t="s">
        <v>14</v>
      </c>
      <c r="B56" s="628"/>
      <c r="C56" s="628"/>
      <c r="D56" s="628"/>
      <c r="E56" s="628"/>
      <c r="F56" s="628"/>
      <c r="G56" s="628"/>
      <c r="H56" s="628"/>
      <c r="I56" s="628"/>
      <c r="J56" s="628"/>
      <c r="K56" s="628"/>
      <c r="L56" s="628"/>
      <c r="M56" s="628"/>
      <c r="N56" s="628"/>
      <c r="O56" s="628"/>
    </row>
    <row r="57" spans="1:18">
      <c r="A57" s="1"/>
      <c r="B57" s="1"/>
      <c r="C57" s="1"/>
      <c r="D57" s="1"/>
      <c r="E57" s="1"/>
      <c r="F57" s="1"/>
      <c r="G57" s="1"/>
      <c r="H57" s="1"/>
      <c r="I57" s="1"/>
      <c r="J57" s="1"/>
      <c r="K57" s="1"/>
      <c r="L57" s="1"/>
      <c r="M57" s="1"/>
      <c r="N57" s="1"/>
      <c r="O57" s="1"/>
    </row>
    <row r="58" spans="1:18">
      <c r="A58" s="621" t="s">
        <v>15</v>
      </c>
      <c r="B58" s="621"/>
      <c r="C58" s="621"/>
      <c r="D58" s="621"/>
      <c r="E58" s="621"/>
      <c r="F58" s="621"/>
      <c r="G58" s="621"/>
      <c r="H58" s="621"/>
      <c r="I58" s="621"/>
      <c r="J58" s="621"/>
      <c r="K58" s="621"/>
      <c r="L58" s="621"/>
      <c r="M58" s="621"/>
      <c r="N58" s="621"/>
      <c r="O58" s="621"/>
    </row>
    <row r="59" spans="1:18">
      <c r="A59" s="1" t="s">
        <v>16</v>
      </c>
      <c r="B59" s="1" t="s">
        <v>750</v>
      </c>
      <c r="C59" s="1"/>
      <c r="D59" s="4" t="s">
        <v>748</v>
      </c>
      <c r="E59" s="4"/>
      <c r="F59" s="4" t="s">
        <v>749</v>
      </c>
      <c r="G59" s="4"/>
      <c r="H59" s="4"/>
      <c r="I59" s="5" t="s">
        <v>579</v>
      </c>
      <c r="J59" s="5" t="s">
        <v>622</v>
      </c>
      <c r="K59" s="5"/>
      <c r="L59" s="5"/>
      <c r="M59" s="5" t="s">
        <v>666</v>
      </c>
      <c r="N59" s="5"/>
      <c r="O59" s="5"/>
      <c r="Q59" s="421"/>
      <c r="R59" s="421"/>
    </row>
    <row r="60" spans="1:18">
      <c r="A60" s="6"/>
      <c r="B60" s="6"/>
      <c r="C60" s="6"/>
      <c r="D60" s="6"/>
      <c r="E60" s="6"/>
      <c r="F60" s="6"/>
      <c r="G60" s="6"/>
      <c r="H60" s="6"/>
      <c r="I60" s="6"/>
      <c r="R60" s="421"/>
    </row>
    <row r="62" spans="1:18" ht="13" thickBot="1"/>
    <row r="63" spans="1:18">
      <c r="A63" s="623" t="s">
        <v>17</v>
      </c>
      <c r="B63" s="623"/>
      <c r="C63" s="623"/>
      <c r="D63" s="623"/>
      <c r="E63" s="623"/>
      <c r="F63" s="623"/>
      <c r="G63" s="623"/>
      <c r="H63" s="623"/>
      <c r="I63" s="623"/>
      <c r="J63" s="623"/>
      <c r="K63" s="623"/>
      <c r="L63" s="623"/>
      <c r="M63" s="623"/>
      <c r="N63" s="623"/>
      <c r="O63" s="623"/>
      <c r="Q63" s="449" t="s">
        <v>966</v>
      </c>
    </row>
    <row r="64" spans="1:18">
      <c r="A64" s="7"/>
      <c r="B64" s="8"/>
      <c r="C64" s="8"/>
      <c r="D64" s="8"/>
      <c r="E64" s="8"/>
      <c r="F64" s="8"/>
      <c r="G64" s="8"/>
      <c r="H64" s="8"/>
      <c r="I64" s="8"/>
      <c r="J64" s="8"/>
      <c r="K64" s="8"/>
      <c r="L64" s="8"/>
      <c r="M64" s="8"/>
      <c r="N64" s="8"/>
      <c r="O64" s="9"/>
      <c r="Q64" s="449"/>
    </row>
    <row r="65" spans="1:20">
      <c r="A65" s="7" t="s">
        <v>961</v>
      </c>
      <c r="B65" s="13" t="s">
        <v>921</v>
      </c>
      <c r="C65" s="8"/>
      <c r="D65" s="605"/>
      <c r="E65" s="8"/>
      <c r="F65" s="605"/>
      <c r="G65" s="8"/>
      <c r="H65" s="8"/>
      <c r="I65" s="8"/>
      <c r="J65" s="8"/>
      <c r="K65" s="8"/>
      <c r="L65" s="8"/>
      <c r="M65" s="8"/>
      <c r="N65" s="8"/>
      <c r="O65" s="9"/>
      <c r="Q65" s="463" t="s">
        <v>924</v>
      </c>
      <c r="S65" s="463" t="s">
        <v>742</v>
      </c>
    </row>
    <row r="66" spans="1:20">
      <c r="A66" t="s">
        <v>973</v>
      </c>
      <c r="B66" s="8"/>
      <c r="C66" s="8"/>
      <c r="D66" s="8"/>
      <c r="E66" s="8"/>
      <c r="F66" s="8"/>
      <c r="G66" s="8"/>
      <c r="H66" s="8"/>
      <c r="I66" s="8"/>
      <c r="J66" s="8"/>
      <c r="K66" s="8"/>
      <c r="L66" s="8"/>
      <c r="M66" s="8"/>
      <c r="N66" s="8"/>
      <c r="O66" s="9"/>
      <c r="Q66" s="463"/>
    </row>
    <row r="67" spans="1:20">
      <c r="A67" t="s">
        <v>965</v>
      </c>
      <c r="B67" s="8"/>
      <c r="C67" s="8"/>
      <c r="D67" s="8"/>
      <c r="E67" s="8"/>
      <c r="F67" s="8"/>
      <c r="G67" s="8"/>
      <c r="H67" s="8"/>
      <c r="I67" s="8"/>
      <c r="J67" s="8"/>
      <c r="K67" s="8"/>
      <c r="L67" s="8"/>
      <c r="M67" s="8"/>
      <c r="N67" s="8"/>
      <c r="O67" s="9"/>
      <c r="Q67" s="465" t="s">
        <v>964</v>
      </c>
      <c r="T67" s="463"/>
    </row>
    <row r="68" spans="1:20">
      <c r="A68" t="s">
        <v>962</v>
      </c>
      <c r="B68" s="8"/>
      <c r="C68" s="8"/>
      <c r="D68" s="8"/>
      <c r="E68" s="8"/>
      <c r="F68" s="8"/>
      <c r="G68" s="8"/>
      <c r="H68" s="8"/>
      <c r="I68" s="8"/>
      <c r="J68" s="8"/>
      <c r="K68" s="8"/>
      <c r="L68" s="8"/>
      <c r="M68" s="8"/>
      <c r="N68" s="8"/>
      <c r="O68" s="9"/>
      <c r="Q68" s="465" t="s">
        <v>972</v>
      </c>
      <c r="T68" s="463"/>
    </row>
    <row r="69" spans="1:20">
      <c r="A69" t="s">
        <v>970</v>
      </c>
      <c r="B69" s="8"/>
      <c r="C69" s="8"/>
      <c r="D69" s="8"/>
      <c r="E69" s="8"/>
      <c r="F69" s="8"/>
      <c r="G69" s="8"/>
      <c r="H69" s="8"/>
      <c r="I69" s="8"/>
      <c r="J69" s="8"/>
      <c r="K69" s="8"/>
      <c r="L69" s="8"/>
      <c r="M69" s="8"/>
      <c r="N69" s="8"/>
      <c r="O69" s="9"/>
      <c r="T69" s="463"/>
    </row>
    <row r="70" spans="1:20">
      <c r="A70" t="s">
        <v>971</v>
      </c>
      <c r="B70" s="8"/>
      <c r="C70" s="8"/>
      <c r="D70" s="8"/>
      <c r="E70" s="8"/>
      <c r="F70" s="8"/>
      <c r="G70" s="8"/>
      <c r="H70" s="8"/>
      <c r="I70" s="8"/>
      <c r="J70" s="8"/>
      <c r="K70" s="8"/>
      <c r="L70" s="8"/>
      <c r="M70" s="8"/>
      <c r="N70" s="8"/>
      <c r="O70" s="9"/>
      <c r="T70" s="463"/>
    </row>
    <row r="71" spans="1:20">
      <c r="A71" t="s">
        <v>967</v>
      </c>
      <c r="B71" s="8"/>
      <c r="C71" s="8"/>
      <c r="D71" s="8"/>
      <c r="E71" s="8"/>
      <c r="F71" s="8"/>
      <c r="G71" s="8"/>
      <c r="H71" s="8"/>
      <c r="I71" s="8"/>
      <c r="J71" s="8"/>
      <c r="K71" s="8"/>
      <c r="L71" s="8"/>
      <c r="M71" s="8"/>
      <c r="N71" s="8"/>
      <c r="O71" s="9"/>
      <c r="Q71" s="449" t="s">
        <v>978</v>
      </c>
      <c r="T71" s="463"/>
    </row>
    <row r="72" spans="1:20">
      <c r="A72" s="7"/>
      <c r="B72" s="8"/>
      <c r="C72" s="8"/>
      <c r="D72" s="8"/>
      <c r="E72" s="8"/>
      <c r="F72" s="8"/>
      <c r="G72" s="8"/>
      <c r="H72" s="8"/>
      <c r="I72" s="8"/>
      <c r="J72" s="8"/>
      <c r="K72" s="8"/>
      <c r="L72" s="8"/>
      <c r="M72" s="8"/>
      <c r="N72" s="8"/>
      <c r="O72" s="9"/>
      <c r="Q72" s="15"/>
      <c r="T72" s="463"/>
    </row>
    <row r="73" spans="1:20">
      <c r="A73" s="7" t="s">
        <v>928</v>
      </c>
      <c r="B73" s="13" t="s">
        <v>921</v>
      </c>
      <c r="C73" s="589"/>
      <c r="D73" s="589"/>
      <c r="E73" s="13"/>
      <c r="F73" s="13"/>
      <c r="G73" s="8"/>
      <c r="H73" s="8"/>
      <c r="I73" s="8"/>
      <c r="J73" s="8"/>
      <c r="K73" s="8"/>
      <c r="M73" s="8"/>
      <c r="N73" s="8"/>
      <c r="O73" s="9"/>
      <c r="Q73" s="448" t="s">
        <v>979</v>
      </c>
      <c r="T73" s="463"/>
    </row>
    <row r="74" spans="1:20">
      <c r="A74" t="s">
        <v>959</v>
      </c>
      <c r="B74" s="13"/>
      <c r="C74" s="13"/>
      <c r="D74" s="13"/>
      <c r="E74" s="13"/>
      <c r="F74" s="13"/>
      <c r="G74" s="8"/>
      <c r="H74" s="8"/>
      <c r="I74" s="8"/>
      <c r="J74" s="8"/>
      <c r="K74" s="8"/>
      <c r="M74" s="8"/>
      <c r="N74" s="8"/>
      <c r="O74" s="9"/>
      <c r="Q74" s="15"/>
      <c r="T74" s="463"/>
    </row>
    <row r="75" spans="1:20">
      <c r="A75" s="10" t="s">
        <v>952</v>
      </c>
      <c r="B75" s="13"/>
      <c r="C75" s="13"/>
      <c r="D75" s="13"/>
      <c r="E75" s="13"/>
      <c r="F75" s="13"/>
      <c r="G75" s="8"/>
      <c r="H75" s="8"/>
      <c r="I75" s="8"/>
      <c r="J75" s="8"/>
      <c r="K75" s="8"/>
      <c r="M75" s="8"/>
      <c r="N75" s="8"/>
      <c r="O75" s="9"/>
      <c r="Q75" s="463"/>
      <c r="T75" s="463"/>
    </row>
    <row r="76" spans="1:20">
      <c r="A76" s="10"/>
      <c r="B76" s="13"/>
      <c r="C76" s="13"/>
      <c r="D76" s="13"/>
      <c r="E76" s="13"/>
      <c r="F76" s="13"/>
      <c r="G76" s="8"/>
      <c r="H76" s="8"/>
      <c r="I76" s="8"/>
      <c r="J76" s="8"/>
      <c r="K76" s="8"/>
      <c r="M76" s="8"/>
      <c r="N76" s="8"/>
      <c r="O76" s="9"/>
      <c r="Q76" s="15"/>
      <c r="T76" s="463"/>
    </row>
    <row r="77" spans="1:20">
      <c r="A77" s="10"/>
      <c r="B77" s="13"/>
      <c r="C77" s="13"/>
      <c r="D77" s="13"/>
      <c r="E77" s="13"/>
      <c r="F77" s="13"/>
      <c r="G77" s="8"/>
      <c r="H77" s="8"/>
      <c r="I77" s="8"/>
      <c r="J77" s="8"/>
      <c r="K77" s="8"/>
      <c r="M77" s="8"/>
      <c r="N77" s="8"/>
      <c r="O77" s="9"/>
      <c r="Q77" s="15"/>
      <c r="R77" s="421"/>
      <c r="T77" s="421"/>
    </row>
    <row r="78" spans="1:20">
      <c r="A78" s="7" t="s">
        <v>854</v>
      </c>
      <c r="B78" s="13" t="s">
        <v>921</v>
      </c>
      <c r="C78" s="589"/>
      <c r="D78" s="597"/>
      <c r="E78" s="13"/>
      <c r="F78" s="13"/>
      <c r="G78" s="8"/>
      <c r="H78" s="8"/>
      <c r="I78" s="8"/>
      <c r="J78" s="8"/>
      <c r="K78" s="8"/>
      <c r="M78" s="8"/>
      <c r="N78" s="8"/>
      <c r="O78" s="9"/>
      <c r="R78" s="421"/>
      <c r="T78" s="421"/>
    </row>
    <row r="79" spans="1:20">
      <c r="A79" s="10" t="s">
        <v>920</v>
      </c>
      <c r="B79" s="13"/>
      <c r="C79" s="13"/>
      <c r="D79" s="13"/>
      <c r="E79" s="13"/>
      <c r="F79" s="13"/>
      <c r="G79" s="8"/>
      <c r="H79" s="8"/>
      <c r="I79" s="8"/>
      <c r="J79" s="8"/>
      <c r="K79" s="8"/>
      <c r="M79" s="8"/>
      <c r="N79" s="8"/>
      <c r="O79" s="9"/>
    </row>
    <row r="80" spans="1:20">
      <c r="A80" s="13" t="s">
        <v>906</v>
      </c>
      <c r="B80" s="13"/>
      <c r="C80" s="13"/>
      <c r="D80" s="13"/>
      <c r="E80" s="13"/>
      <c r="F80" s="13"/>
      <c r="G80" s="8"/>
      <c r="H80" s="8"/>
      <c r="I80" s="8"/>
      <c r="J80" s="8"/>
      <c r="K80" s="8"/>
      <c r="M80" s="8"/>
      <c r="N80" s="8"/>
      <c r="O80" s="9"/>
    </row>
    <row r="81" spans="1:18">
      <c r="A81" s="467" t="s">
        <v>914</v>
      </c>
      <c r="B81" s="13"/>
      <c r="C81" s="13"/>
      <c r="D81" s="13"/>
      <c r="E81" s="13"/>
      <c r="F81" s="13"/>
      <c r="G81" s="8"/>
      <c r="H81" s="8"/>
      <c r="I81" s="8"/>
      <c r="J81" s="8"/>
      <c r="K81" s="8"/>
      <c r="M81" s="8"/>
      <c r="N81" s="8"/>
      <c r="O81" s="9"/>
      <c r="Q81" s="465"/>
    </row>
    <row r="82" spans="1:18">
      <c r="A82" s="467" t="s">
        <v>913</v>
      </c>
      <c r="B82" s="13"/>
      <c r="C82" s="13"/>
      <c r="D82" s="13"/>
      <c r="E82" s="13"/>
      <c r="F82" s="13"/>
      <c r="G82" s="8"/>
      <c r="H82" s="8"/>
      <c r="I82" s="8"/>
      <c r="J82" s="8"/>
      <c r="K82" s="8"/>
      <c r="M82" s="8"/>
      <c r="N82" s="8"/>
      <c r="O82" s="9"/>
    </row>
    <row r="83" spans="1:18">
      <c r="A83" s="467" t="s">
        <v>915</v>
      </c>
      <c r="B83" s="13"/>
      <c r="C83" s="13"/>
      <c r="D83" s="13"/>
      <c r="E83" s="13"/>
      <c r="F83" s="13"/>
      <c r="G83" s="8"/>
      <c r="H83" s="8"/>
      <c r="I83" s="8"/>
      <c r="J83" s="8"/>
      <c r="K83" s="8"/>
      <c r="M83" s="8"/>
      <c r="N83" s="8"/>
      <c r="O83" s="9"/>
    </row>
    <row r="84" spans="1:18">
      <c r="A84" s="467" t="s">
        <v>917</v>
      </c>
      <c r="B84" s="13"/>
      <c r="C84" s="13"/>
      <c r="D84" s="13"/>
      <c r="E84" s="13"/>
      <c r="F84" s="13"/>
      <c r="G84" s="8"/>
      <c r="H84" s="8"/>
      <c r="I84" s="8"/>
      <c r="J84" s="8"/>
      <c r="K84" s="8"/>
      <c r="M84" s="8"/>
      <c r="N84" s="8"/>
      <c r="O84" s="9"/>
    </row>
    <row r="85" spans="1:18">
      <c r="B85" s="13"/>
      <c r="C85" s="13"/>
      <c r="D85" s="13"/>
      <c r="E85" s="13"/>
      <c r="F85" s="13"/>
      <c r="G85" s="8"/>
      <c r="H85" s="8"/>
      <c r="I85" s="8"/>
      <c r="J85" s="8"/>
      <c r="K85" s="8"/>
      <c r="M85" s="8"/>
      <c r="N85" s="8"/>
      <c r="O85" s="9"/>
    </row>
    <row r="86" spans="1:18">
      <c r="B86" s="8"/>
      <c r="C86" s="8"/>
      <c r="D86" s="8"/>
      <c r="E86" s="8"/>
      <c r="F86" s="8"/>
      <c r="G86" s="8"/>
      <c r="H86" s="8"/>
      <c r="I86" s="8"/>
      <c r="J86" s="8"/>
      <c r="K86" s="8"/>
      <c r="M86" s="8"/>
      <c r="N86" s="8"/>
      <c r="O86" s="9"/>
      <c r="R86" s="523"/>
    </row>
    <row r="87" spans="1:18">
      <c r="A87" s="7" t="s">
        <v>648</v>
      </c>
      <c r="B87" s="13" t="s">
        <v>921</v>
      </c>
      <c r="C87" s="13" t="s">
        <v>916</v>
      </c>
      <c r="D87" s="8"/>
      <c r="E87" s="8"/>
      <c r="F87" s="8"/>
      <c r="G87" s="8"/>
      <c r="H87" s="8"/>
      <c r="I87" s="8"/>
      <c r="J87" s="8"/>
      <c r="K87" s="8"/>
      <c r="M87" s="8"/>
      <c r="N87" s="8"/>
      <c r="O87" s="9"/>
    </row>
    <row r="88" spans="1:18">
      <c r="A88" s="10" t="s">
        <v>639</v>
      </c>
      <c r="B88" s="13"/>
      <c r="C88" s="13"/>
      <c r="D88" s="13"/>
      <c r="E88" s="13"/>
      <c r="F88" s="13"/>
      <c r="G88" s="8"/>
      <c r="H88" s="8"/>
      <c r="I88" s="8"/>
      <c r="J88" s="8"/>
      <c r="K88" s="8"/>
      <c r="M88" s="8"/>
      <c r="N88" s="8"/>
      <c r="O88" s="9"/>
    </row>
    <row r="89" spans="1:18">
      <c r="A89" s="10" t="s">
        <v>776</v>
      </c>
      <c r="B89" s="13"/>
      <c r="C89" s="13"/>
      <c r="D89" s="13"/>
      <c r="E89" s="13"/>
      <c r="F89" s="13"/>
      <c r="G89" s="8"/>
      <c r="H89" s="8"/>
      <c r="I89" s="8"/>
      <c r="J89" s="8"/>
      <c r="K89" s="8"/>
      <c r="M89" s="8"/>
      <c r="N89" s="8"/>
      <c r="O89" s="9"/>
    </row>
    <row r="90" spans="1:18">
      <c r="A90" s="467" t="s">
        <v>647</v>
      </c>
      <c r="B90" s="13"/>
      <c r="C90" s="13"/>
      <c r="D90" s="13"/>
      <c r="E90" s="13"/>
      <c r="F90" s="13"/>
      <c r="G90" s="8"/>
      <c r="H90" s="8"/>
      <c r="I90" s="8"/>
      <c r="J90" s="8"/>
      <c r="K90" s="8"/>
      <c r="M90" s="8"/>
      <c r="N90" s="8"/>
      <c r="O90" s="9"/>
    </row>
    <row r="91" spans="1:18">
      <c r="A91" s="467" t="s">
        <v>752</v>
      </c>
      <c r="B91" s="13"/>
      <c r="C91" s="13"/>
      <c r="D91" s="13"/>
      <c r="E91" s="13"/>
      <c r="F91" s="13"/>
      <c r="G91" s="8"/>
      <c r="H91" s="8"/>
      <c r="I91" s="8"/>
      <c r="J91" s="8"/>
      <c r="K91" s="8"/>
      <c r="M91" s="8"/>
      <c r="N91" s="8"/>
      <c r="O91" s="9"/>
    </row>
    <row r="92" spans="1:18">
      <c r="A92" s="467" t="s">
        <v>746</v>
      </c>
      <c r="B92" s="13"/>
      <c r="C92" s="13"/>
      <c r="D92" s="13"/>
      <c r="E92" s="13"/>
      <c r="F92" s="13"/>
      <c r="G92" s="8"/>
      <c r="H92" s="8"/>
      <c r="I92" s="8"/>
      <c r="J92" s="8"/>
      <c r="K92" s="8"/>
      <c r="M92" s="8"/>
      <c r="N92" s="8"/>
      <c r="O92" s="9"/>
    </row>
    <row r="93" spans="1:18">
      <c r="A93" s="467" t="s">
        <v>832</v>
      </c>
      <c r="B93" s="13"/>
      <c r="C93" s="13"/>
      <c r="D93" s="13"/>
      <c r="E93" s="13"/>
      <c r="F93" s="13"/>
      <c r="G93" s="8"/>
      <c r="H93" s="8"/>
      <c r="I93" s="8"/>
      <c r="J93" s="8"/>
      <c r="K93" s="8"/>
      <c r="M93" s="8"/>
      <c r="N93" s="8"/>
      <c r="O93" s="9"/>
    </row>
    <row r="94" spans="1:18">
      <c r="A94" s="467" t="s">
        <v>838</v>
      </c>
      <c r="B94" s="13"/>
      <c r="C94" s="13"/>
      <c r="D94" s="13"/>
      <c r="E94" s="13"/>
      <c r="F94" s="13"/>
      <c r="G94" s="8"/>
      <c r="H94" s="8"/>
      <c r="I94" s="8"/>
      <c r="J94" s="8"/>
      <c r="K94" s="8"/>
      <c r="M94" s="8"/>
      <c r="N94" s="8"/>
      <c r="O94" s="9"/>
    </row>
    <row r="95" spans="1:18">
      <c r="A95" s="10"/>
      <c r="B95" s="13"/>
      <c r="C95" s="13"/>
      <c r="D95" s="13"/>
      <c r="E95" s="13"/>
      <c r="F95" s="13"/>
      <c r="G95" s="8"/>
      <c r="H95" s="8"/>
      <c r="I95" s="8"/>
      <c r="J95" s="8"/>
      <c r="K95" s="8"/>
      <c r="M95" s="8"/>
      <c r="N95" s="8"/>
      <c r="O95" s="9"/>
    </row>
    <row r="96" spans="1:18">
      <c r="A96" s="7" t="s">
        <v>623</v>
      </c>
      <c r="B96" s="8"/>
      <c r="C96" s="8"/>
      <c r="D96" s="8"/>
      <c r="E96" s="8"/>
      <c r="F96" s="8"/>
      <c r="G96" s="8"/>
      <c r="H96" s="8"/>
      <c r="I96" s="8"/>
      <c r="J96" s="8"/>
      <c r="K96" s="8"/>
      <c r="M96" s="8"/>
      <c r="N96" s="8"/>
      <c r="O96" s="9"/>
    </row>
    <row r="97" spans="1:25">
      <c r="A97" s="10" t="s">
        <v>626</v>
      </c>
      <c r="B97" s="13"/>
      <c r="C97" s="13"/>
      <c r="D97" s="13"/>
      <c r="E97" s="13"/>
      <c r="F97" s="13"/>
      <c r="G97" s="8"/>
      <c r="H97" s="8"/>
      <c r="I97" s="8"/>
      <c r="J97" s="8"/>
      <c r="K97" s="8"/>
      <c r="L97" s="448"/>
      <c r="M97" s="8"/>
      <c r="N97" s="8"/>
      <c r="O97" s="9"/>
    </row>
    <row r="98" spans="1:25">
      <c r="A98" s="10" t="s">
        <v>625</v>
      </c>
      <c r="B98" s="13"/>
      <c r="C98" s="13"/>
      <c r="D98" s="13"/>
      <c r="E98" s="13"/>
      <c r="F98" s="13"/>
      <c r="G98" s="8"/>
      <c r="H98" s="8"/>
      <c r="I98" s="8"/>
      <c r="J98" s="8"/>
      <c r="K98" s="8"/>
      <c r="L98" s="448"/>
      <c r="M98" s="8"/>
      <c r="N98" s="8"/>
      <c r="O98" s="9"/>
    </row>
    <row r="99" spans="1:25">
      <c r="A99" s="10"/>
      <c r="B99" s="13"/>
      <c r="C99" s="13"/>
      <c r="D99" s="13"/>
      <c r="E99" s="13"/>
      <c r="F99" s="13"/>
      <c r="G99" s="8"/>
      <c r="H99" s="8"/>
      <c r="I99" s="8"/>
      <c r="J99" s="8"/>
      <c r="K99" s="8"/>
      <c r="L99" s="448"/>
      <c r="M99" s="8"/>
      <c r="N99" s="8"/>
      <c r="O99" s="9"/>
      <c r="Q99" s="586"/>
    </row>
    <row r="100" spans="1:25">
      <c r="A100" s="7" t="s">
        <v>601</v>
      </c>
      <c r="B100" s="8"/>
      <c r="C100" s="8"/>
      <c r="D100" s="8"/>
      <c r="E100" s="8"/>
      <c r="F100" s="8"/>
      <c r="G100" s="8"/>
      <c r="H100" s="8"/>
      <c r="I100" s="8"/>
      <c r="J100" s="8"/>
      <c r="K100" s="8"/>
      <c r="L100" s="448"/>
      <c r="M100" s="8"/>
      <c r="N100" s="8"/>
      <c r="O100" s="9"/>
      <c r="Q100" s="465"/>
      <c r="S100" s="463"/>
    </row>
    <row r="101" spans="1:25">
      <c r="A101" s="10" t="s">
        <v>602</v>
      </c>
      <c r="B101" s="8"/>
      <c r="C101" s="8"/>
      <c r="D101" s="8"/>
      <c r="E101" s="8"/>
      <c r="F101" s="8"/>
      <c r="G101" s="8"/>
      <c r="H101" s="8"/>
      <c r="I101" s="8"/>
      <c r="J101" s="8"/>
      <c r="K101" s="8"/>
      <c r="L101" s="448"/>
      <c r="M101" s="8"/>
      <c r="N101" s="8"/>
      <c r="O101" s="9"/>
    </row>
    <row r="102" spans="1:25">
      <c r="A102" s="10" t="s">
        <v>603</v>
      </c>
      <c r="B102" s="8"/>
      <c r="C102" s="8"/>
      <c r="D102" s="8"/>
      <c r="E102" s="8"/>
      <c r="F102" s="8"/>
      <c r="G102" s="8"/>
      <c r="H102" s="8"/>
      <c r="I102" s="8"/>
      <c r="J102" s="8"/>
      <c r="K102" s="8"/>
      <c r="L102" s="448"/>
      <c r="M102" s="8"/>
      <c r="N102" s="8"/>
      <c r="O102" s="9"/>
    </row>
    <row r="103" spans="1:25">
      <c r="A103" s="7"/>
      <c r="B103" s="8"/>
      <c r="C103" s="8"/>
      <c r="D103" s="8"/>
      <c r="E103" s="8"/>
      <c r="F103" s="8"/>
      <c r="G103" s="8"/>
      <c r="H103" s="8"/>
      <c r="I103" s="8"/>
      <c r="J103" s="8"/>
      <c r="K103" s="8"/>
      <c r="L103" s="8"/>
      <c r="M103" s="8"/>
      <c r="N103" s="8"/>
      <c r="O103" s="9"/>
      <c r="S103" s="463"/>
    </row>
    <row r="104" spans="1:25">
      <c r="A104" s="7" t="s">
        <v>599</v>
      </c>
      <c r="B104" s="8"/>
      <c r="C104" s="8"/>
      <c r="D104" s="8"/>
      <c r="E104" s="8"/>
      <c r="F104" s="8"/>
      <c r="G104" s="8"/>
      <c r="H104" s="8"/>
      <c r="I104" s="8"/>
      <c r="J104" s="8"/>
      <c r="K104" s="8"/>
      <c r="L104" s="8"/>
      <c r="M104" s="8"/>
      <c r="N104" s="8"/>
      <c r="O104" s="9"/>
    </row>
    <row r="105" spans="1:25">
      <c r="A105" s="10" t="s">
        <v>620</v>
      </c>
      <c r="B105" s="8"/>
      <c r="C105" s="8"/>
      <c r="D105" s="8"/>
      <c r="E105" s="8"/>
      <c r="F105" s="8"/>
      <c r="G105" s="8"/>
      <c r="H105" s="8"/>
      <c r="I105" s="8"/>
      <c r="J105" s="8"/>
      <c r="K105" s="8"/>
      <c r="L105" s="8"/>
      <c r="M105" s="8"/>
      <c r="N105" s="8"/>
      <c r="O105" s="9"/>
    </row>
    <row r="106" spans="1:25">
      <c r="A106" s="10" t="s">
        <v>600</v>
      </c>
      <c r="B106" s="8"/>
      <c r="C106" s="8"/>
      <c r="D106" s="8"/>
      <c r="E106" s="8"/>
      <c r="F106" s="8"/>
      <c r="G106" s="8"/>
      <c r="H106" s="8"/>
      <c r="I106" s="8"/>
      <c r="J106" s="8"/>
      <c r="K106" s="8"/>
      <c r="L106" s="8"/>
      <c r="M106" s="8"/>
      <c r="N106" s="8"/>
      <c r="O106" s="9"/>
      <c r="Q106" s="465"/>
      <c r="R106" s="523"/>
      <c r="Y106" s="421"/>
    </row>
    <row r="107" spans="1:25">
      <c r="A107" s="7"/>
      <c r="B107" s="8"/>
      <c r="C107" s="8"/>
      <c r="D107" s="8"/>
      <c r="E107" s="8"/>
      <c r="F107" s="8"/>
      <c r="G107" s="8"/>
      <c r="H107" s="8"/>
      <c r="I107" s="8"/>
      <c r="J107" s="8"/>
      <c r="K107" s="8"/>
      <c r="L107" s="8"/>
      <c r="M107" s="8"/>
      <c r="N107" s="8"/>
      <c r="O107" s="9"/>
    </row>
    <row r="108" spans="1:25">
      <c r="A108" s="7" t="s">
        <v>598</v>
      </c>
      <c r="B108" s="8"/>
      <c r="C108" s="8"/>
      <c r="D108" s="8"/>
      <c r="E108" s="8"/>
      <c r="F108" s="8"/>
      <c r="G108" s="8"/>
      <c r="H108" s="8"/>
      <c r="I108" s="8"/>
      <c r="J108" s="8"/>
      <c r="K108" s="8"/>
      <c r="L108" s="8"/>
      <c r="M108" s="8"/>
      <c r="N108" s="8"/>
      <c r="O108" s="9"/>
    </row>
    <row r="109" spans="1:25">
      <c r="A109" s="7" t="s">
        <v>621</v>
      </c>
      <c r="B109" s="8"/>
      <c r="C109" s="8"/>
      <c r="D109" s="8"/>
      <c r="E109" s="8"/>
      <c r="F109" s="8"/>
      <c r="G109" s="8"/>
      <c r="H109" s="8"/>
      <c r="I109" s="8"/>
      <c r="J109" s="8"/>
      <c r="K109" s="8"/>
      <c r="L109" s="8"/>
      <c r="M109" s="8"/>
      <c r="N109" s="8"/>
      <c r="O109" s="9"/>
    </row>
    <row r="110" spans="1:25">
      <c r="A110" s="7"/>
      <c r="B110" s="8"/>
      <c r="C110" s="8"/>
      <c r="D110" s="8"/>
      <c r="E110" s="8"/>
      <c r="F110" s="8"/>
      <c r="G110" s="8"/>
      <c r="H110" s="8"/>
      <c r="I110" s="8"/>
      <c r="J110" s="8"/>
      <c r="K110" s="8"/>
      <c r="L110" s="8"/>
      <c r="M110" s="8"/>
      <c r="N110" s="8"/>
      <c r="O110" s="9"/>
    </row>
    <row r="111" spans="1:25">
      <c r="A111" s="7" t="s">
        <v>584</v>
      </c>
      <c r="B111" s="8"/>
      <c r="C111" s="8"/>
      <c r="D111" s="8"/>
      <c r="E111" s="8"/>
      <c r="F111" s="8"/>
      <c r="G111" s="8"/>
      <c r="H111" s="8"/>
      <c r="I111" s="8"/>
      <c r="J111" s="8"/>
      <c r="K111" s="8"/>
      <c r="L111" s="8"/>
      <c r="M111" s="8"/>
      <c r="N111" s="8"/>
      <c r="O111" s="9"/>
    </row>
    <row r="112" spans="1:25">
      <c r="A112" s="7" t="s">
        <v>585</v>
      </c>
      <c r="B112" s="8"/>
      <c r="C112" s="8"/>
      <c r="D112" s="8"/>
      <c r="E112" s="8"/>
      <c r="F112" s="8"/>
      <c r="G112" s="8"/>
      <c r="H112" s="8"/>
      <c r="I112" s="8"/>
      <c r="J112" s="8"/>
      <c r="K112" s="8"/>
      <c r="L112" s="8"/>
      <c r="M112" s="8"/>
      <c r="N112" s="8"/>
      <c r="O112" s="9"/>
    </row>
    <row r="113" spans="1:18">
      <c r="A113" s="7" t="s">
        <v>597</v>
      </c>
      <c r="B113" s="8"/>
      <c r="C113" s="8"/>
      <c r="D113" s="8"/>
      <c r="E113" s="8"/>
      <c r="F113" s="8"/>
      <c r="G113" s="8"/>
      <c r="H113" s="8"/>
      <c r="I113" s="8"/>
      <c r="J113" s="8"/>
      <c r="K113" s="8"/>
      <c r="L113" s="8"/>
      <c r="M113" s="8"/>
      <c r="N113" s="8"/>
      <c r="O113" s="9"/>
    </row>
    <row r="114" spans="1:18">
      <c r="A114" s="7"/>
      <c r="B114" s="8"/>
      <c r="C114" s="8"/>
      <c r="D114" s="8"/>
      <c r="E114" s="8"/>
      <c r="F114" s="8"/>
      <c r="G114" s="8"/>
      <c r="H114" s="8"/>
      <c r="I114" s="8"/>
      <c r="J114" s="8"/>
      <c r="K114" s="8"/>
      <c r="L114" s="8"/>
      <c r="M114" s="8"/>
      <c r="N114" s="8"/>
      <c r="O114" s="9"/>
      <c r="Q114" s="421"/>
    </row>
    <row r="115" spans="1:18">
      <c r="A115" s="7" t="s">
        <v>582</v>
      </c>
      <c r="B115" s="8"/>
      <c r="C115" s="8"/>
      <c r="D115" s="8"/>
      <c r="E115" s="8"/>
      <c r="F115" s="8"/>
      <c r="G115" s="8"/>
      <c r="H115" s="8"/>
      <c r="I115" s="8"/>
      <c r="J115" s="8"/>
      <c r="K115" s="8"/>
      <c r="L115" s="8"/>
      <c r="M115" s="8"/>
      <c r="N115" s="8"/>
      <c r="O115" s="9"/>
    </row>
    <row r="116" spans="1:18">
      <c r="A116" s="10" t="s">
        <v>583</v>
      </c>
      <c r="B116" s="8"/>
      <c r="C116" s="8"/>
      <c r="D116" s="8"/>
      <c r="E116" s="8"/>
      <c r="F116" s="8"/>
      <c r="G116" s="8"/>
      <c r="H116" s="8"/>
      <c r="I116" s="8"/>
      <c r="J116" s="8"/>
      <c r="K116" s="8"/>
      <c r="L116" s="8"/>
      <c r="M116" s="8"/>
      <c r="N116" s="8"/>
      <c r="O116" s="9"/>
      <c r="Q116" s="394" t="s">
        <v>578</v>
      </c>
      <c r="R116" s="395"/>
    </row>
    <row r="117" spans="1:18">
      <c r="A117" s="10" t="s">
        <v>577</v>
      </c>
      <c r="B117" s="8"/>
      <c r="C117" s="8"/>
      <c r="D117" s="8"/>
      <c r="E117" s="8"/>
      <c r="F117" s="8"/>
      <c r="G117" s="8"/>
      <c r="H117" s="8"/>
      <c r="I117" s="8"/>
      <c r="J117" s="8"/>
      <c r="K117" s="8"/>
      <c r="L117" s="8"/>
      <c r="M117" s="8"/>
      <c r="N117" s="8"/>
      <c r="O117" s="9"/>
      <c r="Q117" t="s">
        <v>683</v>
      </c>
      <c r="R117" s="439" t="s">
        <v>777</v>
      </c>
    </row>
    <row r="118" spans="1:18">
      <c r="A118" s="10" t="s">
        <v>580</v>
      </c>
      <c r="B118" s="8"/>
      <c r="C118" s="8"/>
      <c r="D118" s="8"/>
      <c r="E118" s="8"/>
      <c r="F118" s="8"/>
      <c r="G118" s="8"/>
      <c r="H118" s="8"/>
      <c r="I118" s="8"/>
      <c r="J118" s="8"/>
      <c r="K118" s="8"/>
      <c r="L118" s="8"/>
      <c r="M118" s="8"/>
      <c r="N118" s="8"/>
      <c r="O118" s="9"/>
      <c r="Q118" t="s">
        <v>497</v>
      </c>
      <c r="R118" s="439" t="s">
        <v>498</v>
      </c>
    </row>
    <row r="119" spans="1:18">
      <c r="A119" s="10" t="s">
        <v>581</v>
      </c>
      <c r="B119" s="8"/>
      <c r="C119" s="8"/>
      <c r="D119" s="397"/>
      <c r="E119" s="397"/>
      <c r="F119" s="397"/>
      <c r="G119" s="397"/>
      <c r="H119" s="397"/>
      <c r="I119" s="397"/>
      <c r="J119" s="397"/>
      <c r="K119" s="397"/>
      <c r="L119" s="397"/>
      <c r="M119" s="397"/>
      <c r="N119" s="8"/>
      <c r="O119" s="9"/>
      <c r="Q119" t="s">
        <v>684</v>
      </c>
      <c r="R119" s="439" t="s">
        <v>685</v>
      </c>
    </row>
    <row r="120" spans="1:18">
      <c r="A120" s="399" t="s">
        <v>640</v>
      </c>
      <c r="B120" s="8"/>
      <c r="C120" s="8"/>
      <c r="D120" s="397"/>
      <c r="E120" s="397"/>
      <c r="F120" s="397"/>
      <c r="G120" s="397"/>
      <c r="H120" s="397"/>
      <c r="I120" s="397"/>
      <c r="J120" s="397"/>
      <c r="K120" s="397"/>
      <c r="L120" s="397"/>
      <c r="M120" s="397"/>
      <c r="N120" s="8"/>
      <c r="O120" s="9"/>
      <c r="Q120" t="s">
        <v>499</v>
      </c>
      <c r="R120" s="439" t="s">
        <v>500</v>
      </c>
    </row>
    <row r="121" spans="1:18">
      <c r="B121" s="8"/>
      <c r="C121" s="8"/>
      <c r="D121" s="8"/>
      <c r="E121" s="8"/>
      <c r="F121" s="8"/>
      <c r="G121" s="8"/>
      <c r="H121" s="8"/>
      <c r="I121" s="397"/>
      <c r="J121" s="397"/>
      <c r="K121" s="397"/>
      <c r="L121" s="397"/>
      <c r="M121" s="397"/>
      <c r="N121" s="8"/>
      <c r="O121" s="9"/>
      <c r="Q121" s="15" t="s">
        <v>686</v>
      </c>
      <c r="R121" s="440" t="s">
        <v>778</v>
      </c>
    </row>
    <row r="122" spans="1:18">
      <c r="A122" s="7" t="s">
        <v>18</v>
      </c>
      <c r="B122" s="8"/>
      <c r="C122" s="8"/>
      <c r="D122" s="8"/>
      <c r="E122" s="8"/>
      <c r="F122" s="8"/>
      <c r="G122" s="8"/>
      <c r="H122" s="8"/>
      <c r="I122" s="8"/>
      <c r="J122" s="8"/>
      <c r="K122" s="8"/>
      <c r="L122" s="8"/>
      <c r="M122" s="8"/>
      <c r="N122" s="8"/>
      <c r="O122" s="9"/>
      <c r="Q122" t="s">
        <v>687</v>
      </c>
      <c r="R122" s="439" t="s">
        <v>779</v>
      </c>
    </row>
    <row r="123" spans="1:18">
      <c r="A123" s="10" t="s">
        <v>19</v>
      </c>
      <c r="B123" s="8"/>
      <c r="C123" s="8"/>
      <c r="D123" s="8"/>
      <c r="E123" s="8"/>
      <c r="F123" s="8"/>
      <c r="G123" s="8"/>
      <c r="H123" s="8"/>
      <c r="I123" s="8"/>
      <c r="J123" s="8"/>
      <c r="K123" s="8"/>
      <c r="L123" s="8"/>
      <c r="M123" s="8"/>
      <c r="N123" s="8"/>
      <c r="O123" s="9"/>
      <c r="Q123" t="s">
        <v>501</v>
      </c>
      <c r="R123" s="439" t="s">
        <v>780</v>
      </c>
    </row>
    <row r="124" spans="1:18">
      <c r="A124" s="11" t="s">
        <v>20</v>
      </c>
      <c r="B124" s="12"/>
      <c r="C124" s="12"/>
      <c r="D124" s="12"/>
      <c r="E124" s="12"/>
      <c r="F124" s="12"/>
      <c r="G124" s="12"/>
      <c r="H124" s="12"/>
      <c r="I124" s="12"/>
      <c r="J124" s="12"/>
      <c r="K124" s="12"/>
      <c r="L124" s="12"/>
      <c r="M124" s="8"/>
      <c r="N124" s="8"/>
      <c r="O124" s="9"/>
      <c r="Q124" t="s">
        <v>502</v>
      </c>
      <c r="R124" s="439" t="s">
        <v>781</v>
      </c>
    </row>
    <row r="125" spans="1:18">
      <c r="A125" s="11" t="s">
        <v>21</v>
      </c>
      <c r="B125" s="12"/>
      <c r="C125" s="12"/>
      <c r="D125" s="12"/>
      <c r="E125" s="12"/>
      <c r="F125" s="12"/>
      <c r="G125" s="12"/>
      <c r="H125" s="12"/>
      <c r="I125" s="12"/>
      <c r="J125" s="12"/>
      <c r="K125" s="12"/>
      <c r="L125" s="12"/>
      <c r="M125" s="8"/>
      <c r="N125" s="8"/>
      <c r="O125" s="9"/>
      <c r="Q125" t="s">
        <v>503</v>
      </c>
      <c r="R125" s="439" t="s">
        <v>782</v>
      </c>
    </row>
    <row r="126" spans="1:18">
      <c r="A126" s="11" t="s">
        <v>22</v>
      </c>
      <c r="B126" s="12"/>
      <c r="C126" s="12"/>
      <c r="D126" s="12"/>
      <c r="E126" s="12"/>
      <c r="F126" s="12"/>
      <c r="G126" s="12"/>
      <c r="H126" s="12"/>
      <c r="I126" s="12"/>
      <c r="J126" s="12"/>
      <c r="K126" s="12"/>
      <c r="L126" s="12"/>
      <c r="M126" s="8"/>
      <c r="N126" s="8"/>
      <c r="O126" s="9"/>
      <c r="Q126" t="s">
        <v>504</v>
      </c>
      <c r="R126" s="439" t="s">
        <v>783</v>
      </c>
    </row>
    <row r="127" spans="1:18">
      <c r="A127" s="11" t="s">
        <v>23</v>
      </c>
      <c r="B127" s="12"/>
      <c r="C127" s="12"/>
      <c r="D127" s="12"/>
      <c r="E127" s="12"/>
      <c r="F127" s="12"/>
      <c r="G127" s="12"/>
      <c r="H127" s="12"/>
      <c r="I127" s="12"/>
      <c r="J127" s="12"/>
      <c r="K127" s="12"/>
      <c r="L127" s="12"/>
      <c r="M127" s="8"/>
      <c r="N127" s="8"/>
      <c r="O127" s="9"/>
      <c r="Q127" t="s">
        <v>688</v>
      </c>
      <c r="R127" s="439" t="s">
        <v>784</v>
      </c>
    </row>
    <row r="128" spans="1:18">
      <c r="A128" s="11"/>
      <c r="B128" s="12"/>
      <c r="C128" s="12"/>
      <c r="D128" s="12"/>
      <c r="E128" s="12"/>
      <c r="F128" s="12"/>
      <c r="G128" s="12"/>
      <c r="H128" s="12"/>
      <c r="I128" s="12"/>
      <c r="J128" s="12"/>
      <c r="K128" s="12"/>
      <c r="L128" s="12"/>
      <c r="M128" s="8"/>
      <c r="N128" s="8"/>
      <c r="O128" s="9"/>
      <c r="Q128" t="s">
        <v>689</v>
      </c>
      <c r="R128" s="439" t="s">
        <v>785</v>
      </c>
    </row>
    <row r="129" spans="1:29">
      <c r="A129" s="7" t="s">
        <v>24</v>
      </c>
      <c r="B129" s="8"/>
      <c r="C129" s="8"/>
      <c r="D129" s="8"/>
      <c r="E129" s="8"/>
      <c r="F129" s="8"/>
      <c r="G129" s="8"/>
      <c r="H129" s="8"/>
      <c r="I129" s="8"/>
      <c r="J129" s="8"/>
      <c r="K129" s="8"/>
      <c r="L129" s="8"/>
      <c r="M129" s="8"/>
      <c r="N129" s="8"/>
      <c r="O129" s="9"/>
      <c r="Q129" t="s">
        <v>690</v>
      </c>
      <c r="R129" s="439" t="s">
        <v>786</v>
      </c>
    </row>
    <row r="130" spans="1:29">
      <c r="A130" s="10" t="s">
        <v>586</v>
      </c>
      <c r="B130" s="8"/>
      <c r="C130" s="8"/>
      <c r="D130" s="8"/>
      <c r="E130" s="8"/>
      <c r="F130" s="8"/>
      <c r="G130" s="8"/>
      <c r="H130" s="8"/>
      <c r="I130" s="8"/>
      <c r="J130" s="8"/>
      <c r="K130" s="8"/>
      <c r="L130" s="8"/>
      <c r="M130" s="8"/>
      <c r="N130" s="8"/>
      <c r="O130" s="9"/>
      <c r="Q130" t="s">
        <v>691</v>
      </c>
      <c r="R130" s="439" t="s">
        <v>787</v>
      </c>
    </row>
    <row r="131" spans="1:29">
      <c r="A131" s="10" t="s">
        <v>25</v>
      </c>
      <c r="B131" s="8"/>
      <c r="C131" s="8"/>
      <c r="D131" s="8"/>
      <c r="E131" s="8"/>
      <c r="F131" s="8"/>
      <c r="G131" s="8"/>
      <c r="H131" s="8"/>
      <c r="I131" s="8"/>
      <c r="J131" s="8"/>
      <c r="K131" s="8"/>
      <c r="L131" s="8"/>
      <c r="M131" s="8"/>
      <c r="N131" s="8"/>
      <c r="O131" s="9"/>
      <c r="Q131" t="s">
        <v>692</v>
      </c>
      <c r="R131" s="439" t="s">
        <v>788</v>
      </c>
    </row>
    <row r="132" spans="1:29">
      <c r="A132" s="10"/>
      <c r="B132" s="8"/>
      <c r="C132" s="8"/>
      <c r="D132" s="8"/>
      <c r="E132" s="8"/>
      <c r="F132" s="8"/>
      <c r="G132" s="8"/>
      <c r="H132" s="8"/>
      <c r="I132" s="8"/>
      <c r="J132" s="8"/>
      <c r="K132" s="8"/>
      <c r="L132" s="8"/>
      <c r="M132" s="8"/>
      <c r="N132" s="8"/>
      <c r="O132" s="9"/>
      <c r="Q132" t="s">
        <v>693</v>
      </c>
      <c r="R132" s="439" t="s">
        <v>789</v>
      </c>
      <c r="AB132" s="36"/>
    </row>
    <row r="133" spans="1:29">
      <c r="A133" s="7"/>
      <c r="B133" s="8"/>
      <c r="C133" s="8"/>
      <c r="D133" s="8"/>
      <c r="E133" s="8"/>
      <c r="F133" s="8"/>
      <c r="G133" s="8"/>
      <c r="H133" s="8"/>
      <c r="I133" s="8"/>
      <c r="J133" s="8"/>
      <c r="K133" s="8"/>
      <c r="L133" s="8"/>
      <c r="M133" s="8"/>
      <c r="N133" s="8"/>
      <c r="O133" s="9"/>
      <c r="Q133" t="s">
        <v>694</v>
      </c>
      <c r="R133" s="439" t="s">
        <v>790</v>
      </c>
    </row>
    <row r="134" spans="1:29">
      <c r="A134" s="7" t="s">
        <v>26</v>
      </c>
      <c r="B134" s="8"/>
      <c r="C134" s="8"/>
      <c r="D134" s="8"/>
      <c r="E134" s="8"/>
      <c r="F134" s="8"/>
      <c r="G134" s="8"/>
      <c r="H134" s="8"/>
      <c r="I134" s="8"/>
      <c r="J134" s="8"/>
      <c r="K134" s="8"/>
      <c r="L134" s="8"/>
      <c r="M134" s="8"/>
      <c r="N134" s="8"/>
      <c r="O134" s="9"/>
      <c r="Q134" t="s">
        <v>695</v>
      </c>
      <c r="R134" s="439" t="s">
        <v>791</v>
      </c>
    </row>
    <row r="135" spans="1:29">
      <c r="A135" s="10" t="s">
        <v>27</v>
      </c>
      <c r="B135" s="13"/>
      <c r="C135" s="13"/>
      <c r="D135" s="13"/>
      <c r="E135" s="13"/>
      <c r="F135" s="13"/>
      <c r="G135" s="13"/>
      <c r="H135" s="13"/>
      <c r="I135" s="13"/>
      <c r="J135" s="13"/>
      <c r="K135" s="13"/>
      <c r="L135" s="13"/>
      <c r="M135" s="13"/>
      <c r="N135" s="13"/>
      <c r="O135" s="14"/>
      <c r="Q135" t="s">
        <v>696</v>
      </c>
      <c r="R135" s="439" t="s">
        <v>792</v>
      </c>
    </row>
    <row r="136" spans="1:29" s="15" customFormat="1">
      <c r="A136" s="7"/>
      <c r="B136" s="8"/>
      <c r="C136" s="8"/>
      <c r="D136" s="8"/>
      <c r="E136" s="8"/>
      <c r="F136" s="8"/>
      <c r="G136" s="8"/>
      <c r="H136" s="8"/>
      <c r="I136" s="8"/>
      <c r="J136" s="8"/>
      <c r="K136" s="8"/>
      <c r="L136" s="8"/>
      <c r="M136" s="8"/>
      <c r="N136" s="8"/>
      <c r="O136" s="9"/>
      <c r="P136"/>
      <c r="Q136" t="s">
        <v>697</v>
      </c>
      <c r="R136" s="439" t="s">
        <v>793</v>
      </c>
      <c r="S136"/>
      <c r="T136"/>
      <c r="U136"/>
      <c r="V136"/>
      <c r="W136"/>
      <c r="X136"/>
      <c r="Y136"/>
      <c r="Z136"/>
      <c r="AA136"/>
      <c r="AB136"/>
      <c r="AC136"/>
    </row>
    <row r="137" spans="1:29">
      <c r="A137" s="7"/>
      <c r="B137" s="8"/>
      <c r="C137" s="8"/>
      <c r="D137" s="8"/>
      <c r="E137" s="8"/>
      <c r="F137" s="8"/>
      <c r="G137" s="8"/>
      <c r="H137" s="8"/>
      <c r="I137" s="8"/>
      <c r="J137" s="8"/>
      <c r="K137" s="8"/>
      <c r="L137" s="8"/>
      <c r="M137" s="8"/>
      <c r="N137" s="8"/>
      <c r="O137" s="9"/>
      <c r="Q137" t="s">
        <v>698</v>
      </c>
      <c r="R137" s="439" t="s">
        <v>856</v>
      </c>
      <c r="AA137" s="36"/>
      <c r="AC137" s="15"/>
    </row>
    <row r="138" spans="1:29">
      <c r="A138" s="7" t="s">
        <v>28</v>
      </c>
      <c r="B138" s="8"/>
      <c r="C138" s="8"/>
      <c r="D138" s="8"/>
      <c r="E138" s="8"/>
      <c r="F138" s="8"/>
      <c r="G138" s="8"/>
      <c r="H138" s="8"/>
      <c r="I138" s="8"/>
      <c r="J138" s="8"/>
      <c r="K138" s="8"/>
      <c r="L138" s="8"/>
      <c r="M138" s="8"/>
      <c r="N138" s="8"/>
      <c r="O138" s="9"/>
      <c r="P138" s="397"/>
      <c r="Q138" t="s">
        <v>699</v>
      </c>
      <c r="R138" s="439" t="s">
        <v>857</v>
      </c>
      <c r="S138" s="395"/>
      <c r="T138" s="395"/>
      <c r="U138" s="395"/>
      <c r="V138" s="395"/>
      <c r="W138" s="395"/>
      <c r="X138" s="395"/>
      <c r="Y138" s="395"/>
      <c r="Z138" s="396"/>
      <c r="AB138" s="15"/>
    </row>
    <row r="139" spans="1:29">
      <c r="A139" s="10" t="s">
        <v>855</v>
      </c>
      <c r="B139" s="8"/>
      <c r="C139" s="8"/>
      <c r="D139" s="8"/>
      <c r="E139" s="8"/>
      <c r="F139" s="8"/>
      <c r="G139" s="8"/>
      <c r="H139" s="8"/>
      <c r="I139" s="8"/>
      <c r="J139" s="8"/>
      <c r="K139" s="8"/>
      <c r="L139" s="8"/>
      <c r="M139" s="8"/>
      <c r="N139" s="8"/>
      <c r="O139" s="9"/>
      <c r="Q139" t="s">
        <v>700</v>
      </c>
      <c r="R139" s="439" t="s">
        <v>858</v>
      </c>
    </row>
    <row r="140" spans="1:29">
      <c r="A140" s="10" t="s">
        <v>29</v>
      </c>
      <c r="B140" s="8"/>
      <c r="C140" s="8"/>
      <c r="D140" s="8"/>
      <c r="E140" s="8"/>
      <c r="F140" s="8"/>
      <c r="G140" s="8"/>
      <c r="H140" s="8"/>
      <c r="I140" s="8"/>
      <c r="J140" s="8"/>
      <c r="K140" s="8"/>
      <c r="L140" s="8"/>
      <c r="M140" s="8"/>
      <c r="N140" s="8"/>
      <c r="O140" s="9"/>
      <c r="Q140" t="s">
        <v>701</v>
      </c>
      <c r="R140" s="439" t="s">
        <v>859</v>
      </c>
    </row>
    <row r="141" spans="1:29">
      <c r="A141" s="10" t="s">
        <v>30</v>
      </c>
      <c r="B141" s="8"/>
      <c r="C141" s="8"/>
      <c r="D141" s="8"/>
      <c r="E141" s="8"/>
      <c r="F141" s="8"/>
      <c r="G141" s="8"/>
      <c r="H141" s="8"/>
      <c r="I141" s="8"/>
      <c r="J141" s="8"/>
      <c r="K141" s="8"/>
      <c r="L141" s="8"/>
      <c r="M141" s="8"/>
      <c r="N141" s="8"/>
      <c r="O141" s="9"/>
      <c r="Q141" t="s">
        <v>702</v>
      </c>
      <c r="R141" s="439" t="s">
        <v>860</v>
      </c>
    </row>
    <row r="142" spans="1:29">
      <c r="A142" s="10" t="s">
        <v>31</v>
      </c>
      <c r="B142" s="8"/>
      <c r="C142" s="8"/>
      <c r="D142" s="8"/>
      <c r="E142" s="8"/>
      <c r="F142" s="8"/>
      <c r="G142" s="8"/>
      <c r="H142" s="8"/>
      <c r="I142" s="8"/>
      <c r="J142" s="8"/>
      <c r="K142" s="8"/>
      <c r="L142" s="8"/>
      <c r="M142" s="8"/>
      <c r="N142" s="8"/>
      <c r="O142" s="9"/>
      <c r="Q142" t="s">
        <v>703</v>
      </c>
      <c r="R142" s="439" t="s">
        <v>794</v>
      </c>
      <c r="AA142" s="15"/>
    </row>
    <row r="143" spans="1:29">
      <c r="A143" s="7"/>
      <c r="B143" s="8"/>
      <c r="C143" s="8"/>
      <c r="D143" s="8"/>
      <c r="E143" s="8"/>
      <c r="F143" s="8"/>
      <c r="G143" s="8"/>
      <c r="H143" s="8"/>
      <c r="I143" s="8"/>
      <c r="J143" s="8"/>
      <c r="K143" s="8"/>
      <c r="L143" s="8"/>
      <c r="M143" s="8"/>
      <c r="N143" s="8"/>
      <c r="O143" s="9"/>
      <c r="Q143" t="s">
        <v>704</v>
      </c>
      <c r="R143" s="439" t="s">
        <v>795</v>
      </c>
      <c r="S143" s="15"/>
      <c r="T143" s="15"/>
      <c r="U143" s="15"/>
      <c r="V143" s="15"/>
      <c r="W143" s="15"/>
      <c r="X143" s="15"/>
      <c r="Y143" s="15"/>
      <c r="Z143" s="15"/>
    </row>
    <row r="144" spans="1:29">
      <c r="A144" s="7" t="s">
        <v>32</v>
      </c>
      <c r="B144" s="8"/>
      <c r="C144" s="8"/>
      <c r="D144" s="8"/>
      <c r="E144" s="8"/>
      <c r="F144" s="8"/>
      <c r="G144" s="8"/>
      <c r="H144" s="8"/>
      <c r="I144" s="8"/>
      <c r="J144" s="8"/>
      <c r="K144" s="8"/>
      <c r="L144" s="8"/>
      <c r="M144" s="8"/>
      <c r="N144" s="8"/>
      <c r="O144" s="9"/>
      <c r="Q144" t="s">
        <v>705</v>
      </c>
      <c r="R144" s="439" t="s">
        <v>796</v>
      </c>
    </row>
    <row r="145" spans="1:18">
      <c r="A145" s="10" t="s">
        <v>33</v>
      </c>
      <c r="B145" s="8"/>
      <c r="C145" s="8"/>
      <c r="D145" s="8"/>
      <c r="E145" s="8"/>
      <c r="F145" s="8"/>
      <c r="G145" s="8"/>
      <c r="H145" s="8"/>
      <c r="I145" s="8"/>
      <c r="J145" s="8"/>
      <c r="K145" s="8"/>
      <c r="L145" s="8"/>
      <c r="M145" s="8"/>
      <c r="N145" s="8"/>
      <c r="O145" s="9"/>
      <c r="Q145" t="s">
        <v>706</v>
      </c>
      <c r="R145" s="439" t="s">
        <v>797</v>
      </c>
    </row>
    <row r="146" spans="1:18">
      <c r="A146" s="10"/>
      <c r="B146" s="8"/>
      <c r="C146" s="8"/>
      <c r="D146" s="8"/>
      <c r="E146" s="8"/>
      <c r="F146" s="8"/>
      <c r="G146" s="8"/>
      <c r="H146" s="8"/>
      <c r="I146" s="8"/>
      <c r="J146" s="8"/>
      <c r="K146" s="8"/>
      <c r="L146" s="8"/>
      <c r="M146" s="8"/>
      <c r="N146" s="8"/>
      <c r="O146" s="9"/>
      <c r="Q146" t="s">
        <v>707</v>
      </c>
      <c r="R146" s="439" t="s">
        <v>798</v>
      </c>
    </row>
    <row r="147" spans="1:18">
      <c r="A147" s="7" t="s">
        <v>34</v>
      </c>
      <c r="B147" s="8"/>
      <c r="C147" s="8"/>
      <c r="D147" s="8"/>
      <c r="E147" s="8"/>
      <c r="F147" s="8"/>
      <c r="G147" s="8"/>
      <c r="H147" s="8"/>
      <c r="I147" s="8"/>
      <c r="J147" s="8"/>
      <c r="K147" s="8"/>
      <c r="L147" s="8"/>
      <c r="M147" s="8"/>
      <c r="N147" s="8"/>
      <c r="O147" s="9"/>
      <c r="Q147" t="s">
        <v>708</v>
      </c>
      <c r="R147" s="439" t="s">
        <v>861</v>
      </c>
    </row>
    <row r="148" spans="1:18">
      <c r="A148" s="10" t="s">
        <v>35</v>
      </c>
      <c r="B148" s="8"/>
      <c r="C148" s="8"/>
      <c r="D148" s="8"/>
      <c r="E148" s="8"/>
      <c r="F148" s="8"/>
      <c r="G148" s="8"/>
      <c r="H148" s="8"/>
      <c r="I148" s="8"/>
      <c r="J148" s="8"/>
      <c r="K148" s="8"/>
      <c r="L148" s="8"/>
      <c r="M148" s="8"/>
      <c r="N148" s="8"/>
      <c r="O148" s="9"/>
      <c r="Q148" t="s">
        <v>709</v>
      </c>
      <c r="R148" s="439" t="s">
        <v>862</v>
      </c>
    </row>
    <row r="149" spans="1:18">
      <c r="A149" s="7"/>
      <c r="B149" s="8"/>
      <c r="C149" s="8"/>
      <c r="D149" s="8"/>
      <c r="E149" s="8"/>
      <c r="F149" s="8"/>
      <c r="G149" s="8"/>
      <c r="H149" s="8"/>
      <c r="I149" s="8"/>
      <c r="J149" s="8"/>
      <c r="K149" s="8"/>
      <c r="L149" s="8"/>
      <c r="M149" s="8"/>
      <c r="N149" s="8"/>
      <c r="O149" s="9"/>
      <c r="Q149" t="s">
        <v>710</v>
      </c>
      <c r="R149" s="439" t="s">
        <v>863</v>
      </c>
    </row>
    <row r="150" spans="1:18">
      <c r="A150" s="7"/>
      <c r="B150" s="8"/>
      <c r="C150" s="8"/>
      <c r="D150" s="8"/>
      <c r="E150" s="8"/>
      <c r="F150" s="8"/>
      <c r="G150" s="8"/>
      <c r="H150" s="8"/>
      <c r="I150" s="8"/>
      <c r="J150" s="8"/>
      <c r="K150" s="8"/>
      <c r="L150" s="8"/>
      <c r="M150" s="8"/>
      <c r="N150" s="8"/>
      <c r="O150" s="9"/>
      <c r="Q150" t="s">
        <v>711</v>
      </c>
      <c r="R150" s="439" t="s">
        <v>864</v>
      </c>
    </row>
    <row r="151" spans="1:18">
      <c r="A151" s="7" t="s">
        <v>36</v>
      </c>
      <c r="B151" s="8"/>
      <c r="C151" s="8"/>
      <c r="D151" s="8"/>
      <c r="E151" s="8"/>
      <c r="F151" s="8"/>
      <c r="G151" s="8"/>
      <c r="H151" s="8"/>
      <c r="I151" s="8"/>
      <c r="J151" s="8"/>
      <c r="K151" s="8"/>
      <c r="L151" s="8"/>
      <c r="M151" s="8"/>
      <c r="N151" s="8"/>
      <c r="O151" s="9"/>
      <c r="Q151" t="s">
        <v>712</v>
      </c>
      <c r="R151" s="439" t="s">
        <v>865</v>
      </c>
    </row>
    <row r="152" spans="1:18">
      <c r="A152" s="10" t="s">
        <v>37</v>
      </c>
      <c r="B152" s="8"/>
      <c r="C152" s="8"/>
      <c r="D152" s="8"/>
      <c r="E152" s="8"/>
      <c r="F152" s="8"/>
      <c r="G152" s="8"/>
      <c r="H152" s="8"/>
      <c r="I152" s="8"/>
      <c r="J152" s="8"/>
      <c r="K152" s="8"/>
      <c r="L152" s="8"/>
      <c r="M152" s="8"/>
      <c r="N152" s="8"/>
      <c r="O152" s="9"/>
      <c r="Q152" t="s">
        <v>713</v>
      </c>
      <c r="R152" s="439" t="s">
        <v>799</v>
      </c>
    </row>
    <row r="153" spans="1:18">
      <c r="A153" s="10" t="s">
        <v>38</v>
      </c>
      <c r="B153" s="8"/>
      <c r="C153" s="8"/>
      <c r="D153" s="8"/>
      <c r="E153" s="8"/>
      <c r="F153" s="8"/>
      <c r="G153" s="8"/>
      <c r="H153" s="8"/>
      <c r="I153" s="8"/>
      <c r="J153" s="8"/>
      <c r="K153" s="8"/>
      <c r="L153" s="8"/>
      <c r="M153" s="8"/>
      <c r="N153" s="8"/>
      <c r="O153" s="9"/>
      <c r="Q153" t="s">
        <v>714</v>
      </c>
      <c r="R153" s="439" t="s">
        <v>800</v>
      </c>
    </row>
    <row r="154" spans="1:18">
      <c r="A154" s="7"/>
      <c r="B154" s="8"/>
      <c r="C154" s="8"/>
      <c r="D154" s="8"/>
      <c r="E154" s="8"/>
      <c r="F154" s="8"/>
      <c r="G154" s="8"/>
      <c r="H154" s="8"/>
      <c r="I154" s="8"/>
      <c r="J154" s="8"/>
      <c r="K154" s="8"/>
      <c r="L154" s="8"/>
      <c r="M154" s="8"/>
      <c r="N154" s="8"/>
      <c r="O154" s="9"/>
      <c r="Q154" t="s">
        <v>715</v>
      </c>
      <c r="R154" s="439" t="s">
        <v>801</v>
      </c>
    </row>
    <row r="155" spans="1:18">
      <c r="A155" s="618" t="s">
        <v>39</v>
      </c>
      <c r="B155" s="618"/>
      <c r="C155" s="618"/>
      <c r="D155" s="618"/>
      <c r="E155" s="618"/>
      <c r="F155" s="618"/>
      <c r="G155" s="618"/>
      <c r="H155" s="618"/>
      <c r="I155" s="618"/>
      <c r="J155" s="618"/>
      <c r="K155" s="618"/>
      <c r="L155" s="618"/>
      <c r="M155" s="618"/>
      <c r="N155" s="618"/>
      <c r="O155" s="618"/>
      <c r="Q155" t="s">
        <v>716</v>
      </c>
      <c r="R155" s="439" t="s">
        <v>802</v>
      </c>
    </row>
    <row r="156" spans="1:18">
      <c r="A156" s="616" t="s">
        <v>40</v>
      </c>
      <c r="B156" s="616"/>
      <c r="C156" s="616"/>
      <c r="D156" s="616"/>
      <c r="E156" s="616"/>
      <c r="F156" s="616"/>
      <c r="G156" s="616"/>
      <c r="H156" s="616"/>
      <c r="I156" s="616"/>
      <c r="J156" s="616"/>
      <c r="K156" s="616"/>
      <c r="L156" s="616"/>
      <c r="M156" s="616"/>
      <c r="N156" s="616"/>
      <c r="O156" s="616"/>
      <c r="Q156" t="s">
        <v>717</v>
      </c>
      <c r="R156" s="439" t="s">
        <v>803</v>
      </c>
    </row>
    <row r="157" spans="1:18">
      <c r="A157" s="616" t="s">
        <v>41</v>
      </c>
      <c r="B157" s="616"/>
      <c r="C157" s="616"/>
      <c r="D157" s="616"/>
      <c r="E157" s="616"/>
      <c r="F157" s="616"/>
      <c r="G157" s="616"/>
      <c r="H157" s="616"/>
      <c r="I157" s="616"/>
      <c r="J157" s="616"/>
      <c r="K157" s="616"/>
      <c r="L157" s="616"/>
      <c r="M157" s="616"/>
      <c r="N157" s="616"/>
      <c r="O157" s="616"/>
      <c r="Q157" t="s">
        <v>718</v>
      </c>
      <c r="R157" s="439" t="s">
        <v>804</v>
      </c>
    </row>
    <row r="158" spans="1:18">
      <c r="A158" s="616" t="s">
        <v>42</v>
      </c>
      <c r="B158" s="616"/>
      <c r="C158" s="616"/>
      <c r="D158" s="616"/>
      <c r="E158" s="616"/>
      <c r="F158" s="616"/>
      <c r="G158" s="616"/>
      <c r="H158" s="616"/>
      <c r="I158" s="616"/>
      <c r="J158" s="616"/>
      <c r="K158" s="616"/>
      <c r="L158" s="616"/>
      <c r="M158" s="616"/>
      <c r="N158" s="616"/>
      <c r="O158" s="616"/>
      <c r="Q158" t="s">
        <v>505</v>
      </c>
      <c r="R158" s="439" t="s">
        <v>805</v>
      </c>
    </row>
    <row r="159" spans="1:18">
      <c r="A159" s="616" t="s">
        <v>43</v>
      </c>
      <c r="B159" s="616"/>
      <c r="C159" s="616"/>
      <c r="D159" s="616"/>
      <c r="E159" s="616"/>
      <c r="F159" s="616"/>
      <c r="G159" s="616"/>
      <c r="H159" s="616"/>
      <c r="I159" s="616"/>
      <c r="J159" s="616"/>
      <c r="K159" s="616"/>
      <c r="L159" s="616"/>
      <c r="M159" s="616"/>
      <c r="N159" s="616"/>
      <c r="O159" s="616"/>
      <c r="Q159" t="s">
        <v>506</v>
      </c>
      <c r="R159" s="439" t="s">
        <v>806</v>
      </c>
    </row>
    <row r="160" spans="1:18">
      <c r="A160" s="624" t="s">
        <v>44</v>
      </c>
      <c r="B160" s="624"/>
      <c r="C160" s="624"/>
      <c r="D160" s="624"/>
      <c r="E160" s="624"/>
      <c r="F160" s="624"/>
      <c r="G160" s="624"/>
      <c r="H160" s="624"/>
      <c r="I160" s="624"/>
      <c r="J160" s="624"/>
      <c r="K160" s="624"/>
      <c r="L160" s="624"/>
      <c r="M160" s="624"/>
      <c r="N160" s="624"/>
      <c r="O160" s="624"/>
      <c r="Q160" t="s">
        <v>719</v>
      </c>
      <c r="R160" s="439" t="s">
        <v>807</v>
      </c>
    </row>
    <row r="161" spans="1:18">
      <c r="A161" s="624"/>
      <c r="B161" s="624"/>
      <c r="C161" s="624"/>
      <c r="D161" s="624"/>
      <c r="E161" s="624"/>
      <c r="F161" s="624"/>
      <c r="G161" s="624"/>
      <c r="H161" s="624"/>
      <c r="I161" s="624"/>
      <c r="J161" s="624"/>
      <c r="K161" s="624"/>
      <c r="L161" s="624"/>
      <c r="M161" s="624"/>
      <c r="N161" s="624"/>
      <c r="O161" s="624"/>
      <c r="Q161" t="s">
        <v>507</v>
      </c>
      <c r="R161" s="439" t="s">
        <v>808</v>
      </c>
    </row>
    <row r="162" spans="1:18">
      <c r="A162" s="616"/>
      <c r="B162" s="616"/>
      <c r="C162" s="616"/>
      <c r="D162" s="616"/>
      <c r="E162" s="616"/>
      <c r="F162" s="616"/>
      <c r="G162" s="616"/>
      <c r="H162" s="616"/>
      <c r="I162" s="616"/>
      <c r="J162" s="616"/>
      <c r="K162" s="616"/>
      <c r="L162" s="616"/>
      <c r="M162" s="616"/>
      <c r="N162" s="616"/>
      <c r="O162" s="616"/>
      <c r="Q162" t="s">
        <v>508</v>
      </c>
      <c r="R162" s="439" t="s">
        <v>809</v>
      </c>
    </row>
    <row r="163" spans="1:18">
      <c r="A163" s="618" t="s">
        <v>45</v>
      </c>
      <c r="B163" s="618"/>
      <c r="C163" s="618"/>
      <c r="D163" s="618"/>
      <c r="E163" s="618"/>
      <c r="F163" s="618"/>
      <c r="G163" s="618"/>
      <c r="H163" s="618"/>
      <c r="I163" s="618"/>
      <c r="J163" s="618"/>
      <c r="K163" s="618"/>
      <c r="L163" s="618"/>
      <c r="M163" s="618"/>
      <c r="N163" s="618"/>
      <c r="O163" s="618"/>
      <c r="Q163" t="s">
        <v>720</v>
      </c>
      <c r="R163" s="439" t="s">
        <v>810</v>
      </c>
    </row>
    <row r="164" spans="1:18">
      <c r="A164" s="616" t="s">
        <v>46</v>
      </c>
      <c r="B164" s="616"/>
      <c r="C164" s="616"/>
      <c r="D164" s="616"/>
      <c r="E164" s="616"/>
      <c r="F164" s="616"/>
      <c r="G164" s="616"/>
      <c r="H164" s="616"/>
      <c r="I164" s="616"/>
      <c r="J164" s="616"/>
      <c r="K164" s="616"/>
      <c r="L164" s="616"/>
      <c r="M164" s="616"/>
      <c r="N164" s="616"/>
      <c r="O164" s="616"/>
      <c r="Q164" t="s">
        <v>721</v>
      </c>
      <c r="R164" s="439" t="s">
        <v>811</v>
      </c>
    </row>
    <row r="165" spans="1:18">
      <c r="A165" s="616" t="s">
        <v>47</v>
      </c>
      <c r="B165" s="616"/>
      <c r="C165" s="616"/>
      <c r="D165" s="616"/>
      <c r="E165" s="616"/>
      <c r="F165" s="616"/>
      <c r="G165" s="616"/>
      <c r="H165" s="616"/>
      <c r="I165" s="616"/>
      <c r="J165" s="616"/>
      <c r="K165" s="616"/>
      <c r="L165" s="616"/>
      <c r="M165" s="616"/>
      <c r="N165" s="616"/>
      <c r="O165" s="616"/>
      <c r="Q165" t="s">
        <v>509</v>
      </c>
      <c r="R165" s="439" t="s">
        <v>812</v>
      </c>
    </row>
    <row r="166" spans="1:18">
      <c r="A166" s="616" t="s">
        <v>48</v>
      </c>
      <c r="B166" s="616"/>
      <c r="C166" s="616"/>
      <c r="D166" s="616"/>
      <c r="E166" s="616"/>
      <c r="F166" s="616"/>
      <c r="G166" s="616"/>
      <c r="H166" s="616"/>
      <c r="I166" s="616"/>
      <c r="J166" s="616"/>
      <c r="K166" s="616"/>
      <c r="L166" s="616"/>
      <c r="M166" s="616"/>
      <c r="N166" s="616"/>
      <c r="O166" s="616"/>
      <c r="Q166" t="s">
        <v>510</v>
      </c>
      <c r="R166" s="439" t="s">
        <v>813</v>
      </c>
    </row>
    <row r="167" spans="1:18">
      <c r="A167" s="7"/>
      <c r="B167" s="8"/>
      <c r="C167" s="8"/>
      <c r="D167" s="8"/>
      <c r="E167" s="8"/>
      <c r="F167" s="8"/>
      <c r="G167" s="8"/>
      <c r="H167" s="8"/>
      <c r="I167" s="8"/>
      <c r="J167" s="8"/>
      <c r="K167" s="8"/>
      <c r="L167" s="8"/>
      <c r="M167" s="8"/>
      <c r="N167" s="8"/>
      <c r="O167" s="9"/>
      <c r="Q167" t="s">
        <v>511</v>
      </c>
      <c r="R167" s="439" t="s">
        <v>512</v>
      </c>
    </row>
    <row r="168" spans="1:18">
      <c r="A168" s="7"/>
      <c r="B168" s="8"/>
      <c r="C168" s="8"/>
      <c r="D168" s="8"/>
      <c r="E168" s="8"/>
      <c r="F168" s="8"/>
      <c r="G168" s="8"/>
      <c r="H168" s="8"/>
      <c r="I168" s="8"/>
      <c r="J168" s="8"/>
      <c r="K168" s="8"/>
      <c r="L168" s="8"/>
      <c r="M168" s="8"/>
      <c r="N168" s="8"/>
      <c r="O168" s="9"/>
      <c r="Q168" t="s">
        <v>513</v>
      </c>
      <c r="R168" s="439" t="s">
        <v>814</v>
      </c>
    </row>
    <row r="169" spans="1:18">
      <c r="A169" s="618" t="s">
        <v>49</v>
      </c>
      <c r="B169" s="618"/>
      <c r="C169" s="618"/>
      <c r="D169" s="618"/>
      <c r="E169" s="618"/>
      <c r="F169" s="618"/>
      <c r="G169" s="618"/>
      <c r="H169" s="618"/>
      <c r="I169" s="618"/>
      <c r="J169" s="618"/>
      <c r="K169" s="618"/>
      <c r="L169" s="618"/>
      <c r="M169" s="618"/>
      <c r="N169" s="618"/>
      <c r="O169" s="618"/>
      <c r="Q169" t="s">
        <v>514</v>
      </c>
      <c r="R169" s="439" t="s">
        <v>815</v>
      </c>
    </row>
    <row r="170" spans="1:18">
      <c r="A170" s="616" t="s">
        <v>50</v>
      </c>
      <c r="B170" s="616"/>
      <c r="C170" s="616"/>
      <c r="D170" s="616"/>
      <c r="E170" s="616"/>
      <c r="F170" s="616"/>
      <c r="G170" s="616"/>
      <c r="H170" s="616"/>
      <c r="I170" s="616"/>
      <c r="J170" s="616"/>
      <c r="K170" s="616"/>
      <c r="L170" s="616"/>
      <c r="M170" s="616"/>
      <c r="N170" s="616"/>
      <c r="O170" s="616"/>
      <c r="Q170" t="s">
        <v>722</v>
      </c>
      <c r="R170" s="439" t="s">
        <v>866</v>
      </c>
    </row>
    <row r="171" spans="1:18">
      <c r="A171" s="616" t="s">
        <v>51</v>
      </c>
      <c r="B171" s="616"/>
      <c r="C171" s="616"/>
      <c r="D171" s="616"/>
      <c r="E171" s="616"/>
      <c r="F171" s="616"/>
      <c r="G171" s="616"/>
      <c r="H171" s="616"/>
      <c r="I171" s="616"/>
      <c r="J171" s="616"/>
      <c r="K171" s="616"/>
      <c r="L171" s="616"/>
      <c r="M171" s="616"/>
      <c r="N171" s="616"/>
      <c r="O171" s="616"/>
      <c r="Q171" t="s">
        <v>723</v>
      </c>
      <c r="R171" s="439" t="s">
        <v>867</v>
      </c>
    </row>
    <row r="172" spans="1:18">
      <c r="A172" s="616" t="s">
        <v>52</v>
      </c>
      <c r="B172" s="616"/>
      <c r="C172" s="616"/>
      <c r="D172" s="616"/>
      <c r="E172" s="616"/>
      <c r="F172" s="616"/>
      <c r="G172" s="616"/>
      <c r="H172" s="616"/>
      <c r="I172" s="616"/>
      <c r="J172" s="616"/>
      <c r="K172" s="616"/>
      <c r="L172" s="616"/>
      <c r="M172" s="616"/>
      <c r="N172" s="616"/>
      <c r="O172" s="616"/>
      <c r="Q172" t="s">
        <v>724</v>
      </c>
      <c r="R172" s="439" t="s">
        <v>868</v>
      </c>
    </row>
    <row r="173" spans="1:18">
      <c r="A173" s="616"/>
      <c r="B173" s="616"/>
      <c r="C173" s="616"/>
      <c r="D173" s="616"/>
      <c r="E173" s="616"/>
      <c r="F173" s="616"/>
      <c r="G173" s="616"/>
      <c r="H173" s="616"/>
      <c r="I173" s="616"/>
      <c r="J173" s="616"/>
      <c r="K173" s="616"/>
      <c r="L173" s="616"/>
      <c r="M173" s="616"/>
      <c r="N173" s="616"/>
      <c r="O173" s="616"/>
      <c r="Q173" t="s">
        <v>515</v>
      </c>
      <c r="R173" s="439" t="s">
        <v>874</v>
      </c>
    </row>
    <row r="174" spans="1:18">
      <c r="A174" s="16"/>
      <c r="B174" s="17"/>
      <c r="C174" s="17"/>
      <c r="D174" s="17"/>
      <c r="E174" s="17"/>
      <c r="F174" s="17"/>
      <c r="G174" s="17"/>
      <c r="H174" s="17"/>
      <c r="I174" s="17"/>
      <c r="J174" s="17"/>
      <c r="K174" s="17"/>
      <c r="L174" s="17"/>
      <c r="M174" s="17"/>
      <c r="N174" s="17"/>
      <c r="O174" s="18"/>
      <c r="Q174" t="s">
        <v>516</v>
      </c>
      <c r="R174" s="439" t="s">
        <v>875</v>
      </c>
    </row>
    <row r="175" spans="1:18">
      <c r="A175" s="618" t="s">
        <v>53</v>
      </c>
      <c r="B175" s="618"/>
      <c r="C175" s="618"/>
      <c r="D175" s="618"/>
      <c r="E175" s="618"/>
      <c r="F175" s="618"/>
      <c r="G175" s="618"/>
      <c r="H175" s="618"/>
      <c r="I175" s="618"/>
      <c r="J175" s="618"/>
      <c r="K175" s="618"/>
      <c r="L175" s="618"/>
      <c r="M175" s="618"/>
      <c r="N175" s="618"/>
      <c r="O175" s="618"/>
      <c r="Q175" t="s">
        <v>517</v>
      </c>
      <c r="R175" s="439" t="s">
        <v>876</v>
      </c>
    </row>
    <row r="176" spans="1:18">
      <c r="A176" s="616" t="s">
        <v>54</v>
      </c>
      <c r="B176" s="616"/>
      <c r="C176" s="616"/>
      <c r="D176" s="616"/>
      <c r="E176" s="616"/>
      <c r="F176" s="616"/>
      <c r="G176" s="616"/>
      <c r="H176" s="616"/>
      <c r="I176" s="616"/>
      <c r="J176" s="616"/>
      <c r="K176" s="616"/>
      <c r="L176" s="616"/>
      <c r="M176" s="616"/>
      <c r="N176" s="616"/>
      <c r="O176" s="616"/>
      <c r="Q176" t="s">
        <v>518</v>
      </c>
      <c r="R176" s="439" t="s">
        <v>877</v>
      </c>
    </row>
    <row r="177" spans="1:18">
      <c r="A177" s="616" t="s">
        <v>55</v>
      </c>
      <c r="B177" s="616"/>
      <c r="C177" s="616"/>
      <c r="D177" s="616"/>
      <c r="E177" s="616"/>
      <c r="F177" s="616"/>
      <c r="G177" s="616"/>
      <c r="H177" s="616"/>
      <c r="I177" s="616"/>
      <c r="J177" s="616"/>
      <c r="K177" s="616"/>
      <c r="L177" s="616"/>
      <c r="M177" s="616"/>
      <c r="N177" s="616"/>
      <c r="O177" s="616"/>
      <c r="Q177" t="s">
        <v>519</v>
      </c>
      <c r="R177" s="439" t="s">
        <v>878</v>
      </c>
    </row>
    <row r="178" spans="1:18">
      <c r="A178" s="616" t="s">
        <v>56</v>
      </c>
      <c r="B178" s="616"/>
      <c r="C178" s="616"/>
      <c r="D178" s="616"/>
      <c r="E178" s="616"/>
      <c r="F178" s="616"/>
      <c r="G178" s="616"/>
      <c r="H178" s="616"/>
      <c r="I178" s="616"/>
      <c r="J178" s="616"/>
      <c r="K178" s="616"/>
      <c r="L178" s="616"/>
      <c r="M178" s="616"/>
      <c r="N178" s="616"/>
      <c r="O178" s="616"/>
      <c r="Q178" t="s">
        <v>520</v>
      </c>
      <c r="R178" s="439" t="s">
        <v>879</v>
      </c>
    </row>
    <row r="179" spans="1:18">
      <c r="A179" s="616" t="s">
        <v>57</v>
      </c>
      <c r="B179" s="616"/>
      <c r="C179" s="616"/>
      <c r="D179" s="616"/>
      <c r="E179" s="616"/>
      <c r="F179" s="616"/>
      <c r="G179" s="616"/>
      <c r="H179" s="616"/>
      <c r="I179" s="616"/>
      <c r="J179" s="616"/>
      <c r="K179" s="616"/>
      <c r="L179" s="616"/>
      <c r="M179" s="616"/>
      <c r="N179" s="616"/>
      <c r="O179" s="616"/>
      <c r="Q179" t="s">
        <v>725</v>
      </c>
      <c r="R179" s="439" t="s">
        <v>816</v>
      </c>
    </row>
    <row r="180" spans="1:18">
      <c r="O180" s="18"/>
      <c r="Q180" t="s">
        <v>521</v>
      </c>
      <c r="R180" s="439" t="s">
        <v>880</v>
      </c>
    </row>
    <row r="181" spans="1:18">
      <c r="A181" s="7"/>
      <c r="B181" s="8"/>
      <c r="C181" s="8"/>
      <c r="D181" s="8"/>
      <c r="E181" s="8"/>
      <c r="F181" s="8"/>
      <c r="G181" s="8"/>
      <c r="H181" s="8"/>
      <c r="I181" s="8"/>
      <c r="J181" s="8"/>
      <c r="K181" s="8"/>
      <c r="L181" s="8"/>
      <c r="M181" s="8"/>
      <c r="N181" s="8"/>
      <c r="O181" s="9"/>
      <c r="Q181" t="s">
        <v>522</v>
      </c>
      <c r="R181" s="439" t="s">
        <v>881</v>
      </c>
    </row>
    <row r="182" spans="1:18">
      <c r="A182" s="618" t="s">
        <v>58</v>
      </c>
      <c r="B182" s="618"/>
      <c r="C182" s="618"/>
      <c r="D182" s="618"/>
      <c r="E182" s="618"/>
      <c r="F182" s="618"/>
      <c r="G182" s="618"/>
      <c r="H182" s="618"/>
      <c r="I182" s="618"/>
      <c r="J182" s="618"/>
      <c r="K182" s="618"/>
      <c r="L182" s="618"/>
      <c r="M182" s="618"/>
      <c r="N182" s="618"/>
      <c r="O182" s="618"/>
      <c r="Q182" t="s">
        <v>726</v>
      </c>
      <c r="R182" s="439" t="s">
        <v>817</v>
      </c>
    </row>
    <row r="183" spans="1:18">
      <c r="A183" s="616" t="s">
        <v>59</v>
      </c>
      <c r="B183" s="616"/>
      <c r="C183" s="616"/>
      <c r="D183" s="616"/>
      <c r="E183" s="616"/>
      <c r="F183" s="616"/>
      <c r="G183" s="616"/>
      <c r="H183" s="616"/>
      <c r="I183" s="616"/>
      <c r="J183" s="616"/>
      <c r="K183" s="616"/>
      <c r="L183" s="616"/>
      <c r="M183" s="616"/>
      <c r="N183" s="616"/>
      <c r="O183" s="616"/>
      <c r="Q183" t="s">
        <v>523</v>
      </c>
      <c r="R183" s="439" t="s">
        <v>882</v>
      </c>
    </row>
    <row r="184" spans="1:18">
      <c r="A184" s="616" t="s">
        <v>60</v>
      </c>
      <c r="B184" s="616"/>
      <c r="C184" s="616"/>
      <c r="D184" s="616"/>
      <c r="E184" s="616"/>
      <c r="F184" s="616"/>
      <c r="G184" s="616"/>
      <c r="H184" s="616"/>
      <c r="I184" s="616"/>
      <c r="J184" s="616"/>
      <c r="K184" s="616"/>
      <c r="L184" s="616"/>
      <c r="M184" s="616"/>
      <c r="N184" s="616"/>
      <c r="O184" s="616"/>
      <c r="Q184" t="s">
        <v>524</v>
      </c>
      <c r="R184" s="439" t="s">
        <v>883</v>
      </c>
    </row>
    <row r="185" spans="1:18">
      <c r="A185" s="616" t="s">
        <v>61</v>
      </c>
      <c r="B185" s="616"/>
      <c r="C185" s="616"/>
      <c r="D185" s="616"/>
      <c r="E185" s="616"/>
      <c r="F185" s="616"/>
      <c r="G185" s="616"/>
      <c r="H185" s="616"/>
      <c r="I185" s="616"/>
      <c r="J185" s="616"/>
      <c r="K185" s="616"/>
      <c r="L185" s="616"/>
      <c r="M185" s="616"/>
      <c r="N185" s="616"/>
      <c r="O185" s="616"/>
      <c r="Q185" t="s">
        <v>727</v>
      </c>
      <c r="R185" s="439" t="s">
        <v>818</v>
      </c>
    </row>
    <row r="186" spans="1:18">
      <c r="A186" s="616" t="s">
        <v>62</v>
      </c>
      <c r="B186" s="616"/>
      <c r="C186" s="616"/>
      <c r="D186" s="616"/>
      <c r="E186" s="616"/>
      <c r="F186" s="616"/>
      <c r="G186" s="616"/>
      <c r="H186" s="616"/>
      <c r="I186" s="616"/>
      <c r="J186" s="616"/>
      <c r="K186" s="616"/>
      <c r="L186" s="616"/>
      <c r="M186" s="616"/>
      <c r="N186" s="616"/>
      <c r="O186" s="616"/>
      <c r="Q186" t="s">
        <v>525</v>
      </c>
      <c r="R186" s="439" t="s">
        <v>884</v>
      </c>
    </row>
    <row r="187" spans="1:18">
      <c r="A187" s="616" t="s">
        <v>63</v>
      </c>
      <c r="B187" s="616"/>
      <c r="C187" s="616"/>
      <c r="D187" s="616"/>
      <c r="E187" s="616"/>
      <c r="F187" s="616"/>
      <c r="G187" s="616"/>
      <c r="H187" s="616"/>
      <c r="I187" s="616"/>
      <c r="J187" s="616"/>
      <c r="K187" s="616"/>
      <c r="L187" s="616"/>
      <c r="M187" s="616"/>
      <c r="N187" s="616"/>
      <c r="O187" s="616"/>
      <c r="Q187" t="s">
        <v>526</v>
      </c>
      <c r="R187" s="439" t="s">
        <v>885</v>
      </c>
    </row>
    <row r="188" spans="1:18">
      <c r="A188" s="7"/>
      <c r="B188" s="8"/>
      <c r="C188" s="8"/>
      <c r="D188" s="8"/>
      <c r="E188" s="8"/>
      <c r="F188" s="8"/>
      <c r="G188" s="8"/>
      <c r="H188" s="8"/>
      <c r="I188" s="8"/>
      <c r="J188" s="8"/>
      <c r="K188" s="8"/>
      <c r="L188" s="8"/>
      <c r="M188" s="8"/>
      <c r="N188" s="8"/>
      <c r="O188" s="9"/>
      <c r="Q188" t="s">
        <v>728</v>
      </c>
      <c r="R188" s="439" t="s">
        <v>819</v>
      </c>
    </row>
    <row r="189" spans="1:18">
      <c r="A189" s="618" t="s">
        <v>64</v>
      </c>
      <c r="B189" s="618"/>
      <c r="C189" s="618"/>
      <c r="D189" s="618"/>
      <c r="E189" s="618"/>
      <c r="F189" s="618"/>
      <c r="G189" s="618"/>
      <c r="H189" s="618"/>
      <c r="I189" s="618"/>
      <c r="J189" s="618"/>
      <c r="K189" s="618"/>
      <c r="L189" s="618"/>
      <c r="M189" s="618"/>
      <c r="N189" s="618"/>
      <c r="O189" s="618"/>
      <c r="Q189" t="s">
        <v>527</v>
      </c>
      <c r="R189" s="439" t="s">
        <v>886</v>
      </c>
    </row>
    <row r="190" spans="1:18">
      <c r="A190" s="616" t="s">
        <v>54</v>
      </c>
      <c r="B190" s="616"/>
      <c r="C190" s="616"/>
      <c r="D190" s="616"/>
      <c r="E190" s="616"/>
      <c r="F190" s="616"/>
      <c r="G190" s="616"/>
      <c r="H190" s="616"/>
      <c r="I190" s="616"/>
      <c r="J190" s="616"/>
      <c r="K190" s="616"/>
      <c r="L190" s="616"/>
      <c r="M190" s="616"/>
      <c r="N190" s="616"/>
      <c r="O190" s="616"/>
      <c r="Q190" t="s">
        <v>528</v>
      </c>
      <c r="R190" s="439" t="s">
        <v>887</v>
      </c>
    </row>
    <row r="191" spans="1:18">
      <c r="A191" s="616" t="s">
        <v>65</v>
      </c>
      <c r="B191" s="616"/>
      <c r="C191" s="616"/>
      <c r="D191" s="616"/>
      <c r="E191" s="616"/>
      <c r="F191" s="616"/>
      <c r="G191" s="616"/>
      <c r="H191" s="616"/>
      <c r="I191" s="616"/>
      <c r="J191" s="616"/>
      <c r="K191" s="616"/>
      <c r="L191" s="616"/>
      <c r="M191" s="616"/>
      <c r="N191" s="616"/>
      <c r="O191" s="616"/>
      <c r="Q191" t="s">
        <v>729</v>
      </c>
      <c r="R191" s="439" t="s">
        <v>820</v>
      </c>
    </row>
    <row r="192" spans="1:18">
      <c r="A192" s="616" t="s">
        <v>66</v>
      </c>
      <c r="B192" s="616"/>
      <c r="C192" s="616"/>
      <c r="D192" s="616"/>
      <c r="E192" s="616"/>
      <c r="F192" s="616"/>
      <c r="G192" s="616"/>
      <c r="H192" s="616"/>
      <c r="I192" s="616"/>
      <c r="J192" s="616"/>
      <c r="K192" s="616"/>
      <c r="L192" s="616"/>
      <c r="M192" s="616"/>
      <c r="N192" s="616"/>
      <c r="O192" s="616"/>
      <c r="Q192" t="s">
        <v>529</v>
      </c>
      <c r="R192" s="439" t="s">
        <v>888</v>
      </c>
    </row>
    <row r="193" spans="1:18">
      <c r="A193" s="616" t="s">
        <v>67</v>
      </c>
      <c r="B193" s="616"/>
      <c r="C193" s="616"/>
      <c r="D193" s="616"/>
      <c r="E193" s="616"/>
      <c r="F193" s="616"/>
      <c r="G193" s="616"/>
      <c r="H193" s="616"/>
      <c r="I193" s="616"/>
      <c r="J193" s="616"/>
      <c r="K193" s="616"/>
      <c r="L193" s="616"/>
      <c r="M193" s="616"/>
      <c r="N193" s="616"/>
      <c r="O193" s="616"/>
      <c r="Q193" t="s">
        <v>530</v>
      </c>
      <c r="R193" s="439" t="s">
        <v>889</v>
      </c>
    </row>
    <row r="194" spans="1:18">
      <c r="A194" s="617" t="s">
        <v>68</v>
      </c>
      <c r="B194" s="617"/>
      <c r="C194" s="617"/>
      <c r="D194" s="617"/>
      <c r="E194" s="617"/>
      <c r="F194" s="617"/>
      <c r="G194" s="617"/>
      <c r="H194" s="617"/>
      <c r="I194" s="617"/>
      <c r="J194" s="617"/>
      <c r="K194" s="617"/>
      <c r="L194" s="617"/>
      <c r="M194" s="617"/>
      <c r="N194" s="617"/>
      <c r="O194" s="617"/>
      <c r="Q194" t="s">
        <v>730</v>
      </c>
      <c r="R194" s="439" t="s">
        <v>869</v>
      </c>
    </row>
    <row r="195" spans="1:18">
      <c r="A195" s="19"/>
      <c r="B195" s="20"/>
      <c r="C195" s="20"/>
      <c r="D195" s="20"/>
      <c r="E195" s="20"/>
      <c r="F195" s="20"/>
      <c r="G195" s="20"/>
      <c r="H195" s="20"/>
      <c r="I195" s="20"/>
      <c r="J195" s="20"/>
      <c r="K195" s="20"/>
      <c r="L195" s="20"/>
      <c r="M195" s="20"/>
      <c r="N195" s="20"/>
      <c r="O195" s="21"/>
      <c r="Q195" t="s">
        <v>531</v>
      </c>
      <c r="R195" s="439" t="s">
        <v>870</v>
      </c>
    </row>
    <row r="196" spans="1:18">
      <c r="A196" s="618" t="s">
        <v>69</v>
      </c>
      <c r="B196" s="618"/>
      <c r="C196" s="618"/>
      <c r="D196" s="618"/>
      <c r="E196" s="618"/>
      <c r="F196" s="618"/>
      <c r="G196" s="618"/>
      <c r="H196" s="618"/>
      <c r="I196" s="618"/>
      <c r="J196" s="618"/>
      <c r="K196" s="618"/>
      <c r="L196" s="618"/>
      <c r="M196" s="618"/>
      <c r="N196" s="618"/>
      <c r="O196" s="618"/>
      <c r="Q196" t="s">
        <v>532</v>
      </c>
      <c r="R196" s="439" t="s">
        <v>871</v>
      </c>
    </row>
    <row r="197" spans="1:18">
      <c r="A197" s="617" t="s">
        <v>70</v>
      </c>
      <c r="B197" s="617"/>
      <c r="C197" s="617"/>
      <c r="D197" s="617"/>
      <c r="E197" s="617"/>
      <c r="F197" s="617"/>
      <c r="G197" s="617"/>
      <c r="H197" s="617"/>
      <c r="I197" s="617"/>
      <c r="J197" s="617"/>
      <c r="K197" s="617"/>
      <c r="L197" s="617"/>
      <c r="M197" s="617"/>
      <c r="N197" s="617"/>
      <c r="O197" s="617"/>
      <c r="Q197" t="s">
        <v>821</v>
      </c>
      <c r="R197" s="439" t="s">
        <v>872</v>
      </c>
    </row>
    <row r="198" spans="1:18">
      <c r="A198" s="617" t="s">
        <v>71</v>
      </c>
      <c r="B198" s="617"/>
      <c r="C198" s="617"/>
      <c r="D198" s="617"/>
      <c r="E198" s="617"/>
      <c r="F198" s="617"/>
      <c r="G198" s="617"/>
      <c r="H198" s="617"/>
      <c r="I198" s="617"/>
      <c r="J198" s="617"/>
      <c r="K198" s="617"/>
      <c r="L198" s="617"/>
      <c r="M198" s="617"/>
      <c r="N198" s="617"/>
      <c r="O198" s="617"/>
      <c r="Q198" t="s">
        <v>731</v>
      </c>
      <c r="R198" s="439" t="s">
        <v>822</v>
      </c>
    </row>
    <row r="199" spans="1:18">
      <c r="A199" s="617" t="s">
        <v>72</v>
      </c>
      <c r="B199" s="617"/>
      <c r="C199" s="617"/>
      <c r="D199" s="617"/>
      <c r="E199" s="617"/>
      <c r="F199" s="617"/>
      <c r="G199" s="617"/>
      <c r="H199" s="617"/>
      <c r="I199" s="617"/>
      <c r="J199" s="617"/>
      <c r="K199" s="617"/>
      <c r="L199" s="617"/>
      <c r="M199" s="617"/>
      <c r="N199" s="617"/>
      <c r="O199" s="617"/>
      <c r="Q199" t="s">
        <v>533</v>
      </c>
      <c r="R199" s="439" t="s">
        <v>823</v>
      </c>
    </row>
    <row r="200" spans="1:18">
      <c r="A200" s="16"/>
      <c r="B200" s="17"/>
      <c r="C200" s="17"/>
      <c r="D200" s="17"/>
      <c r="E200" s="17"/>
      <c r="F200" s="17"/>
      <c r="G200" s="17"/>
      <c r="H200" s="17"/>
      <c r="I200" s="17"/>
      <c r="J200" s="17"/>
      <c r="K200" s="17"/>
      <c r="L200" s="17"/>
      <c r="M200" s="17"/>
      <c r="N200" s="17"/>
      <c r="O200" s="18"/>
      <c r="Q200" t="s">
        <v>534</v>
      </c>
      <c r="R200" s="439" t="s">
        <v>824</v>
      </c>
    </row>
    <row r="201" spans="1:18">
      <c r="A201" s="618" t="s">
        <v>73</v>
      </c>
      <c r="B201" s="618"/>
      <c r="C201" s="618"/>
      <c r="D201" s="618"/>
      <c r="E201" s="618"/>
      <c r="F201" s="618"/>
      <c r="G201" s="618"/>
      <c r="H201" s="618"/>
      <c r="I201" s="618"/>
      <c r="J201" s="618"/>
      <c r="K201" s="618"/>
      <c r="L201" s="618"/>
      <c r="M201" s="618"/>
      <c r="N201" s="618"/>
      <c r="O201" s="618"/>
      <c r="Q201" t="s">
        <v>732</v>
      </c>
      <c r="R201" s="439" t="s">
        <v>825</v>
      </c>
    </row>
    <row r="202" spans="1:18">
      <c r="A202" s="617" t="s">
        <v>74</v>
      </c>
      <c r="B202" s="617"/>
      <c r="C202" s="617"/>
      <c r="D202" s="617"/>
      <c r="E202" s="617"/>
      <c r="F202" s="617"/>
      <c r="G202" s="617"/>
      <c r="H202" s="617"/>
      <c r="I202" s="617"/>
      <c r="J202" s="617"/>
      <c r="K202" s="617"/>
      <c r="L202" s="617"/>
      <c r="M202" s="617"/>
      <c r="N202" s="617"/>
      <c r="O202" s="617"/>
      <c r="Q202" t="s">
        <v>733</v>
      </c>
      <c r="R202" s="439" t="s">
        <v>826</v>
      </c>
    </row>
    <row r="203" spans="1:18">
      <c r="A203" s="617" t="s">
        <v>75</v>
      </c>
      <c r="B203" s="617"/>
      <c r="C203" s="617"/>
      <c r="D203" s="617"/>
      <c r="E203" s="617"/>
      <c r="F203" s="617"/>
      <c r="G203" s="617"/>
      <c r="H203" s="617"/>
      <c r="I203" s="617"/>
      <c r="J203" s="617"/>
      <c r="K203" s="617"/>
      <c r="L203" s="617"/>
      <c r="M203" s="617"/>
      <c r="N203" s="617"/>
      <c r="O203" s="617"/>
      <c r="Q203" t="s">
        <v>535</v>
      </c>
      <c r="R203" s="439" t="s">
        <v>890</v>
      </c>
    </row>
    <row r="204" spans="1:18">
      <c r="A204" s="617" t="s">
        <v>76</v>
      </c>
      <c r="B204" s="617"/>
      <c r="C204" s="617"/>
      <c r="D204" s="617"/>
      <c r="E204" s="617"/>
      <c r="F204" s="617"/>
      <c r="G204" s="617"/>
      <c r="H204" s="617"/>
      <c r="I204" s="617"/>
      <c r="J204" s="617"/>
      <c r="K204" s="617"/>
      <c r="L204" s="617"/>
      <c r="M204" s="617"/>
      <c r="N204" s="617"/>
      <c r="O204" s="617"/>
      <c r="Q204" t="s">
        <v>536</v>
      </c>
      <c r="R204" s="439" t="s">
        <v>891</v>
      </c>
    </row>
    <row r="205" spans="1:18">
      <c r="A205" s="617" t="s">
        <v>77</v>
      </c>
      <c r="B205" s="617"/>
      <c r="C205" s="617"/>
      <c r="D205" s="617"/>
      <c r="E205" s="617"/>
      <c r="F205" s="617"/>
      <c r="G205" s="617"/>
      <c r="H205" s="617"/>
      <c r="I205" s="617"/>
      <c r="J205" s="617"/>
      <c r="K205" s="617"/>
      <c r="L205" s="617"/>
      <c r="M205" s="617"/>
      <c r="N205" s="617"/>
      <c r="O205" s="617"/>
      <c r="Q205" t="s">
        <v>537</v>
      </c>
      <c r="R205" s="439" t="s">
        <v>892</v>
      </c>
    </row>
    <row r="206" spans="1:18">
      <c r="A206" s="16"/>
      <c r="B206" s="17"/>
      <c r="C206" s="17"/>
      <c r="D206" s="17"/>
      <c r="E206" s="17"/>
      <c r="F206" s="17"/>
      <c r="G206" s="17"/>
      <c r="H206" s="17"/>
      <c r="I206" s="17"/>
      <c r="J206" s="17"/>
      <c r="K206" s="17"/>
      <c r="L206" s="17"/>
      <c r="M206" s="17"/>
      <c r="N206" s="17"/>
      <c r="O206" s="18"/>
      <c r="Q206" t="s">
        <v>538</v>
      </c>
      <c r="R206" s="439" t="s">
        <v>893</v>
      </c>
    </row>
    <row r="207" spans="1:18">
      <c r="A207" s="618" t="s">
        <v>78</v>
      </c>
      <c r="B207" s="618"/>
      <c r="C207" s="618"/>
      <c r="D207" s="618"/>
      <c r="E207" s="618"/>
      <c r="F207" s="618"/>
      <c r="G207" s="618"/>
      <c r="H207" s="618"/>
      <c r="I207" s="618"/>
      <c r="J207" s="618"/>
      <c r="K207" s="618"/>
      <c r="L207" s="618"/>
      <c r="M207" s="618"/>
      <c r="N207" s="618"/>
      <c r="O207" s="618"/>
      <c r="Q207" t="s">
        <v>734</v>
      </c>
      <c r="R207" s="439" t="s">
        <v>827</v>
      </c>
    </row>
    <row r="208" spans="1:18">
      <c r="A208" s="617" t="s">
        <v>79</v>
      </c>
      <c r="B208" s="617"/>
      <c r="C208" s="617"/>
      <c r="D208" s="617"/>
      <c r="E208" s="617"/>
      <c r="F208" s="617"/>
      <c r="G208" s="617"/>
      <c r="H208" s="617"/>
      <c r="I208" s="617"/>
      <c r="J208" s="617"/>
      <c r="K208" s="617"/>
      <c r="L208" s="617"/>
      <c r="M208" s="617"/>
      <c r="N208" s="617"/>
      <c r="O208" s="617"/>
      <c r="Q208" t="s">
        <v>539</v>
      </c>
      <c r="R208" s="439" t="s">
        <v>894</v>
      </c>
    </row>
    <row r="209" spans="1:18">
      <c r="A209" s="16"/>
      <c r="B209" s="17"/>
      <c r="C209" s="17"/>
      <c r="D209" s="17"/>
      <c r="E209" s="17"/>
      <c r="F209" s="17"/>
      <c r="G209" s="17"/>
      <c r="H209" s="17"/>
      <c r="I209" s="17"/>
      <c r="J209" s="17"/>
      <c r="K209" s="17"/>
      <c r="L209" s="17"/>
      <c r="M209" s="17"/>
      <c r="N209" s="17"/>
      <c r="O209" s="18"/>
      <c r="Q209" t="s">
        <v>540</v>
      </c>
      <c r="R209" s="439" t="s">
        <v>895</v>
      </c>
    </row>
    <row r="210" spans="1:18">
      <c r="A210" s="618" t="s">
        <v>80</v>
      </c>
      <c r="B210" s="618"/>
      <c r="C210" s="618"/>
      <c r="D210" s="618"/>
      <c r="E210" s="618"/>
      <c r="F210" s="618"/>
      <c r="G210" s="618"/>
      <c r="H210" s="618"/>
      <c r="I210" s="618"/>
      <c r="J210" s="618"/>
      <c r="K210" s="618"/>
      <c r="L210" s="618"/>
      <c r="M210" s="618"/>
      <c r="N210" s="618"/>
      <c r="O210" s="618"/>
      <c r="Q210" t="s">
        <v>735</v>
      </c>
      <c r="R210" s="439" t="s">
        <v>828</v>
      </c>
    </row>
    <row r="211" spans="1:18">
      <c r="A211" s="616" t="s">
        <v>81</v>
      </c>
      <c r="B211" s="616"/>
      <c r="C211" s="616"/>
      <c r="D211" s="616"/>
      <c r="E211" s="616"/>
      <c r="F211" s="616"/>
      <c r="G211" s="616"/>
      <c r="H211" s="616"/>
      <c r="I211" s="616"/>
      <c r="J211" s="616"/>
      <c r="K211" s="616"/>
      <c r="L211" s="616"/>
      <c r="M211" s="616"/>
      <c r="N211" s="616"/>
      <c r="O211" s="616"/>
      <c r="Q211" t="s">
        <v>541</v>
      </c>
      <c r="R211" s="439" t="s">
        <v>896</v>
      </c>
    </row>
    <row r="212" spans="1:18">
      <c r="A212" s="616" t="s">
        <v>82</v>
      </c>
      <c r="B212" s="616"/>
      <c r="C212" s="616"/>
      <c r="D212" s="616"/>
      <c r="E212" s="616"/>
      <c r="F212" s="616"/>
      <c r="G212" s="616"/>
      <c r="H212" s="616"/>
      <c r="I212" s="616"/>
      <c r="J212" s="616"/>
      <c r="K212" s="616"/>
      <c r="L212" s="616"/>
      <c r="M212" s="616"/>
      <c r="N212" s="616"/>
      <c r="O212" s="616"/>
      <c r="Q212" t="s">
        <v>542</v>
      </c>
      <c r="R212" s="439" t="s">
        <v>897</v>
      </c>
    </row>
    <row r="213" spans="1:18">
      <c r="A213" s="616" t="s">
        <v>83</v>
      </c>
      <c r="B213" s="616"/>
      <c r="C213" s="616"/>
      <c r="D213" s="616"/>
      <c r="E213" s="616"/>
      <c r="F213" s="616"/>
      <c r="G213" s="616"/>
      <c r="H213" s="616"/>
      <c r="I213" s="616"/>
      <c r="J213" s="616"/>
      <c r="K213" s="616"/>
      <c r="L213" s="616"/>
      <c r="M213" s="616"/>
      <c r="N213" s="616"/>
      <c r="O213" s="616"/>
      <c r="Q213" t="s">
        <v>736</v>
      </c>
      <c r="R213" s="439" t="s">
        <v>829</v>
      </c>
    </row>
    <row r="214" spans="1:18">
      <c r="A214" s="616" t="s">
        <v>84</v>
      </c>
      <c r="B214" s="616"/>
      <c r="C214" s="616"/>
      <c r="D214" s="616"/>
      <c r="E214" s="616"/>
      <c r="F214" s="616"/>
      <c r="G214" s="616"/>
      <c r="H214" s="616"/>
      <c r="I214" s="616"/>
      <c r="J214" s="616"/>
      <c r="K214" s="616"/>
      <c r="L214" s="616"/>
      <c r="M214" s="616"/>
      <c r="N214" s="616"/>
      <c r="O214" s="616"/>
      <c r="Q214" t="s">
        <v>543</v>
      </c>
      <c r="R214" s="439" t="s">
        <v>898</v>
      </c>
    </row>
    <row r="215" spans="1:18">
      <c r="A215" s="616" t="s">
        <v>85</v>
      </c>
      <c r="B215" s="616"/>
      <c r="C215" s="616"/>
      <c r="D215" s="616"/>
      <c r="E215" s="616"/>
      <c r="F215" s="616"/>
      <c r="G215" s="616"/>
      <c r="H215" s="616"/>
      <c r="I215" s="616"/>
      <c r="J215" s="616"/>
      <c r="K215" s="616"/>
      <c r="L215" s="616"/>
      <c r="M215" s="616"/>
      <c r="N215" s="616"/>
      <c r="O215" s="616"/>
      <c r="Q215" t="s">
        <v>544</v>
      </c>
      <c r="R215" s="439" t="s">
        <v>899</v>
      </c>
    </row>
    <row r="216" spans="1:18">
      <c r="A216" s="616" t="s">
        <v>86</v>
      </c>
      <c r="B216" s="616"/>
      <c r="C216" s="616"/>
      <c r="D216" s="616"/>
      <c r="E216" s="616"/>
      <c r="F216" s="616"/>
      <c r="G216" s="616"/>
      <c r="H216" s="616"/>
      <c r="I216" s="616"/>
      <c r="J216" s="616"/>
      <c r="K216" s="616"/>
      <c r="L216" s="616"/>
      <c r="M216" s="616"/>
      <c r="N216" s="616"/>
      <c r="O216" s="616"/>
      <c r="Q216" t="s">
        <v>737</v>
      </c>
      <c r="R216" t="s">
        <v>830</v>
      </c>
    </row>
    <row r="217" spans="1:18">
      <c r="A217" s="617" t="s">
        <v>87</v>
      </c>
      <c r="B217" s="617"/>
      <c r="C217" s="617"/>
      <c r="D217" s="617"/>
      <c r="E217" s="617"/>
      <c r="F217" s="617"/>
      <c r="G217" s="617"/>
      <c r="H217" s="617"/>
      <c r="I217" s="617"/>
      <c r="J217" s="617"/>
      <c r="K217" s="617"/>
      <c r="L217" s="617"/>
      <c r="M217" s="617"/>
      <c r="N217" s="617"/>
      <c r="O217" s="617"/>
      <c r="Q217" t="s">
        <v>545</v>
      </c>
      <c r="R217" t="s">
        <v>900</v>
      </c>
    </row>
    <row r="218" spans="1:18">
      <c r="A218" s="617" t="s">
        <v>88</v>
      </c>
      <c r="B218" s="617"/>
      <c r="C218" s="617"/>
      <c r="D218" s="617"/>
      <c r="E218" s="617"/>
      <c r="F218" s="617"/>
      <c r="G218" s="617"/>
      <c r="H218" s="617"/>
      <c r="I218" s="617"/>
      <c r="J218" s="617"/>
      <c r="K218" s="617"/>
      <c r="L218" s="617"/>
      <c r="M218" s="617"/>
      <c r="N218" s="617"/>
      <c r="O218" s="617"/>
      <c r="Q218" t="s">
        <v>546</v>
      </c>
      <c r="R218" t="s">
        <v>901</v>
      </c>
    </row>
    <row r="219" spans="1:18">
      <c r="A219" s="617" t="s">
        <v>89</v>
      </c>
      <c r="B219" s="617"/>
      <c r="C219" s="617"/>
      <c r="D219" s="617"/>
      <c r="E219" s="617"/>
      <c r="F219" s="617"/>
      <c r="G219" s="617"/>
      <c r="H219" s="617"/>
      <c r="I219" s="617"/>
      <c r="J219" s="617"/>
      <c r="K219" s="617"/>
      <c r="L219" s="617"/>
      <c r="M219" s="617"/>
      <c r="N219" s="617"/>
      <c r="O219" s="617"/>
      <c r="Q219" t="s">
        <v>738</v>
      </c>
      <c r="R219" t="s">
        <v>873</v>
      </c>
    </row>
    <row r="220" spans="1:18">
      <c r="A220" s="617"/>
      <c r="B220" s="617"/>
      <c r="C220" s="617"/>
      <c r="D220" s="617"/>
      <c r="E220" s="617"/>
      <c r="F220" s="617"/>
      <c r="G220" s="617"/>
      <c r="H220" s="617"/>
      <c r="I220" s="617"/>
      <c r="J220" s="617"/>
      <c r="K220" s="617"/>
      <c r="L220" s="617"/>
      <c r="M220" s="617"/>
      <c r="N220" s="617"/>
      <c r="O220" s="617"/>
      <c r="Q220" t="s">
        <v>547</v>
      </c>
      <c r="R220" t="s">
        <v>902</v>
      </c>
    </row>
    <row r="221" spans="1:18">
      <c r="A221" s="616"/>
      <c r="B221" s="616"/>
      <c r="C221" s="616"/>
      <c r="D221" s="616"/>
      <c r="E221" s="616"/>
      <c r="F221" s="616"/>
      <c r="G221" s="616"/>
      <c r="H221" s="616"/>
      <c r="I221" s="616"/>
      <c r="J221" s="616"/>
      <c r="K221" s="616"/>
      <c r="L221" s="616"/>
      <c r="M221" s="616"/>
      <c r="N221" s="616"/>
      <c r="O221" s="616"/>
      <c r="Q221" t="s">
        <v>548</v>
      </c>
      <c r="R221" t="s">
        <v>903</v>
      </c>
    </row>
    <row r="222" spans="1:18">
      <c r="A222" s="620" t="s">
        <v>90</v>
      </c>
      <c r="B222" s="620"/>
      <c r="C222" s="620"/>
      <c r="D222" s="620"/>
      <c r="E222" s="620"/>
      <c r="F222" s="620"/>
      <c r="G222" s="620"/>
      <c r="H222" s="620"/>
      <c r="I222" s="620"/>
      <c r="J222" s="620"/>
      <c r="K222" s="620"/>
      <c r="L222" s="620"/>
      <c r="M222" s="620"/>
      <c r="N222" s="620"/>
      <c r="O222" s="620"/>
    </row>
    <row r="223" spans="1:18">
      <c r="A223" s="616" t="s">
        <v>91</v>
      </c>
      <c r="B223" s="616"/>
      <c r="C223" s="616"/>
      <c r="D223" s="616"/>
      <c r="E223" s="616"/>
      <c r="F223" s="616"/>
      <c r="G223" s="616"/>
      <c r="H223" s="616"/>
      <c r="I223" s="616"/>
      <c r="J223" s="616"/>
      <c r="K223" s="616"/>
      <c r="L223" s="616"/>
      <c r="M223" s="616"/>
      <c r="N223" s="616"/>
      <c r="O223" s="616"/>
    </row>
    <row r="224" spans="1:18">
      <c r="A224" s="616" t="s">
        <v>92</v>
      </c>
      <c r="B224" s="616"/>
      <c r="C224" s="616"/>
      <c r="D224" s="616"/>
      <c r="E224" s="616"/>
      <c r="F224" s="616"/>
      <c r="G224" s="616"/>
      <c r="H224" s="616"/>
      <c r="I224" s="616"/>
      <c r="J224" s="616"/>
      <c r="K224" s="616"/>
      <c r="L224" s="616"/>
      <c r="M224" s="616"/>
      <c r="N224" s="616"/>
      <c r="O224" s="616"/>
    </row>
    <row r="225" spans="1:15">
      <c r="A225" s="616" t="s">
        <v>93</v>
      </c>
      <c r="B225" s="616"/>
      <c r="C225" s="616"/>
      <c r="D225" s="616"/>
      <c r="E225" s="616"/>
      <c r="F225" s="616"/>
      <c r="G225" s="616"/>
      <c r="H225" s="616"/>
      <c r="I225" s="616"/>
      <c r="J225" s="616"/>
      <c r="K225" s="616"/>
      <c r="L225" s="616"/>
      <c r="M225" s="616"/>
      <c r="N225" s="616"/>
      <c r="O225" s="616"/>
    </row>
    <row r="226" spans="1:15" ht="13" thickBot="1">
      <c r="A226" s="619"/>
      <c r="B226" s="619"/>
      <c r="C226" s="619"/>
      <c r="D226" s="619"/>
      <c r="E226" s="619"/>
      <c r="F226" s="619"/>
      <c r="G226" s="619"/>
      <c r="H226" s="619"/>
      <c r="I226" s="619"/>
      <c r="J226" s="619"/>
      <c r="K226" s="619"/>
      <c r="L226" s="619"/>
      <c r="M226" s="619"/>
      <c r="N226" s="619"/>
      <c r="O226" s="619"/>
    </row>
  </sheetData>
  <sheetProtection selectLockedCells="1" selectUnlockedCells="1"/>
  <mergeCells count="112">
    <mergeCell ref="A1:O1"/>
    <mergeCell ref="A2:O2"/>
    <mergeCell ref="A3:O3"/>
    <mergeCell ref="A4:O4"/>
    <mergeCell ref="A6:O6"/>
    <mergeCell ref="A7:O7"/>
    <mergeCell ref="A5:O5"/>
    <mergeCell ref="A15:O15"/>
    <mergeCell ref="A26:O26"/>
    <mergeCell ref="A8:O8"/>
    <mergeCell ref="A14:O14"/>
    <mergeCell ref="A18:O18"/>
    <mergeCell ref="A19:O19"/>
    <mergeCell ref="A20:O20"/>
    <mergeCell ref="A9:O9"/>
    <mergeCell ref="A10:O10"/>
    <mergeCell ref="A11:O11"/>
    <mergeCell ref="A12:O12"/>
    <mergeCell ref="A13:O13"/>
    <mergeCell ref="A31:O31"/>
    <mergeCell ref="A16:O16"/>
    <mergeCell ref="A22:O22"/>
    <mergeCell ref="A23:O23"/>
    <mergeCell ref="A24:O24"/>
    <mergeCell ref="A25:O25"/>
    <mergeCell ref="A21:G21"/>
    <mergeCell ref="H21:I21"/>
    <mergeCell ref="A17:O17"/>
    <mergeCell ref="A27:O27"/>
    <mergeCell ref="A28:O28"/>
    <mergeCell ref="A29:O29"/>
    <mergeCell ref="A30:O30"/>
    <mergeCell ref="A32:O32"/>
    <mergeCell ref="A34:O34"/>
    <mergeCell ref="A35:O35"/>
    <mergeCell ref="A36:O36"/>
    <mergeCell ref="A37:O37"/>
    <mergeCell ref="A38:O38"/>
    <mergeCell ref="A54:D54"/>
    <mergeCell ref="A56:O56"/>
    <mergeCell ref="A45:O45"/>
    <mergeCell ref="A41:O41"/>
    <mergeCell ref="A33:O33"/>
    <mergeCell ref="A158:O158"/>
    <mergeCell ref="A159:O159"/>
    <mergeCell ref="A160:O160"/>
    <mergeCell ref="A161:O161"/>
    <mergeCell ref="A42:O42"/>
    <mergeCell ref="A51:O51"/>
    <mergeCell ref="A52:O52"/>
    <mergeCell ref="A53:O53"/>
    <mergeCell ref="A162:O162"/>
    <mergeCell ref="A163:O163"/>
    <mergeCell ref="A58:O58"/>
    <mergeCell ref="A55:O55"/>
    <mergeCell ref="A63:O63"/>
    <mergeCell ref="A155:O155"/>
    <mergeCell ref="A156:O156"/>
    <mergeCell ref="A157:O157"/>
    <mergeCell ref="A171:O171"/>
    <mergeCell ref="A204:O204"/>
    <mergeCell ref="A201:O201"/>
    <mergeCell ref="A193:O193"/>
    <mergeCell ref="A194:O194"/>
    <mergeCell ref="A196:O196"/>
    <mergeCell ref="A178:O178"/>
    <mergeCell ref="A187:O187"/>
    <mergeCell ref="A189:O189"/>
    <mergeCell ref="A190:O190"/>
    <mergeCell ref="A203:O203"/>
    <mergeCell ref="A164:O164"/>
    <mergeCell ref="A165:O165"/>
    <mergeCell ref="A166:O166"/>
    <mergeCell ref="A169:O169"/>
    <mergeCell ref="A170:O170"/>
    <mergeCell ref="A186:O186"/>
    <mergeCell ref="A172:O172"/>
    <mergeCell ref="A173:O173"/>
    <mergeCell ref="A175:O175"/>
    <mergeCell ref="A176:O176"/>
    <mergeCell ref="A177:O177"/>
    <mergeCell ref="A179:O179"/>
    <mergeCell ref="A182:O182"/>
    <mergeCell ref="A183:O183"/>
    <mergeCell ref="A184:O184"/>
    <mergeCell ref="A185:O185"/>
    <mergeCell ref="A197:O197"/>
    <mergeCell ref="A191:O191"/>
    <mergeCell ref="A192:O192"/>
    <mergeCell ref="A202:O202"/>
    <mergeCell ref="A198:O198"/>
    <mergeCell ref="A199:O199"/>
    <mergeCell ref="A210:O210"/>
    <mergeCell ref="A211:O211"/>
    <mergeCell ref="A212:O212"/>
    <mergeCell ref="A213:O213"/>
    <mergeCell ref="A214:O214"/>
    <mergeCell ref="A215:O215"/>
    <mergeCell ref="A205:O205"/>
    <mergeCell ref="A207:O207"/>
    <mergeCell ref="A208:O208"/>
    <mergeCell ref="A226:O226"/>
    <mergeCell ref="A216:O216"/>
    <mergeCell ref="A217:O217"/>
    <mergeCell ref="A218:O218"/>
    <mergeCell ref="A219:O219"/>
    <mergeCell ref="A220:O220"/>
    <mergeCell ref="A221:O221"/>
    <mergeCell ref="A222:O222"/>
    <mergeCell ref="A223:O223"/>
    <mergeCell ref="A224:O224"/>
    <mergeCell ref="A225:O225"/>
  </mergeCells>
  <hyperlinks>
    <hyperlink ref="E54" r:id="rId1"/>
    <hyperlink ref="A56" r:id="rId2"/>
    <hyperlink ref="G46" r:id="rId3"/>
    <hyperlink ref="G48" r:id="rId4" location="p1767160"/>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74"/>
  <sheetViews>
    <sheetView zoomScale="80" zoomScaleNormal="80" zoomScalePageLayoutView="80" workbookViewId="0">
      <selection activeCell="A42" sqref="A42"/>
    </sheetView>
  </sheetViews>
  <sheetFormatPr baseColWidth="10" defaultColWidth="8.83203125" defaultRowHeight="12" x14ac:dyDescent="0"/>
  <cols>
    <col min="1" max="1" width="27.6640625" customWidth="1"/>
    <col min="2" max="2" width="11.5" customWidth="1"/>
    <col min="3" max="3" width="12.6640625" customWidth="1"/>
    <col min="5" max="5" width="8.5" customWidth="1"/>
    <col min="7" max="7" width="8.6640625" customWidth="1"/>
    <col min="8" max="8" width="6.5" customWidth="1"/>
    <col min="9" max="9" width="2.1640625" customWidth="1"/>
    <col min="10" max="10" width="27.6640625" customWidth="1"/>
    <col min="11" max="11" width="11.5" customWidth="1"/>
    <col min="12" max="12" width="12.6640625" customWidth="1"/>
    <col min="14" max="14" width="8.5" customWidth="1"/>
    <col min="16" max="16" width="8.6640625" customWidth="1"/>
    <col min="17" max="17" width="6.5" customWidth="1"/>
    <col min="18" max="18" width="2.1640625" customWidth="1"/>
    <col min="19" max="19" width="27.6640625" customWidth="1"/>
    <col min="20" max="20" width="13.6640625" customWidth="1"/>
    <col min="21" max="21" width="12.6640625" customWidth="1"/>
    <col min="23" max="23" width="8.5" customWidth="1"/>
    <col min="25" max="25" width="8.6640625" customWidth="1"/>
    <col min="26" max="26" width="6.5" customWidth="1"/>
    <col min="27" max="27" width="2.1640625" customWidth="1"/>
  </cols>
  <sheetData>
    <row r="1" spans="1:25">
      <c r="A1" s="634" t="s">
        <v>844</v>
      </c>
      <c r="B1" s="634"/>
      <c r="C1" s="634"/>
      <c r="D1" s="634"/>
      <c r="E1" s="634"/>
      <c r="F1" s="634"/>
      <c r="J1" s="633" t="s">
        <v>845</v>
      </c>
      <c r="K1" s="633"/>
      <c r="L1" s="633"/>
      <c r="M1" s="633"/>
      <c r="N1" s="633"/>
      <c r="O1" s="633"/>
      <c r="P1" s="23"/>
      <c r="Q1" s="23"/>
      <c r="S1" s="633" t="s">
        <v>846</v>
      </c>
      <c r="T1" s="633"/>
      <c r="U1" s="633"/>
      <c r="V1" s="633"/>
      <c r="W1" s="633"/>
      <c r="X1" s="633"/>
    </row>
    <row r="2" spans="1:25" ht="41" thickBot="1">
      <c r="B2" s="24"/>
      <c r="C2" s="25" t="s">
        <v>94</v>
      </c>
      <c r="D2" s="26"/>
      <c r="E2" s="26"/>
      <c r="F2" s="25" t="s">
        <v>95</v>
      </c>
      <c r="L2" s="25" t="s">
        <v>94</v>
      </c>
      <c r="M2" s="26"/>
      <c r="N2" s="26"/>
      <c r="O2" s="25" t="s">
        <v>95</v>
      </c>
      <c r="T2" s="24"/>
      <c r="U2" s="25" t="s">
        <v>94</v>
      </c>
      <c r="V2" s="569" t="s">
        <v>764</v>
      </c>
      <c r="W2" s="26"/>
      <c r="X2" s="25" t="s">
        <v>95</v>
      </c>
    </row>
    <row r="3" spans="1:25">
      <c r="A3" s="27" t="s">
        <v>96</v>
      </c>
      <c r="B3" s="28" t="s">
        <v>97</v>
      </c>
      <c r="C3" s="29">
        <v>0.5</v>
      </c>
      <c r="F3" s="30">
        <f>Returns_72_15!B$114</f>
        <v>0.61409092963853062</v>
      </c>
      <c r="J3" s="27" t="s">
        <v>96</v>
      </c>
      <c r="K3" s="28" t="s">
        <v>97</v>
      </c>
      <c r="L3" s="29"/>
      <c r="O3" s="30" t="str">
        <f>Returns_85_15!B$90</f>
        <v/>
      </c>
      <c r="S3" s="27" t="s">
        <v>96</v>
      </c>
      <c r="T3" s="28" t="str">
        <f t="array" ref="T3:T79">IF(TRANSPOSE(Data_All!B2:BZ2)="", "", TRANSPOSE(Data_All!B2:BZ2))</f>
        <v>VTSMX</v>
      </c>
      <c r="U3" s="29"/>
      <c r="V3" s="543">
        <f t="array" ref="V3:V79">IF(TRANSPOSE(Data_All!B5:BZ5)="", "", TRANSPOSE(Data_All!B5:BZ5))</f>
        <v>1871</v>
      </c>
      <c r="W3" s="545" t="str">
        <f t="shared" ref="W3:W34" si="0">IF(AND(U3&gt;0, V3&gt;SYear_O), "ERROR", "")</f>
        <v/>
      </c>
      <c r="X3" s="30" t="str">
        <f t="array" ref="X3:X79">TRANSPOSE(Returns_All!$B$316:$BZ$316)</f>
        <v/>
      </c>
      <c r="Y3" s="421"/>
    </row>
    <row r="4" spans="1:25">
      <c r="A4" s="31" t="s">
        <v>98</v>
      </c>
      <c r="B4" s="32" t="s">
        <v>99</v>
      </c>
      <c r="C4" s="33"/>
      <c r="F4" s="34" t="str">
        <f>Returns_72_15!C$114</f>
        <v/>
      </c>
      <c r="J4" s="31" t="s">
        <v>98</v>
      </c>
      <c r="K4" s="32" t="s">
        <v>99</v>
      </c>
      <c r="L4" s="33"/>
      <c r="O4" s="34" t="str">
        <f>Returns_85_15!C$90</f>
        <v/>
      </c>
      <c r="S4" s="31" t="s">
        <v>98</v>
      </c>
      <c r="T4" s="32" t="str">
        <v>VIVAX</v>
      </c>
      <c r="U4" s="33"/>
      <c r="V4" s="543">
        <v>1972</v>
      </c>
      <c r="W4" s="546" t="str">
        <f t="shared" si="0"/>
        <v/>
      </c>
      <c r="X4" s="34" t="str">
        <v/>
      </c>
    </row>
    <row r="5" spans="1:25">
      <c r="A5" s="31" t="s">
        <v>100</v>
      </c>
      <c r="B5" s="32" t="s">
        <v>101</v>
      </c>
      <c r="C5" s="33"/>
      <c r="F5" s="34" t="str">
        <f>Returns_72_15!D$114</f>
        <v/>
      </c>
      <c r="J5" s="31" t="s">
        <v>100</v>
      </c>
      <c r="K5" s="32" t="s">
        <v>101</v>
      </c>
      <c r="L5" s="33"/>
      <c r="O5" s="34" t="str">
        <f>Returns_85_15!D$90</f>
        <v/>
      </c>
      <c r="S5" s="31" t="s">
        <v>756</v>
      </c>
      <c r="T5" s="32" t="str">
        <v>VFINX</v>
      </c>
      <c r="U5" s="33"/>
      <c r="V5" s="543">
        <v>1871</v>
      </c>
      <c r="W5" s="546" t="str">
        <f t="shared" si="0"/>
        <v/>
      </c>
      <c r="X5" s="34" t="str">
        <v/>
      </c>
    </row>
    <row r="6" spans="1:25">
      <c r="A6" s="31" t="s">
        <v>102</v>
      </c>
      <c r="B6" s="32" t="s">
        <v>103</v>
      </c>
      <c r="C6" s="33"/>
      <c r="F6" s="34" t="str">
        <f>Returns_72_15!E$114</f>
        <v/>
      </c>
      <c r="J6" s="31" t="s">
        <v>102</v>
      </c>
      <c r="K6" s="32" t="s">
        <v>103</v>
      </c>
      <c r="L6" s="33"/>
      <c r="O6" s="34" t="str">
        <f>Returns_85_15!E$90</f>
        <v/>
      </c>
      <c r="S6" s="31" t="s">
        <v>102</v>
      </c>
      <c r="T6" s="32" t="str">
        <v>VIGRX</v>
      </c>
      <c r="U6" s="33"/>
      <c r="V6" s="543">
        <v>1972</v>
      </c>
      <c r="W6" s="546" t="str">
        <f t="shared" si="0"/>
        <v/>
      </c>
      <c r="X6" s="34" t="str">
        <v/>
      </c>
    </row>
    <row r="7" spans="1:25">
      <c r="A7" s="31" t="s">
        <v>104</v>
      </c>
      <c r="B7" s="32" t="s">
        <v>105</v>
      </c>
      <c r="C7" s="33"/>
      <c r="F7" s="34" t="str">
        <f>Returns_72_15!F$114</f>
        <v/>
      </c>
      <c r="J7" s="31" t="s">
        <v>104</v>
      </c>
      <c r="K7" s="32" t="s">
        <v>105</v>
      </c>
      <c r="L7" s="33">
        <v>0.25</v>
      </c>
      <c r="O7" s="34">
        <f>Returns_85_15!F$90</f>
        <v>0.6023760992083681</v>
      </c>
      <c r="S7" s="31" t="s">
        <v>104</v>
      </c>
      <c r="T7" s="32" t="str">
        <v>VIMSX</v>
      </c>
      <c r="U7" s="33"/>
      <c r="V7" s="543">
        <v>1972</v>
      </c>
      <c r="W7" s="546" t="str">
        <f t="shared" si="0"/>
        <v/>
      </c>
      <c r="X7" s="34" t="str">
        <v/>
      </c>
    </row>
    <row r="8" spans="1:25">
      <c r="A8" s="31" t="s">
        <v>106</v>
      </c>
      <c r="B8" s="32" t="s">
        <v>107</v>
      </c>
      <c r="C8" s="33"/>
      <c r="F8" s="34" t="str">
        <f>Returns_72_15!G$114</f>
        <v/>
      </c>
      <c r="J8" s="31" t="s">
        <v>106</v>
      </c>
      <c r="K8" s="32" t="s">
        <v>107</v>
      </c>
      <c r="L8" s="33"/>
      <c r="O8" s="34" t="str">
        <f>Returns_85_15!G$90</f>
        <v/>
      </c>
      <c r="S8" s="31" t="s">
        <v>106</v>
      </c>
      <c r="T8" s="32" t="str">
        <v>VISVX</v>
      </c>
      <c r="U8" s="33"/>
      <c r="V8" s="543">
        <v>1972</v>
      </c>
      <c r="W8" s="546" t="str">
        <f t="shared" si="0"/>
        <v/>
      </c>
      <c r="X8" s="34" t="str">
        <v/>
      </c>
    </row>
    <row r="9" spans="1:25">
      <c r="A9" s="31" t="s">
        <v>108</v>
      </c>
      <c r="B9" s="32" t="s">
        <v>109</v>
      </c>
      <c r="C9" s="33"/>
      <c r="F9" s="34" t="str">
        <f>Returns_72_15!H$114</f>
        <v/>
      </c>
      <c r="J9" s="31" t="s">
        <v>108</v>
      </c>
      <c r="K9" s="32" t="s">
        <v>109</v>
      </c>
      <c r="L9" s="33"/>
      <c r="O9" s="34" t="str">
        <f>Returns_85_15!H$90</f>
        <v/>
      </c>
      <c r="S9" s="31" t="s">
        <v>108</v>
      </c>
      <c r="T9" s="32" t="str">
        <v>NAESX</v>
      </c>
      <c r="U9" s="33"/>
      <c r="V9" s="543">
        <v>1972</v>
      </c>
      <c r="W9" s="546" t="str">
        <f t="shared" si="0"/>
        <v/>
      </c>
      <c r="X9" s="34" t="str">
        <v/>
      </c>
    </row>
    <row r="10" spans="1:25">
      <c r="A10" s="31" t="s">
        <v>110</v>
      </c>
      <c r="B10" s="32" t="s">
        <v>111</v>
      </c>
      <c r="C10" s="33"/>
      <c r="F10" s="34" t="str">
        <f>Returns_72_15!I$114</f>
        <v/>
      </c>
      <c r="J10" s="31" t="s">
        <v>110</v>
      </c>
      <c r="K10" s="32" t="s">
        <v>111</v>
      </c>
      <c r="L10" s="33"/>
      <c r="O10" s="34" t="str">
        <f>Returns_85_15!I$90</f>
        <v/>
      </c>
      <c r="S10" s="31" t="s">
        <v>110</v>
      </c>
      <c r="T10" s="32" t="str">
        <v>VISGX</v>
      </c>
      <c r="U10" s="33"/>
      <c r="V10" s="543">
        <v>1972</v>
      </c>
      <c r="W10" s="546" t="str">
        <f t="shared" si="0"/>
        <v/>
      </c>
      <c r="X10" s="34" t="str">
        <v/>
      </c>
    </row>
    <row r="11" spans="1:25">
      <c r="A11" s="31" t="s">
        <v>112</v>
      </c>
      <c r="B11" s="32" t="s">
        <v>113</v>
      </c>
      <c r="C11" s="33"/>
      <c r="F11" s="34" t="str">
        <f>Returns_72_15!J$114</f>
        <v/>
      </c>
      <c r="J11" s="31" t="s">
        <v>112</v>
      </c>
      <c r="K11" s="32" t="s">
        <v>113</v>
      </c>
      <c r="L11" s="33"/>
      <c r="O11" s="34" t="str">
        <f>Returns_85_15!J$90</f>
        <v/>
      </c>
      <c r="S11" s="31" t="s">
        <v>112</v>
      </c>
      <c r="T11" s="32" t="str">
        <v>BRSIX</v>
      </c>
      <c r="U11" s="33"/>
      <c r="V11" s="543">
        <v>1972</v>
      </c>
      <c r="W11" s="546" t="str">
        <f t="shared" si="0"/>
        <v/>
      </c>
      <c r="X11" s="34" t="str">
        <v/>
      </c>
    </row>
    <row r="12" spans="1:25">
      <c r="A12" s="31" t="s">
        <v>114</v>
      </c>
      <c r="B12" s="32" t="s">
        <v>115</v>
      </c>
      <c r="C12" s="33"/>
      <c r="F12" s="34" t="str">
        <f>Returns_72_15!K$114</f>
        <v/>
      </c>
      <c r="J12" s="31" t="s">
        <v>114</v>
      </c>
      <c r="K12" s="32" t="s">
        <v>115</v>
      </c>
      <c r="L12" s="33"/>
      <c r="O12" s="34" t="str">
        <f>Returns_85_15!K$90</f>
        <v/>
      </c>
      <c r="S12" s="31" t="s">
        <v>114</v>
      </c>
      <c r="T12" s="32" t="str">
        <v>VGSIX</v>
      </c>
      <c r="U12" s="33"/>
      <c r="V12" s="543">
        <v>1972</v>
      </c>
      <c r="W12" s="546" t="str">
        <f t="shared" si="0"/>
        <v/>
      </c>
      <c r="X12" s="34" t="str">
        <v/>
      </c>
    </row>
    <row r="13" spans="1:25">
      <c r="A13" s="31" t="s">
        <v>116</v>
      </c>
      <c r="B13" s="32" t="s">
        <v>624</v>
      </c>
      <c r="C13" s="33"/>
      <c r="F13" s="34" t="str">
        <f>Returns_72_15!L$114</f>
        <v/>
      </c>
      <c r="J13" s="31" t="s">
        <v>116</v>
      </c>
      <c r="K13" s="32" t="s">
        <v>624</v>
      </c>
      <c r="L13" s="33"/>
      <c r="O13" s="34" t="str">
        <f>Returns_85_15!L$90</f>
        <v/>
      </c>
      <c r="S13" s="31" t="s">
        <v>116</v>
      </c>
      <c r="T13" s="32" t="str">
        <v>VTMGX</v>
      </c>
      <c r="U13" s="33"/>
      <c r="V13" s="543">
        <v>1972</v>
      </c>
      <c r="W13" s="546" t="str">
        <f t="shared" si="0"/>
        <v/>
      </c>
      <c r="X13" s="34" t="str">
        <v/>
      </c>
    </row>
    <row r="14" spans="1:25">
      <c r="A14" s="31" t="s">
        <v>117</v>
      </c>
      <c r="B14" s="32" t="s">
        <v>118</v>
      </c>
      <c r="C14" s="33"/>
      <c r="F14" s="34" t="str">
        <f>Returns_72_15!M$114</f>
        <v/>
      </c>
      <c r="J14" s="31" t="s">
        <v>117</v>
      </c>
      <c r="K14" s="32" t="s">
        <v>118</v>
      </c>
      <c r="L14" s="33"/>
      <c r="O14" s="34" t="str">
        <f>Returns_85_15!M$90</f>
        <v/>
      </c>
      <c r="S14" s="31" t="s">
        <v>117</v>
      </c>
      <c r="T14" s="32" t="str">
        <v>VEIEX</v>
      </c>
      <c r="U14" s="33"/>
      <c r="V14" s="543">
        <v>1972</v>
      </c>
      <c r="W14" s="546" t="str">
        <f t="shared" si="0"/>
        <v/>
      </c>
      <c r="X14" s="34" t="str">
        <v/>
      </c>
    </row>
    <row r="15" spans="1:25">
      <c r="A15" s="31" t="s">
        <v>119</v>
      </c>
      <c r="B15" s="32" t="s">
        <v>120</v>
      </c>
      <c r="C15" s="33">
        <v>0.3</v>
      </c>
      <c r="F15" s="34">
        <f>Returns_72_15!N$114</f>
        <v>0.31480546550765748</v>
      </c>
      <c r="J15" s="31" t="s">
        <v>119</v>
      </c>
      <c r="K15" s="32" t="s">
        <v>120</v>
      </c>
      <c r="L15" s="33"/>
      <c r="O15" s="34" t="str">
        <f>Returns_85_15!N$90</f>
        <v/>
      </c>
      <c r="S15" s="31" t="s">
        <v>119</v>
      </c>
      <c r="T15" s="32" t="str">
        <v>VGTSX</v>
      </c>
      <c r="U15" s="33"/>
      <c r="V15" s="543">
        <v>1972</v>
      </c>
      <c r="W15" s="546" t="str">
        <f t="shared" si="0"/>
        <v/>
      </c>
      <c r="X15" s="34" t="str">
        <v/>
      </c>
    </row>
    <row r="16" spans="1:25">
      <c r="A16" s="31" t="s">
        <v>121</v>
      </c>
      <c r="B16" s="32" t="s">
        <v>122</v>
      </c>
      <c r="C16" s="33"/>
      <c r="F16" s="34" t="str">
        <f>Returns_72_15!O$114</f>
        <v/>
      </c>
      <c r="J16" s="31" t="s">
        <v>121</v>
      </c>
      <c r="K16" s="32" t="s">
        <v>122</v>
      </c>
      <c r="L16" s="33"/>
      <c r="O16" s="34" t="str">
        <f>Returns_85_15!O$90</f>
        <v/>
      </c>
      <c r="S16" s="31" t="s">
        <v>121</v>
      </c>
      <c r="T16" s="32" t="str">
        <v>VPACX</v>
      </c>
      <c r="U16" s="33"/>
      <c r="V16" s="543">
        <v>1972</v>
      </c>
      <c r="W16" s="546" t="str">
        <f t="shared" si="0"/>
        <v/>
      </c>
      <c r="X16" s="34" t="str">
        <v/>
      </c>
    </row>
    <row r="17" spans="1:24">
      <c r="A17" s="31" t="s">
        <v>123</v>
      </c>
      <c r="B17" s="32" t="s">
        <v>124</v>
      </c>
      <c r="C17" s="33"/>
      <c r="F17" s="34" t="str">
        <f>Returns_72_15!P$114</f>
        <v/>
      </c>
      <c r="J17" s="31" t="s">
        <v>123</v>
      </c>
      <c r="K17" s="32" t="s">
        <v>124</v>
      </c>
      <c r="L17" s="33"/>
      <c r="O17" s="34" t="str">
        <f>Returns_85_15!P$90</f>
        <v/>
      </c>
      <c r="S17" s="31" t="s">
        <v>123</v>
      </c>
      <c r="T17" s="32" t="str">
        <v>VEURX</v>
      </c>
      <c r="U17" s="33"/>
      <c r="V17" s="543">
        <v>1972</v>
      </c>
      <c r="W17" s="546" t="str">
        <f t="shared" si="0"/>
        <v/>
      </c>
      <c r="X17" s="34" t="str">
        <v/>
      </c>
    </row>
    <row r="18" spans="1:24">
      <c r="A18" s="31" t="s">
        <v>125</v>
      </c>
      <c r="B18" s="32" t="s">
        <v>126</v>
      </c>
      <c r="C18" s="33"/>
      <c r="F18" s="34" t="str">
        <f>Returns_72_15!Q$114</f>
        <v/>
      </c>
      <c r="J18" s="31" t="s">
        <v>125</v>
      </c>
      <c r="K18" s="32" t="s">
        <v>126</v>
      </c>
      <c r="L18" s="33"/>
      <c r="O18" s="34" t="str">
        <f>Returns_85_15!Q$90</f>
        <v/>
      </c>
      <c r="S18" s="31" t="s">
        <v>125</v>
      </c>
      <c r="T18" s="32" t="str">
        <v>VTRIX</v>
      </c>
      <c r="U18" s="33"/>
      <c r="V18" s="543">
        <v>1972</v>
      </c>
      <c r="W18" s="546" t="str">
        <f t="shared" si="0"/>
        <v/>
      </c>
      <c r="X18" s="34" t="str">
        <v/>
      </c>
    </row>
    <row r="19" spans="1:24">
      <c r="A19" s="31" t="s">
        <v>127</v>
      </c>
      <c r="B19" s="32" t="s">
        <v>128</v>
      </c>
      <c r="C19" s="33"/>
      <c r="F19" s="34" t="str">
        <f>Returns_72_15!R$114</f>
        <v/>
      </c>
      <c r="J19" s="31" t="s">
        <v>127</v>
      </c>
      <c r="K19" s="32" t="s">
        <v>128</v>
      </c>
      <c r="L19" s="33"/>
      <c r="O19" s="34" t="str">
        <f>Returns_85_15!R$90</f>
        <v/>
      </c>
      <c r="S19" s="31" t="s">
        <v>127</v>
      </c>
      <c r="T19" s="32" t="str">
        <v>PCRIX</v>
      </c>
      <c r="U19" s="33"/>
      <c r="V19" s="543">
        <v>1972</v>
      </c>
      <c r="W19" s="546" t="str">
        <f t="shared" si="0"/>
        <v/>
      </c>
      <c r="X19" s="34" t="str">
        <v/>
      </c>
    </row>
    <row r="20" spans="1:24">
      <c r="A20" s="31" t="s">
        <v>129</v>
      </c>
      <c r="B20" s="32" t="s">
        <v>130</v>
      </c>
      <c r="C20" s="33"/>
      <c r="F20" s="34" t="str">
        <f>Returns_72_15!S$114</f>
        <v/>
      </c>
      <c r="J20" s="31" t="s">
        <v>129</v>
      </c>
      <c r="K20" s="32" t="s">
        <v>130</v>
      </c>
      <c r="L20" s="33">
        <v>0.25</v>
      </c>
      <c r="O20" s="34">
        <f>Returns_85_15!S$90</f>
        <v>0.22446928961163273</v>
      </c>
      <c r="S20" s="31" t="s">
        <v>129</v>
      </c>
      <c r="T20" s="32" t="str">
        <v>VUSTX</v>
      </c>
      <c r="U20" s="33"/>
      <c r="V20" s="543">
        <v>1972</v>
      </c>
      <c r="W20" s="546" t="str">
        <f t="shared" si="0"/>
        <v/>
      </c>
      <c r="X20" s="34" t="str">
        <v/>
      </c>
    </row>
    <row r="21" spans="1:24">
      <c r="A21" s="31" t="s">
        <v>131</v>
      </c>
      <c r="B21" s="32" t="s">
        <v>132</v>
      </c>
      <c r="C21" s="33">
        <v>0.2</v>
      </c>
      <c r="F21" s="34">
        <f>Returns_72_15!T$114</f>
        <v>7.1103604853811841E-2</v>
      </c>
      <c r="J21" s="31" t="s">
        <v>131</v>
      </c>
      <c r="K21" s="32" t="s">
        <v>132</v>
      </c>
      <c r="L21" s="33"/>
      <c r="O21" s="34" t="str">
        <f>Returns_85_15!T$90</f>
        <v/>
      </c>
      <c r="S21" s="31" t="s">
        <v>131</v>
      </c>
      <c r="T21" s="32" t="str">
        <v>VFITX</v>
      </c>
      <c r="U21" s="33"/>
      <c r="V21" s="543">
        <v>1871</v>
      </c>
      <c r="W21" s="546" t="str">
        <f t="shared" si="0"/>
        <v/>
      </c>
      <c r="X21" s="34" t="str">
        <v/>
      </c>
    </row>
    <row r="22" spans="1:24">
      <c r="A22" s="31" t="s">
        <v>133</v>
      </c>
      <c r="B22" s="32" t="s">
        <v>134</v>
      </c>
      <c r="C22" s="33"/>
      <c r="F22" s="34" t="str">
        <f>Returns_72_15!U$114</f>
        <v/>
      </c>
      <c r="J22" s="31" t="s">
        <v>133</v>
      </c>
      <c r="K22" s="32" t="s">
        <v>134</v>
      </c>
      <c r="L22" s="33"/>
      <c r="O22" s="34" t="str">
        <f>Returns_85_15!U$90</f>
        <v/>
      </c>
      <c r="S22" s="31" t="s">
        <v>133</v>
      </c>
      <c r="T22" s="32" t="str">
        <v>VBMFX</v>
      </c>
      <c r="U22" s="33"/>
      <c r="V22" s="543">
        <v>1972</v>
      </c>
      <c r="W22" s="546" t="str">
        <f t="shared" si="0"/>
        <v/>
      </c>
      <c r="X22" s="34" t="str">
        <v/>
      </c>
    </row>
    <row r="23" spans="1:24">
      <c r="A23" s="31" t="s">
        <v>135</v>
      </c>
      <c r="B23" s="32" t="s">
        <v>136</v>
      </c>
      <c r="C23" s="33"/>
      <c r="F23" s="34" t="str">
        <f>Returns_72_15!V$114</f>
        <v/>
      </c>
      <c r="J23" s="31" t="s">
        <v>135</v>
      </c>
      <c r="K23" s="32" t="s">
        <v>136</v>
      </c>
      <c r="L23" s="33"/>
      <c r="O23" s="34" t="str">
        <f>Returns_85_15!V$90</f>
        <v/>
      </c>
      <c r="S23" s="31" t="s">
        <v>135</v>
      </c>
      <c r="T23" s="32" t="str">
        <v>VUSXX</v>
      </c>
      <c r="U23" s="33"/>
      <c r="V23" s="543">
        <v>1871</v>
      </c>
      <c r="W23" s="546" t="str">
        <f t="shared" si="0"/>
        <v/>
      </c>
      <c r="X23" s="34" t="str">
        <v/>
      </c>
    </row>
    <row r="24" spans="1:24">
      <c r="A24" s="31" t="s">
        <v>137</v>
      </c>
      <c r="B24" s="32" t="s">
        <v>138</v>
      </c>
      <c r="C24" s="33"/>
      <c r="F24" s="34" t="str">
        <f>Returns_72_15!W$114</f>
        <v/>
      </c>
      <c r="J24" s="31" t="s">
        <v>137</v>
      </c>
      <c r="K24" s="32" t="s">
        <v>138</v>
      </c>
      <c r="L24" s="33">
        <v>0.25</v>
      </c>
      <c r="O24" s="34">
        <f>Returns_85_15!W$90</f>
        <v>0.12542477942782868</v>
      </c>
      <c r="S24" s="31" t="s">
        <v>137</v>
      </c>
      <c r="T24" s="32" t="str">
        <v>VIPSX</v>
      </c>
      <c r="U24" s="33"/>
      <c r="V24" s="543">
        <v>1972</v>
      </c>
      <c r="W24" s="546" t="str">
        <f t="shared" si="0"/>
        <v/>
      </c>
      <c r="X24" s="34" t="str">
        <v/>
      </c>
    </row>
    <row r="25" spans="1:24">
      <c r="A25" s="31" t="s">
        <v>139</v>
      </c>
      <c r="B25" s="32" t="s">
        <v>140</v>
      </c>
      <c r="C25" s="33"/>
      <c r="F25" s="34" t="str">
        <f>Returns_72_15!X$114</f>
        <v/>
      </c>
      <c r="J25" s="31" t="s">
        <v>139</v>
      </c>
      <c r="K25" s="32" t="s">
        <v>140</v>
      </c>
      <c r="L25" s="33"/>
      <c r="O25" s="34" t="str">
        <f>Returns_85_15!X$90</f>
        <v/>
      </c>
      <c r="S25" s="31" t="s">
        <v>139</v>
      </c>
      <c r="T25" s="32" t="str">
        <v>VWELX</v>
      </c>
      <c r="U25" s="33"/>
      <c r="V25" s="543">
        <v>1972</v>
      </c>
      <c r="W25" s="546" t="str">
        <f t="shared" si="0"/>
        <v/>
      </c>
      <c r="X25" s="34" t="str">
        <v/>
      </c>
    </row>
    <row r="26" spans="1:24">
      <c r="A26" s="31" t="s">
        <v>141</v>
      </c>
      <c r="B26" s="32" t="s">
        <v>142</v>
      </c>
      <c r="C26" s="33"/>
      <c r="F26" s="34" t="str">
        <f>Returns_72_15!Y$114</f>
        <v/>
      </c>
      <c r="J26" s="31" t="s">
        <v>141</v>
      </c>
      <c r="K26" s="32" t="s">
        <v>142</v>
      </c>
      <c r="L26" s="33"/>
      <c r="O26" s="34" t="str">
        <f>Returns_85_15!Y$90</f>
        <v/>
      </c>
      <c r="S26" s="31" t="s">
        <v>141</v>
      </c>
      <c r="T26" s="32" t="str">
        <v>VWINX</v>
      </c>
      <c r="U26" s="33"/>
      <c r="V26" s="543">
        <v>1972</v>
      </c>
      <c r="W26" s="546" t="str">
        <f t="shared" si="0"/>
        <v/>
      </c>
      <c r="X26" s="34" t="str">
        <v/>
      </c>
    </row>
    <row r="27" spans="1:24">
      <c r="A27" s="35" t="s">
        <v>143</v>
      </c>
      <c r="B27" s="32" t="s">
        <v>144</v>
      </c>
      <c r="C27" s="33"/>
      <c r="D27" s="36"/>
      <c r="F27" s="34" t="str">
        <f>Returns_72_15!Z$114</f>
        <v/>
      </c>
      <c r="J27" s="37" t="s">
        <v>145</v>
      </c>
      <c r="K27" s="38" t="s">
        <v>146</v>
      </c>
      <c r="L27" s="33"/>
      <c r="O27" s="34" t="str">
        <f>Returns_85_15!Z$90</f>
        <v/>
      </c>
      <c r="S27" s="31" t="s">
        <v>143</v>
      </c>
      <c r="T27" s="32" t="str">
        <v>VWNDX</v>
      </c>
      <c r="U27" s="33"/>
      <c r="V27" s="543">
        <v>1972</v>
      </c>
      <c r="W27" s="546" t="str">
        <f t="shared" si="0"/>
        <v/>
      </c>
      <c r="X27" s="34" t="str">
        <v/>
      </c>
    </row>
    <row r="28" spans="1:24">
      <c r="A28" s="35" t="s">
        <v>147</v>
      </c>
      <c r="B28" s="32" t="s">
        <v>148</v>
      </c>
      <c r="C28" s="33"/>
      <c r="D28" s="36"/>
      <c r="F28" s="34" t="str">
        <f>Returns_72_15!AA$114</f>
        <v/>
      </c>
      <c r="J28" s="37" t="s">
        <v>149</v>
      </c>
      <c r="K28" s="38" t="s">
        <v>150</v>
      </c>
      <c r="L28" s="33"/>
      <c r="O28" s="34" t="str">
        <f>Returns_85_15!AA$90</f>
        <v/>
      </c>
      <c r="S28" s="31" t="s">
        <v>147</v>
      </c>
      <c r="T28" s="32" t="str">
        <v>VFISX</v>
      </c>
      <c r="U28" s="33"/>
      <c r="V28" s="543">
        <v>1972</v>
      </c>
      <c r="W28" s="546" t="str">
        <f t="shared" si="0"/>
        <v/>
      </c>
      <c r="X28" s="34" t="str">
        <v/>
      </c>
    </row>
    <row r="29" spans="1:24">
      <c r="A29" s="39" t="str">
        <f>IF(Data_72_15!AB$1="???","",Data_72_15!AB$1)</f>
        <v>GOLD</v>
      </c>
      <c r="B29" s="40" t="str">
        <f>IF(Data_72_15!AB$2="???","",Data_72_15!AB$2)</f>
        <v>GLD</v>
      </c>
      <c r="C29" s="33"/>
      <c r="D29" s="36"/>
      <c r="F29" s="34" t="str">
        <f>Returns_72_15!AB$114</f>
        <v/>
      </c>
      <c r="J29" s="37" t="s">
        <v>151</v>
      </c>
      <c r="K29" s="38" t="s">
        <v>152</v>
      </c>
      <c r="L29" s="33"/>
      <c r="O29" s="34" t="str">
        <f>Returns_85_15!AB$90</f>
        <v/>
      </c>
      <c r="S29" s="31" t="s">
        <v>281</v>
      </c>
      <c r="T29" s="32" t="str">
        <v>GLD</v>
      </c>
      <c r="U29" s="33"/>
      <c r="V29" s="543">
        <v>1972</v>
      </c>
      <c r="W29" s="546" t="str">
        <f t="shared" si="0"/>
        <v/>
      </c>
      <c r="X29" s="34" t="str">
        <v/>
      </c>
    </row>
    <row r="30" spans="1:24">
      <c r="A30" s="39" t="str">
        <f>IF(Data_72_15!AB$1="???","",Data_72_15!AC$1)</f>
        <v>VG Intl Small</v>
      </c>
      <c r="B30" s="40" t="str">
        <f>IF(Data_72_15!AC$2="???","",Data_72_15!AC$2)</f>
        <v>VFSVX</v>
      </c>
      <c r="C30" s="33"/>
      <c r="D30" s="36"/>
      <c r="F30" s="34" t="str">
        <f>Returns_72_15!AC$114</f>
        <v/>
      </c>
      <c r="J30" s="35" t="s">
        <v>143</v>
      </c>
      <c r="K30" s="32" t="s">
        <v>144</v>
      </c>
      <c r="L30" s="33"/>
      <c r="O30" s="34" t="str">
        <f>Returns_85_15!AC$90</f>
        <v/>
      </c>
      <c r="S30" s="31" t="s">
        <v>447</v>
      </c>
      <c r="T30" s="32" t="str">
        <v>VFSVX</v>
      </c>
      <c r="U30" s="33"/>
      <c r="V30" s="543">
        <v>1972</v>
      </c>
      <c r="W30" s="546" t="str">
        <f t="shared" si="0"/>
        <v/>
      </c>
      <c r="X30" s="34" t="str">
        <v/>
      </c>
    </row>
    <row r="31" spans="1:24">
      <c r="A31" s="41" t="str">
        <f>IF(Data_72_15!AD$1="","",Data_72_15!AD$1)</f>
        <v/>
      </c>
      <c r="B31" s="42" t="str">
        <f>IF(Data_72_15!AD$2="","",Data_72_15!AD$2)</f>
        <v/>
      </c>
      <c r="C31" s="33"/>
      <c r="D31" s="36"/>
      <c r="F31" s="34" t="str">
        <f>Returns_72_15!AD$114</f>
        <v/>
      </c>
      <c r="J31" s="37" t="s">
        <v>153</v>
      </c>
      <c r="K31" s="38" t="s">
        <v>154</v>
      </c>
      <c r="L31" s="33"/>
      <c r="O31" s="34" t="str">
        <f>Returns_85_15!AD$90</f>
        <v/>
      </c>
      <c r="S31" s="31" t="s">
        <v>145</v>
      </c>
      <c r="T31" s="32" t="str">
        <v>VGENX</v>
      </c>
      <c r="U31" s="33"/>
      <c r="V31" s="543">
        <v>1985</v>
      </c>
      <c r="W31" s="546" t="str">
        <f t="shared" si="0"/>
        <v/>
      </c>
      <c r="X31" s="34" t="str">
        <v/>
      </c>
    </row>
    <row r="32" spans="1:24">
      <c r="A32" s="41" t="str">
        <f>IF(Data_72_15!AE$1="","",Data_72_15!AE$1)</f>
        <v/>
      </c>
      <c r="B32" s="42" t="str">
        <f>IF(Data_72_15!AE$2="","",Data_72_15!AE$2)</f>
        <v/>
      </c>
      <c r="C32" s="33"/>
      <c r="D32" s="36"/>
      <c r="F32" s="34" t="str">
        <f>Returns_72_15!AE$114</f>
        <v/>
      </c>
      <c r="J32" s="37" t="s">
        <v>155</v>
      </c>
      <c r="K32" s="38" t="s">
        <v>156</v>
      </c>
      <c r="L32" s="33"/>
      <c r="O32" s="34" t="str">
        <f>Returns_85_15!AE$90</f>
        <v/>
      </c>
      <c r="S32" s="31" t="s">
        <v>149</v>
      </c>
      <c r="T32" s="32" t="str">
        <v>VGHCX</v>
      </c>
      <c r="U32" s="33"/>
      <c r="V32" s="543">
        <v>1985</v>
      </c>
      <c r="W32" s="546" t="str">
        <f t="shared" si="0"/>
        <v/>
      </c>
      <c r="X32" s="34" t="str">
        <v/>
      </c>
    </row>
    <row r="33" spans="1:24">
      <c r="A33" s="41" t="str">
        <f>IF(Data_72_15!AF$1="","",Data_72_15!AF$1)</f>
        <v/>
      </c>
      <c r="B33" s="42" t="str">
        <f>IF(Data_72_15!AF$2="","",Data_72_15!AF$2)</f>
        <v/>
      </c>
      <c r="C33" s="33"/>
      <c r="D33" s="36"/>
      <c r="F33" s="34" t="str">
        <f>Returns_72_15!AF$114</f>
        <v/>
      </c>
      <c r="J33" s="37" t="s">
        <v>157</v>
      </c>
      <c r="K33" s="38" t="s">
        <v>158</v>
      </c>
      <c r="L33" s="33"/>
      <c r="O33" s="34" t="str">
        <f>Returns_85_15!AF$90</f>
        <v/>
      </c>
      <c r="S33" s="31" t="s">
        <v>151</v>
      </c>
      <c r="T33" s="32" t="str">
        <v>VGPMX</v>
      </c>
      <c r="U33" s="33"/>
      <c r="V33" s="543">
        <v>1985</v>
      </c>
      <c r="W33" s="546" t="str">
        <f t="shared" si="0"/>
        <v/>
      </c>
      <c r="X33" s="34" t="str">
        <v/>
      </c>
    </row>
    <row r="34" spans="1:24">
      <c r="A34" s="41" t="str">
        <f>IF(Data_72_15!AG$1="","",Data_72_15!AG$1)</f>
        <v/>
      </c>
      <c r="B34" s="42" t="str">
        <f>IF(Data_72_15!AG$2="","",Data_72_15!AG$2)</f>
        <v/>
      </c>
      <c r="C34" s="33"/>
      <c r="D34" s="36"/>
      <c r="F34" s="34" t="str">
        <f>Returns_72_15!AG$114</f>
        <v/>
      </c>
      <c r="J34" s="37" t="s">
        <v>159</v>
      </c>
      <c r="K34" s="38" t="s">
        <v>160</v>
      </c>
      <c r="L34" s="33"/>
      <c r="O34" s="34" t="str">
        <f>Returns_85_15!AG$90</f>
        <v/>
      </c>
      <c r="S34" s="31" t="s">
        <v>153</v>
      </c>
      <c r="T34" s="32" t="str">
        <v>VWNFX</v>
      </c>
      <c r="U34" s="33"/>
      <c r="V34" s="543">
        <v>1985</v>
      </c>
      <c r="W34" s="546" t="str">
        <f t="shared" si="0"/>
        <v/>
      </c>
      <c r="X34" s="34" t="str">
        <v/>
      </c>
    </row>
    <row r="35" spans="1:24">
      <c r="A35" s="41" t="str">
        <f>IF(Data_72_15!AH$1="","",Data_72_15!AH$1)</f>
        <v/>
      </c>
      <c r="B35" s="42" t="str">
        <f>IF(Data_72_15!AH$2="","",Data_72_15!AH$2)</f>
        <v/>
      </c>
      <c r="C35" s="33"/>
      <c r="D35" s="36"/>
      <c r="F35" s="34" t="str">
        <f>Returns_72_15!AH$114</f>
        <v/>
      </c>
      <c r="J35" s="37" t="s">
        <v>161</v>
      </c>
      <c r="K35" s="38" t="s">
        <v>162</v>
      </c>
      <c r="L35" s="33"/>
      <c r="O35" s="34" t="str">
        <f>Returns_85_15!AH$90</f>
        <v/>
      </c>
      <c r="S35" s="31" t="s">
        <v>155</v>
      </c>
      <c r="T35" s="32" t="str">
        <v>VWSTX</v>
      </c>
      <c r="U35" s="33"/>
      <c r="V35" s="543">
        <v>1985</v>
      </c>
      <c r="W35" s="546" t="str">
        <f t="shared" ref="W35:W66" si="1">IF(AND(U35&gt;0, V35&gt;SYear_O), "ERROR", "")</f>
        <v/>
      </c>
      <c r="X35" s="34" t="str">
        <v/>
      </c>
    </row>
    <row r="36" spans="1:24">
      <c r="A36" s="41" t="str">
        <f>IF(Data_72_15!AI$1="","",Data_72_15!AI$1)</f>
        <v/>
      </c>
      <c r="B36" s="42" t="str">
        <f>IF(Data_72_15!AI$2="","",Data_72_15!AI$2)</f>
        <v/>
      </c>
      <c r="C36" s="33"/>
      <c r="D36" s="36"/>
      <c r="F36" s="34" t="str">
        <f>Returns_72_15!AI$114</f>
        <v/>
      </c>
      <c r="J36" s="35" t="s">
        <v>147</v>
      </c>
      <c r="K36" s="32" t="s">
        <v>148</v>
      </c>
      <c r="L36" s="33"/>
      <c r="O36" s="34" t="str">
        <f>Returns_85_15!AI$90</f>
        <v/>
      </c>
      <c r="S36" s="31" t="s">
        <v>157</v>
      </c>
      <c r="T36" s="32" t="str">
        <v>VWITX</v>
      </c>
      <c r="U36" s="33"/>
      <c r="V36" s="543">
        <v>1985</v>
      </c>
      <c r="W36" s="546" t="str">
        <f t="shared" si="1"/>
        <v/>
      </c>
      <c r="X36" s="34" t="str">
        <v/>
      </c>
    </row>
    <row r="37" spans="1:24">
      <c r="A37" s="41" t="str">
        <f>IF(Data_72_15!AJ$1="","",Data_72_15!AJ$1)</f>
        <v/>
      </c>
      <c r="B37" s="42" t="str">
        <f>IF(Data_72_15!AJ$2="","",Data_72_15!AJ$2)</f>
        <v/>
      </c>
      <c r="C37" s="33"/>
      <c r="D37" s="36"/>
      <c r="F37" s="34" t="str">
        <f>Returns_72_15!AJ$114</f>
        <v/>
      </c>
      <c r="J37" s="37" t="s">
        <v>163</v>
      </c>
      <c r="K37" s="38" t="s">
        <v>164</v>
      </c>
      <c r="L37" s="33"/>
      <c r="O37" s="34" t="str">
        <f>Returns_85_15!AJ$90</f>
        <v/>
      </c>
      <c r="S37" s="31" t="s">
        <v>159</v>
      </c>
      <c r="T37" s="32" t="str">
        <v>VWLTX</v>
      </c>
      <c r="U37" s="33"/>
      <c r="V37" s="543">
        <v>1985</v>
      </c>
      <c r="W37" s="546" t="str">
        <f t="shared" si="1"/>
        <v/>
      </c>
      <c r="X37" s="34" t="str">
        <v/>
      </c>
    </row>
    <row r="38" spans="1:24">
      <c r="A38" s="41" t="str">
        <f>IF(Data_72_15!AK$1="","",Data_72_15!AK$1)</f>
        <v/>
      </c>
      <c r="B38" s="42" t="str">
        <f>IF(Data_72_15!AK$2="","",Data_72_15!AK$2)</f>
        <v/>
      </c>
      <c r="C38" s="33"/>
      <c r="D38" s="36"/>
      <c r="F38" s="34" t="str">
        <f>Returns_72_15!AK$114</f>
        <v/>
      </c>
      <c r="J38" s="37" t="s">
        <v>165</v>
      </c>
      <c r="K38" s="38" t="s">
        <v>166</v>
      </c>
      <c r="L38" s="33"/>
      <c r="O38" s="34" t="str">
        <f>Returns_85_15!AK$90</f>
        <v/>
      </c>
      <c r="S38" s="31" t="s">
        <v>161</v>
      </c>
      <c r="T38" s="32" t="str">
        <v>VWEHX</v>
      </c>
      <c r="U38" s="33"/>
      <c r="V38" s="543">
        <v>1985</v>
      </c>
      <c r="W38" s="546" t="str">
        <f t="shared" si="1"/>
        <v/>
      </c>
      <c r="X38" s="34" t="str">
        <v/>
      </c>
    </row>
    <row r="39" spans="1:24" ht="13" thickBot="1">
      <c r="A39" s="43" t="str">
        <f>IF(Data_72_15!AL$1="","",Data_72_15!AL$1)</f>
        <v/>
      </c>
      <c r="B39" s="44" t="str">
        <f>IF(Data_72_15!AL$2="","",Data_72_15!AL$2)</f>
        <v/>
      </c>
      <c r="C39" s="45"/>
      <c r="D39" s="36"/>
      <c r="F39" s="46" t="str">
        <f>Returns_72_15!AL$114</f>
        <v/>
      </c>
      <c r="J39" s="37" t="s">
        <v>167</v>
      </c>
      <c r="K39" s="38" t="s">
        <v>168</v>
      </c>
      <c r="L39" s="33"/>
      <c r="O39" s="34" t="str">
        <f>Returns_85_15!AL$90</f>
        <v/>
      </c>
      <c r="S39" s="31" t="s">
        <v>163</v>
      </c>
      <c r="T39" s="32" t="str">
        <v>VMGIX</v>
      </c>
      <c r="U39" s="33"/>
      <c r="V39" s="543">
        <v>1985</v>
      </c>
      <c r="W39" s="546" t="str">
        <f t="shared" si="1"/>
        <v/>
      </c>
      <c r="X39" s="34" t="str">
        <v/>
      </c>
    </row>
    <row r="40" spans="1:24">
      <c r="A40" s="47"/>
      <c r="B40" s="48"/>
      <c r="C40" s="49">
        <f>SUM(C3:C39)</f>
        <v>1</v>
      </c>
      <c r="D40" s="470" t="str">
        <f>IF(C40&lt;&gt;100%,"ERROR","")</f>
        <v/>
      </c>
      <c r="F40" s="49">
        <f>SUM(F3:F39)</f>
        <v>1</v>
      </c>
      <c r="G40" s="470" t="str">
        <f>IF(F40&lt;&gt;100%,"ERROR","")</f>
        <v/>
      </c>
      <c r="J40" s="50" t="str">
        <f>Data_85_15!AM$1</f>
        <v>Global Bond Fund</v>
      </c>
      <c r="K40" s="51" t="str">
        <f>IF(Data_85_15!AM$2="???","",Data_85_15!AM$2)</f>
        <v>PIGLX</v>
      </c>
      <c r="L40" s="33"/>
      <c r="O40" s="34" t="str">
        <f>Returns_85_15!AM$90</f>
        <v/>
      </c>
      <c r="S40" s="31" t="s">
        <v>165</v>
      </c>
      <c r="T40" s="32" t="str">
        <v>VMVIX</v>
      </c>
      <c r="U40" s="33"/>
      <c r="V40" s="543">
        <v>1985</v>
      </c>
      <c r="W40" s="546" t="str">
        <f t="shared" si="1"/>
        <v/>
      </c>
      <c r="X40" s="34" t="str">
        <v/>
      </c>
    </row>
    <row r="41" spans="1:24">
      <c r="J41" s="50" t="str">
        <f>IF(Data_85_15!AN$1="???","",Data_85_15!AN$1)</f>
        <v>ST Investment Grade</v>
      </c>
      <c r="K41" s="51" t="str">
        <f>IF(Data_85_15!AN$2="???","",Data_85_15!AN$2)</f>
        <v>VFSTX</v>
      </c>
      <c r="L41" s="33"/>
      <c r="O41" s="34" t="str">
        <f>Returns_85_15!AN$90</f>
        <v/>
      </c>
      <c r="S41" s="31" t="s">
        <v>167</v>
      </c>
      <c r="T41" s="32" t="str">
        <v>VEXMX</v>
      </c>
      <c r="U41" s="33"/>
      <c r="V41" s="543">
        <v>1985</v>
      </c>
      <c r="W41" s="546" t="str">
        <f t="shared" si="1"/>
        <v/>
      </c>
      <c r="X41" s="34" t="str">
        <v/>
      </c>
    </row>
    <row r="42" spans="1:24">
      <c r="C42" s="421"/>
      <c r="J42" s="39" t="str">
        <f>IF(Data_85_15!AO$1="???","",Data_85_15!AO$1)</f>
        <v>GOLD</v>
      </c>
      <c r="K42" s="40" t="str">
        <f>IF(Data_85_15!AO$2="???","",Data_85_15!AO$2)</f>
        <v>GLD</v>
      </c>
      <c r="L42" s="33">
        <v>0.25</v>
      </c>
      <c r="O42" s="34">
        <f>Returns_85_15!AO$90</f>
        <v>4.7729831752170535E-2</v>
      </c>
      <c r="S42" s="31" t="s">
        <v>277</v>
      </c>
      <c r="T42" s="32" t="str">
        <v>PIGLX</v>
      </c>
      <c r="U42" s="33"/>
      <c r="V42" s="543">
        <v>1985</v>
      </c>
      <c r="W42" s="546" t="str">
        <f t="shared" si="1"/>
        <v/>
      </c>
      <c r="X42" s="34" t="str">
        <v/>
      </c>
    </row>
    <row r="43" spans="1:24">
      <c r="A43" s="53"/>
      <c r="B43" s="54"/>
      <c r="C43" s="54"/>
      <c r="D43" s="47"/>
      <c r="J43" s="39" t="str">
        <f>IF(Data_85_15!AP$1="???","",Data_85_15!AP$1)</f>
        <v>VG Intl Small</v>
      </c>
      <c r="K43" s="40" t="str">
        <f>IF(Data_85_15!AP$2="???","",Data_85_15!AP$2)</f>
        <v>VFSVX</v>
      </c>
      <c r="L43" s="33"/>
      <c r="O43" s="34" t="str">
        <f>Returns_85_15!AP$90</f>
        <v/>
      </c>
      <c r="S43" s="31" t="s">
        <v>279</v>
      </c>
      <c r="T43" s="32" t="str">
        <v>VFSTX</v>
      </c>
      <c r="U43" s="33"/>
      <c r="V43" s="543">
        <v>1985</v>
      </c>
      <c r="W43" s="546" t="str">
        <f t="shared" si="1"/>
        <v/>
      </c>
      <c r="X43" s="34" t="str">
        <v/>
      </c>
    </row>
    <row r="44" spans="1:24">
      <c r="A44" s="53"/>
      <c r="B44" s="54"/>
      <c r="C44" s="54"/>
      <c r="D44" s="47"/>
      <c r="J44" s="41" t="str">
        <f>IF(Data_85_15!AQ$1="","",Data_85_15!AQ$1)</f>
        <v/>
      </c>
      <c r="K44" s="42" t="str">
        <f>IF(Data_85_15!AQ$2="","",Data_85_15!AQ$2)</f>
        <v/>
      </c>
      <c r="L44" s="33"/>
      <c r="O44" s="34" t="str">
        <f>Returns_85_15!AQ$90</f>
        <v/>
      </c>
      <c r="S44" s="31"/>
      <c r="T44" s="32" t="str">
        <v/>
      </c>
      <c r="U44" s="33"/>
      <c r="V44" s="543" t="str">
        <v/>
      </c>
      <c r="W44" s="546" t="str">
        <f t="shared" si="1"/>
        <v/>
      </c>
      <c r="X44" s="34" t="str">
        <v/>
      </c>
    </row>
    <row r="45" spans="1:24">
      <c r="A45" s="53"/>
      <c r="B45" s="54"/>
      <c r="C45" s="54"/>
      <c r="D45" s="47"/>
      <c r="J45" s="41" t="str">
        <f>IF(Data_85_15!AR$1="","",Data_85_15!AR$1)</f>
        <v/>
      </c>
      <c r="K45" s="42" t="str">
        <f>IF(Data_85_15!AR$2="","",Data_85_15!AR$2)</f>
        <v/>
      </c>
      <c r="L45" s="33"/>
      <c r="O45" s="34" t="str">
        <f>Returns_85_15!AR$90</f>
        <v/>
      </c>
      <c r="S45" s="31"/>
      <c r="T45" s="32" t="str">
        <v/>
      </c>
      <c r="U45" s="33"/>
      <c r="V45" s="543" t="str">
        <v/>
      </c>
      <c r="W45" s="546" t="str">
        <f t="shared" si="1"/>
        <v/>
      </c>
      <c r="X45" s="34" t="str">
        <v/>
      </c>
    </row>
    <row r="46" spans="1:24">
      <c r="A46" s="53"/>
      <c r="B46" s="54"/>
      <c r="C46" s="54"/>
      <c r="D46" s="47"/>
      <c r="J46" s="41" t="str">
        <f>IF(Data_85_15!AS$1="","",Data_85_15!AS$1)</f>
        <v/>
      </c>
      <c r="K46" s="42" t="str">
        <f>IF(Data_85_15!AS$2="","",Data_85_15!AS$2)</f>
        <v/>
      </c>
      <c r="L46" s="33"/>
      <c r="O46" s="34" t="str">
        <f>Returns_85_15!AS$90</f>
        <v/>
      </c>
      <c r="S46" s="31"/>
      <c r="T46" s="32" t="str">
        <v/>
      </c>
      <c r="U46" s="33"/>
      <c r="V46" s="543" t="str">
        <v/>
      </c>
      <c r="W46" s="546" t="str">
        <f t="shared" si="1"/>
        <v/>
      </c>
      <c r="X46" s="34" t="str">
        <v/>
      </c>
    </row>
    <row r="47" spans="1:24">
      <c r="A47" s="53"/>
      <c r="B47" s="54"/>
      <c r="C47" s="54"/>
      <c r="D47" s="47"/>
      <c r="J47" s="41" t="str">
        <f>IF(Data_85_15!AT$1="","",Data_85_15!AT$1)</f>
        <v/>
      </c>
      <c r="K47" s="42" t="str">
        <f>IF(Data_85_15!AT$2="","",Data_85_15!AT$2)</f>
        <v/>
      </c>
      <c r="L47" s="33"/>
      <c r="O47" s="34" t="str">
        <f>Returns_85_15!AT$90</f>
        <v/>
      </c>
      <c r="S47" s="31"/>
      <c r="T47" s="32" t="str">
        <v/>
      </c>
      <c r="U47" s="33"/>
      <c r="V47" s="543" t="str">
        <v/>
      </c>
      <c r="W47" s="546" t="str">
        <f t="shared" si="1"/>
        <v/>
      </c>
      <c r="X47" s="34" t="str">
        <v/>
      </c>
    </row>
    <row r="48" spans="1:24">
      <c r="A48" s="53"/>
      <c r="B48" s="54"/>
      <c r="C48" s="54"/>
      <c r="D48" s="47"/>
      <c r="J48" s="41" t="str">
        <f>IF(Data_85_15!AU$1="","",Data_85_15!AU$1)</f>
        <v/>
      </c>
      <c r="K48" s="42" t="str">
        <f>IF(Data_85_15!AU$2="","",Data_85_15!AU$2)</f>
        <v/>
      </c>
      <c r="L48" s="33"/>
      <c r="O48" s="34" t="str">
        <f>Returns_85_15!AU$90</f>
        <v/>
      </c>
      <c r="S48" s="31"/>
      <c r="T48" s="32" t="str">
        <v/>
      </c>
      <c r="U48" s="33"/>
      <c r="V48" s="543" t="str">
        <v/>
      </c>
      <c r="W48" s="546" t="str">
        <f t="shared" si="1"/>
        <v/>
      </c>
      <c r="X48" s="34" t="str">
        <v/>
      </c>
    </row>
    <row r="49" spans="1:24">
      <c r="A49" s="53"/>
      <c r="B49" s="54"/>
      <c r="C49" s="54"/>
      <c r="D49" s="47"/>
      <c r="J49" s="41" t="str">
        <f>IF(Data_85_15!AV$1="","",Data_85_15!AV$1)</f>
        <v/>
      </c>
      <c r="K49" s="42" t="str">
        <f>IF(Data_85_15!AV$2="","",Data_85_15!AV$2)</f>
        <v/>
      </c>
      <c r="L49" s="33"/>
      <c r="O49" s="34" t="str">
        <f>Returns_85_15!AV$90</f>
        <v/>
      </c>
      <c r="S49" s="31"/>
      <c r="T49" s="32" t="str">
        <v/>
      </c>
      <c r="U49" s="33"/>
      <c r="V49" s="543" t="str">
        <v/>
      </c>
      <c r="W49" s="546" t="str">
        <f t="shared" si="1"/>
        <v/>
      </c>
      <c r="X49" s="34" t="str">
        <v/>
      </c>
    </row>
    <row r="50" spans="1:24">
      <c r="A50" s="53"/>
      <c r="B50" s="54"/>
      <c r="C50" s="54"/>
      <c r="D50" s="47"/>
      <c r="J50" s="41" t="str">
        <f>IF(Data_85_15!AW$1="","",Data_85_15!AW$1)</f>
        <v/>
      </c>
      <c r="K50" s="42" t="str">
        <f>IF(Data_85_15!AW$2="","",Data_85_15!AW$2)</f>
        <v/>
      </c>
      <c r="L50" s="33"/>
      <c r="O50" s="34" t="str">
        <f>Returns_85_15!AW$90</f>
        <v/>
      </c>
      <c r="S50" s="31"/>
      <c r="T50" s="32" t="str">
        <v/>
      </c>
      <c r="U50" s="33"/>
      <c r="V50" s="543" t="str">
        <v/>
      </c>
      <c r="W50" s="546" t="str">
        <f t="shared" si="1"/>
        <v/>
      </c>
      <c r="X50" s="34" t="str">
        <v/>
      </c>
    </row>
    <row r="51" spans="1:24">
      <c r="A51" s="53"/>
      <c r="B51" s="54"/>
      <c r="C51" s="54"/>
      <c r="D51" s="47"/>
      <c r="J51" s="41" t="str">
        <f>IF(Data_85_15!AX$1="","",Data_85_15!AX$1)</f>
        <v/>
      </c>
      <c r="K51" s="42" t="str">
        <f>IF(Data_85_15!AX$2="","",Data_85_15!AX$2)</f>
        <v/>
      </c>
      <c r="L51" s="33"/>
      <c r="O51" s="34" t="str">
        <f>Returns_85_15!AX$90</f>
        <v/>
      </c>
      <c r="S51" s="31"/>
      <c r="T51" s="32" t="str">
        <v/>
      </c>
      <c r="U51" s="33"/>
      <c r="V51" s="543" t="str">
        <v/>
      </c>
      <c r="W51" s="546" t="str">
        <f t="shared" si="1"/>
        <v/>
      </c>
      <c r="X51" s="34" t="str">
        <v/>
      </c>
    </row>
    <row r="52" spans="1:24" ht="13" thickBot="1">
      <c r="A52" s="53"/>
      <c r="B52" s="54"/>
      <c r="C52" s="54"/>
      <c r="D52" s="47"/>
      <c r="J52" s="43" t="str">
        <f>IF(Data_85_15!AY$1="","",Data_85_15!AY$1)</f>
        <v/>
      </c>
      <c r="K52" s="44" t="str">
        <f>IF(Data_85_15!AY$2="","",Data_85_15!AY$2)</f>
        <v/>
      </c>
      <c r="L52" s="55"/>
      <c r="O52" s="56" t="str">
        <f>Returns_85_15!AY$90</f>
        <v/>
      </c>
      <c r="S52" s="31"/>
      <c r="T52" s="32" t="str">
        <v/>
      </c>
      <c r="U52" s="33"/>
      <c r="V52" s="543" t="str">
        <v/>
      </c>
      <c r="W52" s="546" t="str">
        <f t="shared" si="1"/>
        <v/>
      </c>
      <c r="X52" s="34" t="str">
        <v/>
      </c>
    </row>
    <row r="53" spans="1:24">
      <c r="A53" s="53"/>
      <c r="B53" s="54"/>
      <c r="C53" s="54"/>
      <c r="D53" s="47"/>
      <c r="J53" s="53"/>
      <c r="K53" s="53"/>
      <c r="L53" s="49">
        <f>SUM(L3:L52)</f>
        <v>1</v>
      </c>
      <c r="M53" s="470" t="str">
        <f>IF(L53&lt;&gt;100%,"ERROR","")</f>
        <v/>
      </c>
      <c r="O53" s="49">
        <f>SUM(O3:O52)</f>
        <v>1</v>
      </c>
      <c r="P53" s="470" t="str">
        <f>IF(O53&lt;&gt;100%,"ERROR","")</f>
        <v/>
      </c>
      <c r="S53" s="31"/>
      <c r="T53" s="32" t="str">
        <v/>
      </c>
      <c r="U53" s="33"/>
      <c r="V53" s="543" t="str">
        <v/>
      </c>
      <c r="W53" s="546" t="str">
        <f t="shared" si="1"/>
        <v/>
      </c>
      <c r="X53" s="34" t="str">
        <v/>
      </c>
    </row>
    <row r="54" spans="1:24">
      <c r="A54" s="53"/>
      <c r="B54" s="54"/>
      <c r="C54" s="54"/>
      <c r="D54" s="47"/>
      <c r="J54" s="53"/>
      <c r="K54" s="53"/>
      <c r="L54" s="49"/>
      <c r="M54" s="471"/>
      <c r="O54" s="49"/>
      <c r="S54" s="31"/>
      <c r="T54" s="32" t="str">
        <v/>
      </c>
      <c r="U54" s="33"/>
      <c r="V54" s="543" t="str">
        <v/>
      </c>
      <c r="W54" s="546" t="str">
        <f t="shared" si="1"/>
        <v/>
      </c>
      <c r="X54" s="34" t="str">
        <v/>
      </c>
    </row>
    <row r="55" spans="1:24">
      <c r="A55" s="53"/>
      <c r="B55" s="54"/>
      <c r="C55" s="54"/>
      <c r="D55" s="47"/>
      <c r="J55" s="53"/>
      <c r="K55" s="53"/>
      <c r="L55" s="49"/>
      <c r="M55" s="471"/>
      <c r="O55" s="49"/>
      <c r="S55" s="31"/>
      <c r="T55" s="32" t="str">
        <v/>
      </c>
      <c r="U55" s="33"/>
      <c r="V55" s="543" t="str">
        <v/>
      </c>
      <c r="W55" s="546" t="str">
        <f t="shared" si="1"/>
        <v/>
      </c>
      <c r="X55" s="34" t="str">
        <v/>
      </c>
    </row>
    <row r="56" spans="1:24">
      <c r="A56" s="53"/>
      <c r="B56" s="54"/>
      <c r="C56" s="54"/>
      <c r="D56" s="47"/>
      <c r="J56" s="53"/>
      <c r="K56" s="53"/>
      <c r="L56" s="49"/>
      <c r="M56" s="471"/>
      <c r="O56" s="49"/>
      <c r="S56" s="31"/>
      <c r="T56" s="32" t="str">
        <v/>
      </c>
      <c r="U56" s="33"/>
      <c r="V56" s="543" t="str">
        <v/>
      </c>
      <c r="W56" s="546" t="str">
        <f t="shared" si="1"/>
        <v/>
      </c>
      <c r="X56" s="34" t="str">
        <v/>
      </c>
    </row>
    <row r="57" spans="1:24">
      <c r="A57" s="53"/>
      <c r="B57" s="54"/>
      <c r="C57" s="54"/>
      <c r="D57" s="47"/>
      <c r="J57" s="53"/>
      <c r="K57" s="53"/>
      <c r="L57" s="49"/>
      <c r="M57" s="471"/>
      <c r="O57" s="49"/>
      <c r="S57" s="31"/>
      <c r="T57" s="32" t="str">
        <v/>
      </c>
      <c r="U57" s="33"/>
      <c r="V57" s="543" t="str">
        <v/>
      </c>
      <c r="W57" s="546" t="str">
        <f t="shared" si="1"/>
        <v/>
      </c>
      <c r="X57" s="34" t="str">
        <v/>
      </c>
    </row>
    <row r="58" spans="1:24">
      <c r="A58" s="53"/>
      <c r="B58" s="54"/>
      <c r="C58" s="54"/>
      <c r="D58" s="47"/>
      <c r="J58" s="53"/>
      <c r="K58" s="53"/>
      <c r="L58" s="49"/>
      <c r="M58" s="471"/>
      <c r="O58" s="49"/>
      <c r="S58" s="31"/>
      <c r="T58" s="32" t="str">
        <v/>
      </c>
      <c r="U58" s="33"/>
      <c r="V58" s="543" t="str">
        <v/>
      </c>
      <c r="W58" s="546" t="str">
        <f t="shared" si="1"/>
        <v/>
      </c>
      <c r="X58" s="34" t="str">
        <v/>
      </c>
    </row>
    <row r="59" spans="1:24">
      <c r="A59" s="53"/>
      <c r="B59" s="54"/>
      <c r="C59" s="54"/>
      <c r="D59" s="47"/>
      <c r="J59" s="53"/>
      <c r="K59" s="53"/>
      <c r="L59" s="49"/>
      <c r="M59" s="471"/>
      <c r="O59" s="49"/>
      <c r="S59" s="31"/>
      <c r="T59" s="32" t="str">
        <v/>
      </c>
      <c r="U59" s="33"/>
      <c r="V59" s="543" t="str">
        <v/>
      </c>
      <c r="W59" s="546" t="str">
        <f t="shared" si="1"/>
        <v/>
      </c>
      <c r="X59" s="34" t="str">
        <v/>
      </c>
    </row>
    <row r="60" spans="1:24">
      <c r="A60" s="53"/>
      <c r="B60" s="54"/>
      <c r="C60" s="54"/>
      <c r="D60" s="47"/>
      <c r="J60" s="53"/>
      <c r="K60" s="53"/>
      <c r="L60" s="49"/>
      <c r="M60" s="471"/>
      <c r="O60" s="49"/>
      <c r="S60" s="31"/>
      <c r="T60" s="32" t="str">
        <v/>
      </c>
      <c r="U60" s="33"/>
      <c r="V60" s="543" t="str">
        <v/>
      </c>
      <c r="W60" s="546" t="str">
        <f t="shared" si="1"/>
        <v/>
      </c>
      <c r="X60" s="34" t="str">
        <v/>
      </c>
    </row>
    <row r="61" spans="1:24">
      <c r="A61" s="53"/>
      <c r="B61" s="54"/>
      <c r="C61" s="54"/>
      <c r="D61" s="47"/>
      <c r="J61" s="53"/>
      <c r="K61" s="53"/>
      <c r="L61" s="49"/>
      <c r="M61" s="471"/>
      <c r="O61" s="49"/>
      <c r="S61" s="31"/>
      <c r="T61" s="32" t="str">
        <v/>
      </c>
      <c r="U61" s="33"/>
      <c r="V61" s="543" t="str">
        <v/>
      </c>
      <c r="W61" s="546" t="str">
        <f t="shared" si="1"/>
        <v/>
      </c>
      <c r="X61" s="34" t="str">
        <v/>
      </c>
    </row>
    <row r="62" spans="1:24">
      <c r="A62" s="53"/>
      <c r="B62" s="54"/>
      <c r="C62" s="54"/>
      <c r="D62" s="47"/>
      <c r="J62" s="53"/>
      <c r="K62" s="53"/>
      <c r="L62" s="49"/>
      <c r="M62" s="471"/>
      <c r="O62" s="49"/>
      <c r="S62" s="31"/>
      <c r="T62" s="32" t="str">
        <v/>
      </c>
      <c r="U62" s="33"/>
      <c r="V62" s="543" t="str">
        <v/>
      </c>
      <c r="W62" s="546" t="str">
        <f t="shared" si="1"/>
        <v/>
      </c>
      <c r="X62" s="34" t="str">
        <v/>
      </c>
    </row>
    <row r="63" spans="1:24">
      <c r="A63" s="53"/>
      <c r="B63" s="54"/>
      <c r="C63" s="54"/>
      <c r="D63" s="47"/>
      <c r="J63" s="53"/>
      <c r="K63" s="53"/>
      <c r="L63" s="49"/>
      <c r="M63" s="471"/>
      <c r="O63" s="49"/>
      <c r="S63" s="31"/>
      <c r="T63" s="32" t="str">
        <v/>
      </c>
      <c r="U63" s="33"/>
      <c r="V63" s="543" t="str">
        <v/>
      </c>
      <c r="W63" s="546" t="str">
        <f t="shared" si="1"/>
        <v/>
      </c>
      <c r="X63" s="34" t="str">
        <v/>
      </c>
    </row>
    <row r="64" spans="1:24">
      <c r="A64" s="53"/>
      <c r="B64" s="54"/>
      <c r="C64" s="54"/>
      <c r="D64" s="47"/>
      <c r="J64" s="53"/>
      <c r="K64" s="53"/>
      <c r="L64" s="49"/>
      <c r="M64" s="471"/>
      <c r="O64" s="49"/>
      <c r="S64" s="31"/>
      <c r="T64" s="32" t="str">
        <v/>
      </c>
      <c r="U64" s="33"/>
      <c r="V64" s="543" t="str">
        <v/>
      </c>
      <c r="W64" s="546" t="str">
        <f t="shared" si="1"/>
        <v/>
      </c>
      <c r="X64" s="34" t="str">
        <v/>
      </c>
    </row>
    <row r="65" spans="1:25">
      <c r="A65" s="53"/>
      <c r="B65" s="54"/>
      <c r="C65" s="54"/>
      <c r="D65" s="47"/>
      <c r="J65" s="53"/>
      <c r="K65" s="53"/>
      <c r="L65" s="49"/>
      <c r="M65" s="471"/>
      <c r="O65" s="49"/>
      <c r="S65" s="31"/>
      <c r="T65" s="32" t="str">
        <v/>
      </c>
      <c r="U65" s="33"/>
      <c r="V65" s="543" t="str">
        <v/>
      </c>
      <c r="W65" s="546" t="str">
        <f t="shared" si="1"/>
        <v/>
      </c>
      <c r="X65" s="34" t="str">
        <v/>
      </c>
    </row>
    <row r="66" spans="1:25">
      <c r="A66" s="53"/>
      <c r="B66" s="54"/>
      <c r="C66" s="54"/>
      <c r="D66" s="47"/>
      <c r="J66" s="53"/>
      <c r="K66" s="53"/>
      <c r="L66" s="49"/>
      <c r="M66" s="471"/>
      <c r="O66" s="49"/>
      <c r="S66" s="31"/>
      <c r="T66" s="32" t="str">
        <v/>
      </c>
      <c r="U66" s="33"/>
      <c r="V66" s="543" t="str">
        <v/>
      </c>
      <c r="W66" s="546" t="str">
        <f t="shared" si="1"/>
        <v/>
      </c>
      <c r="X66" s="34" t="str">
        <v/>
      </c>
    </row>
    <row r="67" spans="1:25">
      <c r="A67" s="53"/>
      <c r="B67" s="54"/>
      <c r="C67" s="54"/>
      <c r="D67" s="47"/>
      <c r="J67" s="53"/>
      <c r="K67" s="53"/>
      <c r="L67" s="49"/>
      <c r="M67" s="471"/>
      <c r="O67" s="49"/>
      <c r="S67" s="31"/>
      <c r="T67" s="32" t="str">
        <v/>
      </c>
      <c r="U67" s="33"/>
      <c r="V67" s="543" t="str">
        <v/>
      </c>
      <c r="W67" s="546" t="str">
        <f t="shared" ref="W67:W79" si="2">IF(AND(U67&gt;0, V67&gt;SYear_O), "ERROR", "")</f>
        <v/>
      </c>
      <c r="X67" s="34" t="str">
        <v/>
      </c>
    </row>
    <row r="68" spans="1:25">
      <c r="A68" s="53"/>
      <c r="B68" s="54"/>
      <c r="C68" s="54"/>
      <c r="D68" s="47"/>
      <c r="J68" s="53"/>
      <c r="K68" s="53"/>
      <c r="L68" s="49"/>
      <c r="M68" s="471"/>
      <c r="O68" s="49"/>
      <c r="S68" s="31"/>
      <c r="T68" s="32" t="str">
        <v/>
      </c>
      <c r="U68" s="33"/>
      <c r="V68" s="543" t="str">
        <v/>
      </c>
      <c r="W68" s="546" t="str">
        <f t="shared" si="2"/>
        <v/>
      </c>
      <c r="X68" s="34" t="str">
        <v/>
      </c>
    </row>
    <row r="69" spans="1:25">
      <c r="A69" s="53"/>
      <c r="B69" s="54"/>
      <c r="C69" s="54"/>
      <c r="D69" s="47"/>
      <c r="J69" s="53"/>
      <c r="K69" s="53"/>
      <c r="L69" s="49"/>
      <c r="M69" s="471"/>
      <c r="O69" s="49"/>
      <c r="S69" s="31"/>
      <c r="T69" s="32" t="str">
        <v/>
      </c>
      <c r="U69" s="33"/>
      <c r="V69" s="543" t="str">
        <v/>
      </c>
      <c r="W69" s="546" t="str">
        <f t="shared" si="2"/>
        <v/>
      </c>
      <c r="X69" s="34" t="str">
        <v/>
      </c>
    </row>
    <row r="70" spans="1:25">
      <c r="A70" s="53"/>
      <c r="B70" s="54"/>
      <c r="C70" s="54"/>
      <c r="D70" s="47"/>
      <c r="J70" s="53"/>
      <c r="K70" s="53"/>
      <c r="L70" s="49"/>
      <c r="M70" s="471"/>
      <c r="O70" s="49"/>
      <c r="S70" s="31"/>
      <c r="T70" s="32" t="str">
        <v/>
      </c>
      <c r="U70" s="33"/>
      <c r="V70" s="543" t="str">
        <v/>
      </c>
      <c r="W70" s="546" t="str">
        <f t="shared" si="2"/>
        <v/>
      </c>
      <c r="X70" s="34" t="str">
        <v/>
      </c>
    </row>
    <row r="71" spans="1:25">
      <c r="A71" s="53"/>
      <c r="B71" s="54"/>
      <c r="C71" s="54"/>
      <c r="D71" s="47"/>
      <c r="J71" s="53"/>
      <c r="K71" s="53"/>
      <c r="L71" s="49"/>
      <c r="M71" s="471"/>
      <c r="O71" s="49"/>
      <c r="S71" s="31"/>
      <c r="T71" s="32" t="str">
        <v/>
      </c>
      <c r="U71" s="33"/>
      <c r="V71" s="543" t="str">
        <v/>
      </c>
      <c r="W71" s="546" t="str">
        <f t="shared" si="2"/>
        <v/>
      </c>
      <c r="X71" s="34" t="str">
        <v/>
      </c>
    </row>
    <row r="72" spans="1:25">
      <c r="A72" s="53"/>
      <c r="B72" s="54"/>
      <c r="C72" s="54"/>
      <c r="D72" s="47"/>
      <c r="J72" s="53"/>
      <c r="K72" s="53"/>
      <c r="L72" s="49"/>
      <c r="M72" s="471"/>
      <c r="O72" s="49"/>
      <c r="S72" s="31"/>
      <c r="T72" s="32" t="str">
        <v/>
      </c>
      <c r="U72" s="33"/>
      <c r="V72" s="543" t="str">
        <v/>
      </c>
      <c r="W72" s="546" t="str">
        <f t="shared" si="2"/>
        <v/>
      </c>
      <c r="X72" s="34" t="str">
        <v/>
      </c>
    </row>
    <row r="73" spans="1:25">
      <c r="A73" s="53"/>
      <c r="B73" s="54"/>
      <c r="C73" s="54"/>
      <c r="D73" s="47"/>
      <c r="J73" s="53"/>
      <c r="K73" s="53"/>
      <c r="L73" s="49"/>
      <c r="M73" s="471"/>
      <c r="O73" s="49"/>
      <c r="S73" s="31"/>
      <c r="T73" s="32" t="str">
        <v/>
      </c>
      <c r="U73" s="33"/>
      <c r="V73" s="543" t="str">
        <v/>
      </c>
      <c r="W73" s="546" t="str">
        <f t="shared" si="2"/>
        <v/>
      </c>
      <c r="X73" s="34" t="str">
        <v/>
      </c>
    </row>
    <row r="74" spans="1:25">
      <c r="A74" s="53"/>
      <c r="B74" s="54"/>
      <c r="C74" s="54"/>
      <c r="D74" s="47"/>
      <c r="J74" s="53"/>
      <c r="K74" s="53"/>
      <c r="L74" s="49"/>
      <c r="M74" s="471"/>
      <c r="O74" s="49"/>
      <c r="S74" s="31"/>
      <c r="T74" s="32" t="str">
        <v/>
      </c>
      <c r="U74" s="33"/>
      <c r="V74" s="543" t="str">
        <v/>
      </c>
      <c r="W74" s="546" t="str">
        <f t="shared" si="2"/>
        <v/>
      </c>
      <c r="X74" s="34" t="str">
        <v/>
      </c>
    </row>
    <row r="75" spans="1:25">
      <c r="A75" s="53"/>
      <c r="B75" s="54"/>
      <c r="C75" s="54"/>
      <c r="D75" s="47"/>
      <c r="J75" s="53"/>
      <c r="K75" s="53"/>
      <c r="L75" s="49"/>
      <c r="M75" s="471"/>
      <c r="O75" s="49"/>
      <c r="S75" s="31"/>
      <c r="T75" s="32" t="str">
        <v/>
      </c>
      <c r="U75" s="33"/>
      <c r="V75" s="543" t="str">
        <v/>
      </c>
      <c r="W75" s="546" t="str">
        <f t="shared" si="2"/>
        <v/>
      </c>
      <c r="X75" s="34" t="str">
        <v/>
      </c>
    </row>
    <row r="76" spans="1:25">
      <c r="A76" s="53"/>
      <c r="B76" s="54"/>
      <c r="C76" s="54"/>
      <c r="D76" s="47"/>
      <c r="J76" s="53"/>
      <c r="K76" s="53"/>
      <c r="L76" s="49"/>
      <c r="M76" s="471"/>
      <c r="O76" s="49"/>
      <c r="S76" s="31"/>
      <c r="T76" s="32" t="str">
        <v/>
      </c>
      <c r="U76" s="33"/>
      <c r="V76" s="543" t="str">
        <v/>
      </c>
      <c r="W76" s="546" t="str">
        <f t="shared" si="2"/>
        <v/>
      </c>
      <c r="X76" s="34" t="str">
        <v/>
      </c>
    </row>
    <row r="77" spans="1:25">
      <c r="A77" s="53"/>
      <c r="B77" s="54"/>
      <c r="C77" s="54"/>
      <c r="D77" s="47"/>
      <c r="J77" s="53"/>
      <c r="K77" s="53"/>
      <c r="L77" s="49"/>
      <c r="M77" s="471"/>
      <c r="O77" s="49"/>
      <c r="S77" s="31" t="s">
        <v>757</v>
      </c>
      <c r="T77" s="32" t="str">
        <v>S&amp;P500(h)</v>
      </c>
      <c r="U77" s="33">
        <v>0.6</v>
      </c>
      <c r="V77" s="543">
        <v>1871</v>
      </c>
      <c r="W77" s="546" t="str">
        <f t="shared" si="2"/>
        <v/>
      </c>
      <c r="X77" s="34">
        <v>0.99744242553347628</v>
      </c>
    </row>
    <row r="78" spans="1:25">
      <c r="A78" s="53"/>
      <c r="B78" s="54"/>
      <c r="C78" s="54"/>
      <c r="D78" s="47"/>
      <c r="J78" s="53"/>
      <c r="K78" s="53"/>
      <c r="L78" s="49"/>
      <c r="M78" s="471"/>
      <c r="O78" s="49"/>
      <c r="S78" s="31" t="s">
        <v>758</v>
      </c>
      <c r="T78" s="32" t="str">
        <v>IT Bonds(h)</v>
      </c>
      <c r="U78" s="33">
        <v>0.4</v>
      </c>
      <c r="V78" s="543">
        <v>1871</v>
      </c>
      <c r="W78" s="546" t="str">
        <f t="shared" si="2"/>
        <v/>
      </c>
      <c r="X78" s="34">
        <v>2.5575744665238009E-3</v>
      </c>
    </row>
    <row r="79" spans="1:25" ht="13" thickBot="1">
      <c r="A79" s="53"/>
      <c r="B79" s="54"/>
      <c r="C79" s="54"/>
      <c r="D79" s="47"/>
      <c r="J79" s="53"/>
      <c r="K79" s="53"/>
      <c r="L79" s="49"/>
      <c r="M79" s="471"/>
      <c r="O79" s="49"/>
      <c r="S79" s="542" t="s">
        <v>759</v>
      </c>
      <c r="T79" s="486" t="str">
        <v>TBills(h)</v>
      </c>
      <c r="U79" s="45"/>
      <c r="V79" s="544">
        <v>1871</v>
      </c>
      <c r="W79" s="547" t="str">
        <f t="shared" si="2"/>
        <v/>
      </c>
      <c r="X79" s="56" t="str">
        <v/>
      </c>
    </row>
    <row r="80" spans="1:25">
      <c r="A80" s="53"/>
      <c r="B80" s="54"/>
      <c r="C80" s="54"/>
      <c r="D80" s="47"/>
      <c r="J80" s="53"/>
      <c r="K80" s="53"/>
      <c r="L80" s="49"/>
      <c r="M80" s="471"/>
      <c r="O80" s="49"/>
      <c r="S80" s="47"/>
      <c r="T80" s="48"/>
      <c r="U80" s="49">
        <f>SUM(U3:U79)</f>
        <v>1</v>
      </c>
      <c r="V80" s="470" t="str">
        <f>IF(U80&lt;&gt;100%,"ERROR","")</f>
        <v/>
      </c>
      <c r="X80" s="49">
        <f>SUM(X3:X79)</f>
        <v>1</v>
      </c>
      <c r="Y80" s="470" t="str">
        <f>IF(X80&lt;&gt;100%,"ERROR","")</f>
        <v/>
      </c>
    </row>
    <row r="81" spans="1:26">
      <c r="A81" s="53"/>
      <c r="B81" s="54"/>
      <c r="C81" s="54"/>
      <c r="D81" s="47"/>
      <c r="J81" s="53"/>
      <c r="K81" s="53"/>
      <c r="L81" s="49"/>
      <c r="M81" s="471"/>
      <c r="O81" s="49"/>
    </row>
    <row r="82" spans="1:26">
      <c r="A82" s="53"/>
      <c r="B82" s="54"/>
      <c r="C82" s="54"/>
      <c r="D82" s="47"/>
      <c r="J82" s="53"/>
      <c r="K82" s="53"/>
      <c r="L82" s="49"/>
      <c r="M82" s="471"/>
      <c r="O82" s="49"/>
      <c r="S82" s="561" t="s">
        <v>760</v>
      </c>
      <c r="T82" s="54"/>
      <c r="U82" s="54"/>
      <c r="V82" s="47"/>
    </row>
    <row r="83" spans="1:26">
      <c r="A83" s="53"/>
      <c r="B83" s="54"/>
      <c r="C83" s="54"/>
      <c r="D83" s="47"/>
      <c r="J83" s="53"/>
      <c r="K83" s="53"/>
      <c r="L83" s="49"/>
      <c r="M83" s="471"/>
      <c r="O83" s="49"/>
      <c r="S83" s="561" t="s">
        <v>919</v>
      </c>
      <c r="T83" s="54"/>
      <c r="U83" s="54"/>
      <c r="V83" s="47"/>
    </row>
    <row r="84" spans="1:26">
      <c r="J84" s="53"/>
      <c r="K84" s="54"/>
      <c r="L84" s="54"/>
    </row>
    <row r="85" spans="1:26">
      <c r="A85" s="36" t="s">
        <v>169</v>
      </c>
      <c r="B85" s="57">
        <f>B87-B86+1</f>
        <v>44</v>
      </c>
      <c r="J85" s="58" t="s">
        <v>169</v>
      </c>
      <c r="K85" s="57">
        <f>K87-K86+1</f>
        <v>31</v>
      </c>
      <c r="S85" s="36" t="s">
        <v>169</v>
      </c>
      <c r="T85" s="57">
        <f>T87-T86+1</f>
        <v>145</v>
      </c>
    </row>
    <row r="86" spans="1:26">
      <c r="A86" s="36" t="s">
        <v>170</v>
      </c>
      <c r="B86" s="59">
        <v>1972</v>
      </c>
      <c r="C86" s="421" t="str">
        <f>IF(OR(B86&lt;1972,B86&gt;2015),"ERROR","")</f>
        <v/>
      </c>
      <c r="J86" s="36" t="s">
        <v>170</v>
      </c>
      <c r="K86" s="59">
        <v>1985</v>
      </c>
      <c r="L86" s="421" t="str">
        <f>IF(OR(K86&lt;1985,K86&gt;2015),"ERROR","")</f>
        <v/>
      </c>
      <c r="S86" s="36" t="s">
        <v>170</v>
      </c>
      <c r="T86" s="59">
        <v>1871</v>
      </c>
      <c r="U86" s="421" t="str">
        <f>IF(OR(T86&lt;1871,T86&gt;2015),"ERROR","")</f>
        <v/>
      </c>
      <c r="V86" s="421"/>
    </row>
    <row r="87" spans="1:26">
      <c r="A87" s="36" t="s">
        <v>171</v>
      </c>
      <c r="B87" s="59">
        <v>2015</v>
      </c>
      <c r="C87" s="421" t="str">
        <f>IF(OR(B87&lt;1972,B87&gt;2015),"ERROR","")</f>
        <v/>
      </c>
      <c r="J87" s="36" t="s">
        <v>171</v>
      </c>
      <c r="K87" s="59">
        <v>2015</v>
      </c>
      <c r="L87" s="421" t="str">
        <f>IF(OR(K87&lt;1985,K87&gt;2015),"ERROR","")</f>
        <v/>
      </c>
      <c r="S87" s="36" t="s">
        <v>171</v>
      </c>
      <c r="T87" s="59">
        <v>2015</v>
      </c>
      <c r="U87" s="421" t="str">
        <f>IF(OR(T87&lt;1871,T87&gt;2015),"ERROR","")</f>
        <v/>
      </c>
    </row>
    <row r="88" spans="1:26">
      <c r="A88" s="36" t="s">
        <v>172</v>
      </c>
      <c r="B88" s="496">
        <v>10000</v>
      </c>
      <c r="J88" s="53" t="s">
        <v>172</v>
      </c>
      <c r="K88" s="496">
        <v>10000</v>
      </c>
      <c r="S88" s="36" t="s">
        <v>172</v>
      </c>
      <c r="T88" s="496">
        <v>10000</v>
      </c>
    </row>
    <row r="89" spans="1:26">
      <c r="A89" s="36" t="s">
        <v>173</v>
      </c>
      <c r="B89" s="60">
        <v>0.05</v>
      </c>
      <c r="D89" s="13"/>
      <c r="E89" s="13"/>
      <c r="F89" s="13"/>
      <c r="G89" s="61"/>
      <c r="J89" s="36" t="s">
        <v>173</v>
      </c>
      <c r="K89" s="60">
        <v>0.05</v>
      </c>
      <c r="M89" s="13"/>
      <c r="N89" s="13"/>
      <c r="O89" s="13"/>
      <c r="P89" s="61"/>
      <c r="S89" s="36" t="s">
        <v>173</v>
      </c>
      <c r="T89" s="60">
        <v>0.05</v>
      </c>
      <c r="V89" s="13"/>
      <c r="W89" s="13"/>
      <c r="X89" s="13"/>
      <c r="Y89" s="61"/>
    </row>
    <row r="90" spans="1:26">
      <c r="A90" s="36" t="s">
        <v>174</v>
      </c>
      <c r="B90" s="60">
        <v>0.02</v>
      </c>
      <c r="D90" s="13"/>
      <c r="E90" s="13"/>
      <c r="F90" s="13"/>
      <c r="G90" s="61"/>
      <c r="J90" s="36" t="s">
        <v>174</v>
      </c>
      <c r="K90" s="60">
        <v>0.02</v>
      </c>
      <c r="M90" s="13"/>
      <c r="N90" s="13"/>
      <c r="O90" s="13"/>
      <c r="P90" s="61"/>
      <c r="S90" s="36" t="s">
        <v>174</v>
      </c>
      <c r="T90" s="60">
        <v>0.02</v>
      </c>
      <c r="V90" s="13"/>
      <c r="W90" s="13"/>
      <c r="X90" s="13"/>
      <c r="Y90" s="61"/>
    </row>
    <row r="91" spans="1:26">
      <c r="I91" s="47"/>
      <c r="R91" s="47"/>
      <c r="W91" s="421"/>
    </row>
    <row r="92" spans="1:26" s="26" customFormat="1" ht="21" thickBot="1">
      <c r="A92" s="62"/>
      <c r="B92" s="62" t="s">
        <v>175</v>
      </c>
      <c r="C92" s="62" t="s">
        <v>176</v>
      </c>
      <c r="D92" s="62" t="s">
        <v>177</v>
      </c>
      <c r="E92" s="63" t="s">
        <v>178</v>
      </c>
      <c r="F92" s="63" t="s">
        <v>179</v>
      </c>
      <c r="G92" s="62" t="s">
        <v>180</v>
      </c>
      <c r="H92" s="64" t="s">
        <v>181</v>
      </c>
      <c r="I92" s="65"/>
      <c r="J92" s="66"/>
      <c r="K92" s="62" t="str">
        <f>Returns_85_15!B40</f>
        <v>Total</v>
      </c>
      <c r="L92" s="62" t="str">
        <f>Returns_85_15!C40</f>
        <v>CAGR</v>
      </c>
      <c r="M92" s="62" t="str">
        <f>Returns_85_15!D40</f>
        <v>Std. Dev</v>
      </c>
      <c r="N92" s="63" t="str">
        <f>Returns_85_15!E40</f>
        <v>Sharpe Ratio</v>
      </c>
      <c r="O92" s="63" t="s">
        <v>179</v>
      </c>
      <c r="P92" s="62" t="s">
        <v>180</v>
      </c>
      <c r="Q92" s="62" t="s">
        <v>181</v>
      </c>
      <c r="R92" s="65"/>
      <c r="S92" s="66"/>
      <c r="T92" s="62" t="s">
        <v>175</v>
      </c>
      <c r="U92" s="62" t="s">
        <v>176</v>
      </c>
      <c r="V92" s="62" t="s">
        <v>177</v>
      </c>
      <c r="W92" s="63" t="s">
        <v>178</v>
      </c>
      <c r="X92" s="63" t="s">
        <v>179</v>
      </c>
      <c r="Y92" s="62" t="s">
        <v>180</v>
      </c>
      <c r="Z92" s="62" t="s">
        <v>181</v>
      </c>
    </row>
    <row r="93" spans="1:26" ht="15" customHeight="1" thickTop="1">
      <c r="A93" s="67" t="s">
        <v>182</v>
      </c>
      <c r="B93" s="68">
        <f>Returns_72_15!B54</f>
        <v>658354.9064752484</v>
      </c>
      <c r="C93" s="69">
        <f>Returns_72_15!C54</f>
        <v>9.9837790787982073</v>
      </c>
      <c r="D93" s="69">
        <f ca="1">Returns_72_15!D54</f>
        <v>14.408576154577323</v>
      </c>
      <c r="E93" s="69">
        <f ca="1">Returns_72_15!E54</f>
        <v>0.4172978162244334</v>
      </c>
      <c r="F93" s="69">
        <f ca="1">Returns_72_15!F54</f>
        <v>0.71667965642104492</v>
      </c>
      <c r="G93" s="69">
        <f ca="1">Returns_72_15!G54</f>
        <v>0.93436730379669208</v>
      </c>
      <c r="H93" s="70">
        <f ca="1">Returns_72_15!H54</f>
        <v>0.87094672658932015</v>
      </c>
      <c r="I93" s="71"/>
      <c r="J93" s="72" t="s">
        <v>182</v>
      </c>
      <c r="K93" s="73">
        <f>Returns_85_15!B41</f>
        <v>130167.13892121965</v>
      </c>
      <c r="L93" s="74">
        <f>Returns_85_15!C41</f>
        <v>8.6304695471896142</v>
      </c>
      <c r="M93" s="74">
        <f ca="1">Returns_85_15!D41</f>
        <v>6.9801309097643509</v>
      </c>
      <c r="N93" s="74">
        <f ca="1">Returns_85_15!E41</f>
        <v>0.74884894114458533</v>
      </c>
      <c r="O93" s="74">
        <f ca="1">Returns_85_15!F41</f>
        <v>1.1767146276847598</v>
      </c>
      <c r="P93" s="74">
        <f ca="1">Returns_85_15!G41</f>
        <v>0.43377465438288293</v>
      </c>
      <c r="Q93" s="75">
        <f ca="1">Returns_85_15!H41</f>
        <v>0.6060421679656649</v>
      </c>
      <c r="R93" s="71"/>
      <c r="S93" s="72" t="s">
        <v>182</v>
      </c>
      <c r="T93" s="73">
        <f>Returns_All!B155</f>
        <v>382138062.2931599</v>
      </c>
      <c r="U93" s="74">
        <f>Returns_All!C155</f>
        <v>7.5477971305715705</v>
      </c>
      <c r="V93" s="74">
        <f ca="1">Returns_All!D155</f>
        <v>10.853968634141353</v>
      </c>
      <c r="W93" s="74">
        <f ca="1">Returns_All!E155</f>
        <v>0.35806729185410846</v>
      </c>
      <c r="X93" s="74">
        <f ca="1">Returns_All!F155</f>
        <v>0.51512687899526677</v>
      </c>
      <c r="Y93" s="74">
        <f ca="1">Returns_All!G155</f>
        <v>0.96449031238597616</v>
      </c>
      <c r="Z93" s="75">
        <f ca="1">Returns_All!H155</f>
        <v>0.61318732754232164</v>
      </c>
    </row>
    <row r="94" spans="1:26">
      <c r="A94" s="76" t="s">
        <v>183</v>
      </c>
      <c r="B94" s="77">
        <f>Returns_72_15!B55</f>
        <v>114399.68991071869</v>
      </c>
      <c r="C94" s="78">
        <f>Returns_72_15!C55</f>
        <v>5.6951623473486963</v>
      </c>
      <c r="D94" s="78">
        <f ca="1">Returns_72_15!D55</f>
        <v>14.410291446760924</v>
      </c>
      <c r="E94" s="78">
        <f ca="1">Returns_72_15!E55</f>
        <v>0.40790140905308386</v>
      </c>
      <c r="F94" s="78">
        <f ca="1">Returns_72_15!F55</f>
        <v>0.5369249732638347</v>
      </c>
      <c r="G94" s="78">
        <f ca="1">Returns_72_15!G55</f>
        <v>0.91281029112298528</v>
      </c>
      <c r="H94" s="79">
        <f ca="1">Returns_72_15!H55</f>
        <v>0.84843303687541449</v>
      </c>
      <c r="I94" s="71"/>
      <c r="J94" s="80" t="s">
        <v>183</v>
      </c>
      <c r="K94" s="81">
        <f>Returns_85_15!B42</f>
        <v>57949.898439507204</v>
      </c>
      <c r="L94" s="82">
        <f>Returns_85_15!C42</f>
        <v>5.8314149346845667</v>
      </c>
      <c r="M94" s="82">
        <f ca="1">Returns_85_15!D42</f>
        <v>6.7750897852543801</v>
      </c>
      <c r="N94" s="82">
        <f ca="1">Returns_85_15!E42</f>
        <v>0.75295956787687035</v>
      </c>
      <c r="O94" s="82">
        <f ca="1">Returns_85_15!F42</f>
        <v>1.4169243920264711</v>
      </c>
      <c r="P94" s="82">
        <f ca="1">Returns_85_15!G42</f>
        <v>0.41929422611288336</v>
      </c>
      <c r="Q94" s="83">
        <f ca="1">Returns_85_15!H42</f>
        <v>0.58376738412054818</v>
      </c>
      <c r="R94" s="71"/>
      <c r="S94" s="80" t="s">
        <v>183</v>
      </c>
      <c r="T94" s="81">
        <f>Returns_All!B156</f>
        <v>20137372.873242784</v>
      </c>
      <c r="U94" s="82">
        <f>Returns_All!C156</f>
        <v>5.3868020962925485</v>
      </c>
      <c r="V94" s="82">
        <f ca="1">Returns_All!D156</f>
        <v>11.555405929064575</v>
      </c>
      <c r="W94" s="82">
        <f ca="1">Returns_All!E156</f>
        <v>0.32362643019831816</v>
      </c>
      <c r="X94" s="82">
        <f ca="1">Returns_All!F156</f>
        <v>0.64767803884521991</v>
      </c>
      <c r="Y94" s="82">
        <f ca="1">Returns_All!G156</f>
        <v>0.80675624120552125</v>
      </c>
      <c r="Z94" s="83">
        <f ca="1">Returns_All!H156</f>
        <v>0.5834375138261173</v>
      </c>
    </row>
    <row r="95" spans="1:26">
      <c r="A95" s="84" t="s">
        <v>184</v>
      </c>
      <c r="B95" s="85">
        <f>Returns_72_15!B184</f>
        <v>727274.86407748447</v>
      </c>
      <c r="C95" s="86">
        <f>Returns_72_15!C184</f>
        <v>10.232924965646616</v>
      </c>
      <c r="D95" s="86">
        <f ca="1">Returns_72_15!D184</f>
        <v>10.972964091991352</v>
      </c>
      <c r="E95" s="86">
        <f ca="1">Returns_72_15!E184</f>
        <v>0.5312201769259417</v>
      </c>
      <c r="F95" s="86">
        <f ca="1">Returns_72_15!F184</f>
        <v>1.0118337204438592</v>
      </c>
      <c r="G95" s="86">
        <f ca="1">Returns_72_15!G184</f>
        <v>0.9072881835808142</v>
      </c>
      <c r="H95" s="87">
        <f ca="1">Returns_72_15!H184</f>
        <v>0.68518538520125405</v>
      </c>
      <c r="I95" s="71"/>
      <c r="J95" s="88" t="s">
        <v>184</v>
      </c>
      <c r="K95" s="89">
        <f>Returns_85_15!B148</f>
        <v>171276.50273343967</v>
      </c>
      <c r="L95" s="90">
        <f>Returns_85_15!C148</f>
        <v>9.5965044816898448</v>
      </c>
      <c r="M95" s="90">
        <f ca="1">Returns_85_15!D148</f>
        <v>10.448685296441651</v>
      </c>
      <c r="N95" s="90">
        <f ca="1">Returns_85_15!E148</f>
        <v>0.62029663319812467</v>
      </c>
      <c r="O95" s="90">
        <f ca="1">Returns_85_15!F148</f>
        <v>0.9176845358248098</v>
      </c>
      <c r="P95" s="90">
        <f ca="1">Returns_85_15!G148</f>
        <v>0.89616610994878432</v>
      </c>
      <c r="Q95" s="91">
        <f ca="1">Returns_85_15!H148</f>
        <v>0.74089314811378071</v>
      </c>
      <c r="R95" s="71"/>
      <c r="S95" s="88" t="s">
        <v>634</v>
      </c>
      <c r="T95" s="89">
        <f>Returns_All!B487</f>
        <v>331310927.58979189</v>
      </c>
      <c r="U95" s="90">
        <f>Returns_All!C487</f>
        <v>7.4419890483312354</v>
      </c>
      <c r="V95" s="90">
        <f ca="1">Returns_All!D487</f>
        <v>10.936091657120091</v>
      </c>
      <c r="W95" s="90">
        <f ca="1">Returns_All!E487</f>
        <v>0.34681540771413183</v>
      </c>
      <c r="X95" s="90">
        <f ca="1">Returns_All!F487</f>
        <v>0.48474140843761343</v>
      </c>
      <c r="Y95" s="90">
        <f ca="1">Returns_All!G487</f>
        <v>0.98461785663330936</v>
      </c>
      <c r="Z95" s="91">
        <f ca="1">Returns_All!H487</f>
        <v>0.608540220908656</v>
      </c>
    </row>
    <row r="96" spans="1:26" ht="13" thickBot="1">
      <c r="A96" s="92" t="s">
        <v>185</v>
      </c>
      <c r="B96" s="93">
        <f>Returns_72_15!B185</f>
        <v>126375.63434556448</v>
      </c>
      <c r="C96" s="94">
        <f>Returns_72_15!C185</f>
        <v>5.9345932450609231</v>
      </c>
      <c r="D96" s="94">
        <f ca="1">Returns_72_15!D185</f>
        <v>10.990050146647896</v>
      </c>
      <c r="E96" s="94">
        <f ca="1">Returns_72_15!E185</f>
        <v>0.51628654002953656</v>
      </c>
      <c r="F96" s="94">
        <f ca="1">Returns_72_15!F185</f>
        <v>0.71561563785560811</v>
      </c>
      <c r="G96" s="94">
        <f ca="1">Returns_72_15!G185</f>
        <v>0.88950632364201687</v>
      </c>
      <c r="H96" s="95">
        <f ca="1">Returns_72_15!H185</f>
        <v>0.66996386542356812</v>
      </c>
      <c r="I96" s="96"/>
      <c r="J96" s="97" t="s">
        <v>185</v>
      </c>
      <c r="K96" s="98">
        <f>Returns_85_15!B149</f>
        <v>76251.625569522119</v>
      </c>
      <c r="L96" s="99">
        <f>Returns_85_15!C149</f>
        <v>6.7725582844340559</v>
      </c>
      <c r="M96" s="99">
        <f ca="1">Returns_85_15!D149</f>
        <v>10.159114303659553</v>
      </c>
      <c r="N96" s="99">
        <f ca="1">Returns_85_15!E149</f>
        <v>0.62226100669740769</v>
      </c>
      <c r="O96" s="99">
        <f ca="1">Returns_85_15!F149</f>
        <v>1.0081772297106433</v>
      </c>
      <c r="P96" s="99">
        <f ca="1">Returns_85_15!G149</f>
        <v>0.89030268856995498</v>
      </c>
      <c r="Q96" s="100">
        <f ca="1">Returns_85_15!H149</f>
        <v>0.72743906481054321</v>
      </c>
      <c r="R96" s="96"/>
      <c r="S96" s="97" t="s">
        <v>635</v>
      </c>
      <c r="T96" s="98">
        <f>Returns_All!B488</f>
        <v>17458956.184106313</v>
      </c>
      <c r="U96" s="99">
        <f>Returns_All!C488</f>
        <v>5.283120052394306</v>
      </c>
      <c r="V96" s="99">
        <f ca="1">Returns_All!D488</f>
        <v>11.57203583443321</v>
      </c>
      <c r="W96" s="99">
        <f ca="1">Returns_All!E488</f>
        <v>0.31479353704588503</v>
      </c>
      <c r="X96" s="99">
        <f ca="1">Returns_All!F488</f>
        <v>0.6142512839747104</v>
      </c>
      <c r="Y96" s="99">
        <f ca="1">Returns_All!G488</f>
        <v>0.83028774072780076</v>
      </c>
      <c r="Z96" s="100">
        <f ca="1">Returns_All!H488</f>
        <v>0.58544012062912509</v>
      </c>
    </row>
    <row r="97" spans="1:26" ht="14" thickTop="1" thickBot="1">
      <c r="I97" s="47"/>
      <c r="R97" s="47"/>
    </row>
    <row r="98" spans="1:26" s="26" customFormat="1" ht="25" thickTop="1">
      <c r="A98" s="101" t="s">
        <v>186</v>
      </c>
      <c r="B98" s="102">
        <f>Returns_72_15!B117</f>
        <v>576458.09883749986</v>
      </c>
      <c r="C98" s="103">
        <f>Returns_72_15!C117</f>
        <v>9.6522250492380017</v>
      </c>
      <c r="D98" s="103">
        <f ca="1">Returns_72_15!D117</f>
        <v>16.075977516605167</v>
      </c>
      <c r="E98" s="103">
        <f ca="1">Returns_72_15!E117</f>
        <v>0.37069187068383508</v>
      </c>
      <c r="F98" s="103">
        <f ca="1">Returns_72_15!F117</f>
        <v>0.60253811838204419</v>
      </c>
      <c r="G98" s="103">
        <f ca="1">Returns_72_15!G117</f>
        <v>0.89852507772815771</v>
      </c>
      <c r="H98" s="104">
        <f ca="1">Returns_72_15!H117</f>
        <v>0.91246963188620867</v>
      </c>
      <c r="J98" s="101" t="s">
        <v>186</v>
      </c>
      <c r="K98" s="105">
        <f>Returns_85_15!B93</f>
        <v>157937.13345113036</v>
      </c>
      <c r="L98" s="106">
        <f>Returns_85_15!C93</f>
        <v>9.3102235055286791</v>
      </c>
      <c r="M98" s="106">
        <f ca="1">Returns_85_15!D93</f>
        <v>8.4577685011727404</v>
      </c>
      <c r="N98" s="106">
        <f ca="1">Returns_85_15!E93</f>
        <v>0.71255731170349312</v>
      </c>
      <c r="O98" s="106">
        <f ca="1">Returns_85_15!F93</f>
        <v>0.95953147514522608</v>
      </c>
      <c r="P98" s="106">
        <f ca="1">Returns_85_15!G93</f>
        <v>0.76655147694442127</v>
      </c>
      <c r="Q98" s="107">
        <f ca="1">Returns_85_15!H93</f>
        <v>0.66465226939070599</v>
      </c>
      <c r="S98" s="101" t="s">
        <v>186</v>
      </c>
      <c r="T98" s="105">
        <f>Returns_All!B319</f>
        <v>1219777227.6651621</v>
      </c>
      <c r="U98" s="106">
        <f>Returns_All!C319</f>
        <v>8.4121099052423762</v>
      </c>
      <c r="V98" s="106">
        <f ca="1">Returns_All!D319</f>
        <v>15.919719179934189</v>
      </c>
      <c r="W98" s="106">
        <f ca="1">Returns_All!E319</f>
        <v>0.33956945384230064</v>
      </c>
      <c r="X98" s="106">
        <f ca="1">Returns_All!F319</f>
        <v>0.51140277068556583</v>
      </c>
      <c r="Y98" s="106">
        <f ca="1">Returns_All!G319</f>
        <v>0.97480513484736098</v>
      </c>
      <c r="Z98" s="106">
        <f ca="1">Returns_All!H319</f>
        <v>0.67575285081520631</v>
      </c>
    </row>
    <row r="99" spans="1:26" s="26" customFormat="1" ht="25" thickBot="1">
      <c r="A99" s="108" t="s">
        <v>187</v>
      </c>
      <c r="B99" s="109">
        <f>Returns_72_15!B118</f>
        <v>100168.81032542544</v>
      </c>
      <c r="C99" s="110">
        <f>Returns_72_15!C118</f>
        <v>5.3765366620448996</v>
      </c>
      <c r="D99" s="110">
        <f ca="1">Returns_72_15!D118</f>
        <v>16.034451405850575</v>
      </c>
      <c r="E99" s="110">
        <f ca="1">Returns_72_15!E118</f>
        <v>0.36354369551471483</v>
      </c>
      <c r="F99" s="110">
        <f ca="1">Returns_72_15!F118</f>
        <v>0.46004659937034398</v>
      </c>
      <c r="G99" s="110">
        <f ca="1">Returns_72_15!G118</f>
        <v>0.88102773541772073</v>
      </c>
      <c r="H99" s="111">
        <f ca="1">Returns_72_15!H118</f>
        <v>0.89159102577806959</v>
      </c>
      <c r="J99" s="108" t="s">
        <v>187</v>
      </c>
      <c r="K99" s="112">
        <f>Returns_85_15!B94</f>
        <v>70312.990814518591</v>
      </c>
      <c r="L99" s="113">
        <f>Returns_85_15!C94</f>
        <v>6.4936538398310342</v>
      </c>
      <c r="M99" s="113">
        <f ca="1">Returns_85_15!D94</f>
        <v>8.2704984447163881</v>
      </c>
      <c r="N99" s="113">
        <f ca="1">Returns_85_15!E94</f>
        <v>0.71101555107109693</v>
      </c>
      <c r="O99" s="113">
        <f ca="1">Returns_85_15!F94</f>
        <v>1.1024452421952968</v>
      </c>
      <c r="P99" s="113">
        <f ca="1">Returns_85_15!G94</f>
        <v>0.75578141763452389</v>
      </c>
      <c r="Q99" s="114">
        <f ca="1">Returns_85_15!H94</f>
        <v>0.64545364148866535</v>
      </c>
      <c r="S99" s="108" t="s">
        <v>187</v>
      </c>
      <c r="T99" s="112">
        <f>Returns_All!B320</f>
        <v>64278100.716750756</v>
      </c>
      <c r="U99" s="113">
        <f>Returns_All!C320</f>
        <v>6.2337479358520529</v>
      </c>
      <c r="V99" s="113">
        <f ca="1">Returns_All!D320</f>
        <v>16.080383196621884</v>
      </c>
      <c r="W99" s="113">
        <f ca="1">Returns_All!E320</f>
        <v>0.32323538765029863</v>
      </c>
      <c r="X99" s="113">
        <f ca="1">Returns_All!F320</f>
        <v>0.6208789815607586</v>
      </c>
      <c r="Y99" s="113">
        <f ca="1">Returns_All!G320</f>
        <v>0.88989151175198067</v>
      </c>
      <c r="Z99" s="113">
        <f ca="1">Returns_All!H320</f>
        <v>0.66068937237636138</v>
      </c>
    </row>
    <row r="100" spans="1:26" ht="13" thickTop="1"/>
    <row r="174" spans="10:10">
      <c r="J174" s="421"/>
    </row>
  </sheetData>
  <sheetProtection selectLockedCells="1" selectUnlockedCells="1"/>
  <mergeCells count="3">
    <mergeCell ref="S1:X1"/>
    <mergeCell ref="A1:F1"/>
    <mergeCell ref="J1:O1"/>
  </mergeCells>
  <pageMargins left="0.74791666666666667" right="0.74791666666666667" top="0.98402777777777772" bottom="0.98402777777777772" header="0.51180555555555551" footer="0.51180555555555551"/>
  <pageSetup firstPageNumber="0" orientation="portrait" horizontalDpi="300" verticalDpi="300"/>
  <ignoredErrors>
    <ignoredError sqref="U80 X80 L53 J44:K52 A31:B39 C40 T3 V3:W3 W4:W79" emptyCellReference="1"/>
    <ignoredError sqref="Z98:Z99 Z93:Z96" evalError="1"/>
  </ignoredErrors>
  <drawing r:id="rId1"/>
  <legacyDrawing r:id="rId2"/>
  <mc:AlternateContent xmlns:mc="http://schemas.openxmlformats.org/markup-compatibility/2006">
    <mc:Choice Requires="x14">
      <controls>
        <mc:AlternateContent xmlns:mc="http://schemas.openxmlformats.org/markup-compatibility/2006">
          <mc:Choice Requires="x14">
            <control shapeId="2068" r:id="rId3" name="Check Box 7909">
              <controlPr defaultSize="0" autoFill="0" autoLine="0" autoPict="0">
                <anchor moveWithCells="1" sizeWithCells="1">
                  <from>
                    <xdr:col>0</xdr:col>
                    <xdr:colOff>863600</xdr:colOff>
                    <xdr:row>203</xdr:row>
                    <xdr:rowOff>76200</xdr:rowOff>
                  </from>
                  <to>
                    <xdr:col>1</xdr:col>
                    <xdr:colOff>203200</xdr:colOff>
                    <xdr:row>204</xdr:row>
                    <xdr:rowOff>114300</xdr:rowOff>
                  </to>
                </anchor>
              </controlPr>
            </control>
          </mc:Choice>
          <mc:Fallback/>
        </mc:AlternateContent>
        <mc:AlternateContent xmlns:mc="http://schemas.openxmlformats.org/markup-compatibility/2006">
          <mc:Choice Requires="x14">
            <control shapeId="2069" r:id="rId4" name="Check Box 7910">
              <controlPr defaultSize="0" autoFill="0" autoLine="0" autoPict="0">
                <anchor moveWithCells="1" sizeWithCells="1">
                  <from>
                    <xdr:col>1</xdr:col>
                    <xdr:colOff>266700</xdr:colOff>
                    <xdr:row>203</xdr:row>
                    <xdr:rowOff>76200</xdr:rowOff>
                  </from>
                  <to>
                    <xdr:col>3</xdr:col>
                    <xdr:colOff>0</xdr:colOff>
                    <xdr:row>204</xdr:row>
                    <xdr:rowOff>139700</xdr:rowOff>
                  </to>
                </anchor>
              </controlPr>
            </control>
          </mc:Choice>
          <mc:Fallback/>
        </mc:AlternateContent>
        <mc:AlternateContent xmlns:mc="http://schemas.openxmlformats.org/markup-compatibility/2006">
          <mc:Choice Requires="x14">
            <control shapeId="2070" r:id="rId5" name="Check Box 7923">
              <controlPr defaultSize="0" autoFill="0" autoLine="0" autoPict="0">
                <anchor moveWithCells="1" sizeWithCells="1">
                  <from>
                    <xdr:col>3</xdr:col>
                    <xdr:colOff>0</xdr:colOff>
                    <xdr:row>203</xdr:row>
                    <xdr:rowOff>76200</xdr:rowOff>
                  </from>
                  <to>
                    <xdr:col>5</xdr:col>
                    <xdr:colOff>469900</xdr:colOff>
                    <xdr:row>204</xdr:row>
                    <xdr:rowOff>139700</xdr:rowOff>
                  </to>
                </anchor>
              </controlPr>
            </control>
          </mc:Choice>
          <mc:Fallback/>
        </mc:AlternateContent>
        <mc:AlternateContent xmlns:mc="http://schemas.openxmlformats.org/markup-compatibility/2006">
          <mc:Choice Requires="x14">
            <control shapeId="2071" r:id="rId6" name="Check Box 7924">
              <controlPr defaultSize="0" autoFill="0" autoLine="0" autoPict="0">
                <anchor moveWithCells="1" sizeWithCells="1">
                  <from>
                    <xdr:col>5</xdr:col>
                    <xdr:colOff>292100</xdr:colOff>
                    <xdr:row>203</xdr:row>
                    <xdr:rowOff>76200</xdr:rowOff>
                  </from>
                  <to>
                    <xdr:col>9</xdr:col>
                    <xdr:colOff>38100</xdr:colOff>
                    <xdr:row>204</xdr:row>
                    <xdr:rowOff>139700</xdr:rowOff>
                  </to>
                </anchor>
              </controlPr>
            </control>
          </mc:Choice>
          <mc:Fallback/>
        </mc:AlternateContent>
        <mc:AlternateContent xmlns:mc="http://schemas.openxmlformats.org/markup-compatibility/2006">
          <mc:Choice Requires="x14">
            <control shapeId="2072" r:id="rId7" name="Check Box 7961">
              <controlPr defaultSize="0" autoFill="0" autoLine="0" autoPict="0">
                <anchor moveWithCells="1" sizeWithCells="1">
                  <from>
                    <xdr:col>0</xdr:col>
                    <xdr:colOff>914400</xdr:colOff>
                    <xdr:row>235</xdr:row>
                    <xdr:rowOff>76200</xdr:rowOff>
                  </from>
                  <to>
                    <xdr:col>1</xdr:col>
                    <xdr:colOff>266700</xdr:colOff>
                    <xdr:row>236</xdr:row>
                    <xdr:rowOff>139700</xdr:rowOff>
                  </to>
                </anchor>
              </controlPr>
            </control>
          </mc:Choice>
          <mc:Fallback/>
        </mc:AlternateContent>
        <mc:AlternateContent xmlns:mc="http://schemas.openxmlformats.org/markup-compatibility/2006">
          <mc:Choice Requires="x14">
            <control shapeId="2073" r:id="rId8" name="Check Box 7962">
              <controlPr defaultSize="0" autoFill="0" autoLine="0" autoPict="0">
                <anchor moveWithCells="1" sizeWithCells="1">
                  <from>
                    <xdr:col>1</xdr:col>
                    <xdr:colOff>304800</xdr:colOff>
                    <xdr:row>235</xdr:row>
                    <xdr:rowOff>76200</xdr:rowOff>
                  </from>
                  <to>
                    <xdr:col>3</xdr:col>
                    <xdr:colOff>38100</xdr:colOff>
                    <xdr:row>236</xdr:row>
                    <xdr:rowOff>139700</xdr:rowOff>
                  </to>
                </anchor>
              </controlPr>
            </control>
          </mc:Choice>
          <mc:Fallback/>
        </mc:AlternateContent>
        <mc:AlternateContent xmlns:mc="http://schemas.openxmlformats.org/markup-compatibility/2006">
          <mc:Choice Requires="x14">
            <control shapeId="2074" r:id="rId9" name="Check Box 7963">
              <controlPr defaultSize="0" autoFill="0" autoLine="0" autoPict="0">
                <anchor moveWithCells="1" sizeWithCells="1">
                  <from>
                    <xdr:col>3</xdr:col>
                    <xdr:colOff>0</xdr:colOff>
                    <xdr:row>235</xdr:row>
                    <xdr:rowOff>76200</xdr:rowOff>
                  </from>
                  <to>
                    <xdr:col>5</xdr:col>
                    <xdr:colOff>444500</xdr:colOff>
                    <xdr:row>236</xdr:row>
                    <xdr:rowOff>139700</xdr:rowOff>
                  </to>
                </anchor>
              </controlPr>
            </control>
          </mc:Choice>
          <mc:Fallback/>
        </mc:AlternateContent>
        <mc:AlternateContent xmlns:mc="http://schemas.openxmlformats.org/markup-compatibility/2006">
          <mc:Choice Requires="x14">
            <control shapeId="2075" r:id="rId10" name="Check Box 7964">
              <controlPr defaultSize="0" autoFill="0" autoLine="0" autoPict="0">
                <anchor moveWithCells="1" sizeWithCells="1">
                  <from>
                    <xdr:col>5</xdr:col>
                    <xdr:colOff>254000</xdr:colOff>
                    <xdr:row>235</xdr:row>
                    <xdr:rowOff>76200</xdr:rowOff>
                  </from>
                  <to>
                    <xdr:col>9</xdr:col>
                    <xdr:colOff>0</xdr:colOff>
                    <xdr:row>236</xdr:row>
                    <xdr:rowOff>139700</xdr:rowOff>
                  </to>
                </anchor>
              </controlPr>
            </control>
          </mc:Choice>
          <mc:Fallback/>
        </mc:AlternateContent>
        <mc:AlternateContent xmlns:mc="http://schemas.openxmlformats.org/markup-compatibility/2006">
          <mc:Choice Requires="x14">
            <control shapeId="2076" r:id="rId11" name="Check Box 7977">
              <controlPr defaultSize="0" autoFill="0" autoLine="0" autoPict="0">
                <anchor moveWithCells="1" sizeWithCells="1">
                  <from>
                    <xdr:col>9</xdr:col>
                    <xdr:colOff>952500</xdr:colOff>
                    <xdr:row>203</xdr:row>
                    <xdr:rowOff>50800</xdr:rowOff>
                  </from>
                  <to>
                    <xdr:col>10</xdr:col>
                    <xdr:colOff>266700</xdr:colOff>
                    <xdr:row>204</xdr:row>
                    <xdr:rowOff>101600</xdr:rowOff>
                  </to>
                </anchor>
              </controlPr>
            </control>
          </mc:Choice>
          <mc:Fallback/>
        </mc:AlternateContent>
        <mc:AlternateContent xmlns:mc="http://schemas.openxmlformats.org/markup-compatibility/2006">
          <mc:Choice Requires="x14">
            <control shapeId="2077" r:id="rId12" name="Check Box 7978">
              <controlPr defaultSize="0" autoFill="0" autoLine="0" autoPict="0">
                <anchor moveWithCells="1" sizeWithCells="1">
                  <from>
                    <xdr:col>10</xdr:col>
                    <xdr:colOff>355600</xdr:colOff>
                    <xdr:row>203</xdr:row>
                    <xdr:rowOff>50800</xdr:rowOff>
                  </from>
                  <to>
                    <xdr:col>12</xdr:col>
                    <xdr:colOff>12700</xdr:colOff>
                    <xdr:row>204</xdr:row>
                    <xdr:rowOff>101600</xdr:rowOff>
                  </to>
                </anchor>
              </controlPr>
            </control>
          </mc:Choice>
          <mc:Fallback/>
        </mc:AlternateContent>
        <mc:AlternateContent xmlns:mc="http://schemas.openxmlformats.org/markup-compatibility/2006">
          <mc:Choice Requires="x14">
            <control shapeId="2078" r:id="rId13" name="Check Box 7979">
              <controlPr defaultSize="0" autoFill="0" autoLine="0" autoPict="0">
                <anchor moveWithCells="1" sizeWithCells="1">
                  <from>
                    <xdr:col>12</xdr:col>
                    <xdr:colOff>0</xdr:colOff>
                    <xdr:row>203</xdr:row>
                    <xdr:rowOff>50800</xdr:rowOff>
                  </from>
                  <to>
                    <xdr:col>14</xdr:col>
                    <xdr:colOff>304800</xdr:colOff>
                    <xdr:row>204</xdr:row>
                    <xdr:rowOff>101600</xdr:rowOff>
                  </to>
                </anchor>
              </controlPr>
            </control>
          </mc:Choice>
          <mc:Fallback/>
        </mc:AlternateContent>
        <mc:AlternateContent xmlns:mc="http://schemas.openxmlformats.org/markup-compatibility/2006">
          <mc:Choice Requires="x14">
            <control shapeId="2079" r:id="rId14" name="Check Box 7980">
              <controlPr defaultSize="0" autoFill="0" autoLine="0" autoPict="0">
                <anchor moveWithCells="1" sizeWithCells="1">
                  <from>
                    <xdr:col>14</xdr:col>
                    <xdr:colOff>215900</xdr:colOff>
                    <xdr:row>203</xdr:row>
                    <xdr:rowOff>50800</xdr:rowOff>
                  </from>
                  <to>
                    <xdr:col>17</xdr:col>
                    <xdr:colOff>0</xdr:colOff>
                    <xdr:row>204</xdr:row>
                    <xdr:rowOff>101600</xdr:rowOff>
                  </to>
                </anchor>
              </controlPr>
            </control>
          </mc:Choice>
          <mc:Fallback/>
        </mc:AlternateContent>
        <mc:AlternateContent xmlns:mc="http://schemas.openxmlformats.org/markup-compatibility/2006">
          <mc:Choice Requires="x14">
            <control shapeId="2080" r:id="rId15" name="Check Box 7981">
              <controlPr defaultSize="0" autoFill="0" autoLine="0" autoPict="0">
                <anchor moveWithCells="1" sizeWithCells="1">
                  <from>
                    <xdr:col>9</xdr:col>
                    <xdr:colOff>990600</xdr:colOff>
                    <xdr:row>235</xdr:row>
                    <xdr:rowOff>38100</xdr:rowOff>
                  </from>
                  <to>
                    <xdr:col>10</xdr:col>
                    <xdr:colOff>304800</xdr:colOff>
                    <xdr:row>236</xdr:row>
                    <xdr:rowOff>76200</xdr:rowOff>
                  </to>
                </anchor>
              </controlPr>
            </control>
          </mc:Choice>
          <mc:Fallback/>
        </mc:AlternateContent>
        <mc:AlternateContent xmlns:mc="http://schemas.openxmlformats.org/markup-compatibility/2006">
          <mc:Choice Requires="x14">
            <control shapeId="2081" r:id="rId16" name="Check Box 7982">
              <controlPr defaultSize="0" autoFill="0" autoLine="0" autoPict="0">
                <anchor moveWithCells="1" sizeWithCells="1">
                  <from>
                    <xdr:col>10</xdr:col>
                    <xdr:colOff>317500</xdr:colOff>
                    <xdr:row>235</xdr:row>
                    <xdr:rowOff>50800</xdr:rowOff>
                  </from>
                  <to>
                    <xdr:col>12</xdr:col>
                    <xdr:colOff>0</xdr:colOff>
                    <xdr:row>236</xdr:row>
                    <xdr:rowOff>101600</xdr:rowOff>
                  </to>
                </anchor>
              </controlPr>
            </control>
          </mc:Choice>
          <mc:Fallback/>
        </mc:AlternateContent>
        <mc:AlternateContent xmlns:mc="http://schemas.openxmlformats.org/markup-compatibility/2006">
          <mc:Choice Requires="x14">
            <control shapeId="2082" r:id="rId17" name="Check Box 7983">
              <controlPr defaultSize="0" autoFill="0" autoLine="0" autoPict="0">
                <anchor moveWithCells="1" sizeWithCells="1">
                  <from>
                    <xdr:col>12</xdr:col>
                    <xdr:colOff>0</xdr:colOff>
                    <xdr:row>235</xdr:row>
                    <xdr:rowOff>76200</xdr:rowOff>
                  </from>
                  <to>
                    <xdr:col>14</xdr:col>
                    <xdr:colOff>304800</xdr:colOff>
                    <xdr:row>236</xdr:row>
                    <xdr:rowOff>114300</xdr:rowOff>
                  </to>
                </anchor>
              </controlPr>
            </control>
          </mc:Choice>
          <mc:Fallback/>
        </mc:AlternateContent>
        <mc:AlternateContent xmlns:mc="http://schemas.openxmlformats.org/markup-compatibility/2006">
          <mc:Choice Requires="x14">
            <control shapeId="2083" r:id="rId18" name="Check Box 7984">
              <controlPr defaultSize="0" autoFill="0" autoLine="0" autoPict="0">
                <anchor moveWithCells="1" sizeWithCells="1">
                  <from>
                    <xdr:col>14</xdr:col>
                    <xdr:colOff>177800</xdr:colOff>
                    <xdr:row>235</xdr:row>
                    <xdr:rowOff>50800</xdr:rowOff>
                  </from>
                  <to>
                    <xdr:col>17</xdr:col>
                    <xdr:colOff>0</xdr:colOff>
                    <xdr:row>236</xdr:row>
                    <xdr:rowOff>101600</xdr:rowOff>
                  </to>
                </anchor>
              </controlPr>
            </control>
          </mc:Choice>
          <mc:Fallback/>
        </mc:AlternateContent>
        <mc:AlternateContent xmlns:mc="http://schemas.openxmlformats.org/markup-compatibility/2006">
          <mc:Choice Requires="x14">
            <control shapeId="2428" r:id="rId19" name="Check Box 380">
              <controlPr defaultSize="0" autoFill="0" autoLine="0" autoPict="0">
                <anchor moveWithCells="1" sizeWithCells="1">
                  <from>
                    <xdr:col>18</xdr:col>
                    <xdr:colOff>939800</xdr:colOff>
                    <xdr:row>203</xdr:row>
                    <xdr:rowOff>25400</xdr:rowOff>
                  </from>
                  <to>
                    <xdr:col>19</xdr:col>
                    <xdr:colOff>279400</xdr:colOff>
                    <xdr:row>204</xdr:row>
                    <xdr:rowOff>88900</xdr:rowOff>
                  </to>
                </anchor>
              </controlPr>
            </control>
          </mc:Choice>
          <mc:Fallback/>
        </mc:AlternateContent>
        <mc:AlternateContent xmlns:mc="http://schemas.openxmlformats.org/markup-compatibility/2006">
          <mc:Choice Requires="x14">
            <control shapeId="2429" r:id="rId20" name="Check Box 381">
              <controlPr defaultSize="0" autoFill="0" autoLine="0" autoPict="0">
                <anchor moveWithCells="1" sizeWithCells="1">
                  <from>
                    <xdr:col>19</xdr:col>
                    <xdr:colOff>241300</xdr:colOff>
                    <xdr:row>203</xdr:row>
                    <xdr:rowOff>50800</xdr:rowOff>
                  </from>
                  <to>
                    <xdr:col>20</xdr:col>
                    <xdr:colOff>939800</xdr:colOff>
                    <xdr:row>204</xdr:row>
                    <xdr:rowOff>114300</xdr:rowOff>
                  </to>
                </anchor>
              </controlPr>
            </control>
          </mc:Choice>
          <mc:Fallback/>
        </mc:AlternateContent>
        <mc:AlternateContent xmlns:mc="http://schemas.openxmlformats.org/markup-compatibility/2006">
          <mc:Choice Requires="x14">
            <control shapeId="2430" r:id="rId21" name="Check Box 382">
              <controlPr defaultSize="0" autoFill="0" autoLine="0" autoPict="0">
                <anchor moveWithCells="1" sizeWithCells="1">
                  <from>
                    <xdr:col>20</xdr:col>
                    <xdr:colOff>673100</xdr:colOff>
                    <xdr:row>203</xdr:row>
                    <xdr:rowOff>50800</xdr:rowOff>
                  </from>
                  <to>
                    <xdr:col>23</xdr:col>
                    <xdr:colOff>165100</xdr:colOff>
                    <xdr:row>204</xdr:row>
                    <xdr:rowOff>114300</xdr:rowOff>
                  </to>
                </anchor>
              </controlPr>
            </control>
          </mc:Choice>
          <mc:Fallback/>
        </mc:AlternateContent>
        <mc:AlternateContent xmlns:mc="http://schemas.openxmlformats.org/markup-compatibility/2006">
          <mc:Choice Requires="x14">
            <control shapeId="2431" r:id="rId22" name="Check Box 383">
              <controlPr defaultSize="0" autoFill="0" autoLine="0" autoPict="0">
                <anchor moveWithCells="1" sizeWithCells="1">
                  <from>
                    <xdr:col>18</xdr:col>
                    <xdr:colOff>723900</xdr:colOff>
                    <xdr:row>235</xdr:row>
                    <xdr:rowOff>12700</xdr:rowOff>
                  </from>
                  <to>
                    <xdr:col>19</xdr:col>
                    <xdr:colOff>76200</xdr:colOff>
                    <xdr:row>236</xdr:row>
                    <xdr:rowOff>76200</xdr:rowOff>
                  </to>
                </anchor>
              </controlPr>
            </control>
          </mc:Choice>
          <mc:Fallback/>
        </mc:AlternateContent>
        <mc:AlternateContent xmlns:mc="http://schemas.openxmlformats.org/markup-compatibility/2006">
          <mc:Choice Requires="x14">
            <control shapeId="2432" r:id="rId23" name="Check Box 384">
              <controlPr defaultSize="0" autoFill="0" autoLine="0" autoPict="0">
                <anchor moveWithCells="1" sizeWithCells="1">
                  <from>
                    <xdr:col>19</xdr:col>
                    <xdr:colOff>101600</xdr:colOff>
                    <xdr:row>235</xdr:row>
                    <xdr:rowOff>12700</xdr:rowOff>
                  </from>
                  <to>
                    <xdr:col>20</xdr:col>
                    <xdr:colOff>800100</xdr:colOff>
                    <xdr:row>236</xdr:row>
                    <xdr:rowOff>76200</xdr:rowOff>
                  </to>
                </anchor>
              </controlPr>
            </control>
          </mc:Choice>
          <mc:Fallback/>
        </mc:AlternateContent>
        <mc:AlternateContent xmlns:mc="http://schemas.openxmlformats.org/markup-compatibility/2006">
          <mc:Choice Requires="x14">
            <control shapeId="2433" r:id="rId24" name="Check Box 385">
              <controlPr defaultSize="0" autoFill="0" autoLine="0" autoPict="0">
                <anchor moveWithCells="1" sizeWithCells="1">
                  <from>
                    <xdr:col>20</xdr:col>
                    <xdr:colOff>444500</xdr:colOff>
                    <xdr:row>234</xdr:row>
                    <xdr:rowOff>152400</xdr:rowOff>
                  </from>
                  <to>
                    <xdr:col>22</xdr:col>
                    <xdr:colOff>571500</xdr:colOff>
                    <xdr:row>236</xdr:row>
                    <xdr:rowOff>63500</xdr:rowOff>
                  </to>
                </anchor>
              </controlPr>
            </control>
          </mc:Choice>
          <mc:Fallback/>
        </mc:AlternateContent>
        <mc:AlternateContent xmlns:mc="http://schemas.openxmlformats.org/markup-compatibility/2006">
          <mc:Choice Requires="x14">
            <control shapeId="2434" r:id="rId25" name="Check Box 386">
              <controlPr defaultSize="0" autoFill="0" autoLine="0" autoPict="0">
                <anchor moveWithCells="1" sizeWithCells="1">
                  <from>
                    <xdr:col>22</xdr:col>
                    <xdr:colOff>254000</xdr:colOff>
                    <xdr:row>235</xdr:row>
                    <xdr:rowOff>12700</xdr:rowOff>
                  </from>
                  <to>
                    <xdr:col>26</xdr:col>
                    <xdr:colOff>12700</xdr:colOff>
                    <xdr:row>236</xdr:row>
                    <xdr:rowOff>76200</xdr:rowOff>
                  </to>
                </anchor>
              </controlPr>
            </control>
          </mc:Choice>
          <mc:Fallback/>
        </mc:AlternateContent>
        <mc:AlternateContent xmlns:mc="http://schemas.openxmlformats.org/markup-compatibility/2006">
          <mc:Choice Requires="x14">
            <control shapeId="1225259" r:id="rId26" name="Check Box 1579">
              <controlPr defaultSize="0" autoFill="0" autoLine="0" autoPict="0">
                <anchor moveWithCells="1" sizeWithCells="1">
                  <from>
                    <xdr:col>22</xdr:col>
                    <xdr:colOff>520700</xdr:colOff>
                    <xdr:row>203</xdr:row>
                    <xdr:rowOff>25400</xdr:rowOff>
                  </from>
                  <to>
                    <xdr:col>25</xdr:col>
                    <xdr:colOff>330200</xdr:colOff>
                    <xdr:row>204</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310"/>
  <sheetViews>
    <sheetView zoomScale="90" zoomScaleNormal="90" zoomScalePageLayoutView="90" workbookViewId="0">
      <selection sqref="A1:F1"/>
    </sheetView>
  </sheetViews>
  <sheetFormatPr baseColWidth="10" defaultColWidth="8.83203125" defaultRowHeight="12" x14ac:dyDescent="0"/>
  <cols>
    <col min="1" max="1" width="27.6640625" customWidth="1"/>
    <col min="2" max="2" width="11.5" customWidth="1"/>
    <col min="3" max="3" width="12.6640625" customWidth="1"/>
    <col min="5" max="5" width="8.5" customWidth="1"/>
    <col min="7" max="7" width="8.6640625" customWidth="1"/>
    <col min="8" max="8" width="6.5" customWidth="1"/>
    <col min="9" max="9" width="2.1640625" customWidth="1"/>
    <col min="10" max="10" width="27.6640625" customWidth="1"/>
    <col min="11" max="11" width="11.5" customWidth="1"/>
    <col min="12" max="12" width="12.6640625" customWidth="1"/>
    <col min="14" max="14" width="8.5" customWidth="1"/>
    <col min="16" max="16" width="8.6640625" customWidth="1"/>
    <col min="17" max="17" width="6.5" customWidth="1"/>
    <col min="18" max="18" width="2.1640625" customWidth="1"/>
    <col min="19" max="19" width="27.6640625" customWidth="1"/>
    <col min="20" max="20" width="11.5" customWidth="1"/>
    <col min="21" max="21" width="12.6640625" customWidth="1"/>
    <col min="23" max="23" width="8.5" customWidth="1"/>
    <col min="25" max="25" width="8.6640625" customWidth="1"/>
    <col min="26" max="26" width="6.5" customWidth="1"/>
    <col min="29" max="29" width="2.1640625" customWidth="1"/>
    <col min="30" max="30" width="9.83203125" bestFit="1" customWidth="1"/>
  </cols>
  <sheetData>
    <row r="1" spans="1:30">
      <c r="A1" s="634" t="s">
        <v>841</v>
      </c>
      <c r="B1" s="634"/>
      <c r="C1" s="634"/>
      <c r="D1" s="634"/>
      <c r="E1" s="634"/>
      <c r="F1" s="634"/>
      <c r="J1" s="634" t="s">
        <v>842</v>
      </c>
      <c r="K1" s="634"/>
      <c r="L1" s="634"/>
      <c r="M1" s="634"/>
      <c r="N1" s="634"/>
      <c r="O1" s="634"/>
      <c r="P1" s="23"/>
      <c r="Q1" s="23"/>
      <c r="S1" s="634" t="s">
        <v>843</v>
      </c>
      <c r="T1" s="634"/>
      <c r="U1" s="634"/>
      <c r="V1" s="634"/>
      <c r="W1" s="634"/>
      <c r="X1" s="634"/>
      <c r="AA1" s="23"/>
      <c r="AB1" s="23"/>
      <c r="AD1" s="23"/>
    </row>
    <row r="2" spans="1:30" ht="13" thickBot="1">
      <c r="W2" s="421"/>
    </row>
    <row r="3" spans="1:30" ht="17" thickTop="1" thickBot="1">
      <c r="A3" s="115" t="s">
        <v>188</v>
      </c>
      <c r="B3" s="47"/>
      <c r="J3" s="115" t="s">
        <v>188</v>
      </c>
      <c r="K3" s="47"/>
      <c r="S3" s="115" t="s">
        <v>188</v>
      </c>
      <c r="T3" s="47"/>
    </row>
    <row r="4" spans="1:30" s="26" customFormat="1" ht="14" thickTop="1" thickBot="1">
      <c r="C4" s="602" t="s">
        <v>189</v>
      </c>
      <c r="D4" s="602" t="s">
        <v>190</v>
      </c>
      <c r="E4" s="602" t="s">
        <v>191</v>
      </c>
      <c r="F4" s="602" t="s">
        <v>192</v>
      </c>
      <c r="G4" s="602" t="s">
        <v>193</v>
      </c>
      <c r="L4" s="602" t="s">
        <v>189</v>
      </c>
      <c r="M4" s="602" t="s">
        <v>190</v>
      </c>
      <c r="N4" s="602" t="s">
        <v>191</v>
      </c>
      <c r="O4" s="602" t="s">
        <v>192</v>
      </c>
      <c r="P4" s="602" t="s">
        <v>193</v>
      </c>
      <c r="U4" s="602" t="s">
        <v>189</v>
      </c>
      <c r="V4" s="602" t="s">
        <v>190</v>
      </c>
      <c r="W4" s="602" t="s">
        <v>191</v>
      </c>
      <c r="X4" s="602" t="s">
        <v>192</v>
      </c>
      <c r="Y4" s="602" t="s">
        <v>193</v>
      </c>
      <c r="AA4" s="116" t="s">
        <v>764</v>
      </c>
    </row>
    <row r="5" spans="1:30">
      <c r="A5" s="27" t="s">
        <v>96</v>
      </c>
      <c r="B5" s="117" t="s">
        <v>97</v>
      </c>
      <c r="C5" s="118">
        <v>0.5</v>
      </c>
      <c r="D5" s="118">
        <v>0.1</v>
      </c>
      <c r="E5" s="118">
        <v>0.1</v>
      </c>
      <c r="F5" s="118">
        <v>0.1</v>
      </c>
      <c r="G5" s="119">
        <v>0.2</v>
      </c>
      <c r="J5" s="27" t="s">
        <v>96</v>
      </c>
      <c r="K5" s="117" t="s">
        <v>97</v>
      </c>
      <c r="L5" s="118">
        <v>0.5</v>
      </c>
      <c r="M5" s="118">
        <v>0.25</v>
      </c>
      <c r="N5" s="118">
        <v>0.15</v>
      </c>
      <c r="O5" s="118">
        <v>7.4999999999999997E-2</v>
      </c>
      <c r="P5" s="119">
        <v>0.2</v>
      </c>
      <c r="S5" s="580" t="s">
        <v>96</v>
      </c>
      <c r="T5" s="579" t="str">
        <f t="array" ref="T5:T81">IF(TRANSPOSE(Data_All!B2:BZ2)="", "", TRANSPOSE(Data_All!B2:BZ2))</f>
        <v>VTSMX</v>
      </c>
      <c r="U5" s="118"/>
      <c r="V5" s="118"/>
      <c r="W5" s="118"/>
      <c r="X5" s="118"/>
      <c r="Y5" s="119"/>
      <c r="AA5" s="543">
        <f t="array" ref="AA5:AA81">IF(TRANSPOSE(Data_All!B5:BZ5)="", "", TRANSPOSE(Data_All!B5:BZ5))</f>
        <v>1871</v>
      </c>
      <c r="AB5" s="545" t="str">
        <f>IF(AND(SUM($U5:$Y5)&gt;0, AA5&gt;MIN($U$88:$Y$88)), "ERROR", "")</f>
        <v/>
      </c>
    </row>
    <row r="6" spans="1:30">
      <c r="A6" s="31" t="s">
        <v>98</v>
      </c>
      <c r="B6" s="38" t="s">
        <v>99</v>
      </c>
      <c r="C6" s="120"/>
      <c r="D6" s="120">
        <v>0.15</v>
      </c>
      <c r="E6" s="120"/>
      <c r="F6" s="120">
        <v>0.1</v>
      </c>
      <c r="G6" s="121"/>
      <c r="J6" s="31" t="s">
        <v>98</v>
      </c>
      <c r="K6" s="38" t="s">
        <v>99</v>
      </c>
      <c r="L6" s="120"/>
      <c r="M6" s="120"/>
      <c r="N6" s="120">
        <v>0.15</v>
      </c>
      <c r="O6" s="120">
        <v>7.4999999999999997E-2</v>
      </c>
      <c r="P6" s="121"/>
      <c r="S6" s="578" t="s">
        <v>98</v>
      </c>
      <c r="T6" s="32" t="str">
        <v>VIVAX</v>
      </c>
      <c r="U6" s="120"/>
      <c r="V6" s="120"/>
      <c r="W6" s="120"/>
      <c r="X6" s="120"/>
      <c r="Y6" s="121"/>
      <c r="AA6" s="543">
        <v>1972</v>
      </c>
      <c r="AB6" s="545" t="str">
        <f t="shared" ref="AB6:AB69" si="0">IF(AND(SUM($U6:$Y6)&gt;0, AA6&gt;MIN($U$88:$Y$88)), "ERROR", "")</f>
        <v/>
      </c>
    </row>
    <row r="7" spans="1:30">
      <c r="A7" s="31" t="s">
        <v>100</v>
      </c>
      <c r="B7" s="38" t="s">
        <v>101</v>
      </c>
      <c r="C7" s="120"/>
      <c r="D7" s="120"/>
      <c r="E7" s="120"/>
      <c r="F7" s="120"/>
      <c r="G7" s="121"/>
      <c r="J7" s="31" t="s">
        <v>100</v>
      </c>
      <c r="K7" s="38" t="s">
        <v>101</v>
      </c>
      <c r="L7" s="120"/>
      <c r="M7" s="120"/>
      <c r="N7" s="120"/>
      <c r="O7" s="120"/>
      <c r="P7" s="121"/>
      <c r="S7" s="578" t="s">
        <v>756</v>
      </c>
      <c r="T7" s="32" t="str">
        <v>VFINX</v>
      </c>
      <c r="U7" s="120"/>
      <c r="V7" s="120"/>
      <c r="W7" s="120"/>
      <c r="X7" s="120"/>
      <c r="Y7" s="121"/>
      <c r="AA7" s="543">
        <v>1871</v>
      </c>
      <c r="AB7" s="545" t="str">
        <f t="shared" si="0"/>
        <v/>
      </c>
    </row>
    <row r="8" spans="1:30">
      <c r="A8" s="31" t="s">
        <v>102</v>
      </c>
      <c r="B8" s="38" t="s">
        <v>103</v>
      </c>
      <c r="C8" s="120"/>
      <c r="D8" s="120"/>
      <c r="E8" s="120"/>
      <c r="F8" s="120"/>
      <c r="G8" s="121"/>
      <c r="J8" s="31" t="s">
        <v>102</v>
      </c>
      <c r="K8" s="38" t="s">
        <v>103</v>
      </c>
      <c r="L8" s="120"/>
      <c r="M8" s="120"/>
      <c r="N8" s="120"/>
      <c r="O8" s="120"/>
      <c r="P8" s="121"/>
      <c r="S8" s="578" t="s">
        <v>102</v>
      </c>
      <c r="T8" s="32" t="str">
        <v>VIGRX</v>
      </c>
      <c r="U8" s="120"/>
      <c r="V8" s="120"/>
      <c r="W8" s="120"/>
      <c r="X8" s="120"/>
      <c r="Y8" s="121"/>
      <c r="AA8" s="543">
        <v>1972</v>
      </c>
      <c r="AB8" s="545" t="str">
        <f t="shared" si="0"/>
        <v/>
      </c>
    </row>
    <row r="9" spans="1:30">
      <c r="A9" s="31" t="s">
        <v>104</v>
      </c>
      <c r="B9" s="38" t="s">
        <v>105</v>
      </c>
      <c r="C9" s="120"/>
      <c r="D9" s="120">
        <v>0.1</v>
      </c>
      <c r="E9" s="120">
        <v>0.1</v>
      </c>
      <c r="F9" s="120"/>
      <c r="G9" s="121"/>
      <c r="J9" s="31" t="s">
        <v>104</v>
      </c>
      <c r="K9" s="38" t="s">
        <v>105</v>
      </c>
      <c r="L9" s="120"/>
      <c r="M9" s="120"/>
      <c r="N9" s="120"/>
      <c r="O9" s="120">
        <v>0.05</v>
      </c>
      <c r="P9" s="121"/>
      <c r="S9" s="578" t="s">
        <v>104</v>
      </c>
      <c r="T9" s="32" t="str">
        <v>VIMSX</v>
      </c>
      <c r="U9" s="120"/>
      <c r="V9" s="120"/>
      <c r="W9" s="120"/>
      <c r="X9" s="120"/>
      <c r="Y9" s="121"/>
      <c r="AA9" s="543">
        <v>1972</v>
      </c>
      <c r="AB9" s="545" t="str">
        <f t="shared" si="0"/>
        <v/>
      </c>
    </row>
    <row r="10" spans="1:30">
      <c r="A10" s="31" t="s">
        <v>106</v>
      </c>
      <c r="B10" s="38" t="s">
        <v>107</v>
      </c>
      <c r="C10" s="120"/>
      <c r="D10" s="120">
        <v>0.1</v>
      </c>
      <c r="E10" s="120">
        <v>0.1</v>
      </c>
      <c r="F10" s="120">
        <v>0.2</v>
      </c>
      <c r="G10" s="121">
        <v>0.1</v>
      </c>
      <c r="J10" s="31" t="s">
        <v>106</v>
      </c>
      <c r="K10" s="38" t="s">
        <v>107</v>
      </c>
      <c r="L10" s="120"/>
      <c r="M10" s="120"/>
      <c r="N10" s="120">
        <v>0.05</v>
      </c>
      <c r="O10" s="120">
        <v>0.05</v>
      </c>
      <c r="P10" s="121"/>
      <c r="S10" s="578" t="s">
        <v>106</v>
      </c>
      <c r="T10" s="32" t="str">
        <v>VISVX</v>
      </c>
      <c r="U10" s="120"/>
      <c r="V10" s="120"/>
      <c r="W10" s="120"/>
      <c r="X10" s="120"/>
      <c r="Y10" s="121"/>
      <c r="AA10" s="543">
        <v>1972</v>
      </c>
      <c r="AB10" s="545" t="str">
        <f t="shared" si="0"/>
        <v/>
      </c>
    </row>
    <row r="11" spans="1:30">
      <c r="A11" s="31" t="s">
        <v>108</v>
      </c>
      <c r="B11" s="38" t="s">
        <v>109</v>
      </c>
      <c r="C11" s="120"/>
      <c r="D11" s="120">
        <v>0.05</v>
      </c>
      <c r="E11" s="120">
        <v>0.1</v>
      </c>
      <c r="F11" s="120"/>
      <c r="G11" s="121"/>
      <c r="J11" s="31" t="s">
        <v>108</v>
      </c>
      <c r="K11" s="38" t="s">
        <v>109</v>
      </c>
      <c r="L11" s="120"/>
      <c r="M11" s="120"/>
      <c r="N11" s="120">
        <v>0.05</v>
      </c>
      <c r="O11" s="120">
        <v>0.05</v>
      </c>
      <c r="P11" s="121"/>
      <c r="S11" s="578" t="s">
        <v>108</v>
      </c>
      <c r="T11" s="32" t="str">
        <v>NAESX</v>
      </c>
      <c r="U11" s="120"/>
      <c r="V11" s="120"/>
      <c r="W11" s="120"/>
      <c r="X11" s="120"/>
      <c r="Y11" s="121"/>
      <c r="AA11" s="543">
        <v>1972</v>
      </c>
      <c r="AB11" s="545" t="str">
        <f t="shared" si="0"/>
        <v/>
      </c>
    </row>
    <row r="12" spans="1:30">
      <c r="A12" s="31" t="s">
        <v>110</v>
      </c>
      <c r="B12" s="38" t="s">
        <v>111</v>
      </c>
      <c r="C12" s="120"/>
      <c r="D12" s="120"/>
      <c r="E12" s="120"/>
      <c r="F12" s="120"/>
      <c r="G12" s="121"/>
      <c r="J12" s="31" t="s">
        <v>110</v>
      </c>
      <c r="K12" s="38" t="s">
        <v>111</v>
      </c>
      <c r="L12" s="120"/>
      <c r="M12" s="120"/>
      <c r="N12" s="120"/>
      <c r="O12" s="120"/>
      <c r="P12" s="121"/>
      <c r="S12" s="578" t="s">
        <v>110</v>
      </c>
      <c r="T12" s="32" t="str">
        <v>VISGX</v>
      </c>
      <c r="U12" s="120"/>
      <c r="V12" s="120"/>
      <c r="W12" s="120"/>
      <c r="X12" s="120"/>
      <c r="Y12" s="121"/>
      <c r="AA12" s="543">
        <v>1972</v>
      </c>
      <c r="AB12" s="545" t="str">
        <f t="shared" si="0"/>
        <v/>
      </c>
    </row>
    <row r="13" spans="1:30">
      <c r="A13" s="31" t="s">
        <v>112</v>
      </c>
      <c r="B13" s="38" t="s">
        <v>113</v>
      </c>
      <c r="C13" s="120"/>
      <c r="D13" s="120"/>
      <c r="E13" s="120"/>
      <c r="F13" s="120"/>
      <c r="G13" s="121"/>
      <c r="J13" s="31" t="s">
        <v>112</v>
      </c>
      <c r="K13" s="38" t="s">
        <v>113</v>
      </c>
      <c r="L13" s="120"/>
      <c r="M13" s="120"/>
      <c r="N13" s="120"/>
      <c r="O13" s="120">
        <v>0.05</v>
      </c>
      <c r="P13" s="121"/>
      <c r="S13" s="578" t="s">
        <v>112</v>
      </c>
      <c r="T13" s="32" t="str">
        <v>BRSIX</v>
      </c>
      <c r="U13" s="120"/>
      <c r="V13" s="120"/>
      <c r="W13" s="120"/>
      <c r="X13" s="120"/>
      <c r="Y13" s="121"/>
      <c r="AA13" s="543">
        <v>1972</v>
      </c>
      <c r="AB13" s="545" t="str">
        <f t="shared" si="0"/>
        <v/>
      </c>
    </row>
    <row r="14" spans="1:30">
      <c r="A14" s="31" t="s">
        <v>114</v>
      </c>
      <c r="B14" s="38" t="s">
        <v>115</v>
      </c>
      <c r="C14" s="120"/>
      <c r="D14" s="120"/>
      <c r="E14" s="120"/>
      <c r="F14" s="120">
        <v>0.1</v>
      </c>
      <c r="G14" s="121"/>
      <c r="J14" s="31" t="s">
        <v>114</v>
      </c>
      <c r="K14" s="38" t="s">
        <v>115</v>
      </c>
      <c r="L14" s="120"/>
      <c r="M14" s="120"/>
      <c r="N14" s="120">
        <v>0.1</v>
      </c>
      <c r="O14" s="120">
        <v>0.05</v>
      </c>
      <c r="P14" s="121"/>
      <c r="S14" s="578" t="s">
        <v>114</v>
      </c>
      <c r="T14" s="32" t="str">
        <v>VGSIX</v>
      </c>
      <c r="U14" s="120"/>
      <c r="V14" s="120"/>
      <c r="W14" s="120"/>
      <c r="X14" s="120"/>
      <c r="Y14" s="121"/>
      <c r="AA14" s="543">
        <v>1972</v>
      </c>
      <c r="AB14" s="545" t="str">
        <f t="shared" si="0"/>
        <v/>
      </c>
    </row>
    <row r="15" spans="1:30">
      <c r="A15" s="31" t="s">
        <v>116</v>
      </c>
      <c r="B15" s="38" t="s">
        <v>624</v>
      </c>
      <c r="C15" s="120"/>
      <c r="D15" s="120">
        <v>0.1</v>
      </c>
      <c r="E15" s="120">
        <v>0.1</v>
      </c>
      <c r="F15" s="120">
        <v>0.1</v>
      </c>
      <c r="G15" s="121">
        <v>0.2</v>
      </c>
      <c r="J15" s="31" t="s">
        <v>116</v>
      </c>
      <c r="K15" s="38" t="s">
        <v>624</v>
      </c>
      <c r="L15" s="120"/>
      <c r="M15" s="120"/>
      <c r="N15" s="120"/>
      <c r="O15" s="120"/>
      <c r="P15" s="121"/>
      <c r="S15" s="578" t="s">
        <v>116</v>
      </c>
      <c r="T15" s="32" t="str">
        <v>VTMGX</v>
      </c>
      <c r="U15" s="120"/>
      <c r="V15" s="120"/>
      <c r="W15" s="120"/>
      <c r="X15" s="120"/>
      <c r="Y15" s="121"/>
      <c r="AA15" s="543">
        <v>1972</v>
      </c>
      <c r="AB15" s="545" t="str">
        <f t="shared" si="0"/>
        <v/>
      </c>
    </row>
    <row r="16" spans="1:30">
      <c r="A16" s="31" t="s">
        <v>117</v>
      </c>
      <c r="B16" s="38" t="s">
        <v>118</v>
      </c>
      <c r="C16" s="120"/>
      <c r="D16" s="120">
        <v>0.05</v>
      </c>
      <c r="E16" s="120">
        <v>0.1</v>
      </c>
      <c r="F16" s="120">
        <v>0.1</v>
      </c>
      <c r="G16" s="121">
        <v>0.1</v>
      </c>
      <c r="J16" s="31" t="s">
        <v>117</v>
      </c>
      <c r="K16" s="38" t="s">
        <v>118</v>
      </c>
      <c r="L16" s="120"/>
      <c r="M16" s="120"/>
      <c r="N16" s="120">
        <v>7.4999999999999997E-2</v>
      </c>
      <c r="O16" s="120">
        <v>7.4999999999999997E-2</v>
      </c>
      <c r="P16" s="121"/>
      <c r="S16" s="578" t="s">
        <v>117</v>
      </c>
      <c r="T16" s="32" t="str">
        <v>VEIEX</v>
      </c>
      <c r="U16" s="120"/>
      <c r="V16" s="120"/>
      <c r="W16" s="120"/>
      <c r="X16" s="120"/>
      <c r="Y16" s="121"/>
      <c r="AA16" s="543">
        <v>1972</v>
      </c>
      <c r="AB16" s="545" t="str">
        <f t="shared" si="0"/>
        <v/>
      </c>
    </row>
    <row r="17" spans="1:28">
      <c r="A17" s="31" t="s">
        <v>119</v>
      </c>
      <c r="B17" s="38" t="s">
        <v>120</v>
      </c>
      <c r="C17" s="120">
        <v>0.3</v>
      </c>
      <c r="D17" s="120"/>
      <c r="E17" s="120"/>
      <c r="F17" s="120"/>
      <c r="G17" s="121"/>
      <c r="J17" s="31" t="s">
        <v>119</v>
      </c>
      <c r="K17" s="38" t="s">
        <v>120</v>
      </c>
      <c r="L17" s="120">
        <v>0</v>
      </c>
      <c r="M17" s="120"/>
      <c r="N17" s="120"/>
      <c r="O17" s="120"/>
      <c r="P17" s="121">
        <v>0.05</v>
      </c>
      <c r="S17" s="578" t="s">
        <v>119</v>
      </c>
      <c r="T17" s="32" t="str">
        <v>VGTSX</v>
      </c>
      <c r="U17" s="120"/>
      <c r="V17" s="120"/>
      <c r="W17" s="120"/>
      <c r="X17" s="120"/>
      <c r="Y17" s="121"/>
      <c r="AA17" s="543">
        <v>1972</v>
      </c>
      <c r="AB17" s="545" t="str">
        <f t="shared" si="0"/>
        <v/>
      </c>
    </row>
    <row r="18" spans="1:28">
      <c r="A18" s="31" t="s">
        <v>121</v>
      </c>
      <c r="B18" s="38" t="s">
        <v>122</v>
      </c>
      <c r="C18" s="120"/>
      <c r="D18" s="120"/>
      <c r="E18" s="120"/>
      <c r="F18" s="120"/>
      <c r="G18" s="121"/>
      <c r="J18" s="31" t="s">
        <v>121</v>
      </c>
      <c r="K18" s="38" t="s">
        <v>122</v>
      </c>
      <c r="L18" s="120"/>
      <c r="M18" s="120"/>
      <c r="N18" s="120">
        <v>7.4999999999999997E-2</v>
      </c>
      <c r="O18" s="120">
        <v>7.4999999999999997E-2</v>
      </c>
      <c r="P18" s="121"/>
      <c r="S18" s="578" t="s">
        <v>121</v>
      </c>
      <c r="T18" s="32" t="str">
        <v>VPACX</v>
      </c>
      <c r="U18" s="120"/>
      <c r="V18" s="120"/>
      <c r="W18" s="120"/>
      <c r="X18" s="120"/>
      <c r="Y18" s="121"/>
      <c r="AA18" s="543">
        <v>1972</v>
      </c>
      <c r="AB18" s="545" t="str">
        <f t="shared" si="0"/>
        <v/>
      </c>
    </row>
    <row r="19" spans="1:28">
      <c r="A19" s="31" t="s">
        <v>123</v>
      </c>
      <c r="B19" s="38" t="s">
        <v>124</v>
      </c>
      <c r="C19" s="120"/>
      <c r="D19" s="120"/>
      <c r="E19" s="120"/>
      <c r="F19" s="120"/>
      <c r="G19" s="121"/>
      <c r="J19" s="31" t="s">
        <v>123</v>
      </c>
      <c r="K19" s="38" t="s">
        <v>124</v>
      </c>
      <c r="L19" s="120"/>
      <c r="M19" s="120"/>
      <c r="N19" s="120">
        <v>7.4999999999999997E-2</v>
      </c>
      <c r="O19" s="120">
        <v>7.4999999999999997E-2</v>
      </c>
      <c r="P19" s="121"/>
      <c r="S19" s="578" t="s">
        <v>123</v>
      </c>
      <c r="T19" s="32" t="str">
        <v>VEURX</v>
      </c>
      <c r="U19" s="120"/>
      <c r="V19" s="120"/>
      <c r="W19" s="120"/>
      <c r="X19" s="120"/>
      <c r="Y19" s="121"/>
      <c r="AA19" s="543">
        <v>1972</v>
      </c>
      <c r="AB19" s="545" t="str">
        <f t="shared" si="0"/>
        <v/>
      </c>
    </row>
    <row r="20" spans="1:28">
      <c r="A20" s="31" t="s">
        <v>125</v>
      </c>
      <c r="B20" s="38" t="s">
        <v>126</v>
      </c>
      <c r="C20" s="120"/>
      <c r="D20" s="120">
        <v>0.1</v>
      </c>
      <c r="E20" s="120">
        <v>0.1</v>
      </c>
      <c r="F20" s="120"/>
      <c r="G20" s="121"/>
      <c r="J20" s="31" t="s">
        <v>125</v>
      </c>
      <c r="K20" s="38" t="s">
        <v>126</v>
      </c>
      <c r="L20" s="120"/>
      <c r="M20" s="120"/>
      <c r="N20" s="120">
        <v>7.4999999999999997E-2</v>
      </c>
      <c r="O20" s="120">
        <v>7.4999999999999997E-2</v>
      </c>
      <c r="P20" s="121"/>
      <c r="S20" s="578" t="s">
        <v>125</v>
      </c>
      <c r="T20" s="32" t="str">
        <v>VTRIX</v>
      </c>
      <c r="U20" s="120"/>
      <c r="V20" s="120"/>
      <c r="W20" s="120"/>
      <c r="X20" s="120"/>
      <c r="Y20" s="121"/>
      <c r="AA20" s="543">
        <v>1972</v>
      </c>
      <c r="AB20" s="545" t="str">
        <f t="shared" si="0"/>
        <v/>
      </c>
    </row>
    <row r="21" spans="1:28">
      <c r="A21" s="31" t="s">
        <v>127</v>
      </c>
      <c r="B21" s="38" t="s">
        <v>128</v>
      </c>
      <c r="C21" s="120"/>
      <c r="D21" s="120"/>
      <c r="E21" s="120"/>
      <c r="F21" s="120"/>
      <c r="G21" s="121"/>
      <c r="J21" s="31" t="s">
        <v>127</v>
      </c>
      <c r="K21" s="38" t="s">
        <v>128</v>
      </c>
      <c r="L21" s="120">
        <v>0.15</v>
      </c>
      <c r="M21" s="120"/>
      <c r="N21" s="120"/>
      <c r="O21" s="120"/>
      <c r="P21" s="121"/>
      <c r="S21" s="578" t="s">
        <v>127</v>
      </c>
      <c r="T21" s="32" t="str">
        <v>PCRIX</v>
      </c>
      <c r="U21" s="120"/>
      <c r="V21" s="120"/>
      <c r="W21" s="120"/>
      <c r="X21" s="120"/>
      <c r="Y21" s="121"/>
      <c r="AA21" s="543">
        <v>1972</v>
      </c>
      <c r="AB21" s="545" t="str">
        <f t="shared" si="0"/>
        <v/>
      </c>
    </row>
    <row r="22" spans="1:28">
      <c r="A22" s="31" t="s">
        <v>129</v>
      </c>
      <c r="B22" s="38" t="s">
        <v>130</v>
      </c>
      <c r="C22" s="120"/>
      <c r="D22" s="120"/>
      <c r="E22" s="120"/>
      <c r="F22" s="120"/>
      <c r="G22" s="121"/>
      <c r="J22" s="31" t="s">
        <v>129</v>
      </c>
      <c r="K22" s="38" t="s">
        <v>130</v>
      </c>
      <c r="L22" s="120">
        <v>0.05</v>
      </c>
      <c r="M22" s="120">
        <v>0.25</v>
      </c>
      <c r="N22" s="120"/>
      <c r="O22" s="120"/>
      <c r="P22" s="121">
        <v>0.25</v>
      </c>
      <c r="S22" s="578" t="s">
        <v>129</v>
      </c>
      <c r="T22" s="32" t="str">
        <v>VUSTX</v>
      </c>
      <c r="U22" s="120"/>
      <c r="V22" s="120"/>
      <c r="W22" s="120"/>
      <c r="X22" s="120"/>
      <c r="Y22" s="121"/>
      <c r="AA22" s="543">
        <v>1972</v>
      </c>
      <c r="AB22" s="545" t="str">
        <f t="shared" si="0"/>
        <v/>
      </c>
    </row>
    <row r="23" spans="1:28">
      <c r="A23" s="31" t="s">
        <v>131</v>
      </c>
      <c r="B23" s="38" t="s">
        <v>132</v>
      </c>
      <c r="C23" s="120"/>
      <c r="D23" s="120"/>
      <c r="E23" s="120"/>
      <c r="F23" s="120"/>
      <c r="G23" s="121"/>
      <c r="J23" s="31" t="s">
        <v>131</v>
      </c>
      <c r="K23" s="38" t="s">
        <v>132</v>
      </c>
      <c r="L23" s="120"/>
      <c r="M23" s="120"/>
      <c r="N23" s="120"/>
      <c r="O23" s="120"/>
      <c r="P23" s="121"/>
      <c r="S23" s="578" t="s">
        <v>131</v>
      </c>
      <c r="T23" s="32" t="str">
        <v>VFITX</v>
      </c>
      <c r="U23" s="120"/>
      <c r="V23" s="120"/>
      <c r="W23" s="120"/>
      <c r="X23" s="120"/>
      <c r="Y23" s="121"/>
      <c r="AA23" s="543">
        <v>1871</v>
      </c>
      <c r="AB23" s="545" t="str">
        <f t="shared" si="0"/>
        <v/>
      </c>
    </row>
    <row r="24" spans="1:28">
      <c r="A24" s="31" t="s">
        <v>133</v>
      </c>
      <c r="B24" s="38" t="s">
        <v>134</v>
      </c>
      <c r="C24" s="120">
        <v>0.2</v>
      </c>
      <c r="D24" s="120">
        <v>0.2</v>
      </c>
      <c r="E24" s="120">
        <v>0.2</v>
      </c>
      <c r="F24" s="120"/>
      <c r="G24" s="121">
        <v>0.2</v>
      </c>
      <c r="J24" s="31" t="s">
        <v>133</v>
      </c>
      <c r="K24" s="38" t="s">
        <v>134</v>
      </c>
      <c r="L24" s="120">
        <v>0</v>
      </c>
      <c r="M24" s="120"/>
      <c r="N24" s="120">
        <v>0.2</v>
      </c>
      <c r="O24" s="120">
        <v>0.15</v>
      </c>
      <c r="P24" s="121"/>
      <c r="S24" s="578" t="s">
        <v>133</v>
      </c>
      <c r="T24" s="32" t="str">
        <v>VBMFX</v>
      </c>
      <c r="U24" s="120"/>
      <c r="V24" s="120"/>
      <c r="W24" s="120"/>
      <c r="X24" s="120"/>
      <c r="Y24" s="121"/>
      <c r="AA24" s="543">
        <v>1972</v>
      </c>
      <c r="AB24" s="545" t="str">
        <f t="shared" si="0"/>
        <v/>
      </c>
    </row>
    <row r="25" spans="1:28">
      <c r="A25" s="31" t="s">
        <v>135</v>
      </c>
      <c r="B25" s="38" t="s">
        <v>194</v>
      </c>
      <c r="C25" s="120"/>
      <c r="D25" s="120">
        <v>0.05</v>
      </c>
      <c r="E25" s="120"/>
      <c r="F25" s="120"/>
      <c r="G25" s="121"/>
      <c r="J25" s="31" t="s">
        <v>135</v>
      </c>
      <c r="K25" s="38" t="s">
        <v>194</v>
      </c>
      <c r="L25" s="120"/>
      <c r="M25" s="120">
        <v>0.25</v>
      </c>
      <c r="N25" s="120"/>
      <c r="O25" s="120"/>
      <c r="P25" s="121">
        <v>0.125</v>
      </c>
      <c r="S25" s="578" t="s">
        <v>135</v>
      </c>
      <c r="T25" s="32" t="str">
        <v>VUSXX</v>
      </c>
      <c r="U25" s="120"/>
      <c r="V25" s="120"/>
      <c r="W25" s="120"/>
      <c r="X25" s="120"/>
      <c r="Y25" s="121"/>
      <c r="AA25" s="543">
        <v>1871</v>
      </c>
      <c r="AB25" s="545" t="str">
        <f t="shared" si="0"/>
        <v/>
      </c>
    </row>
    <row r="26" spans="1:28">
      <c r="A26" s="31" t="s">
        <v>137</v>
      </c>
      <c r="B26" s="38" t="s">
        <v>138</v>
      </c>
      <c r="C26" s="120"/>
      <c r="D26" s="120"/>
      <c r="E26" s="120"/>
      <c r="F26" s="120">
        <v>0.1</v>
      </c>
      <c r="G26" s="121">
        <v>0.2</v>
      </c>
      <c r="J26" s="31" t="s">
        <v>137</v>
      </c>
      <c r="K26" s="38" t="s">
        <v>138</v>
      </c>
      <c r="L26" s="120">
        <v>0.3</v>
      </c>
      <c r="M26" s="120"/>
      <c r="N26" s="120"/>
      <c r="O26" s="120">
        <v>0.15</v>
      </c>
      <c r="P26" s="122"/>
      <c r="S26" s="578" t="s">
        <v>137</v>
      </c>
      <c r="T26" s="32" t="str">
        <v>VIPSX</v>
      </c>
      <c r="U26" s="120"/>
      <c r="V26" s="120"/>
      <c r="W26" s="120"/>
      <c r="X26" s="120"/>
      <c r="Y26" s="122"/>
      <c r="AA26" s="543">
        <v>1972</v>
      </c>
      <c r="AB26" s="545" t="str">
        <f t="shared" si="0"/>
        <v/>
      </c>
    </row>
    <row r="27" spans="1:28">
      <c r="A27" s="31" t="s">
        <v>139</v>
      </c>
      <c r="B27" s="38" t="s">
        <v>140</v>
      </c>
      <c r="C27" s="120"/>
      <c r="D27" s="120"/>
      <c r="E27" s="120"/>
      <c r="F27" s="120"/>
      <c r="G27" s="121"/>
      <c r="J27" s="31" t="s">
        <v>139</v>
      </c>
      <c r="K27" s="38" t="s">
        <v>140</v>
      </c>
      <c r="L27" s="120"/>
      <c r="M27" s="120"/>
      <c r="N27" s="120"/>
      <c r="O27" s="120"/>
      <c r="P27" s="121"/>
      <c r="S27" s="578" t="s">
        <v>139</v>
      </c>
      <c r="T27" s="32" t="str">
        <v>VWELX</v>
      </c>
      <c r="U27" s="120"/>
      <c r="V27" s="120"/>
      <c r="W27" s="120"/>
      <c r="X27" s="120"/>
      <c r="Y27" s="121"/>
      <c r="AA27" s="543">
        <v>1972</v>
      </c>
      <c r="AB27" s="545" t="str">
        <f t="shared" si="0"/>
        <v/>
      </c>
    </row>
    <row r="28" spans="1:28">
      <c r="A28" s="31" t="s">
        <v>141</v>
      </c>
      <c r="B28" s="38" t="s">
        <v>142</v>
      </c>
      <c r="C28" s="120"/>
      <c r="D28" s="120"/>
      <c r="E28" s="120"/>
      <c r="F28" s="120"/>
      <c r="G28" s="121"/>
      <c r="J28" s="31" t="s">
        <v>141</v>
      </c>
      <c r="K28" s="38" t="s">
        <v>142</v>
      </c>
      <c r="L28" s="120"/>
      <c r="M28" s="120"/>
      <c r="N28" s="120"/>
      <c r="O28" s="120"/>
      <c r="P28" s="121"/>
      <c r="S28" s="578" t="s">
        <v>141</v>
      </c>
      <c r="T28" s="32" t="str">
        <v>VWINX</v>
      </c>
      <c r="U28" s="120"/>
      <c r="V28" s="120"/>
      <c r="W28" s="120"/>
      <c r="X28" s="120"/>
      <c r="Y28" s="121"/>
      <c r="AA28" s="543">
        <v>1972</v>
      </c>
      <c r="AB28" s="545" t="str">
        <f t="shared" si="0"/>
        <v/>
      </c>
    </row>
    <row r="29" spans="1:28">
      <c r="A29" s="35" t="s">
        <v>143</v>
      </c>
      <c r="B29" s="38" t="s">
        <v>144</v>
      </c>
      <c r="C29" s="120"/>
      <c r="D29" s="120"/>
      <c r="E29" s="120">
        <v>0.1</v>
      </c>
      <c r="F29" s="120"/>
      <c r="G29" s="121"/>
      <c r="J29" s="31" t="s">
        <v>145</v>
      </c>
      <c r="K29" s="38" t="s">
        <v>146</v>
      </c>
      <c r="L29" s="120"/>
      <c r="M29" s="120"/>
      <c r="N29" s="120"/>
      <c r="O29" s="120"/>
      <c r="P29" s="121"/>
      <c r="S29" s="578" t="s">
        <v>143</v>
      </c>
      <c r="T29" s="32" t="str">
        <v>VWNDX</v>
      </c>
      <c r="U29" s="120"/>
      <c r="V29" s="120"/>
      <c r="W29" s="120"/>
      <c r="X29" s="120"/>
      <c r="Y29" s="121"/>
      <c r="AA29" s="543">
        <v>1972</v>
      </c>
      <c r="AB29" s="545" t="str">
        <f t="shared" si="0"/>
        <v/>
      </c>
    </row>
    <row r="30" spans="1:28">
      <c r="A30" s="31" t="s">
        <v>147</v>
      </c>
      <c r="B30" s="38" t="s">
        <v>148</v>
      </c>
      <c r="C30" s="120"/>
      <c r="D30" s="120"/>
      <c r="E30" s="120"/>
      <c r="F30" s="120">
        <v>0.2</v>
      </c>
      <c r="G30" s="121"/>
      <c r="J30" s="31" t="s">
        <v>149</v>
      </c>
      <c r="K30" s="38" t="s">
        <v>150</v>
      </c>
      <c r="L30" s="120"/>
      <c r="M30" s="120"/>
      <c r="N30" s="120"/>
      <c r="O30" s="120"/>
      <c r="P30" s="121"/>
      <c r="S30" s="578" t="s">
        <v>147</v>
      </c>
      <c r="T30" s="32" t="str">
        <v>VFISX</v>
      </c>
      <c r="U30" s="120"/>
      <c r="V30" s="120"/>
      <c r="W30" s="120"/>
      <c r="X30" s="120"/>
      <c r="Y30" s="121"/>
      <c r="AA30" s="543">
        <v>1972</v>
      </c>
      <c r="AB30" s="545" t="str">
        <f t="shared" si="0"/>
        <v/>
      </c>
    </row>
    <row r="31" spans="1:28">
      <c r="A31" s="31" t="str">
        <f>Data_72_15!AB$1</f>
        <v>GOLD</v>
      </c>
      <c r="B31" s="38" t="str">
        <f>Data_72_15!AB2</f>
        <v>GLD</v>
      </c>
      <c r="C31" s="120"/>
      <c r="D31" s="120"/>
      <c r="E31" s="120"/>
      <c r="F31" s="120"/>
      <c r="G31" s="121"/>
      <c r="J31" s="31" t="s">
        <v>151</v>
      </c>
      <c r="K31" s="38" t="s">
        <v>152</v>
      </c>
      <c r="L31" s="120"/>
      <c r="M31" s="120"/>
      <c r="N31" s="120"/>
      <c r="O31" s="120"/>
      <c r="P31" s="121"/>
      <c r="S31" s="578" t="s">
        <v>281</v>
      </c>
      <c r="T31" s="32" t="str">
        <v>GLD</v>
      </c>
      <c r="U31" s="120"/>
      <c r="V31" s="120"/>
      <c r="W31" s="120"/>
      <c r="X31" s="120"/>
      <c r="Y31" s="121"/>
      <c r="AA31" s="543">
        <v>1972</v>
      </c>
      <c r="AB31" s="545" t="str">
        <f t="shared" si="0"/>
        <v/>
      </c>
    </row>
    <row r="32" spans="1:28">
      <c r="A32" s="31" t="str">
        <f>Data_72_15!AC$1</f>
        <v>VG Intl Small</v>
      </c>
      <c r="B32" s="38" t="str">
        <f>Data_72_15!AC2</f>
        <v>VFSVX</v>
      </c>
      <c r="C32" s="120"/>
      <c r="D32" s="120"/>
      <c r="E32" s="120"/>
      <c r="F32" s="120"/>
      <c r="G32" s="121"/>
      <c r="J32" s="31" t="s">
        <v>143</v>
      </c>
      <c r="K32" s="38" t="s">
        <v>144</v>
      </c>
      <c r="L32" s="120"/>
      <c r="M32" s="120"/>
      <c r="N32" s="120"/>
      <c r="O32" s="120"/>
      <c r="P32" s="121"/>
      <c r="S32" s="578" t="s">
        <v>447</v>
      </c>
      <c r="T32" s="32" t="str">
        <v>VFSVX</v>
      </c>
      <c r="U32" s="120"/>
      <c r="V32" s="120"/>
      <c r="W32" s="120"/>
      <c r="X32" s="120"/>
      <c r="Y32" s="121"/>
      <c r="AA32" s="543">
        <v>1972</v>
      </c>
      <c r="AB32" s="545" t="str">
        <f t="shared" si="0"/>
        <v/>
      </c>
    </row>
    <row r="33" spans="1:28">
      <c r="A33" s="124" t="str">
        <f>IF(Data_72_15!AD1="","",Data_72_15!AD1)</f>
        <v/>
      </c>
      <c r="B33" s="42" t="str">
        <f>IF(Data_72_15!AD$2="","",Data_72_15!AD$2)</f>
        <v/>
      </c>
      <c r="C33" s="120"/>
      <c r="D33" s="120"/>
      <c r="E33" s="120"/>
      <c r="F33" s="120"/>
      <c r="G33" s="121"/>
      <c r="J33" s="31" t="s">
        <v>153</v>
      </c>
      <c r="K33" s="38" t="s">
        <v>154</v>
      </c>
      <c r="L33" s="120"/>
      <c r="M33" s="120"/>
      <c r="N33" s="120"/>
      <c r="O33" s="120"/>
      <c r="P33" s="121"/>
      <c r="S33" s="578" t="s">
        <v>145</v>
      </c>
      <c r="T33" s="32" t="str">
        <v>VGENX</v>
      </c>
      <c r="U33" s="120"/>
      <c r="V33" s="120"/>
      <c r="W33" s="120"/>
      <c r="X33" s="120"/>
      <c r="Y33" s="121"/>
      <c r="AA33" s="543">
        <v>1985</v>
      </c>
      <c r="AB33" s="545" t="str">
        <f t="shared" si="0"/>
        <v/>
      </c>
    </row>
    <row r="34" spans="1:28">
      <c r="A34" s="124" t="str">
        <f>IF(Data_72_15!AE1="","",Data_72_15!AE1)</f>
        <v/>
      </c>
      <c r="B34" s="42" t="str">
        <f>IF(Data_72_15!AE$2="","",Data_72_15!AE$2)</f>
        <v/>
      </c>
      <c r="C34" s="120"/>
      <c r="D34" s="120"/>
      <c r="E34" s="120"/>
      <c r="F34" s="120"/>
      <c r="G34" s="121"/>
      <c r="J34" s="31" t="s">
        <v>155</v>
      </c>
      <c r="K34" s="38" t="s">
        <v>156</v>
      </c>
      <c r="L34" s="120"/>
      <c r="M34" s="120"/>
      <c r="N34" s="120"/>
      <c r="O34" s="120"/>
      <c r="P34" s="121"/>
      <c r="S34" s="578" t="s">
        <v>149</v>
      </c>
      <c r="T34" s="32" t="str">
        <v>VGHCX</v>
      </c>
      <c r="U34" s="120"/>
      <c r="V34" s="120"/>
      <c r="W34" s="120"/>
      <c r="X34" s="120"/>
      <c r="Y34" s="121"/>
      <c r="AA34" s="543">
        <v>1985</v>
      </c>
      <c r="AB34" s="545" t="str">
        <f t="shared" si="0"/>
        <v/>
      </c>
    </row>
    <row r="35" spans="1:28">
      <c r="A35" s="124" t="str">
        <f>IF(Data_72_15!AF1="","",Data_72_15!AF1)</f>
        <v/>
      </c>
      <c r="B35" s="42" t="str">
        <f>IF(Data_72_15!AF$2="","",Data_72_15!AF$2)</f>
        <v/>
      </c>
      <c r="C35" s="120"/>
      <c r="D35" s="120"/>
      <c r="E35" s="120"/>
      <c r="F35" s="120"/>
      <c r="G35" s="121"/>
      <c r="J35" s="31" t="s">
        <v>157</v>
      </c>
      <c r="K35" s="38" t="s">
        <v>158</v>
      </c>
      <c r="L35" s="120"/>
      <c r="M35" s="120"/>
      <c r="N35" s="120"/>
      <c r="O35" s="120"/>
      <c r="P35" s="121"/>
      <c r="S35" s="578" t="s">
        <v>151</v>
      </c>
      <c r="T35" s="32" t="str">
        <v>VGPMX</v>
      </c>
      <c r="U35" s="120"/>
      <c r="V35" s="120"/>
      <c r="W35" s="120"/>
      <c r="X35" s="120"/>
      <c r="Y35" s="121"/>
      <c r="AA35" s="543">
        <v>1985</v>
      </c>
      <c r="AB35" s="545" t="str">
        <f t="shared" si="0"/>
        <v/>
      </c>
    </row>
    <row r="36" spans="1:28">
      <c r="A36" s="124" t="str">
        <f>IF(Data_72_15!AG1="","",Data_72_15!AG1)</f>
        <v/>
      </c>
      <c r="B36" s="42" t="str">
        <f>IF(Data_72_15!AG$2="","",Data_72_15!AG$2)</f>
        <v/>
      </c>
      <c r="C36" s="120"/>
      <c r="D36" s="120"/>
      <c r="E36" s="120"/>
      <c r="F36" s="120"/>
      <c r="G36" s="121"/>
      <c r="J36" s="31" t="s">
        <v>159</v>
      </c>
      <c r="K36" s="38" t="s">
        <v>160</v>
      </c>
      <c r="L36" s="120"/>
      <c r="M36" s="120"/>
      <c r="N36" s="120"/>
      <c r="O36" s="120"/>
      <c r="P36" s="121"/>
      <c r="S36" s="578" t="s">
        <v>153</v>
      </c>
      <c r="T36" s="32" t="str">
        <v>VWNFX</v>
      </c>
      <c r="U36" s="120"/>
      <c r="V36" s="120"/>
      <c r="W36" s="120"/>
      <c r="X36" s="120"/>
      <c r="Y36" s="121"/>
      <c r="AA36" s="543">
        <v>1985</v>
      </c>
      <c r="AB36" s="545" t="str">
        <f t="shared" si="0"/>
        <v/>
      </c>
    </row>
    <row r="37" spans="1:28">
      <c r="A37" s="124" t="str">
        <f>IF(Data_72_15!AH1="","",Data_72_15!AH1)</f>
        <v/>
      </c>
      <c r="B37" s="42" t="str">
        <f>IF(Data_72_15!AH$2="","",Data_72_15!AH$2)</f>
        <v/>
      </c>
      <c r="C37" s="120"/>
      <c r="D37" s="120"/>
      <c r="E37" s="120"/>
      <c r="F37" s="120"/>
      <c r="G37" s="121"/>
      <c r="J37" s="31" t="s">
        <v>161</v>
      </c>
      <c r="K37" s="38" t="s">
        <v>162</v>
      </c>
      <c r="L37" s="120"/>
      <c r="M37" s="120"/>
      <c r="N37" s="120"/>
      <c r="O37" s="120"/>
      <c r="P37" s="121"/>
      <c r="S37" s="578" t="s">
        <v>155</v>
      </c>
      <c r="T37" s="32" t="str">
        <v>VWSTX</v>
      </c>
      <c r="U37" s="120"/>
      <c r="V37" s="120"/>
      <c r="W37" s="120"/>
      <c r="X37" s="120"/>
      <c r="Y37" s="121"/>
      <c r="AA37" s="543">
        <v>1985</v>
      </c>
      <c r="AB37" s="545" t="str">
        <f t="shared" si="0"/>
        <v/>
      </c>
    </row>
    <row r="38" spans="1:28">
      <c r="A38" s="124" t="str">
        <f>IF(Data_72_15!AI1="","",Data_72_15!AI1)</f>
        <v/>
      </c>
      <c r="B38" s="42" t="str">
        <f>IF(Data_72_15!AI$2="","",Data_72_15!AI$2)</f>
        <v/>
      </c>
      <c r="C38" s="120"/>
      <c r="D38" s="120"/>
      <c r="E38" s="120"/>
      <c r="F38" s="120"/>
      <c r="G38" s="121"/>
      <c r="J38" s="31" t="s">
        <v>147</v>
      </c>
      <c r="K38" s="38" t="s">
        <v>148</v>
      </c>
      <c r="L38" s="120"/>
      <c r="M38" s="120"/>
      <c r="N38" s="120"/>
      <c r="O38" s="120"/>
      <c r="P38" s="121">
        <v>0.125</v>
      </c>
      <c r="S38" s="578" t="s">
        <v>157</v>
      </c>
      <c r="T38" s="32" t="str">
        <v>VWITX</v>
      </c>
      <c r="U38" s="120"/>
      <c r="V38" s="120"/>
      <c r="W38" s="120"/>
      <c r="X38" s="120"/>
      <c r="Y38" s="121"/>
      <c r="AA38" s="543">
        <v>1985</v>
      </c>
      <c r="AB38" s="545" t="str">
        <f t="shared" si="0"/>
        <v/>
      </c>
    </row>
    <row r="39" spans="1:28">
      <c r="A39" s="124" t="str">
        <f>IF(Data_72_15!AJ1="","",Data_72_15!AJ1)</f>
        <v/>
      </c>
      <c r="B39" s="42" t="str">
        <f>IF(Data_72_15!AJ$2="","",Data_72_15!AJ$2)</f>
        <v/>
      </c>
      <c r="C39" s="120"/>
      <c r="D39" s="120"/>
      <c r="E39" s="120"/>
      <c r="F39" s="120"/>
      <c r="G39" s="121"/>
      <c r="J39" s="31" t="s">
        <v>163</v>
      </c>
      <c r="K39" s="38" t="s">
        <v>164</v>
      </c>
      <c r="L39" s="120"/>
      <c r="M39" s="120"/>
      <c r="N39" s="120"/>
      <c r="O39" s="120"/>
      <c r="P39" s="121"/>
      <c r="S39" s="578" t="s">
        <v>159</v>
      </c>
      <c r="T39" s="32" t="str">
        <v>VWLTX</v>
      </c>
      <c r="U39" s="120"/>
      <c r="V39" s="120"/>
      <c r="W39" s="120"/>
      <c r="X39" s="120"/>
      <c r="Y39" s="121"/>
      <c r="AA39" s="543">
        <v>1985</v>
      </c>
      <c r="AB39" s="545" t="str">
        <f t="shared" si="0"/>
        <v/>
      </c>
    </row>
    <row r="40" spans="1:28">
      <c r="A40" s="124" t="str">
        <f>IF(Data_72_15!AK1="","",Data_72_15!AK1)</f>
        <v/>
      </c>
      <c r="B40" s="42" t="str">
        <f>IF(Data_72_15!AK$2="","",Data_72_15!AK$2)</f>
        <v/>
      </c>
      <c r="C40" s="120"/>
      <c r="D40" s="120"/>
      <c r="E40" s="120"/>
      <c r="F40" s="120"/>
      <c r="G40" s="121"/>
      <c r="J40" s="31" t="s">
        <v>165</v>
      </c>
      <c r="K40" s="38" t="s">
        <v>166</v>
      </c>
      <c r="L40" s="120"/>
      <c r="M40" s="120"/>
      <c r="N40" s="120"/>
      <c r="O40" s="120"/>
      <c r="P40" s="121"/>
      <c r="S40" s="578" t="s">
        <v>161</v>
      </c>
      <c r="T40" s="32" t="str">
        <v>VWEHX</v>
      </c>
      <c r="U40" s="120"/>
      <c r="V40" s="120"/>
      <c r="W40" s="120"/>
      <c r="X40" s="120"/>
      <c r="Y40" s="121"/>
      <c r="AA40" s="543">
        <v>1985</v>
      </c>
      <c r="AB40" s="545" t="str">
        <f t="shared" si="0"/>
        <v/>
      </c>
    </row>
    <row r="41" spans="1:28" ht="13" thickBot="1">
      <c r="A41" s="485" t="str">
        <f>IF(Data_72_15!AL1="","",Data_72_15!AL1)</f>
        <v/>
      </c>
      <c r="B41" s="44" t="str">
        <f>IF(Data_72_15!AL$2="","",Data_72_15!AL$2)</f>
        <v/>
      </c>
      <c r="C41" s="125"/>
      <c r="D41" s="125"/>
      <c r="E41" s="125"/>
      <c r="F41" s="125"/>
      <c r="G41" s="126"/>
      <c r="J41" s="31" t="s">
        <v>167</v>
      </c>
      <c r="K41" s="38" t="s">
        <v>168</v>
      </c>
      <c r="L41" s="120"/>
      <c r="M41" s="120"/>
      <c r="N41" s="120"/>
      <c r="O41" s="120"/>
      <c r="P41" s="121"/>
      <c r="S41" s="578" t="s">
        <v>163</v>
      </c>
      <c r="T41" s="32" t="str">
        <v>VMGIX</v>
      </c>
      <c r="U41" s="120"/>
      <c r="V41" s="120"/>
      <c r="W41" s="120"/>
      <c r="X41" s="120"/>
      <c r="Y41" s="121"/>
      <c r="AA41" s="543">
        <v>1985</v>
      </c>
      <c r="AB41" s="545" t="str">
        <f t="shared" si="0"/>
        <v/>
      </c>
    </row>
    <row r="42" spans="1:28">
      <c r="B42" s="48"/>
      <c r="C42" s="127">
        <f>SUM(C5:C41)</f>
        <v>1</v>
      </c>
      <c r="D42" s="127">
        <f>SUM(D5:D41)</f>
        <v>1</v>
      </c>
      <c r="E42" s="127">
        <f>SUM(E5:E41)</f>
        <v>0.99999999999999989</v>
      </c>
      <c r="F42" s="127">
        <f>SUM(F5:F41)</f>
        <v>1</v>
      </c>
      <c r="G42" s="127">
        <f>SUM(G5:G41)</f>
        <v>1</v>
      </c>
      <c r="J42" s="31" t="str">
        <f>Data_85_15!AM$1</f>
        <v>Global Bond Fund</v>
      </c>
      <c r="K42" s="38" t="str">
        <f>Data_85_15!AM2</f>
        <v>PIGLX</v>
      </c>
      <c r="L42" s="120"/>
      <c r="M42" s="120"/>
      <c r="N42" s="120"/>
      <c r="O42" s="120"/>
      <c r="P42" s="121"/>
      <c r="S42" s="578" t="s">
        <v>165</v>
      </c>
      <c r="T42" s="32" t="str">
        <v>VMVIX</v>
      </c>
      <c r="U42" s="120"/>
      <c r="V42" s="120"/>
      <c r="W42" s="120"/>
      <c r="X42" s="120"/>
      <c r="Y42" s="121"/>
      <c r="AA42" s="543">
        <v>1985</v>
      </c>
      <c r="AB42" s="545" t="str">
        <f t="shared" si="0"/>
        <v/>
      </c>
    </row>
    <row r="43" spans="1:28">
      <c r="C43" s="468" t="str">
        <f>IF(SUM(C5:C41)&lt;&gt;100%,"ERROR","")</f>
        <v/>
      </c>
      <c r="D43" s="468" t="str">
        <f>IF(SUM(D5:D41)&lt;&gt;100%,"ERROR","")</f>
        <v/>
      </c>
      <c r="E43" s="468" t="str">
        <f>IF(SUM(E5:E41)&lt;&gt;100%,"ERROR","")</f>
        <v/>
      </c>
      <c r="F43" s="468" t="str">
        <f>IF(SUM(F5:F41)&lt;&gt;100%,"ERROR","")</f>
        <v/>
      </c>
      <c r="G43" s="468" t="str">
        <f>IF(SUM(G5:G41)&lt;&gt;100%,"ERROR","")</f>
        <v/>
      </c>
      <c r="J43" s="31" t="str">
        <f>Data_85_15!AN$1</f>
        <v>ST Investment Grade</v>
      </c>
      <c r="K43" s="38" t="str">
        <f>Data_85_15!AN$2</f>
        <v>VFSTX</v>
      </c>
      <c r="L43" s="120"/>
      <c r="M43" s="120"/>
      <c r="N43" s="120"/>
      <c r="O43" s="120"/>
      <c r="P43" s="121"/>
      <c r="S43" s="578" t="s">
        <v>167</v>
      </c>
      <c r="T43" s="32" t="str">
        <v>VEXMX</v>
      </c>
      <c r="U43" s="120"/>
      <c r="V43" s="120"/>
      <c r="W43" s="120"/>
      <c r="X43" s="120"/>
      <c r="Y43" s="121"/>
      <c r="AA43" s="543">
        <v>1985</v>
      </c>
      <c r="AB43" s="545" t="str">
        <f t="shared" si="0"/>
        <v/>
      </c>
    </row>
    <row r="44" spans="1:28">
      <c r="C44" s="128"/>
      <c r="D44" s="128"/>
      <c r="E44" s="128"/>
      <c r="F44" s="128"/>
      <c r="J44" s="31" t="str">
        <f>Data_85_15!AO$1</f>
        <v>GOLD</v>
      </c>
      <c r="K44" s="38" t="str">
        <f>Data_85_15!AO$2</f>
        <v>GLD</v>
      </c>
      <c r="L44" s="120"/>
      <c r="M44" s="120">
        <v>0.25</v>
      </c>
      <c r="N44" s="120"/>
      <c r="O44" s="120"/>
      <c r="P44" s="121">
        <v>0.25</v>
      </c>
      <c r="S44" s="578" t="s">
        <v>277</v>
      </c>
      <c r="T44" s="32" t="str">
        <v>PIGLX</v>
      </c>
      <c r="U44" s="120"/>
      <c r="V44" s="120"/>
      <c r="W44" s="120"/>
      <c r="X44" s="120"/>
      <c r="Y44" s="121"/>
      <c r="AA44" s="543">
        <v>1985</v>
      </c>
      <c r="AB44" s="545" t="str">
        <f t="shared" si="0"/>
        <v/>
      </c>
    </row>
    <row r="45" spans="1:28">
      <c r="C45" s="128"/>
      <c r="D45" s="128"/>
      <c r="E45" s="128"/>
      <c r="F45" s="128"/>
      <c r="J45" s="31" t="str">
        <f>Data_85_15!AP$1</f>
        <v>VG Intl Small</v>
      </c>
      <c r="K45" s="38" t="str">
        <f>Data_85_15!AP$2</f>
        <v>VFSVX</v>
      </c>
      <c r="L45" s="120"/>
      <c r="M45" s="120"/>
      <c r="N45" s="120"/>
      <c r="O45" s="120"/>
      <c r="P45" s="121"/>
      <c r="S45" s="578" t="s">
        <v>279</v>
      </c>
      <c r="T45" s="32" t="str">
        <v>VFSTX</v>
      </c>
      <c r="U45" s="120"/>
      <c r="V45" s="120"/>
      <c r="W45" s="120"/>
      <c r="X45" s="120"/>
      <c r="Y45" s="121"/>
      <c r="AA45" s="543">
        <v>1985</v>
      </c>
      <c r="AB45" s="545" t="str">
        <f t="shared" si="0"/>
        <v/>
      </c>
    </row>
    <row r="46" spans="1:28">
      <c r="J46" s="41" t="str">
        <f>IF(Data_85_15!AQ$1="","",Data_85_15!AQ$1)</f>
        <v/>
      </c>
      <c r="K46" s="42" t="str">
        <f>IF(Data_85_15!AQ$2="","",Data_85_15!AQ$2)</f>
        <v/>
      </c>
      <c r="L46" s="120"/>
      <c r="M46" s="120"/>
      <c r="N46" s="120"/>
      <c r="O46" s="120"/>
      <c r="P46" s="121"/>
      <c r="S46" s="578"/>
      <c r="T46" s="32" t="str">
        <v/>
      </c>
      <c r="U46" s="120"/>
      <c r="V46" s="120"/>
      <c r="W46" s="120"/>
      <c r="X46" s="120"/>
      <c r="Y46" s="121"/>
      <c r="AA46" s="543" t="str">
        <v/>
      </c>
      <c r="AB46" s="545" t="str">
        <f t="shared" si="0"/>
        <v/>
      </c>
    </row>
    <row r="47" spans="1:28">
      <c r="C47" s="128"/>
      <c r="D47" s="128"/>
      <c r="E47" s="128"/>
      <c r="F47" s="128"/>
      <c r="J47" s="41" t="str">
        <f>IF(Data_85_15!AR$1="","",Data_85_15!AR$1)</f>
        <v/>
      </c>
      <c r="K47" s="42" t="str">
        <f>IF(Data_85_15!AR$2="","",Data_85_15!AR$2)</f>
        <v/>
      </c>
      <c r="L47" s="131"/>
      <c r="M47" s="131"/>
      <c r="N47" s="131"/>
      <c r="O47" s="131"/>
      <c r="P47" s="132"/>
      <c r="S47" s="578"/>
      <c r="T47" s="32" t="str">
        <v/>
      </c>
      <c r="U47" s="120"/>
      <c r="V47" s="120"/>
      <c r="W47" s="120"/>
      <c r="X47" s="120"/>
      <c r="Y47" s="121"/>
      <c r="AA47" s="543" t="str">
        <v/>
      </c>
      <c r="AB47" s="545" t="str">
        <f t="shared" si="0"/>
        <v/>
      </c>
    </row>
    <row r="48" spans="1:28">
      <c r="C48" s="128"/>
      <c r="D48" s="128"/>
      <c r="E48" s="128"/>
      <c r="F48" s="128"/>
      <c r="J48" s="41" t="str">
        <f>IF(Data_85_15!AS$1="","",Data_85_15!AS$1)</f>
        <v/>
      </c>
      <c r="K48" s="42" t="str">
        <f>IF(Data_85_15!AS$2="","",Data_85_15!AS$2)</f>
        <v/>
      </c>
      <c r="L48" s="131"/>
      <c r="M48" s="131"/>
      <c r="N48" s="131"/>
      <c r="O48" s="131"/>
      <c r="P48" s="132"/>
      <c r="S48" s="578"/>
      <c r="T48" s="32" t="str">
        <v/>
      </c>
      <c r="U48" s="120"/>
      <c r="V48" s="120"/>
      <c r="W48" s="120"/>
      <c r="X48" s="120"/>
      <c r="Y48" s="121"/>
      <c r="AA48" s="543" t="str">
        <v/>
      </c>
      <c r="AB48" s="545" t="str">
        <f t="shared" si="0"/>
        <v/>
      </c>
    </row>
    <row r="49" spans="3:28">
      <c r="C49" s="603"/>
      <c r="D49" s="128"/>
      <c r="E49" s="128"/>
      <c r="F49" s="128"/>
      <c r="J49" s="41" t="str">
        <f>IF(Data_85_15!AT$1="","",Data_85_15!AT$1)</f>
        <v/>
      </c>
      <c r="K49" s="42" t="str">
        <f>IF(Data_85_15!AT$2="","",Data_85_15!AT$2)</f>
        <v/>
      </c>
      <c r="L49" s="131"/>
      <c r="M49" s="131"/>
      <c r="N49" s="131"/>
      <c r="O49" s="131"/>
      <c r="P49" s="132"/>
      <c r="S49" s="578"/>
      <c r="T49" s="32" t="str">
        <v/>
      </c>
      <c r="U49" s="120"/>
      <c r="V49" s="120"/>
      <c r="W49" s="120"/>
      <c r="X49" s="120"/>
      <c r="Y49" s="121"/>
      <c r="AA49" s="543" t="str">
        <v/>
      </c>
      <c r="AB49" s="545" t="str">
        <f t="shared" si="0"/>
        <v/>
      </c>
    </row>
    <row r="50" spans="3:28">
      <c r="C50" s="128"/>
      <c r="D50" s="128"/>
      <c r="E50" s="128"/>
      <c r="F50" s="128"/>
      <c r="J50" s="41" t="str">
        <f>IF(Data_85_15!AU$1="","",Data_85_15!AU$1)</f>
        <v/>
      </c>
      <c r="K50" s="42" t="str">
        <f>IF(Data_85_15!AU$2="","",Data_85_15!AU$2)</f>
        <v/>
      </c>
      <c r="L50" s="131"/>
      <c r="M50" s="131"/>
      <c r="N50" s="131"/>
      <c r="O50" s="131"/>
      <c r="P50" s="132"/>
      <c r="S50" s="578"/>
      <c r="T50" s="32" t="str">
        <v/>
      </c>
      <c r="U50" s="120"/>
      <c r="V50" s="120"/>
      <c r="W50" s="120"/>
      <c r="X50" s="120"/>
      <c r="Y50" s="121"/>
      <c r="AA50" s="543" t="str">
        <v/>
      </c>
      <c r="AB50" s="545" t="str">
        <f t="shared" si="0"/>
        <v/>
      </c>
    </row>
    <row r="51" spans="3:28">
      <c r="C51" s="128"/>
      <c r="D51" s="128"/>
      <c r="E51" s="128"/>
      <c r="F51" s="128"/>
      <c r="J51" s="41" t="str">
        <f>IF(Data_85_15!AV$1="","",Data_85_15!AV$1)</f>
        <v/>
      </c>
      <c r="K51" s="42" t="str">
        <f>IF(Data_85_15!AV$2="","",Data_85_15!AV$2)</f>
        <v/>
      </c>
      <c r="L51" s="131"/>
      <c r="M51" s="131"/>
      <c r="N51" s="131"/>
      <c r="O51" s="131"/>
      <c r="P51" s="132"/>
      <c r="S51" s="578"/>
      <c r="T51" s="32" t="str">
        <v/>
      </c>
      <c r="U51" s="120"/>
      <c r="V51" s="120"/>
      <c r="W51" s="120"/>
      <c r="X51" s="120"/>
      <c r="Y51" s="121"/>
      <c r="AA51" s="543" t="str">
        <v/>
      </c>
      <c r="AB51" s="545" t="str">
        <f t="shared" si="0"/>
        <v/>
      </c>
    </row>
    <row r="52" spans="3:28">
      <c r="C52" s="128"/>
      <c r="D52" s="128"/>
      <c r="E52" s="128"/>
      <c r="F52" s="128"/>
      <c r="J52" s="41" t="str">
        <f>IF(Data_85_15!AW$1="","",Data_85_15!AW$1)</f>
        <v/>
      </c>
      <c r="K52" s="42" t="str">
        <f>IF(Data_85_15!AW$2="","",Data_85_15!AW$2)</f>
        <v/>
      </c>
      <c r="L52" s="131"/>
      <c r="M52" s="131"/>
      <c r="N52" s="131"/>
      <c r="O52" s="131"/>
      <c r="P52" s="132"/>
      <c r="S52" s="578"/>
      <c r="T52" s="32" t="str">
        <v/>
      </c>
      <c r="U52" s="120"/>
      <c r="V52" s="120"/>
      <c r="W52" s="120"/>
      <c r="X52" s="120"/>
      <c r="Y52" s="121"/>
      <c r="AA52" s="543" t="str">
        <v/>
      </c>
      <c r="AB52" s="545" t="str">
        <f t="shared" si="0"/>
        <v/>
      </c>
    </row>
    <row r="53" spans="3:28">
      <c r="C53" s="128"/>
      <c r="D53" s="128"/>
      <c r="E53" s="128"/>
      <c r="F53" s="128"/>
      <c r="J53" s="41" t="str">
        <f>IF(Data_85_15!AX$1="","",Data_85_15!AX$1)</f>
        <v/>
      </c>
      <c r="K53" s="42" t="str">
        <f>IF(Data_85_15!AX$2="","",Data_85_15!AX$2)</f>
        <v/>
      </c>
      <c r="L53" s="131"/>
      <c r="M53" s="131"/>
      <c r="N53" s="131"/>
      <c r="O53" s="131"/>
      <c r="P53" s="132"/>
      <c r="S53" s="31"/>
      <c r="T53" s="32" t="str">
        <v/>
      </c>
      <c r="U53" s="120"/>
      <c r="V53" s="120"/>
      <c r="W53" s="120"/>
      <c r="X53" s="120"/>
      <c r="Y53" s="121"/>
      <c r="AA53" s="543" t="str">
        <v/>
      </c>
      <c r="AB53" s="545" t="str">
        <f t="shared" si="0"/>
        <v/>
      </c>
    </row>
    <row r="54" spans="3:28" ht="13" thickBot="1">
      <c r="C54" s="128"/>
      <c r="D54" s="128"/>
      <c r="E54" s="128"/>
      <c r="F54" s="128"/>
      <c r="J54" s="43" t="str">
        <f>IF(Data_85_15!AY$1="","",Data_85_15!AY$1)</f>
        <v/>
      </c>
      <c r="K54" s="44" t="str">
        <f>IF(Data_85_15!AY$2="","",Data_85_15!AY$2)</f>
        <v/>
      </c>
      <c r="L54" s="125"/>
      <c r="M54" s="125"/>
      <c r="N54" s="125"/>
      <c r="O54" s="125"/>
      <c r="P54" s="126"/>
      <c r="S54" s="31"/>
      <c r="T54" s="32" t="str">
        <v/>
      </c>
      <c r="U54" s="120"/>
      <c r="V54" s="120"/>
      <c r="W54" s="120"/>
      <c r="X54" s="120"/>
      <c r="Y54" s="121"/>
      <c r="AA54" s="543" t="str">
        <v/>
      </c>
      <c r="AB54" s="545" t="str">
        <f t="shared" si="0"/>
        <v/>
      </c>
    </row>
    <row r="55" spans="3:28">
      <c r="C55" s="128"/>
      <c r="D55" s="128"/>
      <c r="E55" s="128"/>
      <c r="F55" s="128"/>
      <c r="J55" s="133"/>
      <c r="K55" s="133"/>
      <c r="L55" s="127">
        <f>SUM(L5:L54)</f>
        <v>1</v>
      </c>
      <c r="M55" s="127">
        <f>SUM(M5:M54)</f>
        <v>1</v>
      </c>
      <c r="N55" s="127">
        <f>SUM(N5:N54)</f>
        <v>0.99999999999999978</v>
      </c>
      <c r="O55" s="127">
        <f>SUM(O5:O54)</f>
        <v>0.99999999999999989</v>
      </c>
      <c r="P55" s="127">
        <f>SUM(P5:P54)</f>
        <v>1</v>
      </c>
      <c r="S55" s="31"/>
      <c r="T55" s="32" t="str">
        <v/>
      </c>
      <c r="U55" s="120"/>
      <c r="V55" s="120"/>
      <c r="W55" s="120"/>
      <c r="X55" s="120"/>
      <c r="Y55" s="121"/>
      <c r="AA55" s="543" t="str">
        <v/>
      </c>
      <c r="AB55" s="545" t="str">
        <f t="shared" si="0"/>
        <v/>
      </c>
    </row>
    <row r="56" spans="3:28">
      <c r="C56" s="128"/>
      <c r="D56" s="128"/>
      <c r="E56" s="128"/>
      <c r="F56" s="128"/>
      <c r="J56" s="133"/>
      <c r="K56" s="133"/>
      <c r="L56" s="127"/>
      <c r="M56" s="127"/>
      <c r="N56" s="127"/>
      <c r="O56" s="127"/>
      <c r="P56" s="127"/>
      <c r="S56" s="31"/>
      <c r="T56" s="32" t="str">
        <v/>
      </c>
      <c r="U56" s="120"/>
      <c r="V56" s="120"/>
      <c r="W56" s="120"/>
      <c r="X56" s="120"/>
      <c r="Y56" s="121"/>
      <c r="AA56" s="543" t="str">
        <v/>
      </c>
      <c r="AB56" s="545" t="str">
        <f t="shared" si="0"/>
        <v/>
      </c>
    </row>
    <row r="57" spans="3:28">
      <c r="C57" s="128"/>
      <c r="D57" s="128"/>
      <c r="E57" s="128"/>
      <c r="F57" s="128"/>
      <c r="J57" s="133"/>
      <c r="K57" s="133"/>
      <c r="L57" s="127"/>
      <c r="M57" s="127"/>
      <c r="N57" s="127"/>
      <c r="O57" s="127"/>
      <c r="P57" s="127"/>
      <c r="S57" s="31"/>
      <c r="T57" s="32" t="str">
        <v/>
      </c>
      <c r="U57" s="120"/>
      <c r="V57" s="120"/>
      <c r="W57" s="120"/>
      <c r="X57" s="120"/>
      <c r="Y57" s="121"/>
      <c r="AA57" s="543" t="str">
        <v/>
      </c>
      <c r="AB57" s="545" t="str">
        <f t="shared" si="0"/>
        <v/>
      </c>
    </row>
    <row r="58" spans="3:28">
      <c r="C58" s="128"/>
      <c r="D58" s="128"/>
      <c r="E58" s="128"/>
      <c r="F58" s="128"/>
      <c r="J58" s="133"/>
      <c r="K58" s="133"/>
      <c r="L58" s="127"/>
      <c r="M58" s="127"/>
      <c r="N58" s="127"/>
      <c r="O58" s="127"/>
      <c r="P58" s="127"/>
      <c r="S58" s="31"/>
      <c r="T58" s="32" t="str">
        <v/>
      </c>
      <c r="U58" s="120"/>
      <c r="V58" s="120"/>
      <c r="W58" s="120"/>
      <c r="X58" s="120"/>
      <c r="Y58" s="121"/>
      <c r="AA58" s="543" t="str">
        <v/>
      </c>
      <c r="AB58" s="545" t="str">
        <f t="shared" si="0"/>
        <v/>
      </c>
    </row>
    <row r="59" spans="3:28">
      <c r="C59" s="128"/>
      <c r="D59" s="128"/>
      <c r="E59" s="128"/>
      <c r="F59" s="128"/>
      <c r="J59" s="133"/>
      <c r="K59" s="133"/>
      <c r="L59" s="127"/>
      <c r="M59" s="127"/>
      <c r="N59" s="127"/>
      <c r="O59" s="127"/>
      <c r="P59" s="127"/>
      <c r="S59" s="31"/>
      <c r="T59" s="32" t="str">
        <v/>
      </c>
      <c r="U59" s="120"/>
      <c r="V59" s="120"/>
      <c r="W59" s="120"/>
      <c r="X59" s="120"/>
      <c r="Y59" s="121"/>
      <c r="AA59" s="543" t="str">
        <v/>
      </c>
      <c r="AB59" s="545" t="str">
        <f t="shared" si="0"/>
        <v/>
      </c>
    </row>
    <row r="60" spans="3:28">
      <c r="C60" s="128"/>
      <c r="D60" s="128"/>
      <c r="E60" s="128"/>
      <c r="F60" s="128"/>
      <c r="J60" s="133"/>
      <c r="K60" s="133"/>
      <c r="L60" s="127"/>
      <c r="M60" s="127"/>
      <c r="N60" s="127"/>
      <c r="O60" s="127"/>
      <c r="P60" s="127"/>
      <c r="S60" s="31"/>
      <c r="T60" s="32" t="str">
        <v/>
      </c>
      <c r="U60" s="120"/>
      <c r="V60" s="120"/>
      <c r="W60" s="120"/>
      <c r="X60" s="120"/>
      <c r="Y60" s="121"/>
      <c r="AA60" s="543" t="str">
        <v/>
      </c>
      <c r="AB60" s="545" t="str">
        <f t="shared" si="0"/>
        <v/>
      </c>
    </row>
    <row r="61" spans="3:28">
      <c r="C61" s="128"/>
      <c r="D61" s="128"/>
      <c r="E61" s="128"/>
      <c r="F61" s="128"/>
      <c r="J61" s="133"/>
      <c r="K61" s="133"/>
      <c r="L61" s="127"/>
      <c r="M61" s="127"/>
      <c r="N61" s="127"/>
      <c r="O61" s="127"/>
      <c r="P61" s="127"/>
      <c r="S61" s="31"/>
      <c r="T61" s="32" t="str">
        <v/>
      </c>
      <c r="U61" s="120"/>
      <c r="V61" s="120"/>
      <c r="W61" s="120"/>
      <c r="X61" s="120"/>
      <c r="Y61" s="121"/>
      <c r="AA61" s="543" t="str">
        <v/>
      </c>
      <c r="AB61" s="545" t="str">
        <f t="shared" si="0"/>
        <v/>
      </c>
    </row>
    <row r="62" spans="3:28">
      <c r="C62" s="128"/>
      <c r="D62" s="128"/>
      <c r="E62" s="128"/>
      <c r="F62" s="128"/>
      <c r="J62" s="133"/>
      <c r="K62" s="133"/>
      <c r="L62" s="127"/>
      <c r="M62" s="127"/>
      <c r="N62" s="127"/>
      <c r="O62" s="127"/>
      <c r="P62" s="127"/>
      <c r="S62" s="31"/>
      <c r="T62" s="32" t="str">
        <v/>
      </c>
      <c r="U62" s="120"/>
      <c r="V62" s="120"/>
      <c r="W62" s="120"/>
      <c r="X62" s="120"/>
      <c r="Y62" s="121"/>
      <c r="AA62" s="543" t="str">
        <v/>
      </c>
      <c r="AB62" s="545" t="str">
        <f t="shared" si="0"/>
        <v/>
      </c>
    </row>
    <row r="63" spans="3:28">
      <c r="C63" s="128"/>
      <c r="D63" s="128"/>
      <c r="E63" s="128"/>
      <c r="F63" s="128"/>
      <c r="J63" s="133"/>
      <c r="K63" s="133"/>
      <c r="L63" s="127"/>
      <c r="M63" s="127"/>
      <c r="N63" s="127"/>
      <c r="O63" s="127"/>
      <c r="P63" s="127"/>
      <c r="S63" s="31"/>
      <c r="T63" s="32" t="str">
        <v/>
      </c>
      <c r="U63" s="120"/>
      <c r="V63" s="120"/>
      <c r="W63" s="120"/>
      <c r="X63" s="120"/>
      <c r="Y63" s="121"/>
      <c r="AA63" s="543" t="str">
        <v/>
      </c>
      <c r="AB63" s="545" t="str">
        <f t="shared" si="0"/>
        <v/>
      </c>
    </row>
    <row r="64" spans="3:28">
      <c r="C64" s="128"/>
      <c r="D64" s="128"/>
      <c r="E64" s="128"/>
      <c r="F64" s="128"/>
      <c r="J64" s="133"/>
      <c r="K64" s="133"/>
      <c r="L64" s="127"/>
      <c r="M64" s="127"/>
      <c r="N64" s="127"/>
      <c r="O64" s="127"/>
      <c r="P64" s="127"/>
      <c r="S64" s="31"/>
      <c r="T64" s="32" t="str">
        <v/>
      </c>
      <c r="U64" s="120"/>
      <c r="V64" s="120"/>
      <c r="W64" s="120"/>
      <c r="X64" s="120"/>
      <c r="Y64" s="121"/>
      <c r="AA64" s="543" t="str">
        <v/>
      </c>
      <c r="AB64" s="545" t="str">
        <f t="shared" si="0"/>
        <v/>
      </c>
    </row>
    <row r="65" spans="3:28">
      <c r="C65" s="128"/>
      <c r="D65" s="128"/>
      <c r="E65" s="128"/>
      <c r="F65" s="128"/>
      <c r="J65" s="133"/>
      <c r="K65" s="133"/>
      <c r="L65" s="127"/>
      <c r="M65" s="127"/>
      <c r="N65" s="127"/>
      <c r="O65" s="127"/>
      <c r="P65" s="127"/>
      <c r="S65" s="31"/>
      <c r="T65" s="32" t="str">
        <v/>
      </c>
      <c r="U65" s="120"/>
      <c r="V65" s="120"/>
      <c r="W65" s="120"/>
      <c r="X65" s="120"/>
      <c r="Y65" s="121"/>
      <c r="AA65" s="543" t="str">
        <v/>
      </c>
      <c r="AB65" s="545" t="str">
        <f t="shared" si="0"/>
        <v/>
      </c>
    </row>
    <row r="66" spans="3:28">
      <c r="C66" s="128"/>
      <c r="D66" s="128"/>
      <c r="E66" s="128"/>
      <c r="F66" s="128"/>
      <c r="J66" s="133"/>
      <c r="K66" s="133"/>
      <c r="L66" s="127"/>
      <c r="M66" s="127"/>
      <c r="N66" s="127"/>
      <c r="O66" s="127"/>
      <c r="P66" s="127"/>
      <c r="S66" s="31"/>
      <c r="T66" s="32" t="str">
        <v/>
      </c>
      <c r="U66" s="120"/>
      <c r="V66" s="120"/>
      <c r="W66" s="120"/>
      <c r="X66" s="120"/>
      <c r="Y66" s="121"/>
      <c r="AA66" s="543" t="str">
        <v/>
      </c>
      <c r="AB66" s="545" t="str">
        <f t="shared" si="0"/>
        <v/>
      </c>
    </row>
    <row r="67" spans="3:28">
      <c r="C67" s="128"/>
      <c r="D67" s="128"/>
      <c r="E67" s="128"/>
      <c r="F67" s="128"/>
      <c r="J67" s="133"/>
      <c r="K67" s="133"/>
      <c r="L67" s="127"/>
      <c r="M67" s="127"/>
      <c r="N67" s="127"/>
      <c r="O67" s="127"/>
      <c r="P67" s="127"/>
      <c r="S67" s="31"/>
      <c r="T67" s="32" t="str">
        <v/>
      </c>
      <c r="U67" s="120"/>
      <c r="V67" s="120"/>
      <c r="W67" s="120"/>
      <c r="X67" s="120"/>
      <c r="Y67" s="121"/>
      <c r="AA67" s="543" t="str">
        <v/>
      </c>
      <c r="AB67" s="545" t="str">
        <f t="shared" si="0"/>
        <v/>
      </c>
    </row>
    <row r="68" spans="3:28">
      <c r="C68" s="128"/>
      <c r="D68" s="128"/>
      <c r="E68" s="128"/>
      <c r="F68" s="128"/>
      <c r="J68" s="133"/>
      <c r="K68" s="133"/>
      <c r="L68" s="127"/>
      <c r="M68" s="127"/>
      <c r="N68" s="127"/>
      <c r="O68" s="127"/>
      <c r="P68" s="127"/>
      <c r="S68" s="31"/>
      <c r="T68" s="32" t="str">
        <v/>
      </c>
      <c r="U68" s="120"/>
      <c r="V68" s="120"/>
      <c r="W68" s="120"/>
      <c r="X68" s="120"/>
      <c r="Y68" s="121"/>
      <c r="AA68" s="543" t="str">
        <v/>
      </c>
      <c r="AB68" s="545" t="str">
        <f t="shared" si="0"/>
        <v/>
      </c>
    </row>
    <row r="69" spans="3:28">
      <c r="C69" s="128"/>
      <c r="D69" s="128"/>
      <c r="E69" s="128"/>
      <c r="F69" s="128"/>
      <c r="J69" s="133"/>
      <c r="K69" s="133"/>
      <c r="L69" s="127"/>
      <c r="M69" s="127"/>
      <c r="N69" s="127"/>
      <c r="O69" s="127"/>
      <c r="P69" s="127"/>
      <c r="S69" s="31"/>
      <c r="T69" s="32" t="str">
        <v/>
      </c>
      <c r="U69" s="120"/>
      <c r="V69" s="120"/>
      <c r="W69" s="120"/>
      <c r="X69" s="120"/>
      <c r="Y69" s="121"/>
      <c r="AA69" s="543" t="str">
        <v/>
      </c>
      <c r="AB69" s="545" t="str">
        <f t="shared" si="0"/>
        <v/>
      </c>
    </row>
    <row r="70" spans="3:28">
      <c r="C70" s="128"/>
      <c r="D70" s="128"/>
      <c r="E70" s="128"/>
      <c r="F70" s="128"/>
      <c r="J70" s="133"/>
      <c r="K70" s="133"/>
      <c r="L70" s="127"/>
      <c r="M70" s="127"/>
      <c r="N70" s="127"/>
      <c r="O70" s="127"/>
      <c r="P70" s="127"/>
      <c r="S70" s="31"/>
      <c r="T70" s="32" t="str">
        <v/>
      </c>
      <c r="U70" s="120"/>
      <c r="V70" s="120"/>
      <c r="W70" s="120"/>
      <c r="X70" s="120"/>
      <c r="Y70" s="121"/>
      <c r="AA70" s="543" t="str">
        <v/>
      </c>
      <c r="AB70" s="545" t="str">
        <f t="shared" ref="AB70:AB81" si="1">IF(AND(SUM($U70:$Y70)&gt;0, AA70&gt;MIN($U$88:$Y$88)), "ERROR", "")</f>
        <v/>
      </c>
    </row>
    <row r="71" spans="3:28">
      <c r="C71" s="128"/>
      <c r="D71" s="128"/>
      <c r="E71" s="128"/>
      <c r="F71" s="128"/>
      <c r="J71" s="133"/>
      <c r="K71" s="133"/>
      <c r="L71" s="127"/>
      <c r="M71" s="127"/>
      <c r="N71" s="127"/>
      <c r="O71" s="127"/>
      <c r="P71" s="127"/>
      <c r="S71" s="31"/>
      <c r="T71" s="32" t="str">
        <v/>
      </c>
      <c r="U71" s="120"/>
      <c r="V71" s="120"/>
      <c r="W71" s="120"/>
      <c r="X71" s="120"/>
      <c r="Y71" s="121"/>
      <c r="AA71" s="543" t="str">
        <v/>
      </c>
      <c r="AB71" s="545" t="str">
        <f t="shared" si="1"/>
        <v/>
      </c>
    </row>
    <row r="72" spans="3:28">
      <c r="C72" s="128"/>
      <c r="D72" s="128"/>
      <c r="E72" s="128"/>
      <c r="F72" s="128"/>
      <c r="J72" s="133"/>
      <c r="K72" s="133"/>
      <c r="L72" s="127"/>
      <c r="M72" s="127"/>
      <c r="N72" s="127"/>
      <c r="O72" s="127"/>
      <c r="P72" s="127"/>
      <c r="S72" s="31"/>
      <c r="T72" s="32" t="str">
        <v/>
      </c>
      <c r="U72" s="120"/>
      <c r="V72" s="120"/>
      <c r="W72" s="120"/>
      <c r="X72" s="120"/>
      <c r="Y72" s="121"/>
      <c r="AA72" s="543" t="str">
        <v/>
      </c>
      <c r="AB72" s="545" t="str">
        <f t="shared" si="1"/>
        <v/>
      </c>
    </row>
    <row r="73" spans="3:28">
      <c r="C73" s="128"/>
      <c r="D73" s="128"/>
      <c r="E73" s="128"/>
      <c r="F73" s="128"/>
      <c r="J73" s="133"/>
      <c r="K73" s="133"/>
      <c r="L73" s="127"/>
      <c r="M73" s="127"/>
      <c r="N73" s="127"/>
      <c r="O73" s="127"/>
      <c r="P73" s="127"/>
      <c r="S73" s="31"/>
      <c r="T73" s="32" t="str">
        <v/>
      </c>
      <c r="U73" s="120"/>
      <c r="V73" s="120"/>
      <c r="W73" s="120"/>
      <c r="X73" s="120"/>
      <c r="Y73" s="121"/>
      <c r="AA73" s="543" t="str">
        <v/>
      </c>
      <c r="AB73" s="545" t="str">
        <f t="shared" si="1"/>
        <v/>
      </c>
    </row>
    <row r="74" spans="3:28">
      <c r="C74" s="128"/>
      <c r="D74" s="128"/>
      <c r="E74" s="128"/>
      <c r="F74" s="128"/>
      <c r="J74" s="133"/>
      <c r="K74" s="133"/>
      <c r="L74" s="127"/>
      <c r="M74" s="127"/>
      <c r="N74" s="127"/>
      <c r="O74" s="127"/>
      <c r="P74" s="127"/>
      <c r="S74" s="31"/>
      <c r="T74" s="32" t="str">
        <v/>
      </c>
      <c r="U74" s="120"/>
      <c r="V74" s="120"/>
      <c r="W74" s="120"/>
      <c r="X74" s="120"/>
      <c r="Y74" s="121"/>
      <c r="AA74" s="543" t="str">
        <v/>
      </c>
      <c r="AB74" s="545" t="str">
        <f t="shared" si="1"/>
        <v/>
      </c>
    </row>
    <row r="75" spans="3:28">
      <c r="C75" s="128"/>
      <c r="D75" s="128"/>
      <c r="E75" s="128"/>
      <c r="F75" s="128"/>
      <c r="J75" s="133"/>
      <c r="K75" s="133"/>
      <c r="L75" s="127"/>
      <c r="M75" s="127"/>
      <c r="N75" s="127"/>
      <c r="O75" s="127"/>
      <c r="P75" s="127"/>
      <c r="S75" s="31"/>
      <c r="T75" s="32" t="str">
        <v/>
      </c>
      <c r="U75" s="120"/>
      <c r="V75" s="120"/>
      <c r="W75" s="120"/>
      <c r="X75" s="120"/>
      <c r="Y75" s="121"/>
      <c r="AA75" s="543" t="str">
        <v/>
      </c>
      <c r="AB75" s="545" t="str">
        <f t="shared" si="1"/>
        <v/>
      </c>
    </row>
    <row r="76" spans="3:28">
      <c r="C76" s="128"/>
      <c r="D76" s="128"/>
      <c r="E76" s="128"/>
      <c r="F76" s="128"/>
      <c r="J76" s="133"/>
      <c r="K76" s="133"/>
      <c r="L76" s="127"/>
      <c r="M76" s="127"/>
      <c r="N76" s="127"/>
      <c r="O76" s="127"/>
      <c r="P76" s="127"/>
      <c r="S76" s="31"/>
      <c r="T76" s="32" t="str">
        <v/>
      </c>
      <c r="U76" s="120"/>
      <c r="V76" s="120"/>
      <c r="W76" s="120"/>
      <c r="X76" s="120"/>
      <c r="Y76" s="121"/>
      <c r="AA76" s="543" t="str">
        <v/>
      </c>
      <c r="AB76" s="545" t="str">
        <f t="shared" si="1"/>
        <v/>
      </c>
    </row>
    <row r="77" spans="3:28">
      <c r="C77" s="128"/>
      <c r="D77" s="128"/>
      <c r="E77" s="128"/>
      <c r="F77" s="128"/>
      <c r="J77" s="133"/>
      <c r="K77" s="133"/>
      <c r="L77" s="127"/>
      <c r="M77" s="127"/>
      <c r="N77" s="127"/>
      <c r="O77" s="127"/>
      <c r="P77" s="127"/>
      <c r="S77" s="31"/>
      <c r="T77" s="32" t="str">
        <v/>
      </c>
      <c r="U77" s="120"/>
      <c r="V77" s="120"/>
      <c r="W77" s="120"/>
      <c r="X77" s="120"/>
      <c r="Y77" s="121"/>
      <c r="AA77" s="543" t="str">
        <v/>
      </c>
      <c r="AB77" s="545" t="str">
        <f t="shared" si="1"/>
        <v/>
      </c>
    </row>
    <row r="78" spans="3:28">
      <c r="C78" s="128"/>
      <c r="D78" s="128"/>
      <c r="E78" s="128"/>
      <c r="F78" s="128"/>
      <c r="J78" s="133"/>
      <c r="K78" s="133"/>
      <c r="L78" s="127"/>
      <c r="M78" s="127"/>
      <c r="N78" s="127"/>
      <c r="O78" s="127"/>
      <c r="P78" s="127"/>
      <c r="S78" s="571"/>
      <c r="T78" s="32" t="str">
        <v/>
      </c>
      <c r="U78" s="120"/>
      <c r="V78" s="120"/>
      <c r="W78" s="131"/>
      <c r="X78" s="131"/>
      <c r="Y78" s="121"/>
      <c r="AA78" s="543" t="str">
        <v/>
      </c>
      <c r="AB78" s="545" t="str">
        <f t="shared" si="1"/>
        <v/>
      </c>
    </row>
    <row r="79" spans="3:28">
      <c r="C79" s="128"/>
      <c r="D79" s="128"/>
      <c r="E79" s="128"/>
      <c r="F79" s="128"/>
      <c r="J79" s="133"/>
      <c r="K79" s="133"/>
      <c r="L79" s="127"/>
      <c r="M79" s="127"/>
      <c r="N79" s="127"/>
      <c r="O79" s="127"/>
      <c r="P79" s="127"/>
      <c r="S79" s="31" t="s">
        <v>757</v>
      </c>
      <c r="T79" s="32" t="str">
        <v>S&amp;P500(h)</v>
      </c>
      <c r="U79" s="120">
        <v>0.3</v>
      </c>
      <c r="V79" s="120">
        <v>0.5</v>
      </c>
      <c r="W79" s="120">
        <v>0.6</v>
      </c>
      <c r="X79" s="120">
        <v>0.7</v>
      </c>
      <c r="Y79" s="121">
        <v>0.8</v>
      </c>
      <c r="AA79" s="543">
        <v>1871</v>
      </c>
      <c r="AB79" s="545" t="str">
        <f t="shared" si="1"/>
        <v/>
      </c>
    </row>
    <row r="80" spans="3:28">
      <c r="C80" s="128"/>
      <c r="D80" s="128"/>
      <c r="E80" s="128"/>
      <c r="F80" s="128"/>
      <c r="J80" s="133"/>
      <c r="K80" s="133"/>
      <c r="L80" s="127"/>
      <c r="M80" s="127"/>
      <c r="N80" s="127"/>
      <c r="O80" s="127"/>
      <c r="P80" s="127"/>
      <c r="S80" s="31" t="s">
        <v>758</v>
      </c>
      <c r="T80" s="32" t="str">
        <v>IT Bonds(h)</v>
      </c>
      <c r="U80" s="120">
        <v>0.7</v>
      </c>
      <c r="V80" s="120">
        <v>0.5</v>
      </c>
      <c r="W80" s="120">
        <v>0.4</v>
      </c>
      <c r="X80" s="120">
        <v>0.3</v>
      </c>
      <c r="Y80" s="121">
        <v>0.2</v>
      </c>
      <c r="AA80" s="543">
        <v>1871</v>
      </c>
      <c r="AB80" s="545" t="str">
        <f t="shared" si="1"/>
        <v/>
      </c>
    </row>
    <row r="81" spans="1:28" ht="13" thickBot="1">
      <c r="C81" s="128"/>
      <c r="D81" s="128"/>
      <c r="E81" s="128"/>
      <c r="F81" s="128"/>
      <c r="J81" s="133"/>
      <c r="K81" s="133"/>
      <c r="L81" s="127"/>
      <c r="M81" s="127"/>
      <c r="N81" s="127"/>
      <c r="O81" s="127"/>
      <c r="P81" s="127"/>
      <c r="S81" s="542" t="s">
        <v>759</v>
      </c>
      <c r="T81" s="486" t="str">
        <v>TBills(h)</v>
      </c>
      <c r="U81" s="125"/>
      <c r="V81" s="125"/>
      <c r="W81" s="125"/>
      <c r="X81" s="125"/>
      <c r="Y81" s="126"/>
      <c r="AA81" s="568">
        <v>1871</v>
      </c>
      <c r="AB81" s="545" t="str">
        <f t="shared" si="1"/>
        <v/>
      </c>
    </row>
    <row r="82" spans="1:28">
      <c r="C82" s="128"/>
      <c r="D82" s="128"/>
      <c r="E82" s="128"/>
      <c r="F82" s="128"/>
      <c r="J82" s="133"/>
      <c r="K82" s="133"/>
      <c r="L82" s="127"/>
      <c r="M82" s="127"/>
      <c r="N82" s="127"/>
      <c r="O82" s="127"/>
      <c r="P82" s="127"/>
      <c r="T82" s="48"/>
      <c r="U82" s="127">
        <f>SUM(U5:U81)</f>
        <v>1</v>
      </c>
      <c r="V82" s="127">
        <f>SUM(V5:V81)</f>
        <v>1</v>
      </c>
      <c r="W82" s="127">
        <f>SUM(W5:W81)</f>
        <v>1</v>
      </c>
      <c r="X82" s="127">
        <f>SUM(X5:X81)</f>
        <v>1</v>
      </c>
      <c r="Y82" s="127">
        <f>SUM(Y5:Y81)</f>
        <v>1</v>
      </c>
    </row>
    <row r="83" spans="1:28">
      <c r="C83" s="128"/>
      <c r="D83" s="128"/>
      <c r="E83" s="128"/>
      <c r="F83" s="128"/>
      <c r="J83" s="133"/>
      <c r="K83" s="133"/>
      <c r="L83" s="127"/>
      <c r="M83" s="127"/>
      <c r="N83" s="127"/>
      <c r="O83" s="127"/>
      <c r="P83" s="127"/>
      <c r="U83" s="468" t="str">
        <f>IF(SUM(U5:U81)&lt;&gt;100%,"ERROR","")</f>
        <v/>
      </c>
      <c r="V83" s="468" t="str">
        <f>IF(SUM(V5:V81)&lt;&gt;100%,"ERROR","")</f>
        <v/>
      </c>
      <c r="W83" s="468" t="str">
        <f>IF(SUM(W5:W81)&lt;&gt;100%,"ERROR","")</f>
        <v/>
      </c>
      <c r="X83" s="468" t="str">
        <f>IF(SUM(X5:X81)&lt;&gt;100%,"ERROR","")</f>
        <v/>
      </c>
      <c r="Y83" s="468" t="str">
        <f>IF(SUM(Y5:Y81)&lt;&gt;100%,"ERROR","")</f>
        <v/>
      </c>
    </row>
    <row r="84" spans="1:28">
      <c r="C84" s="128"/>
      <c r="D84" s="128"/>
      <c r="E84" s="128"/>
      <c r="F84" s="128"/>
      <c r="J84" s="133"/>
      <c r="K84" s="133"/>
      <c r="L84" s="127"/>
      <c r="M84" s="127"/>
      <c r="N84" s="127"/>
      <c r="O84" s="127"/>
      <c r="P84" s="127"/>
      <c r="U84" s="128"/>
      <c r="V84" s="128"/>
      <c r="W84" s="128"/>
      <c r="X84" s="128"/>
    </row>
    <row r="85" spans="1:28" ht="13">
      <c r="A85" s="134" t="s">
        <v>195</v>
      </c>
      <c r="C85" s="128"/>
      <c r="D85" s="128"/>
      <c r="E85" s="128"/>
      <c r="F85" s="128"/>
      <c r="J85" s="134" t="s">
        <v>195</v>
      </c>
      <c r="K85" s="133"/>
      <c r="L85" s="468" t="str">
        <f>IF(SUM(L5:L54)&lt;&gt;100%,"ERROR","")</f>
        <v/>
      </c>
      <c r="M85" s="468" t="str">
        <f>IF(SUM(M5:M54)&lt;&gt;100%,"ERROR","")</f>
        <v/>
      </c>
      <c r="N85" s="468" t="str">
        <f>IF(SUM(N5:N54)&lt;&gt;100%,"ERROR","")</f>
        <v/>
      </c>
      <c r="O85" s="468" t="str">
        <f>IF(SUM(O5:O54)&lt;&gt;100%,"ERROR","")</f>
        <v/>
      </c>
      <c r="P85" s="468" t="str">
        <f>IF(SUM(P5:P54)&lt;&gt;100%,"ERROR","")</f>
        <v/>
      </c>
      <c r="S85" s="134" t="s">
        <v>195</v>
      </c>
      <c r="U85" s="128"/>
      <c r="V85" s="128"/>
      <c r="W85" s="128"/>
      <c r="X85" s="128"/>
      <c r="AA85" s="61"/>
    </row>
    <row r="86" spans="1:28">
      <c r="C86" s="128"/>
      <c r="D86" s="128"/>
      <c r="E86" s="128"/>
      <c r="F86" s="128"/>
      <c r="U86" s="128"/>
      <c r="V86" s="128"/>
      <c r="W86" s="128"/>
      <c r="X86" s="128"/>
    </row>
    <row r="87" spans="1:28">
      <c r="A87" t="s">
        <v>196</v>
      </c>
      <c r="C87" s="570">
        <v>10000</v>
      </c>
      <c r="D87" s="601">
        <f>C87</f>
        <v>10000</v>
      </c>
      <c r="E87" s="601">
        <f>D87</f>
        <v>10000</v>
      </c>
      <c r="F87" s="601">
        <f>E87</f>
        <v>10000</v>
      </c>
      <c r="G87" s="601">
        <f>F87</f>
        <v>10000</v>
      </c>
      <c r="J87" t="s">
        <v>196</v>
      </c>
      <c r="L87" s="570">
        <v>10000</v>
      </c>
      <c r="M87" s="601">
        <f t="shared" ref="M87:P89" si="2">L87</f>
        <v>10000</v>
      </c>
      <c r="N87" s="601">
        <f t="shared" si="2"/>
        <v>10000</v>
      </c>
      <c r="O87" s="601">
        <f t="shared" si="2"/>
        <v>10000</v>
      </c>
      <c r="P87" s="601">
        <f t="shared" si="2"/>
        <v>10000</v>
      </c>
      <c r="S87" t="s">
        <v>196</v>
      </c>
      <c r="U87" s="570">
        <v>10000</v>
      </c>
      <c r="V87" s="601">
        <f t="shared" ref="V87:Y89" si="3">U87</f>
        <v>10000</v>
      </c>
      <c r="W87" s="601">
        <f t="shared" si="3"/>
        <v>10000</v>
      </c>
      <c r="X87" s="601">
        <f t="shared" si="3"/>
        <v>10000</v>
      </c>
      <c r="Y87" s="601">
        <f t="shared" si="3"/>
        <v>10000</v>
      </c>
    </row>
    <row r="88" spans="1:28">
      <c r="A88" s="36" t="s">
        <v>170</v>
      </c>
      <c r="C88" s="59">
        <v>1972</v>
      </c>
      <c r="D88" s="57">
        <f>C88</f>
        <v>1972</v>
      </c>
      <c r="E88" s="57">
        <f t="shared" ref="E88:G89" si="4">D88</f>
        <v>1972</v>
      </c>
      <c r="F88" s="57">
        <f t="shared" si="4"/>
        <v>1972</v>
      </c>
      <c r="G88" s="57">
        <f t="shared" si="4"/>
        <v>1972</v>
      </c>
      <c r="J88" s="36" t="s">
        <v>170</v>
      </c>
      <c r="L88" s="59">
        <v>1985</v>
      </c>
      <c r="M88" s="57">
        <f t="shared" si="2"/>
        <v>1985</v>
      </c>
      <c r="N88" s="57">
        <f t="shared" si="2"/>
        <v>1985</v>
      </c>
      <c r="O88" s="57">
        <f t="shared" si="2"/>
        <v>1985</v>
      </c>
      <c r="P88" s="57">
        <f t="shared" si="2"/>
        <v>1985</v>
      </c>
      <c r="S88" s="36" t="s">
        <v>170</v>
      </c>
      <c r="U88" s="59">
        <v>1871</v>
      </c>
      <c r="V88" s="57">
        <f t="shared" si="3"/>
        <v>1871</v>
      </c>
      <c r="W88" s="57">
        <f t="shared" si="3"/>
        <v>1871</v>
      </c>
      <c r="X88" s="57">
        <f t="shared" si="3"/>
        <v>1871</v>
      </c>
      <c r="Y88" s="57">
        <f t="shared" si="3"/>
        <v>1871</v>
      </c>
      <c r="AA88" s="421"/>
    </row>
    <row r="89" spans="1:28">
      <c r="A89" s="36" t="s">
        <v>171</v>
      </c>
      <c r="C89" s="59">
        <v>2015</v>
      </c>
      <c r="D89" s="57">
        <f>C89</f>
        <v>2015</v>
      </c>
      <c r="E89" s="57">
        <f t="shared" si="4"/>
        <v>2015</v>
      </c>
      <c r="F89" s="57">
        <f t="shared" si="4"/>
        <v>2015</v>
      </c>
      <c r="G89" s="57">
        <f t="shared" si="4"/>
        <v>2015</v>
      </c>
      <c r="J89" s="36" t="s">
        <v>171</v>
      </c>
      <c r="L89" s="59">
        <v>2015</v>
      </c>
      <c r="M89" s="57">
        <f t="shared" si="2"/>
        <v>2015</v>
      </c>
      <c r="N89" s="57">
        <f t="shared" si="2"/>
        <v>2015</v>
      </c>
      <c r="O89" s="57">
        <f t="shared" si="2"/>
        <v>2015</v>
      </c>
      <c r="P89" s="57">
        <f t="shared" si="2"/>
        <v>2015</v>
      </c>
      <c r="S89" s="36" t="s">
        <v>171</v>
      </c>
      <c r="U89" s="59">
        <v>2015</v>
      </c>
      <c r="V89" s="57">
        <f t="shared" si="3"/>
        <v>2015</v>
      </c>
      <c r="W89" s="57">
        <f t="shared" si="3"/>
        <v>2015</v>
      </c>
      <c r="X89" s="57">
        <f t="shared" si="3"/>
        <v>2015</v>
      </c>
      <c r="Y89" s="57">
        <f t="shared" si="3"/>
        <v>2015</v>
      </c>
    </row>
    <row r="90" spans="1:28">
      <c r="A90" s="36" t="s">
        <v>197</v>
      </c>
      <c r="C90" s="57">
        <f>C89-C88+1</f>
        <v>44</v>
      </c>
      <c r="D90" s="57">
        <f>D89-D88+1</f>
        <v>44</v>
      </c>
      <c r="E90" s="57">
        <f>E89-E88+1</f>
        <v>44</v>
      </c>
      <c r="F90" s="57">
        <f>F89-F88+1</f>
        <v>44</v>
      </c>
      <c r="G90" s="57">
        <f>G89-G88+1</f>
        <v>44</v>
      </c>
      <c r="J90" s="36" t="s">
        <v>197</v>
      </c>
      <c r="L90" s="57">
        <f>L89-L88+1</f>
        <v>31</v>
      </c>
      <c r="M90" s="57">
        <f>M89-M88+1</f>
        <v>31</v>
      </c>
      <c r="N90" s="57">
        <f>N89-N88+1</f>
        <v>31</v>
      </c>
      <c r="O90" s="57">
        <f>O89-O88+1</f>
        <v>31</v>
      </c>
      <c r="P90" s="57">
        <f>P89-P88+1</f>
        <v>31</v>
      </c>
      <c r="S90" s="36" t="s">
        <v>197</v>
      </c>
      <c r="U90" s="57">
        <f>U89-U88+1</f>
        <v>145</v>
      </c>
      <c r="V90" s="57">
        <f>V89-V88+1</f>
        <v>145</v>
      </c>
      <c r="W90" s="57">
        <f>W89-W88+1</f>
        <v>145</v>
      </c>
      <c r="X90" s="57">
        <f>X89-X88+1</f>
        <v>145</v>
      </c>
      <c r="Y90" s="57">
        <f>Y89-Y88+1</f>
        <v>145</v>
      </c>
    </row>
    <row r="91" spans="1:28">
      <c r="A91" s="36" t="s">
        <v>198</v>
      </c>
      <c r="C91" s="57">
        <f>MATCH(C88,$B$165:$B209)-1</f>
        <v>0</v>
      </c>
      <c r="D91" s="57">
        <f>MATCH(D88,$B$165:$B209)-1</f>
        <v>0</v>
      </c>
      <c r="E91" s="57">
        <f>MATCH(E88,$B$165:$B209)-1</f>
        <v>0</v>
      </c>
      <c r="F91" s="57">
        <f>MATCH(F88,$B$165:$B209)-1</f>
        <v>0</v>
      </c>
      <c r="G91" s="57">
        <f>MATCH(G88,$B$165:$B209)-1</f>
        <v>0</v>
      </c>
      <c r="J91" s="36" t="s">
        <v>198</v>
      </c>
      <c r="L91" s="57">
        <f>MATCH(L$88,$K178:$K209)-1</f>
        <v>0</v>
      </c>
      <c r="M91" s="57">
        <f>MATCH(M$88,$K178:$K209)-1</f>
        <v>0</v>
      </c>
      <c r="N91" s="57">
        <f>MATCH(N$88,$K178:$K209)-1</f>
        <v>0</v>
      </c>
      <c r="O91" s="57">
        <f>MATCH(O$88,$K178:$K209)-1</f>
        <v>0</v>
      </c>
      <c r="P91" s="57">
        <f>MATCH(P$88,$K178:$K209)-1</f>
        <v>0</v>
      </c>
      <c r="S91" s="36" t="s">
        <v>198</v>
      </c>
      <c r="U91" s="57">
        <f>MATCH(U88,$T$165:$T310)-1</f>
        <v>0</v>
      </c>
      <c r="V91" s="57">
        <f>MATCH(V88,$T$165:$T310)-1</f>
        <v>0</v>
      </c>
      <c r="W91" s="57">
        <f>MATCH(W88,$T$165:$T310)-1</f>
        <v>0</v>
      </c>
      <c r="X91" s="57">
        <f>MATCH(X88,$T$165:$T310)-1</f>
        <v>0</v>
      </c>
      <c r="Y91" s="57">
        <f>MATCH(Y88,$T$165:$T310)-1</f>
        <v>0</v>
      </c>
    </row>
    <row r="92" spans="1:28">
      <c r="A92" s="36" t="s">
        <v>173</v>
      </c>
      <c r="B92" s="60">
        <v>0.05</v>
      </c>
      <c r="D92" s="13"/>
      <c r="E92" s="13"/>
      <c r="F92" s="13"/>
      <c r="G92" s="61"/>
      <c r="J92" s="36" t="s">
        <v>173</v>
      </c>
      <c r="K92" s="60">
        <v>0.05</v>
      </c>
      <c r="M92" s="13"/>
      <c r="N92" s="13"/>
      <c r="O92" s="13"/>
      <c r="P92" s="61"/>
      <c r="S92" s="36" t="s">
        <v>173</v>
      </c>
      <c r="T92" s="60">
        <v>0.05</v>
      </c>
      <c r="V92" s="13"/>
      <c r="W92" s="13"/>
      <c r="X92" s="13"/>
      <c r="Y92" s="61"/>
    </row>
    <row r="93" spans="1:28">
      <c r="A93" s="36" t="s">
        <v>174</v>
      </c>
      <c r="B93" s="60">
        <v>0.02</v>
      </c>
      <c r="D93" s="13"/>
      <c r="E93" s="13"/>
      <c r="F93" s="13"/>
      <c r="G93" s="61"/>
      <c r="J93" s="36" t="s">
        <v>174</v>
      </c>
      <c r="K93" s="60">
        <v>0.02</v>
      </c>
      <c r="M93" s="13"/>
      <c r="N93" s="13"/>
      <c r="O93" s="13"/>
      <c r="P93" s="61"/>
      <c r="S93" s="36" t="s">
        <v>174</v>
      </c>
      <c r="T93" s="60">
        <v>0.02</v>
      </c>
      <c r="V93" s="13"/>
      <c r="W93" s="13"/>
      <c r="X93" s="13"/>
      <c r="Y93" s="61"/>
    </row>
    <row r="94" spans="1:28">
      <c r="C94" s="128"/>
      <c r="D94" s="128"/>
      <c r="E94" s="128"/>
      <c r="F94" s="128"/>
      <c r="U94" s="128"/>
      <c r="V94" s="128"/>
      <c r="W94" s="128"/>
      <c r="X94" s="128"/>
    </row>
    <row r="95" spans="1:28">
      <c r="C95" s="604" t="str">
        <f>C$4</f>
        <v>P1</v>
      </c>
      <c r="D95" s="604" t="str">
        <f>D$4</f>
        <v>P2</v>
      </c>
      <c r="E95" s="604" t="str">
        <f>E$4</f>
        <v>P3</v>
      </c>
      <c r="F95" s="604" t="str">
        <f>F$4</f>
        <v>P4</v>
      </c>
      <c r="G95" s="604" t="str">
        <f>G$4</f>
        <v>P5</v>
      </c>
      <c r="L95" s="604" t="str">
        <f>L$4</f>
        <v>P1</v>
      </c>
      <c r="M95" s="604" t="str">
        <f>M$4</f>
        <v>P2</v>
      </c>
      <c r="N95" s="604" t="str">
        <f>N$4</f>
        <v>P3</v>
      </c>
      <c r="O95" s="604" t="str">
        <f>O$4</f>
        <v>P4</v>
      </c>
      <c r="P95" s="604" t="str">
        <f>P$4</f>
        <v>P5</v>
      </c>
      <c r="U95" s="604" t="str">
        <f>U$4</f>
        <v>P1</v>
      </c>
      <c r="V95" s="604" t="str">
        <f>V$4</f>
        <v>P2</v>
      </c>
      <c r="W95" s="604" t="str">
        <f>W$4</f>
        <v>P3</v>
      </c>
      <c r="X95" s="604" t="str">
        <f>X$4</f>
        <v>P4</v>
      </c>
      <c r="Y95" s="604" t="str">
        <f>Y$4</f>
        <v>P5</v>
      </c>
      <c r="AA95" s="143"/>
    </row>
    <row r="96" spans="1:28">
      <c r="A96" s="135" t="s">
        <v>199</v>
      </c>
      <c r="C96" s="136">
        <f ca="1">AVERAGE(Compare72_P1)</f>
        <v>0.10979077530519804</v>
      </c>
      <c r="D96" s="136">
        <f ca="1">AVERAGE(Compare72_P2)</f>
        <v>0.11790642436733845</v>
      </c>
      <c r="E96" s="136">
        <f ca="1">AVERAGE(Compare72_P3)</f>
        <v>0.12566652073519233</v>
      </c>
      <c r="F96" s="136">
        <f ca="1">AVERAGE(Compare72_P4)</f>
        <v>0.11862529881871127</v>
      </c>
      <c r="G96" s="136">
        <f ca="1">AVERAGE(Compare72_P5)</f>
        <v>0.10870346773024328</v>
      </c>
      <c r="J96" s="135" t="s">
        <v>199</v>
      </c>
      <c r="L96" s="136">
        <f ca="1">AVERAGE(Compare85_P1)</f>
        <v>9.9968693652537591E-2</v>
      </c>
      <c r="M96" s="136">
        <f ca="1">AVERAGE(Compare85_P2)</f>
        <v>7.5362639161776851E-2</v>
      </c>
      <c r="N96" s="136">
        <f ca="1">AVERAGE(Compare85_P3)</f>
        <v>0.11590709626159378</v>
      </c>
      <c r="O96" s="136">
        <f ca="1">AVERAGE(Compare85_P4)</f>
        <v>0.11247519800556349</v>
      </c>
      <c r="P96" s="136">
        <f ca="1">AVERAGE(Compare85_P5)</f>
        <v>7.7447887636079918E-2</v>
      </c>
      <c r="S96" s="135" t="s">
        <v>199</v>
      </c>
      <c r="U96" s="136">
        <f ca="1">AVERAGE(Compare_O_P1)</f>
        <v>6.4528280190592632E-2</v>
      </c>
      <c r="V96" s="136">
        <f ca="1">AVERAGE(Compare_O_P2)</f>
        <v>7.5492736248489456E-2</v>
      </c>
      <c r="W96" s="136">
        <f ca="1">AVERAGE(Compare_O_P3)</f>
        <v>8.0974964277437875E-2</v>
      </c>
      <c r="X96" s="136">
        <f ca="1">AVERAGE(Compare_O_P4)</f>
        <v>8.645719230638628E-2</v>
      </c>
      <c r="Y96" s="136">
        <f ca="1">AVERAGE(Compare_O_P5)</f>
        <v>9.1939420335334712E-2</v>
      </c>
      <c r="AA96" s="143"/>
    </row>
    <row r="97" spans="1:28">
      <c r="A97" s="135" t="s">
        <v>200</v>
      </c>
      <c r="C97" s="137">
        <f ca="1">STDEV(Compare72_P1)</f>
        <v>0.14578128898122461</v>
      </c>
      <c r="D97" s="137">
        <f ca="1">STDEV(Compare72_P2)</f>
        <v>0.13684607631513454</v>
      </c>
      <c r="E97" s="137">
        <f ca="1">STDEV(Compare72_P3)</f>
        <v>0.15174797381574337</v>
      </c>
      <c r="F97" s="137">
        <f ca="1">STDEV(Compare72_P4)</f>
        <v>0.12636716976761542</v>
      </c>
      <c r="G97" s="137">
        <f ca="1">STDEV(Compare72_P5)</f>
        <v>0.12032908968315643</v>
      </c>
      <c r="J97" s="135" t="s">
        <v>200</v>
      </c>
      <c r="L97" s="137">
        <f ca="1">STDEV(Compare85_P1)</f>
        <v>0.10304242684976231</v>
      </c>
      <c r="M97" s="137">
        <f ca="1">STDEV(Compare85_P2)</f>
        <v>5.969861927704468E-2</v>
      </c>
      <c r="N97" s="137">
        <f ca="1">STDEV(Compare85_P3)</f>
        <v>0.14163586386868171</v>
      </c>
      <c r="O97" s="137">
        <f ca="1">STDEV(Compare85_P4)</f>
        <v>0.13242781073631249</v>
      </c>
      <c r="P97" s="137">
        <f ca="1">STDEV(Compare85_P5)</f>
        <v>6.4476642719058036E-2</v>
      </c>
      <c r="S97" s="135" t="s">
        <v>200</v>
      </c>
      <c r="U97" s="137">
        <f ca="1">STDEV(Compare_O_P1)</f>
        <v>6.3484523825485722E-2</v>
      </c>
      <c r="V97" s="137">
        <f ca="1">STDEV(Compare_O_P2)</f>
        <v>9.2278070951827371E-2</v>
      </c>
      <c r="W97" s="137">
        <f ca="1">STDEV(Compare_O_P3)</f>
        <v>0.1085396863414136</v>
      </c>
      <c r="X97" s="137">
        <f ca="1">STDEV(Compare_O_P4)</f>
        <v>0.12541363373858164</v>
      </c>
      <c r="Y97" s="137">
        <f ca="1">STDEV(Compare_O_P5)</f>
        <v>0.14268283158060208</v>
      </c>
      <c r="AA97" s="143"/>
    </row>
    <row r="98" spans="1:28">
      <c r="A98" s="135" t="s">
        <v>201</v>
      </c>
      <c r="C98" s="136">
        <f t="array" aca="1" ref="C98" ca="1">SQRT(SUM(IF(OFFSET(C$165,C$91,0,C$90,1)&lt;Compare_MAR72_Nominal,(OFFSET(C$165,C$91,0,C$90)-Compare_MAR72_Nominal)^2))/C$90)</f>
        <v>8.542471693308322E-2</v>
      </c>
      <c r="D98" s="136">
        <f t="array" aca="1" ref="D98" ca="1">SQRT(SUM(IF(OFFSET(D$165,D$91,0,D$90,1)&lt;Compare_MAR72_Nominal,(OFFSET(D$165,D$91,0,D$90)-Compare_MAR72_Nominal)^2))/D$90)</f>
        <v>7.5229356627206437E-2</v>
      </c>
      <c r="E98" s="136">
        <f t="array" aca="1" ref="E98" ca="1">SQRT(SUM(IF(OFFSET(E$165,E$91,0,E$90,1)&lt;Compare_MAR72_Nominal,(OFFSET(E$165,E$91,0,E$90)-Compare_MAR72_Nominal)^2))/E$90)</f>
        <v>8.3336797762012832E-2</v>
      </c>
      <c r="F98" s="136">
        <f t="array" aca="1" ref="F98" ca="1">SQRT(SUM(IF(OFFSET(F$165,F$91,0,F$90,1)&lt;Compare_MAR72_Nominal,(OFFSET(F$165,F$91,0,F$90)-Compare_MAR72_Nominal)^2))/F$90)</f>
        <v>6.733644836174621E-2</v>
      </c>
      <c r="G98" s="136">
        <f t="array" aca="1" ref="G98" ca="1">SQRT(SUM(IF(OFFSET(G$165,G$91,0,G$90,1)&lt;Compare_MAR72_Nominal,(OFFSET(G$165,G$91,0,G$90)-Compare_MAR72_Nominal)^2))/G$90)</f>
        <v>6.4008496668045117E-2</v>
      </c>
      <c r="J98" s="135" t="s">
        <v>201</v>
      </c>
      <c r="L98" s="136">
        <f t="array" aca="1" ref="L98" ca="1">SQRT(SUM(IF(OFFSET(L$178,L$91,0,L$90,1)&lt;Compare_MAR85_Nominal,(OFFSET(L$178,L$91,0,L$90,1)-Compare_MAR85_Nominal)^2))/L$90)</f>
        <v>6.0036351684421063E-2</v>
      </c>
      <c r="M98" s="136">
        <f t="array" aca="1" ref="M98" ca="1">SQRT(SUM(IF(OFFSET(M$178,M$91,0,M$90,1)&lt;Compare_MAR85_Nominal,(OFFSET(M$178,M$91,0,M$90,1)-Compare_MAR85_Nominal)^2))/M$90)</f>
        <v>2.8703417251745026E-2</v>
      </c>
      <c r="N98" s="136">
        <f t="array" aca="1" ref="N98" ca="1">SQRT(SUM(IF(OFFSET(N$178,N$91,0,N$90,1)&lt;Compare_MAR85_Nominal,(OFFSET(N$178,N$91,0,N$90,1)-Compare_MAR85_Nominal)^2))/N$90)</f>
        <v>7.7853620591912476E-2</v>
      </c>
      <c r="O98" s="136">
        <f t="array" aca="1" ref="O98" ca="1">SQRT(SUM(IF(OFFSET(O$178,O$91,0,O$90,1)&lt;Compare_MAR85_Nominal,(OFFSET(O$178,O$91,0,O$90,1)-Compare_MAR85_Nominal)^2))/O$90)</f>
        <v>7.0487283602663986E-2</v>
      </c>
      <c r="P98" s="136">
        <f t="array" aca="1" ref="P98" ca="1">SQRT(SUM(IF(OFFSET(P$178,P$91,0,P$90,1)&lt;Compare_MAR85_Nominal,(OFFSET(P$178,P$91,0,P$90,1)-Compare_MAR85_Nominal)^2))/P$90)</f>
        <v>3.0006076723896661E-2</v>
      </c>
      <c r="S98" s="135" t="s">
        <v>201</v>
      </c>
      <c r="U98" s="136">
        <f t="array" aca="1" ref="U98" ca="1">SQRT(SUM(IF(OFFSET(U$165,U$91,0,U$90,1)&lt;Compare_MAR_O_Nominal,(OFFSET(U$165,U$91,0,U$90)-Compare_MAR_O_Nominal)^2))/U$90)</f>
        <v>3.363891758101642E-2</v>
      </c>
      <c r="V98" s="136">
        <f t="array" aca="1" ref="V98" ca="1">SQRT(SUM(IF(OFFSET(V$165,V$91,0,V$90,1)&lt;Compare_MAR_O_Nominal,(OFFSET(V$165,V$91,0,V$90)-Compare_MAR_O_Nominal)^2))/V$90)</f>
        <v>5.0738430387302358E-2</v>
      </c>
      <c r="W98" s="136">
        <f t="array" aca="1" ref="W98" ca="1">SQRT(SUM(IF(OFFSET(W$165,W$91,0,W$90,1)&lt;Compare_MAR_O_Nominal,(OFFSET(W$165,W$91,0,W$90)-Compare_MAR_O_Nominal)^2))/W$90)</f>
        <v>6.0130747473036678E-2</v>
      </c>
      <c r="X98" s="136">
        <f t="array" aca="1" ref="X98" ca="1">SQRT(SUM(IF(OFFSET(X$165,X$91,0,X$90,1)&lt;Compare_MAR_O_Nominal,(OFFSET(X$165,X$91,0,X$90)-Compare_MAR_O_Nominal)^2))/X$90)</f>
        <v>6.9799108809416241E-2</v>
      </c>
      <c r="Y98" s="136">
        <f t="array" aca="1" ref="Y98" ca="1">SQRT(SUM(IF(OFFSET(Y$165,Y$91,0,Y$90,1)&lt;Compare_MAR_O_Nominal,(OFFSET(Y$165,Y$91,0,Y$90)-Compare_MAR_O_Nominal)^2))/Y$90)</f>
        <v>7.9636827315840208E-2</v>
      </c>
      <c r="AA98" s="143"/>
      <c r="AB98" s="61"/>
    </row>
    <row r="99" spans="1:28">
      <c r="A99" s="135" t="s">
        <v>202</v>
      </c>
      <c r="C99" s="136">
        <f t="array" aca="1" ref="C99" ca="1">STDEV(IF(OFFSET(C$165,C$91,0,C$90,1)&gt;Compare_MAR72_Nominal,OFFSET(C$165,C$91,0,C$90,1)))</f>
        <v>7.8174535242249737E-2</v>
      </c>
      <c r="D99" s="136">
        <f t="array" aca="1" ref="D99" ca="1">STDEV(IF(OFFSET(D$165,D$91,0,D$90,1)&gt;Compare_MAR72_Nominal,OFFSET(D$165,D$91,0,D$90,1)))</f>
        <v>8.0801293642517216E-2</v>
      </c>
      <c r="E99" s="136">
        <f t="array" aca="1" ref="E99" ca="1">STDEV(IF(OFFSET(E$165,E$91,0,E$90,1)&gt;Compare_MAR72_Nominal,OFFSET(E$165,E$91,0,E$90,1)))</f>
        <v>8.9490870760011457E-2</v>
      </c>
      <c r="F99" s="136">
        <f t="array" aca="1" ref="F99" ca="1">STDEV(IF(OFFSET(F$165,F$91,0,F$90,1)&gt;Compare_MAR72_Nominal,OFFSET(F$165,F$91,0,F$90,1)))</f>
        <v>7.2515224956560057E-2</v>
      </c>
      <c r="G99" s="136">
        <f t="array" aca="1" ref="G99" ca="1">STDEV(IF(OFFSET(G$165,G$91,0,G$90,1)&gt;Compare_MAR72_Nominal,OFFSET(G$165,G$91,0,G$90,1)))</f>
        <v>7.1028997345549155E-2</v>
      </c>
      <c r="J99" s="135" t="s">
        <v>202</v>
      </c>
      <c r="L99" s="136">
        <f t="array" aca="1" ref="L99" ca="1">STDEV(IF(OFFSET(L$178,L$91,0,L$90,1)&gt;Compare_MAR85_Nominal,OFFSET(L$178,L$91,0,L$90,1)))</f>
        <v>6.0353472352212868E-2</v>
      </c>
      <c r="M99" s="136">
        <f t="array" aca="1" ref="M99" ca="1">STDEV(IF(OFFSET(M$178,M$91,0,M$90,1)&gt;Compare_MAR85_Nominal,OFFSET(M$178,M$91,0,M$90,1)))</f>
        <v>4.0010505367467461E-2</v>
      </c>
      <c r="N99" s="136">
        <f t="array" aca="1" ref="N99" ca="1">STDEV(IF(OFFSET(N$178,N$91,0,N$90,1)&gt;Compare_MAR85_Nominal,OFFSET(N$178,N$91,0,N$90,1)))</f>
        <v>8.3929512741444223E-2</v>
      </c>
      <c r="O99" s="136">
        <f t="array" aca="1" ref="O99" ca="1">STDEV(IF(OFFSET(O$178,O$91,0,O$90,1)&gt;Compare_MAR85_Nominal,OFFSET(O$178,O$91,0,O$90,1)))</f>
        <v>8.3316148208281246E-2</v>
      </c>
      <c r="P99" s="136">
        <f t="array" aca="1" ref="P99" ca="1">STDEV(IF(OFFSET(P$178,P$91,0,P$90,1)&gt;Compare_MAR85_Nominal,OFFSET(P$178,P$91,0,P$90,1)))</f>
        <v>4.5623337061296884E-2</v>
      </c>
      <c r="S99" s="135" t="s">
        <v>202</v>
      </c>
      <c r="U99" s="136">
        <f t="array" aca="1" ref="U99" ca="1">STDEV(IF(OFFSET(U$165,U$91,0,U$90,1)&gt;Compare_MAR_O_Nominal,OFFSET(U$165,U$91,0,U$90,1)))</f>
        <v>4.8277368693782984E-2</v>
      </c>
      <c r="V99" s="136">
        <f t="array" aca="1" ref="V99" ca="1">STDEV(IF(OFFSET(V$165,V$91,0,V$90,1)&gt;Compare_MAR_O_Nominal,OFFSET(V$165,V$91,0,V$90,1)))</f>
        <v>6.2550213536148952E-2</v>
      </c>
      <c r="W99" s="136">
        <f t="array" aca="1" ref="W99" ca="1">STDEV(IF(OFFSET(W$165,W$91,0,W$90,1)&gt;Compare_MAR_O_Nominal,OFFSET(W$165,W$91,0,W$90,1)))</f>
        <v>7.1680480433060995E-2</v>
      </c>
      <c r="X99" s="136">
        <f t="array" aca="1" ref="X99" ca="1">STDEV(IF(OFFSET(X$165,X$91,0,X$90,1)&gt;Compare_MAR_O_Nominal,OFFSET(X$165,X$91,0,X$90,1)))</f>
        <v>8.2509677002405815E-2</v>
      </c>
      <c r="Y99" s="136">
        <f t="array" aca="1" ref="Y99" ca="1">STDEV(IF(OFFSET(Y$165,Y$91,0,Y$90,1)&gt;Compare_MAR_O_Nominal,OFFSET(Y$165,Y$91,0,Y$90,1)))</f>
        <v>9.3499920792915553E-2</v>
      </c>
      <c r="AA99" s="143"/>
    </row>
    <row r="100" spans="1:28">
      <c r="A100" s="135" t="s">
        <v>176</v>
      </c>
      <c r="C100" s="137">
        <f t="array" aca="1" ref="C100" ca="1">IF(C$42="ERROR","ERROR",PRODUCT(1+Compare72_P1)^(1/C$90)-1)</f>
        <v>9.9544134664334649E-2</v>
      </c>
      <c r="D100" s="137">
        <f t="array" aca="1" ref="D100" ca="1">IF(D$42="ERROR","ERROR",PRODUCT(1+Compare72_P2)^(1/D$90)-1)</f>
        <v>0.10902033330481387</v>
      </c>
      <c r="E100" s="137">
        <f t="array" aca="1" ref="E100" ca="1">IF(E$42="ERROR","ERROR",PRODUCT(1+Compare72_P3)^(1/E$90)-1)</f>
        <v>0.11468861026829247</v>
      </c>
      <c r="F100" s="137">
        <f t="array" aca="1" ref="F100" ca="1">IF(F$42="ERROR","ERROR",PRODUCT(1+Compare72_P4)^(1/F$90)-1)</f>
        <v>0.11108613176143511</v>
      </c>
      <c r="G100" s="137">
        <f t="array" aca="1" ref="G100" ca="1">IF(G$42="ERROR","ERROR",PRODUCT(1+Compare72_P5)^(1/G$90)-1)</f>
        <v>0.10194226206603441</v>
      </c>
      <c r="J100" s="135" t="s">
        <v>176</v>
      </c>
      <c r="L100" s="137">
        <f t="array" aca="1" ref="L100" ca="1">IF(L$42="ERROR","ERROR",PRODUCT(1+Compare85_P1)^(1/L$90)-1)</f>
        <v>9.4843726976257203E-2</v>
      </c>
      <c r="M100" s="137">
        <f t="array" aca="1" ref="M100" ca="1">IF(M$42="ERROR","ERROR",PRODUCT(1+Compare85_P2)^(1/M$90)-1)</f>
        <v>7.3752340411591621E-2</v>
      </c>
      <c r="N100" s="137">
        <f t="array" aca="1" ref="N100" ca="1">IF(N$42="ERROR","ERROR",PRODUCT(1+Compare85_P3)^(1/N$90)-1)</f>
        <v>0.10637959439737554</v>
      </c>
      <c r="O100" s="137">
        <f t="array" aca="1" ref="O100" ca="1">IF(O$42="ERROR","ERROR",PRODUCT(1+Compare85_P4)^(1/O$90)-1)</f>
        <v>0.1042577977988477</v>
      </c>
      <c r="P100" s="137">
        <f t="array" aca="1" ref="P100" ca="1">IF(P$42="ERROR","ERROR",PRODUCT(1+Compare85_P5)^(1/P$90)-1)</f>
        <v>7.5581505936023419E-2</v>
      </c>
      <c r="S100" s="135" t="s">
        <v>176</v>
      </c>
      <c r="U100" s="137">
        <f t="array" aca="1" ref="U100" ca="1">IF(U$82="ERROR","ERROR",PRODUCT(1+Compare_O_P1)^(1/U$90)-1)</f>
        <v>6.2679763280196088E-2</v>
      </c>
      <c r="V100" s="137">
        <f t="array" aca="1" ref="V100" ca="1">IF(V$82="ERROR","ERROR",PRODUCT(1+Compare_O_P2)^(1/V$90)-1)</f>
        <v>7.1533353718546966E-2</v>
      </c>
      <c r="W100" s="137">
        <f t="array" aca="1" ref="W100" ca="1">IF(W$82="ERROR","ERROR",PRODUCT(1+Compare_O_P3)^(1/W$90)-1)</f>
        <v>7.5477971305715874E-2</v>
      </c>
      <c r="X100" s="137">
        <f t="array" aca="1" ref="X100" ca="1">IF(X$82="ERROR","ERROR",PRODUCT(1+Compare_O_P4)^(1/X$90)-1)</f>
        <v>7.9096586046198736E-2</v>
      </c>
      <c r="Y100" s="137">
        <f t="array" aca="1" ref="Y100" ca="1">IF(Y$82="ERROR","ERROR",PRODUCT(1+Compare_O_P5)^(1/Y$90)-1)</f>
        <v>8.2383458672721677E-2</v>
      </c>
      <c r="AA100" s="143"/>
    </row>
    <row r="101" spans="1:28">
      <c r="A101" s="135" t="s">
        <v>203</v>
      </c>
      <c r="C101" s="138">
        <f t="array" aca="1" ref="C101" ca="1">(C$96-AVERAGE(OFFSET(Data_72_15!$V$8,C$91,0,C$90))%)/C$97</f>
        <v>0.41251854096438167</v>
      </c>
      <c r="D101" s="138">
        <f t="array" aca="1" ref="D101" ca="1">(D$96-AVERAGE(OFFSET(Data_72_15!$V$8,D$91,0,D$90))%)/D$97</f>
        <v>0.4987584264776877</v>
      </c>
      <c r="E101" s="138">
        <f t="array" aca="1" ref="E101" ca="1">(E$96-AVERAGE(OFFSET(Data_72_15!$V$8,E$91,0,E$90))%)/E$97</f>
        <v>0.50091759480580178</v>
      </c>
      <c r="F101" s="138">
        <f t="array" aca="1" ref="F101" ca="1">(F$96-AVERAGE(OFFSET(Data_72_15!$V$8,F$91,0,F$90))%)/F$97</f>
        <v>0.54580638524065939</v>
      </c>
      <c r="G101" s="138">
        <f t="array" aca="1" ref="G101" ca="1">(G$96-AVERAGE(OFFSET(Data_72_15!$V$8,G$91,0,G$90))%)/G$97</f>
        <v>0.49073899928084225</v>
      </c>
      <c r="J101" s="135" t="s">
        <v>203</v>
      </c>
      <c r="L101" s="138">
        <f ca="1">(L$96-AVERAGE(OFFSET(Data_85_15!$V$8,L$91,0,L$90))%)/L$97</f>
        <v>0.61848294846585561</v>
      </c>
      <c r="M101" s="138">
        <f ca="1">(M$96-AVERAGE(OFFSET(Data_85_15!$V$8,M$91,0,M$90))%)/M$97</f>
        <v>0.65535735931838268</v>
      </c>
      <c r="N101" s="138">
        <f ca="1">(N$96-AVERAGE(OFFSET(Data_85_15!$V$8,N$91,0,N$90))%)/N$97</f>
        <v>0.56248738425487566</v>
      </c>
      <c r="O101" s="138">
        <f ca="1">(O$96-AVERAGE(OFFSET(Data_85_15!$V$8,O$91,0,O$90))%)/O$97</f>
        <v>0.5756833697110999</v>
      </c>
      <c r="P101" s="138">
        <f ca="1">(P$96-AVERAGE(OFFSET(Data_85_15!$V$8,P$91,0,P$90))%)/P$97</f>
        <v>0.6391334322138944</v>
      </c>
      <c r="S101" s="135" t="s">
        <v>203</v>
      </c>
      <c r="U101" s="138">
        <f ca="1">(U$96-AVERAGE(OFFSET(Data_All!$V$8,U$91,0,U$90))%)/U$97</f>
        <v>0.35312271573059284</v>
      </c>
      <c r="V101" s="138">
        <f ca="1">(V$96-AVERAGE(OFFSET(Data_All!$V$8,V$91,0,V$90))%)/V$97</f>
        <v>0.36175749204209823</v>
      </c>
      <c r="W101" s="138">
        <f ca="1">(W$96-AVERAGE(OFFSET(Data_All!$V$8,W$91,0,W$90))%)/W$97</f>
        <v>0.35806729185410802</v>
      </c>
      <c r="X101" s="138">
        <f ca="1">(X$96-AVERAGE(OFFSET(Data_All!$V$8,X$91,0,X$90))%)/X$97</f>
        <v>0.35360381685735398</v>
      </c>
      <c r="Y101" s="138">
        <f ca="1">(Y$96-AVERAGE(OFFSET(Data_All!$V$8,Y$91,0,Y$90))%)/Y$97</f>
        <v>0.34922889497544451</v>
      </c>
      <c r="AA101" s="143"/>
    </row>
    <row r="102" spans="1:28">
      <c r="A102" s="135" t="s">
        <v>204</v>
      </c>
      <c r="C102" s="138">
        <f ca="1">(C$96-Compare_MAR72_Nominal)/C$98</f>
        <v>0.69992359883421884</v>
      </c>
      <c r="D102" s="138">
        <f ca="1">(D$96-Compare_MAR72_Nominal)/D$98</f>
        <v>0.90265858185978853</v>
      </c>
      <c r="E102" s="138">
        <f ca="1">(E$96-Compare_MAR72_Nominal)/E$98</f>
        <v>0.9079605020494701</v>
      </c>
      <c r="F102" s="138">
        <f ca="1">(F$96-Compare_MAR72_Nominal)/F$98</f>
        <v>1.0191404579291303</v>
      </c>
      <c r="G102" s="138">
        <f ca="1">(G$96-Compare_MAR72_Nominal)/G$98</f>
        <v>0.91711992604178338</v>
      </c>
      <c r="J102" s="135" t="s">
        <v>204</v>
      </c>
      <c r="L102" s="138">
        <f ca="1">(L$96-Compare_MAR85_Nominal)/L$98</f>
        <v>0.83230729800498604</v>
      </c>
      <c r="M102" s="138">
        <f ca="1">(M$96-Compare_MAR85_Nominal)/M$98</f>
        <v>0.88361044050373216</v>
      </c>
      <c r="N102" s="138">
        <f ca="1">(N$96-Compare_MAR85_Nominal)/N$98</f>
        <v>0.84655146106898305</v>
      </c>
      <c r="O102" s="138">
        <f ca="1">(O$96-Compare_MAR85_Nominal)/O$98</f>
        <v>0.88633289314616615</v>
      </c>
      <c r="P102" s="138">
        <f ca="1">(P$96-Compare_MAR85_Nominal)/P$98</f>
        <v>0.91474429958450987</v>
      </c>
      <c r="S102" s="135" t="s">
        <v>204</v>
      </c>
      <c r="U102" s="138">
        <f ca="1">(U$96-Compare_MAR_O_Nominal)/U$98</f>
        <v>0.43188905099584507</v>
      </c>
      <c r="V102" s="138">
        <f ca="1">(V$96-Compare_MAR_O_Nominal)/V$98</f>
        <v>0.50243446740262554</v>
      </c>
      <c r="W102" s="138">
        <f ca="1">(W$96-Compare_MAR_O_Nominal)/W$98</f>
        <v>0.51512687899526621</v>
      </c>
      <c r="X102" s="138">
        <f ca="1">(X$96-Compare_MAR_O_Nominal)/X$98</f>
        <v>0.52231601417621576</v>
      </c>
      <c r="Y102" s="138">
        <f ca="1">(Y$96-Compare_MAR_O_Nominal)/Y$98</f>
        <v>0.52663349042023833</v>
      </c>
      <c r="AA102" s="143"/>
      <c r="AB102" s="61"/>
    </row>
    <row r="103" spans="1:28">
      <c r="A103" s="135" t="s">
        <v>205</v>
      </c>
      <c r="C103" s="138">
        <f ca="1">PEARSON(OFFSET(C$165,C$91,0,C$90,1),OFFSET(Data_72_15!$B$8,C$91,0,C$90,1))</f>
        <v>0.93770240996902476</v>
      </c>
      <c r="D103" s="138">
        <f ca="1">PEARSON(OFFSET(D$165,D$91,0,D$90,1),OFFSET(Data_72_15!$B$8,D$91,0,D$90,1))</f>
        <v>0.91408516637613424</v>
      </c>
      <c r="E103" s="138">
        <f ca="1">PEARSON(OFFSET(E$165,E$91,0,E$90,1),OFFSET(Data_72_15!$B$8,E$91,0,E$90,1))</f>
        <v>0.88724545969345614</v>
      </c>
      <c r="F103" s="138">
        <f ca="1">PEARSON(OFFSET(F$165,F$91,0,F$90,1),OFFSET(Data_72_15!$B$8,F$91,0,F$90,1))</f>
        <v>0.86679227204448972</v>
      </c>
      <c r="G103" s="138">
        <f ca="1">PEARSON(OFFSET(G$165,G$91,0,G$90,1),OFFSET(Data_72_15!$B$8,G$91,0,G$90,1))</f>
        <v>0.84730577869145562</v>
      </c>
      <c r="J103" s="135" t="s">
        <v>206</v>
      </c>
      <c r="L103" s="138">
        <f ca="1">PEARSON(OFFSET(L$178,L$91,0,L$90,1),OFFSET(Data_85_15!$B$8,L$91,0,L$90,1))</f>
        <v>0.91144598278204148</v>
      </c>
      <c r="M103" s="138">
        <f ca="1">PEARSON(OFFSET(M$178,M$91,0,M$90,1),OFFSET(Data_85_15!$B$8,M$91,0,M$90,1))</f>
        <v>0.56702378158306632</v>
      </c>
      <c r="N103" s="138">
        <f ca="1">PEARSON(OFFSET(N$178,N$91,0,N$90,1),OFFSET(Data_85_15!$B$8,N$91,0,N$90,1))</f>
        <v>0.88436009796590187</v>
      </c>
      <c r="O103" s="138">
        <f ca="1">PEARSON(OFFSET(O$178,O$91,0,O$90,1),OFFSET(Data_85_15!$B$8,O$91,0,O$90,1))</f>
        <v>0.84551720371171391</v>
      </c>
      <c r="P103" s="138">
        <f ca="1">PEARSON(OFFSET(P$178,P$91,0,P$90,1),OFFSET(Data_85_15!$B$8,P$91,0,P$90,1))</f>
        <v>0.50908294962185352</v>
      </c>
      <c r="S103" s="135" t="s">
        <v>205</v>
      </c>
      <c r="U103" s="138">
        <f ca="1">PEARSON(OFFSET(U$165,U$91,0,U$90,1),OFFSET(Data_All!$B$8,U$91,0,U$90,1))</f>
        <v>0.81390750511648613</v>
      </c>
      <c r="V103" s="138">
        <f ca="1">PEARSON(OFFSET(V$165,V$91,0,V$90,1),OFFSET(Data_All!$B$8,V$91,0,V$90,1))</f>
        <v>0.94295238900978762</v>
      </c>
      <c r="W103" s="138">
        <f ca="1">PEARSON(OFFSET(W$165,W$91,0,W$90,1),OFFSET(Data_All!$B$8,W$91,0,W$90,1))</f>
        <v>0.96449031238597671</v>
      </c>
      <c r="X103" s="138">
        <f ca="1">PEARSON(OFFSET(X$165,X$91,0,X$90,1),OFFSET(Data_All!$B$8,X$91,0,X$90,1))</f>
        <v>0.97562857296056571</v>
      </c>
      <c r="Y103" s="138">
        <f ca="1">PEARSON(OFFSET(Y$165,Y$91,0,Y$90,1),OFFSET(Data_All!$B$8,Y$91,0,Y$90,1))</f>
        <v>0.98139889355597965</v>
      </c>
      <c r="AA103" s="143"/>
    </row>
    <row r="104" spans="1:28">
      <c r="A104" s="135" t="s">
        <v>207</v>
      </c>
      <c r="C104" s="138">
        <f ca="1">PEARSON(OFFSET(C$165,C$91,0,C$90,1),OFFSET(Data_72_15!$N$8,C$91,0,C$90,1))</f>
        <v>0.87117232464361882</v>
      </c>
      <c r="D104" s="138">
        <f ca="1">PEARSON(OFFSET(D$165,D$91,0,D$90,1),OFFSET(Data_72_15!$N$8,D$91,0,D$90,1))</f>
        <v>0.83193124666918083</v>
      </c>
      <c r="E104" s="138">
        <f ca="1">PEARSON(OFFSET(E$165,E$91,0,E$90,1),OFFSET(Data_72_15!$N$8,E$91,0,E$90,1))</f>
        <v>0.84825656881015599</v>
      </c>
      <c r="F104" s="138">
        <f ca="1">PEARSON(OFFSET(F$165,F$91,0,F$90,1),OFFSET(Data_72_15!$N$8,F$91,0,F$90,1))</f>
        <v>0.80139631109149423</v>
      </c>
      <c r="G104" s="138">
        <f ca="1">PEARSON(OFFSET(G$165,G$91,0,G$90,1),OFFSET(Data_72_15!$N$8,G$91,0,G$90,1))</f>
        <v>0.91570501667967175</v>
      </c>
      <c r="J104" s="135" t="s">
        <v>207</v>
      </c>
      <c r="L104" s="138">
        <f ca="1">PEARSON(OFFSET(L$178,L$91,0,L$90,1),OFFSET(Data_85_15!$N$8,L$91,0,L$90,1))</f>
        <v>0.72352940837239732</v>
      </c>
      <c r="M104" s="138">
        <f ca="1">PEARSON(OFFSET(M$178,M$91,0,M$90,1),OFFSET(Data_85_15!$N$8,M$91,0,M$90,1))</f>
        <v>0.6442687398383673</v>
      </c>
      <c r="N104" s="138">
        <f ca="1">PEARSON(OFFSET(N$178,N$91,0,N$90,1),OFFSET(Data_85_15!$N$8,N$91,0,N$90,1))</f>
        <v>0.89474011124805075</v>
      </c>
      <c r="O104" s="138">
        <f ca="1">PEARSON(OFFSET(O$178,O$91,0,O$90,1),OFFSET(Data_85_15!$N$8,O$91,0,O$90,1))</f>
        <v>0.90930457509973384</v>
      </c>
      <c r="P104" s="138">
        <f ca="1">PEARSON(OFFSET(P$178,P$91,0,P$90,1),OFFSET(Data_85_15!$N$8,P$91,0,P$90,1))</f>
        <v>0.68845948073245689</v>
      </c>
      <c r="S104" s="135" t="s">
        <v>207</v>
      </c>
      <c r="U104" s="138">
        <f ca="1">PEARSON(OFFSET(U$165,U$91,0,U$90,1),OFFSET(Data_All!$N$8,U$91,0,U$90,1))</f>
        <v>0.41819122626867367</v>
      </c>
      <c r="V104" s="138">
        <f ca="1">PEARSON(OFFSET(V$165,V$91,0,V$90,1),OFFSET(Data_All!$N$8,V$91,0,V$90,1))</f>
        <v>0.57332177149656216</v>
      </c>
      <c r="W104" s="138">
        <f ca="1">PEARSON(OFFSET(W$165,W$91,0,W$90,1),OFFSET(Data_All!$N$8,W$91,0,W$90,1))</f>
        <v>0.61318732754232141</v>
      </c>
      <c r="X104" s="138">
        <f ca="1">PEARSON(OFFSET(X$165,X$91,0,X$90,1),OFFSET(Data_All!$N$8,X$91,0,X$90,1))</f>
        <v>0.63917885937832364</v>
      </c>
      <c r="Y104" s="138">
        <f ca="1">PEARSON(OFFSET(Y$165,Y$91,0,Y$90,1),OFFSET(Data_All!$N$8,Y$91,0,Y$90,1))</f>
        <v>0.65643104032441302</v>
      </c>
      <c r="AA104" s="143"/>
    </row>
    <row r="105" spans="1:28">
      <c r="A105" s="135" t="s">
        <v>208</v>
      </c>
      <c r="C105" s="464">
        <f t="array" aca="1" ref="C105" ca="1">C$87*PRODUCT(1+Compare72_P1)</f>
        <v>650664.8013294664</v>
      </c>
      <c r="D105" s="464">
        <f t="array" aca="1" ref="D105" ca="1">D$87*PRODUCT(1+Compare72_P2)</f>
        <v>949157.72442755068</v>
      </c>
      <c r="E105" s="464">
        <f t="array" aca="1" ref="E105" ca="1">E$87*PRODUCT(1+Compare72_P3)</f>
        <v>1187836.8604748375</v>
      </c>
      <c r="F105" s="464">
        <f t="array" aca="1" ref="F105" ca="1">F$87*PRODUCT(1+Compare72_P4)</f>
        <v>1030148.8533236668</v>
      </c>
      <c r="G105" s="464">
        <f t="array" aca="1" ref="G105" ca="1">G$87*PRODUCT(1+Compare72_P5)</f>
        <v>716125.1762853422</v>
      </c>
      <c r="J105" s="135" t="s">
        <v>209</v>
      </c>
      <c r="L105" s="464">
        <f t="array" aca="1" ref="L105" ca="1">L$87*PRODUCT(1+Compare85_P1)</f>
        <v>165926.65789125912</v>
      </c>
      <c r="M105" s="464">
        <f t="array" aca="1" ref="M105" ca="1">M$87*PRODUCT(1+Compare85_P2)</f>
        <v>90787.869987270984</v>
      </c>
      <c r="N105" s="464">
        <f t="array" aca="1" ref="N105" ca="1">N$87*PRODUCT(1+Compare85_P3)</f>
        <v>229630.13128379575</v>
      </c>
      <c r="O105" s="464">
        <f t="array" aca="1" ref="O105" ca="1">O$87*PRODUCT(1+Compare85_P4)</f>
        <v>216363.85814572716</v>
      </c>
      <c r="P105" s="464">
        <f t="array" aca="1" ref="P105" ca="1">P$87*PRODUCT(1+Compare85_P5)</f>
        <v>95706.86940573006</v>
      </c>
      <c r="S105" s="135" t="s">
        <v>208</v>
      </c>
      <c r="U105" s="464">
        <f t="array" aca="1" ref="U105" ca="1">U$87*PRODUCT(1+Compare_O_P1)</f>
        <v>67351845.419209361</v>
      </c>
      <c r="V105" s="464">
        <f t="array" aca="1" ref="V105" ca="1">V$87*PRODUCT(1+Compare_O_P2)</f>
        <v>224298111.69578847</v>
      </c>
      <c r="W105" s="464">
        <f t="array" aca="1" ref="W105" ca="1">W$87*PRODUCT(1+Compare_O_P3)</f>
        <v>382138062.2931602</v>
      </c>
      <c r="X105" s="464">
        <f t="array" aca="1" ref="X105" ca="1">X$87*PRODUCT(1+Compare_O_P4)</f>
        <v>621936708.22198236</v>
      </c>
      <c r="Y105" s="464">
        <f t="array" aca="1" ref="Y105" ca="1">Y$87*PRODUCT(1+Compare_O_P5)</f>
        <v>966643331.08027232</v>
      </c>
      <c r="AA105" s="143"/>
    </row>
    <row r="106" spans="1:28">
      <c r="A106" s="135" t="s">
        <v>210</v>
      </c>
      <c r="C106" s="464">
        <f t="array" aca="1" ref="C106" ca="1">C$87*SUMPRODUCT(C$5:C$41,TRANSPOSE(Returns_72_15!$B$123:$AL$123))</f>
        <v>578102.80940329225</v>
      </c>
      <c r="D106" s="464">
        <f t="array" aca="1" ref="D106" ca="1">D$87*SUMPRODUCT(D$5:D$41,TRANSPOSE(Returns_72_15!$B$124:$AL$124))</f>
        <v>1065993.7282229851</v>
      </c>
      <c r="E106" s="464">
        <f t="array" aca="1" ref="E106" ca="1">E$87*SUMPRODUCT(E$5:E$41,TRANSPOSE(Returns_72_15!$B$124:$AL$124))</f>
        <v>1268487.1546583562</v>
      </c>
      <c r="F106" s="464">
        <f t="array" aca="1" ref="F106" ca="1">F$87*SUMPRODUCT(F$5:F$41,TRANSPOSE(Returns_72_15!$B$125:$AL$125))</f>
        <v>1269303.4295738924</v>
      </c>
      <c r="G106" s="464">
        <f t="array" aca="1" ref="G106" ca="1">G$87*SUMPRODUCT(G$5:G$41,TRANSPOSE(Returns_72_15!$B$126:$AL$126))</f>
        <v>938983.98211993498</v>
      </c>
      <c r="J106" s="135" t="s">
        <v>211</v>
      </c>
      <c r="L106" s="464">
        <f t="array" aca="1" ref="L106" ca="1">L$87*SUMPRODUCT(L$5:L$54,TRANSPOSE(Returns_85_15!$B$99:$AY$99))</f>
        <v>159458.12736246389</v>
      </c>
      <c r="M106" s="464">
        <f t="array" aca="1" ref="M106" ca="1">M$87*SUMPRODUCT(M$5:M$54,TRANSPOSE(Returns_85_15!$B$100:$AY$100))</f>
        <v>109710.80721072259</v>
      </c>
      <c r="N106" s="464">
        <f t="array" aca="1" ref="N106" ca="1">N$87*SUMPRODUCT(N$5:N$54,TRANSPOSE(Returns_85_15!$B$101:$AY$101))</f>
        <v>217369.89880582469</v>
      </c>
      <c r="O106" s="464">
        <f t="array" aca="1" ref="O106" ca="1">O$87*SUMPRODUCT(O$5:O$54,TRANSPOSE(Returns_85_15!$B$102:$AY$102))</f>
        <v>209726.84118870308</v>
      </c>
      <c r="P106" s="464">
        <f t="array" aca="1" ref="P106" ca="1">P$87*SUMPRODUCT(P$5:P$54,TRANSPOSE(Returns_85_15!$B$103:$AY$103))</f>
        <v>108652.93924106086</v>
      </c>
      <c r="S106" s="135" t="s">
        <v>210</v>
      </c>
      <c r="U106" s="464">
        <f t="array" aca="1" ref="U106" ca="1">U$87*SUMPRODUCT(U$5:U$81,TRANSPOSE(Returns_All!$B$325:$BZ$325))</f>
        <v>613788202.69798553</v>
      </c>
      <c r="V106" s="464">
        <f t="array" aca="1" ref="V106" ca="1">V$87*SUMPRODUCT(V$5:V$81,TRANSPOSE(Returns_All!$B$326:$BZ$326))</f>
        <v>1017780886.0094366</v>
      </c>
      <c r="W106" s="464">
        <f t="array" aca="1" ref="W106" ca="1">W$87*SUMPRODUCT(W$5:W$81,TRANSPOSE(Returns_All!$B$327:$BZ$327))</f>
        <v>1219777227.6651621</v>
      </c>
      <c r="X106" s="464">
        <f t="array" aca="1" ref="X106" ca="1">X$87*SUMPRODUCT(X$5:X$81,TRANSPOSE(Returns_All!$B$328:$BZ$328))</f>
        <v>1421773569.3208876</v>
      </c>
      <c r="Y106" s="464">
        <f t="array" aca="1" ref="Y106" ca="1">Y$87*SUMPRODUCT(Y$5:Y$81,TRANSPOSE(Returns_All!$B$329:$BZ$329))</f>
        <v>1623769910.9766135</v>
      </c>
      <c r="AA106" s="143"/>
    </row>
    <row r="107" spans="1:28">
      <c r="A107" s="135" t="s">
        <v>212</v>
      </c>
      <c r="C107" s="464">
        <f t="array" aca="1" ref="C107" ca="1">C$87*PRODUCT(1+(Compare72_P1-Compare72_Inflation1%)/(1+Compare72_Inflation1%))</f>
        <v>113063.41120237212</v>
      </c>
      <c r="D107" s="464">
        <f t="array" aca="1" ref="D107" ca="1">D$87*PRODUCT(1+(Compare72_P2-Compare72_Inflation2%)/(1+Compare72_Inflation2%))</f>
        <v>164931.32850215546</v>
      </c>
      <c r="E107" s="464">
        <f t="array" aca="1" ref="E107" ca="1">E$87*PRODUCT(1+(Compare72_P3-Compare72_Inflation3%)/(1+Compare72_Inflation3%))</f>
        <v>206405.64407786005</v>
      </c>
      <c r="F107" s="464">
        <f t="array" aca="1" ref="F107" ca="1">F$87*PRODUCT(1+(Compare72_P4-Compare72_Inflation4%)/(1+Compare72_Inflation4%))</f>
        <v>179004.83192729187</v>
      </c>
      <c r="G107" s="464">
        <f t="array" aca="1" ref="G107" ca="1">G$87*PRODUCT(1+(Compare72_P5-Compare72_Inflation5%)/(1+Compare72_Inflation5%))</f>
        <v>124438.19784516466</v>
      </c>
      <c r="J107" s="135" t="s">
        <v>212</v>
      </c>
      <c r="L107" s="464">
        <f t="array" aca="1" ref="L107" ca="1">L$87*PRODUCT(1+(Compare85_P1-Compare85_Inflation1%)/(1+Compare85_Inflation1%))</f>
        <v>73869.895681004491</v>
      </c>
      <c r="M107" s="464">
        <f t="array" aca="1" ref="M107" ca="1">M$87*PRODUCT(1+(Compare85_P2-Compare85_Inflation2%)/(1+Compare85_Inflation2%))</f>
        <v>40418.402746684857</v>
      </c>
      <c r="N107" s="464">
        <f t="array" aca="1" ref="N107" ca="1">N$87*PRODUCT(1+(Compare85_P3-Compare85_Inflation3%)/(1+Compare85_Inflation3%))</f>
        <v>102230.43155769444</v>
      </c>
      <c r="O107" s="464">
        <f t="array" aca="1" ref="O107" ca="1">O$87*PRODUCT(1+(Compare85_P4-Compare85_Inflation4%)/(1+Compare85_Inflation4%))</f>
        <v>96324.338918698078</v>
      </c>
      <c r="P107" s="464">
        <f t="array" aca="1" ref="P107" ca="1">P$87*PRODUCT(1+(Compare85_P5-Compare85_Inflation5%)/(1+Compare85_Inflation5%))</f>
        <v>42608.321946616103</v>
      </c>
      <c r="S107" s="135" t="s">
        <v>212</v>
      </c>
      <c r="U107" s="464">
        <f t="array" aca="1" ref="U107" ca="1">U$87*PRODUCT(1+(Compare_O_P1-Compare_O_Inflation1%)/(1+Compare_O_Inflation1%))</f>
        <v>3549212.5981084364</v>
      </c>
      <c r="V107" s="464">
        <f t="array" aca="1" ref="V107" ca="1">V$87*PRODUCT(1+(Compare_O_P2-Compare_O_Inflation2%)/(1+Compare_O_Inflation2%))</f>
        <v>11819745.677459531</v>
      </c>
      <c r="W107" s="464">
        <f t="array" aca="1" ref="W107" ca="1">W$87*PRODUCT(1+(Compare_O_P3-Compare_O_Inflation3%)/(1+Compare_O_Inflation3%))</f>
        <v>20137372.873242799</v>
      </c>
      <c r="X107" s="464">
        <f t="array" aca="1" ref="X107" ca="1">X$87*PRODUCT(1+(Compare_O_P4-Compare_O_Inflation4%)/(1+Compare_O_Inflation4%))</f>
        <v>32773943.851254575</v>
      </c>
      <c r="Y107" s="464">
        <f t="array" aca="1" ref="Y107" ca="1">Y$87*PRODUCT(1+(Compare_O_P5-Compare_O_Inflation5%)/(1+Compare_O_Inflation5%))</f>
        <v>50938807.499535926</v>
      </c>
      <c r="AA107" s="143"/>
    </row>
    <row r="108" spans="1:28">
      <c r="A108" s="139"/>
      <c r="S108" s="139"/>
      <c r="AA108" s="143"/>
    </row>
    <row r="109" spans="1:28">
      <c r="A109" s="139"/>
      <c r="S109" s="139"/>
      <c r="AA109" s="143"/>
    </row>
    <row r="110" spans="1:28">
      <c r="A110" s="139"/>
      <c r="S110" s="139"/>
      <c r="AA110" s="143"/>
    </row>
    <row r="111" spans="1:28">
      <c r="A111" s="139"/>
      <c r="S111" s="139"/>
      <c r="AA111" s="143"/>
    </row>
    <row r="112" spans="1:28">
      <c r="A112" s="139"/>
      <c r="S112" s="139"/>
      <c r="AA112" s="143"/>
    </row>
    <row r="113" spans="1:28">
      <c r="A113" s="139"/>
      <c r="S113" s="139"/>
      <c r="AA113" s="143"/>
    </row>
    <row r="114" spans="1:28">
      <c r="A114" s="139"/>
      <c r="S114" s="139"/>
      <c r="AA114" s="143"/>
      <c r="AB114" s="61"/>
    </row>
    <row r="115" spans="1:28">
      <c r="A115" s="139"/>
      <c r="S115" s="139"/>
      <c r="AA115" s="143"/>
      <c r="AB115" s="61"/>
    </row>
    <row r="116" spans="1:28">
      <c r="A116" s="139"/>
      <c r="S116" s="139"/>
      <c r="AA116" s="143"/>
      <c r="AB116" s="61"/>
    </row>
    <row r="117" spans="1:28">
      <c r="A117" s="139"/>
      <c r="S117" s="139"/>
      <c r="AA117" s="143"/>
      <c r="AB117" s="61"/>
    </row>
    <row r="118" spans="1:28">
      <c r="A118" s="139"/>
      <c r="S118" s="139"/>
      <c r="AA118" s="143"/>
      <c r="AB118" s="61"/>
    </row>
    <row r="119" spans="1:28">
      <c r="A119" s="139"/>
      <c r="S119" s="139"/>
      <c r="AB119" s="61"/>
    </row>
    <row r="120" spans="1:28">
      <c r="A120" s="139"/>
      <c r="S120" s="139"/>
      <c r="AB120" s="61"/>
    </row>
    <row r="121" spans="1:28">
      <c r="A121" s="139"/>
      <c r="S121" s="139"/>
      <c r="AB121" s="61"/>
    </row>
    <row r="122" spans="1:28">
      <c r="A122" s="139"/>
      <c r="S122" s="139"/>
      <c r="AB122" s="61"/>
    </row>
    <row r="123" spans="1:28">
      <c r="A123" s="139"/>
      <c r="S123" s="139"/>
      <c r="AB123" s="61"/>
    </row>
    <row r="124" spans="1:28">
      <c r="A124" s="139"/>
      <c r="S124" s="139"/>
      <c r="AB124" s="61"/>
    </row>
    <row r="125" spans="1:28">
      <c r="A125" s="139"/>
      <c r="S125" s="139"/>
      <c r="AB125" s="61"/>
    </row>
    <row r="126" spans="1:28">
      <c r="A126" s="139"/>
      <c r="S126" s="139"/>
      <c r="AB126" s="61"/>
    </row>
    <row r="127" spans="1:28">
      <c r="A127" s="139"/>
      <c r="S127" s="139"/>
      <c r="AB127" s="61"/>
    </row>
    <row r="128" spans="1:28">
      <c r="A128" s="139"/>
      <c r="S128" s="139"/>
      <c r="AB128" s="61"/>
    </row>
    <row r="129" spans="1:28">
      <c r="A129" s="139"/>
      <c r="S129" s="139"/>
      <c r="AB129" s="61"/>
    </row>
    <row r="130" spans="1:28">
      <c r="A130" s="139"/>
      <c r="S130" s="139"/>
      <c r="AB130" s="61"/>
    </row>
    <row r="131" spans="1:28">
      <c r="A131" s="139"/>
      <c r="S131" s="139"/>
      <c r="AB131" s="61"/>
    </row>
    <row r="132" spans="1:28">
      <c r="A132" s="139"/>
      <c r="S132" s="139"/>
      <c r="AB132" s="61"/>
    </row>
    <row r="133" spans="1:28">
      <c r="A133" s="139"/>
      <c r="S133" s="139"/>
      <c r="AB133" s="61"/>
    </row>
    <row r="134" spans="1:28">
      <c r="A134" s="139"/>
      <c r="S134" s="139"/>
      <c r="AB134" s="61"/>
    </row>
    <row r="135" spans="1:28">
      <c r="A135" s="139"/>
      <c r="S135" s="139"/>
      <c r="AB135" s="61"/>
    </row>
    <row r="136" spans="1:28">
      <c r="A136" s="139"/>
      <c r="S136" s="139"/>
      <c r="AB136" s="61"/>
    </row>
    <row r="137" spans="1:28">
      <c r="A137" s="139"/>
      <c r="S137" s="139"/>
      <c r="AB137" s="61"/>
    </row>
    <row r="138" spans="1:28">
      <c r="A138" s="139"/>
      <c r="S138" s="139"/>
      <c r="AB138" s="61"/>
    </row>
    <row r="139" spans="1:28">
      <c r="A139" s="139"/>
      <c r="S139" s="139"/>
      <c r="AB139" s="61"/>
    </row>
    <row r="140" spans="1:28">
      <c r="A140" s="139"/>
      <c r="S140" s="139"/>
      <c r="AB140" s="61"/>
    </row>
    <row r="141" spans="1:28">
      <c r="A141" s="139"/>
      <c r="S141" s="139"/>
      <c r="AB141" s="61"/>
    </row>
    <row r="142" spans="1:28">
      <c r="A142" s="139"/>
      <c r="S142" s="139"/>
      <c r="AB142" s="61"/>
    </row>
    <row r="143" spans="1:28">
      <c r="A143" s="139"/>
      <c r="S143" s="139"/>
      <c r="AB143" s="61"/>
    </row>
    <row r="144" spans="1:28">
      <c r="A144" s="139"/>
      <c r="S144" s="139"/>
      <c r="AB144" s="61"/>
    </row>
    <row r="145" spans="1:28">
      <c r="A145" s="139"/>
      <c r="S145" s="139"/>
      <c r="AB145" s="61"/>
    </row>
    <row r="146" spans="1:28">
      <c r="A146" s="139"/>
      <c r="S146" s="139"/>
      <c r="AB146" s="61"/>
    </row>
    <row r="147" spans="1:28">
      <c r="A147" s="139"/>
      <c r="S147" s="139"/>
      <c r="AB147" s="61"/>
    </row>
    <row r="148" spans="1:28">
      <c r="A148" s="139"/>
      <c r="S148" s="139"/>
      <c r="AB148" s="61"/>
    </row>
    <row r="149" spans="1:28">
      <c r="A149" s="139"/>
      <c r="S149" s="139"/>
      <c r="AB149" s="61"/>
    </row>
    <row r="150" spans="1:28">
      <c r="A150" s="139"/>
      <c r="S150" s="139"/>
      <c r="AB150" s="61"/>
    </row>
    <row r="151" spans="1:28">
      <c r="A151" s="139"/>
      <c r="S151" s="139"/>
      <c r="AB151" s="61"/>
    </row>
    <row r="152" spans="1:28">
      <c r="A152" s="139"/>
      <c r="S152" s="139"/>
      <c r="AB152" s="61"/>
    </row>
    <row r="153" spans="1:28">
      <c r="A153" s="139"/>
      <c r="S153" s="139"/>
      <c r="AB153" s="61"/>
    </row>
    <row r="154" spans="1:28">
      <c r="A154" s="139"/>
      <c r="S154" s="139"/>
      <c r="AB154" s="61"/>
    </row>
    <row r="155" spans="1:28">
      <c r="A155" s="139"/>
      <c r="S155" s="139"/>
      <c r="AB155" s="61"/>
    </row>
    <row r="156" spans="1:28">
      <c r="A156" s="139"/>
      <c r="S156" s="139"/>
      <c r="AB156" s="61"/>
    </row>
    <row r="157" spans="1:28">
      <c r="A157" s="139"/>
      <c r="S157" s="139"/>
      <c r="AB157" s="61"/>
    </row>
    <row r="158" spans="1:28">
      <c r="A158" s="139"/>
      <c r="S158" s="139"/>
      <c r="AB158" s="61"/>
    </row>
    <row r="159" spans="1:28">
      <c r="A159" s="139"/>
      <c r="S159" s="139"/>
      <c r="AB159" s="61"/>
    </row>
    <row r="160" spans="1:28">
      <c r="A160" s="139"/>
      <c r="S160" s="139"/>
      <c r="AB160" s="61"/>
    </row>
    <row r="161" spans="1:30">
      <c r="A161" s="139"/>
      <c r="S161" s="139"/>
      <c r="AB161" s="61"/>
    </row>
    <row r="162" spans="1:30">
      <c r="A162" s="139"/>
      <c r="S162" s="139"/>
      <c r="AB162" s="61"/>
    </row>
    <row r="163" spans="1:30">
      <c r="A163" s="139"/>
      <c r="S163" s="139"/>
      <c r="AB163" s="61"/>
    </row>
    <row r="164" spans="1:30">
      <c r="A164" s="139"/>
      <c r="C164" t="s">
        <v>960</v>
      </c>
      <c r="J164" s="421"/>
      <c r="U164" t="s">
        <v>960</v>
      </c>
      <c r="AB164" s="61"/>
    </row>
    <row r="165" spans="1:30">
      <c r="B165" s="140">
        <v>1972</v>
      </c>
      <c r="C165" s="141">
        <f t="array" ref="C165">IF(AND($B165&gt;=C$88,$B165&lt;=C$89),SUMPRODUCT(C$5:C$41,TRANSPOSE(Data_72_15!$B8:$AL8))%,"")</f>
        <v>0.20872974418973414</v>
      </c>
      <c r="D165" s="141">
        <f t="array" ref="D165">IF(AND($B165&gt;=D$88,$B165&lt;=D$89),SUMPRODUCT(D$5:D$41,TRANSPOSE(Data_72_15!$B8:$AL8))%,"")</f>
        <v>0.17312717684142881</v>
      </c>
      <c r="E165" s="141">
        <f t="array" ref="E165">IF(AND($B165&gt;=E$88,$B165&lt;=E$89),SUMPRODUCT(E$5:E$41,TRANSPOSE(Data_72_15!$B8:$AL8))%,"")</f>
        <v>0.1826032599624039</v>
      </c>
      <c r="F165" s="141">
        <f t="array" ref="F165">IF(AND($B165&gt;=F$88,$B165&lt;=F$89),SUMPRODUCT(F$5:F$41,TRANSPOSE(Data_72_15!$B8:$AL8))%,"")</f>
        <v>0.14689223242320693</v>
      </c>
      <c r="G165" s="141">
        <f t="array" ref="G165">IF(AND($B165&gt;=G$88,$B165&lt;=G$89),SUMPRODUCT(G$5:G$41,TRANSPOSE(Data_72_15!$B8:$AL8))%,"")</f>
        <v>0.16819651732836444</v>
      </c>
      <c r="K165" s="598"/>
      <c r="T165" s="140">
        <v>1871</v>
      </c>
      <c r="U165" s="141">
        <f t="array" ref="U165">IF(AND($T165&gt;=U$88,$T165&lt;=U$89),SUMPRODUCT(U$5:U$81,TRANSPOSE(Data_All!$B8:$BZ8))%,"")</f>
        <v>6.4589035516760554E-2</v>
      </c>
      <c r="V165" s="141">
        <f t="array" ref="V165">IF(AND($T165&gt;=V$88,$T165&lt;=V$89),SUMPRODUCT(V$5:V$81,TRANSPOSE(Data_All!$B8:$BZ8))%,"")</f>
        <v>8.9893069127158429E-2</v>
      </c>
      <c r="W165" s="141">
        <f t="array" ref="W165">IF(AND($T165&gt;=W$88,$T165&lt;=W$89),SUMPRODUCT(W$5:W$81,TRANSPOSE(Data_All!$B8:$BZ8))%,"")</f>
        <v>0.10254508593235738</v>
      </c>
      <c r="X165" s="141">
        <f t="array" ref="X165">IF(AND($T165&gt;=X$88,$T165&lt;=X$89),SUMPRODUCT(X$5:X$81,TRANSPOSE(Data_All!$B8:$BZ8))%,"")</f>
        <v>0.11519710273755632</v>
      </c>
      <c r="Y165" s="141">
        <f t="array" ref="Y165">IF(AND($T165&gt;=Y$88,$T165&lt;=Y$89),SUMPRODUCT(Y$5:Y$81,TRANSPOSE(Data_All!$B8:$BZ8))%,"")</f>
        <v>0.12784911954275524</v>
      </c>
    </row>
    <row r="166" spans="1:30">
      <c r="B166" s="140">
        <f>B165+1</f>
        <v>1973</v>
      </c>
      <c r="C166" s="141">
        <f t="array" ref="C166">IF(AND($B166&gt;=C$88,$B166&lt;=C$89),SUMPRODUCT(C$5:C$41,TRANSPOSE(Data_72_15!$B9:$AL9))%,"")</f>
        <v>-0.12957425667448308</v>
      </c>
      <c r="D166" s="141">
        <f t="array" ref="D166">IF(AND($B166&gt;=D$88,$B166&lt;=D$89),SUMPRODUCT(D$5:D$41,TRANSPOSE(Data_72_15!$B9:$AL9))%,"")</f>
        <v>-0.12252996713481448</v>
      </c>
      <c r="E166" s="141">
        <f t="array" ref="E166">IF(AND($B166&gt;=E$88,$B166&lt;=E$89),SUMPRODUCT(E$5:E$41,TRANSPOSE(Data_72_15!$B9:$AL9))%,"")</f>
        <v>-0.16816522698852393</v>
      </c>
      <c r="F166" s="141">
        <f t="array" ref="F166">IF(AND($B166&gt;=F$88,$B166&lt;=F$89),SUMPRODUCT(F$5:F$41,TRANSPOSE(Data_72_15!$B9:$AL9))%,"")</f>
        <v>-0.11457724826201787</v>
      </c>
      <c r="G166" s="141">
        <f t="array" ref="G166">IF(AND($B166&gt;=G$88,$B166&lt;=G$89),SUMPRODUCT(G$5:G$41,TRANSPOSE(Data_72_15!$B9:$AL9))%,"")</f>
        <v>-0.10966798021467244</v>
      </c>
      <c r="K166" s="598"/>
      <c r="T166" s="140">
        <f>T165+1</f>
        <v>1872</v>
      </c>
      <c r="U166" s="141">
        <f t="array" ref="U166">IF(AND($T166&gt;=U$88,$T166&lt;=U$89),SUMPRODUCT(U$5:U$81,TRANSPOSE(Data_All!$B9:$BZ9))%,"")</f>
        <v>5.9647353668318658E-2</v>
      </c>
      <c r="V166" s="141">
        <f t="array" ref="V166">IF(AND($T166&gt;=V$88,$T166&lt;=V$89),SUMPRODUCT(V$5:V$81,TRANSPOSE(Data_All!$B9:$BZ9))%,"")</f>
        <v>7.4939173843037721E-2</v>
      </c>
      <c r="W166" s="141">
        <f t="array" ref="W166">IF(AND($T166&gt;=W$88,$T166&lt;=W$89),SUMPRODUCT(W$5:W$81,TRANSPOSE(Data_All!$B9:$BZ9))%,"")</f>
        <v>8.2585083930397249E-2</v>
      </c>
      <c r="X166" s="141">
        <f t="array" ref="X166">IF(AND($T166&gt;=X$88,$T166&lt;=X$89),SUMPRODUCT(X$5:X$81,TRANSPOSE(Data_All!$B9:$BZ9))%,"")</f>
        <v>9.0230994017756777E-2</v>
      </c>
      <c r="Y166" s="141">
        <f t="array" ref="Y166">IF(AND($T166&gt;=Y$88,$T166&lt;=Y$89),SUMPRODUCT(Y$5:Y$81,TRANSPOSE(Data_All!$B9:$BZ9))%,"")</f>
        <v>9.7876904105116319E-2</v>
      </c>
    </row>
    <row r="167" spans="1:30">
      <c r="B167" s="140">
        <f t="shared" ref="B167:B199" si="5">B166+1</f>
        <v>1974</v>
      </c>
      <c r="C167" s="141">
        <f t="array" ref="C167">IF(AND($B167&gt;=C$88,$B167&lt;=C$89),SUMPRODUCT(C$5:C$41,TRANSPOSE(Data_72_15!$B10:$AL10))%,"")</f>
        <v>-0.19409358840955335</v>
      </c>
      <c r="D167" s="141">
        <f t="array" ref="D167">IF(AND($B167&gt;=D$88,$B167&lt;=D$89),SUMPRODUCT(D$5:D$41,TRANSPOSE(Data_72_15!$B10:$AL10))%,"")</f>
        <v>-0.16097332973852554</v>
      </c>
      <c r="E167" s="141">
        <f t="array" ref="E167">IF(AND($B167&gt;=E$88,$B167&lt;=E$89),SUMPRODUCT(E$5:E$41,TRANSPOSE(Data_72_15!$B10:$AL10))%,"")</f>
        <v>-0.17247327902674725</v>
      </c>
      <c r="F167" s="141">
        <f t="array" ref="F167">IF(AND($B167&gt;=F$88,$B167&lt;=F$89),SUMPRODUCT(F$5:F$41,TRANSPOSE(Data_72_15!$B10:$AL10))%,"")</f>
        <v>-0.135837690926325</v>
      </c>
      <c r="G167" s="141">
        <f t="array" ref="G167">IF(AND($B167&gt;=G$88,$B167&lt;=G$89),SUMPRODUCT(G$5:G$41,TRANSPOSE(Data_72_15!$B10:$AL10))%,"")</f>
        <v>-0.12190494867252934</v>
      </c>
      <c r="K167" s="598"/>
      <c r="T167" s="140">
        <f t="shared" ref="T167:T310" si="6">T166+1</f>
        <v>1873</v>
      </c>
      <c r="U167" s="141">
        <f t="array" ref="U167">IF(AND($T167&gt;=U$88,$T167&lt;=U$89),SUMPRODUCT(U$5:U$81,TRANSPOSE(Data_All!$B10:$BZ10))%,"")</f>
        <v>5.0463545145708937E-2</v>
      </c>
      <c r="V167" s="141">
        <f t="array" ref="V167">IF(AND($T167&gt;=V$88,$T167&lt;=V$89),SUMPRODUCT(V$5:V$81,TRANSPOSE(Data_All!$B10:$BZ10))%,"")</f>
        <v>2.9335856261472278E-2</v>
      </c>
      <c r="W167" s="141">
        <f t="array" ref="W167">IF(AND($T167&gt;=W$88,$T167&lt;=W$89),SUMPRODUCT(W$5:W$81,TRANSPOSE(Data_All!$B10:$BZ10))%,"")</f>
        <v>1.8772011819353951E-2</v>
      </c>
      <c r="X167" s="141">
        <f t="array" ref="X167">IF(AND($T167&gt;=X$88,$T167&lt;=X$89),SUMPRODUCT(X$5:X$81,TRANSPOSE(Data_All!$B10:$BZ10))%,"")</f>
        <v>8.2081673772356149E-3</v>
      </c>
      <c r="Y167" s="141">
        <f t="array" ref="Y167">IF(AND($T167&gt;=Y$88,$T167&lt;=Y$89),SUMPRODUCT(Y$5:Y$81,TRANSPOSE(Data_All!$B10:$BZ10))%,"")</f>
        <v>-2.3556770648827108E-3</v>
      </c>
    </row>
    <row r="168" spans="1:30">
      <c r="B168" s="140">
        <f t="shared" si="5"/>
        <v>1975</v>
      </c>
      <c r="C168" s="141">
        <f t="array" ref="C168">IF(AND($B168&gt;=C$88,$B168&lt;=C$89),SUMPRODUCT(C$5:C$41,TRANSPOSE(Data_72_15!$B11:$AL11))%,"")</f>
        <v>0.31775034430087901</v>
      </c>
      <c r="D168" s="141">
        <f t="array" ref="D168">IF(AND($B168&gt;=D$88,$B168&lt;=D$89),SUMPRODUCT(D$5:D$41,TRANSPOSE(Data_72_15!$B11:$AL11))%,"")</f>
        <v>0.37948603093867073</v>
      </c>
      <c r="E168" s="141">
        <f t="array" ref="E168">IF(AND($B168&gt;=E$88,$B168&lt;=E$89),SUMPRODUCT(E$5:E$41,TRANSPOSE(Data_72_15!$B11:$AL11))%,"")</f>
        <v>0.39908045749906074</v>
      </c>
      <c r="F168" s="141">
        <f t="array" ref="F168">IF(AND($B168&gt;=F$88,$B168&lt;=F$89),SUMPRODUCT(F$5:F$41,TRANSPOSE(Data_72_15!$B11:$AL11))%,"")</f>
        <v>0.33899282300794326</v>
      </c>
      <c r="G168" s="141">
        <f t="array" ref="G168">IF(AND($B168&gt;=G$88,$B168&lt;=G$89),SUMPRODUCT(G$5:G$41,TRANSPOSE(Data_72_15!$B11:$AL11))%,"")</f>
        <v>0.29764118709372145</v>
      </c>
      <c r="K168" s="598"/>
      <c r="T168" s="140">
        <f t="shared" si="6"/>
        <v>1874</v>
      </c>
      <c r="U168" s="141">
        <f t="array" ref="U168">IF(AND($T168&gt;=U$88,$T168&lt;=U$89),SUMPRODUCT(U$5:U$81,TRANSPOSE(Data_All!$B11:$BZ11))%,"")</f>
        <v>8.2081480575740717E-2</v>
      </c>
      <c r="V168" s="141">
        <f t="array" ref="V168">IF(AND($T168&gt;=V$88,$T168&lt;=V$89),SUMPRODUCT(V$5:V$81,TRANSPOSE(Data_All!$B11:$BZ11))%,"")</f>
        <v>7.1505165463358611E-2</v>
      </c>
      <c r="W168" s="141">
        <f t="array" ref="W168">IF(AND($T168&gt;=W$88,$T168&lt;=W$89),SUMPRODUCT(W$5:W$81,TRANSPOSE(Data_All!$B11:$BZ11))%,"")</f>
        <v>6.6217007907167558E-2</v>
      </c>
      <c r="X168" s="141">
        <f t="array" ref="X168">IF(AND($T168&gt;=X$88,$T168&lt;=X$89),SUMPRODUCT(X$5:X$81,TRANSPOSE(Data_All!$B11:$BZ11))%,"")</f>
        <v>6.0928850350976498E-2</v>
      </c>
      <c r="Y168" s="141">
        <f t="array" ref="Y168">IF(AND($T168&gt;=Y$88,$T168&lt;=Y$89),SUMPRODUCT(Y$5:Y$81,TRANSPOSE(Data_All!$B11:$BZ11))%,"")</f>
        <v>5.5640692794785451E-2</v>
      </c>
    </row>
    <row r="169" spans="1:30">
      <c r="B169" s="140">
        <f t="shared" si="5"/>
        <v>1976</v>
      </c>
      <c r="C169" s="141">
        <f t="array" ref="C169">IF(AND($B169&gt;=C$88,$B169&lt;=C$89),SUMPRODUCT(C$5:C$41,TRANSPOSE(Data_72_15!$B12:$AL12))%,"")</f>
        <v>0.1643592129886422</v>
      </c>
      <c r="D169" s="141">
        <f t="array" ref="D169">IF(AND($B169&gt;=D$88,$B169&lt;=D$89),SUMPRODUCT(D$5:D$41,TRANSPOSE(Data_72_15!$B12:$AL12))%,"")</f>
        <v>0.2507434261945829</v>
      </c>
      <c r="E169" s="141">
        <f t="array" ref="E169">IF(AND($B169&gt;=E$88,$B169&lt;=E$89),SUMPRODUCT(E$5:E$41,TRANSPOSE(Data_72_15!$B12:$AL12))%,"")</f>
        <v>0.25538249894339576</v>
      </c>
      <c r="F169" s="141">
        <f t="array" ref="F169">IF(AND($B169&gt;=F$88,$B169&lt;=F$89),SUMPRODUCT(F$5:F$41,TRANSPOSE(Data_72_15!$B12:$AL12))%,"")</f>
        <v>0.26477428860293756</v>
      </c>
      <c r="G169" s="141">
        <f t="array" ref="G169">IF(AND($B169&gt;=G$88,$B169&lt;=G$89),SUMPRODUCT(G$5:G$41,TRANSPOSE(Data_72_15!$B12:$AL12))%,"")</f>
        <v>0.14733940278866961</v>
      </c>
      <c r="K169" s="598"/>
      <c r="T169" s="140">
        <f t="shared" si="6"/>
        <v>1875</v>
      </c>
      <c r="U169" s="141">
        <f t="array" ref="U169">IF(AND($T169&gt;=U$88,$T169&lt;=U$89),SUMPRODUCT(U$5:U$81,TRANSPOSE(Data_All!$B12:$BZ12))%,"")</f>
        <v>5.4718307005825667E-2</v>
      </c>
      <c r="V169" s="141">
        <f t="array" ref="V169">IF(AND($T169&gt;=V$88,$T169&lt;=V$89),SUMPRODUCT(V$5:V$81,TRANSPOSE(Data_All!$B12:$BZ12))%,"")</f>
        <v>5.2929690655514235E-2</v>
      </c>
      <c r="W169" s="141">
        <f t="array" ref="W169">IF(AND($T169&gt;=W$88,$T169&lt;=W$89),SUMPRODUCT(W$5:W$81,TRANSPOSE(Data_All!$B12:$BZ12))%,"")</f>
        <v>5.2035382480358508E-2</v>
      </c>
      <c r="X169" s="141">
        <f t="array" ref="X169">IF(AND($T169&gt;=X$88,$T169&lt;=X$89),SUMPRODUCT(X$5:X$81,TRANSPOSE(Data_All!$B12:$BZ12))%,"")</f>
        <v>5.1141074305202781E-2</v>
      </c>
      <c r="Y169" s="141">
        <f t="array" ref="Y169">IF(AND($T169&gt;=Y$88,$T169&lt;=Y$89),SUMPRODUCT(Y$5:Y$81,TRANSPOSE(Data_All!$B12:$BZ12))%,"")</f>
        <v>5.0246766130047062E-2</v>
      </c>
    </row>
    <row r="170" spans="1:30">
      <c r="B170" s="140">
        <f t="shared" si="5"/>
        <v>1977</v>
      </c>
      <c r="C170" s="141">
        <f t="array" ref="C170">IF(AND($B170&gt;=C$88,$B170&lt;=C$89),SUMPRODUCT(C$5:C$41,TRANSPOSE(Data_72_15!$B13:$AL13))%,"")</f>
        <v>5.1891050993266213E-2</v>
      </c>
      <c r="D170" s="141">
        <f t="array" ref="D170">IF(AND($B170&gt;=D$88,$B170&lt;=D$89),SUMPRODUCT(D$5:D$41,TRANSPOSE(Data_72_15!$B13:$AL13))%,"")</f>
        <v>0.11350485761692435</v>
      </c>
      <c r="E170" s="141">
        <f t="array" ref="E170">IF(AND($B170&gt;=E$88,$B170&lt;=E$89),SUMPRODUCT(E$5:E$41,TRANSPOSE(Data_72_15!$B13:$AL13))%,"")</f>
        <v>0.14433269741153876</v>
      </c>
      <c r="F170" s="141">
        <f t="array" ref="F170">IF(AND($B170&gt;=F$88,$B170&lt;=F$89),SUMPRODUCT(F$5:F$41,TRANSPOSE(Data_72_15!$B13:$AL13))%,"")</f>
        <v>0.14754093134305263</v>
      </c>
      <c r="G170" s="141">
        <f t="array" ref="G170">IF(AND($B170&gt;=G$88,$B170&lt;=G$89),SUMPRODUCT(G$5:G$41,TRANSPOSE(Data_72_15!$B13:$AL13))%,"")</f>
        <v>0.12144207343712467</v>
      </c>
      <c r="K170" s="598"/>
      <c r="T170" s="140">
        <f t="shared" si="6"/>
        <v>1876</v>
      </c>
      <c r="U170" s="141">
        <f t="array" ref="U170">IF(AND($T170&gt;=U$88,$T170&lt;=U$89),SUMPRODUCT(U$5:U$81,TRANSPOSE(Data_All!$B13:$BZ13))%,"")</f>
        <v>-3.0281612498090516E-3</v>
      </c>
      <c r="V170" s="141">
        <f t="array" ref="V170">IF(AND($T170&gt;=V$88,$T170&lt;=V$89),SUMPRODUCT(V$5:V$81,TRANSPOSE(Data_All!$B13:$BZ13))%,"")</f>
        <v>-4.1240486735129478E-2</v>
      </c>
      <c r="W170" s="141">
        <f t="array" ref="W170">IF(AND($T170&gt;=W$88,$T170&lt;=W$89),SUMPRODUCT(W$5:W$81,TRANSPOSE(Data_All!$B13:$BZ13))%,"")</f>
        <v>-6.0346649477789692E-2</v>
      </c>
      <c r="X170" s="141">
        <f t="array" ref="X170">IF(AND($T170&gt;=X$88,$T170&lt;=X$89),SUMPRODUCT(X$5:X$81,TRANSPOSE(Data_All!$B13:$BZ13))%,"")</f>
        <v>-7.9452812220449906E-2</v>
      </c>
      <c r="Y170" s="141">
        <f t="array" ref="Y170">IF(AND($T170&gt;=Y$88,$T170&lt;=Y$89),SUMPRODUCT(Y$5:Y$81,TRANSPOSE(Data_All!$B13:$BZ13))%,"")</f>
        <v>-9.8558974963110127E-2</v>
      </c>
    </row>
    <row r="171" spans="1:30">
      <c r="B171" s="140">
        <f t="shared" si="5"/>
        <v>1978</v>
      </c>
      <c r="C171" s="141">
        <f t="array" ref="C171">IF(AND($B171&gt;=C$88,$B171&lt;=C$89),SUMPRODUCT(C$5:C$41,TRANSPOSE(Data_72_15!$B14:$AL14))%,"")</f>
        <v>0.14693583346992914</v>
      </c>
      <c r="D171" s="141">
        <f t="array" ref="D171">IF(AND($B171&gt;=D$88,$B171&lt;=D$89),SUMPRODUCT(D$5:D$41,TRANSPOSE(Data_72_15!$B14:$AL14))%,"")</f>
        <v>0.16400897120827829</v>
      </c>
      <c r="E171" s="141">
        <f t="array" ref="E171">IF(AND($B171&gt;=E$88,$B171&lt;=E$89),SUMPRODUCT(E$5:E$41,TRANSPOSE(Data_72_15!$B14:$AL14))%,"")</f>
        <v>0.20083798455924221</v>
      </c>
      <c r="F171" s="141">
        <f t="array" ref="F171">IF(AND($B171&gt;=F$88,$B171&lt;=F$89),SUMPRODUCT(F$5:F$41,TRANSPOSE(Data_72_15!$B14:$AL14))%,"")</f>
        <v>0.17029815671787155</v>
      </c>
      <c r="G171" s="141">
        <f t="array" ref="G171">IF(AND($B171&gt;=G$88,$B171&lt;=G$89),SUMPRODUCT(G$5:G$41,TRANSPOSE(Data_72_15!$B14:$AL14))%,"")</f>
        <v>0.17784459585100809</v>
      </c>
      <c r="K171" s="598"/>
      <c r="T171" s="140">
        <f t="shared" si="6"/>
        <v>1877</v>
      </c>
      <c r="U171" s="141">
        <f t="array" ref="U171">IF(AND($T171&gt;=U$88,$T171&lt;=U$89),SUMPRODUCT(U$5:U$81,TRANSPOSE(Data_All!$B14:$BZ14))%,"")</f>
        <v>2.5185004931608045E-2</v>
      </c>
      <c r="V171" s="141">
        <f t="array" ref="V171">IF(AND($T171&gt;=V$88,$T171&lt;=V$89),SUMPRODUCT(V$5:V$81,TRANSPOSE(Data_All!$B14:$BZ14))%,"")</f>
        <v>9.1361705245892599E-3</v>
      </c>
      <c r="W171" s="141">
        <f t="array" ref="W171">IF(AND($T171&gt;=W$88,$T171&lt;=W$89),SUMPRODUCT(W$5:W$81,TRANSPOSE(Data_All!$B14:$BZ14))%,"")</f>
        <v>1.111753321079867E-3</v>
      </c>
      <c r="X171" s="141">
        <f t="array" ref="X171">IF(AND($T171&gt;=X$88,$T171&lt;=X$89),SUMPRODUCT(X$5:X$81,TRANSPOSE(Data_All!$B14:$BZ14))%,"")</f>
        <v>-6.9126638824295265E-3</v>
      </c>
      <c r="Y171" s="141">
        <f t="array" ref="Y171">IF(AND($T171&gt;=Y$88,$T171&lt;=Y$89),SUMPRODUCT(Y$5:Y$81,TRANSPOSE(Data_All!$B14:$BZ14))%,"")</f>
        <v>-1.4937081085938919E-2</v>
      </c>
    </row>
    <row r="172" spans="1:30">
      <c r="B172" s="140">
        <f t="shared" si="5"/>
        <v>1979</v>
      </c>
      <c r="C172" s="141">
        <f t="array" ref="C172">IF(AND($B172&gt;=C$88,$B172&lt;=C$89),SUMPRODUCT(C$5:C$41,TRANSPOSE(Data_72_15!$B15:$AL15))%,"")</f>
        <v>0.13945273700597322</v>
      </c>
      <c r="D172" s="141">
        <f t="array" ref="D172">IF(AND($B172&gt;=D$88,$B172&lt;=D$89),SUMPRODUCT(D$5:D$41,TRANSPOSE(Data_72_15!$B15:$AL15))%,"")</f>
        <v>0.17108507478804191</v>
      </c>
      <c r="E172" s="141">
        <f t="array" ref="E172">IF(AND($B172&gt;=E$88,$B172&lt;=E$89),SUMPRODUCT(E$5:E$41,TRANSPOSE(Data_72_15!$B15:$AL15))%,"")</f>
        <v>0.18071656059332977</v>
      </c>
      <c r="F172" s="141">
        <f t="array" ref="F172">IF(AND($B172&gt;=F$88,$B172&lt;=F$89),SUMPRODUCT(F$5:F$41,TRANSPOSE(Data_72_15!$B15:$AL15))%,"")</f>
        <v>0.18584892540486339</v>
      </c>
      <c r="G172" s="141">
        <f t="array" ref="G172">IF(AND($B172&gt;=G$88,$B172&lt;=G$89),SUMPRODUCT(G$5:G$41,TRANSPOSE(Data_72_15!$B15:$AL15))%,"")</f>
        <v>0.12468119695946939</v>
      </c>
      <c r="K172" s="598"/>
      <c r="T172" s="140">
        <f t="shared" si="6"/>
        <v>1878</v>
      </c>
      <c r="U172" s="141">
        <f t="array" ref="U172">IF(AND($T172&gt;=U$88,$T172&lt;=U$89),SUMPRODUCT(U$5:U$81,TRANSPOSE(Data_All!$B15:$BZ15))%,"")</f>
        <v>8.7494988260670856E-2</v>
      </c>
      <c r="V172" s="141">
        <f t="array" ref="V172">IF(AND($T172&gt;=V$88,$T172&lt;=V$89),SUMPRODUCT(V$5:V$81,TRANSPOSE(Data_All!$B15:$BZ15))%,"")</f>
        <v>0.10733158502135831</v>
      </c>
      <c r="W172" s="141">
        <f t="array" ref="W172">IF(AND($T172&gt;=W$88,$T172&lt;=W$89),SUMPRODUCT(W$5:W$81,TRANSPOSE(Data_All!$B15:$BZ15))%,"")</f>
        <v>0.11724988340170203</v>
      </c>
      <c r="X172" s="141">
        <f t="array" ref="X172">IF(AND($T172&gt;=X$88,$T172&lt;=X$89),SUMPRODUCT(X$5:X$81,TRANSPOSE(Data_All!$B15:$BZ15))%,"")</f>
        <v>0.12716818178204575</v>
      </c>
      <c r="Y172" s="141">
        <f t="array" ref="Y172">IF(AND($T172&gt;=Y$88,$T172&lt;=Y$89),SUMPRODUCT(Y$5:Y$81,TRANSPOSE(Data_All!$B15:$BZ15))%,"")</f>
        <v>0.1370864801623895</v>
      </c>
    </row>
    <row r="173" spans="1:30">
      <c r="B173" s="140">
        <f t="shared" si="5"/>
        <v>1980</v>
      </c>
      <c r="C173" s="141">
        <f t="array" ref="C173">IF(AND($B173&gt;=C$88,$B173&lt;=C$89),SUMPRODUCT(C$5:C$41,TRANSPOSE(Data_72_15!$B16:$AL16))%,"")</f>
        <v>0.24402688273034323</v>
      </c>
      <c r="D173" s="141">
        <f t="array" ref="D173">IF(AND($B173&gt;=D$88,$B173&lt;=D$89),SUMPRODUCT(D$5:D$41,TRANSPOSE(Data_72_15!$B16:$AL16))%,"")</f>
        <v>0.21738119205137085</v>
      </c>
      <c r="E173" s="141">
        <f t="array" ref="E173">IF(AND($B173&gt;=E$88,$B173&lt;=E$89),SUMPRODUCT(E$5:E$41,TRANSPOSE(Data_72_15!$B16:$AL16))%,"")</f>
        <v>0.23054187107740556</v>
      </c>
      <c r="F173" s="141">
        <f t="array" ref="F173">IF(AND($B173&gt;=F$88,$B173&lt;=F$89),SUMPRODUCT(F$5:F$41,TRANSPOSE(Data_72_15!$B16:$AL16))%,"")</f>
        <v>0.22267807905235215</v>
      </c>
      <c r="G173" s="141">
        <f t="array" ref="G173">IF(AND($B173&gt;=G$88,$B173&lt;=G$89),SUMPRODUCT(G$5:G$41,TRANSPOSE(Data_72_15!$B16:$AL16))%,"")</f>
        <v>0.20453805474673822</v>
      </c>
      <c r="K173" s="598"/>
      <c r="T173" s="140">
        <f t="shared" si="6"/>
        <v>1879</v>
      </c>
      <c r="U173" s="141">
        <f t="array" ref="U173">IF(AND($T173&gt;=U$88,$T173&lt;=U$89),SUMPRODUCT(U$5:U$81,TRANSPOSE(Data_All!$B16:$BZ16))%,"")</f>
        <v>0.16783712052535679</v>
      </c>
      <c r="V173" s="141">
        <f t="array" ref="V173">IF(AND($T173&gt;=V$88,$T173&lt;=V$89),SUMPRODUCT(V$5:V$81,TRANSPOSE(Data_All!$B16:$BZ16))%,"")</f>
        <v>0.25795229279345122</v>
      </c>
      <c r="W173" s="141">
        <f t="array" ref="W173">IF(AND($T173&gt;=W$88,$T173&lt;=W$89),SUMPRODUCT(W$5:W$81,TRANSPOSE(Data_All!$B16:$BZ16))%,"")</f>
        <v>0.30300987892749837</v>
      </c>
      <c r="X173" s="141">
        <f t="array" ref="X173">IF(AND($T173&gt;=X$88,$T173&lt;=X$89),SUMPRODUCT(X$5:X$81,TRANSPOSE(Data_All!$B16:$BZ16))%,"")</f>
        <v>0.34806746506154562</v>
      </c>
      <c r="Y173" s="141">
        <f t="array" ref="Y173">IF(AND($T173&gt;=Y$88,$T173&lt;=Y$89),SUMPRODUCT(Y$5:Y$81,TRANSPOSE(Data_All!$B16:$BZ16))%,"")</f>
        <v>0.39312505119559282</v>
      </c>
      <c r="AD173" s="61"/>
    </row>
    <row r="174" spans="1:30">
      <c r="B174" s="140">
        <f t="shared" si="5"/>
        <v>1981</v>
      </c>
      <c r="C174" s="141">
        <f t="array" ref="C174">IF(AND($B174&gt;=C$88,$B174&lt;=C$89),SUMPRODUCT(C$5:C$41,TRANSPOSE(Data_72_15!$B17:$AL17))%,"")</f>
        <v>7.0302629865581334E-4</v>
      </c>
      <c r="D174" s="141">
        <f t="array" ref="D174">IF(AND($B174&gt;=D$88,$B174&lt;=D$89),SUMPRODUCT(D$5:D$41,TRANSPOSE(Data_72_15!$B17:$AL17))%,"")</f>
        <v>5.342982949263874E-2</v>
      </c>
      <c r="E174" s="141">
        <f t="array" ref="E174">IF(AND($B174&gt;=E$88,$B174&lt;=E$89),SUMPRODUCT(E$5:E$41,TRANSPOSE(Data_72_15!$B17:$AL17))%,"")</f>
        <v>6.4341027954526286E-2</v>
      </c>
      <c r="F174" s="141">
        <f t="array" ref="F174">IF(AND($B174&gt;=F$88,$B174&lt;=F$89),SUMPRODUCT(F$5:F$41,TRANSPOSE(Data_72_15!$B17:$AL17))%,"")</f>
        <v>7.8482607956544451E-2</v>
      </c>
      <c r="G174" s="141">
        <f t="array" ref="G174">IF(AND($B174&gt;=G$88,$B174&lt;=G$89),SUMPRODUCT(G$5:G$41,TRANSPOSE(Data_72_15!$B17:$AL17))%,"")</f>
        <v>4.1721918616847063E-2</v>
      </c>
      <c r="K174" s="598"/>
      <c r="T174" s="140">
        <f t="shared" si="6"/>
        <v>1880</v>
      </c>
      <c r="U174" s="141">
        <f t="array" ref="U174">IF(AND($T174&gt;=U$88,$T174&lt;=U$89),SUMPRODUCT(U$5:U$81,TRANSPOSE(Data_All!$B17:$BZ17))%,"")</f>
        <v>0.11618823247919771</v>
      </c>
      <c r="V174" s="141">
        <f t="array" ref="V174">IF(AND($T174&gt;=V$88,$T174&lt;=V$89),SUMPRODUCT(V$5:V$81,TRANSPOSE(Data_All!$B17:$BZ17))%,"")</f>
        <v>0.157914714560903</v>
      </c>
      <c r="W174" s="141">
        <f t="array" ref="W174">IF(AND($T174&gt;=W$88,$T174&lt;=W$89),SUMPRODUCT(W$5:W$81,TRANSPOSE(Data_All!$B17:$BZ17))%,"")</f>
        <v>0.17877795560175563</v>
      </c>
      <c r="X174" s="141">
        <f t="array" ref="X174">IF(AND($T174&gt;=X$88,$T174&lt;=X$89),SUMPRODUCT(X$5:X$81,TRANSPOSE(Data_All!$B17:$BZ17))%,"")</f>
        <v>0.19964119664260827</v>
      </c>
      <c r="Y174" s="141">
        <f t="array" ref="Y174">IF(AND($T174&gt;=Y$88,$T174&lt;=Y$89),SUMPRODUCT(Y$5:Y$81,TRANSPOSE(Data_All!$B17:$BZ17))%,"")</f>
        <v>0.22050443768346092</v>
      </c>
    </row>
    <row r="175" spans="1:30">
      <c r="B175" s="140">
        <f t="shared" si="5"/>
        <v>1982</v>
      </c>
      <c r="C175" s="141">
        <f t="array" ref="C175">IF(AND($B175&gt;=C$88,$B175&lt;=C$89),SUMPRODUCT(C$5:C$41,TRANSPOSE(Data_72_15!$B18:$AL18))%,"")</f>
        <v>0.14983191713384386</v>
      </c>
      <c r="D175" s="141">
        <f t="array" ref="D175">IF(AND($B175&gt;=D$88,$B175&lt;=D$89),SUMPRODUCT(D$5:D$41,TRANSPOSE(Data_72_15!$B18:$AL18))%,"")</f>
        <v>0.16488035006372231</v>
      </c>
      <c r="E175" s="141">
        <f t="array" ref="E175">IF(AND($B175&gt;=E$88,$B175&lt;=E$89),SUMPRODUCT(E$5:E$41,TRANSPOSE(Data_72_15!$B18:$AL18))%,"")</f>
        <v>0.16338712667817268</v>
      </c>
      <c r="F175" s="141">
        <f t="array" ref="F175">IF(AND($B175&gt;=F$88,$B175&lt;=F$89),SUMPRODUCT(F$5:F$41,TRANSPOSE(Data_72_15!$B18:$AL18))%,"")</f>
        <v>0.14633865478881819</v>
      </c>
      <c r="G175" s="141">
        <f t="array" ref="G175">IF(AND($B175&gt;=G$88,$B175&lt;=G$89),SUMPRODUCT(G$5:G$41,TRANSPOSE(Data_72_15!$B18:$AL18))%,"")</f>
        <v>0.10072212804248055</v>
      </c>
      <c r="K175" s="598"/>
      <c r="T175" s="140">
        <f t="shared" si="6"/>
        <v>1881</v>
      </c>
      <c r="U175" s="141">
        <f t="array" ref="U175">IF(AND($T175&gt;=U$88,$T175&lt;=U$89),SUMPRODUCT(U$5:U$81,TRANSPOSE(Data_All!$B18:$BZ18))%,"")</f>
        <v>2.3300667838872656E-2</v>
      </c>
      <c r="V175" s="141">
        <f t="array" ref="V175">IF(AND($T175&gt;=V$88,$T175&lt;=V$89),SUMPRODUCT(V$5:V$81,TRANSPOSE(Data_All!$B18:$BZ18))%,"")</f>
        <v>1.8951204006764533E-2</v>
      </c>
      <c r="W175" s="141">
        <f t="array" ref="W175">IF(AND($T175&gt;=W$88,$T175&lt;=W$89),SUMPRODUCT(W$5:W$81,TRANSPOSE(Data_All!$B18:$BZ18))%,"")</f>
        <v>1.6776472090710471E-2</v>
      </c>
      <c r="X175" s="141">
        <f t="array" ref="X175">IF(AND($T175&gt;=X$88,$T175&lt;=X$89),SUMPRODUCT(X$5:X$81,TRANSPOSE(Data_All!$B18:$BZ18))%,"")</f>
        <v>1.4601740174656408E-2</v>
      </c>
      <c r="Y175" s="141">
        <f t="array" ref="Y175">IF(AND($T175&gt;=Y$88,$T175&lt;=Y$89),SUMPRODUCT(Y$5:Y$81,TRANSPOSE(Data_All!$B18:$BZ18))%,"")</f>
        <v>1.2427008258602346E-2</v>
      </c>
    </row>
    <row r="176" spans="1:30">
      <c r="B176" s="140">
        <f t="shared" si="5"/>
        <v>1983</v>
      </c>
      <c r="C176" s="141">
        <f t="array" ref="C176">IF(AND($B176&gt;=C$88,$B176&lt;=C$89),SUMPRODUCT(C$5:C$41,TRANSPOSE(Data_72_15!$B19:$AL19))%,"")</f>
        <v>0.20150436638667782</v>
      </c>
      <c r="D176" s="141">
        <f t="array" ref="D176">IF(AND($B176&gt;=D$88,$B176&lt;=D$89),SUMPRODUCT(D$5:D$41,TRANSPOSE(Data_72_15!$B19:$AL19))%,"")</f>
        <v>0.22967346491240739</v>
      </c>
      <c r="E176" s="141">
        <f t="array" ref="E176">IF(AND($B176&gt;=E$88,$B176&lt;=E$89),SUMPRODUCT(E$5:E$41,TRANSPOSE(Data_72_15!$B19:$AL19))%,"")</f>
        <v>0.24389780548183138</v>
      </c>
      <c r="F176" s="141">
        <f t="array" ref="F176">IF(AND($B176&gt;=F$88,$B176&lt;=F$89),SUMPRODUCT(F$5:F$41,TRANSPOSE(Data_72_15!$B19:$AL19))%,"")</f>
        <v>0.24690831735137511</v>
      </c>
      <c r="G176" s="141">
        <f t="array" ref="G176">IF(AND($B176&gt;=G$88,$B176&lt;=G$89),SUMPRODUCT(G$5:G$41,TRANSPOSE(Data_72_15!$B19:$AL19))%,"")</f>
        <v>0.21270823521210513</v>
      </c>
      <c r="K176" s="598"/>
      <c r="T176" s="140">
        <f t="shared" si="6"/>
        <v>1882</v>
      </c>
      <c r="U176" s="141">
        <f t="array" ref="U176">IF(AND($T176&gt;=U$88,$T176&lt;=U$89),SUMPRODUCT(U$5:U$81,TRANSPOSE(Data_All!$B19:$BZ19))%,"")</f>
        <v>3.3609762397232942E-2</v>
      </c>
      <c r="V176" s="141">
        <f t="array" ref="V176">IF(AND($T176&gt;=V$88,$T176&lt;=V$89),SUMPRODUCT(V$5:V$81,TRANSPOSE(Data_All!$B19:$BZ19))%,"")</f>
        <v>3.4142108276015826E-2</v>
      </c>
      <c r="W176" s="141">
        <f t="array" ref="W176">IF(AND($T176&gt;=W$88,$T176&lt;=W$89),SUMPRODUCT(W$5:W$81,TRANSPOSE(Data_All!$B19:$BZ19))%,"")</f>
        <v>3.4408281215407267E-2</v>
      </c>
      <c r="X176" s="141">
        <f t="array" ref="X176">IF(AND($T176&gt;=X$88,$T176&lt;=X$89),SUMPRODUCT(X$5:X$81,TRANSPOSE(Data_All!$B19:$BZ19))%,"")</f>
        <v>3.4674454154798709E-2</v>
      </c>
      <c r="Y176" s="141">
        <f t="array" ref="Y176">IF(AND($T176&gt;=Y$88,$T176&lt;=Y$89),SUMPRODUCT(Y$5:Y$81,TRANSPOSE(Data_All!$B19:$BZ19))%,"")</f>
        <v>3.4940627094190144E-2</v>
      </c>
    </row>
    <row r="177" spans="2:25">
      <c r="B177" s="140">
        <f t="shared" si="5"/>
        <v>1984</v>
      </c>
      <c r="C177" s="141">
        <f t="array" ref="C177">IF(AND($B177&gt;=C$88,$B177&lt;=C$89),SUMPRODUCT(C$5:C$41,TRANSPOSE(Data_72_15!$B20:$AL20))%,"")</f>
        <v>7.3824022521698382E-2</v>
      </c>
      <c r="D177" s="141">
        <f t="array" ref="D177">IF(AND($B177&gt;=D$88,$B177&lt;=D$89),SUMPRODUCT(D$5:D$41,TRANSPOSE(Data_72_15!$B20:$AL20))%,"")</f>
        <v>7.2868267981057042E-2</v>
      </c>
      <c r="E177" s="141">
        <f t="array" ref="E177">IF(AND($B177&gt;=E$88,$B177&lt;=E$89),SUMPRODUCT(E$5:E$41,TRANSPOSE(Data_72_15!$B20:$AL20))%,"")</f>
        <v>7.3928850150259157E-2</v>
      </c>
      <c r="F177" s="141">
        <f t="array" ref="F177">IF(AND($B177&gt;=F$88,$B177&lt;=F$89),SUMPRODUCT(F$5:F$41,TRANSPOSE(Data_72_15!$B20:$AL20))%,"")</f>
        <v>9.734572501071613E-2</v>
      </c>
      <c r="G177" s="141">
        <f t="array" ref="G177">IF(AND($B177&gt;=G$88,$B177&lt;=G$89),SUMPRODUCT(G$5:G$41,TRANSPOSE(Data_72_15!$B20:$AL20))%,"")</f>
        <v>9.5535151892856079E-2</v>
      </c>
      <c r="K177" s="598"/>
      <c r="L177" t="s">
        <v>960</v>
      </c>
      <c r="T177" s="140">
        <f t="shared" si="6"/>
        <v>1883</v>
      </c>
      <c r="U177" s="141">
        <f t="array" ref="U177">IF(AND($T177&gt;=U$88,$T177&lt;=U$89),SUMPRODUCT(U$5:U$81,TRANSPOSE(Data_All!$B20:$BZ20))%,"")</f>
        <v>5.2813018603385629E-3</v>
      </c>
      <c r="V177" s="141">
        <f t="array" ref="V177">IF(AND($T177&gt;=V$88,$T177&lt;=V$89),SUMPRODUCT(V$5:V$81,TRANSPOSE(Data_All!$B20:$BZ20))%,"")</f>
        <v>-1.0980530635779804E-2</v>
      </c>
      <c r="W177" s="141">
        <f t="array" ref="W177">IF(AND($T177&gt;=W$88,$T177&lt;=W$89),SUMPRODUCT(W$5:W$81,TRANSPOSE(Data_All!$B20:$BZ20))%,"")</f>
        <v>-1.9111446883838985E-2</v>
      </c>
      <c r="X177" s="141">
        <f t="array" ref="X177">IF(AND($T177&gt;=X$88,$T177&lt;=X$89),SUMPRODUCT(X$5:X$81,TRANSPOSE(Data_All!$B20:$BZ20))%,"")</f>
        <v>-2.7242363131898165E-2</v>
      </c>
      <c r="Y177" s="141">
        <f t="array" ref="Y177">IF(AND($T177&gt;=Y$88,$T177&lt;=Y$89),SUMPRODUCT(Y$5:Y$81,TRANSPOSE(Data_All!$B20:$BZ20))%,"")</f>
        <v>-3.5373279379957358E-2</v>
      </c>
    </row>
    <row r="178" spans="2:25">
      <c r="B178" s="140">
        <f t="shared" si="5"/>
        <v>1985</v>
      </c>
      <c r="C178" s="141">
        <f t="array" ref="C178">IF(AND($B178&gt;=C$88,$B178&lt;=C$89),SUMPRODUCT(C$5:C$41,TRANSPOSE(Data_72_15!$B21:$AL21))%,"")</f>
        <v>0.36636105058066964</v>
      </c>
      <c r="D178" s="141">
        <f t="array" ref="D178">IF(AND($B178&gt;=D$88,$B178&lt;=D$89),SUMPRODUCT(D$5:D$41,TRANSPOSE(Data_72_15!$B21:$AL21))%,"")</f>
        <v>0.3369580094309817</v>
      </c>
      <c r="E178" s="141">
        <f t="array" ref="E178">IF(AND($B178&gt;=E$88,$B178&lt;=E$89),SUMPRODUCT(E$5:E$41,TRANSPOSE(Data_72_15!$B21:$AL21))%,"")</f>
        <v>0.36009061255557634</v>
      </c>
      <c r="F178" s="141">
        <f t="array" ref="F178">IF(AND($B178&gt;=F$88,$B178&lt;=F$89),SUMPRODUCT(F$5:F$41,TRANSPOSE(Data_72_15!$B21:$AL21))%,"")</f>
        <v>0.29492442304958044</v>
      </c>
      <c r="G178" s="141">
        <f t="array" ref="G178">IF(AND($B178&gt;=G$88,$B178&lt;=G$89),SUMPRODUCT(G$5:G$41,TRANSPOSE(Data_72_15!$B21:$AL21))%,"")</f>
        <v>0.32103385585932648</v>
      </c>
      <c r="K178" s="140">
        <v>1985</v>
      </c>
      <c r="L178" s="141">
        <f t="array" ref="L178">IF(AND($K178&gt;=L$88,$K178&lt;=L$89),SUMPRODUCT(L$5:L$54,TRANSPOSE(Data_85_15!$B8:$AY8))%,"")</f>
        <v>0.22084037271668105</v>
      </c>
      <c r="M178" s="141">
        <f t="array" ref="M178">IF(AND($K178&gt;=M$88,$K178&lt;=M$89),SUMPRODUCT(M$5:M$54,TRANSPOSE(Data_85_15!$B8:$AY8))%,"")</f>
        <v>0.18835685426204113</v>
      </c>
      <c r="N178" s="141">
        <f t="array" ref="N178">IF(AND($K178&gt;=N$88,$K178&lt;=N$89),SUMPRODUCT(N$5:N$54,TRANSPOSE(Data_85_15!$B8:$AY8))%,"")</f>
        <v>0.35470284523594997</v>
      </c>
      <c r="O178" s="141">
        <f t="array" ref="O178">IF(AND($K178&gt;=O$88,$K178&lt;=O$89),SUMPRODUCT(O$5:O$54,TRANSPOSE(Data_85_15!$B8:$AY8))%,"")</f>
        <v>0.33028068874058342</v>
      </c>
      <c r="P178" s="141">
        <f t="array" ref="P178">IF(AND($K178&gt;=P$88,$K178&lt;=P$89),SUMPRODUCT(P$5:P$54,TRANSPOSE(Data_85_15!$B8:$AY8))%,"")</f>
        <v>0.20786641533031258</v>
      </c>
      <c r="T178" s="140">
        <f t="shared" si="6"/>
        <v>1884</v>
      </c>
      <c r="U178" s="141">
        <f t="array" ref="U178">IF(AND($T178&gt;=U$88,$T178&lt;=U$89),SUMPRODUCT(U$5:U$81,TRANSPOSE(Data_All!$B21:$BZ21))%,"")</f>
        <v>7.7383166780287428E-3</v>
      </c>
      <c r="V178" s="141">
        <f t="array" ref="V178">IF(AND($T178&gt;=V$88,$T178&lt;=V$89),SUMPRODUCT(V$5:V$81,TRANSPOSE(Data_All!$B21:$BZ21))%,"")</f>
        <v>-2.9221665693299922E-2</v>
      </c>
      <c r="W178" s="141">
        <f t="array" ref="W178">IF(AND($T178&gt;=W$88,$T178&lt;=W$89),SUMPRODUCT(W$5:W$81,TRANSPOSE(Data_All!$B21:$BZ21))%,"")</f>
        <v>-4.7701656878964258E-2</v>
      </c>
      <c r="X178" s="141">
        <f t="array" ref="X178">IF(AND($T178&gt;=X$88,$T178&lt;=X$89),SUMPRODUCT(X$5:X$81,TRANSPOSE(Data_All!$B21:$BZ21))%,"")</f>
        <v>-6.6181648064628576E-2</v>
      </c>
      <c r="Y178" s="141">
        <f t="array" ref="Y178">IF(AND($T178&gt;=Y$88,$T178&lt;=Y$89),SUMPRODUCT(Y$5:Y$81,TRANSPOSE(Data_All!$B21:$BZ21))%,"")</f>
        <v>-8.4661639250292922E-2</v>
      </c>
    </row>
    <row r="179" spans="2:25">
      <c r="B179" s="140">
        <f t="shared" si="5"/>
        <v>1986</v>
      </c>
      <c r="C179" s="141">
        <f t="array" ref="C179">IF(AND($B179&gt;=C$88,$B179&lt;=C$89),SUMPRODUCT(C$5:C$41,TRANSPOSE(Data_72_15!$B22:$AL22))%,"")</f>
        <v>0.31061156167730769</v>
      </c>
      <c r="D179" s="141">
        <f t="array" ref="D179">IF(AND($B179&gt;=D$88,$B179&lt;=D$89),SUMPRODUCT(D$5:D$41,TRANSPOSE(Data_72_15!$B22:$AL22))%,"")</f>
        <v>0.26752466760984717</v>
      </c>
      <c r="E179" s="141">
        <f t="array" ref="E179">IF(AND($B179&gt;=E$88,$B179&lt;=E$89),SUMPRODUCT(E$5:E$41,TRANSPOSE(Data_72_15!$B22:$AL22))%,"")</f>
        <v>0.28901886951747202</v>
      </c>
      <c r="F179" s="141">
        <f t="array" ref="F179">IF(AND($B179&gt;=F$88,$B179&lt;=F$89),SUMPRODUCT(F$5:F$41,TRANSPOSE(Data_72_15!$B22:$AL22))%,"")</f>
        <v>0.24604704039783937</v>
      </c>
      <c r="G179" s="141">
        <f t="array" ref="G179">IF(AND($B179&gt;=G$88,$B179&lt;=G$89),SUMPRODUCT(G$5:G$41,TRANSPOSE(Data_72_15!$B22:$AL22))%,"")</f>
        <v>0.310279466369905</v>
      </c>
      <c r="K179" s="140">
        <f t="shared" ref="K179:K199" si="7">K178+1</f>
        <v>1986</v>
      </c>
      <c r="L179" s="141">
        <f t="array" ref="L179">IF(AND($K179&gt;=L$88,$K179&lt;=L$89),SUMPRODUCT(L$5:L$54,TRANSPOSE(Data_85_15!$B9:$AY9))%,"")</f>
        <v>0.14822383677389159</v>
      </c>
      <c r="M179" s="141">
        <f t="array" ref="M179">IF(AND($K179&gt;=M$88,$K179&lt;=M$89),SUMPRODUCT(M$5:M$54,TRANSPOSE(Data_85_15!$B9:$AY9))%,"")</f>
        <v>0.16744693643945097</v>
      </c>
      <c r="N179" s="141">
        <f t="array" ref="N179">IF(AND($K179&gt;=N$88,$K179&lt;=N$89),SUMPRODUCT(N$5:N$54,TRANSPOSE(Data_85_15!$B9:$AY9))%,"")</f>
        <v>0.30257607997600217</v>
      </c>
      <c r="O179" s="141">
        <f t="array" ref="O179">IF(AND($K179&gt;=O$88,$K179&lt;=O$89),SUMPRODUCT(O$5:O$54,TRANSPOSE(Data_85_15!$B9:$AY9))%,"")</f>
        <v>0.30163318481867124</v>
      </c>
      <c r="P179" s="141">
        <f t="array" ref="P179">IF(AND($K179&gt;=P$88,$K179&lt;=P$89),SUMPRODUCT(P$5:P$54,TRANSPOSE(Data_85_15!$B9:$AY9))%,"")</f>
        <v>0.20081596799047546</v>
      </c>
      <c r="T179" s="140">
        <f t="shared" si="6"/>
        <v>1885</v>
      </c>
      <c r="U179" s="141">
        <f t="array" ref="U179">IF(AND($T179&gt;=U$88,$T179&lt;=U$89),SUMPRODUCT(U$5:U$81,TRANSPOSE(Data_All!$B22:$BZ22))%,"")</f>
        <v>0.11149712666141283</v>
      </c>
      <c r="V179" s="141">
        <f t="array" ref="V179">IF(AND($T179&gt;=V$88,$T179&lt;=V$89),SUMPRODUCT(V$5:V$81,TRANSPOSE(Data_All!$B22:$BZ22))%,"")</f>
        <v>0.16050333845087436</v>
      </c>
      <c r="W179" s="141">
        <f t="array" ref="W179">IF(AND($T179&gt;=W$88,$T179&lt;=W$89),SUMPRODUCT(W$5:W$81,TRANSPOSE(Data_All!$B22:$BZ22))%,"")</f>
        <v>0.18500644434560512</v>
      </c>
      <c r="X179" s="141">
        <f t="array" ref="X179">IF(AND($T179&gt;=X$88,$T179&lt;=X$89),SUMPRODUCT(X$5:X$81,TRANSPOSE(Data_All!$B22:$BZ22))%,"")</f>
        <v>0.20950955024033591</v>
      </c>
      <c r="Y179" s="141">
        <f t="array" ref="Y179">IF(AND($T179&gt;=Y$88,$T179&lt;=Y$89),SUMPRODUCT(Y$5:Y$81,TRANSPOSE(Data_All!$B22:$BZ22))%,"")</f>
        <v>0.23401265613506669</v>
      </c>
    </row>
    <row r="180" spans="2:25">
      <c r="B180" s="140">
        <f t="shared" si="5"/>
        <v>1987</v>
      </c>
      <c r="C180" s="141">
        <f t="array" ref="C180">IF(AND($B180&gt;=C$88,$B180&lt;=C$89),SUMPRODUCT(C$5:C$41,TRANSPOSE(Data_72_15!$B23:$AL23))%,"")</f>
        <v>8.9138089960124206E-2</v>
      </c>
      <c r="D180" s="141">
        <f t="array" ref="D180">IF(AND($B180&gt;=D$88,$B180&lt;=D$89),SUMPRODUCT(D$5:D$41,TRANSPOSE(Data_72_15!$B23:$AL23))%,"")</f>
        <v>7.2859719306568108E-2</v>
      </c>
      <c r="E180" s="141">
        <f t="array" ref="E180">IF(AND($B180&gt;=E$88,$B180&lt;=E$89),SUMPRODUCT(E$5:E$41,TRANSPOSE(Data_72_15!$B23:$AL23))%,"")</f>
        <v>8.4744551649868119E-2</v>
      </c>
      <c r="F180" s="141">
        <f t="array" ref="F180">IF(AND($B180&gt;=F$88,$B180&lt;=F$89),SUMPRODUCT(F$5:F$41,TRANSPOSE(Data_72_15!$B23:$AL23))%,"")</f>
        <v>6.5115689180542127E-2</v>
      </c>
      <c r="G180" s="141">
        <f t="array" ref="G180">IF(AND($B180&gt;=G$88,$B180&lt;=G$89),SUMPRODUCT(G$5:G$41,TRANSPOSE(Data_72_15!$B23:$AL23))%,"")</f>
        <v>0.10080760689253415</v>
      </c>
      <c r="K180" s="140">
        <f t="shared" si="7"/>
        <v>1987</v>
      </c>
      <c r="L180" s="141">
        <f t="array" ref="L180">IF(AND($K180&gt;=L$88,$K180&lt;=L$89),SUMPRODUCT(L$5:L$54,TRANSPOSE(Data_85_15!$B10:$AY10))%,"")</f>
        <v>5.7491039027067162E-2</v>
      </c>
      <c r="M180" s="141">
        <f t="array" ref="M180">IF(AND($K180&gt;=M$88,$K180&lt;=M$89),SUMPRODUCT(M$5:M$54,TRANSPOSE(Data_85_15!$B10:$AY10))%,"")</f>
        <v>6.5610312982611094E-2</v>
      </c>
      <c r="N180" s="141">
        <f t="array" ref="N180">IF(AND($K180&gt;=N$88,$K180&lt;=N$89),SUMPRODUCT(N$5:N$54,TRANSPOSE(Data_85_15!$B10:$AY10))%,"")</f>
        <v>7.8804934551667663E-2</v>
      </c>
      <c r="O180" s="141">
        <f t="array" ref="O180">IF(AND($K180&gt;=O$88,$K180&lt;=O$89),SUMPRODUCT(O$5:O$54,TRANSPOSE(Data_85_15!$B10:$AY10))%,"")</f>
        <v>8.3394442037693681E-2</v>
      </c>
      <c r="P180" s="141">
        <f t="array" ref="P180">IF(AND($K180&gt;=P$88,$K180&lt;=P$89),SUMPRODUCT(P$5:P$54,TRANSPOSE(Data_85_15!$B10:$AY10))%,"")</f>
        <v>7.7702944448321404E-2</v>
      </c>
      <c r="T180" s="140">
        <f t="shared" si="6"/>
        <v>1886</v>
      </c>
      <c r="U180" s="141">
        <f t="array" ref="U180">IF(AND($T180&gt;=U$88,$T180&lt;=U$89),SUMPRODUCT(U$5:U$81,TRANSPOSE(Data_All!$B23:$BZ23))%,"")</f>
        <v>3.1914786149816333E-2</v>
      </c>
      <c r="V180" s="141">
        <f t="array" ref="V180">IF(AND($T180&gt;=V$88,$T180&lt;=V$89),SUMPRODUCT(V$5:V$81,TRANSPOSE(Data_All!$B23:$BZ23))%,"")</f>
        <v>5.576330878833035E-2</v>
      </c>
      <c r="W180" s="141">
        <f t="array" ref="W180">IF(AND($T180&gt;=W$88,$T180&lt;=W$89),SUMPRODUCT(W$5:W$81,TRANSPOSE(Data_All!$B23:$BZ23))%,"")</f>
        <v>6.7687570107587372E-2</v>
      </c>
      <c r="X180" s="141">
        <f t="array" ref="X180">IF(AND($T180&gt;=X$88,$T180&lt;=X$89),SUMPRODUCT(X$5:X$81,TRANSPOSE(Data_All!$B23:$BZ23))%,"")</f>
        <v>7.9611831426844373E-2</v>
      </c>
      <c r="Y180" s="141">
        <f t="array" ref="Y180">IF(AND($T180&gt;=Y$88,$T180&lt;=Y$89),SUMPRODUCT(Y$5:Y$81,TRANSPOSE(Data_All!$B23:$BZ23))%,"")</f>
        <v>9.1536092746101402E-2</v>
      </c>
    </row>
    <row r="181" spans="2:25">
      <c r="B181" s="140">
        <f t="shared" si="5"/>
        <v>1988</v>
      </c>
      <c r="C181" s="141">
        <f t="array" ref="C181">IF(AND($B181&gt;=C$88,$B181&lt;=C$89),SUMPRODUCT(C$5:C$41,TRANSPOSE(Data_72_15!$B24:$AL24))%,"")</f>
        <v>0.19395014902325194</v>
      </c>
      <c r="D181" s="141">
        <f t="array" ref="D181">IF(AND($B181&gt;=D$88,$B181&lt;=D$89),SUMPRODUCT(D$5:D$41,TRANSPOSE(Data_72_15!$B24:$AL24))%,"")</f>
        <v>0.21794659374016362</v>
      </c>
      <c r="E181" s="141">
        <f t="array" ref="E181">IF(AND($B181&gt;=E$88,$B181&lt;=E$89),SUMPRODUCT(E$5:E$41,TRANSPOSE(Data_72_15!$B24:$AL24))%,"")</f>
        <v>0.2409564549574004</v>
      </c>
      <c r="F181" s="141">
        <f t="array" ref="F181">IF(AND($B181&gt;=F$88,$B181&lt;=F$89),SUMPRODUCT(F$5:F$41,TRANSPOSE(Data_72_15!$B24:$AL24))%,"")</f>
        <v>0.21079085106904699</v>
      </c>
      <c r="G181" s="141">
        <f t="array" ref="G181">IF(AND($B181&gt;=G$88,$B181&lt;=G$89),SUMPRODUCT(G$5:G$41,TRANSPOSE(Data_72_15!$B24:$AL24))%,"")</f>
        <v>0.21373459573859666</v>
      </c>
      <c r="K181" s="140">
        <f t="shared" si="7"/>
        <v>1988</v>
      </c>
      <c r="L181" s="141">
        <f t="array" ref="L181">IF(AND($K181&gt;=L$88,$K181&lt;=L$89),SUMPRODUCT(L$5:L$54,TRANSPOSE(Data_85_15!$B11:$AY11))%,"")</f>
        <v>0.17731172615834517</v>
      </c>
      <c r="M181" s="141">
        <f t="array" ref="M181">IF(AND($K181&gt;=M$88,$K181&lt;=M$89),SUMPRODUCT(M$5:M$54,TRANSPOSE(Data_85_15!$B11:$AY11))%,"")</f>
        <v>4.6342497069146969E-2</v>
      </c>
      <c r="N181" s="141">
        <f t="array" ref="N181">IF(AND($K181&gt;=N$88,$K181&lt;=N$89),SUMPRODUCT(N$5:N$54,TRANSPOSE(Data_85_15!$B11:$AY11))%,"")</f>
        <v>0.21254077097941462</v>
      </c>
      <c r="O181" s="141">
        <f t="array" ref="O181">IF(AND($K181&gt;=O$88,$K181&lt;=O$89),SUMPRODUCT(O$5:O$54,TRANSPOSE(Data_85_15!$B11:$AY11))%,"")</f>
        <v>0.21941424975379642</v>
      </c>
      <c r="P181" s="141">
        <f t="array" ref="P181">IF(AND($K181&gt;=P$88,$K181&lt;=P$89),SUMPRODUCT(P$5:P$54,TRANSPOSE(Data_85_15!$B11:$AY11))%,"")</f>
        <v>5.0620313094469571E-2</v>
      </c>
      <c r="T181" s="140">
        <f t="shared" si="6"/>
        <v>1887</v>
      </c>
      <c r="U181" s="141">
        <f t="array" ref="U181">IF(AND($T181&gt;=U$88,$T181&lt;=U$89),SUMPRODUCT(U$5:U$81,TRANSPOSE(Data_All!$B24:$BZ24))%,"")</f>
        <v>3.2771869526316999E-2</v>
      </c>
      <c r="V181" s="141">
        <f t="array" ref="V181">IF(AND($T181&gt;=V$88,$T181&lt;=V$89),SUMPRODUCT(V$5:V$81,TRANSPOSE(Data_All!$B24:$BZ24))%,"")</f>
        <v>2.2384412692888985E-2</v>
      </c>
      <c r="W181" s="141">
        <f t="array" ref="W181">IF(AND($T181&gt;=W$88,$T181&lt;=W$89),SUMPRODUCT(W$5:W$81,TRANSPOSE(Data_All!$B24:$BZ24))%,"")</f>
        <v>1.7190684276174983E-2</v>
      </c>
      <c r="X181" s="141">
        <f t="array" ref="X181">IF(AND($T181&gt;=X$88,$T181&lt;=X$89),SUMPRODUCT(X$5:X$81,TRANSPOSE(Data_All!$B24:$BZ24))%,"")</f>
        <v>1.1996955859460978E-2</v>
      </c>
      <c r="Y181" s="141">
        <f t="array" ref="Y181">IF(AND($T181&gt;=Y$88,$T181&lt;=Y$89),SUMPRODUCT(Y$5:Y$81,TRANSPOSE(Data_All!$B24:$BZ24))%,"")</f>
        <v>6.803227442746973E-3</v>
      </c>
    </row>
    <row r="182" spans="2:25">
      <c r="B182" s="140">
        <f t="shared" si="5"/>
        <v>1989</v>
      </c>
      <c r="C182" s="141">
        <f t="array" ref="C182">IF(AND($B182&gt;=C$88,$B182&lt;=C$89),SUMPRODUCT(C$5:C$41,TRANSPOSE(Data_72_15!$B25:$AL25))%,"")</f>
        <v>0.22669299451678504</v>
      </c>
      <c r="D182" s="141">
        <f t="array" ref="D182">IF(AND($B182&gt;=D$88,$B182&lt;=D$89),SUMPRODUCT(D$5:D$41,TRANSPOSE(Data_72_15!$B25:$AL25))%,"")</f>
        <v>0.20445560823379152</v>
      </c>
      <c r="E182" s="141">
        <f t="array" ref="E182">IF(AND($B182&gt;=E$88,$B182&lt;=E$89),SUMPRODUCT(E$5:E$41,TRANSPOSE(Data_72_15!$B25:$AL25))%,"")</f>
        <v>0.21786687916517933</v>
      </c>
      <c r="F182" s="141">
        <f t="array" ref="F182">IF(AND($B182&gt;=F$88,$B182&lt;=F$89),SUMPRODUCT(F$5:F$41,TRANSPOSE(Data_72_15!$B25:$AL25))%,"")</f>
        <v>0.18440789474516464</v>
      </c>
      <c r="G182" s="141">
        <f t="array" ref="G182">IF(AND($B182&gt;=G$88,$B182&lt;=G$89),SUMPRODUCT(G$5:G$41,TRANSPOSE(Data_72_15!$B25:$AL25))%,"")</f>
        <v>0.19441903438943114</v>
      </c>
      <c r="K182" s="140">
        <f t="shared" si="7"/>
        <v>1989</v>
      </c>
      <c r="L182" s="141">
        <f t="array" ref="L182">IF(AND($K182&gt;=L$88,$K182&lt;=L$89),SUMPRODUCT(L$5:L$54,TRANSPOSE(Data_85_15!$B12:$AY12))%,"")</f>
        <v>0.21161588010262786</v>
      </c>
      <c r="M182" s="141">
        <f t="array" ref="M182">IF(AND($K182&gt;=M$88,$K182&lt;=M$89),SUMPRODUCT(M$5:M$54,TRANSPOSE(Data_85_15!$B12:$AY12))%,"")</f>
        <v>0.13063604329067163</v>
      </c>
      <c r="N182" s="141">
        <f t="array" ref="N182">IF(AND($K182&gt;=N$88,$K182&lt;=N$89),SUMPRODUCT(N$5:N$54,TRANSPOSE(Data_85_15!$B12:$AY12))%,"")</f>
        <v>0.21518543030504475</v>
      </c>
      <c r="O182" s="141">
        <f t="array" ref="O182">IF(AND($K182&gt;=O$88,$K182&lt;=O$89),SUMPRODUCT(O$5:O$54,TRANSPOSE(Data_85_15!$B12:$AY12))%,"")</f>
        <v>0.18809020460435111</v>
      </c>
      <c r="P182" s="141">
        <f t="array" ref="P182">IF(AND($K182&gt;=P$88,$K182&lt;=P$89),SUMPRODUCT(P$5:P$54,TRANSPOSE(Data_85_15!$B12:$AY12))%,"")</f>
        <v>0.1251461789402534</v>
      </c>
      <c r="T182" s="140">
        <f t="shared" si="6"/>
        <v>1888</v>
      </c>
      <c r="U182" s="141">
        <f t="array" ref="U182">IF(AND($T182&gt;=U$88,$T182&lt;=U$89),SUMPRODUCT(U$5:U$81,TRANSPOSE(Data_All!$B25:$BZ25))%,"")</f>
        <v>4.2470490122139264E-2</v>
      </c>
      <c r="V182" s="141">
        <f t="array" ref="V182">IF(AND($T182&gt;=V$88,$T182&lt;=V$89),SUMPRODUCT(V$5:V$81,TRANSPOSE(Data_All!$B25:$BZ25))%,"")</f>
        <v>3.8945157727812707E-2</v>
      </c>
      <c r="W182" s="141">
        <f t="array" ref="W182">IF(AND($T182&gt;=W$88,$T182&lt;=W$89),SUMPRODUCT(W$5:W$81,TRANSPOSE(Data_All!$B25:$BZ25))%,"")</f>
        <v>3.7182491530649432E-2</v>
      </c>
      <c r="X182" s="141">
        <f t="array" ref="X182">IF(AND($T182&gt;=X$88,$T182&lt;=X$89),SUMPRODUCT(X$5:X$81,TRANSPOSE(Data_All!$B25:$BZ25))%,"")</f>
        <v>3.5419825333486157E-2</v>
      </c>
      <c r="Y182" s="141">
        <f t="array" ref="Y182">IF(AND($T182&gt;=Y$88,$T182&lt;=Y$89),SUMPRODUCT(Y$5:Y$81,TRANSPOSE(Data_All!$B25:$BZ25))%,"")</f>
        <v>3.3657159136322876E-2</v>
      </c>
    </row>
    <row r="183" spans="2:25">
      <c r="B183" s="140">
        <f t="shared" si="5"/>
        <v>1990</v>
      </c>
      <c r="C183" s="141">
        <f t="array" ref="C183">IF(AND($B183&gt;=C$88,$B183&lt;=C$89),SUMPRODUCT(C$5:C$41,TRANSPOSE(Data_72_15!$B26:$AL26))%,"")</f>
        <v>-7.7945857934546586E-2</v>
      </c>
      <c r="D183" s="141">
        <f t="array" ref="D183">IF(AND($B183&gt;=D$88,$B183&lt;=D$89),SUMPRODUCT(D$5:D$41,TRANSPOSE(Data_72_15!$B26:$AL26))%,"")</f>
        <v>-9.1570149064055126E-2</v>
      </c>
      <c r="E183" s="141">
        <f t="array" ref="E183">IF(AND($B183&gt;=E$88,$B183&lt;=E$89),SUMPRODUCT(E$5:E$41,TRANSPOSE(Data_72_15!$B26:$AL26))%,"")</f>
        <v>-0.11386320900138117</v>
      </c>
      <c r="F183" s="141">
        <f t="array" ref="F183">IF(AND($B183&gt;=F$88,$B183&lt;=F$89),SUMPRODUCT(F$5:F$41,TRANSPOSE(Data_72_15!$B26:$AL26))%,"")</f>
        <v>-8.4858511966209152E-2</v>
      </c>
      <c r="G183" s="141">
        <f t="array" ref="G183">IF(AND($B183&gt;=G$88,$B183&lt;=G$89),SUMPRODUCT(G$5:G$41,TRANSPOSE(Data_72_15!$B26:$AL26))%,"")</f>
        <v>-6.2454622301235163E-2</v>
      </c>
      <c r="K183" s="140">
        <f t="shared" si="7"/>
        <v>1990</v>
      </c>
      <c r="L183" s="141">
        <f t="array" ref="L183">IF(AND($K183&gt;=L$88,$K183&lt;=L$89),SUMPRODUCT(L$5:L$54,TRANSPOSE(Data_85_15!$B13:$AY13))%,"")</f>
        <v>2.7751427851096251E-2</v>
      </c>
      <c r="M183" s="141">
        <f t="array" ref="M183">IF(AND($K183&gt;=M$88,$K183&lt;=M$89),SUMPRODUCT(M$5:M$54,TRANSPOSE(Data_85_15!$B13:$AY13))%,"")</f>
        <v>1.4250688135477297E-2</v>
      </c>
      <c r="N183" s="141">
        <f t="array" ref="N183">IF(AND($K183&gt;=N$88,$K183&lt;=N$89),SUMPRODUCT(N$5:N$54,TRANSPOSE(Data_85_15!$B13:$AY13))%,"")</f>
        <v>-9.4090805439280223E-2</v>
      </c>
      <c r="O183" s="141">
        <f t="array" ref="O183">IF(AND($K183&gt;=O$88,$K183&lt;=O$89),SUMPRODUCT(O$5:O$54,TRANSPOSE(Data_85_15!$B13:$AY13))%,"")</f>
        <v>-9.2538662168737809E-2</v>
      </c>
      <c r="P183" s="141">
        <f t="array" ref="P183">IF(AND($K183&gt;=P$88,$K183&lt;=P$89),SUMPRODUCT(P$5:P$54,TRANSPOSE(Data_85_15!$B13:$AY13))%,"")</f>
        <v>7.5173769609441672E-3</v>
      </c>
      <c r="T183" s="140">
        <f t="shared" si="6"/>
        <v>1889</v>
      </c>
      <c r="U183" s="141">
        <f t="array" ref="U183">IF(AND($T183&gt;=U$88,$T183&lt;=U$89),SUMPRODUCT(U$5:U$81,TRANSPOSE(Data_All!$B26:$BZ26))%,"")</f>
        <v>3.5343570252566028E-2</v>
      </c>
      <c r="V183" s="141">
        <f t="array" ref="V183">IF(AND($T183&gt;=V$88,$T183&lt;=V$89),SUMPRODUCT(V$5:V$81,TRANSPOSE(Data_All!$B26:$BZ26))%,"")</f>
        <v>4.4874633059357356E-2</v>
      </c>
      <c r="W183" s="141">
        <f t="array" ref="W183">IF(AND($T183&gt;=W$88,$T183&lt;=W$89),SUMPRODUCT(W$5:W$81,TRANSPOSE(Data_All!$B26:$BZ26))%,"")</f>
        <v>4.964016446275301E-2</v>
      </c>
      <c r="X183" s="141">
        <f t="array" ref="X183">IF(AND($T183&gt;=X$88,$T183&lt;=X$89),SUMPRODUCT(X$5:X$81,TRANSPOSE(Data_All!$B26:$BZ26))%,"")</f>
        <v>5.4405695866148671E-2</v>
      </c>
      <c r="Y183" s="141">
        <f t="array" ref="Y183">IF(AND($T183&gt;=Y$88,$T183&lt;=Y$89),SUMPRODUCT(Y$5:Y$81,TRANSPOSE(Data_All!$B26:$BZ26))%,"")</f>
        <v>5.9171227269544338E-2</v>
      </c>
    </row>
    <row r="184" spans="2:25">
      <c r="B184" s="140">
        <f t="shared" si="5"/>
        <v>1991</v>
      </c>
      <c r="C184" s="141">
        <f t="array" ref="C184">IF(AND($B184&gt;=C$88,$B184&lt;=C$89),SUMPRODUCT(C$5:C$41,TRANSPOSE(Data_72_15!$B27:$AL27))%,"")</f>
        <v>0.2608993000364756</v>
      </c>
      <c r="D184" s="141">
        <f t="array" ref="D184">IF(AND($B184&gt;=D$88,$B184&lt;=D$89),SUMPRODUCT(D$5:D$41,TRANSPOSE(Data_72_15!$B27:$AL27))%,"")</f>
        <v>0.26214050981830883</v>
      </c>
      <c r="E184" s="141">
        <f t="array" ref="E184">IF(AND($B184&gt;=E$88,$B184&lt;=E$89),SUMPRODUCT(E$5:E$41,TRANSPOSE(Data_72_15!$B27:$AL27))%,"")</f>
        <v>0.30392379672563019</v>
      </c>
      <c r="F184" s="141">
        <f t="array" ref="F184">IF(AND($B184&gt;=F$88,$B184&lt;=F$89),SUMPRODUCT(F$5:F$41,TRANSPOSE(Data_72_15!$B27:$AL27))%,"")</f>
        <v>0.28528290007634072</v>
      </c>
      <c r="G184" s="141">
        <f t="array" ref="G184">IF(AND($B184&gt;=G$88,$B184&lt;=G$89),SUMPRODUCT(G$5:G$41,TRANSPOSE(Data_72_15!$B27:$AL27))%,"")</f>
        <v>0.25632670813657449</v>
      </c>
      <c r="K184" s="140">
        <f t="shared" si="7"/>
        <v>1991</v>
      </c>
      <c r="L184" s="141">
        <f t="array" ref="L184">IF(AND($K184&gt;=L$88,$K184&lt;=L$89),SUMPRODUCT(L$5:L$54,TRANSPOSE(Data_85_15!$B14:$AY14))%,"")</f>
        <v>0.23373298113566218</v>
      </c>
      <c r="M184" s="141">
        <f t="array" ref="M184">IF(AND($K184&gt;=M$88,$K184&lt;=M$89),SUMPRODUCT(M$5:M$54,TRANSPOSE(Data_85_15!$B14:$AY14))%,"")</f>
        <v>0.11800773187428849</v>
      </c>
      <c r="N184" s="141">
        <f t="array" ref="N184">IF(AND($K184&gt;=N$88,$K184&lt;=N$89),SUMPRODUCT(N$5:N$54,TRANSPOSE(Data_85_15!$B14:$AY14))%,"")</f>
        <v>0.26671629018980741</v>
      </c>
      <c r="O184" s="141">
        <f t="array" ref="O184">IF(AND($K184&gt;=O$88,$K184&lt;=O$89),SUMPRODUCT(O$5:O$54,TRANSPOSE(Data_85_15!$B14:$AY14))%,"")</f>
        <v>0.26499488432133467</v>
      </c>
      <c r="P184" s="141">
        <f t="array" ref="P184">IF(AND($K184&gt;=P$88,$K184&lt;=P$89),SUMPRODUCT(P$5:P$54,TRANSPOSE(Data_85_15!$B14:$AY14))%,"")</f>
        <v>0.11638205277912129</v>
      </c>
      <c r="T184" s="140">
        <f t="shared" si="6"/>
        <v>1890</v>
      </c>
      <c r="U184" s="141">
        <f t="array" ref="U184">IF(AND($T184&gt;=U$88,$T184&lt;=U$89),SUMPRODUCT(U$5:U$81,TRANSPOSE(Data_All!$B27:$BZ27))%,"")</f>
        <v>-6.0184023799418566E-3</v>
      </c>
      <c r="V184" s="141">
        <f t="array" ref="V184">IF(AND($T184&gt;=V$88,$T184&lt;=V$89),SUMPRODUCT(V$5:V$81,TRANSPOSE(Data_All!$B27:$BZ27))%,"")</f>
        <v>-2.1293017100914417E-2</v>
      </c>
      <c r="W184" s="141">
        <f t="array" ref="W184">IF(AND($T184&gt;=W$88,$T184&lt;=W$89),SUMPRODUCT(W$5:W$81,TRANSPOSE(Data_All!$B27:$BZ27))%,"")</f>
        <v>-2.8930324461400692E-2</v>
      </c>
      <c r="X184" s="141">
        <f t="array" ref="X184">IF(AND($T184&gt;=X$88,$T184&lt;=X$89),SUMPRODUCT(X$5:X$81,TRANSPOSE(Data_All!$B27:$BZ27))%,"")</f>
        <v>-3.6567631821886964E-2</v>
      </c>
      <c r="Y184" s="141">
        <f t="array" ref="Y184">IF(AND($T184&gt;=Y$88,$T184&lt;=Y$89),SUMPRODUCT(Y$5:Y$81,TRANSPOSE(Data_All!$B27:$BZ27))%,"")</f>
        <v>-4.4204939182373254E-2</v>
      </c>
    </row>
    <row r="185" spans="2:25">
      <c r="B185" s="140">
        <f t="shared" si="5"/>
        <v>1992</v>
      </c>
      <c r="C185" s="141">
        <f t="array" ref="C185">IF(AND($B185&gt;=C$88,$B185&lt;=C$89),SUMPRODUCT(C$5:C$41,TRANSPOSE(Data_72_15!$B28:$AL28))%,"")</f>
        <v>3.6784524188743437E-2</v>
      </c>
      <c r="D185" s="141">
        <f t="array" ref="D185">IF(AND($B185&gt;=D$88,$B185&lt;=D$89),SUMPRODUCT(D$5:D$41,TRANSPOSE(Data_72_15!$B28:$AL28))%,"")</f>
        <v>8.2705461306416303E-2</v>
      </c>
      <c r="E185" s="141">
        <f t="array" ref="E185">IF(AND($B185&gt;=E$88,$B185&lt;=E$89),SUMPRODUCT(E$5:E$41,TRANSPOSE(Data_72_15!$B28:$AL28))%,"")</f>
        <v>9.1613346875030588E-2</v>
      </c>
      <c r="F185" s="141">
        <f t="array" ref="F185">IF(AND($B185&gt;=F$88,$B185&lt;=F$89),SUMPRODUCT(F$5:F$41,TRANSPOSE(Data_72_15!$B28:$AL28))%,"")</f>
        <v>0.11457639480541575</v>
      </c>
      <c r="G185" s="141">
        <f t="array" ref="G185">IF(AND($B185&gt;=G$88,$B185&lt;=G$89),SUMPRODUCT(G$5:G$41,TRANSPOSE(Data_72_15!$B28:$AL28))%,"")</f>
        <v>6.4156895133520034E-2</v>
      </c>
      <c r="K185" s="140">
        <f t="shared" si="7"/>
        <v>1992</v>
      </c>
      <c r="L185" s="141">
        <f t="array" ref="L185">IF(AND($K185&gt;=L$88,$K185&lt;=L$89),SUMPRODUCT(L$5:L$54,TRANSPOSE(Data_85_15!$B15:$AY15))%,"")</f>
        <v>8.3506253889289936E-2</v>
      </c>
      <c r="M185" s="141">
        <f t="array" ref="M185">IF(AND($K185&gt;=M$88,$K185&lt;=M$89),SUMPRODUCT(M$5:M$54,TRANSPOSE(Data_85_15!$B15:$AY15))%,"")</f>
        <v>3.6051741887381236E-2</v>
      </c>
      <c r="N185" s="141">
        <f t="array" ref="N185">IF(AND($K185&gt;=N$88,$K185&lt;=N$89),SUMPRODUCT(N$5:N$54,TRANSPOSE(Data_85_15!$B15:$AY15))%,"")</f>
        <v>7.0735538267417131E-2</v>
      </c>
      <c r="O185" s="141">
        <f t="array" ref="O185">IF(AND($K185&gt;=O$88,$K185&lt;=O$89),SUMPRODUCT(O$5:O$54,TRANSPOSE(Data_85_15!$B15:$AY15))%,"")</f>
        <v>7.7927327412233321E-2</v>
      </c>
      <c r="P185" s="141">
        <f t="array" ref="P185">IF(AND($K185&gt;=P$88,$K185&lt;=P$89),SUMPRODUCT(P$5:P$54,TRANSPOSE(Data_85_15!$B15:$AY15))%,"")</f>
        <v>3.0742944558845072E-2</v>
      </c>
      <c r="T185" s="140">
        <f t="shared" si="6"/>
        <v>1891</v>
      </c>
      <c r="U185" s="141">
        <f t="array" ref="U185">IF(AND($T185&gt;=U$88,$T185&lt;=U$89),SUMPRODUCT(U$5:U$81,TRANSPOSE(Data_All!$B28:$BZ28))%,"")</f>
        <v>0.10574785633814617</v>
      </c>
      <c r="V185" s="141">
        <f t="array" ref="V185">IF(AND($T185&gt;=V$88,$T185&lt;=V$89),SUMPRODUCT(V$5:V$81,TRANSPOSE(Data_All!$B28:$BZ28))%,"")</f>
        <v>0.12807255381886473</v>
      </c>
      <c r="W185" s="141">
        <f t="array" ref="W185">IF(AND($T185&gt;=W$88,$T185&lt;=W$89),SUMPRODUCT(W$5:W$81,TRANSPOSE(Data_All!$B28:$BZ28))%,"")</f>
        <v>0.13923490255922402</v>
      </c>
      <c r="X185" s="141">
        <f t="array" ref="X185">IF(AND($T185&gt;=X$88,$T185&lt;=X$89),SUMPRODUCT(X$5:X$81,TRANSPOSE(Data_All!$B28:$BZ28))%,"")</f>
        <v>0.15039725129958328</v>
      </c>
      <c r="Y185" s="141">
        <f t="array" ref="Y185">IF(AND($T185&gt;=Y$88,$T185&lt;=Y$89),SUMPRODUCT(Y$5:Y$81,TRANSPOSE(Data_All!$B28:$BZ28))%,"")</f>
        <v>0.1615596000399426</v>
      </c>
    </row>
    <row r="186" spans="2:25">
      <c r="B186" s="140">
        <f t="shared" si="5"/>
        <v>1993</v>
      </c>
      <c r="C186" s="141">
        <f t="array" ref="C186">IF(AND($B186&gt;=C$88,$B186&lt;=C$89),SUMPRODUCT(C$5:C$41,TRANSPOSE(Data_72_15!$B29:$AL29))%,"")</f>
        <v>0.18815972127606578</v>
      </c>
      <c r="D186" s="141">
        <f t="array" ref="D186">IF(AND($B186&gt;=D$88,$B186&lt;=D$89),SUMPRODUCT(D$5:D$41,TRANSPOSE(Data_72_15!$B29:$AL29))%,"")</f>
        <v>0.21553654746783121</v>
      </c>
      <c r="E186" s="141">
        <f t="array" ref="E186">IF(AND($B186&gt;=E$88,$B186&lt;=E$89),SUMPRODUCT(E$5:E$41,TRANSPOSE(Data_72_15!$B29:$AL29))%,"")</f>
        <v>0.25282144667100842</v>
      </c>
      <c r="F186" s="141">
        <f t="array" ref="F186">IF(AND($B186&gt;=F$88,$B186&lt;=F$89),SUMPRODUCT(F$5:F$41,TRANSPOSE(Data_72_15!$B29:$AL29))%,"")</f>
        <v>0.23022671539538314</v>
      </c>
      <c r="G186" s="141">
        <f t="array" ref="G186">IF(AND($B186&gt;=G$88,$B186&lt;=G$89),SUMPRODUCT(G$5:G$41,TRANSPOSE(Data_72_15!$B29:$AL29))%,"")</f>
        <v>0.23446461986544961</v>
      </c>
      <c r="K186" s="140">
        <f t="shared" si="7"/>
        <v>1993</v>
      </c>
      <c r="L186" s="141">
        <f t="array" ref="L186">IF(AND($K186&gt;=L$88,$K186&lt;=L$89),SUMPRODUCT(L$5:L$54,TRANSPOSE(Data_85_15!$B16:$AY16))%,"")</f>
        <v>0.11659466940641003</v>
      </c>
      <c r="M186" s="141">
        <f t="array" ref="M186">IF(AND($K186&gt;=M$88,$K186&lt;=M$89),SUMPRODUCT(M$5:M$54,TRANSPOSE(Data_85_15!$B16:$AY16))%,"")</f>
        <v>0.118228524864621</v>
      </c>
      <c r="N186" s="141">
        <f t="array" ref="N186">IF(AND($K186&gt;=N$88,$K186&lt;=N$89),SUMPRODUCT(N$5:N$54,TRANSPOSE(Data_85_15!$B16:$AY16))%,"")</f>
        <v>0.23703486393248441</v>
      </c>
      <c r="O186" s="141">
        <f t="array" ref="O186">IF(AND($K186&gt;=O$88,$K186&lt;=O$89),SUMPRODUCT(O$5:O$54,TRANSPOSE(Data_85_15!$B16:$AY16))%,"")</f>
        <v>0.24355423139561597</v>
      </c>
      <c r="P186" s="141">
        <f t="array" ref="P186">IF(AND($K186&gt;=P$88,$K186&lt;=P$89),SUMPRODUCT(P$5:P$54,TRANSPOSE(Data_85_15!$B16:$AY16))%,"")</f>
        <v>0.13688962487830358</v>
      </c>
      <c r="T186" s="140">
        <f t="shared" si="6"/>
        <v>1892</v>
      </c>
      <c r="U186" s="141">
        <f t="array" ref="U186">IF(AND($T186&gt;=U$88,$T186&lt;=U$89),SUMPRODUCT(U$5:U$81,TRANSPOSE(Data_All!$B29:$BZ29))%,"")</f>
        <v>-1.4421660463679688E-2</v>
      </c>
      <c r="V186" s="141">
        <f t="array" ref="V186">IF(AND($T186&gt;=V$88,$T186&lt;=V$89),SUMPRODUCT(V$5:V$81,TRANSPOSE(Data_All!$B29:$BZ29))%,"")</f>
        <v>7.3290965575739083E-3</v>
      </c>
      <c r="W186" s="141">
        <f t="array" ref="W186">IF(AND($T186&gt;=W$88,$T186&lt;=W$89),SUMPRODUCT(W$5:W$81,TRANSPOSE(Data_All!$B29:$BZ29))%,"")</f>
        <v>1.8204475068200707E-2</v>
      </c>
      <c r="X186" s="141">
        <f t="array" ref="X186">IF(AND($T186&gt;=X$88,$T186&lt;=X$89),SUMPRODUCT(X$5:X$81,TRANSPOSE(Data_All!$B29:$BZ29))%,"")</f>
        <v>2.9079853578827509E-2</v>
      </c>
      <c r="Y186" s="141">
        <f t="array" ref="Y186">IF(AND($T186&gt;=Y$88,$T186&lt;=Y$89),SUMPRODUCT(Y$5:Y$81,TRANSPOSE(Data_All!$B29:$BZ29))%,"")</f>
        <v>3.9955232089454305E-2</v>
      </c>
    </row>
    <row r="187" spans="2:25">
      <c r="B187" s="140">
        <f t="shared" si="5"/>
        <v>1994</v>
      </c>
      <c r="C187" s="141">
        <f t="array" ref="C187">IF(AND($B187&gt;=C$88,$B187&lt;=C$89),SUMPRODUCT(C$5:C$41,TRANSPOSE(Data_72_15!$B30:$AL30))%,"")</f>
        <v>1.0503318698862502E-2</v>
      </c>
      <c r="D187" s="141">
        <f t="array" ref="D187">IF(AND($B187&gt;=D$88,$B187&lt;=D$89),SUMPRODUCT(D$5:D$41,TRANSPOSE(Data_72_15!$B30:$AL30))%,"")</f>
        <v>6.614662145449343E-3</v>
      </c>
      <c r="E187" s="141">
        <f t="array" ref="E187">IF(AND($B187&gt;=E$88,$B187&lt;=E$89),SUMPRODUCT(E$5:E$41,TRANSPOSE(Data_72_15!$B30:$AL30))%,"")</f>
        <v>1.5972102367480577E-3</v>
      </c>
      <c r="F187" s="141">
        <f t="array" ref="F187">IF(AND($B187&gt;=F$88,$B187&lt;=F$89),SUMPRODUCT(F$5:F$41,TRANSPOSE(Data_72_15!$B30:$AL30))%,"")</f>
        <v>8.1222120237307567E-4</v>
      </c>
      <c r="G187" s="141">
        <f t="array" ref="G187">IF(AND($B187&gt;=G$88,$B187&lt;=G$89),SUMPRODUCT(G$5:G$41,TRANSPOSE(Data_72_15!$B30:$AL30))%,"")</f>
        <v>7.0026849685257695E-3</v>
      </c>
      <c r="K187" s="140">
        <f t="shared" si="7"/>
        <v>1994</v>
      </c>
      <c r="L187" s="141">
        <f t="array" ref="L187">IF(AND($K187&gt;=L$88,$K187&lt;=L$89),SUMPRODUCT(L$5:L$54,TRANSPOSE(Data_85_15!$B17:$AY17))%,"")</f>
        <v>1.3454683975182784E-2</v>
      </c>
      <c r="M187" s="141">
        <f t="array" ref="M187">IF(AND($K187&gt;=M$88,$K187&lt;=M$89),SUMPRODUCT(M$5:M$54,TRANSPOSE(Data_85_15!$B17:$AY17))%,"")</f>
        <v>-1.4873782661313903E-2</v>
      </c>
      <c r="N187" s="141">
        <f t="array" ref="N187">IF(AND($K187&gt;=N$88,$K187&lt;=N$89),SUMPRODUCT(N$5:N$54,TRANSPOSE(Data_85_15!$B17:$AY17))%,"")</f>
        <v>9.1806828944589382E-3</v>
      </c>
      <c r="O187" s="141">
        <f t="array" ref="O187">IF(AND($K187&gt;=O$88,$K187&lt;=O$89),SUMPRODUCT(O$5:O$54,TRANSPOSE(Data_85_15!$B17:$AY17))%,"")</f>
        <v>1.1222427219210162E-2</v>
      </c>
      <c r="P187" s="141">
        <f t="array" ref="P187">IF(AND($K187&gt;=P$88,$K187&lt;=P$89),SUMPRODUCT(P$5:P$54,TRANSPOSE(Data_85_15!$B17:$AY17))%,"")</f>
        <v>-1.7497396211503483E-2</v>
      </c>
      <c r="T187" s="140">
        <f t="shared" si="6"/>
        <v>1893</v>
      </c>
      <c r="U187" s="141">
        <f t="array" ref="U187">IF(AND($T187&gt;=U$88,$T187&lt;=U$89),SUMPRODUCT(U$5:U$81,TRANSPOSE(Data_All!$B30:$BZ30))%,"")</f>
        <v>3.6832758649153856E-2</v>
      </c>
      <c r="V187" s="141">
        <f t="array" ref="V187">IF(AND($T187&gt;=V$88,$T187&lt;=V$89),SUMPRODUCT(V$5:V$81,TRANSPOSE(Data_All!$B30:$BZ30))%,"")</f>
        <v>-2.6657527881111146E-2</v>
      </c>
      <c r="W187" s="141">
        <f t="array" ref="W187">IF(AND($T187&gt;=W$88,$T187&lt;=W$89),SUMPRODUCT(W$5:W$81,TRANSPOSE(Data_All!$B30:$BZ30))%,"")</f>
        <v>-5.8402671146243638E-2</v>
      </c>
      <c r="X187" s="141">
        <f t="array" ref="X187">IF(AND($T187&gt;=X$88,$T187&lt;=X$89),SUMPRODUCT(X$5:X$81,TRANSPOSE(Data_All!$B30:$BZ30))%,"")</f>
        <v>-9.0147814411376148E-2</v>
      </c>
      <c r="Y187" s="141">
        <f t="array" ref="Y187">IF(AND($T187&gt;=Y$88,$T187&lt;=Y$89),SUMPRODUCT(Y$5:Y$81,TRANSPOSE(Data_All!$B30:$BZ30))%,"")</f>
        <v>-0.12189295767650866</v>
      </c>
    </row>
    <row r="188" spans="2:25">
      <c r="B188" s="140">
        <f t="shared" si="5"/>
        <v>1995</v>
      </c>
      <c r="C188" s="141">
        <f t="array" ref="C188">IF(AND($B188&gt;=C$88,$B188&lt;=C$89),SUMPRODUCT(C$5:C$41,TRANSPOSE(Data_72_15!$B31:$AL31))%,"")</f>
        <v>0.24441796248253841</v>
      </c>
      <c r="D188" s="141">
        <f t="array" ref="D188">IF(AND($B188&gt;=D$88,$B188&lt;=D$89),SUMPRODUCT(D$5:D$41,TRANSPOSE(Data_72_15!$B31:$AL31))%,"")</f>
        <v>0.22759218536235892</v>
      </c>
      <c r="E188" s="141">
        <f t="array" ref="E188">IF(AND($B188&gt;=E$88,$B188&lt;=E$89),SUMPRODUCT(E$5:E$41,TRANSPOSE(Data_72_15!$B31:$AL31))%,"")</f>
        <v>0.21407180711058982</v>
      </c>
      <c r="F188" s="141">
        <f t="array" ref="F188">IF(AND($B188&gt;=F$88,$B188&lt;=F$89),SUMPRODUCT(F$5:F$41,TRANSPOSE(Data_72_15!$B31:$AL31))%,"")</f>
        <v>0.17530134152293791</v>
      </c>
      <c r="G188" s="141">
        <f t="array" ref="G188">IF(AND($B188&gt;=G$88,$B188&lt;=G$89),SUMPRODUCT(G$5:G$41,TRANSPOSE(Data_72_15!$B31:$AL31))%,"")</f>
        <v>0.15787747287121809</v>
      </c>
      <c r="K188" s="140">
        <f t="shared" si="7"/>
        <v>1995</v>
      </c>
      <c r="L188" s="141">
        <f t="array" ref="L188">IF(AND($K188&gt;=L$88,$K188&lt;=L$89),SUMPRODUCT(L$5:L$54,TRANSPOSE(Data_85_15!$B18:$AY18))%,"")</f>
        <v>0.23223415245564502</v>
      </c>
      <c r="M188" s="141">
        <f t="array" ref="M188">IF(AND($K188&gt;=M$88,$K188&lt;=M$89),SUMPRODUCT(M$5:M$54,TRANSPOSE(Data_85_15!$B18:$AY18))%,"")</f>
        <v>0.17991542226397736</v>
      </c>
      <c r="N188" s="141">
        <f t="array" ref="N188">IF(AND($K188&gt;=N$88,$K188&lt;=N$89),SUMPRODUCT(N$5:N$54,TRANSPOSE(Data_85_15!$B18:$AY18))%,"")</f>
        <v>0.2153010920065406</v>
      </c>
      <c r="O188" s="141">
        <f t="array" ref="O188">IF(AND($K188&gt;=O$88,$K188&lt;=O$89),SUMPRODUCT(O$5:O$54,TRANSPOSE(Data_85_15!$B18:$AY18))%,"")</f>
        <v>0.17665362857954928</v>
      </c>
      <c r="P188" s="141">
        <f t="array" ref="P188">IF(AND($K188&gt;=P$88,$K188&lt;=P$89),SUMPRODUCT(P$5:P$54,TRANSPOSE(Data_85_15!$B18:$AY18))%,"")</f>
        <v>0.17514674934440044</v>
      </c>
      <c r="T188" s="140">
        <f t="shared" si="6"/>
        <v>1894</v>
      </c>
      <c r="U188" s="141">
        <f t="array" ref="U188">IF(AND($T188&gt;=U$88,$T188&lt;=U$89),SUMPRODUCT(U$5:U$81,TRANSPOSE(Data_All!$B31:$BZ31))%,"")</f>
        <v>4.3510643164124431E-2</v>
      </c>
      <c r="V188" s="141">
        <f t="array" ref="V188">IF(AND($T188&gt;=V$88,$T188&lt;=V$89),SUMPRODUCT(V$5:V$81,TRANSPOSE(Data_All!$B31:$BZ31))%,"")</f>
        <v>4.0338290090776718E-2</v>
      </c>
      <c r="W188" s="141">
        <f t="array" ref="W188">IF(AND($T188&gt;=W$88,$T188&lt;=W$89),SUMPRODUCT(W$5:W$81,TRANSPOSE(Data_All!$B31:$BZ31))%,"")</f>
        <v>3.8752113554102866E-2</v>
      </c>
      <c r="X188" s="141">
        <f t="array" ref="X188">IF(AND($T188&gt;=X$88,$T188&lt;=X$89),SUMPRODUCT(X$5:X$81,TRANSPOSE(Data_All!$B31:$BZ31))%,"")</f>
        <v>3.7165937017429006E-2</v>
      </c>
      <c r="Y188" s="141">
        <f t="array" ref="Y188">IF(AND($T188&gt;=Y$88,$T188&lt;=Y$89),SUMPRODUCT(Y$5:Y$81,TRANSPOSE(Data_All!$B31:$BZ31))%,"")</f>
        <v>3.5579760480755153E-2</v>
      </c>
    </row>
    <row r="189" spans="2:25">
      <c r="B189" s="140">
        <f t="shared" si="5"/>
        <v>1996</v>
      </c>
      <c r="C189" s="141">
        <f t="array" ref="C189">IF(AND($B189&gt;=C$88,$B189&lt;=C$89),SUMPRODUCT(C$5:C$41,TRANSPOSE(Data_72_15!$B32:$AL32))%,"")</f>
        <v>0.13469348633007383</v>
      </c>
      <c r="D189" s="141">
        <f t="array" ref="D189">IF(AND($B189&gt;=D$88,$B189&lt;=D$89),SUMPRODUCT(D$5:D$41,TRANSPOSE(Data_72_15!$B32:$AL32))%,"")</f>
        <v>0.13578267490426929</v>
      </c>
      <c r="E189" s="141">
        <f t="array" ref="E189">IF(AND($B189&gt;=E$88,$B189&lt;=E$89),SUMPRODUCT(E$5:E$41,TRANSPOSE(Data_72_15!$B32:$AL32))%,"")</f>
        <v>0.1437826749042693</v>
      </c>
      <c r="F189" s="141">
        <f t="array" ref="F189">IF(AND($B189&gt;=F$88,$B189&lt;=F$89),SUMPRODUCT(F$5:F$41,TRANSPOSE(Data_72_15!$B32:$AL32))%,"")</f>
        <v>0.15481851539613181</v>
      </c>
      <c r="G189" s="141">
        <f t="array" ref="G189">IF(AND($B189&gt;=G$88,$B189&lt;=G$89),SUMPRODUCT(G$5:G$41,TRANSPOSE(Data_72_15!$B32:$AL32))%,"")</f>
        <v>0.10642450408304852</v>
      </c>
      <c r="K189" s="140">
        <f t="shared" si="7"/>
        <v>1996</v>
      </c>
      <c r="L189" s="141">
        <f t="array" ref="L189">IF(AND($K189&gt;=L$88,$K189&lt;=L$89),SUMPRODUCT(L$5:L$54,TRANSPOSE(Data_85_15!$B19:$AY19))%,"")</f>
        <v>0.14337164632316229</v>
      </c>
      <c r="M189" s="141">
        <f t="array" ref="M189">IF(AND($K189&gt;=M$88,$K189&lt;=M$89),SUMPRODUCT(M$5:M$54,TRANSPOSE(Data_85_15!$B19:$AY19))%,"")</f>
        <v>4.9583258696480233E-2</v>
      </c>
      <c r="N189" s="141">
        <f t="array" ref="N189">IF(AND($K189&gt;=N$88,$K189&lt;=N$89),SUMPRODUCT(N$5:N$54,TRANSPOSE(Data_85_15!$B19:$AY19))%,"")</f>
        <v>0.1548123426222919</v>
      </c>
      <c r="O189" s="141">
        <f t="array" ref="O189">IF(AND($K189&gt;=O$88,$K189&lt;=O$89),SUMPRODUCT(O$5:O$54,TRANSPOSE(Data_85_15!$B19:$AY19))%,"")</f>
        <v>0.12658256943690108</v>
      </c>
      <c r="P189" s="141">
        <f t="array" ref="P189">IF(AND($K189&gt;=P$88,$K189&lt;=P$89),SUMPRODUCT(P$5:P$54,TRANSPOSE(Data_85_15!$B19:$AY19))%,"")</f>
        <v>4.2017173084825866E-2</v>
      </c>
      <c r="T189" s="140">
        <f t="shared" si="6"/>
        <v>1895</v>
      </c>
      <c r="U189" s="141">
        <f t="array" ref="U189">IF(AND($T189&gt;=U$88,$T189&lt;=U$89),SUMPRODUCT(U$5:U$81,TRANSPOSE(Data_All!$B32:$BZ32))%,"")</f>
        <v>3.6295118180052709E-3</v>
      </c>
      <c r="V189" s="141">
        <f t="array" ref="V189">IF(AND($T189&gt;=V$88,$T189&lt;=V$89),SUMPRODUCT(V$5:V$81,TRANSPOSE(Data_All!$B32:$BZ32))%,"")</f>
        <v>1.6710155500255841E-2</v>
      </c>
      <c r="W189" s="141">
        <f t="array" ref="W189">IF(AND($T189&gt;=W$88,$T189&lt;=W$89),SUMPRODUCT(W$5:W$81,TRANSPOSE(Data_All!$B32:$BZ32))%,"")</f>
        <v>2.3250477341381127E-2</v>
      </c>
      <c r="X189" s="141">
        <f t="array" ref="X189">IF(AND($T189&gt;=X$88,$T189&lt;=X$89),SUMPRODUCT(X$5:X$81,TRANSPOSE(Data_All!$B32:$BZ32))%,"")</f>
        <v>2.9790799182506413E-2</v>
      </c>
      <c r="Y189" s="141">
        <f t="array" ref="Y189">IF(AND($T189&gt;=Y$88,$T189&lt;=Y$89),SUMPRODUCT(Y$5:Y$81,TRANSPOSE(Data_All!$B32:$BZ32))%,"")</f>
        <v>3.6331121023631695E-2</v>
      </c>
    </row>
    <row r="190" spans="2:25">
      <c r="B190" s="140">
        <f t="shared" si="5"/>
        <v>1997</v>
      </c>
      <c r="C190" s="141">
        <f t="array" ref="C190">IF(AND($B190&gt;=C$88,$B190&lt;=C$89),SUMPRODUCT(C$5:C$41,TRANSPOSE(Data_72_15!$B33:$AL33))%,"")</f>
        <v>0.17086651965675514</v>
      </c>
      <c r="D190" s="141">
        <f t="array" ref="D190">IF(AND($B190&gt;=D$88,$B190&lt;=D$89),SUMPRODUCT(D$5:D$41,TRANSPOSE(Data_72_15!$B33:$AL33))%,"")</f>
        <v>0.15859972909276393</v>
      </c>
      <c r="E190" s="141">
        <f t="array" ref="E190">IF(AND($B190&gt;=E$88,$B190&lt;=E$89),SUMPRODUCT(E$5:E$41,TRANSPOSE(Data_72_15!$B33:$AL33))%,"")</f>
        <v>0.13723972909276391</v>
      </c>
      <c r="F190" s="141">
        <f t="array" ref="F190">IF(AND($B190&gt;=F$88,$B190&lt;=F$89),SUMPRODUCT(F$5:F$41,TRANSPOSE(Data_72_15!$B33:$AL33))%,"")</f>
        <v>0.14796973381161099</v>
      </c>
      <c r="G190" s="141">
        <f t="array" ref="G190">IF(AND($B190&gt;=G$88,$B190&lt;=G$89),SUMPRODUCT(G$5:G$41,TRANSPOSE(Data_72_15!$B33:$AL33))%,"")</f>
        <v>0.11512280315079039</v>
      </c>
      <c r="K190" s="140">
        <f t="shared" si="7"/>
        <v>1997</v>
      </c>
      <c r="L190" s="141">
        <f t="array" ref="L190">IF(AND($K190&gt;=L$88,$K190&lt;=L$89),SUMPRODUCT(L$5:L$54,TRANSPOSE(Data_85_15!$B20:$AY20))%,"")</f>
        <v>0.18374890024349713</v>
      </c>
      <c r="M190" s="141">
        <f t="array" ref="M190">IF(AND($K190&gt;=M$88,$K190&lt;=M$89),SUMPRODUCT(M$5:M$54,TRANSPOSE(Data_85_15!$B20:$AY20))%,"")</f>
        <v>7.0721563778737451E-2</v>
      </c>
      <c r="N190" s="141">
        <f t="array" ref="N190">IF(AND($K190&gt;=N$88,$K190&lt;=N$89),SUMPRODUCT(N$5:N$54,TRANSPOSE(Data_85_15!$B20:$AY20))%,"")</f>
        <v>0.13939577661414651</v>
      </c>
      <c r="O190" s="141">
        <f t="array" ref="O190">IF(AND($K190&gt;=O$88,$K190&lt;=O$89),SUMPRODUCT(O$5:O$54,TRANSPOSE(Data_85_15!$B20:$AY20))%,"")</f>
        <v>0.11618323176529881</v>
      </c>
      <c r="P190" s="141">
        <f t="array" ref="P190">IF(AND($K190&gt;=P$88,$K190&lt;=P$89),SUMPRODUCT(P$5:P$54,TRANSPOSE(Data_85_15!$B20:$AY20))%,"")</f>
        <v>5.6320150388196655E-2</v>
      </c>
      <c r="T190" s="140">
        <f t="shared" si="6"/>
        <v>1896</v>
      </c>
      <c r="U190" s="141">
        <f t="array" ref="U190">IF(AND($T190&gt;=U$88,$T190&lt;=U$89),SUMPRODUCT(U$5:U$81,TRANSPOSE(Data_All!$B33:$BZ33))%,"")</f>
        <v>6.6946820628506459E-2</v>
      </c>
      <c r="V190" s="141">
        <f t="array" ref="V190">IF(AND($T190&gt;=V$88,$T190&lt;=V$89),SUMPRODUCT(V$5:V$81,TRANSPOSE(Data_All!$B33:$BZ33))%,"")</f>
        <v>5.6517718983560172E-2</v>
      </c>
      <c r="W190" s="141">
        <f t="array" ref="W190">IF(AND($T190&gt;=W$88,$T190&lt;=W$89),SUMPRODUCT(W$5:W$81,TRANSPOSE(Data_All!$B33:$BZ33))%,"")</f>
        <v>5.1303168161087022E-2</v>
      </c>
      <c r="X190" s="141">
        <f t="array" ref="X190">IF(AND($T190&gt;=X$88,$T190&lt;=X$89),SUMPRODUCT(X$5:X$81,TRANSPOSE(Data_All!$B33:$BZ33))%,"")</f>
        <v>4.6088617338613871E-2</v>
      </c>
      <c r="Y190" s="141">
        <f t="array" ref="Y190">IF(AND($T190&gt;=Y$88,$T190&lt;=Y$89),SUMPRODUCT(Y$5:Y$81,TRANSPOSE(Data_All!$B33:$BZ33))%,"")</f>
        <v>4.0874066516140714E-2</v>
      </c>
    </row>
    <row r="191" spans="2:25">
      <c r="B191" s="140">
        <f t="shared" si="5"/>
        <v>1998</v>
      </c>
      <c r="C191" s="141">
        <f t="array" ref="C191">IF(AND($B191&gt;=C$88,$B191&lt;=C$89),SUMPRODUCT(C$5:C$41,TRANSPOSE(Data_72_15!$B34:$AL34))%,"")</f>
        <v>0.18026000000000003</v>
      </c>
      <c r="D191" s="141">
        <f t="array" ref="D191">IF(AND($B191&gt;=D$88,$B191&lt;=D$89),SUMPRODUCT(D$5:D$41,TRANSPOSE(Data_72_15!$B34:$AL34))%,"")</f>
        <v>9.7299621927863456E-2</v>
      </c>
      <c r="E191" s="141">
        <f t="array" ref="E191">IF(AND($B191&gt;=E$88,$B191&lt;=E$89),SUMPRODUCT(E$5:E$41,TRANSPOSE(Data_72_15!$B34:$AL34))%,"")</f>
        <v>6.3284621927863452E-2</v>
      </c>
      <c r="F191" s="141">
        <f t="array" ref="F191">IF(AND($B191&gt;=F$88,$B191&lt;=F$89),SUMPRODUCT(F$5:F$41,TRANSPOSE(Data_72_15!$B34:$AL34))%,"")</f>
        <v>2.753752469461369E-2</v>
      </c>
      <c r="G191" s="141">
        <f t="array" ref="G191">IF(AND($B191&gt;=G$88,$B191&lt;=G$89),SUMPRODUCT(G$5:G$41,TRANSPOSE(Data_72_15!$B34:$AL34))%,"")</f>
        <v>8.4418718949239371E-2</v>
      </c>
      <c r="K191" s="140">
        <f t="shared" si="7"/>
        <v>1998</v>
      </c>
      <c r="L191" s="141">
        <f t="array" ref="L191">IF(AND($K191&gt;=L$88,$K191&lt;=L$89),SUMPRODUCT(L$5:L$54,TRANSPOSE(Data_85_15!$B21:$AY21))%,"")</f>
        <v>9.2654765471200787E-2</v>
      </c>
      <c r="M191" s="141">
        <f t="array" ref="M191">IF(AND($K191&gt;=M$88,$K191&lt;=M$89),SUMPRODUCT(M$5:M$54,TRANSPOSE(Data_85_15!$B21:$AY21))%,"")</f>
        <v>0.10021968164557485</v>
      </c>
      <c r="N191" s="141">
        <f t="array" ref="N191">IF(AND($K191&gt;=N$88,$K191&lt;=N$89),SUMPRODUCT(N$5:N$54,TRANSPOSE(Data_85_15!$B21:$AY21))%,"")</f>
        <v>7.7485221739998014E-2</v>
      </c>
      <c r="O191" s="141">
        <f t="array" ref="O191">IF(AND($K191&gt;=O$88,$K191&lt;=O$89),SUMPRODUCT(O$5:O$54,TRANSPOSE(Data_85_15!$B21:$AY21))%,"")</f>
        <v>6.0461135677092416E-2</v>
      </c>
      <c r="P191" s="141">
        <f t="array" ref="P191">IF(AND($K191&gt;=P$88,$K191&lt;=P$89),SUMPRODUCT(P$5:P$54,TRANSPOSE(Data_85_15!$B21:$AY21))%,"")</f>
        <v>9.9339681645574857E-2</v>
      </c>
      <c r="T191" s="140">
        <f t="shared" si="6"/>
        <v>1897</v>
      </c>
      <c r="U191" s="141">
        <f t="array" ref="U191">IF(AND($T191&gt;=U$88,$T191&lt;=U$89),SUMPRODUCT(U$5:U$81,TRANSPOSE(Data_All!$B34:$BZ34))%,"")</f>
        <v>8.3056339739533983E-2</v>
      </c>
      <c r="V191" s="141">
        <f t="array" ref="V191">IF(AND($T191&gt;=V$88,$T191&lt;=V$89),SUMPRODUCT(V$5:V$81,TRANSPOSE(Data_All!$B34:$BZ34))%,"")</f>
        <v>0.11619799487150194</v>
      </c>
      <c r="W191" s="141">
        <f t="array" ref="W191">IF(AND($T191&gt;=W$88,$T191&lt;=W$89),SUMPRODUCT(W$5:W$81,TRANSPOSE(Data_All!$B34:$BZ34))%,"")</f>
        <v>0.13276882243748592</v>
      </c>
      <c r="X191" s="141">
        <f t="array" ref="X191">IF(AND($T191&gt;=X$88,$T191&lt;=X$89),SUMPRODUCT(X$5:X$81,TRANSPOSE(Data_All!$B34:$BZ34))%,"")</f>
        <v>0.14933965000346988</v>
      </c>
      <c r="Y191" s="141">
        <f t="array" ref="Y191">IF(AND($T191&gt;=Y$88,$T191&lt;=Y$89),SUMPRODUCT(Y$5:Y$81,TRANSPOSE(Data_All!$B34:$BZ34))%,"")</f>
        <v>0.1659104775694539</v>
      </c>
    </row>
    <row r="192" spans="2:25">
      <c r="B192" s="140">
        <f t="shared" si="5"/>
        <v>1999</v>
      </c>
      <c r="C192" s="141">
        <f t="array" ref="C192">IF(AND($B192&gt;=C$88,$B192&lt;=C$89),SUMPRODUCT(C$5:C$41,TRANSPOSE(Data_72_15!$B35:$AL35))%,"")</f>
        <v>0.20729</v>
      </c>
      <c r="D192" s="141">
        <f t="array" ref="D192">IF(AND($B192&gt;=D$88,$B192&lt;=D$89),SUMPRODUCT(D$5:D$41,TRANSPOSE(Data_72_15!$B35:$AL35))%,"")</f>
        <v>0.15293374613012911</v>
      </c>
      <c r="E192" s="141">
        <f t="array" ref="E192">IF(AND($B192&gt;=E$88,$B192&lt;=E$89),SUMPRODUCT(E$5:E$41,TRANSPOSE(Data_72_15!$B35:$AL35))%,"")</f>
        <v>0.18572374613012907</v>
      </c>
      <c r="F192" s="141">
        <f t="array" ref="F192">IF(AND($B192&gt;=F$88,$B192&lt;=F$89),SUMPRODUCT(F$5:F$41,TRANSPOSE(Data_72_15!$B35:$AL35))%,"")</f>
        <v>0.13870584469265684</v>
      </c>
      <c r="G192" s="141">
        <f t="array" ref="G192">IF(AND($B192&gt;=G$88,$B192&lt;=G$89),SUMPRODUCT(G$5:G$41,TRANSPOSE(Data_72_15!$B35:$AL35))%,"")</f>
        <v>0.18052316798453547</v>
      </c>
      <c r="K192" s="140">
        <f t="shared" si="7"/>
        <v>1999</v>
      </c>
      <c r="L192" s="141">
        <f t="array" ref="L192">IF(AND($K192&gt;=L$88,$K192&lt;=L$89),SUMPRODUCT(L$5:L$54,TRANSPOSE(Data_85_15!$B22:$AY22))%,"")</f>
        <v>0.16726127406459781</v>
      </c>
      <c r="M192" s="141">
        <f t="array" ref="M192">IF(AND($K192&gt;=M$88,$K192&lt;=M$89),SUMPRODUCT(M$5:M$54,TRANSPOSE(Data_85_15!$B22:$AY22))%,"")</f>
        <v>5.037371916088252E-2</v>
      </c>
      <c r="N192" s="141">
        <f t="array" ref="N192">IF(AND($K192&gt;=N$88,$K192&lt;=N$89),SUMPRODUCT(N$5:N$54,TRANSPOSE(Data_85_15!$B22:$AY22))%,"")</f>
        <v>0.17991892023346304</v>
      </c>
      <c r="O192" s="141">
        <f t="array" ref="O192">IF(AND($K192&gt;=O$88,$K192&lt;=O$89),SUMPRODUCT(O$5:O$54,TRANSPOSE(Data_85_15!$B22:$AY22))%,"")</f>
        <v>0.18983355266270813</v>
      </c>
      <c r="P192" s="141">
        <f t="array" ref="P192">IF(AND($K192&gt;=P$88,$K192&lt;=P$89),SUMPRODUCT(P$5:P$54,TRANSPOSE(Data_85_15!$B22:$AY22))%,"")</f>
        <v>5.0053719160882519E-2</v>
      </c>
      <c r="T192" s="140">
        <f t="shared" si="6"/>
        <v>1898</v>
      </c>
      <c r="U192" s="141">
        <f t="array" ref="U192">IF(AND($T192&gt;=U$88,$T192&lt;=U$89),SUMPRODUCT(U$5:U$81,TRANSPOSE(Data_All!$B35:$BZ35))%,"")</f>
        <v>0.11675885454300232</v>
      </c>
      <c r="V192" s="141">
        <f t="array" ref="V192">IF(AND($T192&gt;=V$88,$T192&lt;=V$89),SUMPRODUCT(V$5:V$81,TRANSPOSE(Data_All!$B35:$BZ35))%,"")</f>
        <v>0.16536639493118432</v>
      </c>
      <c r="W192" s="141">
        <f t="array" ref="W192">IF(AND($T192&gt;=W$88,$T192&lt;=W$89),SUMPRODUCT(W$5:W$81,TRANSPOSE(Data_All!$B35:$BZ35))%,"")</f>
        <v>0.18967016512527532</v>
      </c>
      <c r="X192" s="141">
        <f t="array" ref="X192">IF(AND($T192&gt;=X$88,$T192&lt;=X$89),SUMPRODUCT(X$5:X$81,TRANSPOSE(Data_All!$B35:$BZ35))%,"")</f>
        <v>0.21397393531936629</v>
      </c>
      <c r="Y192" s="141">
        <f t="array" ref="Y192">IF(AND($T192&gt;=Y$88,$T192&lt;=Y$89),SUMPRODUCT(Y$5:Y$81,TRANSPOSE(Data_All!$B35:$BZ35))%,"")</f>
        <v>0.23827770551345734</v>
      </c>
    </row>
    <row r="193" spans="2:25">
      <c r="B193" s="140">
        <f t="shared" si="5"/>
        <v>2000</v>
      </c>
      <c r="C193" s="141">
        <f t="array" ref="C193">IF(AND($B193&gt;=C$88,$B193&lt;=C$89),SUMPRODUCT(C$5:C$41,TRANSPOSE(Data_72_15!$B36:$AL36))%,"")</f>
        <v>-7.6899999999999996E-2</v>
      </c>
      <c r="D193" s="141">
        <f t="array" ref="D193">IF(AND($B193&gt;=D$88,$B193&lt;=D$89),SUMPRODUCT(D$5:D$41,TRANSPOSE(Data_72_15!$B36:$AL36))%,"")</f>
        <v>2.7247930362673589E-2</v>
      </c>
      <c r="E193" s="141">
        <f t="array" ref="E193">IF(AND($B193&gt;=E$88,$B193&lt;=E$89),SUMPRODUCT(E$5:E$41,TRANSPOSE(Data_72_15!$B36:$AL36))%,"")</f>
        <v>1.6002930362673595E-2</v>
      </c>
      <c r="F193" s="141">
        <f t="array" ref="F193">IF(AND($B193&gt;=F$88,$B193&lt;=F$89),SUMPRODUCT(F$5:F$41,TRANSPOSE(Data_72_15!$B36:$AL36))%,"")</f>
        <v>4.5943748725947052E-2</v>
      </c>
      <c r="G193" s="141">
        <f t="array" ref="G193">IF(AND($B193&gt;=G$88,$B193&lt;=G$89),SUMPRODUCT(G$5:G$41,TRANSPOSE(Data_72_15!$B36:$AL36))%,"")</f>
        <v>-2.3592502548105916E-2</v>
      </c>
      <c r="K193" s="140">
        <f t="shared" si="7"/>
        <v>2000</v>
      </c>
      <c r="L193" s="141">
        <f t="array" ref="L193">IF(AND($K193&gt;=L$88,$K193&lt;=L$89),SUMPRODUCT(L$5:L$54,TRANSPOSE(Data_85_15!$B23:$AY23))%,"")</f>
        <v>2.4528603909084928E-2</v>
      </c>
      <c r="M193" s="141">
        <f t="array" ref="M193">IF(AND($K193&gt;=M$88,$K193&lt;=M$89),SUMPRODUCT(M$5:M$54,TRANSPOSE(Data_85_15!$B23:$AY23))%,"")</f>
        <v>2.2824245224099284E-2</v>
      </c>
      <c r="N193" s="141">
        <f t="array" ref="N193">IF(AND($K193&gt;=N$88,$K193&lt;=N$89),SUMPRODUCT(N$5:N$54,TRANSPOSE(Data_85_15!$B23:$AY23))%,"")</f>
        <v>2.8000000000000469E-4</v>
      </c>
      <c r="O193" s="141">
        <f t="array" ref="O193">IF(AND($K193&gt;=O$88,$K193&lt;=O$89),SUMPRODUCT(O$5:O$54,TRANSPOSE(Data_85_15!$B23:$AY23))%,"")</f>
        <v>1.0487275449101875E-3</v>
      </c>
      <c r="P193" s="141">
        <f t="array" ref="P193">IF(AND($K193&gt;=P$88,$K193&lt;=P$89),SUMPRODUCT(P$5:P$54,TRANSPOSE(Data_85_15!$B23:$AY23))%,"")</f>
        <v>2.4091745224099279E-2</v>
      </c>
      <c r="T193" s="140">
        <f t="shared" si="6"/>
        <v>1899</v>
      </c>
      <c r="U193" s="141">
        <f t="array" ref="U193">IF(AND($T193&gt;=U$88,$T193&lt;=U$89),SUMPRODUCT(U$5:U$81,TRANSPOSE(Data_All!$B36:$BZ36))%,"")</f>
        <v>1.5711030059456288E-2</v>
      </c>
      <c r="V193" s="141">
        <f t="array" ref="V193">IF(AND($T193&gt;=V$88,$T193&lt;=V$89),SUMPRODUCT(V$5:V$81,TRANSPOSE(Data_All!$B36:$BZ36))%,"")</f>
        <v>2.2030435004874782E-2</v>
      </c>
      <c r="W193" s="141">
        <f t="array" ref="W193">IF(AND($T193&gt;=W$88,$T193&lt;=W$89),SUMPRODUCT(W$5:W$81,TRANSPOSE(Data_All!$B36:$BZ36))%,"")</f>
        <v>2.5190137477584029E-2</v>
      </c>
      <c r="X193" s="141">
        <f t="array" ref="X193">IF(AND($T193&gt;=X$88,$T193&lt;=X$89),SUMPRODUCT(X$5:X$81,TRANSPOSE(Data_All!$B36:$BZ36))%,"")</f>
        <v>2.8349839950293276E-2</v>
      </c>
      <c r="Y193" s="141">
        <f t="array" ref="Y193">IF(AND($T193&gt;=Y$88,$T193&lt;=Y$89),SUMPRODUCT(Y$5:Y$81,TRANSPOSE(Data_All!$B36:$BZ36))%,"")</f>
        <v>3.1509542423002523E-2</v>
      </c>
    </row>
    <row r="194" spans="2:25">
      <c r="B194" s="140">
        <f t="shared" si="5"/>
        <v>2001</v>
      </c>
      <c r="C194" s="141">
        <f t="array" ref="C194">IF(AND($B194&gt;=C$88,$B194&lt;=C$89),SUMPRODUCT(C$5:C$41,TRANSPOSE(Data_72_15!$B37:$AL37))%,"")</f>
        <v>-9.844E-2</v>
      </c>
      <c r="D194" s="141">
        <f t="array" ref="D194">IF(AND($B194&gt;=D$88,$B194&lt;=D$89),SUMPRODUCT(D$5:D$41,TRANSPOSE(Data_72_15!$B37:$AL37))%,"")</f>
        <v>-3.2655190828254584E-2</v>
      </c>
      <c r="E194" s="141">
        <f t="array" ref="E194">IF(AND($B194&gt;=E$88,$B194&lt;=E$89),SUMPRODUCT(E$5:E$41,TRANSPOSE(Data_72_15!$B37:$AL37))%,"")</f>
        <v>-1.1000190828254581E-2</v>
      </c>
      <c r="F194" s="141">
        <f t="array" ref="F194">IF(AND($B194&gt;=F$88,$B194&lt;=F$89),SUMPRODUCT(F$5:F$41,TRANSPOSE(Data_72_15!$B37:$AL37))%,"")</f>
        <v>1.5005018752583749E-2</v>
      </c>
      <c r="G194" s="141">
        <f t="array" ref="G194">IF(AND($B194&gt;=G$88,$B194&lt;=G$89),SUMPRODUCT(G$5:G$41,TRANSPOSE(Data_72_15!$B37:$AL37))%,"")</f>
        <v>-2.3489962494832515E-2</v>
      </c>
      <c r="K194" s="140">
        <f t="shared" si="7"/>
        <v>2001</v>
      </c>
      <c r="L194" s="141">
        <f t="array" ref="L194">IF(AND($K194&gt;=L$88,$K194&lt;=L$89),SUMPRODUCT(L$5:L$54,TRANSPOSE(Data_85_15!$B24:$AY24))%,"")</f>
        <v>-5.3382248985142447E-2</v>
      </c>
      <c r="M194" s="141">
        <f t="array" ref="M194">IF(AND($K194&gt;=M$88,$K194&lt;=M$89),SUMPRODUCT(M$5:M$54,TRANSPOSE(Data_85_15!$B24:$AY24))%,"")</f>
        <v>-5.5842636558883704E-3</v>
      </c>
      <c r="N194" s="141">
        <f t="array" ref="N194">IF(AND($K194&gt;=N$88,$K194&lt;=N$89),SUMPRODUCT(N$5:N$54,TRANSPOSE(Data_85_15!$B24:$AY24))%,"")</f>
        <v>-4.4319999999999998E-2</v>
      </c>
      <c r="O194" s="141">
        <f t="array" ref="O194">IF(AND($K194&gt;=O$88,$K194&lt;=O$89),SUMPRODUCT(O$5:O$54,TRANSPOSE(Data_85_15!$B24:$AY24))%,"")</f>
        <v>-1.4739685628742512E-2</v>
      </c>
      <c r="P194" s="141">
        <f t="array" ref="P194">IF(AND($K194&gt;=P$88,$K194&lt;=P$89),SUMPRODUCT(P$5:P$54,TRANSPOSE(Data_85_15!$B24:$AY24))%,"")</f>
        <v>-5.411763655888374E-3</v>
      </c>
      <c r="T194" s="140">
        <f t="shared" si="6"/>
        <v>1900</v>
      </c>
      <c r="U194" s="141">
        <f t="array" ref="U194">IF(AND($T194&gt;=U$88,$T194&lt;=U$89),SUMPRODUCT(U$5:U$81,TRANSPOSE(Data_All!$B37:$BZ37))%,"")</f>
        <v>8.8856886723710546E-2</v>
      </c>
      <c r="V194" s="141">
        <f t="array" ref="V194">IF(AND($T194&gt;=V$88,$T194&lt;=V$89),SUMPRODUCT(V$5:V$81,TRANSPOSE(Data_All!$B37:$BZ37))%,"")</f>
        <v>0.12295398232021482</v>
      </c>
      <c r="W194" s="141">
        <f t="array" ref="W194">IF(AND($T194&gt;=W$88,$T194&lt;=W$89),SUMPRODUCT(W$5:W$81,TRANSPOSE(Data_All!$B37:$BZ37))%,"")</f>
        <v>0.14000253011846694</v>
      </c>
      <c r="X194" s="141">
        <f t="array" ref="X194">IF(AND($T194&gt;=X$88,$T194&lt;=X$89),SUMPRODUCT(X$5:X$81,TRANSPOSE(Data_All!$B37:$BZ37))%,"")</f>
        <v>0.15705107791671907</v>
      </c>
      <c r="Y194" s="141">
        <f t="array" ref="Y194">IF(AND($T194&gt;=Y$88,$T194&lt;=Y$89),SUMPRODUCT(Y$5:Y$81,TRANSPOSE(Data_All!$B37:$BZ37))%,"")</f>
        <v>0.17409962571497123</v>
      </c>
    </row>
    <row r="195" spans="2:25">
      <c r="B195" s="140">
        <f t="shared" si="5"/>
        <v>2002</v>
      </c>
      <c r="C195" s="141">
        <f t="array" ref="C195">IF(AND($B195&gt;=C$88,$B195&lt;=C$89),SUMPRODUCT(C$5:C$41,TRANSPOSE(Data_72_15!$B38:$AL38))%,"")</f>
        <v>-0.13352</v>
      </c>
      <c r="D195" s="141">
        <f t="array" ref="D195">IF(AND($B195&gt;=D$88,$B195&lt;=D$89),SUMPRODUCT(D$5:D$41,TRANSPOSE(Data_72_15!$B38:$AL38))%,"")</f>
        <v>-0.10655499999999998</v>
      </c>
      <c r="E195" s="141">
        <f t="array" ref="E195">IF(AND($B195&gt;=E$88,$B195&lt;=E$89),SUMPRODUCT(E$5:E$41,TRANSPOSE(Data_72_15!$B38:$AL38))%,"")</f>
        <v>-0.11191999999999998</v>
      </c>
      <c r="F195" s="141">
        <f t="array" ref="F195">IF(AND($B195&gt;=F$88,$B195&lt;=F$89),SUMPRODUCT(F$5:F$41,TRANSPOSE(Data_72_15!$B38:$AL38))%,"")</f>
        <v>-5.6920000000000012E-2</v>
      </c>
      <c r="G195" s="141">
        <f t="array" ref="G195">IF(AND($B195&gt;=G$88,$B195&lt;=G$89),SUMPRODUCT(G$5:G$41,TRANSPOSE(Data_72_15!$B38:$AL38))%,"")</f>
        <v>-4.5050000000000007E-2</v>
      </c>
      <c r="K195" s="140">
        <f t="shared" si="7"/>
        <v>2002</v>
      </c>
      <c r="L195" s="141">
        <f t="array" ref="L195">IF(AND($K195&gt;=L$88,$K195&lt;=L$89),SUMPRODUCT(L$5:L$54,TRANSPOSE(Data_85_15!$B25:$AY25))%,"")</f>
        <v>1.325953871036579E-2</v>
      </c>
      <c r="M195" s="141">
        <f t="array" ref="M195">IF(AND($K195&gt;=M$88,$K195&lt;=M$89),SUMPRODUCT(M$5:M$54,TRANSPOSE(Data_85_15!$B25:$AY25))%,"")</f>
        <v>5.5440906113576389E-2</v>
      </c>
      <c r="N195" s="141">
        <f t="array" ref="N195">IF(AND($K195&gt;=N$88,$K195&lt;=N$89),SUMPRODUCT(N$5:N$54,TRANSPOSE(Data_85_15!$B25:$AY25))%,"")</f>
        <v>-9.568249999999999E-2</v>
      </c>
      <c r="O195" s="141">
        <f t="array" ref="O195">IF(AND($K195&gt;=O$88,$K195&lt;=O$89),SUMPRODUCT(O$5:O$54,TRANSPOSE(Data_85_15!$B25:$AY25))%,"")</f>
        <v>-5.0225000000000006E-2</v>
      </c>
      <c r="P195" s="141">
        <f t="array" ref="P195">IF(AND($K195&gt;=P$88,$K195&lt;=P$89),SUMPRODUCT(P$5:P$54,TRANSPOSE(Data_85_15!$B25:$AY25))%,"")</f>
        <v>6.65184061135764E-2</v>
      </c>
      <c r="T195" s="140">
        <f t="shared" si="6"/>
        <v>1901</v>
      </c>
      <c r="U195" s="141">
        <f t="array" ref="U195">IF(AND($T195&gt;=U$88,$T195&lt;=U$89),SUMPRODUCT(U$5:U$81,TRANSPOSE(Data_All!$B38:$BZ38))%,"")</f>
        <v>7.2143425009222023E-2</v>
      </c>
      <c r="V195" s="141">
        <f t="array" ref="V195">IF(AND($T195&gt;=V$88,$T195&lt;=V$89),SUMPRODUCT(V$5:V$81,TRANSPOSE(Data_All!$B38:$BZ38))%,"")</f>
        <v>0.10689573800921393</v>
      </c>
      <c r="W195" s="141">
        <f t="array" ref="W195">IF(AND($T195&gt;=W$88,$T195&lt;=W$89),SUMPRODUCT(W$5:W$81,TRANSPOSE(Data_All!$B38:$BZ38))%,"")</f>
        <v>0.12427189450920988</v>
      </c>
      <c r="X195" s="141">
        <f t="array" ref="X195">IF(AND($T195&gt;=X$88,$T195&lt;=X$89),SUMPRODUCT(X$5:X$81,TRANSPOSE(Data_All!$B38:$BZ38))%,"")</f>
        <v>0.14164805100920583</v>
      </c>
      <c r="Y195" s="141">
        <f t="array" ref="Y195">IF(AND($T195&gt;=Y$88,$T195&lt;=Y$89),SUMPRODUCT(Y$5:Y$81,TRANSPOSE(Data_All!$B38:$BZ38))%,"")</f>
        <v>0.15902420750920179</v>
      </c>
    </row>
    <row r="196" spans="2:25">
      <c r="B196" s="140">
        <f t="shared" si="5"/>
        <v>2003</v>
      </c>
      <c r="C196" s="141">
        <f t="array" ref="C196">IF(AND($B196&gt;=C$88,$B196&lt;=C$89),SUMPRODUCT(C$5:C$41,TRANSPOSE(Data_72_15!$B39:$AL39))%,"")</f>
        <v>0.28571000000000002</v>
      </c>
      <c r="D196" s="141">
        <f t="array" ref="D196">IF(AND($B196&gt;=D$88,$B196&lt;=D$89),SUMPRODUCT(D$5:D$41,TRANSPOSE(Data_72_15!$B39:$AL39))%,"")</f>
        <v>0.29161500000000001</v>
      </c>
      <c r="E196" s="141">
        <f t="array" ref="E196">IF(AND($B196&gt;=E$88,$B196&lt;=E$89),SUMPRODUCT(E$5:E$41,TRANSPOSE(Data_72_15!$B39:$AL39))%,"")</f>
        <v>0.33148000000000005</v>
      </c>
      <c r="F196" s="141">
        <f t="array" ref="F196">IF(AND($B196&gt;=F$88,$B196&lt;=F$89),SUMPRODUCT(F$5:F$41,TRANSPOSE(Data_72_15!$B39:$AL39))%,"")</f>
        <v>0.28271000000000002</v>
      </c>
      <c r="G196" s="141">
        <f t="array" ref="G196">IF(AND($B196&gt;=G$88,$B196&lt;=G$89),SUMPRODUCT(G$5:G$41,TRANSPOSE(Data_72_15!$B39:$AL39))%,"")</f>
        <v>0.25882000000000005</v>
      </c>
      <c r="K196" s="140">
        <f t="shared" si="7"/>
        <v>2003</v>
      </c>
      <c r="L196" s="141">
        <f t="array" ref="L196">IF(AND($K196&gt;=L$88,$K196&lt;=L$89),SUMPRODUCT(L$5:L$54,TRANSPOSE(Data_85_15!$B26:$AY26))%,"")</f>
        <v>0.22681999999999999</v>
      </c>
      <c r="M196" s="141">
        <f t="array" ref="M196">IF(AND($K196&gt;=M$88,$K196&lt;=M$89),SUMPRODUCT(M$5:M$54,TRANSPOSE(Data_85_15!$B26:$AY26))%,"")</f>
        <v>0.13493290432739091</v>
      </c>
      <c r="N196" s="141">
        <f t="array" ref="N196">IF(AND($K196&gt;=N$88,$K196&lt;=N$89),SUMPRODUCT(N$5:N$54,TRANSPOSE(Data_85_15!$B26:$AY26))%,"")</f>
        <v>0.31290250000000003</v>
      </c>
      <c r="O196" s="141">
        <f t="array" ref="O196">IF(AND($K196&gt;=O$88,$K196&lt;=O$89),SUMPRODUCT(O$5:O$54,TRANSPOSE(Data_85_15!$B26:$AY26))%,"")</f>
        <v>0.3141775</v>
      </c>
      <c r="P196" s="141">
        <f t="array" ref="P196">IF(AND($K196&gt;=P$88,$K196&lt;=P$89),SUMPRODUCT(P$5:P$54,TRANSPOSE(Data_85_15!$B26:$AY26))%,"")</f>
        <v>0.14137790432739092</v>
      </c>
      <c r="T196" s="140">
        <f t="shared" si="6"/>
        <v>1902</v>
      </c>
      <c r="U196" s="141">
        <f t="array" ref="U196">IF(AND($T196&gt;=U$88,$T196&lt;=U$89),SUMPRODUCT(U$5:U$81,TRANSPOSE(Data_All!$B39:$BZ39))%,"")</f>
        <v>3.3917478178751834E-2</v>
      </c>
      <c r="V196" s="141">
        <f t="array" ref="V196">IF(AND($T196&gt;=V$88,$T196&lt;=V$89),SUMPRODUCT(V$5:V$81,TRANSPOSE(Data_All!$B39:$BZ39))%,"")</f>
        <v>4.7801717347947352E-2</v>
      </c>
      <c r="W196" s="141">
        <f t="array" ref="W196">IF(AND($T196&gt;=W$88,$T196&lt;=W$89),SUMPRODUCT(W$5:W$81,TRANSPOSE(Data_All!$B39:$BZ39))%,"")</f>
        <v>5.4743836932545115E-2</v>
      </c>
      <c r="X196" s="141">
        <f t="array" ref="X196">IF(AND($T196&gt;=X$88,$T196&lt;=X$89),SUMPRODUCT(X$5:X$81,TRANSPOSE(Data_All!$B39:$BZ39))%,"")</f>
        <v>6.168595651714287E-2</v>
      </c>
      <c r="Y196" s="141">
        <f t="array" ref="Y196">IF(AND($T196&gt;=Y$88,$T196&lt;=Y$89),SUMPRODUCT(Y$5:Y$81,TRANSPOSE(Data_All!$B39:$BZ39))%,"")</f>
        <v>6.862807610174064E-2</v>
      </c>
    </row>
    <row r="197" spans="2:25">
      <c r="B197" s="140">
        <f t="shared" si="5"/>
        <v>2004</v>
      </c>
      <c r="C197" s="141">
        <f t="array" ref="C197">IF(AND($B197&gt;=C$88,$B197&lt;=C$89),SUMPRODUCT(C$5:C$41,TRANSPOSE(Data_72_15!$B40:$AL40))%,"")</f>
        <v>0.13360000000000002</v>
      </c>
      <c r="D197" s="141">
        <f t="array" ref="D197">IF(AND($B197&gt;=D$88,$B197&lt;=D$89),SUMPRODUCT(D$5:D$41,TRANSPOSE(Data_72_15!$B40:$AL40))%,"")</f>
        <v>0.151365</v>
      </c>
      <c r="E197" s="141">
        <f t="array" ref="E197">IF(AND($B197&gt;=E$88,$B197&lt;=E$89),SUMPRODUCT(E$5:E$41,TRANSPOSE(Data_72_15!$B40:$AL40))%,"")</f>
        <v>0.16432000000000002</v>
      </c>
      <c r="F197" s="141">
        <f t="array" ref="F197">IF(AND($B197&gt;=F$88,$B197&lt;=F$89),SUMPRODUCT(F$5:F$41,TRANSPOSE(Data_72_15!$B40:$AL40))%,"")</f>
        <v>0.16236999999999999</v>
      </c>
      <c r="G197" s="141">
        <f t="array" ref="G197">IF(AND($B197&gt;=G$88,$B197&lt;=G$89),SUMPRODUCT(G$5:G$41,TRANSPOSE(Data_72_15!$B40:$AL40))%,"")</f>
        <v>0.14022999999999999</v>
      </c>
      <c r="K197" s="140">
        <f t="shared" si="7"/>
        <v>2004</v>
      </c>
      <c r="L197" s="141">
        <f t="array" ref="L197">IF(AND($K197&gt;=L$88,$K197&lt;=L$89),SUMPRODUCT(L$5:L$54,TRANSPOSE(Data_85_15!$B27:$AY27))%,"")</f>
        <v>0.11550999999999999</v>
      </c>
      <c r="M197" s="141">
        <f t="array" ref="M197">IF(AND($K197&gt;=M$88,$K197&lt;=M$89),SUMPRODUCT(M$5:M$54,TRANSPOSE(Data_85_15!$B27:$AY27))%,"")</f>
        <v>6.2806828315875585E-2</v>
      </c>
      <c r="N197" s="141">
        <f t="array" ref="N197">IF(AND($K197&gt;=N$88,$K197&lt;=N$89),SUMPRODUCT(N$5:N$54,TRANSPOSE(Data_85_15!$B27:$AY27))%,"")</f>
        <v>0.16686500000000001</v>
      </c>
      <c r="O197" s="141">
        <f t="array" ref="O197">IF(AND($K197&gt;=O$88,$K197&lt;=O$89),SUMPRODUCT(O$5:O$54,TRANSPOSE(Data_85_15!$B27:$AY27))%,"")</f>
        <v>0.1611475</v>
      </c>
      <c r="P197" s="141">
        <f t="array" ref="P197">IF(AND($K197&gt;=P$88,$K197&lt;=P$89),SUMPRODUCT(P$5:P$54,TRANSPOSE(Data_85_15!$B27:$AY27))%,"")</f>
        <v>6.7004328315875591E-2</v>
      </c>
      <c r="T197" s="140">
        <f t="shared" si="6"/>
        <v>1903</v>
      </c>
      <c r="U197" s="141">
        <f t="array" ref="U197">IF(AND($T197&gt;=U$88,$T197&lt;=U$89),SUMPRODUCT(U$5:U$81,TRANSPOSE(Data_All!$B40:$BZ40))%,"")</f>
        <v>-1.6048986097495097E-2</v>
      </c>
      <c r="V197" s="141">
        <f t="array" ref="V197">IF(AND($T197&gt;=V$88,$T197&lt;=V$89),SUMPRODUCT(V$5:V$81,TRANSPOSE(Data_All!$B40:$BZ40))%,"")</f>
        <v>-5.975805660121658E-2</v>
      </c>
      <c r="W197" s="141">
        <f t="array" ref="W197">IF(AND($T197&gt;=W$88,$T197&lt;=W$89),SUMPRODUCT(W$5:W$81,TRANSPOSE(Data_All!$B40:$BZ40))%,"")</f>
        <v>-8.1612591853077315E-2</v>
      </c>
      <c r="X197" s="141">
        <f t="array" ref="X197">IF(AND($T197&gt;=X$88,$T197&lt;=X$89),SUMPRODUCT(X$5:X$81,TRANSPOSE(Data_All!$B40:$BZ40))%,"")</f>
        <v>-0.10346712710493805</v>
      </c>
      <c r="Y197" s="141">
        <f t="array" ref="Y197">IF(AND($T197&gt;=Y$88,$T197&lt;=Y$89),SUMPRODUCT(Y$5:Y$81,TRANSPOSE(Data_All!$B40:$BZ40))%,"")</f>
        <v>-0.12532166235679881</v>
      </c>
    </row>
    <row r="198" spans="2:25">
      <c r="B198" s="140">
        <f t="shared" si="5"/>
        <v>2005</v>
      </c>
      <c r="C198" s="141">
        <f t="array" ref="C198">IF(AND($B198&gt;=C$88,$B198&lt;=C$89),SUMPRODUCT(C$5:C$41,TRANSPOSE(Data_72_15!$B41:$AL41))%,"")</f>
        <v>8.1409999999999996E-2</v>
      </c>
      <c r="D198" s="141">
        <f t="array" ref="D198">IF(AND($B198&gt;=D$88,$B198&lt;=D$89),SUMPRODUCT(D$5:D$41,TRANSPOSE(Data_72_15!$B41:$AL41))%,"")</f>
        <v>9.406500000000001E-2</v>
      </c>
      <c r="E198" s="141">
        <f t="array" ref="E198">IF(AND($B198&gt;=E$88,$B198&lt;=E$89),SUMPRODUCT(E$5:E$41,TRANSPOSE(Data_72_15!$B41:$AL41))%,"")</f>
        <v>0.10674000000000002</v>
      </c>
      <c r="F198" s="141">
        <f t="array" ref="F198">IF(AND($B198&gt;=F$88,$B198&lt;=F$89),SUMPRODUCT(F$5:F$41,TRANSPOSE(Data_72_15!$B41:$AL41))%,"")</f>
        <v>8.8880000000000001E-2</v>
      </c>
      <c r="G198" s="141">
        <f t="array" ref="G198">IF(AND($B198&gt;=G$88,$B198&lt;=G$89),SUMPRODUCT(G$5:G$41,TRANSPOSE(Data_72_15!$B41:$AL41))%,"")</f>
        <v>8.7260000000000032E-2</v>
      </c>
      <c r="K198" s="140">
        <f t="shared" si="7"/>
        <v>2005</v>
      </c>
      <c r="L198" s="141">
        <f t="array" ref="L198">IF(AND($K198&gt;=L$88,$K198&lt;=L$89),SUMPRODUCT(L$5:L$54,TRANSPOSE(Data_85_15!$B28:$AY28))%,"")</f>
        <v>7.1724999999999997E-2</v>
      </c>
      <c r="M198" s="141">
        <f t="array" ref="M198">IF(AND($K198&gt;=M$88,$K198&lt;=M$89),SUMPRODUCT(M$5:M$54,TRANSPOSE(Data_85_15!$B28:$AY28))%,"")</f>
        <v>8.3499999999999991E-2</v>
      </c>
      <c r="N198" s="141">
        <f t="array" ref="N198">IF(AND($K198&gt;=N$88,$K198&lt;=N$89),SUMPRODUCT(N$5:N$54,TRANSPOSE(Data_85_15!$B28:$AY28))%,"")</f>
        <v>0.104405</v>
      </c>
      <c r="O198" s="141">
        <f t="array" ref="O198">IF(AND($K198&gt;=O$88,$K198&lt;=O$89),SUMPRODUCT(O$5:O$54,TRANSPOSE(Data_85_15!$B28:$AY28))%,"")</f>
        <v>0.10034749999999999</v>
      </c>
      <c r="P198" s="141">
        <f t="array" ref="P198">IF(AND($K198&gt;=P$88,$K198&lt;=P$89),SUMPRODUCT(P$5:P$54,TRANSPOSE(Data_85_15!$B28:$AY28))%,"")</f>
        <v>8.7044999999999997E-2</v>
      </c>
      <c r="T198" s="140">
        <f t="shared" si="6"/>
        <v>1904</v>
      </c>
      <c r="U198" s="141">
        <f t="array" ref="U198">IF(AND($T198&gt;=U$88,$T198&lt;=U$89),SUMPRODUCT(U$5:U$81,TRANSPOSE(Data_All!$B41:$BZ41))%,"")</f>
        <v>0.11633660142835399</v>
      </c>
      <c r="V198" s="141">
        <f t="array" ref="V198">IF(AND($T198&gt;=V$88,$T198&lt;=V$89),SUMPRODUCT(V$5:V$81,TRANSPOSE(Data_All!$B41:$BZ41))%,"")</f>
        <v>0.17120706774394834</v>
      </c>
      <c r="W198" s="141">
        <f t="array" ref="W198">IF(AND($T198&gt;=W$88,$T198&lt;=W$89),SUMPRODUCT(W$5:W$81,TRANSPOSE(Data_All!$B41:$BZ41))%,"")</f>
        <v>0.19864230090174551</v>
      </c>
      <c r="X198" s="141">
        <f t="array" ref="X198">IF(AND($T198&gt;=X$88,$T198&lt;=X$89),SUMPRODUCT(X$5:X$81,TRANSPOSE(Data_All!$B41:$BZ41))%,"")</f>
        <v>0.22607753405954267</v>
      </c>
      <c r="Y198" s="141">
        <f t="array" ref="Y198">IF(AND($T198&gt;=Y$88,$T198&lt;=Y$89),SUMPRODUCT(Y$5:Y$81,TRANSPOSE(Data_All!$B41:$BZ41))%,"")</f>
        <v>0.2535127672173399</v>
      </c>
    </row>
    <row r="199" spans="2:25">
      <c r="B199" s="140">
        <f t="shared" si="5"/>
        <v>2006</v>
      </c>
      <c r="C199" s="141">
        <f t="array" ref="C199">IF(AND($B199&gt;=C$88,$B199&lt;=C$89),SUMPRODUCT(C$5:C$41,TRANSPOSE(Data_72_15!$B42:$AL42))%,"")</f>
        <v>0.16600999999999999</v>
      </c>
      <c r="D199" s="141">
        <f t="array" ref="D199">IF(AND($B199&gt;=D$88,$B199&lt;=D$89),SUMPRODUCT(D$5:D$41,TRANSPOSE(Data_72_15!$B42:$AL42))%,"")</f>
        <v>0.16854500000000003</v>
      </c>
      <c r="E199" s="141">
        <f t="array" ref="E199">IF(AND($B199&gt;=E$88,$B199&lt;=E$89),SUMPRODUCT(E$5:E$41,TRANSPOSE(Data_72_15!$B42:$AL42))%,"")</f>
        <v>0.17491000000000001</v>
      </c>
      <c r="F199" s="141">
        <f t="array" ref="F199">IF(AND($B199&gt;=F$88,$B199&lt;=F$89),SUMPRODUCT(F$5:F$41,TRANSPOSE(Data_72_15!$B42:$AL42))%,"")</f>
        <v>0.17484000000000002</v>
      </c>
      <c r="G199" s="141">
        <f t="array" ref="G199">IF(AND($B199&gt;=G$88,$B199&lt;=G$89),SUMPRODUCT(G$5:G$41,TRANSPOSE(Data_72_15!$B42:$AL42))%,"")</f>
        <v>0.14158999999999999</v>
      </c>
      <c r="K199" s="140">
        <f t="shared" si="7"/>
        <v>2006</v>
      </c>
      <c r="L199" s="141">
        <f t="array" ref="L199">IF(AND($K199&gt;=L$88,$K199&lt;=L$89),SUMPRODUCT(L$5:L$54,TRANSPOSE(Data_85_15!$B29:$AY29))%,"")</f>
        <v>7.5149999999999995E-2</v>
      </c>
      <c r="M199" s="141">
        <f t="array" ref="M199">IF(AND($K199&gt;=M$88,$K199&lt;=M$89),SUMPRODUCT(M$5:M$54,TRANSPOSE(Data_85_15!$B29:$AY29))%,"")</f>
        <v>0.10992499999999999</v>
      </c>
      <c r="N199" s="141">
        <f t="array" ref="N199">IF(AND($K199&gt;=N$88,$K199&lt;=N$89),SUMPRODUCT(N$5:N$54,TRANSPOSE(Data_85_15!$B29:$AY29))%,"")</f>
        <v>0.19416749999999997</v>
      </c>
      <c r="O199" s="141">
        <f t="array" ref="O199">IF(AND($K199&gt;=O$88,$K199&lt;=O$89),SUMPRODUCT(O$5:O$54,TRANSPOSE(Data_85_15!$B29:$AY29))%,"")</f>
        <v>0.15943750000000001</v>
      </c>
      <c r="P199" s="141">
        <f t="array" ref="P199">IF(AND($K199&gt;=P$88,$K199&lt;=P$89),SUMPRODUCT(P$5:P$54,TRANSPOSE(Data_85_15!$B29:$AY29))%,"")</f>
        <v>0.11451499999999999</v>
      </c>
      <c r="T199" s="140">
        <f t="shared" si="6"/>
        <v>1905</v>
      </c>
      <c r="U199" s="141">
        <f t="array" ref="U199">IF(AND($T199&gt;=U$88,$T199&lt;=U$89),SUMPRODUCT(U$5:U$81,TRANSPOSE(Data_All!$B42:$BZ42))%,"")</f>
        <v>7.1497704429302686E-2</v>
      </c>
      <c r="V199" s="141">
        <f t="array" ref="V199">IF(AND($T199&gt;=V$88,$T199&lt;=V$89),SUMPRODUCT(V$5:V$81,TRANSPOSE(Data_All!$B42:$BZ42))%,"")</f>
        <v>0.11105962110989843</v>
      </c>
      <c r="W199" s="141">
        <f t="array" ref="W199">IF(AND($T199&gt;=W$88,$T199&lt;=W$89),SUMPRODUCT(W$5:W$81,TRANSPOSE(Data_All!$B42:$BZ42))%,"")</f>
        <v>0.13084057945019631</v>
      </c>
      <c r="X199" s="141">
        <f t="array" ref="X199">IF(AND($T199&gt;=X$88,$T199&lt;=X$89),SUMPRODUCT(X$5:X$81,TRANSPOSE(Data_All!$B42:$BZ42))%,"")</f>
        <v>0.15062153779049414</v>
      </c>
      <c r="Y199" s="141">
        <f t="array" ref="Y199">IF(AND($T199&gt;=Y$88,$T199&lt;=Y$89),SUMPRODUCT(Y$5:Y$81,TRANSPOSE(Data_All!$B42:$BZ42))%,"")</f>
        <v>0.17040249613079206</v>
      </c>
    </row>
    <row r="200" spans="2:25">
      <c r="B200" s="140">
        <f t="shared" ref="B200:B209" si="8">B199+1</f>
        <v>2007</v>
      </c>
      <c r="C200" s="141">
        <f t="array" ref="C200">IF(AND($B200&gt;=C$88,$B200&lt;=C$89),SUMPRODUCT(C$5:C$41,TRANSPOSE(Data_72_15!$B43:$AL43))%,"")</f>
        <v>8.7849999999999998E-2</v>
      </c>
      <c r="D200" s="141">
        <f t="array" ref="D200">IF(AND($B200&gt;=D$88,$B200&lt;=D$89),SUMPRODUCT(D$5:D$41,TRANSPOSE(Data_72_15!$B43:$AL43))%,"")</f>
        <v>6.4579999999999999E-2</v>
      </c>
      <c r="E200" s="141">
        <f t="array" ref="E200">IF(AND($B200&gt;=E$88,$B200&lt;=E$89),SUMPRODUCT(E$5:E$41,TRANSPOSE(Data_72_15!$B43:$AL43))%,"")</f>
        <v>7.8850000000000003E-2</v>
      </c>
      <c r="F200" s="141">
        <f t="array" ref="F200">IF(AND($B200&gt;=F$88,$B200&lt;=F$89),SUMPRODUCT(F$5:F$41,TRANSPOSE(Data_72_15!$B43:$AL43))%,"")</f>
        <v>5.2400000000000002E-2</v>
      </c>
      <c r="G200" s="141">
        <f t="array" ref="G200">IF(AND($B200&gt;=G$88,$B200&lt;=G$89),SUMPRODUCT(G$5:G$41,TRANSPOSE(Data_72_15!$B43:$AL43))%,"")</f>
        <v>0.10213000000000001</v>
      </c>
      <c r="K200" s="140">
        <f t="shared" ref="K200:K209" si="9">K199+1</f>
        <v>2007</v>
      </c>
      <c r="L200" s="141">
        <f t="array" ref="L200">IF(AND($K200&gt;=L$88,$K200&lt;=L$89),SUMPRODUCT(L$5:L$54,TRANSPOSE(Data_85_15!$B30:$AY30))%,"")</f>
        <v>0.10253999999999999</v>
      </c>
      <c r="M200" s="141">
        <f t="array" ref="M200">IF(AND($K200&gt;=M$88,$K200&lt;=M$89),SUMPRODUCT(M$5:M$54,TRANSPOSE(Data_85_15!$B30:$AY30))%,"")</f>
        <v>0.12484999999999999</v>
      </c>
      <c r="N200" s="141">
        <f t="array" ref="N200">IF(AND($K200&gt;=N$88,$K200&lt;=N$89),SUMPRODUCT(N$5:N$54,TRANSPOSE(Data_85_15!$B30:$AY30))%,"")</f>
        <v>5.5414999999999992E-2</v>
      </c>
      <c r="O200" s="141">
        <f t="array" ref="O200">IF(AND($K200&gt;=O$88,$K200&lt;=O$89),SUMPRODUCT(O$5:O$54,TRANSPOSE(Data_85_15!$B30:$AY30))%,"")</f>
        <v>7.369500000000001E-2</v>
      </c>
      <c r="P200" s="141">
        <f t="array" ref="P200">IF(AND($K200&gt;=P$88,$K200&lt;=P$89),SUMPRODUCT(P$5:P$54,TRANSPOSE(Data_85_15!$B30:$AY30))%,"")</f>
        <v>0.13391500000000001</v>
      </c>
      <c r="T200" s="140">
        <f t="shared" si="6"/>
        <v>1906</v>
      </c>
      <c r="U200" s="141">
        <f t="array" ref="U200">IF(AND($T200&gt;=U$88,$T200&lt;=U$89),SUMPRODUCT(U$5:U$81,TRANSPOSE(Data_All!$B43:$BZ43))%,"")</f>
        <v>1.1363174346003823E-2</v>
      </c>
      <c r="V200" s="141">
        <f t="array" ref="V200">IF(AND($T200&gt;=V$88,$T200&lt;=V$89),SUMPRODUCT(V$5:V$81,TRANSPOSE(Data_All!$B43:$BZ43))%,"")</f>
        <v>1.0721850542412703E-2</v>
      </c>
      <c r="W200" s="141">
        <f t="array" ref="W200">IF(AND($T200&gt;=W$88,$T200&lt;=W$89),SUMPRODUCT(W$5:W$81,TRANSPOSE(Data_All!$B43:$BZ43))%,"")</f>
        <v>1.0401188640617143E-2</v>
      </c>
      <c r="X200" s="141">
        <f t="array" ref="X200">IF(AND($T200&gt;=X$88,$T200&lt;=X$89),SUMPRODUCT(X$5:X$81,TRANSPOSE(Data_All!$B43:$BZ43))%,"")</f>
        <v>1.0080526738821583E-2</v>
      </c>
      <c r="Y200" s="141">
        <f t="array" ref="Y200">IF(AND($T200&gt;=Y$88,$T200&lt;=Y$89),SUMPRODUCT(Y$5:Y$81,TRANSPOSE(Data_All!$B43:$BZ43))%,"")</f>
        <v>9.7598648370260215E-3</v>
      </c>
    </row>
    <row r="201" spans="2:25">
      <c r="B201" s="140">
        <f t="shared" si="8"/>
        <v>2008</v>
      </c>
      <c r="C201" s="141">
        <f t="array" ref="C201">IF(AND($B201&gt;=C$88,$B201&lt;=C$89),SUMPRODUCT(C$5:C$41,TRANSPOSE(Data_72_15!$B44:$AL44))%,"")</f>
        <v>-0.30740000000000001</v>
      </c>
      <c r="D201" s="141">
        <f t="array" ref="D201">IF(AND($B201&gt;=D$88,$B201&lt;=D$89),SUMPRODUCT(D$5:D$41,TRANSPOSE(Data_72_15!$B44:$AL44))%,"")</f>
        <v>-0.28122999999999998</v>
      </c>
      <c r="E201" s="141">
        <f t="array" ref="E201">IF(AND($B201&gt;=E$88,$B201&lt;=E$89),SUMPRODUCT(E$5:E$41,TRANSPOSE(Data_72_15!$B44:$AL44))%,"")</f>
        <v>-0.31379999999999997</v>
      </c>
      <c r="F201" s="141">
        <f t="array" ref="F201">IF(AND($B201&gt;=F$88,$B201&lt;=F$89),SUMPRODUCT(F$5:F$41,TRANSPOSE(Data_72_15!$B44:$AL44))%,"")</f>
        <v>-0.25773000000000001</v>
      </c>
      <c r="G201" s="141">
        <f t="array" ref="G201">IF(AND($B201&gt;=G$88,$B201&lt;=G$89),SUMPRODUCT(G$5:G$41,TRANSPOSE(Data_72_15!$B44:$AL44))%,"")</f>
        <v>-0.23708000000000001</v>
      </c>
      <c r="K201" s="140">
        <f t="shared" si="9"/>
        <v>2008</v>
      </c>
      <c r="L201" s="141">
        <f t="array" ref="L201">IF(AND($K201&gt;=L$88,$K201&lt;=L$89),SUMPRODUCT(L$5:L$54,TRANSPOSE(Data_85_15!$B31:$AY31))%,"")</f>
        <v>-0.24748500000000001</v>
      </c>
      <c r="M201" s="141">
        <f t="array" ref="M201">IF(AND($K201&gt;=M$88,$K201&lt;=M$89),SUMPRODUCT(M$5:M$54,TRANSPOSE(Data_85_15!$B31:$AY31))%,"")</f>
        <v>-1.8974999999999999E-2</v>
      </c>
      <c r="N201" s="141">
        <f t="array" ref="N201">IF(AND($K201&gt;=N$88,$K201&lt;=N$89),SUMPRODUCT(N$5:N$54,TRANSPOSE(Data_85_15!$B31:$AY31))%,"")</f>
        <v>-0.30075499999999999</v>
      </c>
      <c r="O201" s="141">
        <f t="array" ref="O201">IF(AND($K201&gt;=O$88,$K201&lt;=O$89),SUMPRODUCT(O$5:O$54,TRANSPOSE(Data_85_15!$B31:$AY31))%,"")</f>
        <v>-0.27492749999999999</v>
      </c>
      <c r="P201" s="141">
        <f t="array" ref="P201">IF(AND($K201&gt;=P$88,$K201&lt;=P$89),SUMPRODUCT(P$5:P$54,TRANSPOSE(Data_85_15!$B31:$AY31))%,"")</f>
        <v>-1.6617499999999997E-2</v>
      </c>
      <c r="T201" s="140">
        <f t="shared" si="6"/>
        <v>1907</v>
      </c>
      <c r="U201" s="141">
        <f t="array" ref="U201">IF(AND($T201&gt;=U$88,$T201&lt;=U$89),SUMPRODUCT(U$5:U$81,TRANSPOSE(Data_All!$B44:$BZ44))%,"")</f>
        <v>-3.9527552431359199E-2</v>
      </c>
      <c r="V201" s="141">
        <f t="array" ref="V201">IF(AND($T201&gt;=V$88,$T201&lt;=V$89),SUMPRODUCT(V$5:V$81,TRANSPOSE(Data_All!$B44:$BZ44))%,"")</f>
        <v>-9.6076165663762259E-2</v>
      </c>
      <c r="W201" s="141">
        <f t="array" ref="W201">IF(AND($T201&gt;=W$88,$T201&lt;=W$89),SUMPRODUCT(W$5:W$81,TRANSPOSE(Data_All!$B44:$BZ44))%,"")</f>
        <v>-0.12435047227996378</v>
      </c>
      <c r="X201" s="141">
        <f t="array" ref="X201">IF(AND($T201&gt;=X$88,$T201&lt;=X$89),SUMPRODUCT(X$5:X$81,TRANSPOSE(Data_All!$B44:$BZ44))%,"")</f>
        <v>-0.15262477889616533</v>
      </c>
      <c r="Y201" s="141">
        <f t="array" ref="Y201">IF(AND($T201&gt;=Y$88,$T201&lt;=Y$89),SUMPRODUCT(Y$5:Y$81,TRANSPOSE(Data_All!$B44:$BZ44))%,"")</f>
        <v>-0.18089908551236686</v>
      </c>
    </row>
    <row r="202" spans="2:25">
      <c r="B202" s="140">
        <f t="shared" si="8"/>
        <v>2009</v>
      </c>
      <c r="C202" s="141">
        <f t="array" ref="C202">IF(AND($B202&gt;=C$88,$B202&lt;=C$89),SUMPRODUCT(C$5:C$41,TRANSPOSE(Data_72_15!$B45:$AL45))%,"")</f>
        <v>0.26555000000000001</v>
      </c>
      <c r="D202" s="141">
        <f t="array" ref="D202">IF(AND($B202&gt;=D$88,$B202&lt;=D$89),SUMPRODUCT(D$5:D$41,TRANSPOSE(Data_72_15!$B45:$AL45))%,"")</f>
        <v>0.25884500000000005</v>
      </c>
      <c r="E202" s="141">
        <f t="array" ref="E202">IF(AND($B202&gt;=E$88,$B202&lt;=E$89),SUMPRODUCT(E$5:E$41,TRANSPOSE(Data_72_15!$B45:$AL45))%,"")</f>
        <v>0.31995000000000007</v>
      </c>
      <c r="F202" s="141">
        <f t="array" ref="F202">IF(AND($B202&gt;=F$88,$B202&lt;=F$89),SUMPRODUCT(F$5:F$41,TRANSPOSE(Data_72_15!$B45:$AL45))%,"")</f>
        <v>0.25647000000000003</v>
      </c>
      <c r="G202" s="141">
        <f t="array" ref="G202">IF(AND($B202&gt;=G$88,$B202&lt;=G$89),SUMPRODUCT(G$5:G$41,TRANSPOSE(Data_72_15!$B45:$AL45))%,"")</f>
        <v>0.25372000000000006</v>
      </c>
      <c r="K202" s="140">
        <f t="shared" si="9"/>
        <v>2009</v>
      </c>
      <c r="L202" s="141">
        <f t="array" ref="L202">IF(AND($K202&gt;=L$88,$K202&lt;=L$89),SUMPRODUCT(L$5:L$54,TRANSPOSE(Data_85_15!$B32:$AY32))%,"")</f>
        <v>0.22975500000000004</v>
      </c>
      <c r="M202" s="141">
        <f t="array" ref="M202">IF(AND($K202&gt;=M$88,$K202&lt;=M$89),SUMPRODUCT(M$5:M$54,TRANSPOSE(Data_85_15!$B32:$AY32))%,"")</f>
        <v>0.102925</v>
      </c>
      <c r="N202" s="141">
        <f t="array" ref="N202">IF(AND($K202&gt;=N$88,$K202&lt;=N$89),SUMPRODUCT(N$5:N$54,TRANSPOSE(Data_85_15!$B32:$AY32))%,"")</f>
        <v>0.26921999999999996</v>
      </c>
      <c r="O202" s="141">
        <f t="array" ref="O202">IF(AND($K202&gt;=O$88,$K202&lt;=O$89),SUMPRODUCT(O$5:O$54,TRANSPOSE(Data_85_15!$B32:$AY32))%,"")</f>
        <v>0.26454</v>
      </c>
      <c r="P202" s="141">
        <f t="array" ref="P202">IF(AND($K202&gt;=P$88,$K202&lt;=P$89),SUMPRODUCT(P$5:P$54,TRANSPOSE(Data_85_15!$B32:$AY32))%,"")</f>
        <v>0.10807749999999999</v>
      </c>
      <c r="T202" s="140">
        <f t="shared" si="6"/>
        <v>1908</v>
      </c>
      <c r="U202" s="141">
        <f t="array" ref="U202">IF(AND($T202&gt;=U$88,$T202&lt;=U$89),SUMPRODUCT(U$5:U$81,TRANSPOSE(Data_All!$B45:$BZ45))%,"")</f>
        <v>0.16424607108141409</v>
      </c>
      <c r="V202" s="141">
        <f t="array" ref="V202">IF(AND($T202&gt;=V$88,$T202&lt;=V$89),SUMPRODUCT(V$5:V$81,TRANSPOSE(Data_All!$B45:$BZ45))%,"")</f>
        <v>0.22618202157535841</v>
      </c>
      <c r="W202" s="141">
        <f t="array" ref="W202">IF(AND($T202&gt;=W$88,$T202&lt;=W$89),SUMPRODUCT(W$5:W$81,TRANSPOSE(Data_All!$B45:$BZ45))%,"")</f>
        <v>0.25714999682233058</v>
      </c>
      <c r="X202" s="141">
        <f t="array" ref="X202">IF(AND($T202&gt;=X$88,$T202&lt;=X$89),SUMPRODUCT(X$5:X$81,TRANSPOSE(Data_All!$B45:$BZ45))%,"")</f>
        <v>0.28811797206930267</v>
      </c>
      <c r="Y202" s="141">
        <f t="array" ref="Y202">IF(AND($T202&gt;=Y$88,$T202&lt;=Y$89),SUMPRODUCT(Y$5:Y$81,TRANSPOSE(Data_All!$B45:$BZ45))%,"")</f>
        <v>0.31908594731627482</v>
      </c>
    </row>
    <row r="203" spans="2:25">
      <c r="B203" s="140">
        <f t="shared" si="8"/>
        <v>2010</v>
      </c>
      <c r="C203" s="141">
        <f t="array" ref="C203">IF(AND($B203&gt;=C$88,$B203&lt;=C$89),SUMPRODUCT(C$5:C$41,TRANSPOSE(Data_72_15!$B46:$AL46))%,"")</f>
        <v>0.13165000000000002</v>
      </c>
      <c r="D203" s="141">
        <f t="array" ref="D203">IF(AND($B203&gt;=D$88,$B203&lt;=D$89),SUMPRODUCT(D$5:D$41,TRANSPOSE(Data_72_15!$B46:$AL46))%,"")</f>
        <v>0.14059500000000003</v>
      </c>
      <c r="E203" s="141">
        <f t="array" ref="E203">IF(AND($B203&gt;=E$88,$B203&lt;=E$89),SUMPRODUCT(E$5:E$41,TRANSPOSE(Data_72_15!$B46:$AL46))%,"")</f>
        <v>0.15728</v>
      </c>
      <c r="F203" s="141">
        <f t="array" ref="F203">IF(AND($B203&gt;=F$88,$B203&lt;=F$89),SUMPRODUCT(F$5:F$41,TRANSPOSE(Data_72_15!$B46:$AL46))%,"")</f>
        <v>0.14798000000000003</v>
      </c>
      <c r="G203" s="141">
        <f t="array" ref="G203">IF(AND($B203&gt;=G$88,$B203&lt;=G$89),SUMPRODUCT(G$5:G$41,TRANSPOSE(Data_72_15!$B46:$AL46))%,"")</f>
        <v>0.11976000000000001</v>
      </c>
      <c r="K203" s="140">
        <f t="shared" si="9"/>
        <v>2010</v>
      </c>
      <c r="L203" s="141">
        <f t="array" ref="L203">IF(AND($K203&gt;=L$88,$K203&lt;=L$89),SUMPRODUCT(L$5:L$54,TRANSPOSE(Data_85_15!$B33:$AY33))%,"")</f>
        <v>0.14462</v>
      </c>
      <c r="M203" s="141">
        <f t="array" ref="M203">IF(AND($K203&gt;=M$88,$K203&lt;=M$89),SUMPRODUCT(M$5:M$54,TRANSPOSE(Data_85_15!$B33:$AY33))%,"")</f>
        <v>0.13824999999999998</v>
      </c>
      <c r="N203" s="141">
        <f t="array" ref="N203">IF(AND($K203&gt;=N$88,$K203&lt;=N$89),SUMPRODUCT(N$5:N$54,TRANSPOSE(Data_85_15!$B33:$AY33))%,"")</f>
        <v>0.14960250000000003</v>
      </c>
      <c r="O203" s="141">
        <f t="array" ref="O203">IF(AND($K203&gt;=O$88,$K203&lt;=O$89),SUMPRODUCT(O$5:O$54,TRANSPOSE(Data_85_15!$B33:$AY33))%,"")</f>
        <v>0.14312999999999998</v>
      </c>
      <c r="P203" s="141">
        <f t="array" ref="P203">IF(AND($K203&gt;=P$88,$K203&lt;=P$89),SUMPRODUCT(P$5:P$54,TRANSPOSE(Data_85_15!$B33:$AY33))%,"")</f>
        <v>0.1385525</v>
      </c>
      <c r="T203" s="140">
        <f t="shared" si="6"/>
        <v>1909</v>
      </c>
      <c r="U203" s="141">
        <f t="array" ref="U203">IF(AND($T203&gt;=U$88,$T203&lt;=U$89),SUMPRODUCT(U$5:U$81,TRANSPOSE(Data_All!$B46:$BZ46))%,"")</f>
        <v>5.1752684457713603E-2</v>
      </c>
      <c r="V203" s="141">
        <f t="array" ref="V203">IF(AND($T203&gt;=V$88,$T203&lt;=V$89),SUMPRODUCT(V$5:V$81,TRANSPOSE(Data_All!$B46:$BZ46))%,"")</f>
        <v>8.3008461146868898E-2</v>
      </c>
      <c r="W203" s="141">
        <f t="array" ref="W203">IF(AND($T203&gt;=W$88,$T203&lt;=W$89),SUMPRODUCT(W$5:W$81,TRANSPOSE(Data_All!$B46:$BZ46))%,"")</f>
        <v>9.8636349491446534E-2</v>
      </c>
      <c r="X203" s="141">
        <f t="array" ref="X203">IF(AND($T203&gt;=X$88,$T203&lt;=X$89),SUMPRODUCT(X$5:X$81,TRANSPOSE(Data_All!$B46:$BZ46))%,"")</f>
        <v>0.11426423783602417</v>
      </c>
      <c r="Y203" s="141">
        <f t="array" ref="Y203">IF(AND($T203&gt;=Y$88,$T203&lt;=Y$89),SUMPRODUCT(Y$5:Y$81,TRANSPOSE(Data_All!$B46:$BZ46))%,"")</f>
        <v>0.12989212618060184</v>
      </c>
    </row>
    <row r="204" spans="2:25">
      <c r="B204" s="140">
        <f t="shared" si="8"/>
        <v>2011</v>
      </c>
      <c r="C204" s="141">
        <f t="array" ref="C204">IF(AND($B204&gt;=C$88,$B204&lt;=C$89),SUMPRODUCT(C$5:C$41,TRANSPOSE(Data_72_15!$B47:$AL47))%,"")</f>
        <v>-2.3760000000000003E-2</v>
      </c>
      <c r="D204" s="141">
        <f t="array" ref="D204">IF(AND($B204&gt;=D$88,$B204&lt;=D$89),SUMPRODUCT(D$5:D$41,TRANSPOSE(Data_72_15!$B47:$AL47))%,"")</f>
        <v>-2.6760000000000003E-2</v>
      </c>
      <c r="E204" s="141">
        <f t="array" ref="E204">IF(AND($B204&gt;=E$88,$B204&lt;=E$89),SUMPRODUCT(E$5:E$41,TRANSPOSE(Data_72_15!$B47:$AL47))%,"")</f>
        <v>-4.3260000000000007E-2</v>
      </c>
      <c r="F204" s="141">
        <f t="array" ref="F204">IF(AND($B204&gt;=F$88,$B204&lt;=F$89),SUMPRODUCT(F$5:F$41,TRANSPOSE(Data_72_15!$B47:$AL47))%,"")</f>
        <v>-1.1820000000000002E-2</v>
      </c>
      <c r="G204" s="141">
        <f t="array" ref="G204">IF(AND($B204&gt;=G$88,$B204&lt;=G$89),SUMPRODUCT(G$5:G$41,TRANSPOSE(Data_72_15!$B47:$AL47))%,"")</f>
        <v>-4.8399999999999997E-3</v>
      </c>
      <c r="K204" s="140">
        <f t="shared" si="9"/>
        <v>2011</v>
      </c>
      <c r="L204" s="141">
        <f t="array" ref="L204">IF(AND($K204&gt;=L$88,$K204&lt;=L$89),SUMPRODUCT(L$5:L$54,TRANSPOSE(Data_85_15!$B34:$AY34))%,"")</f>
        <v>4.7820000000000001E-2</v>
      </c>
      <c r="M204" s="141">
        <f t="array" ref="M204">IF(AND($K204&gt;=M$88,$K204&lt;=M$89),SUMPRODUCT(M$5:M$54,TRANSPOSE(Data_85_15!$B34:$AY34))%,"")</f>
        <v>9.9574999999999997E-2</v>
      </c>
      <c r="N204" s="141">
        <f t="array" ref="N204">IF(AND($K204&gt;=N$88,$K204&lt;=N$89),SUMPRODUCT(N$5:N$54,TRANSPOSE(Data_85_15!$B34:$AY34))%,"")</f>
        <v>-2.147E-2</v>
      </c>
      <c r="O204" s="141">
        <f t="array" ref="O204">IF(AND($K204&gt;=O$88,$K204&lt;=O$89),SUMPRODUCT(O$5:O$54,TRANSPOSE(Data_85_15!$B34:$AY34))%,"")</f>
        <v>-1.6079999999999997E-2</v>
      </c>
      <c r="P204" s="141">
        <f t="array" ref="P204">IF(AND($K204&gt;=P$88,$K204&lt;=P$89),SUMPRODUCT(P$5:P$54,TRANSPOSE(Data_85_15!$B34:$AY34))%,"")</f>
        <v>9.4615000000000005E-2</v>
      </c>
      <c r="T204" s="140">
        <f t="shared" si="6"/>
        <v>1910</v>
      </c>
      <c r="U204" s="141">
        <f t="array" ref="U204">IF(AND($T204&gt;=U$88,$T204&lt;=U$89),SUMPRODUCT(U$5:U$81,TRANSPOSE(Data_All!$B47:$BZ47))%,"")</f>
        <v>3.1159723379168867E-2</v>
      </c>
      <c r="V204" s="141">
        <f t="array" ref="V204">IF(AND($T204&gt;=V$88,$T204&lt;=V$89),SUMPRODUCT(V$5:V$81,TRANSPOSE(Data_All!$B47:$BZ47))%,"")</f>
        <v>1.2619757062218129E-2</v>
      </c>
      <c r="W204" s="141">
        <f t="array" ref="W204">IF(AND($T204&gt;=W$88,$T204&lt;=W$89),SUMPRODUCT(W$5:W$81,TRANSPOSE(Data_All!$B47:$BZ47))%,"")</f>
        <v>3.3497739037427589E-3</v>
      </c>
      <c r="X204" s="141">
        <f t="array" ref="X204">IF(AND($T204&gt;=X$88,$T204&lt;=X$89),SUMPRODUCT(X$5:X$81,TRANSPOSE(Data_All!$B47:$BZ47))%,"")</f>
        <v>-5.9202092547326092E-3</v>
      </c>
      <c r="Y204" s="141">
        <f t="array" ref="Y204">IF(AND($T204&gt;=Y$88,$T204&lt;=Y$89),SUMPRODUCT(Y$5:Y$81,TRANSPOSE(Data_All!$B47:$BZ47))%,"")</f>
        <v>-1.5190192413207982E-2</v>
      </c>
    </row>
    <row r="205" spans="2:25">
      <c r="B205" s="140">
        <f t="shared" si="8"/>
        <v>2012</v>
      </c>
      <c r="C205" s="141">
        <f t="array" ref="C205">IF(AND($B205&gt;=C$88,$B205&lt;=C$89),SUMPRODUCT(C$5:C$41,TRANSPOSE(Data_72_15!$B48:$AL48))%,"")</f>
        <v>0.14377000000000001</v>
      </c>
      <c r="D205" s="141">
        <f t="array" ref="D205">IF(AND($B205&gt;=D$88,$B205&lt;=D$89),SUMPRODUCT(D$5:D$41,TRANSPOSE(Data_72_15!$B48:$AL48))%,"")</f>
        <v>0.13830000000000001</v>
      </c>
      <c r="E205" s="141">
        <f t="array" ref="E205">IF(AND($B205&gt;=E$88,$B205&lt;=E$89),SUMPRODUCT(E$5:E$41,TRANSPOSE(Data_72_15!$B48:$AL48))%,"")</f>
        <v>0.15491000000000002</v>
      </c>
      <c r="F205" s="141">
        <f t="array" ref="F205">IF(AND($B205&gt;=F$88,$B205&lt;=F$89),SUMPRODUCT(F$5:F$41,TRANSPOSE(Data_72_15!$B48:$AL48))%,"")</f>
        <v>0.13126000000000002</v>
      </c>
      <c r="G205" s="141">
        <f t="array" ref="G205">IF(AND($B205&gt;=G$88,$B205&lt;=G$89),SUMPRODUCT(G$5:G$41,TRANSPOSE(Data_72_15!$B48:$AL48))%,"")</f>
        <v>0.12848000000000001</v>
      </c>
      <c r="K205" s="140">
        <f t="shared" si="9"/>
        <v>2012</v>
      </c>
      <c r="L205" s="141">
        <f t="array" ref="L205">IF(AND($K205&gt;=L$88,$K205&lt;=L$89),SUMPRODUCT(L$5:L$54,TRANSPOSE(Data_85_15!$B35:$AY35))%,"")</f>
        <v>0.11129000000000001</v>
      </c>
      <c r="M205" s="141">
        <f t="array" ref="M205">IF(AND($K205&gt;=M$88,$K205&lt;=M$89),SUMPRODUCT(M$5:M$54,TRANSPOSE(Data_85_15!$B35:$AY35))%,"")</f>
        <v>6.5849999999999992E-2</v>
      </c>
      <c r="N205" s="141">
        <f t="array" ref="N205">IF(AND($K205&gt;=N$88,$K205&lt;=N$89),SUMPRODUCT(N$5:N$54,TRANSPOSE(Data_85_15!$B35:$AY35))%,"")</f>
        <v>0.1471375</v>
      </c>
      <c r="O205" s="141">
        <f t="array" ref="O205">IF(AND($K205&gt;=O$88,$K205&lt;=O$89),SUMPRODUCT(O$5:O$54,TRANSPOSE(Data_85_15!$B35:$AY35))%,"")</f>
        <v>0.14089500000000002</v>
      </c>
      <c r="P205" s="141">
        <f t="array" ref="P205">IF(AND($K205&gt;=P$88,$K205&lt;=P$89),SUMPRODUCT(P$5:P$54,TRANSPOSE(Data_85_15!$B35:$AY35))%,"")</f>
        <v>6.7632499999999998E-2</v>
      </c>
      <c r="T205" s="140">
        <f t="shared" si="6"/>
        <v>1911</v>
      </c>
      <c r="U205" s="141">
        <f t="array" ref="U205">IF(AND($T205&gt;=U$88,$T205&lt;=U$89),SUMPRODUCT(U$5:U$81,TRANSPOSE(Data_All!$B48:$BZ48))%,"")</f>
        <v>3.3203310945598273E-2</v>
      </c>
      <c r="V205" s="141">
        <f t="array" ref="V205">IF(AND($T205&gt;=V$88,$T205&lt;=V$89),SUMPRODUCT(V$5:V$81,TRANSPOSE(Data_All!$B48:$BZ48))%,"")</f>
        <v>3.3579495489728495E-2</v>
      </c>
      <c r="W205" s="141">
        <f t="array" ref="W205">IF(AND($T205&gt;=W$88,$T205&lt;=W$89),SUMPRODUCT(W$5:W$81,TRANSPOSE(Data_All!$B48:$BZ48))%,"")</f>
        <v>3.3767587761793602E-2</v>
      </c>
      <c r="X205" s="141">
        <f t="array" ref="X205">IF(AND($T205&gt;=X$88,$T205&lt;=X$89),SUMPRODUCT(X$5:X$81,TRANSPOSE(Data_All!$B48:$BZ48))%,"")</f>
        <v>3.3955680033858716E-2</v>
      </c>
      <c r="Y205" s="141">
        <f t="array" ref="Y205">IF(AND($T205&gt;=Y$88,$T205&lt;=Y$89),SUMPRODUCT(Y$5:Y$81,TRANSPOSE(Data_All!$B48:$BZ48))%,"")</f>
        <v>3.4143772305923824E-2</v>
      </c>
    </row>
    <row r="206" spans="2:25">
      <c r="B206" s="140">
        <f t="shared" si="8"/>
        <v>2013</v>
      </c>
      <c r="C206" s="141">
        <f t="array" ref="C206">IF(AND($B206&gt;=C$88,$B206&lt;=C$89),SUMPRODUCT(C$5:C$41,TRANSPOSE(Data_72_15!$B49:$AL49))%,"")</f>
        <v>0.20735000000000001</v>
      </c>
      <c r="D206" s="141">
        <f t="array" ref="D206">IF(AND($B206&gt;=D$88,$B206&lt;=D$89),SUMPRODUCT(D$5:D$41,TRANSPOSE(Data_72_15!$B49:$AL49))%,"")</f>
        <v>0.20994499999999999</v>
      </c>
      <c r="E206" s="141">
        <f t="array" ref="E206">IF(AND($B206&gt;=E$88,$B206&lt;=E$89),SUMPRODUCT(E$5:E$41,TRANSPOSE(Data_72_15!$B49:$AL49))%,"")</f>
        <v>0.21296000000000004</v>
      </c>
      <c r="F206" s="141">
        <f t="array" ref="F206">IF(AND($B206&gt;=F$88,$B206&lt;=F$89),SUMPRODUCT(F$5:F$41,TRANSPOSE(Data_72_15!$B49:$AL49))%,"")</f>
        <v>0.14908000000000002</v>
      </c>
      <c r="G206" s="141">
        <f t="array" ref="G206">IF(AND($B206&gt;=G$88,$B206&lt;=G$89),SUMPRODUCT(G$5:G$41,TRANSPOSE(Data_72_15!$B49:$AL49))%,"")</f>
        <v>0.11967999999999998</v>
      </c>
      <c r="K206" s="140">
        <f t="shared" si="9"/>
        <v>2013</v>
      </c>
      <c r="L206" s="141">
        <f t="array" ref="L206">IF(AND($K206&gt;=L$88,$K206&lt;=L$89),SUMPRODUCT(L$5:L$54,TRANSPOSE(Data_85_15!$B36:$AY36))%,"")</f>
        <v>0.11126000000000001</v>
      </c>
      <c r="M206" s="141">
        <f t="array" ref="M206">IF(AND($K206&gt;=M$88,$K206&lt;=M$89),SUMPRODUCT(M$5:M$54,TRANSPOSE(Data_85_15!$B36:$AY36))%,"")</f>
        <v>-1.999999999999999E-2</v>
      </c>
      <c r="N206" s="141">
        <f t="array" ref="N206">IF(AND($K206&gt;=N$88,$K206&lt;=N$89),SUMPRODUCT(N$5:N$54,TRANSPOSE(Data_85_15!$B36:$AY36))%,"")</f>
        <v>0.17836999999999997</v>
      </c>
      <c r="O206" s="141">
        <f t="array" ref="O206">IF(AND($K206&gt;=O$88,$K206&lt;=O$89),SUMPRODUCT(O$5:O$54,TRANSPOSE(Data_85_15!$B36:$AY36))%,"")</f>
        <v>0.15826999999999999</v>
      </c>
      <c r="P206" s="141">
        <f t="array" ref="P206">IF(AND($K206&gt;=P$88,$K206&lt;=P$89),SUMPRODUCT(P$5:P$54,TRANSPOSE(Data_85_15!$B36:$AY36))%,"")</f>
        <v>-2.9292499999999996E-2</v>
      </c>
      <c r="T206" s="140">
        <f t="shared" si="6"/>
        <v>1912</v>
      </c>
      <c r="U206" s="141">
        <f t="array" ref="U206">IF(AND($T206&gt;=U$88,$T206&lt;=U$89),SUMPRODUCT(U$5:U$81,TRANSPOSE(Data_All!$B49:$BZ49))%,"")</f>
        <v>2.5292627330007901E-2</v>
      </c>
      <c r="V206" s="141">
        <f t="array" ref="V206">IF(AND($T206&gt;=V$88,$T206&lt;=V$89),SUMPRODUCT(V$5:V$81,TRANSPOSE(Data_All!$B49:$BZ49))%,"")</f>
        <v>3.874285410790046E-2</v>
      </c>
      <c r="W206" s="141">
        <f t="array" ref="W206">IF(AND($T206&gt;=W$88,$T206&lt;=W$89),SUMPRODUCT(W$5:W$81,TRANSPOSE(Data_All!$B49:$BZ49))%,"")</f>
        <v>4.5467967496846742E-2</v>
      </c>
      <c r="X206" s="141">
        <f t="array" ref="X206">IF(AND($T206&gt;=X$88,$T206&lt;=X$89),SUMPRODUCT(X$5:X$81,TRANSPOSE(Data_All!$B49:$BZ49))%,"")</f>
        <v>5.2193080885793018E-2</v>
      </c>
      <c r="Y206" s="141">
        <f t="array" ref="Y206">IF(AND($T206&gt;=Y$88,$T206&lt;=Y$89),SUMPRODUCT(Y$5:Y$81,TRANSPOSE(Data_All!$B49:$BZ49))%,"")</f>
        <v>5.8918194274739301E-2</v>
      </c>
    </row>
    <row r="207" spans="2:25">
      <c r="B207" s="140">
        <f t="shared" si="8"/>
        <v>2014</v>
      </c>
      <c r="C207" s="141">
        <f t="array" ref="C207">IF(AND($B207&gt;=C$88,$B207&lt;=C$89),SUMPRODUCT(C$5:C$41,TRANSPOSE(Data_72_15!$B50:$AL50))%,"")</f>
        <v>6.0949999999999997E-2</v>
      </c>
      <c r="D207" s="141">
        <f t="array" ref="D207">IF(AND($B207&gt;=D$88,$B207&lt;=D$89),SUMPRODUCT(D$5:D$41,TRANSPOSE(Data_72_15!$B50:$AL50))%,"")</f>
        <v>5.9065000000000013E-2</v>
      </c>
      <c r="E207" s="141">
        <f t="array" ref="E207">IF(AND($B207&gt;=E$88,$B207&lt;=E$89),SUMPRODUCT(E$5:E$41,TRANSPOSE(Data_72_15!$B50:$AL50))%,"")</f>
        <v>5.5200000000000006E-2</v>
      </c>
      <c r="F207" s="141">
        <f t="array" ref="F207">IF(AND($B207&gt;=F$88,$B207&lt;=F$89),SUMPRODUCT(F$5:F$41,TRANSPOSE(Data_72_15!$B50:$AL50))%,"")</f>
        <v>7.640000000000001E-2</v>
      </c>
      <c r="G207" s="141">
        <f t="array" ref="G207">IF(AND($B207&gt;=G$88,$B207&lt;=G$89),SUMPRODUCT(G$5:G$41,TRANSPOSE(Data_72_15!$B50:$AL50))%,"")</f>
        <v>4.3529999999999999E-2</v>
      </c>
      <c r="K207" s="140">
        <f t="shared" si="9"/>
        <v>2014</v>
      </c>
      <c r="L207" s="141">
        <f t="array" ref="L207">IF(AND($K207&gt;=L$88,$K207&lt;=L$89),SUMPRODUCT(L$5:L$54,TRANSPOSE(Data_85_15!$B37:$AY37))%,"")</f>
        <v>5.9185000000000008E-2</v>
      </c>
      <c r="M207" s="141">
        <f t="array" ref="M207">IF(AND($K207&gt;=M$88,$K207&lt;=M$89),SUMPRODUCT(M$5:M$54,TRANSPOSE(Data_85_15!$B37:$AY37))%,"")</f>
        <v>8.8800000000000004E-2</v>
      </c>
      <c r="N207" s="141">
        <f t="array" ref="N207">IF(AND($K207&gt;=N$88,$K207&lt;=N$89),SUMPRODUCT(N$5:N$54,TRANSPOSE(Data_85_15!$B37:$AY37))%,"")</f>
        <v>7.5527499999999997E-2</v>
      </c>
      <c r="O207" s="141">
        <f t="array" ref="O207">IF(AND($K207&gt;=O$88,$K207&lt;=O$89),SUMPRODUCT(O$5:O$54,TRANSPOSE(Data_85_15!$B37:$AY37))%,"")</f>
        <v>5.3322500000000002E-2</v>
      </c>
      <c r="P207" s="141">
        <f t="array" ref="P207">IF(AND($K207&gt;=P$88,$K207&lt;=P$89),SUMPRODUCT(P$5:P$54,TRANSPOSE(Data_85_15!$B37:$AY37))%,"")</f>
        <v>8.134000000000001E-2</v>
      </c>
      <c r="T207" s="140">
        <f t="shared" si="6"/>
        <v>1913</v>
      </c>
      <c r="U207" s="141">
        <f t="array" ref="U207">IF(AND($T207&gt;=U$88,$T207&lt;=U$89),SUMPRODUCT(U$5:U$81,TRANSPOSE(Data_All!$B50:$BZ50))%,"")</f>
        <v>3.4323518358994026E-2</v>
      </c>
      <c r="V207" s="141">
        <f t="array" ref="V207">IF(AND($T207&gt;=V$88,$T207&lt;=V$89),SUMPRODUCT(V$5:V$81,TRANSPOSE(Data_All!$B50:$BZ50))%,"")</f>
        <v>1.0691914035226126E-2</v>
      </c>
      <c r="W207" s="141">
        <f t="array" ref="W207">IF(AND($T207&gt;=W$88,$T207&lt;=W$89),SUMPRODUCT(W$5:W$81,TRANSPOSE(Data_All!$B50:$BZ50))%,"")</f>
        <v>-1.1238881266578194E-3</v>
      </c>
      <c r="X207" s="141">
        <f t="array" ref="X207">IF(AND($T207&gt;=X$88,$T207&lt;=X$89),SUMPRODUCT(X$5:X$81,TRANSPOSE(Data_All!$B50:$BZ50))%,"")</f>
        <v>-1.2939690288541765E-2</v>
      </c>
      <c r="Y207" s="141">
        <f t="array" ref="Y207">IF(AND($T207&gt;=Y$88,$T207&lt;=Y$89),SUMPRODUCT(Y$5:Y$81,TRANSPOSE(Data_All!$B50:$BZ50))%,"")</f>
        <v>-2.4755492450425721E-2</v>
      </c>
    </row>
    <row r="208" spans="2:25">
      <c r="B208" s="140">
        <f t="shared" si="8"/>
        <v>2015</v>
      </c>
      <c r="C208" s="141">
        <f t="array" ref="C208">IF(AND($B208&gt;=C$88,$B208&lt;=C$89),SUMPRODUCT(C$5:C$41,TRANSPOSE(Data_72_15!$B51:$AL51))%,"")</f>
        <v>-1.1059999999999999E-2</v>
      </c>
      <c r="D208" s="141">
        <f t="array" ref="D208">IF(AND($B208&gt;=D$88,$B208&lt;=D$89),SUMPRODUCT(D$5:D$41,TRANSPOSE(Data_72_15!$B51:$AL51))%,"")</f>
        <v>-2.3150000000000004E-2</v>
      </c>
      <c r="E208" s="141">
        <f t="array" ref="E208">IF(AND($B208&gt;=E$88,$B208&lt;=E$89),SUMPRODUCT(E$5:E$41,TRANSPOSE(Data_72_15!$B51:$AL51))%,"")</f>
        <v>-3.458E-2</v>
      </c>
      <c r="F208" s="141">
        <f t="array" ref="F208">IF(AND($B208&gt;=F$88,$B208&lt;=F$89),SUMPRODUCT(F$5:F$41,TRANSPOSE(Data_72_15!$B51:$AL51))%,"")</f>
        <v>-2.4700000000000003E-2</v>
      </c>
      <c r="G208" s="141">
        <f t="array" ref="G208">IF(AND($B208&gt;=G$88,$B208&lt;=G$89),SUMPRODUCT(G$5:G$41,TRANSPOSE(Data_72_15!$B51:$AL51))%,"")</f>
        <v>-2.3130000000000001E-2</v>
      </c>
      <c r="K208" s="140">
        <f t="shared" si="9"/>
        <v>2015</v>
      </c>
      <c r="L208" s="141">
        <f t="array" ref="L208">IF(AND($K208&gt;=L$88,$K208&lt;=L$89),SUMPRODUCT(L$5:L$54,TRANSPOSE(Data_85_15!$B38:$AY38))%,"")</f>
        <v>-4.3359999999999996E-2</v>
      </c>
      <c r="M208" s="141">
        <f t="array" ref="M208">IF(AND($K208&gt;=M$88,$K208&lt;=M$89),SUMPRODUCT(M$5:M$54,TRANSPOSE(Data_85_15!$B38:$AY38))%,"")</f>
        <v>-2.9750000000000002E-2</v>
      </c>
      <c r="N208" s="141">
        <f t="array" ref="N208">IF(AND($K208&gt;=N$88,$K208&lt;=N$89),SUMPRODUCT(N$5:N$54,TRANSPOSE(Data_85_15!$B38:$AY38))%,"")</f>
        <v>-1.8844999999999997E-2</v>
      </c>
      <c r="O208" s="141">
        <f t="array" ref="O208">IF(AND($K208&gt;=O$88,$K208&lt;=O$89),SUMPRODUCT(O$5:O$54,TRANSPOSE(Data_85_15!$B38:$AY38))%,"")</f>
        <v>-2.4995000000000003E-2</v>
      </c>
      <c r="P208" s="141">
        <f t="array" ref="P208">IF(AND($K208&gt;=P$88,$K208&lt;=P$89),SUMPRODUCT(P$5:P$54,TRANSPOSE(Data_85_15!$B38:$AY38))%,"")</f>
        <v>-3.1542500000000001E-2</v>
      </c>
      <c r="T208" s="140">
        <f t="shared" si="6"/>
        <v>1914</v>
      </c>
      <c r="U208" s="141">
        <f t="array" ref="U208">IF(AND($T208&gt;=U$88,$T208&lt;=U$89),SUMPRODUCT(U$5:U$81,TRANSPOSE(Data_All!$B51:$BZ51))%,"")</f>
        <v>2.2993693275864154E-2</v>
      </c>
      <c r="V208" s="141">
        <f t="array" ref="V208">IF(AND($T208&gt;=V$88,$T208&lt;=V$89),SUMPRODUCT(V$5:V$81,TRANSPOSE(Data_All!$B51:$BZ51))%,"")</f>
        <v>3.8037316256900322E-4</v>
      </c>
      <c r="W208" s="141">
        <f t="array" ref="W208">IF(AND($T208&gt;=W$88,$T208&lt;=W$89),SUMPRODUCT(W$5:W$81,TRANSPOSE(Data_All!$B51:$BZ51))%,"")</f>
        <v>-1.0926286894078574E-2</v>
      </c>
      <c r="X208" s="141">
        <f t="array" ref="X208">IF(AND($T208&gt;=X$88,$T208&lt;=X$89),SUMPRODUCT(X$5:X$81,TRANSPOSE(Data_All!$B51:$BZ51))%,"")</f>
        <v>-2.2232946950726147E-2</v>
      </c>
      <c r="Y208" s="141">
        <f t="array" ref="Y208">IF(AND($T208&gt;=Y$88,$T208&lt;=Y$89),SUMPRODUCT(Y$5:Y$81,TRANSPOSE(Data_All!$B51:$BZ51))%,"")</f>
        <v>-3.3539607007373726E-2</v>
      </c>
    </row>
    <row r="209" spans="2:25">
      <c r="B209" s="140">
        <f t="shared" si="8"/>
        <v>2016</v>
      </c>
      <c r="C209" s="141" t="str">
        <f t="array" ref="C209">IF(AND($B209&gt;=C$88,$B209&lt;=C$89),SUMPRODUCT(C$5:C$41,TRANSPOSE(Data_72_15!$B52:$AL52))%,"")</f>
        <v/>
      </c>
      <c r="D209" s="141" t="str">
        <f t="array" ref="D209">IF(AND($B209&gt;=D$88,$B209&lt;=D$89),SUMPRODUCT(D$5:D$41,TRANSPOSE(Data_72_15!$B52:$AL52))%,"")</f>
        <v/>
      </c>
      <c r="E209" s="141" t="str">
        <f t="array" ref="E209">IF(AND($B209&gt;=E$88,$B209&lt;=E$89),SUMPRODUCT(E$5:E$41,TRANSPOSE(Data_72_15!$B52:$AL52))%,"")</f>
        <v/>
      </c>
      <c r="F209" s="141" t="str">
        <f t="array" ref="F209">IF(AND($B209&gt;=F$88,$B209&lt;=F$89),SUMPRODUCT(F$5:F$41,TRANSPOSE(Data_72_15!$B52:$AL52))%,"")</f>
        <v/>
      </c>
      <c r="G209" s="141" t="str">
        <f t="array" ref="G209">IF(AND($B209&gt;=G$88,$B209&lt;=G$89),SUMPRODUCT(G$5:G$41,TRANSPOSE(Data_72_15!$B52:$AL52))%,"")</f>
        <v/>
      </c>
      <c r="K209" s="140">
        <f t="shared" si="9"/>
        <v>2016</v>
      </c>
      <c r="L209" s="141" t="str">
        <f t="array" ref="L209">IF(AND($K209&gt;=L$88,$K209&lt;=L$89),SUMPRODUCT(L$5:L$54,TRANSPOSE(Data_85_15!$B39:$AY39))%,"")</f>
        <v/>
      </c>
      <c r="M209" s="141" t="str">
        <f t="array" ref="M209">IF(AND($K209&gt;=M$88,$K209&lt;=M$89),SUMPRODUCT(M$5:M$54,TRANSPOSE(Data_85_15!$B39:$AY39))%,"")</f>
        <v/>
      </c>
      <c r="N209" s="141" t="str">
        <f t="array" ref="N209">IF(AND($K209&gt;=N$88,$K209&lt;=N$89),SUMPRODUCT(N$5:N$54,TRANSPOSE(Data_85_15!$B39:$AY39))%,"")</f>
        <v/>
      </c>
      <c r="O209" s="141" t="str">
        <f t="array" ref="O209">IF(AND($K209&gt;=O$88,$K209&lt;=O$89),SUMPRODUCT(O$5:O$54,TRANSPOSE(Data_85_15!$B39:$AY39))%,"")</f>
        <v/>
      </c>
      <c r="P209" s="141" t="str">
        <f t="array" ref="P209">IF(AND($K209&gt;=P$88,$K209&lt;=P$89),SUMPRODUCT(P$5:P$54,TRANSPOSE(Data_85_15!$B39:$AY39))%,"")</f>
        <v/>
      </c>
      <c r="T209" s="140">
        <f t="shared" si="6"/>
        <v>1915</v>
      </c>
      <c r="U209" s="141">
        <f t="array" ref="U209">IF(AND($T209&gt;=U$88,$T209&lt;=U$89),SUMPRODUCT(U$5:U$81,TRANSPOSE(Data_All!$B52:$BZ52))%,"")</f>
        <v>0.12530238677020675</v>
      </c>
      <c r="V209" s="141">
        <f t="array" ref="V209">IF(AND($T209&gt;=V$88,$T209&lt;=V$89),SUMPRODUCT(V$5:V$81,TRANSPOSE(Data_All!$B52:$BZ52))%,"")</f>
        <v>0.1765910860428902</v>
      </c>
      <c r="W209" s="141">
        <f t="array" ref="W209">IF(AND($T209&gt;=W$88,$T209&lt;=W$89),SUMPRODUCT(W$5:W$81,TRANSPOSE(Data_All!$B52:$BZ52))%,"")</f>
        <v>0.20223543567923194</v>
      </c>
      <c r="X209" s="141">
        <f t="array" ref="X209">IF(AND($T209&gt;=X$88,$T209&lt;=X$89),SUMPRODUCT(X$5:X$81,TRANSPOSE(Data_All!$B52:$BZ52))%,"")</f>
        <v>0.22787978531557365</v>
      </c>
      <c r="Y209" s="141">
        <f t="array" ref="Y209">IF(AND($T209&gt;=Y$88,$T209&lt;=Y$89),SUMPRODUCT(Y$5:Y$81,TRANSPOSE(Data_All!$B52:$BZ52))%,"")</f>
        <v>0.25352413495191539</v>
      </c>
    </row>
    <row r="210" spans="2:25">
      <c r="K210" s="598"/>
      <c r="T210" s="140">
        <f t="shared" si="6"/>
        <v>1916</v>
      </c>
      <c r="U210" s="141">
        <f t="array" ref="U210">IF(AND($T210&gt;=U$88,$T210&lt;=U$89),SUMPRODUCT(U$5:U$81,TRANSPOSE(Data_All!$B53:$BZ53))%,"")</f>
        <v>4.3267746223142577E-2</v>
      </c>
      <c r="V210" s="141">
        <f t="array" ref="V210">IF(AND($T210&gt;=V$88,$T210&lt;=V$89),SUMPRODUCT(V$5:V$81,TRANSPOSE(Data_All!$B53:$BZ53))%,"")</f>
        <v>5.5404078415397413E-2</v>
      </c>
      <c r="W210" s="141">
        <f t="array" ref="W210">IF(AND($T210&gt;=W$88,$T210&lt;=W$89),SUMPRODUCT(W$5:W$81,TRANSPOSE(Data_All!$B53:$BZ53))%,"")</f>
        <v>6.1472244511524818E-2</v>
      </c>
      <c r="X210" s="141">
        <f t="array" ref="X210">IF(AND($T210&gt;=X$88,$T210&lt;=X$89),SUMPRODUCT(X$5:X$81,TRANSPOSE(Data_All!$B53:$BZ53))%,"")</f>
        <v>6.7540410607652229E-2</v>
      </c>
      <c r="Y210" s="141">
        <f t="array" ref="Y210">IF(AND($T210&gt;=Y$88,$T210&lt;=Y$89),SUMPRODUCT(Y$5:Y$81,TRANSPOSE(Data_All!$B53:$BZ53))%,"")</f>
        <v>7.3608576703779655E-2</v>
      </c>
    </row>
    <row r="211" spans="2:25">
      <c r="K211" s="598"/>
      <c r="T211" s="140">
        <f t="shared" si="6"/>
        <v>1917</v>
      </c>
      <c r="U211" s="141">
        <f t="array" ref="U211">IF(AND($T211&gt;=U$88,$T211&lt;=U$89),SUMPRODUCT(U$5:U$81,TRANSPOSE(Data_All!$B54:$BZ54))%,"")</f>
        <v>-5.0285658120410609E-2</v>
      </c>
      <c r="V211" s="141">
        <f t="array" ref="V211">IF(AND($T211&gt;=V$88,$T211&lt;=V$89),SUMPRODUCT(V$5:V$81,TRANSPOSE(Data_All!$B54:$BZ54))%,"")</f>
        <v>-8.5776515018086974E-2</v>
      </c>
      <c r="W211" s="141">
        <f t="array" ref="W211">IF(AND($T211&gt;=W$88,$T211&lt;=W$89),SUMPRODUCT(W$5:W$81,TRANSPOSE(Data_All!$B54:$BZ54))%,"")</f>
        <v>-0.10352194346692516</v>
      </c>
      <c r="X211" s="141">
        <f t="array" ref="X211">IF(AND($T211&gt;=X$88,$T211&lt;=X$89),SUMPRODUCT(X$5:X$81,TRANSPOSE(Data_All!$B54:$BZ54))%,"")</f>
        <v>-0.12126737191576334</v>
      </c>
      <c r="Y211" s="141">
        <f t="array" ref="Y211">IF(AND($T211&gt;=Y$88,$T211&lt;=Y$89),SUMPRODUCT(Y$5:Y$81,TRANSPOSE(Data_All!$B54:$BZ54))%,"")</f>
        <v>-0.13901280036460154</v>
      </c>
    </row>
    <row r="212" spans="2:25">
      <c r="K212" s="598"/>
      <c r="T212" s="140">
        <f t="shared" si="6"/>
        <v>1918</v>
      </c>
      <c r="U212" s="141">
        <f t="array" ref="U212">IF(AND($T212&gt;=U$88,$T212&lt;=U$89),SUMPRODUCT(U$5:U$81,TRANSPOSE(Data_All!$B55:$BZ55))%,"")</f>
        <v>8.8045918821601094E-2</v>
      </c>
      <c r="V212" s="141">
        <f t="array" ref="V212">IF(AND($T212&gt;=V$88,$T212&lt;=V$89),SUMPRODUCT(V$5:V$81,TRANSPOSE(Data_All!$B55:$BZ55))%,"")</f>
        <v>0.11083921881352722</v>
      </c>
      <c r="W212" s="141">
        <f t="array" ref="W212">IF(AND($T212&gt;=W$88,$T212&lt;=W$89),SUMPRODUCT(W$5:W$81,TRANSPOSE(Data_All!$B55:$BZ55))%,"")</f>
        <v>0.12223586880949026</v>
      </c>
      <c r="X212" s="141">
        <f t="array" ref="X212">IF(AND($T212&gt;=X$88,$T212&lt;=X$89),SUMPRODUCT(X$5:X$81,TRANSPOSE(Data_All!$B55:$BZ55))%,"")</f>
        <v>0.13363251880545335</v>
      </c>
      <c r="Y212" s="141">
        <f t="array" ref="Y212">IF(AND($T212&gt;=Y$88,$T212&lt;=Y$89),SUMPRODUCT(Y$5:Y$81,TRANSPOSE(Data_All!$B55:$BZ55))%,"")</f>
        <v>0.14502916880141639</v>
      </c>
    </row>
    <row r="213" spans="2:25">
      <c r="B213" s="128">
        <f>$C$88-$B$165</f>
        <v>0</v>
      </c>
      <c r="C213" t="str">
        <f>CONCATENATE("Telltale chart relative to ", C$95)</f>
        <v>Telltale chart relative to P1</v>
      </c>
      <c r="K213" s="128">
        <f>$L$88-$K$178</f>
        <v>0</v>
      </c>
      <c r="L213" t="str">
        <f>CONCATENATE("Telltale chart relative to ", L$95)</f>
        <v>Telltale chart relative to P1</v>
      </c>
      <c r="T213" s="140">
        <f t="shared" si="6"/>
        <v>1919</v>
      </c>
      <c r="U213" s="141">
        <f t="array" ref="U213">IF(AND($T213&gt;=U$88,$T213&lt;=U$89),SUMPRODUCT(U$5:U$81,TRANSPOSE(Data_All!$B56:$BZ56))%,"")</f>
        <v>5.8965148635905462E-2</v>
      </c>
      <c r="V213" s="141">
        <f t="array" ref="V213">IF(AND($T213&gt;=V$88,$T213&lt;=V$89),SUMPRODUCT(V$5:V$81,TRANSPOSE(Data_All!$B56:$BZ56))%,"")</f>
        <v>9.7077016996529361E-2</v>
      </c>
      <c r="W213" s="141">
        <f t="array" ref="W213">IF(AND($T213&gt;=W$88,$T213&lt;=W$89),SUMPRODUCT(W$5:W$81,TRANSPOSE(Data_All!$B56:$BZ56))%,"")</f>
        <v>0.11613295117684132</v>
      </c>
      <c r="X213" s="141">
        <f t="array" ref="X213">IF(AND($T213&gt;=X$88,$T213&lt;=X$89),SUMPRODUCT(X$5:X$81,TRANSPOSE(Data_All!$B56:$BZ56))%,"")</f>
        <v>0.13518888535715326</v>
      </c>
      <c r="Y213" s="141">
        <f t="array" ref="Y213">IF(AND($T213&gt;=Y$88,$T213&lt;=Y$89),SUMPRODUCT(Y$5:Y$81,TRANSPOSE(Data_All!$B56:$BZ56))%,"")</f>
        <v>0.15424481953746522</v>
      </c>
    </row>
    <row r="214" spans="2:25">
      <c r="B214" s="128">
        <f>$C$88-1</f>
        <v>1971</v>
      </c>
      <c r="C214" s="615" t="b">
        <v>1</v>
      </c>
      <c r="D214" s="615" t="b">
        <v>1</v>
      </c>
      <c r="E214" s="615" t="b">
        <v>1</v>
      </c>
      <c r="F214" s="615" t="b">
        <v>1</v>
      </c>
      <c r="G214" s="615" t="b">
        <v>1</v>
      </c>
      <c r="K214" s="128">
        <f>$L$88-1</f>
        <v>1984</v>
      </c>
      <c r="L214" s="128" t="b">
        <v>1</v>
      </c>
      <c r="M214" s="128" t="b">
        <v>1</v>
      </c>
      <c r="N214" s="128" t="b">
        <v>1</v>
      </c>
      <c r="O214" s="128" t="b">
        <v>1</v>
      </c>
      <c r="P214" s="128" t="b">
        <v>1</v>
      </c>
      <c r="T214" s="140">
        <f t="shared" si="6"/>
        <v>1920</v>
      </c>
      <c r="U214" s="141">
        <f t="array" ref="U214">IF(AND($T214&gt;=U$88,$T214&lt;=U$89),SUMPRODUCT(U$5:U$81,TRANSPOSE(Data_All!$B57:$BZ57))%,"")</f>
        <v>-1.1563466026428463E-2</v>
      </c>
      <c r="V214" s="141">
        <f t="array" ref="V214">IF(AND($T214&gt;=V$88,$T214&lt;=V$89),SUMPRODUCT(V$5:V$81,TRANSPOSE(Data_All!$B57:$BZ57))%,"")</f>
        <v>-4.7411859328050754E-2</v>
      </c>
      <c r="W214" s="141">
        <f t="array" ref="W214">IF(AND($T214&gt;=W$88,$T214&lt;=W$89),SUMPRODUCT(W$5:W$81,TRANSPOSE(Data_All!$B57:$BZ57))%,"")</f>
        <v>-6.5336055978861884E-2</v>
      </c>
      <c r="X214" s="141">
        <f t="array" ref="X214">IF(AND($T214&gt;=X$88,$T214&lt;=X$89),SUMPRODUCT(X$5:X$81,TRANSPOSE(Data_All!$B57:$BZ57))%,"")</f>
        <v>-8.3260252629673029E-2</v>
      </c>
      <c r="Y214" s="141">
        <f t="array" ref="Y214">IF(AND($T214&gt;=Y$88,$T214&lt;=Y$89),SUMPRODUCT(Y$5:Y$81,TRANSPOSE(Data_All!$B57:$BZ57))%,"")</f>
        <v>-0.10118444928048419</v>
      </c>
    </row>
    <row r="215" spans="2:25">
      <c r="B215" s="600">
        <f t="shared" ref="B215:B259" si="10">IF(ROW()-ROW(B$214)&gt;$C$90, NA(), B214+1)</f>
        <v>1972</v>
      </c>
      <c r="C215" s="599">
        <f t="array" aca="1" ref="C215" ca="1">IF(AND(ISNUMBER($B215), C$214), POWER(GEOMEAN(1+OFFSET(C$165,$B$213,0,$B215-$B$214,1))/GEOMEAN(1+OFFSET($C$165,$B$213,0,$B215-$B$214,1)), 1+ROW()-ROW(C$215)), NA())</f>
        <v>1</v>
      </c>
      <c r="D215" s="599">
        <f t="array" aca="1" ref="D215" ca="1">IF(AND(ISNUMBER($B215), D$214), POWER(GEOMEAN(1+OFFSET(D$165,$B$213,0,$B215-$B$214,1))/GEOMEAN(1+OFFSET($C$165,$B$213,0,$B215-$B$214,1)), 1+ROW()-ROW(D$215)), NA())</f>
        <v>0.97054546930821883</v>
      </c>
      <c r="E215" s="599">
        <f t="array" aca="1" ref="E215" ca="1">IF(AND(ISNUMBER($B215), E$214), POWER(GEOMEAN(1+OFFSET(E$165,$B$213,0,$B215-$B$214,1))/GEOMEAN(1+OFFSET($C$165,$B$213,0,$B215-$B$214,1)), 1+ROW()-ROW(E$215)), NA())</f>
        <v>0.97838517306873751</v>
      </c>
      <c r="F215" s="599">
        <f t="array" aca="1" ref="F215" ca="1">IF(AND(ISNUMBER($B215), F$214), POWER(GEOMEAN(1+OFFSET(F$165,$B$213,0,$B215-$B$214,1))/GEOMEAN(1+OFFSET($C$165,$B$213,0,$B215-$B$214,1)), 1+ROW()-ROW(F$215)), NA())</f>
        <v>0.94884091165641016</v>
      </c>
      <c r="G215" s="599">
        <f t="array" aca="1" ref="G215" ca="1">IF(AND(ISNUMBER($B215), G$214), POWER(GEOMEAN(1+OFFSET(G$165,$B$213,0,$B215-$B$214,1))/GEOMEAN(1+OFFSET($C$165,$B$213,0,$B215-$B$214,1)), 1+ROW()-ROW(G$215)), NA())</f>
        <v>0.96646626174609351</v>
      </c>
      <c r="K215" s="600">
        <f>IF(ROW()-ROW(K$214)&gt;$L$90, NA(), K214+1)</f>
        <v>1985</v>
      </c>
      <c r="L215" s="599">
        <f t="array" aca="1" ref="L215" ca="1">IF(AND(ISNUMBER($K215), L$214), POWER(GEOMEAN(1+OFFSET(L$178,$K$213,0,$K215-$K$214,1))/GEOMEAN(1+OFFSET($L$178,$K$213,0,$K215-$K$214,1)), 1+ROW()-ROW(L$215)), NA())</f>
        <v>1</v>
      </c>
      <c r="M215" s="599">
        <f t="array" aca="1" ref="M215" ca="1">IF(AND(ISNUMBER($K215), M$214), POWER(GEOMEAN(1+OFFSET(M$178,$K$213,0,$K215-$K$214,1))/GEOMEAN(1+OFFSET($L$178,$K$213,0,$K215-$K$214,1)), 1+ROW()-ROW(M$215)), NA())</f>
        <v>0.97339249325253241</v>
      </c>
      <c r="N215" s="599">
        <f t="array" aca="1" ref="N215" ca="1">IF(AND(ISNUMBER($K215), N$214), POWER(GEOMEAN(1+OFFSET(N$178,$K$213,0,$K215-$K$214,1))/GEOMEAN(1+OFFSET($L$178,$K$213,0,$K215-$K$214,1)), 1+ROW()-ROW(N$215)), NA())</f>
        <v>1.1096478094194993</v>
      </c>
      <c r="O215" s="599">
        <f t="array" aca="1" ref="O215" ca="1">IF(AND(ISNUMBER($K215), O$214), POWER(GEOMEAN(1+OFFSET(O$178,$K$213,0,$K215-$K$214,1))/GEOMEAN(1+OFFSET($L$178,$K$213,0,$K215-$K$214,1)), 1+ROW()-ROW(O$215)), NA())</f>
        <v>1.089643427977705</v>
      </c>
      <c r="P215" s="599">
        <f t="array" aca="1" ref="P215" ca="1">IF(AND(ISNUMBER($K215), P$214), POWER(GEOMEAN(1+OFFSET(P$178,$K$213,0,$K215-$K$214,1))/GEOMEAN(1+OFFSET($L$178,$K$213,0,$K215-$K$214,1)), 1+ROW()-ROW(P$215)), NA())</f>
        <v>0.98937292894606843</v>
      </c>
      <c r="T215" s="140">
        <f t="shared" si="6"/>
        <v>1921</v>
      </c>
      <c r="U215" s="141">
        <f t="array" ref="U215">IF(AND($T215&gt;=U$88,$T215&lt;=U$89),SUMPRODUCT(U$5:U$81,TRANSPOSE(Data_All!$B58:$BZ58))%,"")</f>
        <v>0.11350070173584281</v>
      </c>
      <c r="V215" s="141">
        <f t="array" ref="V215">IF(AND($T215&gt;=V$88,$T215&lt;=V$89),SUMPRODUCT(V$5:V$81,TRANSPOSE(Data_All!$B58:$BZ58))%,"")</f>
        <v>0.10719208251374746</v>
      </c>
      <c r="W215" s="141">
        <f t="array" ref="W215">IF(AND($T215&gt;=W$88,$T215&lt;=W$89),SUMPRODUCT(W$5:W$81,TRANSPOSE(Data_All!$B58:$BZ58))%,"")</f>
        <v>0.10403777290269976</v>
      </c>
      <c r="X215" s="141">
        <f t="array" ref="X215">IF(AND($T215&gt;=X$88,$T215&lt;=X$89),SUMPRODUCT(X$5:X$81,TRANSPOSE(Data_All!$B58:$BZ58))%,"")</f>
        <v>0.10088346329165208</v>
      </c>
      <c r="Y215" s="141">
        <f t="array" ref="Y215">IF(AND($T215&gt;=Y$88,$T215&lt;=Y$89),SUMPRODUCT(Y$5:Y$81,TRANSPOSE(Data_All!$B58:$BZ58))%,"")</f>
        <v>9.7729153680604419E-2</v>
      </c>
    </row>
    <row r="216" spans="2:25">
      <c r="B216" s="600">
        <f t="shared" si="10"/>
        <v>1973</v>
      </c>
      <c r="C216" s="599">
        <f t="array" aca="1" ref="C216" ca="1">IF(AND(ISNUMBER($B216), C$214), POWER(GEOMEAN(1+OFFSET(C$165,$B$213,0,$B216-$B$214,1))/GEOMEAN(1+OFFSET($C$165,$B$213,0,$B216-$B$214,1)), 1+ROW()-ROW(C$215)), NA())</f>
        <v>1</v>
      </c>
      <c r="D216" s="599">
        <f t="array" aca="1" ref="D216" ca="1">IF(AND(ISNUMBER($B216), D$214), POWER(GEOMEAN(1+OFFSET(D$165,$B$213,0,$B216-$B$214,1))/GEOMEAN(1+OFFSET($C$165,$B$213,0,$B216-$B$214,1)), 1+ROW()-ROW(D$215)), NA())</f>
        <v>0.97840002019856831</v>
      </c>
      <c r="E216" s="599">
        <f t="array" aca="1" ref="E216" ca="1">IF(AND(ISNUMBER($B216), E$214), POWER(GEOMEAN(1+OFFSET(E$165,$B$213,0,$B216-$B$214,1))/GEOMEAN(1+OFFSET($C$165,$B$213,0,$B216-$B$214,1)), 1+ROW()-ROW(E$215)), NA())</f>
        <v>0.93500774143931309</v>
      </c>
      <c r="F216" s="599">
        <f t="array" aca="1" ref="F216" ca="1">IF(AND(ISNUMBER($B216), F$214), POWER(GEOMEAN(1+OFFSET(F$165,$B$213,0,$B216-$B$214,1))/GEOMEAN(1+OFFSET($C$165,$B$213,0,$B216-$B$214,1)), 1+ROW()-ROW(F$215)), NA())</f>
        <v>0.96518897493845013</v>
      </c>
      <c r="G216" s="599">
        <f t="array" aca="1" ref="G216" ca="1">IF(AND(ISNUMBER($B216), G$214), POWER(GEOMEAN(1+OFFSET(G$165,$B$213,0,$B216-$B$214,1))/GEOMEAN(1+OFFSET($C$165,$B$213,0,$B216-$B$214,1)), 1+ROW()-ROW(G$215)), NA())</f>
        <v>0.98856894510871363</v>
      </c>
      <c r="K216" s="600">
        <f t="shared" ref="K216:K245" si="11">IF(ROW()-ROW(K$214)&gt;$L$90, NA(), K215+1)</f>
        <v>1986</v>
      </c>
      <c r="L216" s="599">
        <f t="array" aca="1" ref="L216" ca="1">IF(AND(ISNUMBER($K216), L$214), POWER(GEOMEAN(1+OFFSET(L$178,$K$213,0,$K216-$K$214,1))/GEOMEAN(1+OFFSET($L$178,$K$213,0,$K216-$K$214,1)), 1+ROW()-ROW(L$215)), NA())</f>
        <v>1</v>
      </c>
      <c r="M216" s="599">
        <f t="array" aca="1" ref="M216" ca="1">IF(AND(ISNUMBER($K216), M$214), POWER(GEOMEAN(1+OFFSET(M$178,$K$213,0,$K216-$K$214,1))/GEOMEAN(1+OFFSET($L$178,$K$213,0,$K216-$K$214,1)), 1+ROW()-ROW(M$215)), NA())</f>
        <v>0.98968863718564737</v>
      </c>
      <c r="N216" s="599">
        <f t="array" aca="1" ref="N216" ca="1">IF(AND(ISNUMBER($K216), N$214), POWER(GEOMEAN(1+OFFSET(N$178,$K$213,0,$K216-$K$214,1))/GEOMEAN(1+OFFSET($L$178,$K$213,0,$K216-$K$214,1)), 1+ROW()-ROW(N$215)), NA())</f>
        <v>1.2588143944204131</v>
      </c>
      <c r="O216" s="599">
        <f t="array" aca="1" ref="O216" ca="1">IF(AND(ISNUMBER($K216), O$214), POWER(GEOMEAN(1+OFFSET(O$178,$K$213,0,$K216-$K$214,1))/GEOMEAN(1+OFFSET($L$178,$K$213,0,$K216-$K$214,1)), 1+ROW()-ROW(O$215)), NA())</f>
        <v>1.2352260944698099</v>
      </c>
      <c r="P216" s="599">
        <f t="array" aca="1" ref="P216" ca="1">IF(AND(ISNUMBER($K216), P$214), POWER(GEOMEAN(1+OFFSET(P$178,$K$213,0,$K216-$K$214,1))/GEOMEAN(1+OFFSET($L$178,$K$213,0,$K216-$K$214,1)), 1+ROW()-ROW(P$215)), NA())</f>
        <v>1.0346892072141307</v>
      </c>
      <c r="T216" s="140">
        <f t="shared" si="6"/>
        <v>1922</v>
      </c>
      <c r="U216" s="141">
        <f t="array" ref="U216">IF(AND($T216&gt;=U$88,$T216&lt;=U$89),SUMPRODUCT(U$5:U$81,TRANSPOSE(Data_All!$B59:$BZ59))%,"")</f>
        <v>0.11080984595487768</v>
      </c>
      <c r="V216" s="141">
        <f t="array" ref="V216">IF(AND($T216&gt;=V$88,$T216&lt;=V$89),SUMPRODUCT(V$5:V$81,TRANSPOSE(Data_All!$B59:$BZ59))%,"")</f>
        <v>0.16173306022217293</v>
      </c>
      <c r="W216" s="141">
        <f t="array" ref="W216">IF(AND($T216&gt;=W$88,$T216&lt;=W$89),SUMPRODUCT(W$5:W$81,TRANSPOSE(Data_All!$B59:$BZ59))%,"")</f>
        <v>0.18719466735582052</v>
      </c>
      <c r="X216" s="141">
        <f t="array" ref="X216">IF(AND($T216&gt;=X$88,$T216&lt;=X$89),SUMPRODUCT(X$5:X$81,TRANSPOSE(Data_All!$B59:$BZ59))%,"")</f>
        <v>0.21265627448946817</v>
      </c>
      <c r="Y216" s="141">
        <f t="array" ref="Y216">IF(AND($T216&gt;=Y$88,$T216&lt;=Y$89),SUMPRODUCT(Y$5:Y$81,TRANSPOSE(Data_All!$B59:$BZ59))%,"")</f>
        <v>0.23811788162311584</v>
      </c>
    </row>
    <row r="217" spans="2:25">
      <c r="B217" s="600">
        <f t="shared" si="10"/>
        <v>1974</v>
      </c>
      <c r="C217" s="599">
        <f t="array" aca="1" ref="C217" ca="1">IF(AND(ISNUMBER($B217), C$214), POWER(GEOMEAN(1+OFFSET(C$165,$B$213,0,$B217-$B$214,1))/GEOMEAN(1+OFFSET($C$165,$B$213,0,$B217-$B$214,1)), 1+ROW()-ROW(C$215)), NA())</f>
        <v>1</v>
      </c>
      <c r="D217" s="599">
        <f t="array" aca="1" ref="D217" ca="1">IF(AND(ISNUMBER($B217), D$214), POWER(GEOMEAN(1+OFFSET(D$165,$B$213,0,$B217-$B$214,1))/GEOMEAN(1+OFFSET($C$165,$B$213,0,$B217-$B$214,1)), 1+ROW()-ROW(D$215)), NA())</f>
        <v>1.0186092321947415</v>
      </c>
      <c r="E217" s="599">
        <f t="array" aca="1" ref="E217" ca="1">IF(AND(ISNUMBER($B217), E$214), POWER(GEOMEAN(1+OFFSET(E$165,$B$213,0,$B217-$B$214,1))/GEOMEAN(1+OFFSET($C$165,$B$213,0,$B217-$B$214,1)), 1+ROW()-ROW(E$215)), NA())</f>
        <v>0.96009149354068013</v>
      </c>
      <c r="F217" s="599">
        <f t="array" aca="1" ref="F217" ca="1">IF(AND(ISNUMBER($B217), F$214), POWER(GEOMEAN(1+OFFSET(F$165,$B$213,0,$B217-$B$214,1))/GEOMEAN(1+OFFSET($C$165,$B$213,0,$B217-$B$214,1)), 1+ROW()-ROW(F$215)), NA())</f>
        <v>1.0349588007734276</v>
      </c>
      <c r="G217" s="599">
        <f t="array" aca="1" ref="G217" ca="1">IF(AND(ISNUMBER($B217), G$214), POWER(GEOMEAN(1+OFFSET(G$165,$B$213,0,$B217-$B$214,1))/GEOMEAN(1+OFFSET($C$165,$B$213,0,$B217-$B$214,1)), 1+ROW()-ROW(G$215)), NA())</f>
        <v>1.0771194844856475</v>
      </c>
      <c r="K217" s="600">
        <f t="shared" si="11"/>
        <v>1987</v>
      </c>
      <c r="L217" s="599">
        <f t="array" aca="1" ref="L217" ca="1">IF(AND(ISNUMBER($K217), L$214), POWER(GEOMEAN(1+OFFSET(L$178,$K$213,0,$K217-$K$214,1))/GEOMEAN(1+OFFSET($L$178,$K$213,0,$K217-$K$214,1)), 1+ROW()-ROW(L$215)), NA())</f>
        <v>1</v>
      </c>
      <c r="M217" s="599">
        <f t="array" aca="1" ref="M217" ca="1">IF(AND(ISNUMBER($K217), M$214), POWER(GEOMEAN(1+OFFSET(M$178,$K$213,0,$K217-$K$214,1))/GEOMEAN(1+OFFSET($L$178,$K$213,0,$K217-$K$214,1)), 1+ROW()-ROW(M$215)), NA())</f>
        <v>0.99728733341988895</v>
      </c>
      <c r="N217" s="599">
        <f t="array" aca="1" ref="N217" ca="1">IF(AND(ISNUMBER($K217), N$214), POWER(GEOMEAN(1+OFFSET(N$178,$K$213,0,$K217-$K$214,1))/GEOMEAN(1+OFFSET($L$178,$K$213,0,$K217-$K$214,1)), 1+ROW()-ROW(N$215)), NA())</f>
        <v>1.2841859933251423</v>
      </c>
      <c r="O217" s="599">
        <f t="array" aca="1" ref="O217" ca="1">IF(AND(ISNUMBER($K217), O$214), POWER(GEOMEAN(1+OFFSET(O$178,$K$213,0,$K217-$K$214,1))/GEOMEAN(1+OFFSET($L$178,$K$213,0,$K217-$K$214,1)), 1+ROW()-ROW(O$215)), NA())</f>
        <v>1.2654831445567141</v>
      </c>
      <c r="P217" s="599">
        <f t="array" aca="1" ref="P217" ca="1">IF(AND(ISNUMBER($K217), P$214), POWER(GEOMEAN(1+OFFSET(P$178,$K$213,0,$K217-$K$214,1))/GEOMEAN(1+OFFSET($L$178,$K$213,0,$K217-$K$214,1)), 1+ROW()-ROW(P$215)), NA())</f>
        <v>1.0544652995163835</v>
      </c>
      <c r="T217" s="140">
        <f t="shared" si="6"/>
        <v>1923</v>
      </c>
      <c r="U217" s="141">
        <f t="array" ref="U217">IF(AND($T217&gt;=U$88,$T217&lt;=U$89),SUMPRODUCT(U$5:U$81,TRANSPOSE(Data_All!$B60:$BZ60))%,"")</f>
        <v>5.9213990487982551E-2</v>
      </c>
      <c r="V217" s="141">
        <f t="array" ref="V217">IF(AND($T217&gt;=V$88,$T217&lt;=V$89),SUMPRODUCT(V$5:V$81,TRANSPOSE(Data_All!$B60:$BZ60))%,"")</f>
        <v>5.7062962708109503E-2</v>
      </c>
      <c r="W217" s="141">
        <f t="array" ref="W217">IF(AND($T217&gt;=W$88,$T217&lt;=W$89),SUMPRODUCT(W$5:W$81,TRANSPOSE(Data_All!$B60:$BZ60))%,"")</f>
        <v>5.598744881817299E-2</v>
      </c>
      <c r="X217" s="141">
        <f t="array" ref="X217">IF(AND($T217&gt;=X$88,$T217&lt;=X$89),SUMPRODUCT(X$5:X$81,TRANSPOSE(Data_All!$B60:$BZ60))%,"")</f>
        <v>5.4911934928236469E-2</v>
      </c>
      <c r="Y217" s="141">
        <f t="array" ref="Y217">IF(AND($T217&gt;=Y$88,$T217&lt;=Y$89),SUMPRODUCT(Y$5:Y$81,TRANSPOSE(Data_All!$B60:$BZ60))%,"")</f>
        <v>5.3836421038299956E-2</v>
      </c>
    </row>
    <row r="218" spans="2:25">
      <c r="B218" s="600">
        <f t="shared" si="10"/>
        <v>1975</v>
      </c>
      <c r="C218" s="599">
        <f t="array" aca="1" ref="C218" ca="1">IF(AND(ISNUMBER($B218), C$214), POWER(GEOMEAN(1+OFFSET(C$165,$B$213,0,$B218-$B$214,1))/GEOMEAN(1+OFFSET($C$165,$B$213,0,$B218-$B$214,1)), 1+ROW()-ROW(C$215)), NA())</f>
        <v>1</v>
      </c>
      <c r="D218" s="599">
        <f t="array" aca="1" ref="D218" ca="1">IF(AND(ISNUMBER($B218), D$214), POWER(GEOMEAN(1+OFFSET(D$165,$B$213,0,$B218-$B$214,1))/GEOMEAN(1+OFFSET($C$165,$B$213,0,$B218-$B$214,1)), 1+ROW()-ROW(D$215)), NA())</f>
        <v>1.0663303658959054</v>
      </c>
      <c r="E218" s="599">
        <f t="array" aca="1" ref="E218" ca="1">IF(AND(ISNUMBER($B218), E$214), POWER(GEOMEAN(1+OFFSET(E$165,$B$213,0,$B218-$B$214,1))/GEOMEAN(1+OFFSET($C$165,$B$213,0,$B218-$B$214,1)), 1+ROW()-ROW(E$215)), NA())</f>
        <v>1.0193472927806346</v>
      </c>
      <c r="F218" s="599">
        <f t="array" aca="1" ref="F218" ca="1">IF(AND(ISNUMBER($B218), F$214), POWER(GEOMEAN(1+OFFSET(F$165,$B$213,0,$B218-$B$214,1))/GEOMEAN(1+OFFSET($C$165,$B$213,0,$B218-$B$214,1)), 1+ROW()-ROW(F$215)), NA())</f>
        <v>1.0516426061567463</v>
      </c>
      <c r="G218" s="599">
        <f t="array" aca="1" ref="G218" ca="1">IF(AND(ISNUMBER($B218), G$214), POWER(GEOMEAN(1+OFFSET(G$165,$B$213,0,$B218-$B$214,1))/GEOMEAN(1+OFFSET($C$165,$B$213,0,$B218-$B$214,1)), 1+ROW()-ROW(G$215)), NA())</f>
        <v>1.0606824065990113</v>
      </c>
      <c r="K218" s="600">
        <f t="shared" si="11"/>
        <v>1988</v>
      </c>
      <c r="L218" s="599">
        <f t="array" aca="1" ref="L218" ca="1">IF(AND(ISNUMBER($K218), L$214), POWER(GEOMEAN(1+OFFSET(L$178,$K$213,0,$K218-$K$214,1))/GEOMEAN(1+OFFSET($L$178,$K$213,0,$K218-$K$214,1)), 1+ROW()-ROW(L$215)), NA())</f>
        <v>1</v>
      </c>
      <c r="M218" s="599">
        <f t="array" aca="1" ref="M218" ca="1">IF(AND(ISNUMBER($K218), M$214), POWER(GEOMEAN(1+OFFSET(M$178,$K$213,0,$K218-$K$214,1))/GEOMEAN(1+OFFSET($L$178,$K$213,0,$K218-$K$214,1)), 1+ROW()-ROW(M$215)), NA())</f>
        <v>0.88634479344822914</v>
      </c>
      <c r="N218" s="599">
        <f t="array" aca="1" ref="N218" ca="1">IF(AND(ISNUMBER($K218), N$214), POWER(GEOMEAN(1+OFFSET(N$178,$K$213,0,$K218-$K$214,1))/GEOMEAN(1+OFFSET($L$178,$K$213,0,$K218-$K$214,1)), 1+ROW()-ROW(N$215)), NA())</f>
        <v>1.3226130682554695</v>
      </c>
      <c r="O218" s="599">
        <f t="array" aca="1" ref="O218" ca="1">IF(AND(ISNUMBER($K218), O$214), POWER(GEOMEAN(1+OFFSET(O$178,$K$213,0,$K218-$K$214,1))/GEOMEAN(1+OFFSET($L$178,$K$213,0,$K218-$K$214,1)), 1+ROW()-ROW(O$215)), NA())</f>
        <v>1.3107388170940133</v>
      </c>
      <c r="P218" s="599">
        <f t="array" aca="1" ref="P218" ca="1">IF(AND(ISNUMBER($K218), P$214), POWER(GEOMEAN(1+OFFSET(P$178,$K$213,0,$K218-$K$214,1))/GEOMEAN(1+OFFSET($L$178,$K$213,0,$K218-$K$214,1)), 1+ROW()-ROW(P$215)), NA())</f>
        <v>0.94099348414725115</v>
      </c>
      <c r="T218" s="140">
        <f t="shared" si="6"/>
        <v>1924</v>
      </c>
      <c r="U218" s="141">
        <f t="array" ref="U218">IF(AND($T218&gt;=U$88,$T218&lt;=U$89),SUMPRODUCT(U$5:U$81,TRANSPOSE(Data_All!$B61:$BZ61))%,"")</f>
        <v>0.11617649904888547</v>
      </c>
      <c r="V218" s="141">
        <f t="array" ref="V218">IF(AND($T218&gt;=V$88,$T218&lt;=V$89),SUMPRODUCT(V$5:V$81,TRANSPOSE(Data_All!$B61:$BZ61))%,"")</f>
        <v>0.1574048282318119</v>
      </c>
      <c r="W218" s="141">
        <f t="array" ref="W218">IF(AND($T218&gt;=W$88,$T218&lt;=W$89),SUMPRODUCT(W$5:W$81,TRANSPOSE(Data_All!$B61:$BZ61))%,"")</f>
        <v>0.1780189928232751</v>
      </c>
      <c r="X218" s="141">
        <f t="array" ref="X218">IF(AND($T218&gt;=X$88,$T218&lt;=X$89),SUMPRODUCT(X$5:X$81,TRANSPOSE(Data_All!$B61:$BZ61))%,"")</f>
        <v>0.1986331574147383</v>
      </c>
      <c r="Y218" s="141">
        <f t="array" ref="Y218">IF(AND($T218&gt;=Y$88,$T218&lt;=Y$89),SUMPRODUCT(Y$5:Y$81,TRANSPOSE(Data_All!$B61:$BZ61))%,"")</f>
        <v>0.21924732200620156</v>
      </c>
    </row>
    <row r="219" spans="2:25">
      <c r="B219" s="600">
        <f t="shared" si="10"/>
        <v>1976</v>
      </c>
      <c r="C219" s="599">
        <f t="array" aca="1" ref="C219" ca="1">IF(AND(ISNUMBER($B219), C$214), POWER(GEOMEAN(1+OFFSET(C$165,$B$213,0,$B219-$B$214,1))/GEOMEAN(1+OFFSET($C$165,$B$213,0,$B219-$B$214,1)), 1+ROW()-ROW(C$215)), NA())</f>
        <v>1</v>
      </c>
      <c r="D219" s="599">
        <f t="array" aca="1" ref="D219" ca="1">IF(AND(ISNUMBER($B219), D$214), POWER(GEOMEAN(1+OFFSET(D$165,$B$213,0,$B219-$B$214,1))/GEOMEAN(1+OFFSET($C$165,$B$213,0,$B219-$B$214,1)), 1+ROW()-ROW(D$215)), NA())</f>
        <v>1.1454417849906069</v>
      </c>
      <c r="E219" s="599">
        <f t="array" aca="1" ref="E219" ca="1">IF(AND(ISNUMBER($B219), E$214), POWER(GEOMEAN(1+OFFSET(E$165,$B$213,0,$B219-$B$214,1))/GEOMEAN(1+OFFSET($C$165,$B$213,0,$B219-$B$214,1)), 1+ROW()-ROW(E$215)), NA())</f>
        <v>1.0990343335863844</v>
      </c>
      <c r="F219" s="599">
        <f t="array" aca="1" ref="F219" ca="1">IF(AND(ISNUMBER($B219), F$214), POWER(GEOMEAN(1+OFFSET(F$165,$B$213,0,$B219-$B$214,1))/GEOMEAN(1+OFFSET($C$165,$B$213,0,$B219-$B$214,1)), 1+ROW()-ROW(F$215)), NA())</f>
        <v>1.1423369302437214</v>
      </c>
      <c r="G219" s="599">
        <f t="array" aca="1" ref="G219" ca="1">IF(AND(ISNUMBER($B219), G$214), POWER(GEOMEAN(1+OFFSET(G$165,$B$213,0,$B219-$B$214,1))/GEOMEAN(1+OFFSET($C$165,$B$213,0,$B219-$B$214,1)), 1+ROW()-ROW(G$215)), NA())</f>
        <v>1.0451780733645726</v>
      </c>
      <c r="K219" s="600">
        <f t="shared" si="11"/>
        <v>1989</v>
      </c>
      <c r="L219" s="599">
        <f t="array" aca="1" ref="L219" ca="1">IF(AND(ISNUMBER($K219), L$214), POWER(GEOMEAN(1+OFFSET(L$178,$K$213,0,$K219-$K$214,1))/GEOMEAN(1+OFFSET($L$178,$K$213,0,$K219-$K$214,1)), 1+ROW()-ROW(L$215)), NA())</f>
        <v>1</v>
      </c>
      <c r="M219" s="599">
        <f t="array" aca="1" ref="M219" ca="1">IF(AND(ISNUMBER($K219), M$214), POWER(GEOMEAN(1+OFFSET(M$178,$K$213,0,$K219-$K$214,1))/GEOMEAN(1+OFFSET($L$178,$K$213,0,$K219-$K$214,1)), 1+ROW()-ROW(M$215)), NA())</f>
        <v>0.82710484957551944</v>
      </c>
      <c r="N219" s="599">
        <f t="array" aca="1" ref="N219" ca="1">IF(AND(ISNUMBER($K219), N$214), POWER(GEOMEAN(1+OFFSET(N$178,$K$213,0,$K219-$K$214,1))/GEOMEAN(1+OFFSET($L$178,$K$213,0,$K219-$K$214,1)), 1+ROW()-ROW(N$215)), NA())</f>
        <v>1.3265096280670763</v>
      </c>
      <c r="O219" s="599">
        <f t="array" aca="1" ref="O219" ca="1">IF(AND(ISNUMBER($K219), O$214), POWER(GEOMEAN(1+OFFSET(O$178,$K$213,0,$K219-$K$214,1))/GEOMEAN(1+OFFSET($L$178,$K$213,0,$K219-$K$214,1)), 1+ROW()-ROW(O$215)), NA())</f>
        <v>1.2852884936207547</v>
      </c>
      <c r="P219" s="599">
        <f t="array" aca="1" ref="P219" ca="1">IF(AND(ISNUMBER($K219), P$214), POWER(GEOMEAN(1+OFFSET(P$178,$K$213,0,$K219-$K$214,1))/GEOMEAN(1+OFFSET($L$178,$K$213,0,$K219-$K$214,1)), 1+ROW()-ROW(P$215)), NA())</f>
        <v>0.8738373609021004</v>
      </c>
      <c r="T219" s="140">
        <f t="shared" si="6"/>
        <v>1925</v>
      </c>
      <c r="U219" s="141">
        <f t="array" ref="U219">IF(AND($T219&gt;=U$88,$T219&lt;=U$89),SUMPRODUCT(U$5:U$81,TRANSPOSE(Data_All!$B62:$BZ62))%,"")</f>
        <v>0.10107770999725024</v>
      </c>
      <c r="V219" s="141">
        <f t="array" ref="V219">IF(AND($T219&gt;=V$88,$T219&lt;=V$89),SUMPRODUCT(V$5:V$81,TRANSPOSE(Data_All!$B62:$BZ62))%,"")</f>
        <v>0.14430206398669376</v>
      </c>
      <c r="W219" s="141">
        <f t="array" ref="W219">IF(AND($T219&gt;=W$88,$T219&lt;=W$89),SUMPRODUCT(W$5:W$81,TRANSPOSE(Data_All!$B62:$BZ62))%,"")</f>
        <v>0.16591424098141552</v>
      </c>
      <c r="X219" s="141">
        <f t="array" ref="X219">IF(AND($T219&gt;=X$88,$T219&lt;=X$89),SUMPRODUCT(X$5:X$81,TRANSPOSE(Data_All!$B62:$BZ62))%,"")</f>
        <v>0.18752641797613723</v>
      </c>
      <c r="Y219" s="141">
        <f t="array" ref="Y219">IF(AND($T219&gt;=Y$88,$T219&lt;=Y$89),SUMPRODUCT(Y$5:Y$81,TRANSPOSE(Data_All!$B62:$BZ62))%,"")</f>
        <v>0.20913859497085902</v>
      </c>
    </row>
    <row r="220" spans="2:25">
      <c r="B220" s="600">
        <f t="shared" si="10"/>
        <v>1977</v>
      </c>
      <c r="C220" s="599">
        <f t="array" aca="1" ref="C220" ca="1">IF(AND(ISNUMBER($B220), C$214), POWER(GEOMEAN(1+OFFSET(C$165,$B$213,0,$B220-$B$214,1))/GEOMEAN(1+OFFSET($C$165,$B$213,0,$B220-$B$214,1)), 1+ROW()-ROW(C$215)), NA())</f>
        <v>1</v>
      </c>
      <c r="D220" s="599">
        <f t="array" aca="1" ref="D220" ca="1">IF(AND(ISNUMBER($B220), D$214), POWER(GEOMEAN(1+OFFSET(D$165,$B$213,0,$B220-$B$214,1))/GEOMEAN(1+OFFSET($C$165,$B$213,0,$B220-$B$214,1)), 1+ROW()-ROW(D$215)), NA())</f>
        <v>1.2125352625636185</v>
      </c>
      <c r="E220" s="599">
        <f t="array" aca="1" ref="E220" ca="1">IF(AND(ISNUMBER($B220), E$214), POWER(GEOMEAN(1+OFFSET(E$165,$B$213,0,$B220-$B$214,1))/GEOMEAN(1+OFFSET($C$165,$B$213,0,$B220-$B$214,1)), 1+ROW()-ROW(E$215)), NA())</f>
        <v>1.1956189971511135</v>
      </c>
      <c r="F220" s="599">
        <f t="array" aca="1" ref="F220" ca="1">IF(AND(ISNUMBER($B220), F$214), POWER(GEOMEAN(1+OFFSET(F$165,$B$213,0,$B220-$B$214,1))/GEOMEAN(1+OFFSET($C$165,$B$213,0,$B220-$B$214,1)), 1+ROW()-ROW(F$215)), NA())</f>
        <v>1.2462111771001594</v>
      </c>
      <c r="G220" s="599">
        <f t="array" aca="1" ref="G220" ca="1">IF(AND(ISNUMBER($B220), G$214), POWER(GEOMEAN(1+OFFSET(G$165,$B$213,0,$B220-$B$214,1))/GEOMEAN(1+OFFSET($C$165,$B$213,0,$B220-$B$214,1)), 1+ROW()-ROW(G$215)), NA())</f>
        <v>1.1142852338159963</v>
      </c>
      <c r="K220" s="600">
        <f t="shared" si="11"/>
        <v>1990</v>
      </c>
      <c r="L220" s="599">
        <f t="array" aca="1" ref="L220" ca="1">IF(AND(ISNUMBER($K220), L$214), POWER(GEOMEAN(1+OFFSET(L$178,$K$213,0,$K220-$K$214,1))/GEOMEAN(1+OFFSET($L$178,$K$213,0,$K220-$K$214,1)), 1+ROW()-ROW(L$215)), NA())</f>
        <v>1</v>
      </c>
      <c r="M220" s="599">
        <f t="array" aca="1" ref="M220" ca="1">IF(AND(ISNUMBER($K220), M$214), POWER(GEOMEAN(1+OFFSET(M$178,$K$213,0,$K220-$K$214,1))/GEOMEAN(1+OFFSET($L$178,$K$213,0,$K220-$K$214,1)), 1+ROW()-ROW(M$215)), NA())</f>
        <v>0.81623984176425035</v>
      </c>
      <c r="N220" s="599">
        <f t="array" aca="1" ref="N220" ca="1">IF(AND(ISNUMBER($K220), N$214), POWER(GEOMEAN(1+OFFSET(N$178,$K$213,0,$K220-$K$214,1))/GEOMEAN(1+OFFSET($L$178,$K$213,0,$K220-$K$214,1)), 1+ROW()-ROW(N$215)), NA())</f>
        <v>1.1692489411100973</v>
      </c>
      <c r="O220" s="599">
        <f t="array" aca="1" ref="O220" ca="1">IF(AND(ISNUMBER($K220), O$214), POWER(GEOMEAN(1+OFFSET(O$178,$K$213,0,$K220-$K$214,1))/GEOMEAN(1+OFFSET($L$178,$K$213,0,$K220-$K$214,1)), 1+ROW()-ROW(O$215)), NA())</f>
        <v>1.1348557484944721</v>
      </c>
      <c r="P220" s="599">
        <f t="array" aca="1" ref="P220" ca="1">IF(AND(ISNUMBER($K220), P$214), POWER(GEOMEAN(1+OFFSET(P$178,$K$213,0,$K220-$K$214,1))/GEOMEAN(1+OFFSET($L$178,$K$213,0,$K220-$K$214,1)), 1+ROW()-ROW(P$215)), NA())</f>
        <v>0.85663352235606427</v>
      </c>
      <c r="T220" s="140">
        <f t="shared" si="6"/>
        <v>1926</v>
      </c>
      <c r="U220" s="141">
        <f t="array" ref="U220">IF(AND($T220&gt;=U$88,$T220&lt;=U$89),SUMPRODUCT(U$5:U$81,TRANSPOSE(Data_All!$B63:$BZ63))%,"")</f>
        <v>6.6409529946595325E-2</v>
      </c>
      <c r="V220" s="141">
        <f t="array" ref="V220">IF(AND($T220&gt;=V$88,$T220&lt;=V$89),SUMPRODUCT(V$5:V$81,TRANSPOSE(Data_All!$B63:$BZ63))%,"")</f>
        <v>7.9959376274671423E-2</v>
      </c>
      <c r="W220" s="141">
        <f t="array" ref="W220">IF(AND($T220&gt;=W$88,$T220&lt;=W$89),SUMPRODUCT(W$5:W$81,TRANSPOSE(Data_All!$B63:$BZ63))%,"")</f>
        <v>8.6734299438709458E-2</v>
      </c>
      <c r="X220" s="141">
        <f t="array" ref="X220">IF(AND($T220&gt;=X$88,$T220&lt;=X$89),SUMPRODUCT(X$5:X$81,TRANSPOSE(Data_All!$B63:$BZ63))%,"")</f>
        <v>9.3509222602747535E-2</v>
      </c>
      <c r="Y220" s="141">
        <f t="array" ref="Y220">IF(AND($T220&gt;=Y$88,$T220&lt;=Y$89),SUMPRODUCT(Y$5:Y$81,TRANSPOSE(Data_All!$B63:$BZ63))%,"")</f>
        <v>0.10028414576678558</v>
      </c>
    </row>
    <row r="221" spans="2:25">
      <c r="B221" s="600">
        <f t="shared" si="10"/>
        <v>1978</v>
      </c>
      <c r="C221" s="599">
        <f t="array" aca="1" ref="C221" ca="1">IF(AND(ISNUMBER($B221), C$214), POWER(GEOMEAN(1+OFFSET(C$165,$B$213,0,$B221-$B$214,1))/GEOMEAN(1+OFFSET($C$165,$B$213,0,$B221-$B$214,1)), 1+ROW()-ROW(C$215)), NA())</f>
        <v>1</v>
      </c>
      <c r="D221" s="599">
        <f t="array" aca="1" ref="D221" ca="1">IF(AND(ISNUMBER($B221), D$214), POWER(GEOMEAN(1+OFFSET(D$165,$B$213,0,$B221-$B$214,1))/GEOMEAN(1+OFFSET($C$165,$B$213,0,$B221-$B$214,1)), 1+ROW()-ROW(D$215)), NA())</f>
        <v>1.2305849048768451</v>
      </c>
      <c r="E221" s="599">
        <f t="array" aca="1" ref="E221" ca="1">IF(AND(ISNUMBER($B221), E$214), POWER(GEOMEAN(1+OFFSET(E$165,$B$213,0,$B221-$B$214,1))/GEOMEAN(1+OFFSET($C$165,$B$213,0,$B221-$B$214,1)), 1+ROW()-ROW(E$215)), NA())</f>
        <v>1.251809094233282</v>
      </c>
      <c r="F221" s="599">
        <f t="array" aca="1" ref="F221" ca="1">IF(AND(ISNUMBER($B221), F$214), POWER(GEOMEAN(1+OFFSET(F$165,$B$213,0,$B221-$B$214,1))/GEOMEAN(1+OFFSET($C$165,$B$213,0,$B221-$B$214,1)), 1+ROW()-ROW(F$215)), NA())</f>
        <v>1.2715956733422304</v>
      </c>
      <c r="G221" s="599">
        <f t="array" aca="1" ref="G221" ca="1">IF(AND(ISNUMBER($B221), G$214), POWER(GEOMEAN(1+OFFSET(G$165,$B$213,0,$B221-$B$214,1))/GEOMEAN(1+OFFSET($C$165,$B$213,0,$B221-$B$214,1)), 1+ROW()-ROW(G$215)), NA())</f>
        <v>1.1443140955113922</v>
      </c>
      <c r="K221" s="600">
        <f t="shared" si="11"/>
        <v>1991</v>
      </c>
      <c r="L221" s="599">
        <f t="array" aca="1" ref="L221" ca="1">IF(AND(ISNUMBER($K221), L$214), POWER(GEOMEAN(1+OFFSET(L$178,$K$213,0,$K221-$K$214,1))/GEOMEAN(1+OFFSET($L$178,$K$213,0,$K221-$K$214,1)), 1+ROW()-ROW(L$215)), NA())</f>
        <v>1</v>
      </c>
      <c r="M221" s="599">
        <f t="array" aca="1" ref="M221" ca="1">IF(AND(ISNUMBER($K221), M$214), POWER(GEOMEAN(1+OFFSET(M$178,$K$213,0,$K221-$K$214,1))/GEOMEAN(1+OFFSET($L$178,$K$213,0,$K221-$K$214,1)), 1+ROW()-ROW(M$215)), NA())</f>
        <v>0.7396758197355281</v>
      </c>
      <c r="N221" s="599">
        <f t="array" aca="1" ref="N221" ca="1">IF(AND(ISNUMBER($K221), N$214), POWER(GEOMEAN(1+OFFSET(N$178,$K$213,0,$K221-$K$214,1))/GEOMEAN(1+OFFSET($L$178,$K$213,0,$K221-$K$214,1)), 1+ROW()-ROW(N$215)), NA())</f>
        <v>1.2005082976933725</v>
      </c>
      <c r="O221" s="599">
        <f t="array" aca="1" ref="O221" ca="1">IF(AND(ISNUMBER($K221), O$214), POWER(GEOMEAN(1+OFFSET(O$178,$K$213,0,$K221-$K$214,1))/GEOMEAN(1+OFFSET($L$178,$K$213,0,$K221-$K$214,1)), 1+ROW()-ROW(O$215)), NA())</f>
        <v>1.1636121739784369</v>
      </c>
      <c r="P221" s="599">
        <f t="array" aca="1" ref="P221" ca="1">IF(AND(ISNUMBER($K221), P$214), POWER(GEOMEAN(1+OFFSET(P$178,$K$213,0,$K221-$K$214,1))/GEOMEAN(1+OFFSET($L$178,$K$213,0,$K221-$K$214,1)), 1+ROW()-ROW(P$215)), NA())</f>
        <v>0.77515175875979392</v>
      </c>
      <c r="T221" s="140">
        <f t="shared" si="6"/>
        <v>1927</v>
      </c>
      <c r="U221" s="141">
        <f t="array" ref="U221">IF(AND($T221&gt;=U$88,$T221&lt;=U$89),SUMPRODUCT(U$5:U$81,TRANSPOSE(Data_All!$B64:$BZ64))%,"")</f>
        <v>0.12787341442887759</v>
      </c>
      <c r="V221" s="141">
        <f t="array" ref="V221">IF(AND($T221&gt;=V$88,$T221&lt;=V$89),SUMPRODUCT(V$5:V$81,TRANSPOSE(Data_All!$B64:$BZ64))%,"")</f>
        <v>0.19581576510378249</v>
      </c>
      <c r="W221" s="141">
        <f t="array" ref="W221">IF(AND($T221&gt;=W$88,$T221&lt;=W$89),SUMPRODUCT(W$5:W$81,TRANSPOSE(Data_All!$B64:$BZ64))%,"")</f>
        <v>0.22978694044123496</v>
      </c>
      <c r="X221" s="141">
        <f t="array" ref="X221">IF(AND($T221&gt;=X$88,$T221&lt;=X$89),SUMPRODUCT(X$5:X$81,TRANSPOSE(Data_All!$B64:$BZ64))%,"")</f>
        <v>0.26375811577868741</v>
      </c>
      <c r="Y221" s="141">
        <f t="array" ref="Y221">IF(AND($T221&gt;=Y$88,$T221&lt;=Y$89),SUMPRODUCT(Y$5:Y$81,TRANSPOSE(Data_All!$B64:$BZ64))%,"")</f>
        <v>0.29772929111613988</v>
      </c>
    </row>
    <row r="222" spans="2:25">
      <c r="B222" s="600">
        <f t="shared" si="10"/>
        <v>1979</v>
      </c>
      <c r="C222" s="599">
        <f t="array" aca="1" ref="C222" ca="1">IF(AND(ISNUMBER($B222), C$214), POWER(GEOMEAN(1+OFFSET(C$165,$B$213,0,$B222-$B$214,1))/GEOMEAN(1+OFFSET($C$165,$B$213,0,$B222-$B$214,1)), 1+ROW()-ROW(C$215)), NA())</f>
        <v>1</v>
      </c>
      <c r="D222" s="599">
        <f t="array" aca="1" ref="D222" ca="1">IF(AND(ISNUMBER($B222), D$214), POWER(GEOMEAN(1+OFFSET(D$165,$B$213,0,$B222-$B$214,1))/GEOMEAN(1+OFFSET($C$165,$B$213,0,$B222-$B$214,1)), 1+ROW()-ROW(D$215)), NA())</f>
        <v>1.2647471619993822</v>
      </c>
      <c r="E222" s="599">
        <f t="array" aca="1" ref="E222" ca="1">IF(AND(ISNUMBER($B222), E$214), POWER(GEOMEAN(1+OFFSET(E$165,$B$213,0,$B222-$B$214,1))/GEOMEAN(1+OFFSET($C$165,$B$213,0,$B222-$B$214,1)), 1+ROW()-ROW(E$215)), NA())</f>
        <v>1.297141759601411</v>
      </c>
      <c r="F222" s="599">
        <f t="array" aca="1" ref="F222" ca="1">IF(AND(ISNUMBER($B222), F$214), POWER(GEOMEAN(1+OFFSET(F$165,$B$213,0,$B222-$B$214,1))/GEOMEAN(1+OFFSET($C$165,$B$213,0,$B222-$B$214,1)), 1+ROW()-ROW(F$215)), NA())</f>
        <v>1.3233724522392818</v>
      </c>
      <c r="G222" s="599">
        <f t="array" aca="1" ref="G222" ca="1">IF(AND(ISNUMBER($B222), G$214), POWER(GEOMEAN(1+OFFSET(G$165,$B$213,0,$B222-$B$214,1))/GEOMEAN(1+OFFSET($C$165,$B$213,0,$B222-$B$214,1)), 1+ROW()-ROW(G$215)), NA())</f>
        <v>1.1294795342008117</v>
      </c>
      <c r="K222" s="600">
        <f t="shared" si="11"/>
        <v>1992</v>
      </c>
      <c r="L222" s="599">
        <f t="array" aca="1" ref="L222" ca="1">IF(AND(ISNUMBER($K222), L$214), POWER(GEOMEAN(1+OFFSET(L$178,$K$213,0,$K222-$K$214,1))/GEOMEAN(1+OFFSET($L$178,$K$213,0,$K222-$K$214,1)), 1+ROW()-ROW(L$215)), NA())</f>
        <v>1</v>
      </c>
      <c r="M222" s="599">
        <f t="array" aca="1" ref="M222" ca="1">IF(AND(ISNUMBER($K222), M$214), POWER(GEOMEAN(1+OFFSET(M$178,$K$213,0,$K222-$K$214,1))/GEOMEAN(1+OFFSET($L$178,$K$213,0,$K222-$K$214,1)), 1+ROW()-ROW(M$215)), NA())</f>
        <v>0.70728010910703376</v>
      </c>
      <c r="N222" s="599">
        <f t="array" aca="1" ref="N222" ca="1">IF(AND(ISNUMBER($K222), N$214), POWER(GEOMEAN(1+OFFSET(N$178,$K$213,0,$K222-$K$214,1))/GEOMEAN(1+OFFSET($L$178,$K$213,0,$K222-$K$214,1)), 1+ROW()-ROW(N$215)), NA())</f>
        <v>1.186358540812406</v>
      </c>
      <c r="O222" s="599">
        <f t="array" aca="1" ref="O222" ca="1">IF(AND(ISNUMBER($K222), O$214), POWER(GEOMEAN(1+OFFSET(O$178,$K$213,0,$K222-$K$214,1))/GEOMEAN(1+OFFSET($L$178,$K$213,0,$K222-$K$214,1)), 1+ROW()-ROW(O$215)), NA())</f>
        <v>1.1576207856102299</v>
      </c>
      <c r="P222" s="599">
        <f t="array" aca="1" ref="P222" ca="1">IF(AND(ISNUMBER($K222), P$214), POWER(GEOMEAN(1+OFFSET(P$178,$K$213,0,$K222-$K$214,1))/GEOMEAN(1+OFFSET($L$178,$K$213,0,$K222-$K$214,1)), 1+ROW()-ROW(P$215)), NA())</f>
        <v>0.73740433286476981</v>
      </c>
      <c r="T222" s="140">
        <f t="shared" si="6"/>
        <v>1928</v>
      </c>
      <c r="U222" s="141">
        <f t="array" ref="U222">IF(AND($T222&gt;=U$88,$T222&lt;=U$89),SUMPRODUCT(U$5:U$81,TRANSPOSE(Data_All!$B65:$BZ65))%,"")</f>
        <v>0.14036402876516924</v>
      </c>
      <c r="V222" s="141">
        <f t="array" ref="V222">IF(AND($T222&gt;=V$88,$T222&lt;=V$89),SUMPRODUCT(V$5:V$81,TRANSPOSE(Data_All!$B65:$BZ65))%,"")</f>
        <v>0.23358248815310145</v>
      </c>
      <c r="W222" s="141">
        <f t="array" ref="W222">IF(AND($T222&gt;=W$88,$T222&lt;=W$89),SUMPRODUCT(W$5:W$81,TRANSPOSE(Data_All!$B65:$BZ65))%,"")</f>
        <v>0.28019171784706759</v>
      </c>
      <c r="X222" s="141">
        <f t="array" ref="X222">IF(AND($T222&gt;=X$88,$T222&lt;=X$89),SUMPRODUCT(X$5:X$81,TRANSPOSE(Data_All!$B65:$BZ65))%,"")</f>
        <v>0.32680094754103367</v>
      </c>
      <c r="Y222" s="141">
        <f t="array" ref="Y222">IF(AND($T222&gt;=Y$88,$T222&lt;=Y$89),SUMPRODUCT(Y$5:Y$81,TRANSPOSE(Data_All!$B65:$BZ65))%,"")</f>
        <v>0.37341017723499981</v>
      </c>
    </row>
    <row r="223" spans="2:25">
      <c r="B223" s="600">
        <f t="shared" si="10"/>
        <v>1980</v>
      </c>
      <c r="C223" s="599">
        <f t="array" aca="1" ref="C223" ca="1">IF(AND(ISNUMBER($B223), C$214), POWER(GEOMEAN(1+OFFSET(C$165,$B$213,0,$B223-$B$214,1))/GEOMEAN(1+OFFSET($C$165,$B$213,0,$B223-$B$214,1)), 1+ROW()-ROW(C$215)), NA())</f>
        <v>1</v>
      </c>
      <c r="D223" s="599">
        <f t="array" aca="1" ref="D223" ca="1">IF(AND(ISNUMBER($B223), D$214), POWER(GEOMEAN(1+OFFSET(D$165,$B$213,0,$B223-$B$214,1))/GEOMEAN(1+OFFSET($C$165,$B$213,0,$B223-$B$214,1)), 1+ROW()-ROW(D$215)), NA())</f>
        <v>1.2376576656761378</v>
      </c>
      <c r="E223" s="599">
        <f t="array" aca="1" ref="E223" ca="1">IF(AND(ISNUMBER($B223), E$214), POWER(GEOMEAN(1+OFFSET(E$165,$B$213,0,$B223-$B$214,1))/GEOMEAN(1+OFFSET($C$165,$B$213,0,$B223-$B$214,1)), 1+ROW()-ROW(E$215)), NA())</f>
        <v>1.2830809929197888</v>
      </c>
      <c r="F223" s="599">
        <f t="array" aca="1" ref="F223" ca="1">IF(AND(ISNUMBER($B223), F$214), POWER(GEOMEAN(1+OFFSET(F$165,$B$213,0,$B223-$B$214,1))/GEOMEAN(1+OFFSET($C$165,$B$213,0,$B223-$B$214,1)), 1+ROW()-ROW(F$215)), NA())</f>
        <v>1.3006619955217316</v>
      </c>
      <c r="G223" s="599">
        <f t="array" aca="1" ref="G223" ca="1">IF(AND(ISNUMBER($B223), G$214), POWER(GEOMEAN(1+OFFSET(G$165,$B$213,0,$B223-$B$214,1))/GEOMEAN(1+OFFSET($C$165,$B$213,0,$B223-$B$214,1)), 1+ROW()-ROW(G$215)), NA())</f>
        <v>1.0936267534802151</v>
      </c>
      <c r="K223" s="600">
        <f t="shared" si="11"/>
        <v>1993</v>
      </c>
      <c r="L223" s="599">
        <f t="array" aca="1" ref="L223" ca="1">IF(AND(ISNUMBER($K223), L$214), POWER(GEOMEAN(1+OFFSET(L$178,$K$213,0,$K223-$K$214,1))/GEOMEAN(1+OFFSET($L$178,$K$213,0,$K223-$K$214,1)), 1+ROW()-ROW(L$215)), NA())</f>
        <v>1</v>
      </c>
      <c r="M223" s="599">
        <f t="array" aca="1" ref="M223" ca="1">IF(AND(ISNUMBER($K223), M$214), POWER(GEOMEAN(1+OFFSET(M$178,$K$213,0,$K223-$K$214,1))/GEOMEAN(1+OFFSET($L$178,$K$213,0,$K223-$K$214,1)), 1+ROW()-ROW(M$215)), NA())</f>
        <v>0.70831503565505516</v>
      </c>
      <c r="N223" s="599">
        <f t="array" aca="1" ref="N223" ca="1">IF(AND(ISNUMBER($K223), N$214), POWER(GEOMEAN(1+OFFSET(N$178,$K$213,0,$K223-$K$214,1))/GEOMEAN(1+OFFSET($L$178,$K$213,0,$K223-$K$214,1)), 1+ROW()-ROW(N$215)), NA())</f>
        <v>1.3143237347615</v>
      </c>
      <c r="O223" s="599">
        <f t="array" aca="1" ref="O223" ca="1">IF(AND(ISNUMBER($K223), O$214), POWER(GEOMEAN(1+OFFSET(O$178,$K$213,0,$K223-$K$214,1))/GEOMEAN(1+OFFSET($L$178,$K$213,0,$K223-$K$214,1)), 1+ROW()-ROW(O$215)), NA())</f>
        <v>1.2892451179821582</v>
      </c>
      <c r="P223" s="599">
        <f t="array" aca="1" ref="P223" ca="1">IF(AND(ISNUMBER($K223), P$214), POWER(GEOMEAN(1+OFFSET(P$178,$K$213,0,$K223-$K$214,1))/GEOMEAN(1+OFFSET($L$178,$K$213,0,$K223-$K$214,1)), 1+ROW()-ROW(P$215)), NA())</f>
        <v>0.75080721621207058</v>
      </c>
      <c r="T223" s="140">
        <f t="shared" si="6"/>
        <v>1929</v>
      </c>
      <c r="U223" s="141">
        <f t="array" ref="U223">IF(AND($T223&gt;=U$88,$T223&lt;=U$89),SUMPRODUCT(U$5:U$81,TRANSPOSE(Data_All!$B66:$BZ66))%,"")</f>
        <v>2.7443976844597952E-2</v>
      </c>
      <c r="V223" s="141">
        <f t="array" ref="V223">IF(AND($T223&gt;=V$88,$T223&lt;=V$89),SUMPRODUCT(V$5:V$81,TRANSPOSE(Data_All!$B66:$BZ66))%,"")</f>
        <v>-5.4517508229885965E-3</v>
      </c>
      <c r="W223" s="141">
        <f t="array" ref="W223">IF(AND($T223&gt;=W$88,$T223&lt;=W$89),SUMPRODUCT(W$5:W$81,TRANSPOSE(Data_All!$B66:$BZ66))%,"")</f>
        <v>-2.189961465678187E-2</v>
      </c>
      <c r="X223" s="141">
        <f t="array" ref="X223">IF(AND($T223&gt;=X$88,$T223&lt;=X$89),SUMPRODUCT(X$5:X$81,TRANSPOSE(Data_All!$B66:$BZ66))%,"")</f>
        <v>-3.834747849057514E-2</v>
      </c>
      <c r="Y223" s="141">
        <f t="array" ref="Y223">IF(AND($T223&gt;=Y$88,$T223&lt;=Y$89),SUMPRODUCT(Y$5:Y$81,TRANSPOSE(Data_All!$B66:$BZ66))%,"")</f>
        <v>-5.4795342324368425E-2</v>
      </c>
    </row>
    <row r="224" spans="2:25">
      <c r="B224" s="600">
        <f t="shared" si="10"/>
        <v>1981</v>
      </c>
      <c r="C224" s="599">
        <f t="array" aca="1" ref="C224" ca="1">IF(AND(ISNUMBER($B224), C$214), POWER(GEOMEAN(1+OFFSET(C$165,$B$213,0,$B224-$B$214,1))/GEOMEAN(1+OFFSET($C$165,$B$213,0,$B224-$B$214,1)), 1+ROW()-ROW(C$215)), NA())</f>
        <v>1</v>
      </c>
      <c r="D224" s="599">
        <f t="array" aca="1" ref="D224" ca="1">IF(AND(ISNUMBER($B224), D$214), POWER(GEOMEAN(1+OFFSET(D$165,$B$213,0,$B224-$B$214,1))/GEOMEAN(1+OFFSET($C$165,$B$213,0,$B224-$B$214,1)), 1+ROW()-ROW(D$215)), NA())</f>
        <v>1.3028695521645781</v>
      </c>
      <c r="E224" s="599">
        <f t="array" aca="1" ref="E224" ca="1">IF(AND(ISNUMBER($B224), E$214), POWER(GEOMEAN(1+OFFSET(E$165,$B$213,0,$B224-$B$214,1))/GEOMEAN(1+OFFSET($C$165,$B$213,0,$B224-$B$214,1)), 1+ROW()-ROW(E$215)), NA())</f>
        <v>1.3646763395972701</v>
      </c>
      <c r="F224" s="599">
        <f t="array" aca="1" ref="F224" ca="1">IF(AND(ISNUMBER($B224), F$214), POWER(GEOMEAN(1+OFFSET(F$165,$B$213,0,$B224-$B$214,1))/GEOMEAN(1+OFFSET($C$165,$B$213,0,$B224-$B$214,1)), 1+ROW()-ROW(F$215)), NA())</f>
        <v>1.4017558697595027</v>
      </c>
      <c r="G224" s="599">
        <f t="array" aca="1" ref="G224" ca="1">IF(AND(ISNUMBER($B224), G$214), POWER(GEOMEAN(1+OFFSET(G$165,$B$213,0,$B224-$B$214,1))/GEOMEAN(1+OFFSET($C$165,$B$213,0,$B224-$B$214,1)), 1+ROW()-ROW(G$215)), NA())</f>
        <v>1.1384545963650532</v>
      </c>
      <c r="K224" s="600">
        <f t="shared" si="11"/>
        <v>1994</v>
      </c>
      <c r="L224" s="599">
        <f t="array" aca="1" ref="L224" ca="1">IF(AND(ISNUMBER($K224), L$214), POWER(GEOMEAN(1+OFFSET(L$178,$K$213,0,$K224-$K$214,1))/GEOMEAN(1+OFFSET($L$178,$K$213,0,$K224-$K$214,1)), 1+ROW()-ROW(L$215)), NA())</f>
        <v>1</v>
      </c>
      <c r="M224" s="599">
        <f t="array" aca="1" ref="M224" ca="1">IF(AND(ISNUMBER($K224), M$214), POWER(GEOMEAN(1+OFFSET(M$178,$K$213,0,$K224-$K$214,1))/GEOMEAN(1+OFFSET($L$178,$K$213,0,$K224-$K$214,1)), 1+ROW()-ROW(M$215)), NA())</f>
        <v>0.68851594727650212</v>
      </c>
      <c r="N224" s="599">
        <f t="array" aca="1" ref="N224" ca="1">IF(AND(ISNUMBER($K224), N$214), POWER(GEOMEAN(1+OFFSET(N$178,$K$213,0,$K224-$K$214,1))/GEOMEAN(1+OFFSET($L$178,$K$213,0,$K224-$K$214,1)), 1+ROW()-ROW(N$215)), NA())</f>
        <v>1.3087808909110381</v>
      </c>
      <c r="O224" s="599">
        <f t="array" aca="1" ref="O224" ca="1">IF(AND(ISNUMBER($K224), O$214), POWER(GEOMEAN(1+OFFSET(O$178,$K$213,0,$K224-$K$214,1))/GEOMEAN(1+OFFSET($L$178,$K$213,0,$K224-$K$214,1)), 1+ROW()-ROW(O$215)), NA())</f>
        <v>1.2864053993738891</v>
      </c>
      <c r="P224" s="599">
        <f t="array" aca="1" ref="P224" ca="1">IF(AND(ISNUMBER($K224), P$214), POWER(GEOMEAN(1+OFFSET(P$178,$K$213,0,$K224-$K$214,1))/GEOMEAN(1+OFFSET($L$178,$K$213,0,$K224-$K$214,1)), 1+ROW()-ROW(P$215)), NA())</f>
        <v>0.72787669398113364</v>
      </c>
      <c r="T224" s="140">
        <f t="shared" si="6"/>
        <v>1930</v>
      </c>
      <c r="U224" s="141">
        <f t="array" ref="U224">IF(AND($T224&gt;=U$88,$T224&lt;=U$89),SUMPRODUCT(U$5:U$81,TRANSPOSE(Data_All!$B67:$BZ67))%,"")</f>
        <v>-2.1736790696923212E-2</v>
      </c>
      <c r="V224" s="141">
        <f t="array" ref="V224">IF(AND($T224&gt;=V$88,$T224&lt;=V$89),SUMPRODUCT(V$5:V$81,TRANSPOSE(Data_All!$B67:$BZ67))%,"")</f>
        <v>-7.8038617030670623E-2</v>
      </c>
      <c r="W224" s="141">
        <f t="array" ref="W224">IF(AND($T224&gt;=W$88,$T224&lt;=W$89),SUMPRODUCT(W$5:W$81,TRANSPOSE(Data_All!$B67:$BZ67))%,"")</f>
        <v>-0.10618953019754432</v>
      </c>
      <c r="X224" s="141">
        <f t="array" ref="X224">IF(AND($T224&gt;=X$88,$T224&lt;=X$89),SUMPRODUCT(X$5:X$81,TRANSPOSE(Data_All!$B67:$BZ67))%,"")</f>
        <v>-0.134340443364418</v>
      </c>
      <c r="Y224" s="141">
        <f t="array" ref="Y224">IF(AND($T224&gt;=Y$88,$T224&lt;=Y$89),SUMPRODUCT(Y$5:Y$81,TRANSPOSE(Data_All!$B67:$BZ67))%,"")</f>
        <v>-0.16249135653129174</v>
      </c>
    </row>
    <row r="225" spans="2:25">
      <c r="B225" s="600">
        <f t="shared" si="10"/>
        <v>1982</v>
      </c>
      <c r="C225" s="599">
        <f t="array" aca="1" ref="C225" ca="1">IF(AND(ISNUMBER($B225), C$214), POWER(GEOMEAN(1+OFFSET(C$165,$B$213,0,$B225-$B$214,1))/GEOMEAN(1+OFFSET($C$165,$B$213,0,$B225-$B$214,1)), 1+ROW()-ROW(C$215)), NA())</f>
        <v>1</v>
      </c>
      <c r="D225" s="599">
        <f t="array" aca="1" ref="D225" ca="1">IF(AND(ISNUMBER($B225), D$214), POWER(GEOMEAN(1+OFFSET(D$165,$B$213,0,$B225-$B$214,1))/GEOMEAN(1+OFFSET($C$165,$B$213,0,$B225-$B$214,1)), 1+ROW()-ROW(D$215)), NA())</f>
        <v>1.3199208661696749</v>
      </c>
      <c r="E225" s="599">
        <f t="array" aca="1" ref="E225" ca="1">IF(AND(ISNUMBER($B225), E$214), POWER(GEOMEAN(1+OFFSET(E$165,$B$213,0,$B225-$B$214,1))/GEOMEAN(1+OFFSET($C$165,$B$213,0,$B225-$B$214,1)), 1+ROW()-ROW(E$215)), NA())</f>
        <v>1.3807643203427886</v>
      </c>
      <c r="F225" s="599">
        <f t="array" aca="1" ref="F225" ca="1">IF(AND(ISNUMBER($B225), F$214), POWER(GEOMEAN(1+OFFSET(F$165,$B$213,0,$B225-$B$214,1))/GEOMEAN(1+OFFSET($C$165,$B$213,0,$B225-$B$214,1)), 1+ROW()-ROW(F$215)), NA())</f>
        <v>1.3974972464565836</v>
      </c>
      <c r="G225" s="599">
        <f t="array" aca="1" ref="G225" ca="1">IF(AND(ISNUMBER($B225), G$214), POWER(GEOMEAN(1+OFFSET(G$165,$B$213,0,$B225-$B$214,1))/GEOMEAN(1+OFFSET($C$165,$B$213,0,$B225-$B$214,1)), 1+ROW()-ROW(G$215)), NA())</f>
        <v>1.0898307372735914</v>
      </c>
      <c r="K225" s="600">
        <f t="shared" si="11"/>
        <v>1995</v>
      </c>
      <c r="L225" s="599">
        <f t="array" aca="1" ref="L225" ca="1">IF(AND(ISNUMBER($K225), L$214), POWER(GEOMEAN(1+OFFSET(L$178,$K$213,0,$K225-$K$214,1))/GEOMEAN(1+OFFSET($L$178,$K$213,0,$K225-$K$214,1)), 1+ROW()-ROW(L$215)), NA())</f>
        <v>1</v>
      </c>
      <c r="M225" s="599">
        <f t="array" aca="1" ref="M225" ca="1">IF(AND(ISNUMBER($K225), M$214), POWER(GEOMEAN(1+OFFSET(M$178,$K$213,0,$K225-$K$214,1))/GEOMEAN(1+OFFSET($L$178,$K$213,0,$K225-$K$214,1)), 1+ROW()-ROW(M$215)), NA())</f>
        <v>0.65928263962435307</v>
      </c>
      <c r="N225" s="599">
        <f t="array" aca="1" ref="N225" ca="1">IF(AND(ISNUMBER($K225), N$214), POWER(GEOMEAN(1+OFFSET(N$178,$K$213,0,$K225-$K$214,1))/GEOMEAN(1+OFFSET($L$178,$K$213,0,$K225-$K$214,1)), 1+ROW()-ROW(N$215)), NA())</f>
        <v>1.2907959438973018</v>
      </c>
      <c r="O225" s="599">
        <f t="array" aca="1" ref="O225" ca="1">IF(AND(ISNUMBER($K225), O$214), POWER(GEOMEAN(1+OFFSET(O$178,$K$213,0,$K225-$K$214,1))/GEOMEAN(1+OFFSET($L$178,$K$213,0,$K225-$K$214,1)), 1+ROW()-ROW(O$215)), NA())</f>
        <v>1.2283814549216499</v>
      </c>
      <c r="P225" s="599">
        <f t="array" aca="1" ref="P225" ca="1">IF(AND(ISNUMBER($K225), P$214), POWER(GEOMEAN(1+OFFSET(P$178,$K$213,0,$K225-$K$214,1))/GEOMEAN(1+OFFSET($L$178,$K$213,0,$K225-$K$214,1)), 1+ROW()-ROW(P$215)), NA())</f>
        <v>0.69415535119756111</v>
      </c>
      <c r="T225" s="140">
        <f t="shared" si="6"/>
        <v>1931</v>
      </c>
      <c r="U225" s="141">
        <f t="array" ref="U225">IF(AND($T225&gt;=U$88,$T225&lt;=U$89),SUMPRODUCT(U$5:U$81,TRANSPOSE(Data_All!$B68:$BZ68))%,"")</f>
        <v>-0.12316771345652403</v>
      </c>
      <c r="V225" s="141">
        <f t="array" ref="V225">IF(AND($T225&gt;=V$88,$T225&lt;=V$89),SUMPRODUCT(V$5:V$81,TRANSPOSE(Data_All!$B68:$BZ68))%,"")</f>
        <v>-0.21063025482903872</v>
      </c>
      <c r="W225" s="141">
        <f t="array" ref="W225">IF(AND($T225&gt;=W$88,$T225&lt;=W$89),SUMPRODUCT(W$5:W$81,TRANSPOSE(Data_All!$B68:$BZ68))%,"")</f>
        <v>-0.25436152551529601</v>
      </c>
      <c r="X225" s="141">
        <f t="array" ref="X225">IF(AND($T225&gt;=X$88,$T225&lt;=X$89),SUMPRODUCT(X$5:X$81,TRANSPOSE(Data_All!$B68:$BZ68))%,"")</f>
        <v>-0.29809279620155332</v>
      </c>
      <c r="Y225" s="141">
        <f t="array" ref="Y225">IF(AND($T225&gt;=Y$88,$T225&lt;=Y$89),SUMPRODUCT(Y$5:Y$81,TRANSPOSE(Data_All!$B68:$BZ68))%,"")</f>
        <v>-0.3418240668878107</v>
      </c>
    </row>
    <row r="226" spans="2:25">
      <c r="B226" s="600">
        <f t="shared" si="10"/>
        <v>1983</v>
      </c>
      <c r="C226" s="599">
        <f t="array" aca="1" ref="C226" ca="1">IF(AND(ISNUMBER($B226), C$214), POWER(GEOMEAN(1+OFFSET(C$165,$B$213,0,$B226-$B$214,1))/GEOMEAN(1+OFFSET($C$165,$B$213,0,$B226-$B$214,1)), 1+ROW()-ROW(C$215)), NA())</f>
        <v>1</v>
      </c>
      <c r="D226" s="599">
        <f t="array" aca="1" ref="D226" ca="1">IF(AND(ISNUMBER($B226), D$214), POWER(GEOMEAN(1+OFFSET(D$165,$B$213,0,$B226-$B$214,1))/GEOMEAN(1+OFFSET($C$165,$B$213,0,$B226-$B$214,1)), 1+ROW()-ROW(D$215)), NA())</f>
        <v>1.3508662226456707</v>
      </c>
      <c r="E226" s="599">
        <f t="array" aca="1" ref="E226" ca="1">IF(AND(ISNUMBER($B226), E$214), POWER(GEOMEAN(1+OFFSET(E$165,$B$213,0,$B226-$B$214,1))/GEOMEAN(1+OFFSET($C$165,$B$213,0,$B226-$B$214,1)), 1+ROW()-ROW(E$215)), NA())</f>
        <v>1.4294827018624874</v>
      </c>
      <c r="F226" s="599">
        <f t="array" aca="1" ref="F226" ca="1">IF(AND(ISNUMBER($B226), F$214), POWER(GEOMEAN(1+OFFSET(F$165,$B$213,0,$B226-$B$214,1))/GEOMEAN(1+OFFSET($C$165,$B$213,0,$B226-$B$214,1)), 1+ROW()-ROW(F$215)), NA())</f>
        <v>1.4503076217049289</v>
      </c>
      <c r="G226" s="599">
        <f t="array" aca="1" ref="G226" ca="1">IF(AND(ISNUMBER($B226), G$214), POWER(GEOMEAN(1+OFFSET(G$165,$B$213,0,$B226-$B$214,1))/GEOMEAN(1+OFFSET($C$165,$B$213,0,$B226-$B$214,1)), 1+ROW()-ROW(G$215)), NA())</f>
        <v>1.0999932643221209</v>
      </c>
      <c r="K226" s="600">
        <f t="shared" si="11"/>
        <v>1996</v>
      </c>
      <c r="L226" s="599">
        <f t="array" aca="1" ref="L226" ca="1">IF(AND(ISNUMBER($K226), L$214), POWER(GEOMEAN(1+OFFSET(L$178,$K$213,0,$K226-$K$214,1))/GEOMEAN(1+OFFSET($L$178,$K$213,0,$K226-$K$214,1)), 1+ROW()-ROW(L$215)), NA())</f>
        <v>1</v>
      </c>
      <c r="M226" s="599">
        <f t="array" aca="1" ref="M226" ca="1">IF(AND(ISNUMBER($K226), M$214), POWER(GEOMEAN(1+OFFSET(M$178,$K$213,0,$K226-$K$214,1))/GEOMEAN(1+OFFSET($L$178,$K$213,0,$K226-$K$214,1)), 1+ROW()-ROW(M$215)), NA())</f>
        <v>0.60520306194768803</v>
      </c>
      <c r="N226" s="599">
        <f t="array" aca="1" ref="N226" ca="1">IF(AND(ISNUMBER($K226), N$214), POWER(GEOMEAN(1+OFFSET(N$178,$K$213,0,$K226-$K$214,1))/GEOMEAN(1+OFFSET($L$178,$K$213,0,$K226-$K$214,1)), 1+ROW()-ROW(N$215)), NA())</f>
        <v>1.3037117831397489</v>
      </c>
      <c r="O226" s="599">
        <f t="array" aca="1" ref="O226" ca="1">IF(AND(ISNUMBER($K226), O$214), POWER(GEOMEAN(1+OFFSET(O$178,$K$213,0,$K226-$K$214,1))/GEOMEAN(1+OFFSET($L$178,$K$213,0,$K226-$K$214,1)), 1+ROW()-ROW(O$215)), NA())</f>
        <v>1.2103441083085367</v>
      </c>
      <c r="P226" s="599">
        <f t="array" aca="1" ref="P226" ca="1">IF(AND(ISNUMBER($K226), P$214), POWER(GEOMEAN(1+OFFSET(P$178,$K$213,0,$K226-$K$214,1))/GEOMEAN(1+OFFSET($L$178,$K$213,0,$K226-$K$214,1)), 1+ROW()-ROW(P$215)), NA())</f>
        <v>0.63262177181202284</v>
      </c>
      <c r="T226" s="140">
        <f t="shared" si="6"/>
        <v>1932</v>
      </c>
      <c r="U226" s="141">
        <f t="array" ref="U226">IF(AND($T226&gt;=U$88,$T226&lt;=U$89),SUMPRODUCT(U$5:U$81,TRANSPOSE(Data_All!$B69:$BZ69))%,"")</f>
        <v>3.284833075404392E-2</v>
      </c>
      <c r="V226" s="141">
        <f t="array" ref="V226">IF(AND($T226&gt;=V$88,$T226&lt;=V$89),SUMPRODUCT(V$5:V$81,TRANSPOSE(Data_All!$B69:$BZ69))%,"")</f>
        <v>-9.7752622559688085E-4</v>
      </c>
      <c r="W226" s="141">
        <f t="array" ref="W226">IF(AND($T226&gt;=W$88,$T226&lt;=W$89),SUMPRODUCT(W$5:W$81,TRANSPOSE(Data_All!$B69:$BZ69))%,"")</f>
        <v>-1.7890454715417281E-2</v>
      </c>
      <c r="X226" s="141">
        <f t="array" ref="X226">IF(AND($T226&gt;=X$88,$T226&lt;=X$89),SUMPRODUCT(X$5:X$81,TRANSPOSE(Data_All!$B69:$BZ69))%,"")</f>
        <v>-3.4803383205237681E-2</v>
      </c>
      <c r="Y226" s="141">
        <f t="array" ref="Y226">IF(AND($T226&gt;=Y$88,$T226&lt;=Y$89),SUMPRODUCT(Y$5:Y$81,TRANSPOSE(Data_All!$B69:$BZ69))%,"")</f>
        <v>-5.1716311695058081E-2</v>
      </c>
    </row>
    <row r="227" spans="2:25">
      <c r="B227" s="600">
        <f t="shared" si="10"/>
        <v>1984</v>
      </c>
      <c r="C227" s="599">
        <f t="array" aca="1" ref="C227" ca="1">IF(AND(ISNUMBER($B227), C$214), POWER(GEOMEAN(1+OFFSET(C$165,$B$213,0,$B227-$B$214,1))/GEOMEAN(1+OFFSET($C$165,$B$213,0,$B227-$B$214,1)), 1+ROW()-ROW(C$215)), NA())</f>
        <v>1</v>
      </c>
      <c r="D227" s="599">
        <f t="array" aca="1" ref="D227" ca="1">IF(AND(ISNUMBER($B227), D$214), POWER(GEOMEAN(1+OFFSET(D$165,$B$213,0,$B227-$B$214,1))/GEOMEAN(1+OFFSET($C$165,$B$213,0,$B227-$B$214,1)), 1+ROW()-ROW(D$215)), NA())</f>
        <v>1.349663887347694</v>
      </c>
      <c r="E227" s="599">
        <f t="array" aca="1" ref="E227" ca="1">IF(AND(ISNUMBER($B227), E$214), POWER(GEOMEAN(1+OFFSET(E$165,$B$213,0,$B227-$B$214,1))/GEOMEAN(1+OFFSET($C$165,$B$213,0,$B227-$B$214,1)), 1+ROW()-ROW(E$215)), NA())</f>
        <v>1.4296222491985155</v>
      </c>
      <c r="F227" s="599">
        <f t="array" aca="1" ref="F227" ca="1">IF(AND(ISNUMBER($B227), F$214), POWER(GEOMEAN(1+OFFSET(F$165,$B$213,0,$B227-$B$214,1))/GEOMEAN(1+OFFSET($C$165,$B$213,0,$B227-$B$214,1)), 1+ROW()-ROW(F$215)), NA())</f>
        <v>1.4820760527325669</v>
      </c>
      <c r="G227" s="599">
        <f t="array" aca="1" ref="G227" ca="1">IF(AND(ISNUMBER($B227), G$214), POWER(GEOMEAN(1+OFFSET(G$165,$B$213,0,$B227-$B$214,1))/GEOMEAN(1+OFFSET($C$165,$B$213,0,$B227-$B$214,1)), 1+ROW()-ROW(G$215)), NA())</f>
        <v>1.1222334969563461</v>
      </c>
      <c r="K227" s="600">
        <f t="shared" si="11"/>
        <v>1997</v>
      </c>
      <c r="L227" s="599">
        <f t="array" aca="1" ref="L227" ca="1">IF(AND(ISNUMBER($K227), L$214), POWER(GEOMEAN(1+OFFSET(L$178,$K$213,0,$K227-$K$214,1))/GEOMEAN(1+OFFSET($L$178,$K$213,0,$K227-$K$214,1)), 1+ROW()-ROW(L$215)), NA())</f>
        <v>1</v>
      </c>
      <c r="M227" s="599">
        <f t="array" aca="1" ref="M227" ca="1">IF(AND(ISNUMBER($K227), M$214), POWER(GEOMEAN(1+OFFSET(M$178,$K$213,0,$K227-$K$214,1))/GEOMEAN(1+OFFSET($L$178,$K$213,0,$K227-$K$214,1)), 1+ROW()-ROW(M$215)), NA())</f>
        <v>0.54741674417523423</v>
      </c>
      <c r="N227" s="599">
        <f t="array" aca="1" ref="N227" ca="1">IF(AND(ISNUMBER($K227), N$214), POWER(GEOMEAN(1+OFFSET(N$178,$K$213,0,$K227-$K$214,1))/GEOMEAN(1+OFFSET($L$178,$K$213,0,$K227-$K$214,1)), 1+ROW()-ROW(N$215)), NA())</f>
        <v>1.2548638476673293</v>
      </c>
      <c r="O227" s="599">
        <f t="array" aca="1" ref="O227" ca="1">IF(AND(ISNUMBER($K227), O$214), POWER(GEOMEAN(1+OFFSET(O$178,$K$213,0,$K227-$K$214,1))/GEOMEAN(1+OFFSET($L$178,$K$213,0,$K227-$K$214,1)), 1+ROW()-ROW(O$215)), NA())</f>
        <v>1.1412604464359102</v>
      </c>
      <c r="P227" s="599">
        <f t="array" aca="1" ref="P227" ca="1">IF(AND(ISNUMBER($K227), P$214), POWER(GEOMEAN(1+OFFSET(P$178,$K$213,0,$K227-$K$214,1))/GEOMEAN(1+OFFSET($L$178,$K$213,0,$K227-$K$214,1)), 1+ROW()-ROW(P$215)), NA())</f>
        <v>0.5645210103273286</v>
      </c>
      <c r="T227" s="140">
        <f t="shared" si="6"/>
        <v>1933</v>
      </c>
      <c r="U227" s="141">
        <f t="array" ref="U227">IF(AND($T227&gt;=U$88,$T227&lt;=U$89),SUMPRODUCT(U$5:U$81,TRANSPOSE(Data_All!$B70:$BZ70))%,"")</f>
        <v>0.1987335081696652</v>
      </c>
      <c r="V227" s="141">
        <f t="array" ref="V227">IF(AND($T227&gt;=V$88,$T227&lt;=V$89),SUMPRODUCT(V$5:V$81,TRANSPOSE(Data_All!$B70:$BZ70))%,"")</f>
        <v>0.29871253001439912</v>
      </c>
      <c r="W227" s="141">
        <f t="array" ref="W227">IF(AND($T227&gt;=W$88,$T227&lt;=W$89),SUMPRODUCT(W$5:W$81,TRANSPOSE(Data_All!$B70:$BZ70))%,"")</f>
        <v>0.3487020409367661</v>
      </c>
      <c r="X227" s="141">
        <f t="array" ref="X227">IF(AND($T227&gt;=X$88,$T227&lt;=X$89),SUMPRODUCT(X$5:X$81,TRANSPOSE(Data_All!$B70:$BZ70))%,"")</f>
        <v>0.39869155185913302</v>
      </c>
      <c r="Y227" s="141">
        <f t="array" ref="Y227">IF(AND($T227&gt;=Y$88,$T227&lt;=Y$89),SUMPRODUCT(Y$5:Y$81,TRANSPOSE(Data_All!$B70:$BZ70))%,"")</f>
        <v>0.44868106278150011</v>
      </c>
    </row>
    <row r="228" spans="2:25">
      <c r="B228" s="600">
        <f t="shared" si="10"/>
        <v>1985</v>
      </c>
      <c r="C228" s="599">
        <f t="array" aca="1" ref="C228" ca="1">IF(AND(ISNUMBER($B228), C$214), POWER(GEOMEAN(1+OFFSET(C$165,$B$213,0,$B228-$B$214,1))/GEOMEAN(1+OFFSET($C$165,$B$213,0,$B228-$B$214,1)), 1+ROW()-ROW(C$215)), NA())</f>
        <v>1</v>
      </c>
      <c r="D228" s="599">
        <f t="array" aca="1" ref="D228" ca="1">IF(AND(ISNUMBER($B228), D$214), POWER(GEOMEAN(1+OFFSET(D$165,$B$213,0,$B228-$B$214,1))/GEOMEAN(1+OFFSET($C$165,$B$213,0,$B228-$B$214,1)), 1+ROW()-ROW(D$215)), NA())</f>
        <v>1.3206201563359872</v>
      </c>
      <c r="E228" s="599">
        <f t="array" aca="1" ref="E228" ca="1">IF(AND(ISNUMBER($B228), E$214), POWER(GEOMEAN(1+OFFSET(E$165,$B$213,0,$B228-$B$214,1))/GEOMEAN(1+OFFSET($C$165,$B$213,0,$B228-$B$214,1)), 1+ROW()-ROW(E$215)), NA())</f>
        <v>1.4230614959414729</v>
      </c>
      <c r="F228" s="599">
        <f t="array" aca="1" ref="F228" ca="1">IF(AND(ISNUMBER($B228), F$214), POWER(GEOMEAN(1+OFFSET(F$165,$B$213,0,$B228-$B$214,1))/GEOMEAN(1+OFFSET($C$165,$B$213,0,$B228-$B$214,1)), 1+ROW()-ROW(F$215)), NA())</f>
        <v>1.4045895678047264</v>
      </c>
      <c r="G228" s="599">
        <f t="array" aca="1" ref="G228" ca="1">IF(AND(ISNUMBER($B228), G$214), POWER(GEOMEAN(1+OFFSET(G$165,$B$213,0,$B228-$B$214,1))/GEOMEAN(1+OFFSET($C$165,$B$213,0,$B228-$B$214,1)), 1+ROW()-ROW(G$215)), NA())</f>
        <v>1.0850049063010891</v>
      </c>
      <c r="K228" s="600">
        <f t="shared" si="11"/>
        <v>1998</v>
      </c>
      <c r="L228" s="599">
        <f t="array" aca="1" ref="L228" ca="1">IF(AND(ISNUMBER($K228), L$214), POWER(GEOMEAN(1+OFFSET(L$178,$K$213,0,$K228-$K$214,1))/GEOMEAN(1+OFFSET($L$178,$K$213,0,$K228-$K$214,1)), 1+ROW()-ROW(L$215)), NA())</f>
        <v>1</v>
      </c>
      <c r="M228" s="599">
        <f t="array" aca="1" ref="M228" ca="1">IF(AND(ISNUMBER($K228), M$214), POWER(GEOMEAN(1+OFFSET(M$178,$K$213,0,$K228-$K$214,1))/GEOMEAN(1+OFFSET($L$178,$K$213,0,$K228-$K$214,1)), 1+ROW()-ROW(M$215)), NA())</f>
        <v>0.55120674437749317</v>
      </c>
      <c r="N228" s="599">
        <f t="array" aca="1" ref="N228" ca="1">IF(AND(ISNUMBER($K228), N$214), POWER(GEOMEAN(1+OFFSET(N$178,$K$213,0,$K228-$K$214,1))/GEOMEAN(1+OFFSET($L$178,$K$213,0,$K228-$K$214,1)), 1+ROW()-ROW(N$215)), NA())</f>
        <v>1.2374423229410965</v>
      </c>
      <c r="O228" s="599">
        <f t="array" aca="1" ref="O228" ca="1">IF(AND(ISNUMBER($K228), O$214), POWER(GEOMEAN(1+OFFSET(O$178,$K$213,0,$K228-$K$214,1))/GEOMEAN(1+OFFSET($L$178,$K$213,0,$K228-$K$214,1)), 1+ROW()-ROW(O$215)), NA())</f>
        <v>1.1076347144368661</v>
      </c>
      <c r="P228" s="599">
        <f t="array" aca="1" ref="P228" ca="1">IF(AND(ISNUMBER($K228), P$214), POWER(GEOMEAN(1+OFFSET(P$178,$K$213,0,$K228-$K$214,1))/GEOMEAN(1+OFFSET($L$178,$K$213,0,$K228-$K$214,1)), 1+ROW()-ROW(P$215)), NA())</f>
        <v>0.56797477793258355</v>
      </c>
      <c r="T228" s="140">
        <f t="shared" si="6"/>
        <v>1934</v>
      </c>
      <c r="U228" s="141">
        <f t="array" ref="U228">IF(AND($T228&gt;=U$88,$T228&lt;=U$89),SUMPRODUCT(U$5:U$81,TRANSPOSE(Data_All!$B71:$BZ71))%,"")</f>
        <v>9.7924887291170118E-3</v>
      </c>
      <c r="V228" s="141">
        <f t="array" ref="V228">IF(AND($T228&gt;=V$88,$T228&lt;=V$89),SUMPRODUCT(V$5:V$81,TRANSPOSE(Data_All!$B71:$BZ71))%,"")</f>
        <v>-1.5504687503056834E-2</v>
      </c>
      <c r="W228" s="141">
        <f t="array" ref="W228">IF(AND($T228&gt;=W$88,$T228&lt;=W$89),SUMPRODUCT(W$5:W$81,TRANSPOSE(Data_All!$B71:$BZ71))%,"")</f>
        <v>-2.8153275619143756E-2</v>
      </c>
      <c r="X228" s="141">
        <f t="array" ref="X228">IF(AND($T228&gt;=X$88,$T228&lt;=X$89),SUMPRODUCT(X$5:X$81,TRANSPOSE(Data_All!$B71:$BZ71))%,"")</f>
        <v>-4.0801863735230676E-2</v>
      </c>
      <c r="Y228" s="141">
        <f t="array" ref="Y228">IF(AND($T228&gt;=Y$88,$T228&lt;=Y$89),SUMPRODUCT(Y$5:Y$81,TRANSPOSE(Data_All!$B71:$BZ71))%,"")</f>
        <v>-5.3450451851317603E-2</v>
      </c>
    </row>
    <row r="229" spans="2:25">
      <c r="B229" s="600">
        <f t="shared" si="10"/>
        <v>1986</v>
      </c>
      <c r="C229" s="599">
        <f t="array" aca="1" ref="C229" ca="1">IF(AND(ISNUMBER($B229), C$214), POWER(GEOMEAN(1+OFFSET(C$165,$B$213,0,$B229-$B$214,1))/GEOMEAN(1+OFFSET($C$165,$B$213,0,$B229-$B$214,1)), 1+ROW()-ROW(C$215)), NA())</f>
        <v>1</v>
      </c>
      <c r="D229" s="599">
        <f t="array" aca="1" ref="D229" ca="1">IF(AND(ISNUMBER($B229), D$214), POWER(GEOMEAN(1+OFFSET(D$165,$B$213,0,$B229-$B$214,1))/GEOMEAN(1+OFFSET($C$165,$B$213,0,$B229-$B$214,1)), 1+ROW()-ROW(D$215)), NA())</f>
        <v>1.2772042256031833</v>
      </c>
      <c r="E229" s="599">
        <f t="array" aca="1" ref="E229" ca="1">IF(AND(ISNUMBER($B229), E$214), POWER(GEOMEAN(1+OFFSET(E$165,$B$213,0,$B229-$B$214,1))/GEOMEAN(1+OFFSET($C$165,$B$213,0,$B229-$B$214,1)), 1+ROW()-ROW(E$215)), NA())</f>
        <v>1.3996161596535353</v>
      </c>
      <c r="F229" s="599">
        <f t="array" aca="1" ref="F229" ca="1">IF(AND(ISNUMBER($B229), F$214), POWER(GEOMEAN(1+OFFSET(F$165,$B$213,0,$B229-$B$214,1))/GEOMEAN(1+OFFSET($C$165,$B$213,0,$B229-$B$214,1)), 1+ROW()-ROW(F$215)), NA())</f>
        <v>1.3353954177673291</v>
      </c>
      <c r="G229" s="599">
        <f t="array" aca="1" ref="G229" ca="1">IF(AND(ISNUMBER($B229), G$214), POWER(GEOMEAN(1+OFFSET(G$165,$B$213,0,$B229-$B$214,1))/GEOMEAN(1+OFFSET($C$165,$B$213,0,$B229-$B$214,1)), 1+ROW()-ROW(G$215)), NA())</f>
        <v>1.0847299773683481</v>
      </c>
      <c r="K229" s="600">
        <f t="shared" si="11"/>
        <v>1999</v>
      </c>
      <c r="L229" s="599">
        <f t="array" aca="1" ref="L229" ca="1">IF(AND(ISNUMBER($K229), L$214), POWER(GEOMEAN(1+OFFSET(L$178,$K$213,0,$K229-$K$214,1))/GEOMEAN(1+OFFSET($L$178,$K$213,0,$K229-$K$214,1)), 1+ROW()-ROW(L$215)), NA())</f>
        <v>1</v>
      </c>
      <c r="M229" s="599">
        <f t="array" aca="1" ref="M229" ca="1">IF(AND(ISNUMBER($K229), M$214), POWER(GEOMEAN(1+OFFSET(M$178,$K$213,0,$K229-$K$214,1))/GEOMEAN(1+OFFSET($L$178,$K$213,0,$K229-$K$214,1)), 1+ROW()-ROW(M$215)), NA())</f>
        <v>0.49600984028388728</v>
      </c>
      <c r="N229" s="599">
        <f t="array" aca="1" ref="N229" ca="1">IF(AND(ISNUMBER($K229), N$214), POWER(GEOMEAN(1+OFFSET(N$178,$K$213,0,$K229-$K$214,1))/GEOMEAN(1+OFFSET($L$178,$K$213,0,$K229-$K$214,1)), 1+ROW()-ROW(N$215)), NA())</f>
        <v>1.250861004281927</v>
      </c>
      <c r="O229" s="599">
        <f t="array" aca="1" ref="O229" ca="1">IF(AND(ISNUMBER($K229), O$214), POWER(GEOMEAN(1+OFFSET(O$178,$K$213,0,$K229-$K$214,1))/GEOMEAN(1+OFFSET($L$178,$K$213,0,$K229-$K$214,1)), 1+ROW()-ROW(O$215)), NA())</f>
        <v>1.1290539458589268</v>
      </c>
      <c r="P229" s="599">
        <f t="array" aca="1" ref="P229" ca="1">IF(AND(ISNUMBER($K229), P$214), POWER(GEOMEAN(1+OFFSET(P$178,$K$213,0,$K229-$K$214,1))/GEOMEAN(1+OFFSET($L$178,$K$213,0,$K229-$K$214,1)), 1+ROW()-ROW(P$215)), NA())</f>
        <v>0.51094304352350051</v>
      </c>
      <c r="T229" s="140">
        <f t="shared" si="6"/>
        <v>1935</v>
      </c>
      <c r="U229" s="141">
        <f t="array" ref="U229">IF(AND($T229&gt;=U$88,$T229&lt;=U$89),SUMPRODUCT(U$5:U$81,TRANSPOSE(Data_All!$B72:$BZ72))%,"")</f>
        <v>0.18485260434007181</v>
      </c>
      <c r="V229" s="141">
        <f t="array" ref="V229">IF(AND($T229&gt;=V$88,$T229&lt;=V$89),SUMPRODUCT(V$5:V$81,TRANSPOSE(Data_All!$B72:$BZ72))%,"")</f>
        <v>0.28538530671004825</v>
      </c>
      <c r="W229" s="141">
        <f t="array" ref="W229">IF(AND($T229&gt;=W$88,$T229&lt;=W$89),SUMPRODUCT(W$5:W$81,TRANSPOSE(Data_All!$B72:$BZ72))%,"")</f>
        <v>0.33565165789503643</v>
      </c>
      <c r="X229" s="141">
        <f t="array" ref="X229">IF(AND($T229&gt;=X$88,$T229&lt;=X$89),SUMPRODUCT(X$5:X$81,TRANSPOSE(Data_All!$B72:$BZ72))%,"")</f>
        <v>0.38591800908002472</v>
      </c>
      <c r="Y229" s="141">
        <f t="array" ref="Y229">IF(AND($T229&gt;=Y$88,$T229&lt;=Y$89),SUMPRODUCT(Y$5:Y$81,TRANSPOSE(Data_All!$B72:$BZ72))%,"")</f>
        <v>0.43618436026501295</v>
      </c>
    </row>
    <row r="230" spans="2:25">
      <c r="B230" s="600">
        <f t="shared" si="10"/>
        <v>1987</v>
      </c>
      <c r="C230" s="599">
        <f t="array" aca="1" ref="C230" ca="1">IF(AND(ISNUMBER($B230), C$214), POWER(GEOMEAN(1+OFFSET(C$165,$B$213,0,$B230-$B$214,1))/GEOMEAN(1+OFFSET($C$165,$B$213,0,$B230-$B$214,1)), 1+ROW()-ROW(C$215)), NA())</f>
        <v>1</v>
      </c>
      <c r="D230" s="599">
        <f t="array" aca="1" ref="D230" ca="1">IF(AND(ISNUMBER($B230), D$214), POWER(GEOMEAN(1+OFFSET(D$165,$B$213,0,$B230-$B$214,1))/GEOMEAN(1+OFFSET($C$165,$B$213,0,$B230-$B$214,1)), 1+ROW()-ROW(D$215)), NA())</f>
        <v>1.2581149990153777</v>
      </c>
      <c r="E230" s="599">
        <f t="array" aca="1" ref="E230" ca="1">IF(AND(ISNUMBER($B230), E$214), POWER(GEOMEAN(1+OFFSET(E$165,$B$213,0,$B230-$B$214,1))/GEOMEAN(1+OFFSET($C$165,$B$213,0,$B230-$B$214,1)), 1+ROW()-ROW(E$215)), NA())</f>
        <v>1.3939701655653949</v>
      </c>
      <c r="F230" s="599">
        <f t="array" aca="1" ref="F230" ca="1">IF(AND(ISNUMBER($B230), F$214), POWER(GEOMEAN(1+OFFSET(F$165,$B$213,0,$B230-$B$214,1))/GEOMEAN(1+OFFSET($C$165,$B$213,0,$B230-$B$214,1)), 1+ROW()-ROW(F$215)), NA())</f>
        <v>1.3059414814661983</v>
      </c>
      <c r="G230" s="599">
        <f t="array" aca="1" ref="G230" ca="1">IF(AND(ISNUMBER($B230), G$214), POWER(GEOMEAN(1+OFFSET(G$165,$B$213,0,$B230-$B$214,1))/GEOMEAN(1+OFFSET($C$165,$B$213,0,$B230-$B$214,1)), 1+ROW()-ROW(G$215)), NA())</f>
        <v>1.096352263793438</v>
      </c>
      <c r="K230" s="600">
        <f t="shared" si="11"/>
        <v>2000</v>
      </c>
      <c r="L230" s="599">
        <f t="array" aca="1" ref="L230" ca="1">IF(AND(ISNUMBER($K230), L$214), POWER(GEOMEAN(1+OFFSET(L$178,$K$213,0,$K230-$K$214,1))/GEOMEAN(1+OFFSET($L$178,$K$213,0,$K230-$K$214,1)), 1+ROW()-ROW(L$215)), NA())</f>
        <v>1</v>
      </c>
      <c r="M230" s="599">
        <f t="array" aca="1" ref="M230" ca="1">IF(AND(ISNUMBER($K230), M$214), POWER(GEOMEAN(1+OFFSET(M$178,$K$213,0,$K230-$K$214,1))/GEOMEAN(1+OFFSET($L$178,$K$213,0,$K230-$K$214,1)), 1+ROW()-ROW(M$215)), NA())</f>
        <v>0.49518470111656532</v>
      </c>
      <c r="N230" s="599">
        <f t="array" aca="1" ref="N230" ca="1">IF(AND(ISNUMBER($K230), N$214), POWER(GEOMEAN(1+OFFSET(N$178,$K$213,0,$K230-$K$214,1))/GEOMEAN(1+OFFSET($L$178,$K$213,0,$K230-$K$214,1)), 1+ROW()-ROW(N$215)), NA())</f>
        <v>1.2212555516645738</v>
      </c>
      <c r="O230" s="599">
        <f t="array" aca="1" ref="O230" ca="1">IF(AND(ISNUMBER($K230), O$214), POWER(GEOMEAN(1+OFFSET(O$178,$K$213,0,$K230-$K$214,1))/GEOMEAN(1+OFFSET($L$178,$K$213,0,$K230-$K$214,1)), 1+ROW()-ROW(O$215)), NA())</f>
        <v>1.1031785852725084</v>
      </c>
      <c r="P230" s="599">
        <f t="array" aca="1" ref="P230" ca="1">IF(AND(ISNUMBER($K230), P$214), POWER(GEOMEAN(1+OFFSET(P$178,$K$213,0,$K230-$K$214,1))/GEOMEAN(1+OFFSET($L$178,$K$213,0,$K230-$K$214,1)), 1+ROW()-ROW(P$215)), NA())</f>
        <v>0.51072517756520064</v>
      </c>
      <c r="T230" s="140">
        <f t="shared" si="6"/>
        <v>1936</v>
      </c>
      <c r="U230" s="141">
        <f t="array" ref="U230">IF(AND($T230&gt;=U$88,$T230&lt;=U$89),SUMPRODUCT(U$5:U$81,TRANSPOSE(Data_All!$B73:$BZ73))%,"")</f>
        <v>0.11681022863664955</v>
      </c>
      <c r="V230" s="141">
        <f t="array" ref="V230">IF(AND($T230&gt;=V$88,$T230&lt;=V$89),SUMPRODUCT(V$5:V$81,TRANSPOSE(Data_All!$B73:$BZ73))%,"")</f>
        <v>0.1779126217836533</v>
      </c>
      <c r="W230" s="141">
        <f t="array" ref="W230">IF(AND($T230&gt;=W$88,$T230&lt;=W$89),SUMPRODUCT(W$5:W$81,TRANSPOSE(Data_All!$B73:$BZ73))%,"")</f>
        <v>0.20846381835715516</v>
      </c>
      <c r="X230" s="141">
        <f t="array" ref="X230">IF(AND($T230&gt;=X$88,$T230&lt;=X$89),SUMPRODUCT(X$5:X$81,TRANSPOSE(Data_All!$B73:$BZ73))%,"")</f>
        <v>0.23901501493065702</v>
      </c>
      <c r="Y230" s="141">
        <f t="array" ref="Y230">IF(AND($T230&gt;=Y$88,$T230&lt;=Y$89),SUMPRODUCT(Y$5:Y$81,TRANSPOSE(Data_All!$B73:$BZ73))%,"")</f>
        <v>0.26956621150415894</v>
      </c>
    </row>
    <row r="231" spans="2:25">
      <c r="B231" s="600">
        <f t="shared" si="10"/>
        <v>1988</v>
      </c>
      <c r="C231" s="599">
        <f t="array" aca="1" ref="C231" ca="1">IF(AND(ISNUMBER($B231), C$214), POWER(GEOMEAN(1+OFFSET(C$165,$B$213,0,$B231-$B$214,1))/GEOMEAN(1+OFFSET($C$165,$B$213,0,$B231-$B$214,1)), 1+ROW()-ROW(C$215)), NA())</f>
        <v>1</v>
      </c>
      <c r="D231" s="599">
        <f t="array" aca="1" ref="D231" ca="1">IF(AND(ISNUMBER($B231), D$214), POWER(GEOMEAN(1+OFFSET(D$165,$B$213,0,$B231-$B$214,1))/GEOMEAN(1+OFFSET($C$165,$B$213,0,$B231-$B$214,1)), 1+ROW()-ROW(D$215)), NA())</f>
        <v>1.283401052244723</v>
      </c>
      <c r="E231" s="599">
        <f t="array" aca="1" ref="E231" ca="1">IF(AND(ISNUMBER($B231), E$214), POWER(GEOMEAN(1+OFFSET(E$165,$B$213,0,$B231-$B$214,1))/GEOMEAN(1+OFFSET($C$165,$B$213,0,$B231-$B$214,1)), 1+ROW()-ROW(E$215)), NA())</f>
        <v>1.4488513413994468</v>
      </c>
      <c r="F231" s="599">
        <f t="array" aca="1" ref="F231" ca="1">IF(AND(ISNUMBER($B231), F$214), POWER(GEOMEAN(1+OFFSET(F$165,$B$213,0,$B231-$B$214,1))/GEOMEAN(1+OFFSET($C$165,$B$213,0,$B231-$B$214,1)), 1+ROW()-ROW(F$215)), NA())</f>
        <v>1.3243618245572468</v>
      </c>
      <c r="G231" s="599">
        <f t="array" aca="1" ref="G231" ca="1">IF(AND(ISNUMBER($B231), G$214), POWER(GEOMEAN(1+OFFSET(G$165,$B$213,0,$B231-$B$214,1))/GEOMEAN(1+OFFSET($C$165,$B$213,0,$B231-$B$214,1)), 1+ROW()-ROW(G$215)), NA())</f>
        <v>1.1145194569229104</v>
      </c>
      <c r="K231" s="600">
        <f t="shared" si="11"/>
        <v>2001</v>
      </c>
      <c r="L231" s="599">
        <f t="array" aca="1" ref="L231" ca="1">IF(AND(ISNUMBER($K231), L$214), POWER(GEOMEAN(1+OFFSET(L$178,$K$213,0,$K231-$K$214,1))/GEOMEAN(1+OFFSET($L$178,$K$213,0,$K231-$K$214,1)), 1+ROW()-ROW(L$215)), NA())</f>
        <v>1</v>
      </c>
      <c r="M231" s="599">
        <f t="array" aca="1" ref="M231" ca="1">IF(AND(ISNUMBER($K231), M$214), POWER(GEOMEAN(1+OFFSET(M$178,$K$213,0,$K231-$K$214,1))/GEOMEAN(1+OFFSET($L$178,$K$213,0,$K231-$K$214,1)), 1+ROW()-ROW(M$215)), NA())</f>
        <v>0.52018827943935508</v>
      </c>
      <c r="N231" s="599">
        <f t="array" aca="1" ref="N231" ca="1">IF(AND(ISNUMBER($K231), N$214), POWER(GEOMEAN(1+OFFSET(N$178,$K$213,0,$K231-$K$214,1))/GEOMEAN(1+OFFSET($L$178,$K$213,0,$K231-$K$214,1)), 1+ROW()-ROW(N$215)), NA())</f>
        <v>1.2329469887539481</v>
      </c>
      <c r="O231" s="599">
        <f t="array" aca="1" ref="O231" ca="1">IF(AND(ISNUMBER($K231), O$214), POWER(GEOMEAN(1+OFFSET(O$178,$K$213,0,$K231-$K$214,1))/GEOMEAN(1+OFFSET($L$178,$K$213,0,$K231-$K$214,1)), 1+ROW()-ROW(O$215)), NA())</f>
        <v>1.1482122309326659</v>
      </c>
      <c r="P231" s="599">
        <f t="array" aca="1" ref="P231" ca="1">IF(AND(ISNUMBER($K231), P$214), POWER(GEOMEAN(1+OFFSET(P$178,$K$213,0,$K231-$K$214,1))/GEOMEAN(1+OFFSET($L$178,$K$213,0,$K231-$K$214,1)), 1+ROW()-ROW(P$215)), NA())</f>
        <v>0.53660651626966493</v>
      </c>
      <c r="T231" s="140">
        <f t="shared" si="6"/>
        <v>1937</v>
      </c>
      <c r="U231" s="141">
        <f t="array" ref="U231">IF(AND($T231&gt;=U$88,$T231&lt;=U$89),SUMPRODUCT(U$5:U$81,TRANSPOSE(Data_All!$B74:$BZ74))%,"")</f>
        <v>-7.102668413392621E-2</v>
      </c>
      <c r="V231" s="141">
        <f t="array" ref="V231">IF(AND($T231&gt;=V$88,$T231&lt;=V$89),SUMPRODUCT(V$5:V$81,TRANSPOSE(Data_All!$B74:$BZ74))%,"")</f>
        <v>-0.13974495955152122</v>
      </c>
      <c r="W231" s="141">
        <f t="array" ref="W231">IF(AND($T231&gt;=W$88,$T231&lt;=W$89),SUMPRODUCT(W$5:W$81,TRANSPOSE(Data_All!$B74:$BZ74))%,"")</f>
        <v>-0.17410409726031872</v>
      </c>
      <c r="X231" s="141">
        <f t="array" ref="X231">IF(AND($T231&gt;=X$88,$T231&lt;=X$89),SUMPRODUCT(X$5:X$81,TRANSPOSE(Data_All!$B74:$BZ74))%,"")</f>
        <v>-0.20846323496911623</v>
      </c>
      <c r="Y231" s="141">
        <f t="array" ref="Y231">IF(AND($T231&gt;=Y$88,$T231&lt;=Y$89),SUMPRODUCT(Y$5:Y$81,TRANSPOSE(Data_All!$B74:$BZ74))%,"")</f>
        <v>-0.24282237267791373</v>
      </c>
    </row>
    <row r="232" spans="2:25">
      <c r="B232" s="600">
        <f t="shared" si="10"/>
        <v>1989</v>
      </c>
      <c r="C232" s="599">
        <f t="array" aca="1" ref="C232" ca="1">IF(AND(ISNUMBER($B232), C$214), POWER(GEOMEAN(1+OFFSET(C$165,$B$213,0,$B232-$B$214,1))/GEOMEAN(1+OFFSET($C$165,$B$213,0,$B232-$B$214,1)), 1+ROW()-ROW(C$215)), NA())</f>
        <v>1</v>
      </c>
      <c r="D232" s="599">
        <f t="array" aca="1" ref="D232" ca="1">IF(AND(ISNUMBER($B232), D$214), POWER(GEOMEAN(1+OFFSET(D$165,$B$213,0,$B232-$B$214,1))/GEOMEAN(1+OFFSET($C$165,$B$213,0,$B232-$B$214,1)), 1+ROW()-ROW(D$215)), NA())</f>
        <v>1.2601356671138588</v>
      </c>
      <c r="E232" s="599">
        <f t="array" aca="1" ref="E232" ca="1">IF(AND(ISNUMBER($B232), E$214), POWER(GEOMEAN(1+OFFSET(E$165,$B$213,0,$B232-$B$214,1))/GEOMEAN(1+OFFSET($C$165,$B$213,0,$B232-$B$214,1)), 1+ROW()-ROW(E$215)), NA())</f>
        <v>1.4384267860105364</v>
      </c>
      <c r="F232" s="599">
        <f t="array" aca="1" ref="F232" ca="1">IF(AND(ISNUMBER($B232), F$214), POWER(GEOMEAN(1+OFFSET(F$165,$B$213,0,$B232-$B$214,1))/GEOMEAN(1+OFFSET($C$165,$B$213,0,$B232-$B$214,1)), 1+ROW()-ROW(F$215)), NA())</f>
        <v>1.2787100012115122</v>
      </c>
      <c r="G232" s="599">
        <f t="array" aca="1" ref="G232" ca="1">IF(AND(ISNUMBER($B232), G$214), POWER(GEOMEAN(1+OFFSET(G$165,$B$213,0,$B232-$B$214,1))/GEOMEAN(1+OFFSET($C$165,$B$213,0,$B232-$B$214,1)), 1+ROW()-ROW(G$215)), NA())</f>
        <v>1.0851967521592292</v>
      </c>
      <c r="K232" s="600">
        <f t="shared" si="11"/>
        <v>2002</v>
      </c>
      <c r="L232" s="599">
        <f t="array" aca="1" ref="L232" ca="1">IF(AND(ISNUMBER($K232), L$214), POWER(GEOMEAN(1+OFFSET(L$178,$K$213,0,$K232-$K$214,1))/GEOMEAN(1+OFFSET($L$178,$K$213,0,$K232-$K$214,1)), 1+ROW()-ROW(L$215)), NA())</f>
        <v>1</v>
      </c>
      <c r="M232" s="599">
        <f t="array" aca="1" ref="M232" ca="1">IF(AND(ISNUMBER($K232), M$214), POWER(GEOMEAN(1+OFFSET(M$178,$K$213,0,$K232-$K$214,1))/GEOMEAN(1+OFFSET($L$178,$K$213,0,$K232-$K$214,1)), 1+ROW()-ROW(M$215)), NA())</f>
        <v>0.54184339552323757</v>
      </c>
      <c r="N232" s="599">
        <f t="array" aca="1" ref="N232" ca="1">IF(AND(ISNUMBER($K232), N$214), POWER(GEOMEAN(1+OFFSET(N$178,$K$213,0,$K232-$K$214,1))/GEOMEAN(1+OFFSET($L$178,$K$213,0,$K232-$K$214,1)), 1+ROW()-ROW(N$215)), NA())</f>
        <v>1.1003849417707838</v>
      </c>
      <c r="O232" s="599">
        <f t="array" aca="1" ref="O232" ca="1">IF(AND(ISNUMBER($K232), O$214), POWER(GEOMEAN(1+OFFSET(O$178,$K$213,0,$K232-$K$214,1))/GEOMEAN(1+OFFSET($L$178,$K$213,0,$K232-$K$214,1)), 1+ROW()-ROW(O$215)), NA())</f>
        <v>1.0762723961346248</v>
      </c>
      <c r="P232" s="599">
        <f t="array" aca="1" ref="P232" ca="1">IF(AND(ISNUMBER($K232), P$214), POWER(GEOMEAN(1+OFFSET(P$178,$K$213,0,$K232-$K$214,1))/GEOMEAN(1+OFFSET($L$178,$K$213,0,$K232-$K$214,1)), 1+ROW()-ROW(P$215)), NA())</f>
        <v>0.56481158536191167</v>
      </c>
      <c r="T232" s="140">
        <f t="shared" si="6"/>
        <v>1938</v>
      </c>
      <c r="U232" s="141">
        <f t="array" ref="U232">IF(AND($T232&gt;=U$88,$T232&lt;=U$89),SUMPRODUCT(U$5:U$81,TRANSPOSE(Data_All!$B75:$BZ75))%,"")</f>
        <v>7.2472982598070584E-2</v>
      </c>
      <c r="V232" s="141">
        <f t="array" ref="V232">IF(AND($T232&gt;=V$88,$T232&lt;=V$89),SUMPRODUCT(V$5:V$81,TRANSPOSE(Data_All!$B75:$BZ75))%,"")</f>
        <v>9.4711976328418435E-2</v>
      </c>
      <c r="W232" s="141">
        <f t="array" ref="W232">IF(AND($T232&gt;=W$88,$T232&lt;=W$89),SUMPRODUCT(W$5:W$81,TRANSPOSE(Data_All!$B75:$BZ75))%,"")</f>
        <v>0.10583147319359236</v>
      </c>
      <c r="X232" s="141">
        <f t="array" ref="X232">IF(AND($T232&gt;=X$88,$T232&lt;=X$89),SUMPRODUCT(X$5:X$81,TRANSPOSE(Data_All!$B75:$BZ75))%,"")</f>
        <v>0.1169509700587663</v>
      </c>
      <c r="Y232" s="141">
        <f t="array" ref="Y232">IF(AND($T232&gt;=Y$88,$T232&lt;=Y$89),SUMPRODUCT(Y$5:Y$81,TRANSPOSE(Data_All!$B75:$BZ75))%,"")</f>
        <v>0.1280704669239402</v>
      </c>
    </row>
    <row r="233" spans="2:25">
      <c r="B233" s="600">
        <f t="shared" si="10"/>
        <v>1990</v>
      </c>
      <c r="C233" s="599">
        <f t="array" aca="1" ref="C233" ca="1">IF(AND(ISNUMBER($B233), C$214), POWER(GEOMEAN(1+OFFSET(C$165,$B$213,0,$B233-$B$214,1))/GEOMEAN(1+OFFSET($C$165,$B$213,0,$B233-$B$214,1)), 1+ROW()-ROW(C$215)), NA())</f>
        <v>1</v>
      </c>
      <c r="D233" s="599">
        <f t="array" aca="1" ref="D233" ca="1">IF(AND(ISNUMBER($B233), D$214), POWER(GEOMEAN(1+OFFSET(D$165,$B$213,0,$B233-$B$214,1))/GEOMEAN(1+OFFSET($C$165,$B$213,0,$B233-$B$214,1)), 1+ROW()-ROW(D$215)), NA())</f>
        <v>1.2415158763573471</v>
      </c>
      <c r="E233" s="599">
        <f t="array" aca="1" ref="E233" ca="1">IF(AND(ISNUMBER($B233), E$214), POWER(GEOMEAN(1+OFFSET(E$165,$B$213,0,$B233-$B$214,1))/GEOMEAN(1+OFFSET($C$165,$B$213,0,$B233-$B$214,1)), 1+ROW()-ROW(E$215)), NA())</f>
        <v>1.3823948487304272</v>
      </c>
      <c r="F233" s="599">
        <f t="array" aca="1" ref="F233" ca="1">IF(AND(ISNUMBER($B233), F$214), POWER(GEOMEAN(1+OFFSET(F$165,$B$213,0,$B233-$B$214,1))/GEOMEAN(1+OFFSET($C$165,$B$213,0,$B233-$B$214,1)), 1+ROW()-ROW(F$215)), NA())</f>
        <v>1.2691234927388111</v>
      </c>
      <c r="G233" s="599">
        <f t="array" aca="1" ref="G233" ca="1">IF(AND(ISNUMBER($B233), G$214), POWER(GEOMEAN(1+OFFSET(G$165,$B$213,0,$B233-$B$214,1))/GEOMEAN(1+OFFSET($C$165,$B$213,0,$B233-$B$214,1)), 1+ROW()-ROW(G$215)), NA())</f>
        <v>1.1034289121043526</v>
      </c>
      <c r="K233" s="600">
        <f t="shared" si="11"/>
        <v>2003</v>
      </c>
      <c r="L233" s="599">
        <f t="array" aca="1" ref="L233" ca="1">IF(AND(ISNUMBER($K233), L$214), POWER(GEOMEAN(1+OFFSET(L$178,$K$213,0,$K233-$K$214,1))/GEOMEAN(1+OFFSET($L$178,$K$213,0,$K233-$K$214,1)), 1+ROW()-ROW(L$215)), NA())</f>
        <v>1</v>
      </c>
      <c r="M233" s="599">
        <f t="array" aca="1" ref="M233" ca="1">IF(AND(ISNUMBER($K233), M$214), POWER(GEOMEAN(1+OFFSET(M$178,$K$213,0,$K233-$K$214,1))/GEOMEAN(1+OFFSET($L$178,$K$213,0,$K233-$K$214,1)), 1+ROW()-ROW(M$215)), NA())</f>
        <v>0.50126008589019</v>
      </c>
      <c r="N233" s="599">
        <f t="array" aca="1" ref="N233" ca="1">IF(AND(ISNUMBER($K233), N$214), POWER(GEOMEAN(1+OFFSET(N$178,$K$213,0,$K233-$K$214,1))/GEOMEAN(1+OFFSET($L$178,$K$213,0,$K233-$K$214,1)), 1+ROW()-ROW(N$215)), NA())</f>
        <v>1.1775958502577539</v>
      </c>
      <c r="O233" s="599">
        <f t="array" aca="1" ref="O233" ca="1">IF(AND(ISNUMBER($K233), O$214), POWER(GEOMEAN(1+OFFSET(O$178,$K$213,0,$K233-$K$214,1))/GEOMEAN(1+OFFSET($L$178,$K$213,0,$K233-$K$214,1)), 1+ROW()-ROW(O$215)), NA())</f>
        <v>1.1529099353378764</v>
      </c>
      <c r="P233" s="599">
        <f t="array" aca="1" ref="P233" ca="1">IF(AND(ISNUMBER($K233), P$214), POWER(GEOMEAN(1+OFFSET(P$178,$K$213,0,$K233-$K$214,1))/GEOMEAN(1+OFFSET($L$178,$K$213,0,$K233-$K$214,1)), 1+ROW()-ROW(P$215)), NA())</f>
        <v>0.52547518270015903</v>
      </c>
      <c r="T233" s="140">
        <f t="shared" si="6"/>
        <v>1939</v>
      </c>
      <c r="U233" s="141">
        <f t="array" ref="U233">IF(AND($T233&gt;=U$88,$T233&lt;=U$89),SUMPRODUCT(U$5:U$81,TRANSPOSE(Data_All!$B76:$BZ76))%,"")</f>
        <v>3.0823941277731293E-2</v>
      </c>
      <c r="V233" s="141">
        <f t="array" ref="V233">IF(AND($T233&gt;=V$88,$T233&lt;=V$89),SUMPRODUCT(V$5:V$81,TRANSPOSE(Data_All!$B76:$BZ76))%,"")</f>
        <v>3.161710091266523E-2</v>
      </c>
      <c r="W233" s="141">
        <f t="array" ref="W233">IF(AND($T233&gt;=W$88,$T233&lt;=W$89),SUMPRODUCT(W$5:W$81,TRANSPOSE(Data_All!$B76:$BZ76))%,"")</f>
        <v>3.20136807301322E-2</v>
      </c>
      <c r="X233" s="141">
        <f t="array" ref="X233">IF(AND($T233&gt;=X$88,$T233&lt;=X$89),SUMPRODUCT(X$5:X$81,TRANSPOSE(Data_All!$B76:$BZ76))%,"")</f>
        <v>3.2410260547599171E-2</v>
      </c>
      <c r="Y233" s="141">
        <f t="array" ref="Y233">IF(AND($T233&gt;=Y$88,$T233&lt;=Y$89),SUMPRODUCT(Y$5:Y$81,TRANSPOSE(Data_All!$B76:$BZ76))%,"")</f>
        <v>3.2806840365066134E-2</v>
      </c>
    </row>
    <row r="234" spans="2:25">
      <c r="B234" s="600">
        <f t="shared" si="10"/>
        <v>1991</v>
      </c>
      <c r="C234" s="599">
        <f t="array" aca="1" ref="C234" ca="1">IF(AND(ISNUMBER($B234), C$214), POWER(GEOMEAN(1+OFFSET(C$165,$B$213,0,$B234-$B$214,1))/GEOMEAN(1+OFFSET($C$165,$B$213,0,$B234-$B$214,1)), 1+ROW()-ROW(C$215)), NA())</f>
        <v>1</v>
      </c>
      <c r="D234" s="599">
        <f t="array" aca="1" ref="D234" ca="1">IF(AND(ISNUMBER($B234), D$214), POWER(GEOMEAN(1+OFFSET(D$165,$B$213,0,$B234-$B$214,1))/GEOMEAN(1+OFFSET($C$165,$B$213,0,$B234-$B$214,1)), 1+ROW()-ROW(D$215)), NA())</f>
        <v>1.2427380053965047</v>
      </c>
      <c r="E234" s="599">
        <f t="array" aca="1" ref="E234" ca="1">IF(AND(ISNUMBER($B234), E$214), POWER(GEOMEAN(1+OFFSET(E$165,$B$213,0,$B234-$B$214,1))/GEOMEAN(1+OFFSET($C$165,$B$213,0,$B234-$B$214,1)), 1+ROW()-ROW(E$215)), NA())</f>
        <v>1.4295650252786956</v>
      </c>
      <c r="F234" s="599">
        <f t="array" aca="1" ref="F234" ca="1">IF(AND(ISNUMBER($B234), F$214), POWER(GEOMEAN(1+OFFSET(F$165,$B$213,0,$B234-$B$214,1))/GEOMEAN(1+OFFSET($C$165,$B$213,0,$B234-$B$214,1)), 1+ROW()-ROW(F$215)), NA())</f>
        <v>1.293666134365498</v>
      </c>
      <c r="G234" s="599">
        <f t="array" aca="1" ref="G234" ca="1">IF(AND(ISNUMBER($B234), G$214), POWER(GEOMEAN(1+OFFSET(G$165,$B$213,0,$B234-$B$214,1))/GEOMEAN(1+OFFSET($C$165,$B$213,0,$B234-$B$214,1)), 1+ROW()-ROW(G$215)), NA())</f>
        <v>1.099427379146519</v>
      </c>
      <c r="K234" s="600">
        <f t="shared" si="11"/>
        <v>2004</v>
      </c>
      <c r="L234" s="599">
        <f t="array" aca="1" ref="L234" ca="1">IF(AND(ISNUMBER($K234), L$214), POWER(GEOMEAN(1+OFFSET(L$178,$K$213,0,$K234-$K$214,1))/GEOMEAN(1+OFFSET($L$178,$K$213,0,$K234-$K$214,1)), 1+ROW()-ROW(L$215)), NA())</f>
        <v>1</v>
      </c>
      <c r="M234" s="599">
        <f t="array" aca="1" ref="M234" ca="1">IF(AND(ISNUMBER($K234), M$214), POWER(GEOMEAN(1+OFFSET(M$178,$K$213,0,$K234-$K$214,1))/GEOMEAN(1+OFFSET($L$178,$K$213,0,$K234-$K$214,1)), 1+ROW()-ROW(M$215)), NA())</f>
        <v>0.47757764793349883</v>
      </c>
      <c r="N234" s="599">
        <f t="array" aca="1" ref="N234" ca="1">IF(AND(ISNUMBER($K234), N$214), POWER(GEOMEAN(1+OFFSET(N$178,$K$213,0,$K234-$K$214,1))/GEOMEAN(1+OFFSET($L$178,$K$213,0,$K234-$K$214,1)), 1+ROW()-ROW(N$215)), NA())</f>
        <v>1.2318091113580407</v>
      </c>
      <c r="O234" s="599">
        <f t="array" aca="1" ref="O234" ca="1">IF(AND(ISNUMBER($K234), O$214), POWER(GEOMEAN(1+OFFSET(O$178,$K$213,0,$K234-$K$214,1))/GEOMEAN(1+OFFSET($L$178,$K$213,0,$K234-$K$214,1)), 1+ROW()-ROW(O$215)), NA())</f>
        <v>1.2000775332742311</v>
      </c>
      <c r="P234" s="599">
        <f t="array" aca="1" ref="P234" ca="1">IF(AND(ISNUMBER($K234), P$214), POWER(GEOMEAN(1+OFFSET(P$178,$K$213,0,$K234-$K$214,1))/GEOMEAN(1+OFFSET($L$178,$K$213,0,$K234-$K$214,1)), 1+ROW()-ROW(P$215)), NA())</f>
        <v>0.50262596871713028</v>
      </c>
      <c r="T234" s="140">
        <f t="shared" si="6"/>
        <v>1940</v>
      </c>
      <c r="U234" s="141">
        <f t="array" ref="U234">IF(AND($T234&gt;=U$88,$T234&lt;=U$89),SUMPRODUCT(U$5:U$81,TRANSPOSE(Data_All!$B77:$BZ77))%,"")</f>
        <v>-4.0703334101877117E-3</v>
      </c>
      <c r="V234" s="141">
        <f t="array" ref="V234">IF(AND($T234&gt;=V$88,$T234&lt;=V$89),SUMPRODUCT(V$5:V$81,TRANSPOSE(Data_All!$B77:$BZ77))%,"")</f>
        <v>-2.7994489021214212E-2</v>
      </c>
      <c r="W234" s="141">
        <f t="array" ref="W234">IF(AND($T234&gt;=W$88,$T234&lt;=W$89),SUMPRODUCT(W$5:W$81,TRANSPOSE(Data_All!$B77:$BZ77))%,"")</f>
        <v>-3.9956566826727463E-2</v>
      </c>
      <c r="X234" s="141">
        <f t="array" ref="X234">IF(AND($T234&gt;=X$88,$T234&lt;=X$89),SUMPRODUCT(X$5:X$81,TRANSPOSE(Data_All!$B77:$BZ77))%,"")</f>
        <v>-5.1918644632240704E-2</v>
      </c>
      <c r="Y234" s="141">
        <f t="array" ref="Y234">IF(AND($T234&gt;=Y$88,$T234&lt;=Y$89),SUMPRODUCT(Y$5:Y$81,TRANSPOSE(Data_All!$B77:$BZ77))%,"")</f>
        <v>-6.3880722437753959E-2</v>
      </c>
    </row>
    <row r="235" spans="2:25">
      <c r="B235" s="600">
        <f t="shared" si="10"/>
        <v>1992</v>
      </c>
      <c r="C235" s="599">
        <f t="array" aca="1" ref="C235" ca="1">IF(AND(ISNUMBER($B235), C$214), POWER(GEOMEAN(1+OFFSET(C$165,$B$213,0,$B235-$B$214,1))/GEOMEAN(1+OFFSET($C$165,$B$213,0,$B235-$B$214,1)), 1+ROW()-ROW(C$215)), NA())</f>
        <v>1</v>
      </c>
      <c r="D235" s="599">
        <f t="array" aca="1" ref="D235" ca="1">IF(AND(ISNUMBER($B235), D$214), POWER(GEOMEAN(1+OFFSET(D$165,$B$213,0,$B235-$B$214,1))/GEOMEAN(1+OFFSET($C$165,$B$213,0,$B235-$B$214,1)), 1+ROW()-ROW(D$215)), NA())</f>
        <v>1.2977809699355596</v>
      </c>
      <c r="E235" s="599">
        <f t="array" aca="1" ref="E235" ca="1">IF(AND(ISNUMBER($B235), E$214), POWER(GEOMEAN(1+OFFSET(E$165,$B$213,0,$B235-$B$214,1))/GEOMEAN(1+OFFSET($C$165,$B$213,0,$B235-$B$214,1)), 1+ROW()-ROW(E$215)), NA())</f>
        <v>1.5051654663161957</v>
      </c>
      <c r="F235" s="599">
        <f t="array" aca="1" ref="F235" ca="1">IF(AND(ISNUMBER($B235), F$214), POWER(GEOMEAN(1+OFFSET(F$165,$B$213,0,$B235-$B$214,1))/GEOMEAN(1+OFFSET($C$165,$B$213,0,$B235-$B$214,1)), 1+ROW()-ROW(F$215)), NA())</f>
        <v>1.3907323098318818</v>
      </c>
      <c r="G235" s="599">
        <f t="array" aca="1" ref="G235" ca="1">IF(AND(ISNUMBER($B235), G$214), POWER(GEOMEAN(1+OFFSET(G$165,$B$213,0,$B235-$B$214,1))/GEOMEAN(1+OFFSET($C$165,$B$213,0,$B235-$B$214,1)), 1+ROW()-ROW(G$215)), NA())</f>
        <v>1.1284535975619558</v>
      </c>
      <c r="K235" s="600">
        <f t="shared" si="11"/>
        <v>2005</v>
      </c>
      <c r="L235" s="599">
        <f t="array" aca="1" ref="L235" ca="1">IF(AND(ISNUMBER($K235), L$214), POWER(GEOMEAN(1+OFFSET(L$178,$K$213,0,$K235-$K$214,1))/GEOMEAN(1+OFFSET($L$178,$K$213,0,$K235-$K$214,1)), 1+ROW()-ROW(L$215)), NA())</f>
        <v>1</v>
      </c>
      <c r="M235" s="599">
        <f t="array" aca="1" ref="M235" ca="1">IF(AND(ISNUMBER($K235), M$214), POWER(GEOMEAN(1+OFFSET(M$178,$K$213,0,$K235-$K$214,1))/GEOMEAN(1+OFFSET($L$178,$K$213,0,$K235-$K$214,1)), 1+ROW()-ROW(M$215)), NA())</f>
        <v>0.48282477457924849</v>
      </c>
      <c r="N235" s="599">
        <f t="array" aca="1" ref="N235" ca="1">IF(AND(ISNUMBER($K235), N$214), POWER(GEOMEAN(1+OFFSET(N$178,$K$213,0,$K235-$K$214,1))/GEOMEAN(1+OFFSET($L$178,$K$213,0,$K235-$K$214,1)), 1+ROW()-ROW(N$215)), NA())</f>
        <v>1.2693705396714501</v>
      </c>
      <c r="O235" s="599">
        <f t="array" aca="1" ref="O235" ca="1">IF(AND(ISNUMBER($K235), O$214), POWER(GEOMEAN(1+OFFSET(O$178,$K$213,0,$K235-$K$214,1))/GEOMEAN(1+OFFSET($L$178,$K$213,0,$K235-$K$214,1)), 1+ROW()-ROW(O$215)), NA())</f>
        <v>1.23212793724553</v>
      </c>
      <c r="P235" s="599">
        <f t="array" aca="1" ref="P235" ca="1">IF(AND(ISNUMBER($K235), P$214), POWER(GEOMEAN(1+OFFSET(P$178,$K$213,0,$K235-$K$214,1))/GEOMEAN(1+OFFSET($L$178,$K$213,0,$K235-$K$214,1)), 1+ROW()-ROW(P$215)), NA())</f>
        <v>0.50981086208132975</v>
      </c>
      <c r="T235" s="140">
        <f t="shared" si="6"/>
        <v>1941</v>
      </c>
      <c r="U235" s="141">
        <f t="array" ref="U235">IF(AND($T235&gt;=U$88,$T235&lt;=U$89),SUMPRODUCT(U$5:U$81,TRANSPOSE(Data_All!$B78:$BZ78))%,"")</f>
        <v>-2.2646180844421503E-2</v>
      </c>
      <c r="V235" s="141">
        <f t="array" ref="V235">IF(AND($T235&gt;=V$88,$T235&lt;=V$89),SUMPRODUCT(V$5:V$81,TRANSPOSE(Data_All!$B78:$BZ78))%,"")</f>
        <v>-4.082039322333425E-2</v>
      </c>
      <c r="W235" s="141">
        <f t="array" ref="W235">IF(AND($T235&gt;=W$88,$T235&lt;=W$89),SUMPRODUCT(W$5:W$81,TRANSPOSE(Data_All!$B78:$BZ78))%,"")</f>
        <v>-4.9907499412790622E-2</v>
      </c>
      <c r="X235" s="141">
        <f t="array" ref="X235">IF(AND($T235&gt;=X$88,$T235&lt;=X$89),SUMPRODUCT(X$5:X$81,TRANSPOSE(Data_All!$B78:$BZ78))%,"")</f>
        <v>-5.8994605602246987E-2</v>
      </c>
      <c r="Y235" s="141">
        <f t="array" ref="Y235">IF(AND($T235&gt;=Y$88,$T235&lt;=Y$89),SUMPRODUCT(Y$5:Y$81,TRANSPOSE(Data_All!$B78:$BZ78))%,"")</f>
        <v>-6.8081711791703373E-2</v>
      </c>
    </row>
    <row r="236" spans="2:25">
      <c r="B236" s="600">
        <f t="shared" si="10"/>
        <v>1993</v>
      </c>
      <c r="C236" s="599">
        <f t="array" aca="1" ref="C236" ca="1">IF(AND(ISNUMBER($B236), C$214), POWER(GEOMEAN(1+OFFSET(C$165,$B$213,0,$B236-$B$214,1))/GEOMEAN(1+OFFSET($C$165,$B$213,0,$B236-$B$214,1)), 1+ROW()-ROW(C$215)), NA())</f>
        <v>1</v>
      </c>
      <c r="D236" s="599">
        <f t="array" aca="1" ref="D236" ca="1">IF(AND(ISNUMBER($B236), D$214), POWER(GEOMEAN(1+OFFSET(D$165,$B$213,0,$B236-$B$214,1))/GEOMEAN(1+OFFSET($C$165,$B$213,0,$B236-$B$214,1)), 1+ROW()-ROW(D$215)), NA())</f>
        <v>1.327683619733133</v>
      </c>
      <c r="E236" s="599">
        <f t="array" aca="1" ref="E236" ca="1">IF(AND(ISNUMBER($B236), E$214), POWER(GEOMEAN(1+OFFSET(E$165,$B$213,0,$B236-$B$214,1))/GEOMEAN(1+OFFSET($C$165,$B$213,0,$B236-$B$214,1)), 1+ROW()-ROW(E$215)), NA())</f>
        <v>1.5870791975377514</v>
      </c>
      <c r="F236" s="599">
        <f t="array" aca="1" ref="F236" ca="1">IF(AND(ISNUMBER($B236), F$214), POWER(GEOMEAN(1+OFFSET(F$165,$B$213,0,$B236-$B$214,1))/GEOMEAN(1+OFFSET($C$165,$B$213,0,$B236-$B$214,1)), 1+ROW()-ROW(F$215)), NA())</f>
        <v>1.4399714204090432</v>
      </c>
      <c r="G236" s="599">
        <f t="array" aca="1" ref="G236" ca="1">IF(AND(ISNUMBER($B236), G$214), POWER(GEOMEAN(1+OFFSET(G$165,$B$213,0,$B236-$B$214,1))/GEOMEAN(1+OFFSET($C$165,$B$213,0,$B236-$B$214,1)), 1+ROW()-ROW(G$215)), NA())</f>
        <v>1.1724316322169308</v>
      </c>
      <c r="K236" s="600">
        <f t="shared" si="11"/>
        <v>2006</v>
      </c>
      <c r="L236" s="599">
        <f t="array" aca="1" ref="L236" ca="1">IF(AND(ISNUMBER($K236), L$214), POWER(GEOMEAN(1+OFFSET(L$178,$K$213,0,$K236-$K$214,1))/GEOMEAN(1+OFFSET($L$178,$K$213,0,$K236-$K$214,1)), 1+ROW()-ROW(L$215)), NA())</f>
        <v>1</v>
      </c>
      <c r="M236" s="599">
        <f t="array" aca="1" ref="M236" ca="1">IF(AND(ISNUMBER($K236), M$214), POWER(GEOMEAN(1+OFFSET(M$178,$K$213,0,$K236-$K$214,1))/GEOMEAN(1+OFFSET($L$178,$K$213,0,$K236-$K$214,1)), 1+ROW()-ROW(M$215)), NA())</f>
        <v>0.49844141554654925</v>
      </c>
      <c r="N236" s="599">
        <f t="array" aca="1" ref="N236" ca="1">IF(AND(ISNUMBER($K236), N$214), POWER(GEOMEAN(1+OFFSET(N$178,$K$213,0,$K236-$K$214,1))/GEOMEAN(1+OFFSET($L$178,$K$213,0,$K236-$K$214,1)), 1+ROW()-ROW(N$215)), NA())</f>
        <v>1.4098879634777493</v>
      </c>
      <c r="O236" s="599">
        <f t="array" aca="1" ref="O236" ca="1">IF(AND(ISNUMBER($K236), O$214), POWER(GEOMEAN(1+OFFSET(O$178,$K$213,0,$K236-$K$214,1))/GEOMEAN(1+OFFSET($L$178,$K$213,0,$K236-$K$214,1)), 1+ROW()-ROW(O$215)), NA())</f>
        <v>1.3287218855416594</v>
      </c>
      <c r="P236" s="599">
        <f t="array" aca="1" ref="P236" ca="1">IF(AND(ISNUMBER($K236), P$214), POWER(GEOMEAN(1+OFFSET(P$178,$K$213,0,$K236-$K$214,1))/GEOMEAN(1+OFFSET($L$178,$K$213,0,$K236-$K$214,1)), 1+ROW()-ROW(P$215)), NA())</f>
        <v>0.52847681993449547</v>
      </c>
      <c r="T236" s="140">
        <f t="shared" si="6"/>
        <v>1942</v>
      </c>
      <c r="U236" s="141">
        <f t="array" ref="U236">IF(AND($T236&gt;=U$88,$T236&lt;=U$89),SUMPRODUCT(U$5:U$81,TRANSPOSE(Data_All!$B79:$BZ79))%,"")</f>
        <v>7.6248580564232907E-2</v>
      </c>
      <c r="V236" s="141">
        <f t="array" ref="V236">IF(AND($T236&gt;=V$88,$T236&lt;=V$89),SUMPRODUCT(V$5:V$81,TRANSPOSE(Data_All!$B79:$BZ79))%,"")</f>
        <v>0.11045431326496556</v>
      </c>
      <c r="W236" s="141">
        <f t="array" ref="W236">IF(AND($T236&gt;=W$88,$T236&lt;=W$89),SUMPRODUCT(W$5:W$81,TRANSPOSE(Data_All!$B79:$BZ79))%,"")</f>
        <v>0.12755717961533189</v>
      </c>
      <c r="X236" s="141">
        <f t="array" ref="X236">IF(AND($T236&gt;=X$88,$T236&lt;=X$89),SUMPRODUCT(X$5:X$81,TRANSPOSE(Data_All!$B79:$BZ79))%,"")</f>
        <v>0.14466004596569823</v>
      </c>
      <c r="Y236" s="141">
        <f t="array" ref="Y236">IF(AND($T236&gt;=Y$88,$T236&lt;=Y$89),SUMPRODUCT(Y$5:Y$81,TRANSPOSE(Data_All!$B79:$BZ79))%,"")</f>
        <v>0.16176291231606454</v>
      </c>
    </row>
    <row r="237" spans="2:25">
      <c r="B237" s="600">
        <f t="shared" si="10"/>
        <v>1994</v>
      </c>
      <c r="C237" s="599">
        <f t="array" aca="1" ref="C237" ca="1">IF(AND(ISNUMBER($B237), C$214), POWER(GEOMEAN(1+OFFSET(C$165,$B$213,0,$B237-$B$214,1))/GEOMEAN(1+OFFSET($C$165,$B$213,0,$B237-$B$214,1)), 1+ROW()-ROW(C$215)), NA())</f>
        <v>1</v>
      </c>
      <c r="D237" s="599">
        <f t="array" aca="1" ref="D237" ca="1">IF(AND(ISNUMBER($B237), D$214), POWER(GEOMEAN(1+OFFSET(D$165,$B$213,0,$B237-$B$214,1))/GEOMEAN(1+OFFSET($C$165,$B$213,0,$B237-$B$214,1)), 1+ROW()-ROW(D$215)), NA())</f>
        <v>1.322574378117406</v>
      </c>
      <c r="E237" s="599">
        <f t="array" aca="1" ref="E237" ca="1">IF(AND(ISNUMBER($B237), E$214), POWER(GEOMEAN(1+OFFSET(E$165,$B$213,0,$B237-$B$214,1))/GEOMEAN(1+OFFSET($C$165,$B$213,0,$B237-$B$214,1)), 1+ROW()-ROW(E$215)), NA())</f>
        <v>1.5730914161918874</v>
      </c>
      <c r="F237" s="599">
        <f t="array" aca="1" ref="F237" ca="1">IF(AND(ISNUMBER($B237), F$214), POWER(GEOMEAN(1+OFFSET(F$165,$B$213,0,$B237-$B$214,1))/GEOMEAN(1+OFFSET($C$165,$B$213,0,$B237-$B$214,1)), 1+ROW()-ROW(F$215)), NA())</f>
        <v>1.4261615662807912</v>
      </c>
      <c r="G237" s="599">
        <f t="array" aca="1" ref="G237" ca="1">IF(AND(ISNUMBER($B237), G$214), POWER(GEOMEAN(1+OFFSET(G$165,$B$213,0,$B237-$B$214,1))/GEOMEAN(1+OFFSET($C$165,$B$213,0,$B237-$B$214,1)), 1+ROW()-ROW(G$215)), NA())</f>
        <v>1.1683700387097138</v>
      </c>
      <c r="K237" s="600">
        <f t="shared" si="11"/>
        <v>2007</v>
      </c>
      <c r="L237" s="599">
        <f t="array" aca="1" ref="L237" ca="1">IF(AND(ISNUMBER($K237), L$214), POWER(GEOMEAN(1+OFFSET(L$178,$K$213,0,$K237-$K$214,1))/GEOMEAN(1+OFFSET($L$178,$K$213,0,$K237-$K$214,1)), 1+ROW()-ROW(L$215)), NA())</f>
        <v>1</v>
      </c>
      <c r="M237" s="599">
        <f t="array" aca="1" ref="M237" ca="1">IF(AND(ISNUMBER($K237), M$214), POWER(GEOMEAN(1+OFFSET(M$178,$K$213,0,$K237-$K$214,1))/GEOMEAN(1+OFFSET($L$178,$K$213,0,$K237-$K$214,1)), 1+ROW()-ROW(M$215)), NA())</f>
        <v>0.50852742420005981</v>
      </c>
      <c r="N237" s="599">
        <f t="array" aca="1" ref="N237" ca="1">IF(AND(ISNUMBER($K237), N$214), POWER(GEOMEAN(1+OFFSET(N$178,$K$213,0,$K237-$K$214,1))/GEOMEAN(1+OFFSET($L$178,$K$213,0,$K237-$K$214,1)), 1+ROW()-ROW(N$215)), NA())</f>
        <v>1.3496262312241449</v>
      </c>
      <c r="O237" s="599">
        <f t="array" aca="1" ref="O237" ca="1">IF(AND(ISNUMBER($K237), O$214), POWER(GEOMEAN(1+OFFSET(O$178,$K$213,0,$K237-$K$214,1))/GEOMEAN(1+OFFSET($L$178,$K$213,0,$K237-$K$214,1)), 1+ROW()-ROW(O$215)), NA())</f>
        <v>1.293959443554568</v>
      </c>
      <c r="P237" s="599">
        <f t="array" aca="1" ref="P237" ca="1">IF(AND(ISNUMBER($K237), P$214), POWER(GEOMEAN(1+OFFSET(P$178,$K$213,0,$K237-$K$214,1))/GEOMEAN(1+OFFSET($L$178,$K$213,0,$K237-$K$214,1)), 1+ROW()-ROW(P$215)), NA())</f>
        <v>0.54351569401202693</v>
      </c>
      <c r="T237" s="140">
        <f t="shared" si="6"/>
        <v>1943</v>
      </c>
      <c r="U237" s="141">
        <f t="array" ref="U237">IF(AND($T237&gt;=U$88,$T237&lt;=U$89),SUMPRODUCT(U$5:U$81,TRANSPOSE(Data_All!$B80:$BZ80))%,"")</f>
        <v>8.8397341452887482E-2</v>
      </c>
      <c r="V237" s="141">
        <f t="array" ref="V237">IF(AND($T237&gt;=V$88,$T237&lt;=V$89),SUMPRODUCT(V$5:V$81,TRANSPOSE(Data_All!$B80:$BZ80))%,"")</f>
        <v>0.13025125125723025</v>
      </c>
      <c r="W237" s="141">
        <f t="array" ref="W237">IF(AND($T237&gt;=W$88,$T237&lt;=W$89),SUMPRODUCT(W$5:W$81,TRANSPOSE(Data_All!$B80:$BZ80))%,"")</f>
        <v>0.15117820615940164</v>
      </c>
      <c r="X237" s="141">
        <f t="array" ref="X237">IF(AND($T237&gt;=X$88,$T237&lt;=X$89),SUMPRODUCT(X$5:X$81,TRANSPOSE(Data_All!$B80:$BZ80))%,"")</f>
        <v>0.172105161061573</v>
      </c>
      <c r="Y237" s="141">
        <f t="array" ref="Y237">IF(AND($T237&gt;=Y$88,$T237&lt;=Y$89),SUMPRODUCT(Y$5:Y$81,TRANSPOSE(Data_All!$B80:$BZ80))%,"")</f>
        <v>0.19303211596374442</v>
      </c>
    </row>
    <row r="238" spans="2:25">
      <c r="B238" s="600">
        <f t="shared" si="10"/>
        <v>1995</v>
      </c>
      <c r="C238" s="599">
        <f t="array" aca="1" ref="C238" ca="1">IF(AND(ISNUMBER($B238), C$214), POWER(GEOMEAN(1+OFFSET(C$165,$B$213,0,$B238-$B$214,1))/GEOMEAN(1+OFFSET($C$165,$B$213,0,$B238-$B$214,1)), 1+ROW()-ROW(C$215)), NA())</f>
        <v>1</v>
      </c>
      <c r="D238" s="599">
        <f t="array" aca="1" ref="D238" ca="1">IF(AND(ISNUMBER($B238), D$214), POWER(GEOMEAN(1+OFFSET(D$165,$B$213,0,$B238-$B$214,1))/GEOMEAN(1+OFFSET($C$165,$B$213,0,$B238-$B$214,1)), 1+ROW()-ROW(D$215)), NA())</f>
        <v>1.3046918479852645</v>
      </c>
      <c r="E238" s="599">
        <f t="array" aca="1" ref="E238" ca="1">IF(AND(ISNUMBER($B238), E$214), POWER(GEOMEAN(1+OFFSET(E$165,$B$213,0,$B238-$B$214,1))/GEOMEAN(1+OFFSET($C$165,$B$213,0,$B238-$B$214,1)), 1+ROW()-ROW(E$215)), NA())</f>
        <v>1.5347302883640603</v>
      </c>
      <c r="F238" s="599">
        <f t="array" aca="1" ref="F238" ca="1">IF(AND(ISNUMBER($B238), F$214), POWER(GEOMEAN(1+OFFSET(F$165,$B$213,0,$B238-$B$214,1))/GEOMEAN(1+OFFSET($C$165,$B$213,0,$B238-$B$214,1)), 1+ROW()-ROW(F$215)), NA())</f>
        <v>1.3469506649794896</v>
      </c>
      <c r="G238" s="599">
        <f t="array" aca="1" ref="G238" ca="1">IF(AND(ISNUMBER($B238), G$214), POWER(GEOMEAN(1+OFFSET(G$165,$B$213,0,$B238-$B$214,1))/GEOMEAN(1+OFFSET($C$165,$B$213,0,$B238-$B$214,1)), 1+ROW()-ROW(G$215)), NA())</f>
        <v>1.0871181456597072</v>
      </c>
      <c r="K238" s="600">
        <f t="shared" si="11"/>
        <v>2008</v>
      </c>
      <c r="L238" s="599">
        <f t="array" aca="1" ref="L238" ca="1">IF(AND(ISNUMBER($K238), L$214), POWER(GEOMEAN(1+OFFSET(L$178,$K$213,0,$K238-$K$214,1))/GEOMEAN(1+OFFSET($L$178,$K$213,0,$K238-$K$214,1)), 1+ROW()-ROW(L$215)), NA())</f>
        <v>1</v>
      </c>
      <c r="M238" s="599">
        <f t="array" aca="1" ref="M238" ca="1">IF(AND(ISNUMBER($K238), M$214), POWER(GEOMEAN(1+OFFSET(M$178,$K$213,0,$K238-$K$214,1))/GEOMEAN(1+OFFSET($L$178,$K$213,0,$K238-$K$214,1)), 1+ROW()-ROW(M$215)), NA())</f>
        <v>0.66294773702300103</v>
      </c>
      <c r="N238" s="599">
        <f t="array" aca="1" ref="N238" ca="1">IF(AND(ISNUMBER($K238), N$214), POWER(GEOMEAN(1+OFFSET(N$178,$K$213,0,$K238-$K$214,1))/GEOMEAN(1+OFFSET($L$178,$K$213,0,$K238-$K$214,1)), 1+ROW()-ROW(N$215)), NA())</f>
        <v>1.254087153149541</v>
      </c>
      <c r="O238" s="599">
        <f t="array" aca="1" ref="O238" ca="1">IF(AND(ISNUMBER($K238), O$214), POWER(GEOMEAN(1+OFFSET(O$178,$K$213,0,$K238-$K$214,1))/GEOMEAN(1+OFFSET($L$178,$K$213,0,$K238-$K$214,1)), 1+ROW()-ROW(O$215)), NA())</f>
        <v>1.2467717037357549</v>
      </c>
      <c r="P238" s="599">
        <f t="array" aca="1" ref="P238" ca="1">IF(AND(ISNUMBER($K238), P$214), POWER(GEOMEAN(1+OFFSET(P$178,$K$213,0,$K238-$K$214,1))/GEOMEAN(1+OFFSET($L$178,$K$213,0,$K238-$K$214,1)), 1+ROW()-ROW(P$215)), NA())</f>
        <v>0.71026334620144993</v>
      </c>
      <c r="T238" s="140">
        <f t="shared" si="6"/>
        <v>1944</v>
      </c>
      <c r="U238" s="141">
        <f t="array" ref="U238">IF(AND($T238&gt;=U$88,$T238&lt;=U$89),SUMPRODUCT(U$5:U$81,TRANSPOSE(Data_All!$B81:$BZ81))%,"")</f>
        <v>7.8143867220475477E-2</v>
      </c>
      <c r="V238" s="141">
        <f t="array" ref="V238">IF(AND($T238&gt;=V$88,$T238&lt;=V$89),SUMPRODUCT(V$5:V$81,TRANSPOSE(Data_All!$B81:$BZ81))%,"")</f>
        <v>0.11078992324066517</v>
      </c>
      <c r="W238" s="141">
        <f t="array" ref="W238">IF(AND($T238&gt;=W$88,$T238&lt;=W$89),SUMPRODUCT(W$5:W$81,TRANSPOSE(Data_All!$B81:$BZ81))%,"")</f>
        <v>0.12711295125076</v>
      </c>
      <c r="X238" s="141">
        <f t="array" ref="X238">IF(AND($T238&gt;=X$88,$T238&lt;=X$89),SUMPRODUCT(X$5:X$81,TRANSPOSE(Data_All!$B81:$BZ81))%,"")</f>
        <v>0.14343597926085486</v>
      </c>
      <c r="Y238" s="141">
        <f t="array" ref="Y238">IF(AND($T238&gt;=Y$88,$T238&lt;=Y$89),SUMPRODUCT(Y$5:Y$81,TRANSPOSE(Data_All!$B81:$BZ81))%,"")</f>
        <v>0.15975900727094972</v>
      </c>
    </row>
    <row r="239" spans="2:25">
      <c r="B239" s="600">
        <f t="shared" si="10"/>
        <v>1996</v>
      </c>
      <c r="C239" s="599">
        <f t="array" aca="1" ref="C239" ca="1">IF(AND(ISNUMBER($B239), C$214), POWER(GEOMEAN(1+OFFSET(C$165,$B$213,0,$B239-$B$214,1))/GEOMEAN(1+OFFSET($C$165,$B$213,0,$B239-$B$214,1)), 1+ROW()-ROW(C$215)), NA())</f>
        <v>1</v>
      </c>
      <c r="D239" s="599">
        <f t="array" aca="1" ref="D239" ca="1">IF(AND(ISNUMBER($B239), D$214), POWER(GEOMEAN(1+OFFSET(D$165,$B$213,0,$B239-$B$214,1))/GEOMEAN(1+OFFSET($C$165,$B$213,0,$B239-$B$214,1)), 1+ROW()-ROW(D$215)), NA())</f>
        <v>1.3059442174319928</v>
      </c>
      <c r="E239" s="599">
        <f t="array" aca="1" ref="E239" ca="1">IF(AND(ISNUMBER($B239), E$214), POWER(GEOMEAN(1+OFFSET(E$165,$B$213,0,$B239-$B$214,1))/GEOMEAN(1+OFFSET($C$165,$B$213,0,$B239-$B$214,1)), 1+ROW()-ROW(E$215)), NA())</f>
        <v>1.5470238752838035</v>
      </c>
      <c r="F239" s="599">
        <f t="array" aca="1" ref="F239" ca="1">IF(AND(ISNUMBER($B239), F$214), POWER(GEOMEAN(1+OFFSET(F$165,$B$213,0,$B239-$B$214,1))/GEOMEAN(1+OFFSET($C$165,$B$213,0,$B239-$B$214,1)), 1+ROW()-ROW(F$215)), NA())</f>
        <v>1.3708403070809214</v>
      </c>
      <c r="G239" s="599">
        <f t="array" aca="1" ref="G239" ca="1">IF(AND(ISNUMBER($B239), G$214), POWER(GEOMEAN(1+OFFSET(G$165,$B$213,0,$B239-$B$214,1))/GEOMEAN(1+OFFSET($C$165,$B$213,0,$B239-$B$214,1)), 1+ROW()-ROW(G$215)), NA())</f>
        <v>1.0600344231123391</v>
      </c>
      <c r="K239" s="600">
        <f t="shared" si="11"/>
        <v>2009</v>
      </c>
      <c r="L239" s="599">
        <f t="array" aca="1" ref="L239" ca="1">IF(AND(ISNUMBER($K239), L$214), POWER(GEOMEAN(1+OFFSET(L$178,$K$213,0,$K239-$K$214,1))/GEOMEAN(1+OFFSET($L$178,$K$213,0,$K239-$K$214,1)), 1+ROW()-ROW(L$215)), NA())</f>
        <v>1</v>
      </c>
      <c r="M239" s="599">
        <f t="array" aca="1" ref="M239" ca="1">IF(AND(ISNUMBER($K239), M$214), POWER(GEOMEAN(1+OFFSET(M$178,$K$213,0,$K239-$K$214,1))/GEOMEAN(1+OFFSET($L$178,$K$213,0,$K239-$K$214,1)), 1+ROW()-ROW(M$215)), NA())</f>
        <v>0.59457504369251946</v>
      </c>
      <c r="N239" s="599">
        <f t="array" aca="1" ref="N239" ca="1">IF(AND(ISNUMBER($K239), N$214), POWER(GEOMEAN(1+OFFSET(N$178,$K$213,0,$K239-$K$214,1))/GEOMEAN(1+OFFSET($L$178,$K$213,0,$K239-$K$214,1)), 1+ROW()-ROW(N$215)), NA())</f>
        <v>1.2943330147228227</v>
      </c>
      <c r="O239" s="599">
        <f t="array" aca="1" ref="O239" ca="1">IF(AND(ISNUMBER($K239), O$214), POWER(GEOMEAN(1+OFFSET(O$178,$K$213,0,$K239-$K$214,1))/GEOMEAN(1+OFFSET($L$178,$K$213,0,$K239-$K$214,1)), 1+ROW()-ROW(O$215)), NA())</f>
        <v>1.2820380402942257</v>
      </c>
      <c r="P239" s="599">
        <f t="array" aca="1" ref="P239" ca="1">IF(AND(ISNUMBER($K239), P$214), POWER(GEOMEAN(1+OFFSET(P$178,$K$213,0,$K239-$K$214,1))/GEOMEAN(1+OFFSET($L$178,$K$213,0,$K239-$K$214,1)), 1+ROW()-ROW(P$215)), NA())</f>
        <v>0.63998669084536086</v>
      </c>
      <c r="T239" s="140">
        <f t="shared" si="6"/>
        <v>1945</v>
      </c>
      <c r="U239" s="141">
        <f t="array" ref="U239">IF(AND($T239&gt;=U$88,$T239&lt;=U$89),SUMPRODUCT(U$5:U$81,TRANSPOSE(Data_All!$B82:$BZ82))%,"")</f>
        <v>0.13667309069690228</v>
      </c>
      <c r="V239" s="141">
        <f t="array" ref="V239">IF(AND($T239&gt;=V$88,$T239&lt;=V$89),SUMPRODUCT(V$5:V$81,TRANSPOSE(Data_All!$B82:$BZ82))%,"")</f>
        <v>0.2075463302711644</v>
      </c>
      <c r="W239" s="141">
        <f t="array" ref="W239">IF(AND($T239&gt;=W$88,$T239&lt;=W$89),SUMPRODUCT(W$5:W$81,TRANSPOSE(Data_All!$B82:$BZ82))%,"")</f>
        <v>0.24298295005829545</v>
      </c>
      <c r="X239" s="141">
        <f t="array" ref="X239">IF(AND($T239&gt;=X$88,$T239&lt;=X$89),SUMPRODUCT(X$5:X$81,TRANSPOSE(Data_All!$B82:$BZ82))%,"")</f>
        <v>0.27841956984542654</v>
      </c>
      <c r="Y239" s="141">
        <f t="array" ref="Y239">IF(AND($T239&gt;=Y$88,$T239&lt;=Y$89),SUMPRODUCT(Y$5:Y$81,TRANSPOSE(Data_All!$B82:$BZ82))%,"")</f>
        <v>0.31385618963255763</v>
      </c>
    </row>
    <row r="240" spans="2:25">
      <c r="B240" s="600">
        <f t="shared" si="10"/>
        <v>1997</v>
      </c>
      <c r="C240" s="599">
        <f t="array" aca="1" ref="C240" ca="1">IF(AND(ISNUMBER($B240), C$214), POWER(GEOMEAN(1+OFFSET(C$165,$B$213,0,$B240-$B$214,1))/GEOMEAN(1+OFFSET($C$165,$B$213,0,$B240-$B$214,1)), 1+ROW()-ROW(C$215)), NA())</f>
        <v>1</v>
      </c>
      <c r="D240" s="599">
        <f t="array" aca="1" ref="D240" ca="1">IF(AND(ISNUMBER($B240), D$214), POWER(GEOMEAN(1+OFFSET(D$165,$B$213,0,$B240-$B$214,1))/GEOMEAN(1+OFFSET($C$165,$B$213,0,$B240-$B$214,1)), 1+ROW()-ROW(D$215)), NA())</f>
        <v>1.2922622614322601</v>
      </c>
      <c r="E240" s="599">
        <f t="array" aca="1" ref="E240" ca="1">IF(AND(ISNUMBER($B240), E$214), POWER(GEOMEAN(1+OFFSET(E$165,$B$213,0,$B240-$B$214,1))/GEOMEAN(1+OFFSET($C$165,$B$213,0,$B240-$B$214,1)), 1+ROW()-ROW(E$215)), NA())</f>
        <v>1.5025940047748103</v>
      </c>
      <c r="F240" s="599">
        <f t="array" aca="1" ref="F240" ca="1">IF(AND(ISNUMBER($B240), F$214), POWER(GEOMEAN(1+OFFSET(F$165,$B$213,0,$B240-$B$214,1))/GEOMEAN(1+OFFSET($C$165,$B$213,0,$B240-$B$214,1)), 1+ROW()-ROW(F$215)), NA())</f>
        <v>1.34403294995508</v>
      </c>
      <c r="G240" s="599">
        <f t="array" aca="1" ref="G240" ca="1">IF(AND(ISNUMBER($B240), G$214), POWER(GEOMEAN(1+OFFSET(G$165,$B$213,0,$B240-$B$214,1))/GEOMEAN(1+OFFSET($C$165,$B$213,0,$B240-$B$214,1)), 1+ROW()-ROW(G$215)), NA())</f>
        <v>1.0095673054891785</v>
      </c>
      <c r="K240" s="600">
        <f t="shared" si="11"/>
        <v>2010</v>
      </c>
      <c r="L240" s="599">
        <f t="array" aca="1" ref="L240" ca="1">IF(AND(ISNUMBER($K240), L$214), POWER(GEOMEAN(1+OFFSET(L$178,$K$213,0,$K240-$K$214,1))/GEOMEAN(1+OFFSET($L$178,$K$213,0,$K240-$K$214,1)), 1+ROW()-ROW(L$215)), NA())</f>
        <v>1</v>
      </c>
      <c r="M240" s="599">
        <f t="array" aca="1" ref="M240" ca="1">IF(AND(ISNUMBER($K240), M$214), POWER(GEOMEAN(1+OFFSET(M$178,$K$213,0,$K240-$K$214,1))/GEOMEAN(1+OFFSET($L$178,$K$213,0,$K240-$K$214,1)), 1+ROW()-ROW(M$215)), NA())</f>
        <v>0.59126613503434522</v>
      </c>
      <c r="N240" s="599">
        <f t="array" aca="1" ref="N240" ca="1">IF(AND(ISNUMBER($K240), N$214), POWER(GEOMEAN(1+OFFSET(N$178,$K$213,0,$K240-$K$214,1))/GEOMEAN(1+OFFSET($L$178,$K$213,0,$K240-$K$214,1)), 1+ROW()-ROW(N$215)), NA())</f>
        <v>1.2999672114395111</v>
      </c>
      <c r="O240" s="599">
        <f t="array" aca="1" ref="O240" ca="1">IF(AND(ISNUMBER($K240), O$214), POWER(GEOMEAN(1+OFFSET(O$178,$K$213,0,$K240-$K$214,1))/GEOMEAN(1+OFFSET($L$178,$K$213,0,$K240-$K$214,1)), 1+ROW()-ROW(O$215)), NA())</f>
        <v>1.2803691574509837</v>
      </c>
      <c r="P240" s="599">
        <f t="array" aca="1" ref="P240" ca="1">IF(AND(ISNUMBER($K240), P$214), POWER(GEOMEAN(1+OFFSET(P$178,$K$213,0,$K240-$K$214,1))/GEOMEAN(1+OFFSET($L$178,$K$213,0,$K240-$K$214,1)), 1+ROW()-ROW(P$215)), NA())</f>
        <v>0.63659419443021903</v>
      </c>
      <c r="T240" s="140">
        <f t="shared" si="6"/>
        <v>1946</v>
      </c>
      <c r="U240" s="141">
        <f t="array" ref="U240">IF(AND($T240&gt;=U$88,$T240&lt;=U$89),SUMPRODUCT(U$5:U$81,TRANSPOSE(Data_All!$B83:$BZ83))%,"")</f>
        <v>-2.3158054768713833E-2</v>
      </c>
      <c r="V240" s="141">
        <f t="array" ref="V240">IF(AND($T240&gt;=V$88,$T240&lt;=V$89),SUMPRODUCT(V$5:V$81,TRANSPOSE(Data_All!$B83:$BZ83))%,"")</f>
        <v>-4.9837805094824113E-2</v>
      </c>
      <c r="W240" s="141">
        <f t="array" ref="W240">IF(AND($T240&gt;=W$88,$T240&lt;=W$89),SUMPRODUCT(W$5:W$81,TRANSPOSE(Data_All!$B83:$BZ83))%,"")</f>
        <v>-6.3177680257879246E-2</v>
      </c>
      <c r="X240" s="141">
        <f t="array" ref="X240">IF(AND($T240&gt;=X$88,$T240&lt;=X$89),SUMPRODUCT(X$5:X$81,TRANSPOSE(Data_All!$B83:$BZ83))%,"")</f>
        <v>-7.6517555420934386E-2</v>
      </c>
      <c r="Y240" s="141">
        <f t="array" ref="Y240">IF(AND($T240&gt;=Y$88,$T240&lt;=Y$89),SUMPRODUCT(Y$5:Y$81,TRANSPOSE(Data_All!$B83:$BZ83))%,"")</f>
        <v>-8.9857430583989525E-2</v>
      </c>
    </row>
    <row r="241" spans="2:25">
      <c r="B241" s="600">
        <f t="shared" si="10"/>
        <v>1998</v>
      </c>
      <c r="C241" s="599">
        <f t="array" aca="1" ref="C241" ca="1">IF(AND(ISNUMBER($B241), C$214), POWER(GEOMEAN(1+OFFSET(C$165,$B$213,0,$B241-$B$214,1))/GEOMEAN(1+OFFSET($C$165,$B$213,0,$B241-$B$214,1)), 1+ROW()-ROW(C$215)), NA())</f>
        <v>1</v>
      </c>
      <c r="D241" s="599">
        <f t="array" aca="1" ref="D241" ca="1">IF(AND(ISNUMBER($B241), D$214), POWER(GEOMEAN(1+OFFSET(D$165,$B$213,0,$B241-$B$214,1))/GEOMEAN(1+OFFSET($C$165,$B$213,0,$B241-$B$214,1)), 1+ROW()-ROW(D$215)), NA())</f>
        <v>1.2014292536401003</v>
      </c>
      <c r="E241" s="599">
        <f t="array" aca="1" ref="E241" ca="1">IF(AND(ISNUMBER($B241), E$214), POWER(GEOMEAN(1+OFFSET(E$165,$B$213,0,$B241-$B$214,1))/GEOMEAN(1+OFFSET($C$165,$B$213,0,$B241-$B$214,1)), 1+ROW()-ROW(E$215)), NA())</f>
        <v>1.3536721555234108</v>
      </c>
      <c r="F241" s="599">
        <f t="array" aca="1" ref="F241" ca="1">IF(AND(ISNUMBER($B241), F$214), POWER(GEOMEAN(1+OFFSET(F$165,$B$213,0,$B241-$B$214,1))/GEOMEAN(1+OFFSET($C$165,$B$213,0,$B241-$B$214,1)), 1+ROW()-ROW(F$215)), NA())</f>
        <v>1.1701186946137709</v>
      </c>
      <c r="G241" s="599">
        <f t="array" aca="1" ref="G241" ca="1">IF(AND(ISNUMBER($B241), G$214), POWER(GEOMEAN(1+OFFSET(G$165,$B$213,0,$B241-$B$214,1))/GEOMEAN(1+OFFSET($C$165,$B$213,0,$B241-$B$214,1)), 1+ROW()-ROW(G$215)), NA())</f>
        <v>0.92758687417315522</v>
      </c>
      <c r="K241" s="600">
        <f t="shared" si="11"/>
        <v>2011</v>
      </c>
      <c r="L241" s="599">
        <f t="array" aca="1" ref="L241" ca="1">IF(AND(ISNUMBER($K241), L$214), POWER(GEOMEAN(1+OFFSET(L$178,$K$213,0,$K241-$K$214,1))/GEOMEAN(1+OFFSET($L$178,$K$213,0,$K241-$K$214,1)), 1+ROW()-ROW(L$215)), NA())</f>
        <v>1</v>
      </c>
      <c r="M241" s="599">
        <f t="array" aca="1" ref="M241" ca="1">IF(AND(ISNUMBER($K241), M$214), POWER(GEOMEAN(1+OFFSET(M$178,$K$213,0,$K241-$K$214,1))/GEOMEAN(1+OFFSET($L$178,$K$213,0,$K241-$K$214,1)), 1+ROW()-ROW(M$215)), NA())</f>
        <v>0.62047055833100329</v>
      </c>
      <c r="N241" s="599">
        <f t="array" aca="1" ref="N241" ca="1">IF(AND(ISNUMBER($K241), N$214), POWER(GEOMEAN(1+OFFSET(N$178,$K$213,0,$K241-$K$214,1))/GEOMEAN(1+OFFSET($L$178,$K$213,0,$K241-$K$214,1)), 1+ROW()-ROW(N$215)), NA())</f>
        <v>1.2140032786260126</v>
      </c>
      <c r="O241" s="599">
        <f t="array" aca="1" ref="O241" ca="1">IF(AND(ISNUMBER($K241), O$214), POWER(GEOMEAN(1+OFFSET(O$178,$K$213,0,$K241-$K$214,1))/GEOMEAN(1+OFFSET($L$178,$K$213,0,$K241-$K$214,1)), 1+ROW()-ROW(O$215)), NA())</f>
        <v>1.2022874362000786</v>
      </c>
      <c r="P241" s="599">
        <f t="array" aca="1" ref="P241" ca="1">IF(AND(ISNUMBER($K241), P$214), POWER(GEOMEAN(1+OFFSET(P$178,$K$213,0,$K241-$K$214,1))/GEOMEAN(1+OFFSET($L$178,$K$213,0,$K241-$K$214,1)), 1+ROW()-ROW(P$215)), NA())</f>
        <v>0.6650241015978241</v>
      </c>
      <c r="T241" s="140">
        <f t="shared" si="6"/>
        <v>1947</v>
      </c>
      <c r="U241" s="141">
        <f t="array" ref="U241">IF(AND($T241&gt;=U$88,$T241&lt;=U$89),SUMPRODUCT(U$5:U$81,TRANSPOSE(Data_All!$B84:$BZ84))%,"")</f>
        <v>1.7372775474586554E-2</v>
      </c>
      <c r="V241" s="141">
        <f t="array" ref="V241">IF(AND($T241&gt;=V$88,$T241&lt;=V$89),SUMPRODUCT(V$5:V$81,TRANSPOSE(Data_All!$B84:$BZ84))%,"")</f>
        <v>2.1050057056845151E-2</v>
      </c>
      <c r="W241" s="141">
        <f t="array" ref="W241">IF(AND($T241&gt;=W$88,$T241&lt;=W$89),SUMPRODUCT(W$5:W$81,TRANSPOSE(Data_All!$B84:$BZ84))%,"")</f>
        <v>2.2888697847974447E-2</v>
      </c>
      <c r="X241" s="141">
        <f t="array" ref="X241">IF(AND($T241&gt;=X$88,$T241&lt;=X$89),SUMPRODUCT(X$5:X$81,TRANSPOSE(Data_All!$B84:$BZ84))%,"")</f>
        <v>2.4727338639103747E-2</v>
      </c>
      <c r="Y241" s="141">
        <f t="array" ref="Y241">IF(AND($T241&gt;=Y$88,$T241&lt;=Y$89),SUMPRODUCT(Y$5:Y$81,TRANSPOSE(Data_All!$B84:$BZ84))%,"")</f>
        <v>2.6565979430233044E-2</v>
      </c>
    </row>
    <row r="242" spans="2:25">
      <c r="B242" s="600">
        <f t="shared" si="10"/>
        <v>1999</v>
      </c>
      <c r="C242" s="599">
        <f t="array" aca="1" ref="C242" ca="1">IF(AND(ISNUMBER($B242), C$214), POWER(GEOMEAN(1+OFFSET(C$165,$B$213,0,$B242-$B$214,1))/GEOMEAN(1+OFFSET($C$165,$B$213,0,$B242-$B$214,1)), 1+ROW()-ROW(C$215)), NA())</f>
        <v>1</v>
      </c>
      <c r="D242" s="599">
        <f t="array" aca="1" ref="D242" ca="1">IF(AND(ISNUMBER($B242), D$214), POWER(GEOMEAN(1+OFFSET(D$165,$B$213,0,$B242-$B$214,1))/GEOMEAN(1+OFFSET($C$165,$B$213,0,$B242-$B$214,1)), 1+ROW()-ROW(D$215)), NA())</f>
        <v>1.1473368702711124</v>
      </c>
      <c r="E242" s="599">
        <f t="array" aca="1" ref="E242" ca="1">IF(AND(ISNUMBER($B242), E$214), POWER(GEOMEAN(1+OFFSET(E$165,$B$213,0,$B242-$B$214,1))/GEOMEAN(1+OFFSET($C$165,$B$213,0,$B242-$B$214,1)), 1+ROW()-ROW(E$215)), NA())</f>
        <v>1.3294910247573195</v>
      </c>
      <c r="F242" s="599">
        <f t="array" aca="1" ref="F242" ca="1">IF(AND(ISNUMBER($B242), F$214), POWER(GEOMEAN(1+OFFSET(F$165,$B$213,0,$B242-$B$214,1))/GEOMEAN(1+OFFSET($C$165,$B$213,0,$B242-$B$214,1)), 1+ROW()-ROW(F$215)), NA())</f>
        <v>1.1036461799077626</v>
      </c>
      <c r="G242" s="599">
        <f t="array" aca="1" ref="G242" ca="1">IF(AND(ISNUMBER($B242), G$214), POWER(GEOMEAN(1+OFFSET(G$165,$B$213,0,$B242-$B$214,1))/GEOMEAN(1+OFFSET($C$165,$B$213,0,$B242-$B$214,1)), 1+ROW()-ROW(G$215)), NA())</f>
        <v>0.90702134141736346</v>
      </c>
      <c r="K242" s="600">
        <f t="shared" si="11"/>
        <v>2012</v>
      </c>
      <c r="L242" s="599">
        <f t="array" aca="1" ref="L242" ca="1">IF(AND(ISNUMBER($K242), L$214), POWER(GEOMEAN(1+OFFSET(L$178,$K$213,0,$K242-$K$214,1))/GEOMEAN(1+OFFSET($L$178,$K$213,0,$K242-$K$214,1)), 1+ROW()-ROW(L$215)), NA())</f>
        <v>1</v>
      </c>
      <c r="M242" s="599">
        <f t="array" aca="1" ref="M242" ca="1">IF(AND(ISNUMBER($K242), M$214), POWER(GEOMEAN(1+OFFSET(M$178,$K$213,0,$K242-$K$214,1))/GEOMEAN(1+OFFSET($L$178,$K$213,0,$K242-$K$214,1)), 1+ROW()-ROW(M$215)), NA())</f>
        <v>0.59509987905685802</v>
      </c>
      <c r="N242" s="599">
        <f t="array" aca="1" ref="N242" ca="1">IF(AND(ISNUMBER($K242), N$214), POWER(GEOMEAN(1+OFFSET(N$178,$K$213,0,$K242-$K$214,1))/GEOMEAN(1+OFFSET($L$178,$K$213,0,$K242-$K$214,1)), 1+ROW()-ROW(N$215)), NA())</f>
        <v>1.2531640580180134</v>
      </c>
      <c r="O242" s="599">
        <f t="array" aca="1" ref="O242" ca="1">IF(AND(ISNUMBER($K242), O$214), POWER(GEOMEAN(1+OFFSET(O$178,$K$213,0,$K242-$K$214,1))/GEOMEAN(1+OFFSET($L$178,$K$213,0,$K242-$K$214,1)), 1+ROW()-ROW(O$215)), NA())</f>
        <v>1.2343166270941781</v>
      </c>
      <c r="P242" s="599">
        <f t="array" aca="1" ref="P242" ca="1">IF(AND(ISNUMBER($K242), P$214), POWER(GEOMEAN(1+OFFSET(P$178,$K$213,0,$K242-$K$214,1))/GEOMEAN(1+OFFSET($L$178,$K$213,0,$K242-$K$214,1)), 1+ROW()-ROW(P$215)), NA())</f>
        <v>0.63889834710033944</v>
      </c>
      <c r="T242" s="140">
        <f t="shared" si="6"/>
        <v>1948</v>
      </c>
      <c r="U242" s="141">
        <f t="array" ref="U242">IF(AND($T242&gt;=U$88,$T242&lt;=U$89),SUMPRODUCT(U$5:U$81,TRANSPOSE(Data_All!$B85:$BZ85))%,"")</f>
        <v>4.6831656928621609E-2</v>
      </c>
      <c r="V242" s="141">
        <f t="array" ref="V242">IF(AND($T242&gt;=V$88,$T242&lt;=V$89),SUMPRODUCT(V$5:V$81,TRANSPOSE(Data_All!$B85:$BZ85))%,"")</f>
        <v>6.1579494858465367E-2</v>
      </c>
      <c r="W242" s="141">
        <f t="array" ref="W242">IF(AND($T242&gt;=W$88,$T242&lt;=W$89),SUMPRODUCT(W$5:W$81,TRANSPOSE(Data_All!$B85:$BZ85))%,"")</f>
        <v>6.8953413823387238E-2</v>
      </c>
      <c r="X242" s="141">
        <f t="array" ref="X242">IF(AND($T242&gt;=X$88,$T242&lt;=X$89),SUMPRODUCT(X$5:X$81,TRANSPOSE(Data_All!$B85:$BZ85))%,"")</f>
        <v>7.6327332788309124E-2</v>
      </c>
      <c r="Y242" s="141">
        <f t="array" ref="Y242">IF(AND($T242&gt;=Y$88,$T242&lt;=Y$89),SUMPRODUCT(Y$5:Y$81,TRANSPOSE(Data_All!$B85:$BZ85))%,"")</f>
        <v>8.3701251753230996E-2</v>
      </c>
    </row>
    <row r="243" spans="2:25">
      <c r="B243" s="600">
        <f t="shared" si="10"/>
        <v>2000</v>
      </c>
      <c r="C243" s="599">
        <f t="array" aca="1" ref="C243" ca="1">IF(AND(ISNUMBER($B243), C$214), POWER(GEOMEAN(1+OFFSET(C$165,$B$213,0,$B243-$B$214,1))/GEOMEAN(1+OFFSET($C$165,$B$213,0,$B243-$B$214,1)), 1+ROW()-ROW(C$215)), NA())</f>
        <v>1</v>
      </c>
      <c r="D243" s="599">
        <f t="array" aca="1" ref="D243" ca="1">IF(AND(ISNUMBER($B243), D$214), POWER(GEOMEAN(1+OFFSET(D$165,$B$213,0,$B243-$B$214,1))/GEOMEAN(1+OFFSET($C$165,$B$213,0,$B243-$B$214,1)), 1+ROW()-ROW(D$215)), NA())</f>
        <v>1.2767841245962301</v>
      </c>
      <c r="E243" s="599">
        <f t="array" aca="1" ref="E243" ca="1">IF(AND(ISNUMBER($B243), E$214), POWER(GEOMEAN(1+OFFSET(E$165,$B$213,0,$B243-$B$214,1))/GEOMEAN(1+OFFSET($C$165,$B$213,0,$B243-$B$214,1)), 1+ROW()-ROW(E$215)), NA())</f>
        <v>1.4632940927790181</v>
      </c>
      <c r="F243" s="599">
        <f t="array" aca="1" ref="F243" ca="1">IF(AND(ISNUMBER($B243), F$214), POWER(GEOMEAN(1+OFFSET(F$165,$B$213,0,$B243-$B$214,1))/GEOMEAN(1+OFFSET($C$165,$B$213,0,$B243-$B$214,1)), 1+ROW()-ROW(F$215)), NA())</f>
        <v>1.2505165449894815</v>
      </c>
      <c r="G243" s="599">
        <f t="array" aca="1" ref="G243" ca="1">IF(AND(ISNUMBER($B243), G$214), POWER(GEOMEAN(1+OFFSET(G$165,$B$213,0,$B243-$B$214,1))/GEOMEAN(1+OFFSET($C$165,$B$213,0,$B243-$B$214,1)), 1+ROW()-ROW(G$215)), NA())</f>
        <v>0.9594003229431104</v>
      </c>
      <c r="K243" s="600">
        <f>IF(ROW()-ROW(K$214)&gt;$L$90, NA(), K242+1)</f>
        <v>2013</v>
      </c>
      <c r="L243" s="599">
        <f t="array" aca="1" ref="L243" ca="1">IF(AND(ISNUMBER($K243), L$214), POWER(GEOMEAN(1+OFFSET(L$178,$K$213,0,$K243-$K$214,1))/GEOMEAN(1+OFFSET($L$178,$K$213,0,$K243-$K$214,1)), 1+ROW()-ROW(L$215)), NA())</f>
        <v>1</v>
      </c>
      <c r="M243" s="599">
        <f t="array" aca="1" ref="M243" ca="1">IF(AND(ISNUMBER($K243), M$214), POWER(GEOMEAN(1+OFFSET(M$178,$K$213,0,$K243-$K$214,1))/GEOMEAN(1+OFFSET($L$178,$K$213,0,$K243-$K$214,1)), 1+ROW()-ROW(M$215)), NA())</f>
        <v>0.52480776908709237</v>
      </c>
      <c r="N243" s="599">
        <f t="array" aca="1" ref="N243" ca="1">IF(AND(ISNUMBER($K243), N$214), POWER(GEOMEAN(1+OFFSET(N$178,$K$213,0,$K243-$K$214,1))/GEOMEAN(1+OFFSET($L$178,$K$213,0,$K243-$K$214,1)), 1+ROW()-ROW(N$215)), NA())</f>
        <v>1.3288437728764526</v>
      </c>
      <c r="O243" s="599">
        <f t="array" aca="1" ref="O243" ca="1">IF(AND(ISNUMBER($K243), O$214), POWER(GEOMEAN(1+OFFSET(O$178,$K$213,0,$K243-$K$214,1))/GEOMEAN(1+OFFSET($L$178,$K$213,0,$K243-$K$214,1)), 1+ROW()-ROW(O$215)), NA())</f>
        <v>1.2865323323653957</v>
      </c>
      <c r="P243" s="599">
        <f t="array" aca="1" ref="P243" ca="1">IF(AND(ISNUMBER($K243), P$214), POWER(GEOMEAN(1+OFFSET(P$178,$K$213,0,$K243-$K$214,1))/GEOMEAN(1+OFFSET($L$178,$K$213,0,$K243-$K$214,1)), 1+ROW()-ROW(P$215)), NA())</f>
        <v>0.55809029144206057</v>
      </c>
      <c r="T243" s="140">
        <f t="shared" si="6"/>
        <v>1949</v>
      </c>
      <c r="U243" s="141">
        <f t="array" ref="U243">IF(AND($T243&gt;=U$88,$T243&lt;=U$89),SUMPRODUCT(U$5:U$81,TRANSPOSE(Data_All!$B86:$BZ86))%,"")</f>
        <v>7.1915184841199312E-2</v>
      </c>
      <c r="V243" s="141">
        <f t="array" ref="V243">IF(AND($T243&gt;=V$88,$T243&lt;=V$89),SUMPRODUCT(V$5:V$81,TRANSPOSE(Data_All!$B86:$BZ86))%,"")</f>
        <v>0.10084715583895187</v>
      </c>
      <c r="W243" s="141">
        <f t="array" ref="W243">IF(AND($T243&gt;=W$88,$T243&lt;=W$89),SUMPRODUCT(W$5:W$81,TRANSPOSE(Data_All!$B86:$BZ86))%,"")</f>
        <v>0.11531314133782815</v>
      </c>
      <c r="X243" s="141">
        <f t="array" ref="X243">IF(AND($T243&gt;=X$88,$T243&lt;=X$89),SUMPRODUCT(X$5:X$81,TRANSPOSE(Data_All!$B86:$BZ86))%,"")</f>
        <v>0.12977912683670442</v>
      </c>
      <c r="Y243" s="141">
        <f t="array" ref="Y243">IF(AND($T243&gt;=Y$88,$T243&lt;=Y$89),SUMPRODUCT(Y$5:Y$81,TRANSPOSE(Data_All!$B86:$BZ86))%,"")</f>
        <v>0.14424511233558071</v>
      </c>
    </row>
    <row r="244" spans="2:25">
      <c r="B244" s="600">
        <f t="shared" si="10"/>
        <v>2001</v>
      </c>
      <c r="C244" s="599">
        <f t="array" aca="1" ref="C244" ca="1">IF(AND(ISNUMBER($B244), C$214), POWER(GEOMEAN(1+OFFSET(C$165,$B$213,0,$B244-$B$214,1))/GEOMEAN(1+OFFSET($C$165,$B$213,0,$B244-$B$214,1)), 1+ROW()-ROW(C$215)), NA())</f>
        <v>1</v>
      </c>
      <c r="D244" s="599">
        <f t="array" aca="1" ref="D244" ca="1">IF(AND(ISNUMBER($B244), D$214), POWER(GEOMEAN(1+OFFSET(D$165,$B$213,0,$B244-$B$214,1))/GEOMEAN(1+OFFSET($C$165,$B$213,0,$B244-$B$214,1)), 1+ROW()-ROW(D$215)), NA())</f>
        <v>1.3699481957507595</v>
      </c>
      <c r="E244" s="599">
        <f t="array" aca="1" ref="E244" ca="1">IF(AND(ISNUMBER($B244), E$214), POWER(GEOMEAN(1+OFFSET(E$165,$B$213,0,$B244-$B$214,1))/GEOMEAN(1+OFFSET($C$165,$B$213,0,$B244-$B$214,1)), 1+ROW()-ROW(E$215)), NA())</f>
        <v>1.6052149369100059</v>
      </c>
      <c r="F244" s="599">
        <f t="array" aca="1" ref="F244" ca="1">IF(AND(ISNUMBER($B244), F$214), POWER(GEOMEAN(1+OFFSET(F$165,$B$213,0,$B244-$B$214,1))/GEOMEAN(1+OFFSET($C$165,$B$213,0,$B244-$B$214,1)), 1+ROW()-ROW(F$215)), NA())</f>
        <v>1.4078714330687592</v>
      </c>
      <c r="G244" s="599">
        <f t="array" aca="1" ref="G244" ca="1">IF(AND(ISNUMBER($B244), G$214), POWER(GEOMEAN(1+OFFSET(G$165,$B$213,0,$B244-$B$214,1))/GEOMEAN(1+OFFSET($C$165,$B$213,0,$B244-$B$214,1)), 1+ROW()-ROW(G$215)), NA())</f>
        <v>1.0391588417184072</v>
      </c>
      <c r="K244" s="600">
        <f t="shared" si="11"/>
        <v>2014</v>
      </c>
      <c r="L244" s="599">
        <f t="array" aca="1" ref="L244" ca="1">IF(AND(ISNUMBER($K244), L$214), POWER(GEOMEAN(1+OFFSET(L$178,$K$213,0,$K244-$K$214,1))/GEOMEAN(1+OFFSET($L$178,$K$213,0,$K244-$K$214,1)), 1+ROW()-ROW(L$215)), NA())</f>
        <v>1</v>
      </c>
      <c r="M244" s="599">
        <f t="array" aca="1" ref="M244" ca="1">IF(AND(ISNUMBER($K244), M$214), POWER(GEOMEAN(1+OFFSET(M$178,$K$213,0,$K244-$K$214,1))/GEOMEAN(1+OFFSET($L$178,$K$213,0,$K244-$K$214,1)), 1+ROW()-ROW(M$215)), NA())</f>
        <v>0.53948148716421307</v>
      </c>
      <c r="N244" s="599">
        <f t="array" aca="1" ref="N244" ca="1">IF(AND(ISNUMBER($K244), N$214), POWER(GEOMEAN(1+OFFSET(N$178,$K$213,0,$K244-$K$214,1))/GEOMEAN(1+OFFSET($L$178,$K$213,0,$K244-$K$214,1)), 1+ROW()-ROW(N$215)), NA())</f>
        <v>1.3493469232781641</v>
      </c>
      <c r="O244" s="599">
        <f t="array" aca="1" ref="O244" ca="1">IF(AND(ISNUMBER($K244), O$214), POWER(GEOMEAN(1+OFFSET(O$178,$K$213,0,$K244-$K$214,1))/GEOMEAN(1+OFFSET($L$178,$K$213,0,$K244-$K$214,1)), 1+ROW()-ROW(O$215)), NA())</f>
        <v>1.2794114839786763</v>
      </c>
      <c r="P244" s="599">
        <f t="array" aca="1" ref="P244" ca="1">IF(AND(ISNUMBER($K244), P$214), POWER(GEOMEAN(1+OFFSET(P$178,$K$213,0,$K244-$K$214,1))/GEOMEAN(1+OFFSET($L$178,$K$213,0,$K244-$K$214,1)), 1+ROW()-ROW(P$215)), NA())</f>
        <v>0.56976388048165316</v>
      </c>
      <c r="T244" s="140">
        <f t="shared" si="6"/>
        <v>1950</v>
      </c>
      <c r="U244" s="141">
        <f t="array" ref="U244">IF(AND($T244&gt;=U$88,$T244&lt;=U$89),SUMPRODUCT(U$5:U$81,TRANSPOSE(Data_All!$B87:$BZ87))%,"")</f>
        <v>0.10453391613297089</v>
      </c>
      <c r="V244" s="141">
        <f t="array" ref="V244">IF(AND($T244&gt;=V$88,$T244&lt;=V$89),SUMPRODUCT(V$5:V$81,TRANSPOSE(Data_All!$B87:$BZ87))%,"")</f>
        <v>0.17283905316200698</v>
      </c>
      <c r="W244" s="141">
        <f t="array" ref="W244">IF(AND($T244&gt;=W$88,$T244&lt;=W$89),SUMPRODUCT(W$5:W$81,TRANSPOSE(Data_All!$B87:$BZ87))%,"")</f>
        <v>0.20699162167652502</v>
      </c>
      <c r="X244" s="141">
        <f t="array" ref="X244">IF(AND($T244&gt;=X$88,$T244&lt;=X$89),SUMPRODUCT(X$5:X$81,TRANSPOSE(Data_All!$B87:$BZ87))%,"")</f>
        <v>0.24114419019104308</v>
      </c>
      <c r="Y244" s="141">
        <f t="array" ref="Y244">IF(AND($T244&gt;=Y$88,$T244&lt;=Y$89),SUMPRODUCT(Y$5:Y$81,TRANSPOSE(Data_All!$B87:$BZ87))%,"")</f>
        <v>0.27529675870556114</v>
      </c>
    </row>
    <row r="245" spans="2:25">
      <c r="B245" s="600">
        <f t="shared" si="10"/>
        <v>2002</v>
      </c>
      <c r="C245" s="599">
        <f t="array" aca="1" ref="C245" ca="1">IF(AND(ISNUMBER($B245), C$214), POWER(GEOMEAN(1+OFFSET(C$165,$B$213,0,$B245-$B$214,1))/GEOMEAN(1+OFFSET($C$165,$B$213,0,$B245-$B$214,1)), 1+ROW()-ROW(C$215)), NA())</f>
        <v>1</v>
      </c>
      <c r="D245" s="599">
        <f t="array" aca="1" ref="D245" ca="1">IF(AND(ISNUMBER($B245), D$214), POWER(GEOMEAN(1+OFFSET(D$165,$B$213,0,$B245-$B$214,1))/GEOMEAN(1+OFFSET($C$165,$B$213,0,$B245-$B$214,1)), 1+ROW()-ROW(D$215)), NA())</f>
        <v>1.4125812087440426</v>
      </c>
      <c r="E245" s="599">
        <f t="array" aca="1" ref="E245" ca="1">IF(AND(ISNUMBER($B245), E$214), POWER(GEOMEAN(1+OFFSET(E$165,$B$213,0,$B245-$B$214,1))/GEOMEAN(1+OFFSET($C$165,$B$213,0,$B245-$B$214,1)), 1+ROW()-ROW(E$215)), NA())</f>
        <v>1.6452304509868085</v>
      </c>
      <c r="F245" s="599">
        <f t="array" aca="1" ref="F245" ca="1">IF(AND(ISNUMBER($B245), F$214), POWER(GEOMEAN(1+OFFSET(F$165,$B$213,0,$B245-$B$214,1))/GEOMEAN(1+OFFSET($C$165,$B$213,0,$B245-$B$214,1)), 1+ROW()-ROW(F$215)), NA())</f>
        <v>1.532332415172293</v>
      </c>
      <c r="G245" s="599">
        <f t="array" aca="1" ref="G245" ca="1">IF(AND(ISNUMBER($B245), G$214), POWER(GEOMEAN(1+OFFSET(G$165,$B$213,0,$B245-$B$214,1))/GEOMEAN(1+OFFSET($C$165,$B$213,0,$B245-$B$214,1)), 1+ROW()-ROW(G$215)), NA())</f>
        <v>1.145259828154132</v>
      </c>
      <c r="K245" s="600">
        <f t="shared" si="11"/>
        <v>2015</v>
      </c>
      <c r="L245" s="599">
        <f t="array" aca="1" ref="L245" ca="1">IF(AND(ISNUMBER($K245), L$214), POWER(GEOMEAN(1+OFFSET(L$178,$K$213,0,$K245-$K$214,1))/GEOMEAN(1+OFFSET($L$178,$K$213,0,$K245-$K$214,1)), 1+ROW()-ROW(L$215)), NA())</f>
        <v>1</v>
      </c>
      <c r="M245" s="599">
        <f t="array" aca="1" ref="M245" ca="1">IF(AND(ISNUMBER($K245), M$214), POWER(GEOMEAN(1+OFFSET(M$178,$K$213,0,$K245-$K$214,1))/GEOMEAN(1+OFFSET($L$178,$K$213,0,$K245-$K$214,1)), 1+ROW()-ROW(M$215)), NA())</f>
        <v>0.54715662414396249</v>
      </c>
      <c r="N245" s="599">
        <f t="array" aca="1" ref="N245" ca="1">IF(AND(ISNUMBER($K245), N$214), POWER(GEOMEAN(1+OFFSET(N$178,$K$213,0,$K245-$K$214,1))/GEOMEAN(1+OFFSET($L$178,$K$213,0,$K245-$K$214,1)), 1+ROW()-ROW(N$215)), NA())</f>
        <v>1.3839254897443021</v>
      </c>
      <c r="O245" s="599">
        <f t="array" aca="1" ref="O245" ca="1">IF(AND(ISNUMBER($K245), O$214), POWER(GEOMEAN(1+OFFSET(O$178,$K$213,0,$K245-$K$214,1))/GEOMEAN(1+OFFSET($L$178,$K$213,0,$K245-$K$214,1)), 1+ROW()-ROW(O$215)), NA())</f>
        <v>1.3039728570168805</v>
      </c>
      <c r="P245" s="599">
        <f t="array" aca="1" ref="P245" ca="1">IF(AND(ISNUMBER($K245), P$214), POWER(GEOMEAN(1+OFFSET(P$178,$K$213,0,$K245-$K$214,1))/GEOMEAN(1+OFFSET($L$178,$K$213,0,$K245-$K$214,1)), 1+ROW()-ROW(P$215)), NA())</f>
        <v>0.57680224878905573</v>
      </c>
      <c r="T245" s="140">
        <f t="shared" si="6"/>
        <v>1951</v>
      </c>
      <c r="U245" s="141">
        <f t="array" ref="U245">IF(AND($T245&gt;=U$88,$T245&lt;=U$89),SUMPRODUCT(U$5:U$81,TRANSPOSE(Data_All!$B88:$BZ88))%,"")</f>
        <v>7.4648423786668E-2</v>
      </c>
      <c r="V245" s="141">
        <f t="array" ref="V245">IF(AND($T245&gt;=V$88,$T245&lt;=V$89),SUMPRODUCT(V$5:V$81,TRANSPOSE(Data_All!$B88:$BZ88))%,"")</f>
        <v>0.11245682860225058</v>
      </c>
      <c r="W245" s="141">
        <f t="array" ref="W245">IF(AND($T245&gt;=W$88,$T245&lt;=W$89),SUMPRODUCT(W$5:W$81,TRANSPOSE(Data_All!$B88:$BZ88))%,"")</f>
        <v>0.13136103101004187</v>
      </c>
      <c r="X245" s="141">
        <f t="array" ref="X245">IF(AND($T245&gt;=X$88,$T245&lt;=X$89),SUMPRODUCT(X$5:X$81,TRANSPOSE(Data_All!$B88:$BZ88))%,"")</f>
        <v>0.15026523341783316</v>
      </c>
      <c r="Y245" s="141">
        <f t="array" ref="Y245">IF(AND($T245&gt;=Y$88,$T245&lt;=Y$89),SUMPRODUCT(Y$5:Y$81,TRANSPOSE(Data_All!$B88:$BZ88))%,"")</f>
        <v>0.16916943582562446</v>
      </c>
    </row>
    <row r="246" spans="2:25">
      <c r="B246" s="600">
        <f t="shared" si="10"/>
        <v>2003</v>
      </c>
      <c r="C246" s="599">
        <f t="array" aca="1" ref="C246" ca="1">IF(AND(ISNUMBER($B246), C$214), POWER(GEOMEAN(1+OFFSET(C$165,$B$213,0,$B246-$B$214,1))/GEOMEAN(1+OFFSET($C$165,$B$213,0,$B246-$B$214,1)), 1+ROW()-ROW(C$215)), NA())</f>
        <v>1</v>
      </c>
      <c r="D246" s="599">
        <f t="array" aca="1" ref="D246" ca="1">IF(AND(ISNUMBER($B246), D$214), POWER(GEOMEAN(1+OFFSET(D$165,$B$213,0,$B246-$B$214,1))/GEOMEAN(1+OFFSET($C$165,$B$213,0,$B246-$B$214,1)), 1+ROW()-ROW(D$215)), NA())</f>
        <v>1.4190689019545222</v>
      </c>
      <c r="E246" s="599">
        <f t="array" aca="1" ref="E246" ca="1">IF(AND(ISNUMBER($B246), E$214), POWER(GEOMEAN(1+OFFSET(E$165,$B$213,0,$B246-$B$214,1))/GEOMEAN(1+OFFSET($C$165,$B$213,0,$B246-$B$214,1)), 1+ROW()-ROW(E$215)), NA())</f>
        <v>1.7037990222366801</v>
      </c>
      <c r="F246" s="599">
        <f t="array" aca="1" ref="F246" ca="1">IF(AND(ISNUMBER($B246), F$214), POWER(GEOMEAN(1+OFFSET(F$165,$B$213,0,$B246-$B$214,1))/GEOMEAN(1+OFFSET($C$165,$B$213,0,$B246-$B$214,1)), 1+ROW()-ROW(F$215)), NA())</f>
        <v>1.5287569609520473</v>
      </c>
      <c r="G246" s="599">
        <f t="array" aca="1" ref="G246" ca="1">IF(AND(ISNUMBER($B246), G$214), POWER(GEOMEAN(1+OFFSET(G$165,$B$213,0,$B246-$B$214,1))/GEOMEAN(1+OFFSET($C$165,$B$213,0,$B246-$B$214,1)), 1+ROW()-ROW(G$215)), NA())</f>
        <v>1.1213072752619122</v>
      </c>
      <c r="K246" s="600" t="e">
        <f>IF(ROW()-ROW(K$214)&gt;$L$90, NA(), K245+1)</f>
        <v>#N/A</v>
      </c>
      <c r="L246" s="599" t="e">
        <f t="array" aca="1" ref="L246" ca="1">IF(AND(ISNUMBER($K246), L$214), POWER(GEOMEAN(1+OFFSET(L$178,$K$213,0,$K246-$K$214,1))/GEOMEAN(1+OFFSET($L$178,$K$213,0,$K246-$K$214,1)), 1+ROW()-ROW(L$215)), NA())</f>
        <v>#N/A</v>
      </c>
      <c r="M246" s="599" t="e">
        <f t="array" aca="1" ref="M246" ca="1">IF(AND(ISNUMBER($K246), M$214), POWER(GEOMEAN(1+OFFSET(M$178,$K$213,0,$K246-$K$214,1))/GEOMEAN(1+OFFSET($L$178,$K$213,0,$K246-$K$214,1)), 1+ROW()-ROW(M$215)), NA())</f>
        <v>#N/A</v>
      </c>
      <c r="N246" s="599" t="e">
        <f t="array" aca="1" ref="N246" ca="1">IF(AND(ISNUMBER($K246), N$214), POWER(GEOMEAN(1+OFFSET(N$178,$K$213,0,$K246-$K$214,1))/GEOMEAN(1+OFFSET($L$178,$K$213,0,$K246-$K$214,1)), 1+ROW()-ROW(N$215)), NA())</f>
        <v>#N/A</v>
      </c>
      <c r="O246" s="599" t="e">
        <f t="array" aca="1" ref="O246" ca="1">IF(AND(ISNUMBER($K246), O$214), POWER(GEOMEAN(1+OFFSET(O$178,$K$213,0,$K246-$K$214,1))/GEOMEAN(1+OFFSET($L$178,$K$213,0,$K246-$K$214,1)), 1+ROW()-ROW(O$215)), NA())</f>
        <v>#N/A</v>
      </c>
      <c r="P246" s="599" t="e">
        <f t="array" aca="1" ref="P246" ca="1">IF(AND(ISNUMBER($K246), P$214), POWER(GEOMEAN(1+OFFSET(P$178,$K$213,0,$K246-$K$214,1))/GEOMEAN(1+OFFSET($L$178,$K$213,0,$K246-$K$214,1)), 1+ROW()-ROW(P$215)), NA())</f>
        <v>#N/A</v>
      </c>
      <c r="T246" s="140">
        <f t="shared" si="6"/>
        <v>1952</v>
      </c>
      <c r="U246" s="141">
        <f t="array" ref="U246">IF(AND($T246&gt;=U$88,$T246&lt;=U$89),SUMPRODUCT(U$5:U$81,TRANSPOSE(Data_All!$B89:$BZ89))%,"")</f>
        <v>5.5665020479606059E-2</v>
      </c>
      <c r="V246" s="141">
        <f t="array" ref="V246">IF(AND($T246&gt;=V$88,$T246&lt;=V$89),SUMPRODUCT(V$5:V$81,TRANSPOSE(Data_All!$B89:$BZ89))%,"")</f>
        <v>7.9918999746107278E-2</v>
      </c>
      <c r="W246" s="141">
        <f t="array" ref="W246">IF(AND($T246&gt;=W$88,$T246&lt;=W$89),SUMPRODUCT(W$5:W$81,TRANSPOSE(Data_All!$B89:$BZ89))%,"")</f>
        <v>9.2045989379357887E-2</v>
      </c>
      <c r="X246" s="141">
        <f t="array" ref="X246">IF(AND($T246&gt;=X$88,$T246&lt;=X$89),SUMPRODUCT(X$5:X$81,TRANSPOSE(Data_All!$B89:$BZ89))%,"")</f>
        <v>0.10417297901260848</v>
      </c>
      <c r="Y246" s="141">
        <f t="array" ref="Y246">IF(AND($T246&gt;=Y$88,$T246&lt;=Y$89),SUMPRODUCT(Y$5:Y$81,TRANSPOSE(Data_All!$B89:$BZ89))%,"")</f>
        <v>0.11629996864585909</v>
      </c>
    </row>
    <row r="247" spans="2:25">
      <c r="B247" s="600">
        <f t="shared" si="10"/>
        <v>2004</v>
      </c>
      <c r="C247" s="599">
        <f t="array" aca="1" ref="C247" ca="1">IF(AND(ISNUMBER($B247), C$214), POWER(GEOMEAN(1+OFFSET(C$165,$B$213,0,$B247-$B$214,1))/GEOMEAN(1+OFFSET($C$165,$B$213,0,$B247-$B$214,1)), 1+ROW()-ROW(C$215)), NA())</f>
        <v>1</v>
      </c>
      <c r="D247" s="599">
        <f t="array" aca="1" ref="D247" ca="1">IF(AND(ISNUMBER($B247), D$214), POWER(GEOMEAN(1+OFFSET(D$165,$B$213,0,$B247-$B$214,1))/GEOMEAN(1+OFFSET($C$165,$B$213,0,$B247-$B$214,1)), 1+ROW()-ROW(D$215)), NA())</f>
        <v>1.4413075743638533</v>
      </c>
      <c r="E247" s="599">
        <f t="array" aca="1" ref="E247" ca="1">IF(AND(ISNUMBER($B247), E$214), POWER(GEOMEAN(1+OFFSET(E$165,$B$213,0,$B247-$B$214,1))/GEOMEAN(1+OFFSET($C$165,$B$213,0,$B247-$B$214,1)), 1+ROW()-ROW(E$215)), NA())</f>
        <v>1.7499711340601549</v>
      </c>
      <c r="F247" s="599">
        <f t="array" aca="1" ref="F247" ca="1">IF(AND(ISNUMBER($B247), F$214), POWER(GEOMEAN(1+OFFSET(F$165,$B$213,0,$B247-$B$214,1))/GEOMEAN(1+OFFSET($C$165,$B$213,0,$B247-$B$214,1)), 1+ROW()-ROW(F$215)), NA())</f>
        <v>1.5675557769070483</v>
      </c>
      <c r="G247" s="599">
        <f t="array" aca="1" ref="G247" ca="1">IF(AND(ISNUMBER($B247), G$214), POWER(GEOMEAN(1+OFFSET(G$165,$B$213,0,$B247-$B$214,1))/GEOMEAN(1+OFFSET($C$165,$B$213,0,$B247-$B$214,1)), 1+ROW()-ROW(G$215)), NA())</f>
        <v>1.1278653797387843</v>
      </c>
      <c r="T247" s="140">
        <f t="shared" si="6"/>
        <v>1953</v>
      </c>
      <c r="U247" s="141">
        <f t="array" ref="U247">IF(AND($T247&gt;=U$88,$T247&lt;=U$89),SUMPRODUCT(U$5:U$81,TRANSPOSE(Data_All!$B90:$BZ90))%,"")</f>
        <v>4.5612387801661158E-2</v>
      </c>
      <c r="V247" s="141">
        <f t="array" ref="V247">IF(AND($T247&gt;=V$88,$T247&lt;=V$89),SUMPRODUCT(V$5:V$81,TRANSPOSE(Data_All!$B90:$BZ90))%,"")</f>
        <v>4.054710009406004E-2</v>
      </c>
      <c r="W247" s="141">
        <f t="array" ref="W247">IF(AND($T247&gt;=W$88,$T247&lt;=W$89),SUMPRODUCT(W$5:W$81,TRANSPOSE(Data_All!$B90:$BZ90))%,"")</f>
        <v>3.8014456240259474E-2</v>
      </c>
      <c r="X247" s="141">
        <f t="array" ref="X247">IF(AND($T247&gt;=X$88,$T247&lt;=X$89),SUMPRODUCT(X$5:X$81,TRANSPOSE(Data_All!$B90:$BZ90))%,"")</f>
        <v>3.5481812386458908E-2</v>
      </c>
      <c r="Y247" s="141">
        <f t="array" ref="Y247">IF(AND($T247&gt;=Y$88,$T247&lt;=Y$89),SUMPRODUCT(Y$5:Y$81,TRANSPOSE(Data_All!$B90:$BZ90))%,"")</f>
        <v>3.2949168532658349E-2</v>
      </c>
    </row>
    <row r="248" spans="2:25">
      <c r="B248" s="600">
        <f t="shared" si="10"/>
        <v>2005</v>
      </c>
      <c r="C248" s="599">
        <f t="array" aca="1" ref="C248" ca="1">IF(AND(ISNUMBER($B248), C$214), POWER(GEOMEAN(1+OFFSET(C$165,$B$213,0,$B248-$B$214,1))/GEOMEAN(1+OFFSET($C$165,$B$213,0,$B248-$B$214,1)), 1+ROW()-ROW(C$215)), NA())</f>
        <v>1</v>
      </c>
      <c r="D248" s="599">
        <f t="array" aca="1" ref="D248" ca="1">IF(AND(ISNUMBER($B248), D$214), POWER(GEOMEAN(1+OFFSET(D$165,$B$213,0,$B248-$B$214,1))/GEOMEAN(1+OFFSET($C$165,$B$213,0,$B248-$B$214,1)), 1+ROW()-ROW(D$215)), NA())</f>
        <v>1.4581742089923209</v>
      </c>
      <c r="E248" s="599">
        <f t="array" aca="1" ref="E248" ca="1">IF(AND(ISNUMBER($B248), E$214), POWER(GEOMEAN(1+OFFSET(E$165,$B$213,0,$B248-$B$214,1))/GEOMEAN(1+OFFSET($C$165,$B$213,0,$B248-$B$214,1)), 1+ROW()-ROW(E$215)), NA())</f>
        <v>1.7909609240803526</v>
      </c>
      <c r="F248" s="599">
        <f t="array" aca="1" ref="F248" ca="1">IF(AND(ISNUMBER($B248), F$214), POWER(GEOMEAN(1+OFFSET(F$165,$B$213,0,$B248-$B$214,1))/GEOMEAN(1+OFFSET($C$165,$B$213,0,$B248-$B$214,1)), 1+ROW()-ROW(F$215)), NA())</f>
        <v>1.5783839009797711</v>
      </c>
      <c r="G248" s="599">
        <f t="array" aca="1" ref="G248" ca="1">IF(AND(ISNUMBER($B248), G$214), POWER(GEOMEAN(1+OFFSET(G$165,$B$213,0,$B248-$B$214,1))/GEOMEAN(1+OFFSET($C$165,$B$213,0,$B248-$B$214,1)), 1+ROW()-ROW(G$215)), NA())</f>
        <v>1.1339666849527879</v>
      </c>
      <c r="T248" s="140">
        <f t="shared" si="6"/>
        <v>1954</v>
      </c>
      <c r="U248" s="141">
        <f t="array" ref="U248">IF(AND($T248&gt;=U$88,$T248&lt;=U$89),SUMPRODUCT(U$5:U$81,TRANSPOSE(Data_All!$B91:$BZ91))%,"")</f>
        <v>0.15146357363272517</v>
      </c>
      <c r="V248" s="141">
        <f t="array" ref="V248">IF(AND($T248&gt;=V$88,$T248&lt;=V$89),SUMPRODUCT(V$5:V$81,TRANSPOSE(Data_All!$B91:$BZ91))%,"")</f>
        <v>0.23926222042108578</v>
      </c>
      <c r="W248" s="141">
        <f t="array" ref="W248">IF(AND($T248&gt;=W$88,$T248&lt;=W$89),SUMPRODUCT(W$5:W$81,TRANSPOSE(Data_All!$B91:$BZ91))%,"")</f>
        <v>0.28316154381526609</v>
      </c>
      <c r="X248" s="141">
        <f t="array" ref="X248">IF(AND($T248&gt;=X$88,$T248&lt;=X$89),SUMPRODUCT(X$5:X$81,TRANSPOSE(Data_All!$B91:$BZ91))%,"")</f>
        <v>0.32706086720944633</v>
      </c>
      <c r="Y248" s="141">
        <f t="array" ref="Y248">IF(AND($T248&gt;=Y$88,$T248&lt;=Y$89),SUMPRODUCT(Y$5:Y$81,TRANSPOSE(Data_All!$B91:$BZ91))%,"")</f>
        <v>0.37096019060362673</v>
      </c>
    </row>
    <row r="249" spans="2:25">
      <c r="B249" s="600">
        <f t="shared" si="10"/>
        <v>2006</v>
      </c>
      <c r="C249" s="599">
        <f t="array" aca="1" ref="C249" ca="1">IF(AND(ISNUMBER($B249), C$214), POWER(GEOMEAN(1+OFFSET(C$165,$B$213,0,$B249-$B$214,1))/GEOMEAN(1+OFFSET($C$165,$B$213,0,$B249-$B$214,1)), 1+ROW()-ROW(C$215)), NA())</f>
        <v>1</v>
      </c>
      <c r="D249" s="599">
        <f t="array" aca="1" ref="D249" ca="1">IF(AND(ISNUMBER($B249), D$214), POWER(GEOMEAN(1+OFFSET(D$165,$B$213,0,$B249-$B$214,1))/GEOMEAN(1+OFFSET($C$165,$B$213,0,$B249-$B$214,1)), 1+ROW()-ROW(D$215)), NA())</f>
        <v>1.4613443976011649</v>
      </c>
      <c r="E249" s="599">
        <f t="array" aca="1" ref="E249" ca="1">IF(AND(ISNUMBER($B249), E$214), POWER(GEOMEAN(1+OFFSET(E$165,$B$213,0,$B249-$B$214,1))/GEOMEAN(1+OFFSET($C$165,$B$213,0,$B249-$B$214,1)), 1+ROW()-ROW(E$215)), NA())</f>
        <v>1.8046310917670036</v>
      </c>
      <c r="F249" s="599">
        <f t="array" aca="1" ref="F249" ca="1">IF(AND(ISNUMBER($B249), F$214), POWER(GEOMEAN(1+OFFSET(F$165,$B$213,0,$B249-$B$214,1))/GEOMEAN(1+OFFSET($C$165,$B$213,0,$B249-$B$214,1)), 1+ROW()-ROW(F$215)), NA())</f>
        <v>1.5903367400168802</v>
      </c>
      <c r="G249" s="599">
        <f t="array" aca="1" ref="G249" ca="1">IF(AND(ISNUMBER($B249), G$214), POWER(GEOMEAN(1+OFFSET(G$165,$B$213,0,$B249-$B$214,1))/GEOMEAN(1+OFFSET($C$165,$B$213,0,$B249-$B$214,1)), 1+ROW()-ROW(G$215)), NA())</f>
        <v>1.1102177750407316</v>
      </c>
      <c r="T249" s="140">
        <f t="shared" si="6"/>
        <v>1955</v>
      </c>
      <c r="U249" s="141">
        <f t="array" ref="U249">IF(AND($T249&gt;=U$88,$T249&lt;=U$89),SUMPRODUCT(U$5:U$81,TRANSPOSE(Data_All!$B92:$BZ92))%,"")</f>
        <v>8.8691831999740942E-2</v>
      </c>
      <c r="V249" s="141">
        <f t="array" ref="V249">IF(AND($T249&gt;=V$88,$T249&lt;=V$89),SUMPRODUCT(V$5:V$81,TRANSPOSE(Data_All!$B92:$BZ92))%,"")</f>
        <v>0.14513301001586632</v>
      </c>
      <c r="W249" s="141">
        <f t="array" ref="W249">IF(AND($T249&gt;=W$88,$T249&lt;=W$89),SUMPRODUCT(W$5:W$81,TRANSPOSE(Data_All!$B92:$BZ92))%,"")</f>
        <v>0.17335359902392894</v>
      </c>
      <c r="X249" s="141">
        <f t="array" ref="X249">IF(AND($T249&gt;=X$88,$T249&lt;=X$89),SUMPRODUCT(X$5:X$81,TRANSPOSE(Data_All!$B92:$BZ92))%,"")</f>
        <v>0.20157418803199167</v>
      </c>
      <c r="Y249" s="141">
        <f t="array" ref="Y249">IF(AND($T249&gt;=Y$88,$T249&lt;=Y$89),SUMPRODUCT(Y$5:Y$81,TRANSPOSE(Data_All!$B92:$BZ92))%,"")</f>
        <v>0.22979477704005435</v>
      </c>
    </row>
    <row r="250" spans="2:25">
      <c r="B250" s="600">
        <f t="shared" si="10"/>
        <v>2007</v>
      </c>
      <c r="C250" s="599">
        <f t="array" aca="1" ref="C250" ca="1">IF(AND(ISNUMBER($B250), C$214), POWER(GEOMEAN(1+OFFSET(C$165,$B$213,0,$B250-$B$214,1))/GEOMEAN(1+OFFSET($C$165,$B$213,0,$B250-$B$214,1)), 1+ROW()-ROW(C$215)), NA())</f>
        <v>1</v>
      </c>
      <c r="D250" s="599">
        <f t="array" aca="1" ref="D250" ca="1">IF(AND(ISNUMBER($B250), D$214), POWER(GEOMEAN(1+OFFSET(D$165,$B$213,0,$B250-$B$214,1))/GEOMEAN(1+OFFSET($C$165,$B$213,0,$B250-$B$214,1)), 1+ROW()-ROW(D$215)), NA())</f>
        <v>1.4300850473854512</v>
      </c>
      <c r="E250" s="599">
        <f t="array" aca="1" ref="E250" ca="1">IF(AND(ISNUMBER($B250), E$214), POWER(GEOMEAN(1+OFFSET(E$165,$B$213,0,$B250-$B$214,1))/GEOMEAN(1+OFFSET($C$165,$B$213,0,$B250-$B$214,1)), 1+ROW()-ROW(E$215)), NA())</f>
        <v>1.7897010188471225</v>
      </c>
      <c r="F250" s="599">
        <f t="array" aca="1" ref="F250" ca="1">IF(AND(ISNUMBER($B250), F$214), POWER(GEOMEAN(1+OFFSET(F$165,$B$213,0,$B250-$B$214,1))/GEOMEAN(1+OFFSET($C$165,$B$213,0,$B250-$B$214,1)), 1+ROW()-ROW(F$215)), NA())</f>
        <v>1.5385120974341751</v>
      </c>
      <c r="G250" s="599">
        <f t="array" aca="1" ref="G250" ca="1">IF(AND(ISNUMBER($B250), G$214), POWER(GEOMEAN(1+OFFSET(G$165,$B$213,0,$B250-$B$214,1))/GEOMEAN(1+OFFSET($C$165,$B$213,0,$B250-$B$214,1)), 1+ROW()-ROW(G$215)), NA())</f>
        <v>1.1247913925685049</v>
      </c>
      <c r="T250" s="140">
        <f t="shared" si="6"/>
        <v>1956</v>
      </c>
      <c r="U250" s="141">
        <f t="array" ref="U250">IF(AND($T250&gt;=U$88,$T250&lt;=U$89),SUMPRODUCT(U$5:U$81,TRANSPOSE(Data_All!$B93:$BZ93))%,"")</f>
        <v>2.1176598332425068E-2</v>
      </c>
      <c r="V250" s="141">
        <f t="array" ref="V250">IF(AND($T250&gt;=V$88,$T250&lt;=V$89),SUMPRODUCT(V$5:V$81,TRANSPOSE(Data_All!$B93:$BZ93))%,"")</f>
        <v>3.4669904811140073E-2</v>
      </c>
      <c r="W250" s="141">
        <f t="array" ref="W250">IF(AND($T250&gt;=W$88,$T250&lt;=W$89),SUMPRODUCT(W$5:W$81,TRANSPOSE(Data_All!$B93:$BZ93))%,"")</f>
        <v>4.1416558050497577E-2</v>
      </c>
      <c r="X250" s="141">
        <f t="array" ref="X250">IF(AND($T250&gt;=X$88,$T250&lt;=X$89),SUMPRODUCT(X$5:X$81,TRANSPOSE(Data_All!$B93:$BZ93))%,"")</f>
        <v>4.8163211289855068E-2</v>
      </c>
      <c r="Y250" s="141">
        <f t="array" ref="Y250">IF(AND($T250&gt;=Y$88,$T250&lt;=Y$89),SUMPRODUCT(Y$5:Y$81,TRANSPOSE(Data_All!$B93:$BZ93))%,"")</f>
        <v>5.4909864529212579E-2</v>
      </c>
    </row>
    <row r="251" spans="2:25">
      <c r="B251" s="600">
        <f t="shared" si="10"/>
        <v>2008</v>
      </c>
      <c r="C251" s="599">
        <f t="array" aca="1" ref="C251" ca="1">IF(AND(ISNUMBER($B251), C$214), POWER(GEOMEAN(1+OFFSET(C$165,$B$213,0,$B251-$B$214,1))/GEOMEAN(1+OFFSET($C$165,$B$213,0,$B251-$B$214,1)), 1+ROW()-ROW(C$215)), NA())</f>
        <v>1</v>
      </c>
      <c r="D251" s="599">
        <f t="array" aca="1" ref="D251" ca="1">IF(AND(ISNUMBER($B251), D$214), POWER(GEOMEAN(1+OFFSET(D$165,$B$213,0,$B251-$B$214,1))/GEOMEAN(1+OFFSET($C$165,$B$213,0,$B251-$B$214,1)), 1+ROW()-ROW(D$215)), NA())</f>
        <v>1.4841210359648251</v>
      </c>
      <c r="E251" s="599">
        <f t="array" aca="1" ref="E251" ca="1">IF(AND(ISNUMBER($B251), E$214), POWER(GEOMEAN(1+OFFSET(E$165,$B$213,0,$B251-$B$214,1))/GEOMEAN(1+OFFSET($C$165,$B$213,0,$B251-$B$214,1)), 1+ROW()-ROW(E$215)), NA())</f>
        <v>1.7731632098366992</v>
      </c>
      <c r="F251" s="599">
        <f t="array" aca="1" ref="F251" ca="1">IF(AND(ISNUMBER($B251), F$214), POWER(GEOMEAN(1+OFFSET(F$165,$B$213,0,$B251-$B$214,1))/GEOMEAN(1+OFFSET($C$165,$B$213,0,$B251-$B$214,1)), 1+ROW()-ROW(F$215)), NA())</f>
        <v>1.6488469167809179</v>
      </c>
      <c r="G251" s="599">
        <f t="array" aca="1" ref="G251" ca="1">IF(AND(ISNUMBER($B251), G$214), POWER(GEOMEAN(1+OFFSET(G$165,$B$213,0,$B251-$B$214,1))/GEOMEAN(1+OFFSET($C$165,$B$213,0,$B251-$B$214,1)), 1+ROW()-ROW(G$215)), NA())</f>
        <v>1.2389919855881739</v>
      </c>
      <c r="T251" s="140">
        <f t="shared" si="6"/>
        <v>1957</v>
      </c>
      <c r="U251" s="141">
        <f t="array" ref="U251">IF(AND($T251&gt;=U$88,$T251&lt;=U$89),SUMPRODUCT(U$5:U$81,TRANSPOSE(Data_All!$B94:$BZ94))%,"")</f>
        <v>2.505677633429396E-2</v>
      </c>
      <c r="V251" s="141">
        <f t="array" ref="V251">IF(AND($T251&gt;=V$88,$T251&lt;=V$89),SUMPRODUCT(V$5:V$81,TRANSPOSE(Data_All!$B94:$BZ94))%,"")</f>
        <v>2.049139160198945E-3</v>
      </c>
      <c r="W251" s="141">
        <f t="array" ref="W251">IF(AND($T251&gt;=W$88,$T251&lt;=W$89),SUMPRODUCT(W$5:W$81,TRANSPOSE(Data_All!$B94:$BZ94))%,"")</f>
        <v>-9.4546794268485623E-3</v>
      </c>
      <c r="X251" s="141">
        <f t="array" ref="X251">IF(AND($T251&gt;=X$88,$T251&lt;=X$89),SUMPRODUCT(X$5:X$81,TRANSPOSE(Data_All!$B94:$BZ94))%,"")</f>
        <v>-2.0958498013896071E-2</v>
      </c>
      <c r="Y251" s="141">
        <f t="array" ref="Y251">IF(AND($T251&gt;=Y$88,$T251&lt;=Y$89),SUMPRODUCT(Y$5:Y$81,TRANSPOSE(Data_All!$B94:$BZ94))%,"")</f>
        <v>-3.2462316600943585E-2</v>
      </c>
    </row>
    <row r="252" spans="2:25">
      <c r="B252" s="600">
        <f t="shared" si="10"/>
        <v>2009</v>
      </c>
      <c r="C252" s="599">
        <f t="array" aca="1" ref="C252" ca="1">IF(AND(ISNUMBER($B252), C$214), POWER(GEOMEAN(1+OFFSET(C$165,$B$213,0,$B252-$B$214,1))/GEOMEAN(1+OFFSET($C$165,$B$213,0,$B252-$B$214,1)), 1+ROW()-ROW(C$215)), NA())</f>
        <v>1</v>
      </c>
      <c r="D252" s="599">
        <f t="array" aca="1" ref="D252" ca="1">IF(AND(ISNUMBER($B252), D$214), POWER(GEOMEAN(1+OFFSET(D$165,$B$213,0,$B252-$B$214,1))/GEOMEAN(1+OFFSET($C$165,$B$213,0,$B252-$B$214,1)), 1+ROW()-ROW(D$215)), NA())</f>
        <v>1.4762580265648413</v>
      </c>
      <c r="E252" s="599">
        <f t="array" aca="1" ref="E252" ca="1">IF(AND(ISNUMBER($B252), E$214), POWER(GEOMEAN(1+OFFSET(E$165,$B$213,0,$B252-$B$214,1))/GEOMEAN(1+OFFSET($C$165,$B$213,0,$B252-$B$214,1)), 1+ROW()-ROW(E$215)), NA())</f>
        <v>1.8493830973283971</v>
      </c>
      <c r="F252" s="599">
        <f t="array" aca="1" ref="F252" ca="1">IF(AND(ISNUMBER($B252), F$214), POWER(GEOMEAN(1+OFFSET(F$165,$B$213,0,$B252-$B$214,1))/GEOMEAN(1+OFFSET($C$165,$B$213,0,$B252-$B$214,1)), 1+ROW()-ROW(F$215)), NA())</f>
        <v>1.6370168586999545</v>
      </c>
      <c r="G252" s="599">
        <f t="array" aca="1" ref="G252" ca="1">IF(AND(ISNUMBER($B252), G$214), POWER(GEOMEAN(1+OFFSET(G$165,$B$213,0,$B252-$B$214,1))/GEOMEAN(1+OFFSET($C$165,$B$213,0,$B252-$B$214,1)), 1+ROW()-ROW(G$215)), NA())</f>
        <v>1.2274102423227726</v>
      </c>
      <c r="T252" s="140">
        <f t="shared" si="6"/>
        <v>1958</v>
      </c>
      <c r="U252" s="141">
        <f t="array" ref="U252">IF(AND($T252&gt;=U$88,$T252&lt;=U$89),SUMPRODUCT(U$5:U$81,TRANSPOSE(Data_All!$B95:$BZ95))%,"")</f>
        <v>0.10769866831762812</v>
      </c>
      <c r="V252" s="141">
        <f t="array" ref="V252">IF(AND($T252&gt;=V$88,$T252&lt;=V$89),SUMPRODUCT(V$5:V$81,TRANSPOSE(Data_All!$B95:$BZ95))%,"")</f>
        <v>0.18983757019908398</v>
      </c>
      <c r="W252" s="141">
        <f t="array" ref="W252">IF(AND($T252&gt;=W$88,$T252&lt;=W$89),SUMPRODUCT(W$5:W$81,TRANSPOSE(Data_All!$B95:$BZ95))%,"")</f>
        <v>0.23090702113981196</v>
      </c>
      <c r="X252" s="141">
        <f t="array" ref="X252">IF(AND($T252&gt;=X$88,$T252&lt;=X$89),SUMPRODUCT(X$5:X$81,TRANSPOSE(Data_All!$B95:$BZ95))%,"")</f>
        <v>0.27197647208053988</v>
      </c>
      <c r="Y252" s="141">
        <f t="array" ref="Y252">IF(AND($T252&gt;=Y$88,$T252&lt;=Y$89),SUMPRODUCT(Y$5:Y$81,TRANSPOSE(Data_All!$B95:$BZ95))%,"")</f>
        <v>0.31304592302126782</v>
      </c>
    </row>
    <row r="253" spans="2:25">
      <c r="B253" s="600">
        <f t="shared" si="10"/>
        <v>2010</v>
      </c>
      <c r="C253" s="599">
        <f t="array" aca="1" ref="C253" ca="1">IF(AND(ISNUMBER($B253), C$214), POWER(GEOMEAN(1+OFFSET(C$165,$B$213,0,$B253-$B$214,1))/GEOMEAN(1+OFFSET($C$165,$B$213,0,$B253-$B$214,1)), 1+ROW()-ROW(C$215)), NA())</f>
        <v>1</v>
      </c>
      <c r="D253" s="599">
        <f t="array" aca="1" ref="D253" ca="1">IF(AND(ISNUMBER($B253), D$214), POWER(GEOMEAN(1+OFFSET(D$165,$B$213,0,$B253-$B$214,1))/GEOMEAN(1+OFFSET($C$165,$B$213,0,$B253-$B$214,1)), 1+ROW()-ROW(D$215)), NA())</f>
        <v>1.4879269419075818</v>
      </c>
      <c r="E253" s="599">
        <f t="array" aca="1" ref="E253" ca="1">IF(AND(ISNUMBER($B253), E$214), POWER(GEOMEAN(1+OFFSET(E$165,$B$213,0,$B253-$B$214,1))/GEOMEAN(1+OFFSET($C$165,$B$213,0,$B253-$B$214,1)), 1+ROW()-ROW(E$215)), NA())</f>
        <v>1.891268564376092</v>
      </c>
      <c r="F253" s="599">
        <f t="array" aca="1" ref="F253" ca="1">IF(AND(ISNUMBER($B253), F$214), POWER(GEOMEAN(1+OFFSET(F$165,$B$213,0,$B253-$B$214,1))/GEOMEAN(1+OFFSET($C$165,$B$213,0,$B253-$B$214,1)), 1+ROW()-ROW(F$215)), NA())</f>
        <v>1.6606394322010865</v>
      </c>
      <c r="G253" s="599">
        <f t="array" aca="1" ref="G253" ca="1">IF(AND(ISNUMBER($B253), G$214), POWER(GEOMEAN(1+OFFSET(G$165,$B$213,0,$B253-$B$214,1))/GEOMEAN(1+OFFSET($C$165,$B$213,0,$B253-$B$214,1)), 1+ROW()-ROW(G$215)), NA())</f>
        <v>1.2145141103197548</v>
      </c>
      <c r="T253" s="140">
        <f t="shared" si="6"/>
        <v>1959</v>
      </c>
      <c r="U253" s="141">
        <f t="array" ref="U253">IF(AND($T253&gt;=U$88,$T253&lt;=U$89),SUMPRODUCT(U$5:U$81,TRANSPOSE(Data_All!$B96:$BZ96))%,"")</f>
        <v>2.3697301789726601E-2</v>
      </c>
      <c r="V253" s="141">
        <f t="array" ref="V253">IF(AND($T253&gt;=V$88,$T253&lt;=V$89),SUMPRODUCT(V$5:V$81,TRANSPOSE(Data_All!$B96:$BZ96))%,"")</f>
        <v>3.8707093100433965E-2</v>
      </c>
      <c r="W253" s="141">
        <f t="array" ref="W253">IF(AND($T253&gt;=W$88,$T253&lt;=W$89),SUMPRODUCT(W$5:W$81,TRANSPOSE(Data_All!$B96:$BZ96))%,"")</f>
        <v>4.621198875578765E-2</v>
      </c>
      <c r="X253" s="141">
        <f t="array" ref="X253">IF(AND($T253&gt;=X$88,$T253&lt;=X$89),SUMPRODUCT(X$5:X$81,TRANSPOSE(Data_All!$B96:$BZ96))%,"")</f>
        <v>5.3716884411141329E-2</v>
      </c>
      <c r="Y253" s="141">
        <f t="array" ref="Y253">IF(AND($T253&gt;=Y$88,$T253&lt;=Y$89),SUMPRODUCT(Y$5:Y$81,TRANSPOSE(Data_All!$B96:$BZ96))%,"")</f>
        <v>6.1221780066495014E-2</v>
      </c>
    </row>
    <row r="254" spans="2:25">
      <c r="B254" s="600">
        <f t="shared" si="10"/>
        <v>2011</v>
      </c>
      <c r="C254" s="599">
        <f t="array" aca="1" ref="C254" ca="1">IF(AND(ISNUMBER($B254), C$214), POWER(GEOMEAN(1+OFFSET(C$165,$B$213,0,$B254-$B$214,1))/GEOMEAN(1+OFFSET($C$165,$B$213,0,$B254-$B$214,1)), 1+ROW()-ROW(C$215)), NA())</f>
        <v>1</v>
      </c>
      <c r="D254" s="599">
        <f t="array" aca="1" ref="D254" ca="1">IF(AND(ISNUMBER($B254), D$214), POWER(GEOMEAN(1+OFFSET(D$165,$B$213,0,$B254-$B$214,1))/GEOMEAN(1+OFFSET($C$165,$B$213,0,$B254-$B$214,1)), 1+ROW()-ROW(D$215)), NA())</f>
        <v>1.4833545203455472</v>
      </c>
      <c r="E254" s="599">
        <f t="array" aca="1" ref="E254" ca="1">IF(AND(ISNUMBER($B254), E$214), POWER(GEOMEAN(1+OFFSET(E$165,$B$213,0,$B254-$B$214,1))/GEOMEAN(1+OFFSET($C$165,$B$213,0,$B254-$B$214,1)), 1+ROW()-ROW(E$215)), NA())</f>
        <v>1.8534912380984034</v>
      </c>
      <c r="F254" s="599">
        <f t="array" aca="1" ref="F254" ca="1">IF(AND(ISNUMBER($B254), F$214), POWER(GEOMEAN(1+OFFSET(F$165,$B$213,0,$B254-$B$214,1))/GEOMEAN(1+OFFSET($C$165,$B$213,0,$B254-$B$214,1)), 1+ROW()-ROW(F$215)), NA())</f>
        <v>1.6809500472347776</v>
      </c>
      <c r="G254" s="599">
        <f t="array" aca="1" ref="G254" ca="1">IF(AND(ISNUMBER($B254), G$214), POWER(GEOMEAN(1+OFFSET(G$165,$B$213,0,$B254-$B$214,1))/GEOMEAN(1+OFFSET($C$165,$B$213,0,$B254-$B$214,1)), 1+ROW()-ROW(G$215)), NA())</f>
        <v>1.2380519769993166</v>
      </c>
      <c r="T254" s="140">
        <f t="shared" si="6"/>
        <v>1960</v>
      </c>
      <c r="U254" s="141">
        <f t="array" ref="U254">IF(AND($T254&gt;=U$88,$T254&lt;=U$89),SUMPRODUCT(U$5:U$81,TRANSPOSE(Data_All!$B97:$BZ97))%,"")</f>
        <v>9.1176709669037556E-2</v>
      </c>
      <c r="V254" s="141">
        <f t="array" ref="V254">IF(AND($T254&gt;=V$88,$T254&lt;=V$89),SUMPRODUCT(V$5:V$81,TRANSPOSE(Data_All!$B97:$BZ97))%,"")</f>
        <v>8.3047985796684612E-2</v>
      </c>
      <c r="W254" s="141">
        <f t="array" ref="W254">IF(AND($T254&gt;=W$88,$T254&lt;=W$89),SUMPRODUCT(W$5:W$81,TRANSPOSE(Data_All!$B97:$BZ97))%,"")</f>
        <v>7.8983623860508126E-2</v>
      </c>
      <c r="X254" s="141">
        <f t="array" ref="X254">IF(AND($T254&gt;=X$88,$T254&lt;=X$89),SUMPRODUCT(X$5:X$81,TRANSPOSE(Data_All!$B97:$BZ97))%,"")</f>
        <v>7.491926192433164E-2</v>
      </c>
      <c r="Y254" s="141">
        <f t="array" ref="Y254">IF(AND($T254&gt;=Y$88,$T254&lt;=Y$89),SUMPRODUCT(Y$5:Y$81,TRANSPOSE(Data_All!$B97:$BZ97))%,"")</f>
        <v>7.0854899988155182E-2</v>
      </c>
    </row>
    <row r="255" spans="2:25">
      <c r="B255" s="600">
        <f t="shared" si="10"/>
        <v>2012</v>
      </c>
      <c r="C255" s="599">
        <f t="array" aca="1" ref="C255" ca="1">IF(AND(ISNUMBER($B255), C$214), POWER(GEOMEAN(1+OFFSET(C$165,$B$213,0,$B255-$B$214,1))/GEOMEAN(1+OFFSET($C$165,$B$213,0,$B255-$B$214,1)), 1+ROW()-ROW(C$215)), NA())</f>
        <v>1</v>
      </c>
      <c r="D255" s="599">
        <f t="array" aca="1" ref="D255" ca="1">IF(AND(ISNUMBER($B255), D$214), POWER(GEOMEAN(1+OFFSET(D$165,$B$213,0,$B255-$B$214,1))/GEOMEAN(1+OFFSET($C$165,$B$213,0,$B255-$B$214,1)), 1+ROW()-ROW(D$215)), NA())</f>
        <v>1.4762604811363662</v>
      </c>
      <c r="E255" s="599">
        <f t="array" aca="1" ref="E255" ca="1">IF(AND(ISNUMBER($B255), E$214), POWER(GEOMEAN(1+OFFSET(E$165,$B$213,0,$B255-$B$214,1))/GEOMEAN(1+OFFSET($C$165,$B$213,0,$B255-$B$214,1)), 1+ROW()-ROW(E$215)), NA())</f>
        <v>1.8715437245182402</v>
      </c>
      <c r="F255" s="599">
        <f t="array" aca="1" ref="F255" ca="1">IF(AND(ISNUMBER($B255), F$214), POWER(GEOMEAN(1+OFFSET(F$165,$B$213,0,$B255-$B$214,1))/GEOMEAN(1+OFFSET($C$165,$B$213,0,$B255-$B$214,1)), 1+ROW()-ROW(F$215)), NA())</f>
        <v>1.6625646331297521</v>
      </c>
      <c r="G255" s="599">
        <f t="array" aca="1" ref="G255" ca="1">IF(AND(ISNUMBER($B255), G$214), POWER(GEOMEAN(1+OFFSET(G$165,$B$213,0,$B255-$B$214,1))/GEOMEAN(1+OFFSET($C$165,$B$213,0,$B255-$B$214,1)), 1+ROW()-ROW(G$215)), NA())</f>
        <v>1.2215016087187036</v>
      </c>
      <c r="T255" s="140">
        <f t="shared" si="6"/>
        <v>1961</v>
      </c>
      <c r="U255" s="141">
        <f t="array" ref="U255">IF(AND($T255&gt;=U$88,$T255&lt;=U$89),SUMPRODUCT(U$5:U$81,TRANSPOSE(Data_All!$B98:$BZ98))%,"")</f>
        <v>7.5738618502527999E-2</v>
      </c>
      <c r="V255" s="141">
        <f t="array" ref="V255">IF(AND($T255&gt;=V$88,$T255&lt;=V$89),SUMPRODUCT(V$5:V$81,TRANSPOSE(Data_All!$B98:$BZ98))%,"")</f>
        <v>0.10849572166504362</v>
      </c>
      <c r="W255" s="141">
        <f t="array" ref="W255">IF(AND($T255&gt;=W$88,$T255&lt;=W$89),SUMPRODUCT(W$5:W$81,TRANSPOSE(Data_All!$B98:$BZ98))%,"")</f>
        <v>0.12487427324630142</v>
      </c>
      <c r="X255" s="141">
        <f t="array" ref="X255">IF(AND($T255&gt;=X$88,$T255&lt;=X$89),SUMPRODUCT(X$5:X$81,TRANSPOSE(Data_All!$B98:$BZ98))%,"")</f>
        <v>0.14125282482755921</v>
      </c>
      <c r="Y255" s="141">
        <f t="array" ref="Y255">IF(AND($T255&gt;=Y$88,$T255&lt;=Y$89),SUMPRODUCT(Y$5:Y$81,TRANSPOSE(Data_All!$B98:$BZ98))%,"")</f>
        <v>0.15763137640881703</v>
      </c>
    </row>
    <row r="256" spans="2:25">
      <c r="B256" s="600">
        <f t="shared" si="10"/>
        <v>2013</v>
      </c>
      <c r="C256" s="599">
        <f t="array" aca="1" ref="C256" ca="1">IF(AND(ISNUMBER($B256), C$214), POWER(GEOMEAN(1+OFFSET(C$165,$B$213,0,$B256-$B$214,1))/GEOMEAN(1+OFFSET($C$165,$B$213,0,$B256-$B$214,1)), 1+ROW()-ROW(C$215)), NA())</f>
        <v>1</v>
      </c>
      <c r="D256" s="599">
        <f t="array" aca="1" ref="D256" ca="1">IF(AND(ISNUMBER($B256), D$214), POWER(GEOMEAN(1+OFFSET(D$165,$B$213,0,$B256-$B$214,1))/GEOMEAN(1+OFFSET($C$165,$B$213,0,$B256-$B$214,1)), 1+ROW()-ROW(D$215)), NA())</f>
        <v>1.4794334599317047</v>
      </c>
      <c r="E256" s="599">
        <f t="array" aca="1" ref="E256" ca="1">IF(AND(ISNUMBER($B256), E$214), POWER(GEOMEAN(1+OFFSET(E$165,$B$213,0,$B256-$B$214,1))/GEOMEAN(1+OFFSET($C$165,$B$213,0,$B256-$B$214,1)), 1+ROW()-ROW(E$215)), NA())</f>
        <v>1.8802399271890011</v>
      </c>
      <c r="F256" s="599">
        <f t="array" aca="1" ref="F256" ca="1">IF(AND(ISNUMBER($B256), F$214), POWER(GEOMEAN(1+OFFSET(F$165,$B$213,0,$B256-$B$214,1))/GEOMEAN(1+OFFSET($C$165,$B$213,0,$B256-$B$214,1)), 1+ROW()-ROW(F$215)), NA())</f>
        <v>1.5823247348628979</v>
      </c>
      <c r="G256" s="599">
        <f t="array" aca="1" ref="G256" ca="1">IF(AND(ISNUMBER($B256), G$214), POWER(GEOMEAN(1+OFFSET(G$165,$B$213,0,$B256-$B$214,1))/GEOMEAN(1+OFFSET($C$165,$B$213,0,$B256-$B$214,1)), 1+ROW()-ROW(G$215)), NA())</f>
        <v>1.1328040098150076</v>
      </c>
      <c r="T256" s="140">
        <f t="shared" si="6"/>
        <v>1962</v>
      </c>
      <c r="U256" s="141">
        <f t="array" ref="U256">IF(AND($T256&gt;=U$88,$T256&lt;=U$89),SUMPRODUCT(U$5:U$81,TRANSPOSE(Data_All!$B99:$BZ99))%,"")</f>
        <v>3.1087909577218617E-2</v>
      </c>
      <c r="V256" s="141">
        <f t="array" ref="V256">IF(AND($T256&gt;=V$88,$T256&lt;=V$89),SUMPRODUCT(V$5:V$81,TRANSPOSE(Data_All!$B99:$BZ99))%,"")</f>
        <v>1.442886010567429E-2</v>
      </c>
      <c r="W256" s="141">
        <f t="array" ref="W256">IF(AND($T256&gt;=W$88,$T256&lt;=W$89),SUMPRODUCT(W$5:W$81,TRANSPOSE(Data_All!$B99:$BZ99))%,"")</f>
        <v>6.0993353699021254E-3</v>
      </c>
      <c r="X256" s="141">
        <f t="array" ref="X256">IF(AND($T256&gt;=X$88,$T256&lt;=X$89),SUMPRODUCT(X$5:X$81,TRANSPOSE(Data_All!$B99:$BZ99))%,"")</f>
        <v>-2.2301893658700366E-3</v>
      </c>
      <c r="Y256" s="141">
        <f t="array" ref="Y256">IF(AND($T256&gt;=Y$88,$T256&lt;=Y$89),SUMPRODUCT(Y$5:Y$81,TRANSPOSE(Data_All!$B99:$BZ99))%,"")</f>
        <v>-1.0559714101642203E-2</v>
      </c>
    </row>
    <row r="257" spans="2:25">
      <c r="B257" s="600">
        <f t="shared" si="10"/>
        <v>2014</v>
      </c>
      <c r="C257" s="599">
        <f t="array" aca="1" ref="C257" ca="1">IF(AND(ISNUMBER($B257), C$214), POWER(GEOMEAN(1+OFFSET(C$165,$B$213,0,$B257-$B$214,1))/GEOMEAN(1+OFFSET($C$165,$B$213,0,$B257-$B$214,1)), 1+ROW()-ROW(C$215)), NA())</f>
        <v>1</v>
      </c>
      <c r="D257" s="599">
        <f t="array" aca="1" ref="D257" ca="1">IF(AND(ISNUMBER($B257), D$214), POWER(GEOMEAN(1+OFFSET(D$165,$B$213,0,$B257-$B$214,1))/GEOMEAN(1+OFFSET($C$165,$B$213,0,$B257-$B$214,1)), 1+ROW()-ROW(D$215)), NA())</f>
        <v>1.4768049363707711</v>
      </c>
      <c r="E257" s="599">
        <f t="array" aca="1" ref="E257" ca="1">IF(AND(ISNUMBER($B257), E$214), POWER(GEOMEAN(1+OFFSET(E$165,$B$213,0,$B257-$B$214,1))/GEOMEAN(1+OFFSET($C$165,$B$213,0,$B257-$B$214,1)), 1+ROW()-ROW(E$215)), NA())</f>
        <v>1.8700496452894433</v>
      </c>
      <c r="F257" s="599">
        <f t="array" aca="1" ref="F257" ca="1">IF(AND(ISNUMBER($B257), F$214), POWER(GEOMEAN(1+OFFSET(F$165,$B$213,0,$B257-$B$214,1))/GEOMEAN(1+OFFSET($C$165,$B$213,0,$B257-$B$214,1)), 1+ROW()-ROW(F$215)), NA())</f>
        <v>1.6053672129755723</v>
      </c>
      <c r="G257" s="599">
        <f t="array" aca="1" ref="G257" ca="1">IF(AND(ISNUMBER($B257), G$214), POWER(GEOMEAN(1+OFFSET(G$165,$B$213,0,$B257-$B$214,1))/GEOMEAN(1+OFFSET($C$165,$B$213,0,$B257-$B$214,1)), 1+ROW()-ROW(G$215)), NA())</f>
        <v>1.1142042210870071</v>
      </c>
      <c r="T257" s="140">
        <f t="shared" si="6"/>
        <v>1963</v>
      </c>
      <c r="U257" s="141">
        <f t="array" ref="U257">IF(AND($T257&gt;=U$88,$T257&lt;=U$89),SUMPRODUCT(U$5:U$81,TRANSPOSE(Data_All!$B100:$BZ100))%,"")</f>
        <v>7.5650171548163364E-2</v>
      </c>
      <c r="V257" s="141">
        <f t="array" ref="V257">IF(AND($T257&gt;=V$88,$T257&lt;=V$89),SUMPRODUCT(V$5:V$81,TRANSPOSE(Data_All!$B100:$BZ100))%,"")</f>
        <v>0.11406833429497511</v>
      </c>
      <c r="W257" s="141">
        <f t="array" ref="W257">IF(AND($T257&gt;=W$88,$T257&lt;=W$89),SUMPRODUCT(W$5:W$81,TRANSPOSE(Data_All!$B100:$BZ100))%,"")</f>
        <v>0.13327741566838097</v>
      </c>
      <c r="X257" s="141">
        <f t="array" ref="X257">IF(AND($T257&gt;=X$88,$T257&lt;=X$89),SUMPRODUCT(X$5:X$81,TRANSPOSE(Data_All!$B100:$BZ100))%,"")</f>
        <v>0.15248649704178682</v>
      </c>
      <c r="Y257" s="141">
        <f t="array" ref="Y257">IF(AND($T257&gt;=Y$88,$T257&lt;=Y$89),SUMPRODUCT(Y$5:Y$81,TRANSPOSE(Data_All!$B100:$BZ100))%,"")</f>
        <v>0.1716955784151927</v>
      </c>
    </row>
    <row r="258" spans="2:25">
      <c r="B258" s="600">
        <f t="shared" si="10"/>
        <v>2015</v>
      </c>
      <c r="C258" s="599">
        <f t="array" aca="1" ref="C258" ca="1">IF(AND(ISNUMBER($B258), C$214), POWER(GEOMEAN(1+OFFSET(C$165,$B$213,0,$B258-$B$214,1))/GEOMEAN(1+OFFSET($C$165,$B$213,0,$B258-$B$214,1)), 1+ROW()-ROW(C$215)), NA())</f>
        <v>1</v>
      </c>
      <c r="D258" s="599">
        <f t="array" aca="1" ref="D258" ca="1">IF(AND(ISNUMBER($B258), D$214), POWER(GEOMEAN(1+OFFSET(D$165,$B$213,0,$B258-$B$214,1))/GEOMEAN(1+OFFSET($C$165,$B$213,0,$B258-$B$214,1)), 1+ROW()-ROW(D$215)), NA())</f>
        <v>1.4587506846661984</v>
      </c>
      <c r="E258" s="599">
        <f t="array" aca="1" ref="E258" ca="1">IF(AND(ISNUMBER($B258), E$214), POWER(GEOMEAN(1+OFFSET(E$165,$B$213,0,$B258-$B$214,1))/GEOMEAN(1+OFFSET($C$165,$B$213,0,$B258-$B$214,1)), 1+ROW()-ROW(E$215)), NA())</f>
        <v>1.825574178974791</v>
      </c>
      <c r="F258" s="599">
        <f t="array" aca="1" ref="F258" ca="1">IF(AND(ISNUMBER($B258), F$214), POWER(GEOMEAN(1+OFFSET(F$165,$B$213,0,$B258-$B$214,1))/GEOMEAN(1+OFFSET($C$165,$B$213,0,$B258-$B$214,1)), 1+ROW()-ROW(F$215)), NA())</f>
        <v>1.5832251125599945</v>
      </c>
      <c r="G258" s="599">
        <f t="array" aca="1" ref="G258" ca="1">IF(AND(ISNUMBER($B258), G$214), POWER(GEOMEAN(1+OFFSET(G$165,$B$213,0,$B258-$B$214,1))/GEOMEAN(1+OFFSET($C$165,$B$213,0,$B258-$B$214,1)), 1+ROW()-ROW(G$215)), NA())</f>
        <v>1.1006053728772862</v>
      </c>
      <c r="T258" s="140">
        <f t="shared" si="6"/>
        <v>1964</v>
      </c>
      <c r="U258" s="141">
        <f t="array" ref="U258">IF(AND($T258&gt;=U$88,$T258&lt;=U$89),SUMPRODUCT(U$5:U$81,TRANSPOSE(Data_All!$B101:$BZ101))%,"")</f>
        <v>7.6354517085354387E-2</v>
      </c>
      <c r="V258" s="141">
        <f t="array" ref="V258">IF(AND($T258&gt;=V$88,$T258&lt;=V$89),SUMPRODUCT(V$5:V$81,TRANSPOSE(Data_All!$B101:$BZ101))%,"")</f>
        <v>0.10002151575423103</v>
      </c>
      <c r="W258" s="141">
        <f t="array" ref="W258">IF(AND($T258&gt;=W$88,$T258&lt;=W$89),SUMPRODUCT(W$5:W$81,TRANSPOSE(Data_All!$B101:$BZ101))%,"")</f>
        <v>0.11185501508866932</v>
      </c>
      <c r="X258" s="141">
        <f t="array" ref="X258">IF(AND($T258&gt;=X$88,$T258&lt;=X$89),SUMPRODUCT(X$5:X$81,TRANSPOSE(Data_All!$B101:$BZ101))%,"")</f>
        <v>0.12368851442310763</v>
      </c>
      <c r="Y258" s="141">
        <f t="array" ref="Y258">IF(AND($T258&gt;=Y$88,$T258&lt;=Y$89),SUMPRODUCT(Y$5:Y$81,TRANSPOSE(Data_All!$B101:$BZ101))%,"")</f>
        <v>0.13552201375754597</v>
      </c>
    </row>
    <row r="259" spans="2:25">
      <c r="B259" s="600" t="e">
        <f t="shared" si="10"/>
        <v>#N/A</v>
      </c>
      <c r="C259" s="599" t="e">
        <f t="array" aca="1" ref="C259" ca="1">IF(AND(ISNUMBER($B259), C$214), POWER(GEOMEAN(1+OFFSET(C$165,$B$213,0,$B259-$B$214,1))/GEOMEAN(1+OFFSET($C$165,$B$213,0,$B259-$B$214,1)), 1+ROW()-ROW(C$215)), NA())</f>
        <v>#N/A</v>
      </c>
      <c r="D259" s="599" t="e">
        <f t="array" aca="1" ref="D259" ca="1">IF(AND(ISNUMBER($B259), D$214), POWER(GEOMEAN(1+OFFSET(D$165,$B$213,0,$B259-$B$214,1))/GEOMEAN(1+OFFSET($C$165,$B$213,0,$B259-$B$214,1)), 1+ROW()-ROW(D$215)), NA())</f>
        <v>#N/A</v>
      </c>
      <c r="E259" s="599" t="e">
        <f t="array" aca="1" ref="E259" ca="1">IF(AND(ISNUMBER($B259), E$214), POWER(GEOMEAN(1+OFFSET(E$165,$B$213,0,$B259-$B$214,1))/GEOMEAN(1+OFFSET($C$165,$B$213,0,$B259-$B$214,1)), 1+ROW()-ROW(E$215)), NA())</f>
        <v>#N/A</v>
      </c>
      <c r="F259" s="599" t="e">
        <f t="array" aca="1" ref="F259" ca="1">IF(AND(ISNUMBER($B259), F$214), POWER(GEOMEAN(1+OFFSET(F$165,$B$213,0,$B259-$B$214,1))/GEOMEAN(1+OFFSET($C$165,$B$213,0,$B259-$B$214,1)), 1+ROW()-ROW(F$215)), NA())</f>
        <v>#N/A</v>
      </c>
      <c r="G259" s="599" t="e">
        <f t="array" aca="1" ref="G259" ca="1">IF(AND(ISNUMBER($B259), G$214), POWER(GEOMEAN(1+OFFSET(G$165,$B$213,0,$B259-$B$214,1))/GEOMEAN(1+OFFSET($C$165,$B$213,0,$B259-$B$214,1)), 1+ROW()-ROW(G$215)), NA())</f>
        <v>#N/A</v>
      </c>
      <c r="T259" s="140">
        <f t="shared" si="6"/>
        <v>1965</v>
      </c>
      <c r="U259" s="141">
        <f t="array" ref="U259">IF(AND($T259&gt;=U$88,$T259&lt;=U$89),SUMPRODUCT(U$5:U$81,TRANSPOSE(Data_All!$B102:$BZ102))%,"")</f>
        <v>4.3571167315151732E-2</v>
      </c>
      <c r="V259" s="141">
        <f t="array" ref="V259">IF(AND($T259&gt;=V$88,$T259&lt;=V$89),SUMPRODUCT(V$5:V$81,TRANSPOSE(Data_All!$B102:$BZ102))%,"")</f>
        <v>6.4033150829248764E-2</v>
      </c>
      <c r="W259" s="141">
        <f t="array" ref="W259">IF(AND($T259&gt;=W$88,$T259&lt;=W$89),SUMPRODUCT(W$5:W$81,TRANSPOSE(Data_All!$B102:$BZ102))%,"")</f>
        <v>7.426414258629728E-2</v>
      </c>
      <c r="X259" s="141">
        <f t="array" ref="X259">IF(AND($T259&gt;=X$88,$T259&lt;=X$89),SUMPRODUCT(X$5:X$81,TRANSPOSE(Data_All!$B102:$BZ102))%,"")</f>
        <v>8.4495134343345782E-2</v>
      </c>
      <c r="Y259" s="141">
        <f t="array" ref="Y259">IF(AND($T259&gt;=Y$88,$T259&lt;=Y$89),SUMPRODUCT(Y$5:Y$81,TRANSPOSE(Data_All!$B102:$BZ102))%,"")</f>
        <v>9.4726126100394326E-2</v>
      </c>
    </row>
    <row r="260" spans="2:25">
      <c r="T260" s="140">
        <f t="shared" si="6"/>
        <v>1966</v>
      </c>
      <c r="U260" s="141">
        <f t="array" ref="U260">IF(AND($T260&gt;=U$88,$T260&lt;=U$89),SUMPRODUCT(U$5:U$81,TRANSPOSE(Data_All!$B103:$BZ103))%,"")</f>
        <v>1.6294941628955301E-2</v>
      </c>
      <c r="V260" s="141">
        <f t="array" ref="V260">IF(AND($T260&gt;=V$88,$T260&lt;=V$89),SUMPRODUCT(V$5:V$81,TRANSPOSE(Data_All!$B103:$BZ103))%,"")</f>
        <v>-6.7307271996960294E-3</v>
      </c>
      <c r="W260" s="141">
        <f t="array" ref="W260">IF(AND($T260&gt;=W$88,$T260&lt;=W$89),SUMPRODUCT(W$5:W$81,TRANSPOSE(Data_All!$B103:$BZ103))%,"")</f>
        <v>-1.8243561614021696E-2</v>
      </c>
      <c r="X260" s="141">
        <f t="array" ref="X260">IF(AND($T260&gt;=X$88,$T260&lt;=X$89),SUMPRODUCT(X$5:X$81,TRANSPOSE(Data_All!$B103:$BZ103))%,"")</f>
        <v>-2.9756396028347364E-2</v>
      </c>
      <c r="Y260" s="141">
        <f t="array" ref="Y260">IF(AND($T260&gt;=Y$88,$T260&lt;=Y$89),SUMPRODUCT(Y$5:Y$81,TRANSPOSE(Data_All!$B103:$BZ103))%,"")</f>
        <v>-4.1269230442673034E-2</v>
      </c>
    </row>
    <row r="261" spans="2:25">
      <c r="T261" s="140">
        <f t="shared" si="6"/>
        <v>1967</v>
      </c>
      <c r="U261" s="141">
        <f t="array" ref="U261">IF(AND($T261&gt;=U$88,$T261&lt;=U$89),SUMPRODUCT(U$5:U$81,TRANSPOSE(Data_All!$B104:$BZ104))%,"")</f>
        <v>5.3504384847683682E-2</v>
      </c>
      <c r="V261" s="141">
        <f t="array" ref="V261">IF(AND($T261&gt;=V$88,$T261&lt;=V$89),SUMPRODUCT(V$5:V$81,TRANSPOSE(Data_All!$B104:$BZ104))%,"")</f>
        <v>8.3924936990500645E-2</v>
      </c>
      <c r="W261" s="141">
        <f t="array" ref="W261">IF(AND($T261&gt;=W$88,$T261&lt;=W$89),SUMPRODUCT(W$5:W$81,TRANSPOSE(Data_All!$B104:$BZ104))%,"")</f>
        <v>9.9135213061909117E-2</v>
      </c>
      <c r="X261" s="141">
        <f t="array" ref="X261">IF(AND($T261&gt;=X$88,$T261&lt;=X$89),SUMPRODUCT(X$5:X$81,TRANSPOSE(Data_All!$B104:$BZ104))%,"")</f>
        <v>0.11434548913331759</v>
      </c>
      <c r="Y261" s="141">
        <f t="array" ref="Y261">IF(AND($T261&gt;=Y$88,$T261&lt;=Y$89),SUMPRODUCT(Y$5:Y$81,TRANSPOSE(Data_All!$B104:$BZ104))%,"")</f>
        <v>0.12955576520472609</v>
      </c>
    </row>
    <row r="262" spans="2:25">
      <c r="T262" s="140">
        <f t="shared" si="6"/>
        <v>1968</v>
      </c>
      <c r="U262" s="141">
        <f t="array" ref="U262">IF(AND($T262&gt;=U$88,$T262&lt;=U$89),SUMPRODUCT(U$5:U$81,TRANSPOSE(Data_All!$B105:$BZ105))%,"")</f>
        <v>5.1053452097408324E-2</v>
      </c>
      <c r="V262" s="141">
        <f t="array" ref="V262">IF(AND($T262&gt;=V$88,$T262&lt;=V$89),SUMPRODUCT(V$5:V$81,TRANSPOSE(Data_All!$B105:$BZ105))%,"")</f>
        <v>6.6739719271116549E-2</v>
      </c>
      <c r="W262" s="141">
        <f t="array" ref="W262">IF(AND($T262&gt;=W$88,$T262&lt;=W$89),SUMPRODUCT(W$5:W$81,TRANSPOSE(Data_All!$B105:$BZ105))%,"")</f>
        <v>7.4582852857970658E-2</v>
      </c>
      <c r="X262" s="141">
        <f t="array" ref="X262">IF(AND($T262&gt;=X$88,$T262&lt;=X$89),SUMPRODUCT(X$5:X$81,TRANSPOSE(Data_All!$B105:$BZ105))%,"")</f>
        <v>8.2425986444824767E-2</v>
      </c>
      <c r="Y262" s="141">
        <f t="array" ref="Y262">IF(AND($T262&gt;=Y$88,$T262&lt;=Y$89),SUMPRODUCT(Y$5:Y$81,TRANSPOSE(Data_All!$B105:$BZ105))%,"")</f>
        <v>9.026912003167889E-2</v>
      </c>
    </row>
    <row r="263" spans="2:25">
      <c r="T263" s="140">
        <f t="shared" si="6"/>
        <v>1969</v>
      </c>
      <c r="U263" s="141">
        <f t="array" ref="U263">IF(AND($T263&gt;=U$88,$T263&lt;=U$89),SUMPRODUCT(U$5:U$81,TRANSPOSE(Data_All!$B106:$BZ106))%,"")</f>
        <v>-3.3604706661007018E-2</v>
      </c>
      <c r="V263" s="141">
        <f t="array" ref="V263">IF(AND($T263&gt;=V$88,$T263&lt;=V$89),SUMPRODUCT(V$5:V$81,TRANSPOSE(Data_All!$B106:$BZ106))%,"")</f>
        <v>-4.7999553870255056E-2</v>
      </c>
      <c r="W263" s="141">
        <f t="array" ref="W263">IF(AND($T263&gt;=W$88,$T263&lt;=W$89),SUMPRODUCT(W$5:W$81,TRANSPOSE(Data_All!$B106:$BZ106))%,"")</f>
        <v>-5.5196977474879082E-2</v>
      </c>
      <c r="X263" s="141">
        <f t="array" ref="X263">IF(AND($T263&gt;=X$88,$T263&lt;=X$89),SUMPRODUCT(X$5:X$81,TRANSPOSE(Data_All!$B106:$BZ106))%,"")</f>
        <v>-6.2394401079503101E-2</v>
      </c>
      <c r="Y263" s="141">
        <f t="array" ref="Y263">IF(AND($T263&gt;=Y$88,$T263&lt;=Y$89),SUMPRODUCT(Y$5:Y$81,TRANSPOSE(Data_All!$B106:$BZ106))%,"")</f>
        <v>-6.9591824684127127E-2</v>
      </c>
    </row>
    <row r="264" spans="2:25">
      <c r="T264" s="140">
        <f t="shared" si="6"/>
        <v>1970</v>
      </c>
      <c r="U264" s="141">
        <f t="array" ref="U264">IF(AND($T264&gt;=U$88,$T264&lt;=U$89),SUMPRODUCT(U$5:U$81,TRANSPOSE(Data_All!$B107:$BZ107))%,"")</f>
        <v>0.136474749981811</v>
      </c>
      <c r="V264" s="141">
        <f t="array" ref="V264">IF(AND($T264&gt;=V$88,$T264&lt;=V$89),SUMPRODUCT(V$5:V$81,TRANSPOSE(Data_All!$B107:$BZ107))%,"")</f>
        <v>0.11747658597258137</v>
      </c>
      <c r="W264" s="141">
        <f t="array" ref="W264">IF(AND($T264&gt;=W$88,$T264&lt;=W$89),SUMPRODUCT(W$5:W$81,TRANSPOSE(Data_All!$B107:$BZ107))%,"")</f>
        <v>0.10797750396796654</v>
      </c>
      <c r="X264" s="141">
        <f t="array" ref="X264">IF(AND($T264&gt;=X$88,$T264&lt;=X$89),SUMPRODUCT(X$5:X$81,TRANSPOSE(Data_All!$B107:$BZ107))%,"")</f>
        <v>9.8478421963351714E-2</v>
      </c>
      <c r="Y264" s="141">
        <f t="array" ref="Y264">IF(AND($T264&gt;=Y$88,$T264&lt;=Y$89),SUMPRODUCT(Y$5:Y$81,TRANSPOSE(Data_All!$B107:$BZ107))%,"")</f>
        <v>8.89793399587369E-2</v>
      </c>
    </row>
    <row r="265" spans="2:25">
      <c r="T265" s="140">
        <f t="shared" si="6"/>
        <v>1971</v>
      </c>
      <c r="U265" s="141">
        <f t="array" ref="U265">IF(AND($T265&gt;=U$88,$T265&lt;=U$89),SUMPRODUCT(U$5:U$81,TRANSPOSE(Data_All!$B108:$BZ108))%,"")</f>
        <v>9.5145950491866776E-2</v>
      </c>
      <c r="V265" s="141">
        <f t="array" ref="V265">IF(AND($T265&gt;=V$88,$T265&lt;=V$89),SUMPRODUCT(V$5:V$81,TRANSPOSE(Data_All!$B108:$BZ108))%,"")</f>
        <v>0.10732389187143487</v>
      </c>
      <c r="W265" s="141">
        <f t="array" ref="W265">IF(AND($T265&gt;=W$88,$T265&lt;=W$89),SUMPRODUCT(W$5:W$81,TRANSPOSE(Data_All!$B108:$BZ108))%,"")</f>
        <v>0.11341286256121892</v>
      </c>
      <c r="X265" s="141">
        <f t="array" ref="X265">IF(AND($T265&gt;=X$88,$T265&lt;=X$89),SUMPRODUCT(X$5:X$81,TRANSPOSE(Data_All!$B108:$BZ108))%,"")</f>
        <v>0.11950183325100296</v>
      </c>
      <c r="Y265" s="141">
        <f t="array" ref="Y265">IF(AND($T265&gt;=Y$88,$T265&lt;=Y$89),SUMPRODUCT(Y$5:Y$81,TRANSPOSE(Data_All!$B108:$BZ108))%,"")</f>
        <v>0.12559080394078703</v>
      </c>
    </row>
    <row r="266" spans="2:25">
      <c r="T266" s="140">
        <f t="shared" si="6"/>
        <v>1972</v>
      </c>
      <c r="U266" s="141">
        <f t="array" ref="U266">IF(AND($T266&gt;=U$88,$T266&lt;=U$89),SUMPRODUCT(U$5:U$81,TRANSPOSE(Data_All!$B109:$BZ109))%,"")</f>
        <v>7.6024397881352956E-2</v>
      </c>
      <c r="V266" s="141">
        <f t="array" ref="V266">IF(AND($T266&gt;=V$88,$T266&lt;=V$89),SUMPRODUCT(V$5:V$81,TRANSPOSE(Data_All!$B109:$BZ109))%,"")</f>
        <v>0.10483557115989328</v>
      </c>
      <c r="W266" s="141">
        <f t="array" ref="W266">IF(AND($T266&gt;=W$88,$T266&lt;=W$89),SUMPRODUCT(W$5:W$81,TRANSPOSE(Data_All!$B109:$BZ109))%,"")</f>
        <v>0.11924115779916343</v>
      </c>
      <c r="X266" s="141">
        <f t="array" ref="X266">IF(AND($T266&gt;=X$88,$T266&lt;=X$89),SUMPRODUCT(X$5:X$81,TRANSPOSE(Data_All!$B109:$BZ109))%,"")</f>
        <v>0.13364674443843361</v>
      </c>
      <c r="Y266" s="141">
        <f t="array" ref="Y266">IF(AND($T266&gt;=Y$88,$T266&lt;=Y$89),SUMPRODUCT(Y$5:Y$81,TRANSPOSE(Data_All!$B109:$BZ109))%,"")</f>
        <v>0.14805233107770377</v>
      </c>
    </row>
    <row r="267" spans="2:25">
      <c r="T267" s="140">
        <f t="shared" si="6"/>
        <v>1973</v>
      </c>
      <c r="U267" s="141">
        <f t="array" ref="U267">IF(AND($T267&gt;=U$88,$T267&lt;=U$89),SUMPRODUCT(U$5:U$81,TRANSPOSE(Data_All!$B110:$BZ110))%,"")</f>
        <v>-2.0332119097506936E-2</v>
      </c>
      <c r="V267" s="141">
        <f t="array" ref="V267">IF(AND($T267&gt;=V$88,$T267&lt;=V$89),SUMPRODUCT(V$5:V$81,TRANSPOSE(Data_All!$B110:$BZ110))%,"")</f>
        <v>-6.0195729145214205E-2</v>
      </c>
      <c r="W267" s="141">
        <f t="array" ref="W267">IF(AND($T267&gt;=W$88,$T267&lt;=W$89),SUMPRODUCT(W$5:W$81,TRANSPOSE(Data_All!$B110:$BZ110))%,"")</f>
        <v>-8.0127534169067829E-2</v>
      </c>
      <c r="X267" s="141">
        <f t="array" ref="X267">IF(AND($T267&gt;=X$88,$T267&lt;=X$89),SUMPRODUCT(X$5:X$81,TRANSPOSE(Data_All!$B110:$BZ110))%,"")</f>
        <v>-0.10005933919292145</v>
      </c>
      <c r="Y267" s="141">
        <f t="array" ref="Y267">IF(AND($T267&gt;=Y$88,$T267&lt;=Y$89),SUMPRODUCT(Y$5:Y$81,TRANSPOSE(Data_All!$B110:$BZ110))%,"")</f>
        <v>-0.11999114421677511</v>
      </c>
    </row>
    <row r="268" spans="2:25">
      <c r="T268" s="140">
        <f t="shared" si="6"/>
        <v>1974</v>
      </c>
      <c r="U268" s="141">
        <f t="array" ref="U268">IF(AND($T268&gt;=U$88,$T268&lt;=U$89),SUMPRODUCT(U$5:U$81,TRANSPOSE(Data_All!$B111:$BZ111))%,"")</f>
        <v>-2.6934970948014378E-2</v>
      </c>
      <c r="V268" s="141">
        <f t="array" ref="V268">IF(AND($T268&gt;=V$88,$T268&lt;=V$89),SUMPRODUCT(V$5:V$81,TRANSPOSE(Data_All!$B111:$BZ111))%,"")</f>
        <v>-7.8546308974936918E-2</v>
      </c>
      <c r="W268" s="141">
        <f t="array" ref="W268">IF(AND($T268&gt;=W$88,$T268&lt;=W$89),SUMPRODUCT(W$5:W$81,TRANSPOSE(Data_All!$B111:$BZ111))%,"")</f>
        <v>-0.1043519779883982</v>
      </c>
      <c r="X268" s="141">
        <f t="array" ref="X268">IF(AND($T268&gt;=X$88,$T268&lt;=X$89),SUMPRODUCT(X$5:X$81,TRANSPOSE(Data_All!$B111:$BZ111))%,"")</f>
        <v>-0.13015764700185947</v>
      </c>
      <c r="Y268" s="141">
        <f t="array" ref="Y268">IF(AND($T268&gt;=Y$88,$T268&lt;=Y$89),SUMPRODUCT(Y$5:Y$81,TRANSPOSE(Data_All!$B111:$BZ111))%,"")</f>
        <v>-0.15596331601532076</v>
      </c>
    </row>
    <row r="269" spans="2:25">
      <c r="T269" s="140">
        <f t="shared" si="6"/>
        <v>1975</v>
      </c>
      <c r="U269" s="141">
        <f t="array" ref="U269">IF(AND($T269&gt;=U$88,$T269&lt;=U$89),SUMPRODUCT(U$5:U$81,TRANSPOSE(Data_All!$B112:$BZ112))%,"")</f>
        <v>0.16616950895237495</v>
      </c>
      <c r="V269" s="141">
        <f t="array" ref="V269">IF(AND($T269&gt;=V$88,$T269&lt;=V$89),SUMPRODUCT(V$5:V$81,TRANSPOSE(Data_All!$B112:$BZ112))%,"")</f>
        <v>0.22886733707655069</v>
      </c>
      <c r="W269" s="141">
        <f t="array" ref="W269">IF(AND($T269&gt;=W$88,$T269&lt;=W$89),SUMPRODUCT(W$5:W$81,TRANSPOSE(Data_All!$B112:$BZ112))%,"")</f>
        <v>0.26021625113863861</v>
      </c>
      <c r="X269" s="141">
        <f t="array" ref="X269">IF(AND($T269&gt;=X$88,$T269&lt;=X$89),SUMPRODUCT(X$5:X$81,TRANSPOSE(Data_All!$B112:$BZ112))%,"")</f>
        <v>0.29156516520072645</v>
      </c>
      <c r="Y269" s="141">
        <f t="array" ref="Y269">IF(AND($T269&gt;=Y$88,$T269&lt;=Y$89),SUMPRODUCT(Y$5:Y$81,TRANSPOSE(Data_All!$B112:$BZ112))%,"")</f>
        <v>0.32291407926281435</v>
      </c>
    </row>
    <row r="270" spans="2:25">
      <c r="T270" s="140">
        <f t="shared" si="6"/>
        <v>1976</v>
      </c>
      <c r="U270" s="141">
        <f t="array" ref="U270">IF(AND($T270&gt;=U$88,$T270&lt;=U$89),SUMPRODUCT(U$5:U$81,TRANSPOSE(Data_All!$B113:$BZ113))%,"")</f>
        <v>0.11101853350467714</v>
      </c>
      <c r="V270" s="141">
        <f t="array" ref="V270">IF(AND($T270&gt;=V$88,$T270&lt;=V$89),SUMPRODUCT(V$5:V$81,TRANSPOSE(Data_All!$B113:$BZ113))%,"")</f>
        <v>0.1117463729334166</v>
      </c>
      <c r="W270" s="141">
        <f t="array" ref="W270">IF(AND($T270&gt;=W$88,$T270&lt;=W$89),SUMPRODUCT(W$5:W$81,TRANSPOSE(Data_All!$B113:$BZ113))%,"")</f>
        <v>0.11211029264778632</v>
      </c>
      <c r="X270" s="141">
        <f t="array" ref="X270">IF(AND($T270&gt;=X$88,$T270&lt;=X$89),SUMPRODUCT(X$5:X$81,TRANSPOSE(Data_All!$B113:$BZ113))%,"")</f>
        <v>0.11247421236215605</v>
      </c>
      <c r="Y270" s="141">
        <f t="array" ref="Y270">IF(AND($T270&gt;=Y$88,$T270&lt;=Y$89),SUMPRODUCT(Y$5:Y$81,TRANSPOSE(Data_All!$B113:$BZ113))%,"")</f>
        <v>0.11283813207652579</v>
      </c>
    </row>
    <row r="271" spans="2:25">
      <c r="T271" s="140">
        <f t="shared" si="6"/>
        <v>1977</v>
      </c>
      <c r="U271" s="141">
        <f t="array" ref="U271">IF(AND($T271&gt;=U$88,$T271&lt;=U$89),SUMPRODUCT(U$5:U$81,TRANSPOSE(Data_All!$B114:$BZ114))%,"")</f>
        <v>-4.4052294397459949E-3</v>
      </c>
      <c r="V271" s="141">
        <f t="array" ref="V271">IF(AND($T271&gt;=V$88,$T271&lt;=V$89),SUMPRODUCT(V$5:V$81,TRANSPOSE(Data_All!$B114:$BZ114))%,"")</f>
        <v>-2.7614370127706067E-2</v>
      </c>
      <c r="W271" s="141">
        <f t="array" ref="W271">IF(AND($T271&gt;=W$88,$T271&lt;=W$89),SUMPRODUCT(W$5:W$81,TRANSPOSE(Data_All!$B114:$BZ114))%,"")</f>
        <v>-3.9218940471686101E-2</v>
      </c>
      <c r="X271" s="141">
        <f t="array" ref="X271">IF(AND($T271&gt;=X$88,$T271&lt;=X$89),SUMPRODUCT(X$5:X$81,TRANSPOSE(Data_All!$B114:$BZ114))%,"")</f>
        <v>-5.0823510815666141E-2</v>
      </c>
      <c r="Y271" s="141">
        <f t="array" ref="Y271">IF(AND($T271&gt;=Y$88,$T271&lt;=Y$89),SUMPRODUCT(Y$5:Y$81,TRANSPOSE(Data_All!$B114:$BZ114))%,"")</f>
        <v>-6.2428081159646175E-2</v>
      </c>
    </row>
    <row r="272" spans="2:25">
      <c r="T272" s="140">
        <f t="shared" si="6"/>
        <v>1978</v>
      </c>
      <c r="U272" s="141">
        <f t="array" ref="U272">IF(AND($T272&gt;=U$88,$T272&lt;=U$89),SUMPRODUCT(U$5:U$81,TRANSPOSE(Data_All!$B115:$BZ115))%,"")</f>
        <v>6.4341407972917791E-2</v>
      </c>
      <c r="V272" s="141">
        <f t="array" ref="V272">IF(AND($T272&gt;=V$88,$T272&lt;=V$89),SUMPRODUCT(V$5:V$81,TRANSPOSE(Data_All!$B115:$BZ115))%,"")</f>
        <v>9.1957357099769155E-2</v>
      </c>
      <c r="W272" s="141">
        <f t="array" ref="W272">IF(AND($T272&gt;=W$88,$T272&lt;=W$89),SUMPRODUCT(W$5:W$81,TRANSPOSE(Data_All!$B115:$BZ115))%,"")</f>
        <v>0.10576533166319484</v>
      </c>
      <c r="X272" s="141">
        <f t="array" ref="X272">IF(AND($T272&gt;=X$88,$T272&lt;=X$89),SUMPRODUCT(X$5:X$81,TRANSPOSE(Data_All!$B115:$BZ115))%,"")</f>
        <v>0.11957330622662052</v>
      </c>
      <c r="Y272" s="141">
        <f t="array" ref="Y272">IF(AND($T272&gt;=Y$88,$T272&lt;=Y$89),SUMPRODUCT(Y$5:Y$81,TRANSPOSE(Data_All!$B115:$BZ115))%,"")</f>
        <v>0.13338128079004621</v>
      </c>
    </row>
    <row r="273" spans="20:25">
      <c r="T273" s="140">
        <f t="shared" si="6"/>
        <v>1979</v>
      </c>
      <c r="U273" s="141">
        <f t="array" ref="U273">IF(AND($T273&gt;=U$88,$T273&lt;=U$89),SUMPRODUCT(U$5:U$81,TRANSPOSE(Data_All!$B116:$BZ116))%,"")</f>
        <v>7.0014651643171416E-2</v>
      </c>
      <c r="V273" s="141">
        <f t="array" ref="V273">IF(AND($T273&gt;=V$88,$T273&lt;=V$89),SUMPRODUCT(V$5:V$81,TRANSPOSE(Data_All!$B116:$BZ116))%,"")</f>
        <v>9.8178724840183876E-2</v>
      </c>
      <c r="W273" s="141">
        <f t="array" ref="W273">IF(AND($T273&gt;=W$88,$T273&lt;=W$89),SUMPRODUCT(W$5:W$81,TRANSPOSE(Data_All!$B116:$BZ116))%,"")</f>
        <v>0.11226076143869008</v>
      </c>
      <c r="X273" s="141">
        <f t="array" ref="X273">IF(AND($T273&gt;=X$88,$T273&lt;=X$89),SUMPRODUCT(X$5:X$81,TRANSPOSE(Data_All!$B116:$BZ116))%,"")</f>
        <v>0.12634279803719631</v>
      </c>
      <c r="Y273" s="141">
        <f t="array" ref="Y273">IF(AND($T273&gt;=Y$88,$T273&lt;=Y$89),SUMPRODUCT(Y$5:Y$81,TRANSPOSE(Data_All!$B116:$BZ116))%,"")</f>
        <v>0.14042483463570254</v>
      </c>
    </row>
    <row r="274" spans="20:25">
      <c r="T274" s="140">
        <f t="shared" si="6"/>
        <v>1980</v>
      </c>
      <c r="U274" s="141">
        <f t="array" ref="U274">IF(AND($T274&gt;=U$88,$T274&lt;=U$89),SUMPRODUCT(U$5:U$81,TRANSPOSE(Data_All!$B117:$BZ117))%,"")</f>
        <v>0.10111615776213632</v>
      </c>
      <c r="V274" s="141">
        <f t="array" ref="V274">IF(AND($T274&gt;=V$88,$T274&lt;=V$89),SUMPRODUCT(V$5:V$81,TRANSPOSE(Data_All!$B117:$BZ117))%,"")</f>
        <v>0.14505243213472696</v>
      </c>
      <c r="W274" s="141">
        <f t="array" ref="W274">IF(AND($T274&gt;=W$88,$T274&lt;=W$89),SUMPRODUCT(W$5:W$81,TRANSPOSE(Data_All!$B117:$BZ117))%,"")</f>
        <v>0.16702056932102224</v>
      </c>
      <c r="X274" s="141">
        <f t="array" ref="X274">IF(AND($T274&gt;=X$88,$T274&lt;=X$89),SUMPRODUCT(X$5:X$81,TRANSPOSE(Data_All!$B117:$BZ117))%,"")</f>
        <v>0.18898870650731756</v>
      </c>
      <c r="Y274" s="141">
        <f t="array" ref="Y274">IF(AND($T274&gt;=Y$88,$T274&lt;=Y$89),SUMPRODUCT(Y$5:Y$81,TRANSPOSE(Data_All!$B117:$BZ117))%,"")</f>
        <v>0.21095684369361289</v>
      </c>
    </row>
    <row r="275" spans="20:25">
      <c r="T275" s="140">
        <f t="shared" si="6"/>
        <v>1981</v>
      </c>
      <c r="U275" s="141">
        <f t="array" ref="U275">IF(AND($T275&gt;=U$88,$T275&lt;=U$89),SUMPRODUCT(U$5:U$81,TRANSPOSE(Data_All!$B118:$BZ118))%,"")</f>
        <v>1.9360008325807008E-2</v>
      </c>
      <c r="V275" s="141">
        <f t="array" ref="V275">IF(AND($T275&gt;=V$88,$T275&lt;=V$89),SUMPRODUCT(V$5:V$81,TRANSPOSE(Data_All!$B118:$BZ118))%,"")</f>
        <v>-5.6387568244042315E-3</v>
      </c>
      <c r="W275" s="141">
        <f t="array" ref="W275">IF(AND($T275&gt;=W$88,$T275&lt;=W$89),SUMPRODUCT(W$5:W$81,TRANSPOSE(Data_All!$B118:$BZ118))%,"")</f>
        <v>-1.8138139399509853E-2</v>
      </c>
      <c r="X275" s="141">
        <f t="array" ref="X275">IF(AND($T275&gt;=X$88,$T275&lt;=X$89),SUMPRODUCT(X$5:X$81,TRANSPOSE(Data_All!$B118:$BZ118))%,"")</f>
        <v>-3.0637521974615473E-2</v>
      </c>
      <c r="Y275" s="141">
        <f t="array" ref="Y275">IF(AND($T275&gt;=Y$88,$T275&lt;=Y$89),SUMPRODUCT(Y$5:Y$81,TRANSPOSE(Data_All!$B118:$BZ118))%,"")</f>
        <v>-4.3136904549721099E-2</v>
      </c>
    </row>
    <row r="276" spans="20:25">
      <c r="T276" s="140">
        <f t="shared" si="6"/>
        <v>1982</v>
      </c>
      <c r="U276" s="141">
        <f t="array" ref="U276">IF(AND($T276&gt;=U$88,$T276&lt;=U$89),SUMPRODUCT(U$5:U$81,TRANSPOSE(Data_All!$B119:$BZ119))%,"")</f>
        <v>0.31985552275350526</v>
      </c>
      <c r="V276" s="141">
        <f t="array" ref="V276">IF(AND($T276&gt;=V$88,$T276&lt;=V$89),SUMPRODUCT(V$5:V$81,TRANSPOSE(Data_All!$B119:$BZ119))%,"")</f>
        <v>0.31095702414570203</v>
      </c>
      <c r="W276" s="141">
        <f t="array" ref="W276">IF(AND($T276&gt;=W$88,$T276&lt;=W$89),SUMPRODUCT(W$5:W$81,TRANSPOSE(Data_All!$B119:$BZ119))%,"")</f>
        <v>0.30650777484180042</v>
      </c>
      <c r="X276" s="141">
        <f t="array" ref="X276">IF(AND($T276&gt;=X$88,$T276&lt;=X$89),SUMPRODUCT(X$5:X$81,TRANSPOSE(Data_All!$B119:$BZ119))%,"")</f>
        <v>0.30205852553789875</v>
      </c>
      <c r="Y276" s="141">
        <f t="array" ref="Y276">IF(AND($T276&gt;=Y$88,$T276&lt;=Y$89),SUMPRODUCT(Y$5:Y$81,TRANSPOSE(Data_All!$B119:$BZ119))%,"")</f>
        <v>0.29760927623399719</v>
      </c>
    </row>
    <row r="277" spans="20:25">
      <c r="T277" s="140">
        <f t="shared" si="6"/>
        <v>1983</v>
      </c>
      <c r="U277" s="141">
        <f t="array" ref="U277">IF(AND($T277&gt;=U$88,$T277&lt;=U$89),SUMPRODUCT(U$5:U$81,TRANSPOSE(Data_All!$B120:$BZ120))%,"")</f>
        <v>0.10150099195906892</v>
      </c>
      <c r="V277" s="141">
        <f t="array" ref="V277">IF(AND($T277&gt;=V$88,$T277&lt;=V$89),SUMPRODUCT(V$5:V$81,TRANSPOSE(Data_All!$B120:$BZ120))%,"")</f>
        <v>0.13034859296524803</v>
      </c>
      <c r="W277" s="141">
        <f t="array" ref="W277">IF(AND($T277&gt;=W$88,$T277&lt;=W$89),SUMPRODUCT(W$5:W$81,TRANSPOSE(Data_All!$B120:$BZ120))%,"")</f>
        <v>0.14477239346833759</v>
      </c>
      <c r="X277" s="141">
        <f t="array" ref="X277">IF(AND($T277&gt;=X$88,$T277&lt;=X$89),SUMPRODUCT(X$5:X$81,TRANSPOSE(Data_All!$B120:$BZ120))%,"")</f>
        <v>0.15919619397142715</v>
      </c>
      <c r="Y277" s="141">
        <f t="array" ref="Y277">IF(AND($T277&gt;=Y$88,$T277&lt;=Y$89),SUMPRODUCT(Y$5:Y$81,TRANSPOSE(Data_All!$B120:$BZ120))%,"")</f>
        <v>0.17361999447451673</v>
      </c>
    </row>
    <row r="278" spans="20:25">
      <c r="T278" s="140">
        <f t="shared" si="6"/>
        <v>1984</v>
      </c>
      <c r="U278" s="141">
        <f t="array" ref="U278">IF(AND($T278&gt;=U$88,$T278&lt;=U$89),SUMPRODUCT(U$5:U$81,TRANSPOSE(Data_All!$B121:$BZ121))%,"")</f>
        <v>0.11567009608481178</v>
      </c>
      <c r="V278" s="141">
        <f t="array" ref="V278">IF(AND($T278&gt;=V$88,$T278&lt;=V$89),SUMPRODUCT(V$5:V$81,TRANSPOSE(Data_All!$B121:$BZ121))%,"")</f>
        <v>0.10451498324741293</v>
      </c>
      <c r="W278" s="141">
        <f t="array" ref="W278">IF(AND($T278&gt;=W$88,$T278&lt;=W$89),SUMPRODUCT(W$5:W$81,TRANSPOSE(Data_All!$B121:$BZ121))%,"")</f>
        <v>9.8937426828713482E-2</v>
      </c>
      <c r="X278" s="141">
        <f t="array" ref="X278">IF(AND($T278&gt;=X$88,$T278&lt;=X$89),SUMPRODUCT(X$5:X$81,TRANSPOSE(Data_All!$B121:$BZ121))%,"")</f>
        <v>9.3359870410014062E-2</v>
      </c>
      <c r="Y278" s="141">
        <f t="array" ref="Y278">IF(AND($T278&gt;=Y$88,$T278&lt;=Y$89),SUMPRODUCT(Y$5:Y$81,TRANSPOSE(Data_All!$B121:$BZ121))%,"")</f>
        <v>8.7782313991314614E-2</v>
      </c>
    </row>
    <row r="279" spans="20:25">
      <c r="T279" s="140">
        <f t="shared" si="6"/>
        <v>1985</v>
      </c>
      <c r="U279" s="141">
        <f t="array" ref="U279">IF(AND($T279&gt;=U$88,$T279&lt;=U$89),SUMPRODUCT(U$5:U$81,TRANSPOSE(Data_All!$B122:$BZ122))%,"")</f>
        <v>0.22186415523456696</v>
      </c>
      <c r="V279" s="141">
        <f t="array" ref="V279">IF(AND($T279&gt;=V$88,$T279&lt;=V$89),SUMPRODUCT(V$5:V$81,TRANSPOSE(Data_All!$B122:$BZ122))%,"")</f>
        <v>0.23252935509837103</v>
      </c>
      <c r="W279" s="141">
        <f t="array" ref="W279">IF(AND($T279&gt;=W$88,$T279&lt;=W$89),SUMPRODUCT(W$5:W$81,TRANSPOSE(Data_All!$B122:$BZ122))%,"")</f>
        <v>0.23786195503027305</v>
      </c>
      <c r="X279" s="141">
        <f t="array" ref="X279">IF(AND($T279&gt;=X$88,$T279&lt;=X$89),SUMPRODUCT(X$5:X$81,TRANSPOSE(Data_All!$B122:$BZ122))%,"")</f>
        <v>0.24319455496217507</v>
      </c>
      <c r="Y279" s="141">
        <f t="array" ref="Y279">IF(AND($T279&gt;=Y$88,$T279&lt;=Y$89),SUMPRODUCT(Y$5:Y$81,TRANSPOSE(Data_All!$B122:$BZ122))%,"")</f>
        <v>0.24852715489407715</v>
      </c>
    </row>
    <row r="280" spans="20:25">
      <c r="T280" s="140">
        <f t="shared" si="6"/>
        <v>1986</v>
      </c>
      <c r="U280" s="141">
        <f t="array" ref="U280">IF(AND($T280&gt;=U$88,$T280&lt;=U$89),SUMPRODUCT(U$5:U$81,TRANSPOSE(Data_All!$B123:$BZ123))%,"")</f>
        <v>0.22088941496448158</v>
      </c>
      <c r="V280" s="141">
        <f t="array" ref="V280">IF(AND($T280&gt;=V$88,$T280&lt;=V$89),SUMPRODUCT(V$5:V$81,TRANSPOSE(Data_All!$B123:$BZ123))%,"")</f>
        <v>0.24643343409336047</v>
      </c>
      <c r="W280" s="141">
        <f t="array" ref="W280">IF(AND($T280&gt;=W$88,$T280&lt;=W$89),SUMPRODUCT(W$5:W$81,TRANSPOSE(Data_All!$B123:$BZ123))%,"")</f>
        <v>0.25920544365779996</v>
      </c>
      <c r="X280" s="141">
        <f t="array" ref="X280">IF(AND($T280&gt;=X$88,$T280&lt;=X$89),SUMPRODUCT(X$5:X$81,TRANSPOSE(Data_All!$B123:$BZ123))%,"")</f>
        <v>0.27197745322223943</v>
      </c>
      <c r="Y280" s="141">
        <f t="array" ref="Y280">IF(AND($T280&gt;=Y$88,$T280&lt;=Y$89),SUMPRODUCT(Y$5:Y$81,TRANSPOSE(Data_All!$B123:$BZ123))%,"")</f>
        <v>0.2847494627866789</v>
      </c>
    </row>
    <row r="281" spans="20:25">
      <c r="T281" s="140">
        <f t="shared" si="6"/>
        <v>1987</v>
      </c>
      <c r="U281" s="141">
        <f t="array" ref="U281">IF(AND($T281&gt;=U$88,$T281&lt;=U$89),SUMPRODUCT(U$5:U$81,TRANSPOSE(Data_All!$B124:$BZ124))%,"")</f>
        <v>1.3563428970637891E-3</v>
      </c>
      <c r="V281" s="141">
        <f t="array" ref="V281">IF(AND($T281&gt;=V$88,$T281&lt;=V$89),SUMPRODUCT(V$5:V$81,TRANSPOSE(Data_All!$B124:$BZ124))%,"")</f>
        <v>-4.6696418182884392E-3</v>
      </c>
      <c r="W281" s="141">
        <f t="array" ref="W281">IF(AND($T281&gt;=W$88,$T281&lt;=W$89),SUMPRODUCT(W$5:W$81,TRANSPOSE(Data_All!$B124:$BZ124))%,"")</f>
        <v>-7.6826341759645535E-3</v>
      </c>
      <c r="X281" s="141">
        <f t="array" ref="X281">IF(AND($T281&gt;=X$88,$T281&lt;=X$89),SUMPRODUCT(X$5:X$81,TRANSPOSE(Data_All!$B124:$BZ124))%,"")</f>
        <v>-1.0695626533640668E-2</v>
      </c>
      <c r="Y281" s="141">
        <f t="array" ref="Y281">IF(AND($T281&gt;=Y$88,$T281&lt;=Y$89),SUMPRODUCT(Y$5:Y$81,TRANSPOSE(Data_All!$B124:$BZ124))%,"")</f>
        <v>-1.3708618891316781E-2</v>
      </c>
    </row>
    <row r="282" spans="20:25">
      <c r="T282" s="140">
        <f t="shared" si="6"/>
        <v>1988</v>
      </c>
      <c r="U282" s="141">
        <f t="array" ref="U282">IF(AND($T282&gt;=U$88,$T282&lt;=U$89),SUMPRODUCT(U$5:U$81,TRANSPOSE(Data_All!$B125:$BZ125))%,"")</f>
        <v>9.2905129861150598E-2</v>
      </c>
      <c r="V282" s="141">
        <f t="array" ref="V282">IF(AND($T282&gt;=V$88,$T282&lt;=V$89),SUMPRODUCT(V$5:V$81,TRANSPOSE(Data_All!$B125:$BZ125))%,"")</f>
        <v>0.11730299803697196</v>
      </c>
      <c r="W282" s="141">
        <f t="array" ref="W282">IF(AND($T282&gt;=W$88,$T282&lt;=W$89),SUMPRODUCT(W$5:W$81,TRANSPOSE(Data_All!$B125:$BZ125))%,"")</f>
        <v>0.12950193212488265</v>
      </c>
      <c r="X282" s="141">
        <f t="array" ref="X282">IF(AND($T282&gt;=X$88,$T282&lt;=X$89),SUMPRODUCT(X$5:X$81,TRANSPOSE(Data_All!$B125:$BZ125))%,"")</f>
        <v>0.14170086621279335</v>
      </c>
      <c r="Y282" s="141">
        <f t="array" ref="Y282">IF(AND($T282&gt;=Y$88,$T282&lt;=Y$89),SUMPRODUCT(Y$5:Y$81,TRANSPOSE(Data_All!$B125:$BZ125))%,"")</f>
        <v>0.15389980030070402</v>
      </c>
    </row>
    <row r="283" spans="20:25">
      <c r="T283" s="140">
        <f t="shared" si="6"/>
        <v>1989</v>
      </c>
      <c r="U283" s="141">
        <f t="array" ref="U283">IF(AND($T283&gt;=U$88,$T283&lt;=U$89),SUMPRODUCT(U$5:U$81,TRANSPOSE(Data_All!$B126:$BZ126))%,"")</f>
        <v>0.16077061384548641</v>
      </c>
      <c r="V283" s="141">
        <f t="array" ref="V283">IF(AND($T283&gt;=V$88,$T283&lt;=V$89),SUMPRODUCT(V$5:V$81,TRANSPOSE(Data_All!$B126:$BZ126))%,"")</f>
        <v>0.18051610189261638</v>
      </c>
      <c r="W283" s="141">
        <f t="array" ref="W283">IF(AND($T283&gt;=W$88,$T283&lt;=W$89),SUMPRODUCT(W$5:W$81,TRANSPOSE(Data_All!$B126:$BZ126))%,"")</f>
        <v>0.19038884591618135</v>
      </c>
      <c r="X283" s="141">
        <f t="array" ref="X283">IF(AND($T283&gt;=X$88,$T283&lt;=X$89),SUMPRODUCT(X$5:X$81,TRANSPOSE(Data_All!$B126:$BZ126))%,"")</f>
        <v>0.2002615899397463</v>
      </c>
      <c r="Y283" s="141">
        <f t="array" ref="Y283">IF(AND($T283&gt;=Y$88,$T283&lt;=Y$89),SUMPRODUCT(Y$5:Y$81,TRANSPOSE(Data_All!$B126:$BZ126))%,"")</f>
        <v>0.21013433396331127</v>
      </c>
    </row>
    <row r="284" spans="20:25">
      <c r="T284" s="140">
        <f t="shared" si="6"/>
        <v>1990</v>
      </c>
      <c r="U284" s="141">
        <f t="array" ref="U284">IF(AND($T284&gt;=U$88,$T284&lt;=U$89),SUMPRODUCT(U$5:U$81,TRANSPOSE(Data_All!$B127:$BZ127))%,"")</f>
        <v>6.5368299781567399E-2</v>
      </c>
      <c r="V284" s="141">
        <f t="array" ref="V284">IF(AND($T284&gt;=V$88,$T284&lt;=V$89),SUMPRODUCT(V$5:V$81,TRANSPOSE(Data_All!$B127:$BZ127))%,"")</f>
        <v>4.4699870317842061E-2</v>
      </c>
      <c r="W284" s="141">
        <f t="array" ref="W284">IF(AND($T284&gt;=W$88,$T284&lt;=W$89),SUMPRODUCT(W$5:W$81,TRANSPOSE(Data_All!$B127:$BZ127))%,"")</f>
        <v>3.4365655585979392E-2</v>
      </c>
      <c r="X284" s="141">
        <f t="array" ref="X284">IF(AND($T284&gt;=X$88,$T284&lt;=X$89),SUMPRODUCT(X$5:X$81,TRANSPOSE(Data_All!$B127:$BZ127))%,"")</f>
        <v>2.4031440854116726E-2</v>
      </c>
      <c r="Y284" s="141">
        <f t="array" ref="Y284">IF(AND($T284&gt;=Y$88,$T284&lt;=Y$89),SUMPRODUCT(Y$5:Y$81,TRANSPOSE(Data_All!$B127:$BZ127))%,"")</f>
        <v>1.3697226122254057E-2</v>
      </c>
    </row>
    <row r="285" spans="20:25">
      <c r="T285" s="140">
        <f t="shared" si="6"/>
        <v>1991</v>
      </c>
      <c r="U285" s="141">
        <f t="array" ref="U285">IF(AND($T285&gt;=U$88,$T285&lt;=U$89),SUMPRODUCT(U$5:U$81,TRANSPOSE(Data_All!$B128:$BZ128))%,"")</f>
        <v>0.19407922477389611</v>
      </c>
      <c r="V285" s="141">
        <f t="array" ref="V285">IF(AND($T285&gt;=V$88,$T285&lt;=V$89),SUMPRODUCT(V$5:V$81,TRANSPOSE(Data_All!$B128:$BZ128))%,"")</f>
        <v>0.22884526588523849</v>
      </c>
      <c r="W285" s="141">
        <f t="array" ref="W285">IF(AND($T285&gt;=W$88,$T285&lt;=W$89),SUMPRODUCT(W$5:W$81,TRANSPOSE(Data_All!$B128:$BZ128))%,"")</f>
        <v>0.24622828644090966</v>
      </c>
      <c r="X285" s="141">
        <f t="array" ref="X285">IF(AND($T285&gt;=X$88,$T285&lt;=X$89),SUMPRODUCT(X$5:X$81,TRANSPOSE(Data_All!$B128:$BZ128))%,"")</f>
        <v>0.26361130699658081</v>
      </c>
      <c r="Y285" s="141">
        <f t="array" ref="Y285">IF(AND($T285&gt;=Y$88,$T285&lt;=Y$89),SUMPRODUCT(Y$5:Y$81,TRANSPOSE(Data_All!$B128:$BZ128))%,"")</f>
        <v>0.28099432755225201</v>
      </c>
    </row>
    <row r="286" spans="20:25">
      <c r="T286" s="140">
        <f t="shared" si="6"/>
        <v>1992</v>
      </c>
      <c r="U286" s="141">
        <f t="array" ref="U286">IF(AND($T286&gt;=U$88,$T286&lt;=U$89),SUMPRODUCT(U$5:U$81,TRANSPOSE(Data_All!$B129:$BZ129))%,"")</f>
        <v>8.6870596716579748E-2</v>
      </c>
      <c r="V286" s="141">
        <f t="array" ref="V286">IF(AND($T286&gt;=V$88,$T286&lt;=V$89),SUMPRODUCT(V$5:V$81,TRANSPOSE(Data_All!$B129:$BZ129))%,"")</f>
        <v>8.3701482341710598E-2</v>
      </c>
      <c r="W286" s="141">
        <f t="array" ref="W286">IF(AND($T286&gt;=W$88,$T286&lt;=W$89),SUMPRODUCT(W$5:W$81,TRANSPOSE(Data_All!$B129:$BZ129))%,"")</f>
        <v>8.2116925154276016E-2</v>
      </c>
      <c r="X286" s="141">
        <f t="array" ref="X286">IF(AND($T286&gt;=X$88,$T286&lt;=X$89),SUMPRODUCT(X$5:X$81,TRANSPOSE(Data_All!$B129:$BZ129))%,"")</f>
        <v>8.0532367966841448E-2</v>
      </c>
      <c r="Y286" s="141">
        <f t="array" ref="Y286">IF(AND($T286&gt;=Y$88,$T286&lt;=Y$89),SUMPRODUCT(Y$5:Y$81,TRANSPOSE(Data_All!$B129:$BZ129))%,"")</f>
        <v>7.8947810779406866E-2</v>
      </c>
    </row>
    <row r="287" spans="20:25">
      <c r="T287" s="140">
        <f t="shared" si="6"/>
        <v>1993</v>
      </c>
      <c r="U287" s="141">
        <f t="array" ref="U287">IF(AND($T287&gt;=U$88,$T287&lt;=U$89),SUMPRODUCT(U$5:U$81,TRANSPOSE(Data_All!$B130:$BZ130))%,"")</f>
        <v>0.10560709794183241</v>
      </c>
      <c r="V287" s="141">
        <f t="array" ref="V287">IF(AND($T287&gt;=V$88,$T287&lt;=V$89),SUMPRODUCT(V$5:V$81,TRANSPOSE(Data_All!$B130:$BZ130))%,"")</f>
        <v>0.10848020789865409</v>
      </c>
      <c r="W287" s="141">
        <f t="array" ref="W287">IF(AND($T287&gt;=W$88,$T287&lt;=W$89),SUMPRODUCT(W$5:W$81,TRANSPOSE(Data_All!$B130:$BZ130))%,"")</f>
        <v>0.10991676287706494</v>
      </c>
      <c r="X287" s="141">
        <f t="array" ref="X287">IF(AND($T287&gt;=X$88,$T287&lt;=X$89),SUMPRODUCT(X$5:X$81,TRANSPOSE(Data_All!$B130:$BZ130))%,"")</f>
        <v>0.11135331785547577</v>
      </c>
      <c r="Y287" s="141">
        <f t="array" ref="Y287">IF(AND($T287&gt;=Y$88,$T287&lt;=Y$89),SUMPRODUCT(Y$5:Y$81,TRANSPOSE(Data_All!$B130:$BZ130))%,"")</f>
        <v>0.11278987283388663</v>
      </c>
    </row>
    <row r="288" spans="20:25">
      <c r="T288" s="140">
        <f t="shared" si="6"/>
        <v>1994</v>
      </c>
      <c r="U288" s="141">
        <f t="array" ref="U288">IF(AND($T288&gt;=U$88,$T288&lt;=U$89),SUMPRODUCT(U$5:U$81,TRANSPOSE(Data_All!$B131:$BZ131))%,"")</f>
        <v>-2.5643899515239488E-2</v>
      </c>
      <c r="V288" s="141">
        <f t="array" ref="V288">IF(AND($T288&gt;=V$88,$T288&lt;=V$89),SUMPRODUCT(V$5:V$81,TRANSPOSE(Data_All!$B131:$BZ131))%,"")</f>
        <v>-1.5030985299769428E-2</v>
      </c>
      <c r="W288" s="141">
        <f t="array" ref="W288">IF(AND($T288&gt;=W$88,$T288&lt;=W$89),SUMPRODUCT(W$5:W$81,TRANSPOSE(Data_All!$B131:$BZ131))%,"")</f>
        <v>-9.7245281920343984E-3</v>
      </c>
      <c r="X288" s="141">
        <f t="array" ref="X288">IF(AND($T288&gt;=X$88,$T288&lt;=X$89),SUMPRODUCT(X$5:X$81,TRANSPOSE(Data_All!$B131:$BZ131))%,"")</f>
        <v>-4.4180710842993687E-3</v>
      </c>
      <c r="Y288" s="141">
        <f t="array" ref="Y288">IF(AND($T288&gt;=Y$88,$T288&lt;=Y$89),SUMPRODUCT(Y$5:Y$81,TRANSPOSE(Data_All!$B131:$BZ131))%,"")</f>
        <v>8.8838602343566109E-4</v>
      </c>
    </row>
    <row r="289" spans="20:25">
      <c r="T289" s="140">
        <f t="shared" si="6"/>
        <v>1995</v>
      </c>
      <c r="U289" s="141">
        <f t="array" ref="U289">IF(AND($T289&gt;=U$88,$T289&lt;=U$89),SUMPRODUCT(U$5:U$81,TRANSPOSE(Data_All!$B132:$BZ132))%,"")</f>
        <v>0.23215008768903828</v>
      </c>
      <c r="V289" s="141">
        <f t="array" ref="V289">IF(AND($T289&gt;=V$88,$T289&lt;=V$89),SUMPRODUCT(V$5:V$81,TRANSPOSE(Data_All!$B132:$BZ132))%,"")</f>
        <v>0.26589671957829902</v>
      </c>
      <c r="W289" s="141">
        <f t="array" ref="W289">IF(AND($T289&gt;=W$88,$T289&lt;=W$89),SUMPRODUCT(W$5:W$81,TRANSPOSE(Data_All!$B132:$BZ132))%,"")</f>
        <v>0.28277003552292934</v>
      </c>
      <c r="X289" s="141">
        <f t="array" ref="X289">IF(AND($T289&gt;=X$88,$T289&lt;=X$89),SUMPRODUCT(X$5:X$81,TRANSPOSE(Data_All!$B132:$BZ132))%,"")</f>
        <v>0.29964335146755966</v>
      </c>
      <c r="Y289" s="141">
        <f t="array" ref="Y289">IF(AND($T289&gt;=Y$88,$T289&lt;=Y$89),SUMPRODUCT(Y$5:Y$81,TRANSPOSE(Data_All!$B132:$BZ132))%,"")</f>
        <v>0.31651666741219009</v>
      </c>
    </row>
    <row r="290" spans="20:25">
      <c r="T290" s="140">
        <f t="shared" si="6"/>
        <v>1996</v>
      </c>
      <c r="U290" s="141">
        <f t="array" ref="U290">IF(AND($T290&gt;=U$88,$T290&lt;=U$89),SUMPRODUCT(U$5:U$81,TRANSPOSE(Data_All!$B133:$BZ133))%,"")</f>
        <v>9.3656862316720574E-2</v>
      </c>
      <c r="V290" s="141">
        <f t="array" ref="V290">IF(AND($T290&gt;=V$88,$T290&lt;=V$89),SUMPRODUCT(V$5:V$81,TRANSPOSE(Data_All!$B133:$BZ133))%,"")</f>
        <v>0.14441569673680577</v>
      </c>
      <c r="W290" s="141">
        <f t="array" ref="W290">IF(AND($T290&gt;=W$88,$T290&lt;=W$89),SUMPRODUCT(W$5:W$81,TRANSPOSE(Data_All!$B133:$BZ133))%,"")</f>
        <v>0.16979511394684837</v>
      </c>
      <c r="X290" s="141">
        <f t="array" ref="X290">IF(AND($T290&gt;=X$88,$T290&lt;=X$89),SUMPRODUCT(X$5:X$81,TRANSPOSE(Data_All!$B133:$BZ133))%,"")</f>
        <v>0.19517453115689093</v>
      </c>
      <c r="Y290" s="141">
        <f t="array" ref="Y290">IF(AND($T290&gt;=Y$88,$T290&lt;=Y$89),SUMPRODUCT(Y$5:Y$81,TRANSPOSE(Data_All!$B133:$BZ133))%,"")</f>
        <v>0.22055394836693359</v>
      </c>
    </row>
    <row r="291" spans="20:25">
      <c r="T291" s="140">
        <f t="shared" si="6"/>
        <v>1997</v>
      </c>
      <c r="U291" s="141">
        <f t="array" ref="U291">IF(AND($T291&gt;=U$88,$T291&lt;=U$89),SUMPRODUCT(U$5:U$81,TRANSPOSE(Data_All!$B134:$BZ134))%,"")</f>
        <v>0.15835171372672222</v>
      </c>
      <c r="V291" s="141">
        <f t="array" ref="V291">IF(AND($T291&gt;=V$88,$T291&lt;=V$89),SUMPRODUCT(V$5:V$81,TRANSPOSE(Data_All!$B134:$BZ134))%,"")</f>
        <v>0.19239928302174414</v>
      </c>
      <c r="W291" s="141">
        <f t="array" ref="W291">IF(AND($T291&gt;=W$88,$T291&lt;=W$89),SUMPRODUCT(W$5:W$81,TRANSPOSE(Data_All!$B134:$BZ134))%,"")</f>
        <v>0.20942306766925509</v>
      </c>
      <c r="X291" s="141">
        <f t="array" ref="X291">IF(AND($T291&gt;=X$88,$T291&lt;=X$89),SUMPRODUCT(X$5:X$81,TRANSPOSE(Data_All!$B134:$BZ134))%,"")</f>
        <v>0.22644685231676603</v>
      </c>
      <c r="Y291" s="141">
        <f t="array" ref="Y291">IF(AND($T291&gt;=Y$88,$T291&lt;=Y$89),SUMPRODUCT(Y$5:Y$81,TRANSPOSE(Data_All!$B134:$BZ134))%,"")</f>
        <v>0.24347063696427704</v>
      </c>
    </row>
    <row r="292" spans="20:25">
      <c r="T292" s="140">
        <f t="shared" si="6"/>
        <v>1998</v>
      </c>
      <c r="U292" s="141">
        <f t="array" ref="U292">IF(AND($T292&gt;=U$88,$T292&lt;=U$89),SUMPRODUCT(U$5:U$81,TRANSPOSE(Data_All!$B135:$BZ135))%,"")</f>
        <v>0.15713582460262732</v>
      </c>
      <c r="V292" s="141">
        <f t="array" ref="V292">IF(AND($T292&gt;=V$88,$T292&lt;=V$89),SUMPRODUCT(V$5:V$81,TRANSPOSE(Data_All!$B135:$BZ135))%,"")</f>
        <v>0.20169167436975577</v>
      </c>
      <c r="W292" s="141">
        <f t="array" ref="W292">IF(AND($T292&gt;=W$88,$T292&lt;=W$89),SUMPRODUCT(W$5:W$81,TRANSPOSE(Data_All!$B135:$BZ135))%,"")</f>
        <v>0.22396959925332</v>
      </c>
      <c r="X292" s="141">
        <f t="array" ref="X292">IF(AND($T292&gt;=X$88,$T292&lt;=X$89),SUMPRODUCT(X$5:X$81,TRANSPOSE(Data_All!$B135:$BZ135))%,"")</f>
        <v>0.24624752413688417</v>
      </c>
      <c r="Y292" s="141">
        <f t="array" ref="Y292">IF(AND($T292&gt;=Y$88,$T292&lt;=Y$89),SUMPRODUCT(Y$5:Y$81,TRANSPOSE(Data_All!$B135:$BZ135))%,"")</f>
        <v>0.26852544902044839</v>
      </c>
    </row>
    <row r="293" spans="20:25">
      <c r="T293" s="140">
        <f t="shared" si="6"/>
        <v>1999</v>
      </c>
      <c r="U293" s="141">
        <f t="array" ref="U293">IF(AND($T293&gt;=U$88,$T293&lt;=U$89),SUMPRODUCT(U$5:U$81,TRANSPOSE(Data_All!$B136:$BZ136))%,"")</f>
        <v>2.3940629305353772E-2</v>
      </c>
      <c r="V293" s="141">
        <f t="array" ref="V293">IF(AND($T293&gt;=V$88,$T293&lt;=V$89),SUMPRODUCT(V$5:V$81,TRANSPOSE(Data_All!$B136:$BZ136))%,"")</f>
        <v>6.1374872679085701E-2</v>
      </c>
      <c r="W293" s="141">
        <f t="array" ref="W293">IF(AND($T293&gt;=W$88,$T293&lt;=W$89),SUMPRODUCT(W$5:W$81,TRANSPOSE(Data_All!$B136:$BZ136))%,"")</f>
        <v>8.0091994365951671E-2</v>
      </c>
      <c r="X293" s="141">
        <f t="array" ref="X293">IF(AND($T293&gt;=X$88,$T293&lt;=X$89),SUMPRODUCT(X$5:X$81,TRANSPOSE(Data_All!$B136:$BZ136))%,"")</f>
        <v>9.8809116052817642E-2</v>
      </c>
      <c r="Y293" s="141">
        <f t="array" ref="Y293">IF(AND($T293&gt;=Y$88,$T293&lt;=Y$89),SUMPRODUCT(Y$5:Y$81,TRANSPOSE(Data_All!$B136:$BZ136))%,"")</f>
        <v>0.11752623773968363</v>
      </c>
    </row>
    <row r="294" spans="20:25">
      <c r="T294" s="140">
        <f t="shared" si="6"/>
        <v>2000</v>
      </c>
      <c r="U294" s="141">
        <f t="array" ref="U294">IF(AND($T294&gt;=U$88,$T294&lt;=U$89),SUMPRODUCT(U$5:U$81,TRANSPOSE(Data_All!$B137:$BZ137))%,"")</f>
        <v>8.2293161287526256E-2</v>
      </c>
      <c r="V294" s="141">
        <f t="array" ref="V294">IF(AND($T294&gt;=V$88,$T294&lt;=V$89),SUMPRODUCT(V$5:V$81,TRANSPOSE(Data_All!$B137:$BZ137))%,"")</f>
        <v>4.401200695846464E-2</v>
      </c>
      <c r="W294" s="141">
        <f t="array" ref="W294">IF(AND($T294&gt;=W$88,$T294&lt;=W$89),SUMPRODUCT(W$5:W$81,TRANSPOSE(Data_All!$B137:$BZ137))%,"")</f>
        <v>2.4871429793933829E-2</v>
      </c>
      <c r="X294" s="141">
        <f t="array" ref="X294">IF(AND($T294&gt;=X$88,$T294&lt;=X$89),SUMPRODUCT(X$5:X$81,TRANSPOSE(Data_All!$B137:$BZ137))%,"")</f>
        <v>5.7308526294030139E-3</v>
      </c>
      <c r="Y294" s="141">
        <f t="array" ref="Y294">IF(AND($T294&gt;=Y$88,$T294&lt;=Y$89),SUMPRODUCT(Y$5:Y$81,TRANSPOSE(Data_All!$B137:$BZ137))%,"")</f>
        <v>-1.3409724535127805E-2</v>
      </c>
    </row>
    <row r="295" spans="20:25">
      <c r="T295" s="140">
        <f t="shared" si="6"/>
        <v>2001</v>
      </c>
      <c r="U295" s="141">
        <f t="array" ref="U295">IF(AND($T295&gt;=U$88,$T295&lt;=U$89),SUMPRODUCT(U$5:U$81,TRANSPOSE(Data_All!$B138:$BZ138))%,"")</f>
        <v>1.2225999075307258E-2</v>
      </c>
      <c r="V295" s="141">
        <f t="array" ref="V295">IF(AND($T295&gt;=V$88,$T295&lt;=V$89),SUMPRODUCT(V$5:V$81,TRANSPOSE(Data_All!$B138:$BZ138))%,"")</f>
        <v>-2.9703793530847067E-2</v>
      </c>
      <c r="W295" s="141">
        <f t="array" ref="W295">IF(AND($T295&gt;=W$88,$T295&lt;=W$89),SUMPRODUCT(W$5:W$81,TRANSPOSE(Data_All!$B138:$BZ138))%,"")</f>
        <v>-5.0668689833924231E-2</v>
      </c>
      <c r="X295" s="141">
        <f t="array" ref="X295">IF(AND($T295&gt;=X$88,$T295&lt;=X$89),SUMPRODUCT(X$5:X$81,TRANSPOSE(Data_All!$B138:$BZ138))%,"")</f>
        <v>-7.1633586137001382E-2</v>
      </c>
      <c r="Y295" s="141">
        <f t="array" ref="Y295">IF(AND($T295&gt;=Y$88,$T295&lt;=Y$89),SUMPRODUCT(Y$5:Y$81,TRANSPOSE(Data_All!$B138:$BZ138))%,"")</f>
        <v>-9.2598482440078553E-2</v>
      </c>
    </row>
    <row r="296" spans="20:25">
      <c r="T296" s="140">
        <f t="shared" si="6"/>
        <v>2002</v>
      </c>
      <c r="U296" s="141">
        <f t="array" ref="U296">IF(AND($T296&gt;=U$88,$T296&lt;=U$89),SUMPRODUCT(U$5:U$81,TRANSPOSE(Data_All!$B139:$BZ139))%,"")</f>
        <v>1.550224258777873E-2</v>
      </c>
      <c r="V296" s="141">
        <f t="array" ref="V296">IF(AND($T296&gt;=V$88,$T296&lt;=V$89),SUMPRODUCT(V$5:V$81,TRANSPOSE(Data_All!$B139:$BZ139))%,"")</f>
        <v>-4.6134476467986969E-2</v>
      </c>
      <c r="W296" s="141">
        <f t="array" ref="W296">IF(AND($T296&gt;=W$88,$T296&lt;=W$89),SUMPRODUCT(W$5:W$81,TRANSPOSE(Data_All!$B139:$BZ139))%,"")</f>
        <v>-7.6952835995869828E-2</v>
      </c>
      <c r="X296" s="141">
        <f t="array" ref="X296">IF(AND($T296&gt;=X$88,$T296&lt;=X$89),SUMPRODUCT(X$5:X$81,TRANSPOSE(Data_All!$B139:$BZ139))%,"")</f>
        <v>-0.10777119552375268</v>
      </c>
      <c r="Y296" s="141">
        <f t="array" ref="Y296">IF(AND($T296&gt;=Y$88,$T296&lt;=Y$89),SUMPRODUCT(Y$5:Y$81,TRANSPOSE(Data_All!$B139:$BZ139))%,"")</f>
        <v>-0.13858955505163553</v>
      </c>
    </row>
    <row r="297" spans="20:25">
      <c r="T297" s="140">
        <f t="shared" si="6"/>
        <v>2003</v>
      </c>
      <c r="U297" s="141">
        <f t="array" ref="U297">IF(AND($T297&gt;=U$88,$T297&lt;=U$89),SUMPRODUCT(U$5:U$81,TRANSPOSE(Data_All!$B140:$BZ140))%,"")</f>
        <v>0.11317979237230437</v>
      </c>
      <c r="V297" s="141">
        <f t="array" ref="V297">IF(AND($T297&gt;=V$88,$T297&lt;=V$89),SUMPRODUCT(V$5:V$81,TRANSPOSE(Data_All!$B140:$BZ140))%,"")</f>
        <v>0.16187439816963903</v>
      </c>
      <c r="W297" s="141">
        <f t="array" ref="W297">IF(AND($T297&gt;=W$88,$T297&lt;=W$89),SUMPRODUCT(W$5:W$81,TRANSPOSE(Data_All!$B140:$BZ140))%,"")</f>
        <v>0.18622170106830629</v>
      </c>
      <c r="X297" s="141">
        <f t="array" ref="X297">IF(AND($T297&gt;=X$88,$T297&lt;=X$89),SUMPRODUCT(X$5:X$81,TRANSPOSE(Data_All!$B140:$BZ140))%,"")</f>
        <v>0.21056900396697359</v>
      </c>
      <c r="Y297" s="141">
        <f t="array" ref="Y297">IF(AND($T297&gt;=Y$88,$T297&lt;=Y$89),SUMPRODUCT(Y$5:Y$81,TRANSPOSE(Data_All!$B140:$BZ140))%,"")</f>
        <v>0.23491630686564097</v>
      </c>
    </row>
    <row r="298" spans="20:25">
      <c r="T298" s="140">
        <f t="shared" si="6"/>
        <v>2004</v>
      </c>
      <c r="U298" s="141">
        <f t="array" ref="U298">IF(AND($T298&gt;=U$88,$T298&lt;=U$89),SUMPRODUCT(U$5:U$81,TRANSPOSE(Data_All!$B141:$BZ141))%,"")</f>
        <v>3.3972586738139146E-2</v>
      </c>
      <c r="V298" s="141">
        <f t="array" ref="V298">IF(AND($T298&gt;=V$88,$T298&lt;=V$89),SUMPRODUCT(V$5:V$81,TRANSPOSE(Data_All!$B141:$BZ141))%,"")</f>
        <v>4.150455490705774E-2</v>
      </c>
      <c r="W298" s="141">
        <f t="array" ref="W298">IF(AND($T298&gt;=W$88,$T298&lt;=W$89),SUMPRODUCT(W$5:W$81,TRANSPOSE(Data_All!$B141:$BZ141))%,"")</f>
        <v>4.5270538991517027E-2</v>
      </c>
      <c r="X298" s="141">
        <f t="array" ref="X298">IF(AND($T298&gt;=X$88,$T298&lt;=X$89),SUMPRODUCT(X$5:X$81,TRANSPOSE(Data_All!$B141:$BZ141))%,"")</f>
        <v>4.9036523075976321E-2</v>
      </c>
      <c r="Y298" s="141">
        <f t="array" ref="Y298">IF(AND($T298&gt;=Y$88,$T298&lt;=Y$89),SUMPRODUCT(Y$5:Y$81,TRANSPOSE(Data_All!$B141:$BZ141))%,"")</f>
        <v>5.2802507160435622E-2</v>
      </c>
    </row>
    <row r="299" spans="20:25">
      <c r="T299" s="140">
        <f t="shared" si="6"/>
        <v>2005</v>
      </c>
      <c r="U299" s="141">
        <f t="array" ref="U299">IF(AND($T299&gt;=U$88,$T299&lt;=U$89),SUMPRODUCT(U$5:U$81,TRANSPOSE(Data_All!$B142:$BZ142))%,"")</f>
        <v>4.4409921015667715E-2</v>
      </c>
      <c r="V299" s="141">
        <f t="array" ref="V299">IF(AND($T299&gt;=V$88,$T299&lt;=V$89),SUMPRODUCT(V$5:V$81,TRANSPOSE(Data_All!$B142:$BZ142))%,"")</f>
        <v>6.0631137361965785E-2</v>
      </c>
      <c r="W299" s="141">
        <f t="array" ref="W299">IF(AND($T299&gt;=W$88,$T299&lt;=W$89),SUMPRODUCT(W$5:W$81,TRANSPOSE(Data_All!$B142:$BZ142))%,"")</f>
        <v>6.874174553511482E-2</v>
      </c>
      <c r="X299" s="141">
        <f t="array" ref="X299">IF(AND($T299&gt;=X$88,$T299&lt;=X$89),SUMPRODUCT(X$5:X$81,TRANSPOSE(Data_All!$B142:$BZ142))%,"")</f>
        <v>7.6852353708263849E-2</v>
      </c>
      <c r="Y299" s="141">
        <f t="array" ref="Y299">IF(AND($T299&gt;=Y$88,$T299&lt;=Y$89),SUMPRODUCT(Y$5:Y$81,TRANSPOSE(Data_All!$B142:$BZ142))%,"")</f>
        <v>8.4962961881412905E-2</v>
      </c>
    </row>
    <row r="300" spans="20:25">
      <c r="T300" s="140">
        <f t="shared" si="6"/>
        <v>2006</v>
      </c>
      <c r="U300" s="141">
        <f t="array" ref="U300">IF(AND($T300&gt;=U$88,$T300&lt;=U$89),SUMPRODUCT(U$5:U$81,TRANSPOSE(Data_All!$B143:$BZ143))%,"")</f>
        <v>5.8680795081286138E-2</v>
      </c>
      <c r="V300" s="141">
        <f t="array" ref="V300">IF(AND($T300&gt;=V$88,$T300&lt;=V$89),SUMPRODUCT(V$5:V$81,TRANSPOSE(Data_All!$B143:$BZ143))%,"")</f>
        <v>7.9968234718539422E-2</v>
      </c>
      <c r="W300" s="141">
        <f t="array" ref="W300">IF(AND($T300&gt;=W$88,$T300&lt;=W$89),SUMPRODUCT(W$5:W$81,TRANSPOSE(Data_All!$B143:$BZ143))%,"")</f>
        <v>9.0611954537166056E-2</v>
      </c>
      <c r="X300" s="141">
        <f t="array" ref="X300">IF(AND($T300&gt;=X$88,$T300&lt;=X$89),SUMPRODUCT(X$5:X$81,TRANSPOSE(Data_All!$B143:$BZ143))%,"")</f>
        <v>0.10125567435579269</v>
      </c>
      <c r="Y300" s="141">
        <f t="array" ref="Y300">IF(AND($T300&gt;=Y$88,$T300&lt;=Y$89),SUMPRODUCT(Y$5:Y$81,TRANSPOSE(Data_All!$B143:$BZ143))%,"")</f>
        <v>0.11189939417441934</v>
      </c>
    </row>
    <row r="301" spans="20:25">
      <c r="T301" s="140">
        <f t="shared" si="6"/>
        <v>2007</v>
      </c>
      <c r="U301" s="141">
        <f t="array" ref="U301">IF(AND($T301&gt;=U$88,$T301&lt;=U$89),SUMPRODUCT(U$5:U$81,TRANSPOSE(Data_All!$B144:$BZ144))%,"")</f>
        <v>8.124029702921412E-2</v>
      </c>
      <c r="V301" s="141">
        <f t="array" ref="V301">IF(AND($T301&gt;=V$88,$T301&lt;=V$89),SUMPRODUCT(V$5:V$81,TRANSPOSE(Data_All!$B144:$BZ144))%,"")</f>
        <v>5.4483836796590628E-2</v>
      </c>
      <c r="W301" s="141">
        <f t="array" ref="W301">IF(AND($T301&gt;=W$88,$T301&lt;=W$89),SUMPRODUCT(W$5:W$81,TRANSPOSE(Data_All!$B144:$BZ144))%,"")</f>
        <v>4.1105606680278892E-2</v>
      </c>
      <c r="X301" s="141">
        <f t="array" ref="X301">IF(AND($T301&gt;=X$88,$T301&lt;=X$89),SUMPRODUCT(X$5:X$81,TRANSPOSE(Data_All!$B144:$BZ144))%,"")</f>
        <v>2.7727376563967156E-2</v>
      </c>
      <c r="Y301" s="141">
        <f t="array" ref="Y301">IF(AND($T301&gt;=Y$88,$T301&lt;=Y$89),SUMPRODUCT(Y$5:Y$81,TRANSPOSE(Data_All!$B144:$BZ144))%,"")</f>
        <v>1.4349146447655415E-2</v>
      </c>
    </row>
    <row r="302" spans="20:25">
      <c r="T302" s="140">
        <f t="shared" si="6"/>
        <v>2008</v>
      </c>
      <c r="U302" s="141">
        <f t="array" ref="U302">IF(AND($T302&gt;=U$88,$T302&lt;=U$89),SUMPRODUCT(U$5:U$81,TRANSPOSE(Data_All!$B145:$BZ145))%,"")</f>
        <v>-3.3054246164197665E-2</v>
      </c>
      <c r="V302" s="141">
        <f t="array" ref="V302">IF(AND($T302&gt;=V$88,$T302&lt;=V$89),SUMPRODUCT(V$5:V$81,TRANSPOSE(Data_All!$B145:$BZ145))%,"")</f>
        <v>-0.12407104543282638</v>
      </c>
      <c r="W302" s="141">
        <f t="array" ref="W302">IF(AND($T302&gt;=W$88,$T302&lt;=W$89),SUMPRODUCT(W$5:W$81,TRANSPOSE(Data_All!$B145:$BZ145))%,"")</f>
        <v>-0.1695794450671407</v>
      </c>
      <c r="X302" s="141">
        <f t="array" ref="X302">IF(AND($T302&gt;=X$88,$T302&lt;=X$89),SUMPRODUCT(X$5:X$81,TRANSPOSE(Data_All!$B145:$BZ145))%,"")</f>
        <v>-0.21508784470145506</v>
      </c>
      <c r="Y302" s="141">
        <f t="array" ref="Y302">IF(AND($T302&gt;=Y$88,$T302&lt;=Y$89),SUMPRODUCT(Y$5:Y$81,TRANSPOSE(Data_All!$B145:$BZ145))%,"")</f>
        <v>-0.26059624433576944</v>
      </c>
    </row>
    <row r="303" spans="20:25">
      <c r="T303" s="140">
        <f t="shared" si="6"/>
        <v>2009</v>
      </c>
      <c r="U303" s="141">
        <f t="array" ref="U303">IF(AND($T303&gt;=U$88,$T303&lt;=U$89),SUMPRODUCT(U$5:U$81,TRANSPOSE(Data_All!$B146:$BZ146))%,"")</f>
        <v>8.5001923252130351E-2</v>
      </c>
      <c r="V303" s="141">
        <f t="array" ref="V303">IF(AND($T303&gt;=V$88,$T303&lt;=V$89),SUMPRODUCT(V$5:V$81,TRANSPOSE(Data_All!$B146:$BZ146))%,"")</f>
        <v>0.15327457124420207</v>
      </c>
      <c r="W303" s="141">
        <f t="array" ref="W303">IF(AND($T303&gt;=W$88,$T303&lt;=W$89),SUMPRODUCT(W$5:W$81,TRANSPOSE(Data_All!$B146:$BZ146))%,"")</f>
        <v>0.18741089524023791</v>
      </c>
      <c r="X303" s="141">
        <f t="array" ref="X303">IF(AND($T303&gt;=X$88,$T303&lt;=X$89),SUMPRODUCT(X$5:X$81,TRANSPOSE(Data_All!$B146:$BZ146))%,"")</f>
        <v>0.22154721923627377</v>
      </c>
      <c r="Y303" s="141">
        <f t="array" ref="Y303">IF(AND($T303&gt;=Y$88,$T303&lt;=Y$89),SUMPRODUCT(Y$5:Y$81,TRANSPOSE(Data_All!$B146:$BZ146))%,"")</f>
        <v>0.25568354323230963</v>
      </c>
    </row>
    <row r="304" spans="20:25">
      <c r="T304" s="140">
        <f t="shared" si="6"/>
        <v>2010</v>
      </c>
      <c r="U304" s="141">
        <f t="array" ref="U304">IF(AND($T304&gt;=U$88,$T304&lt;=U$89),SUMPRODUCT(U$5:U$81,TRANSPOSE(Data_All!$B147:$BZ147))%,"")</f>
        <v>9.1335556700926829E-2</v>
      </c>
      <c r="V304" s="141">
        <f t="array" ref="V304">IF(AND($T304&gt;=V$88,$T304&lt;=V$89),SUMPRODUCT(V$5:V$81,TRANSPOSE(Data_All!$B147:$BZ147))%,"")</f>
        <v>0.11146183550921884</v>
      </c>
      <c r="W304" s="141">
        <f t="array" ref="W304">IF(AND($T304&gt;=W$88,$T304&lt;=W$89),SUMPRODUCT(W$5:W$81,TRANSPOSE(Data_All!$B147:$BZ147))%,"")</f>
        <v>0.12152497491336485</v>
      </c>
      <c r="X304" s="141">
        <f t="array" ref="X304">IF(AND($T304&gt;=X$88,$T304&lt;=X$89),SUMPRODUCT(X$5:X$81,TRANSPOSE(Data_All!$B147:$BZ147))%,"")</f>
        <v>0.13158811431751086</v>
      </c>
      <c r="Y304" s="141">
        <f t="array" ref="Y304">IF(AND($T304&gt;=Y$88,$T304&lt;=Y$89),SUMPRODUCT(Y$5:Y$81,TRANSPOSE(Data_All!$B147:$BZ147))%,"")</f>
        <v>0.14165125372165688</v>
      </c>
    </row>
    <row r="305" spans="20:25">
      <c r="T305" s="140">
        <f t="shared" si="6"/>
        <v>2011</v>
      </c>
      <c r="U305" s="141">
        <f t="array" ref="U305">IF(AND($T305&gt;=U$88,$T305&lt;=U$89),SUMPRODUCT(U$5:U$81,TRANSPOSE(Data_All!$B148:$BZ148))%,"")</f>
        <v>7.6787525491957664E-2</v>
      </c>
      <c r="V305" s="141">
        <f t="array" ref="V305">IF(AND($T305&gt;=V$88,$T305&lt;=V$89),SUMPRODUCT(V$5:V$81,TRANSPOSE(Data_All!$B148:$BZ148))%,"")</f>
        <v>6.473647464146759E-2</v>
      </c>
      <c r="W305" s="141">
        <f t="array" ref="W305">IF(AND($T305&gt;=W$88,$T305&lt;=W$89),SUMPRODUCT(W$5:W$81,TRANSPOSE(Data_All!$B148:$BZ148))%,"")</f>
        <v>5.8710949216222552E-2</v>
      </c>
      <c r="X305" s="141">
        <f t="array" ref="X305">IF(AND($T305&gt;=X$88,$T305&lt;=X$89),SUMPRODUCT(X$5:X$81,TRANSPOSE(Data_All!$B148:$BZ148))%,"")</f>
        <v>5.2685423790977515E-2</v>
      </c>
      <c r="Y305" s="141">
        <f t="array" ref="Y305">IF(AND($T305&gt;=Y$88,$T305&lt;=Y$89),SUMPRODUCT(Y$5:Y$81,TRANSPOSE(Data_All!$B148:$BZ148))%,"")</f>
        <v>4.6659898365732477E-2</v>
      </c>
    </row>
    <row r="306" spans="20:25">
      <c r="T306" s="140">
        <f t="shared" si="6"/>
        <v>2012</v>
      </c>
      <c r="U306" s="141">
        <f t="array" ref="U306">IF(AND($T306&gt;=U$88,$T306&lt;=U$89),SUMPRODUCT(U$5:U$81,TRANSPOSE(Data_All!$B149:$BZ149))%,"")</f>
        <v>6.5558583858449607E-2</v>
      </c>
      <c r="V306" s="141">
        <f t="array" ref="V306">IF(AND($T306&gt;=V$88,$T306&lt;=V$89),SUMPRODUCT(V$5:V$81,TRANSPOSE(Data_All!$B149:$BZ149))%,"")</f>
        <v>9.3195883481997269E-2</v>
      </c>
      <c r="W306" s="141">
        <f t="array" ref="W306">IF(AND($T306&gt;=W$88,$T306&lt;=W$89),SUMPRODUCT(W$5:W$81,TRANSPOSE(Data_All!$B149:$BZ149))%,"")</f>
        <v>0.1070145332937711</v>
      </c>
      <c r="X306" s="141">
        <f t="array" ref="X306">IF(AND($T306&gt;=X$88,$T306&lt;=X$89),SUMPRODUCT(X$5:X$81,TRANSPOSE(Data_All!$B149:$BZ149))%,"")</f>
        <v>0.1208331831055449</v>
      </c>
      <c r="Y306" s="141">
        <f t="array" ref="Y306">IF(AND($T306&gt;=Y$88,$T306&lt;=Y$89),SUMPRODUCT(Y$5:Y$81,TRANSPOSE(Data_All!$B149:$BZ149))%,"")</f>
        <v>0.13465183291731875</v>
      </c>
    </row>
    <row r="307" spans="20:25">
      <c r="T307" s="140">
        <f t="shared" si="6"/>
        <v>2013</v>
      </c>
      <c r="U307" s="141">
        <f t="array" ref="U307">IF(AND($T307&gt;=U$88,$T307&lt;=U$89),SUMPRODUCT(U$5:U$81,TRANSPOSE(Data_All!$B150:$BZ150))%,"")</f>
        <v>6.3968915472952026E-2</v>
      </c>
      <c r="V307" s="141">
        <f t="array" ref="V307">IF(AND($T307&gt;=V$88,$T307&lt;=V$89),SUMPRODUCT(V$5:V$81,TRANSPOSE(Data_All!$B150:$BZ150))%,"")</f>
        <v>0.11844269042447897</v>
      </c>
      <c r="W307" s="141">
        <f t="array" ref="W307">IF(AND($T307&gt;=W$88,$T307&lt;=W$89),SUMPRODUCT(W$5:W$81,TRANSPOSE(Data_All!$B150:$BZ150))%,"")</f>
        <v>0.14567957790024244</v>
      </c>
      <c r="X307" s="141">
        <f t="array" ref="X307">IF(AND($T307&gt;=X$88,$T307&lt;=X$89),SUMPRODUCT(X$5:X$81,TRANSPOSE(Data_All!$B150:$BZ150))%,"")</f>
        <v>0.17291646537600591</v>
      </c>
      <c r="Y307" s="141">
        <f t="array" ref="Y307">IF(AND($T307&gt;=Y$88,$T307&lt;=Y$89),SUMPRODUCT(Y$5:Y$81,TRANSPOSE(Data_All!$B150:$BZ150))%,"")</f>
        <v>0.20015335285176938</v>
      </c>
    </row>
    <row r="308" spans="20:25">
      <c r="T308" s="140">
        <f t="shared" si="6"/>
        <v>2014</v>
      </c>
      <c r="U308" s="141">
        <f t="array" ref="U308">IF(AND($T308&gt;=U$88,$T308&lt;=U$89),SUMPRODUCT(U$5:U$81,TRANSPOSE(Data_All!$B151:$BZ151))%,"")</f>
        <v>7.8934977752701765E-2</v>
      </c>
      <c r="V308" s="141">
        <f t="array" ref="V308">IF(AND($T308&gt;=V$88,$T308&lt;=V$89),SUMPRODUCT(V$5:V$81,TRANSPOSE(Data_All!$B151:$BZ151))%,"")</f>
        <v>9.4834620279438897E-2</v>
      </c>
      <c r="W308" s="141">
        <f t="array" ref="W308">IF(AND($T308&gt;=W$88,$T308&lt;=W$89),SUMPRODUCT(W$5:W$81,TRANSPOSE(Data_All!$B151:$BZ151))%,"")</f>
        <v>0.10278444154280747</v>
      </c>
      <c r="X308" s="141">
        <f t="array" ref="X308">IF(AND($T308&gt;=X$88,$T308&lt;=X$89),SUMPRODUCT(X$5:X$81,TRANSPOSE(Data_All!$B151:$BZ151))%,"")</f>
        <v>0.11073426280617601</v>
      </c>
      <c r="Y308" s="141">
        <f t="array" ref="Y308">IF(AND($T308&gt;=Y$88,$T308&lt;=Y$89),SUMPRODUCT(Y$5:Y$81,TRANSPOSE(Data_All!$B151:$BZ151))%,"")</f>
        <v>0.1186840840695446</v>
      </c>
    </row>
    <row r="309" spans="20:25">
      <c r="T309" s="140">
        <f t="shared" si="6"/>
        <v>2015</v>
      </c>
      <c r="U309" s="141">
        <f t="array" ref="U309">IF(AND($T309&gt;=U$88,$T309&lt;=U$89),SUMPRODUCT(U$5:U$81,TRANSPOSE(Data_All!$B152:$BZ152))%,"")</f>
        <v>-1.9123288495515134E-3</v>
      </c>
      <c r="V309" s="141">
        <f t="array" ref="V309">IF(AND($T309&gt;=V$88,$T309&lt;=V$89),SUMPRODUCT(V$5:V$81,TRANSPOSE(Data_All!$B152:$BZ152))%,"")</f>
        <v>-1.0680234892536795E-2</v>
      </c>
      <c r="W309" s="141">
        <f t="array" ref="W309">IF(AND($T309&gt;=W$88,$T309&lt;=W$89),SUMPRODUCT(W$5:W$81,TRANSPOSE(Data_All!$B152:$BZ152))%,"")</f>
        <v>-1.5064187914029435E-2</v>
      </c>
      <c r="X309" s="141">
        <f t="array" ref="X309">IF(AND($T309&gt;=X$88,$T309&lt;=X$89),SUMPRODUCT(X$5:X$81,TRANSPOSE(Data_All!$B152:$BZ152))%,"")</f>
        <v>-1.9448140935522072E-2</v>
      </c>
      <c r="Y309" s="141">
        <f t="array" ref="Y309">IF(AND($T309&gt;=Y$88,$T309&lt;=Y$89),SUMPRODUCT(Y$5:Y$81,TRANSPOSE(Data_All!$B152:$BZ152))%,"")</f>
        <v>-2.383209395701472E-2</v>
      </c>
    </row>
    <row r="310" spans="20:25">
      <c r="T310" s="140">
        <f t="shared" si="6"/>
        <v>2016</v>
      </c>
      <c r="U310" s="141" t="str">
        <f t="array" ref="U310">IF(AND($T310&gt;=U$88,$T310&lt;=U$89),SUMPRODUCT(U$5:U$81,TRANSPOSE(Data_All!$B153:$BZ153))%,"")</f>
        <v/>
      </c>
      <c r="V310" s="141" t="str">
        <f t="array" ref="V310">IF(AND($T310&gt;=V$88,$T310&lt;=V$89),SUMPRODUCT(V$5:V$81,TRANSPOSE(Data_All!$B153:$BZ153))%,"")</f>
        <v/>
      </c>
      <c r="W310" s="141" t="str">
        <f t="array" ref="W310">IF(AND($T310&gt;=W$88,$T310&lt;=W$89),SUMPRODUCT(W$5:W$81,TRANSPOSE(Data_All!$B153:$BZ153))%,"")</f>
        <v/>
      </c>
      <c r="X310" s="141" t="str">
        <f t="array" ref="X310">IF(AND($T310&gt;=X$88,$T310&lt;=X$89),SUMPRODUCT(X$5:X$81,TRANSPOSE(Data_All!$B153:$BZ153))%,"")</f>
        <v/>
      </c>
      <c r="Y310" s="141" t="str">
        <f t="array" ref="Y310">IF(AND($T310&gt;=Y$88,$T310&lt;=Y$89),SUMPRODUCT(Y$5:Y$81,TRANSPOSE(Data_All!$B153:$BZ153))%,"")</f>
        <v/>
      </c>
    </row>
  </sheetData>
  <sheetProtection selectLockedCells="1" selectUnlockedCells="1"/>
  <mergeCells count="3">
    <mergeCell ref="S1:X1"/>
    <mergeCell ref="A1:F1"/>
    <mergeCell ref="J1:O1"/>
  </mergeCells>
  <pageMargins left="0.74791666666666667" right="0.74791666666666667" top="0.98402777777777772" bottom="0.98402777777777772" header="0.51180555555555551" footer="0.51180555555555551"/>
  <pageSetup firstPageNumber="0" orientation="portrait" horizontalDpi="300" verticalDpi="300"/>
  <ignoredErrors>
    <ignoredError sqref="L100:P100 L85:P85 A33:B41 J46:K54 U82:Y83 C42:G43 L55:P55 C106:Y106 T5 AA5 C165:G207 L178:P207 C208:P209 U165:Y308 U309:Y310 AB5:AB8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7078549" r:id="rId3" name="Check Box 1685">
              <controlPr defaultSize="0" autoFill="0" autoLine="0" autoPict="0">
                <anchor moveWithCells="1">
                  <from>
                    <xdr:col>9</xdr:col>
                    <xdr:colOff>1231900</xdr:colOff>
                    <xdr:row>159</xdr:row>
                    <xdr:rowOff>101600</xdr:rowOff>
                  </from>
                  <to>
                    <xdr:col>10</xdr:col>
                    <xdr:colOff>546100</xdr:colOff>
                    <xdr:row>161</xdr:row>
                    <xdr:rowOff>12700</xdr:rowOff>
                  </to>
                </anchor>
              </controlPr>
            </control>
          </mc:Choice>
          <mc:Fallback/>
        </mc:AlternateContent>
        <mc:AlternateContent xmlns:mc="http://schemas.openxmlformats.org/markup-compatibility/2006">
          <mc:Choice Requires="x14">
            <control shapeId="7078551" r:id="rId4" name="Check Box 1687">
              <controlPr defaultSize="0" autoFill="0" autoLine="0" autoPict="0">
                <anchor moveWithCells="1">
                  <from>
                    <xdr:col>10</xdr:col>
                    <xdr:colOff>495300</xdr:colOff>
                    <xdr:row>159</xdr:row>
                    <xdr:rowOff>114300</xdr:rowOff>
                  </from>
                  <to>
                    <xdr:col>11</xdr:col>
                    <xdr:colOff>863600</xdr:colOff>
                    <xdr:row>161</xdr:row>
                    <xdr:rowOff>25400</xdr:rowOff>
                  </to>
                </anchor>
              </controlPr>
            </control>
          </mc:Choice>
          <mc:Fallback/>
        </mc:AlternateContent>
        <mc:AlternateContent xmlns:mc="http://schemas.openxmlformats.org/markup-compatibility/2006">
          <mc:Choice Requires="x14">
            <control shapeId="7078552" r:id="rId5" name="Check Box 1688">
              <controlPr defaultSize="0" autoFill="0" autoLine="0" autoPict="0">
                <anchor moveWithCells="1">
                  <from>
                    <xdr:col>11</xdr:col>
                    <xdr:colOff>889000</xdr:colOff>
                    <xdr:row>159</xdr:row>
                    <xdr:rowOff>127000</xdr:rowOff>
                  </from>
                  <to>
                    <xdr:col>13</xdr:col>
                    <xdr:colOff>330200</xdr:colOff>
                    <xdr:row>161</xdr:row>
                    <xdr:rowOff>38100</xdr:rowOff>
                  </to>
                </anchor>
              </controlPr>
            </control>
          </mc:Choice>
          <mc:Fallback/>
        </mc:AlternateContent>
        <mc:AlternateContent xmlns:mc="http://schemas.openxmlformats.org/markup-compatibility/2006">
          <mc:Choice Requires="x14">
            <control shapeId="7078553" r:id="rId6" name="Check Box 1689">
              <controlPr defaultSize="0" autoFill="0" autoLine="0" autoPict="0">
                <anchor moveWithCells="1">
                  <from>
                    <xdr:col>13</xdr:col>
                    <xdr:colOff>419100</xdr:colOff>
                    <xdr:row>159</xdr:row>
                    <xdr:rowOff>127000</xdr:rowOff>
                  </from>
                  <to>
                    <xdr:col>15</xdr:col>
                    <xdr:colOff>381000</xdr:colOff>
                    <xdr:row>161</xdr:row>
                    <xdr:rowOff>50800</xdr:rowOff>
                  </to>
                </anchor>
              </controlPr>
            </control>
          </mc:Choice>
          <mc:Fallback/>
        </mc:AlternateContent>
        <mc:AlternateContent xmlns:mc="http://schemas.openxmlformats.org/markup-compatibility/2006">
          <mc:Choice Requires="x14">
            <control shapeId="7078465" r:id="rId7" name="Check Box 1601">
              <controlPr defaultSize="0" autoFill="0" autoLine="0" autoPict="0">
                <anchor moveWithCells="1">
                  <from>
                    <xdr:col>0</xdr:col>
                    <xdr:colOff>1358900</xdr:colOff>
                    <xdr:row>159</xdr:row>
                    <xdr:rowOff>76200</xdr:rowOff>
                  </from>
                  <to>
                    <xdr:col>1</xdr:col>
                    <xdr:colOff>266700</xdr:colOff>
                    <xdr:row>161</xdr:row>
                    <xdr:rowOff>50800</xdr:rowOff>
                  </to>
                </anchor>
              </controlPr>
            </control>
          </mc:Choice>
          <mc:Fallback/>
        </mc:AlternateContent>
        <mc:AlternateContent xmlns:mc="http://schemas.openxmlformats.org/markup-compatibility/2006">
          <mc:Choice Requires="x14">
            <control shapeId="7078595" r:id="rId8" name="Check Box 1731">
              <controlPr defaultSize="0" autoFill="0" autoLine="0" autoPict="0">
                <anchor moveWithCells="1">
                  <from>
                    <xdr:col>1</xdr:col>
                    <xdr:colOff>635000</xdr:colOff>
                    <xdr:row>159</xdr:row>
                    <xdr:rowOff>101600</xdr:rowOff>
                  </from>
                  <to>
                    <xdr:col>2</xdr:col>
                    <xdr:colOff>889000</xdr:colOff>
                    <xdr:row>161</xdr:row>
                    <xdr:rowOff>12700</xdr:rowOff>
                  </to>
                </anchor>
              </controlPr>
            </control>
          </mc:Choice>
          <mc:Fallback/>
        </mc:AlternateContent>
        <mc:AlternateContent xmlns:mc="http://schemas.openxmlformats.org/markup-compatibility/2006">
          <mc:Choice Requires="x14">
            <control shapeId="7078606" r:id="rId9" name="Check Box 1742">
              <controlPr defaultSize="0" autoFill="0" autoLine="0" autoPict="0">
                <anchor moveWithCells="1">
                  <from>
                    <xdr:col>3</xdr:col>
                    <xdr:colOff>127000</xdr:colOff>
                    <xdr:row>159</xdr:row>
                    <xdr:rowOff>114300</xdr:rowOff>
                  </from>
                  <to>
                    <xdr:col>5</xdr:col>
                    <xdr:colOff>127000</xdr:colOff>
                    <xdr:row>161</xdr:row>
                    <xdr:rowOff>25400</xdr:rowOff>
                  </to>
                </anchor>
              </controlPr>
            </control>
          </mc:Choice>
          <mc:Fallback/>
        </mc:AlternateContent>
        <mc:AlternateContent xmlns:mc="http://schemas.openxmlformats.org/markup-compatibility/2006">
          <mc:Choice Requires="x14">
            <control shapeId="7078607" r:id="rId10" name="Check Box 1743">
              <controlPr defaultSize="0" autoFill="0" autoLine="0" autoPict="0">
                <anchor moveWithCells="1">
                  <from>
                    <xdr:col>5</xdr:col>
                    <xdr:colOff>330200</xdr:colOff>
                    <xdr:row>159</xdr:row>
                    <xdr:rowOff>127000</xdr:rowOff>
                  </from>
                  <to>
                    <xdr:col>7</xdr:col>
                    <xdr:colOff>241300</xdr:colOff>
                    <xdr:row>161</xdr:row>
                    <xdr:rowOff>38100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47"/>
  <sheetViews>
    <sheetView zoomScale="90" zoomScaleNormal="90" zoomScalePageLayoutView="90" workbookViewId="0">
      <selection activeCell="A7" sqref="A7"/>
    </sheetView>
  </sheetViews>
  <sheetFormatPr baseColWidth="10" defaultColWidth="8.83203125" defaultRowHeight="12" x14ac:dyDescent="0"/>
  <cols>
    <col min="1" max="1" width="24.5" customWidth="1"/>
    <col min="3" max="3" width="12.6640625" customWidth="1"/>
    <col min="4" max="4" width="10.6640625" customWidth="1"/>
    <col min="5" max="5" width="11.5" customWidth="1"/>
    <col min="6" max="6" width="9.83203125" customWidth="1"/>
    <col min="7" max="7" width="10.1640625" customWidth="1"/>
    <col min="9" max="9" width="10.1640625" customWidth="1"/>
    <col min="11" max="11" width="10.5" customWidth="1"/>
    <col min="12" max="12" width="12.5" customWidth="1"/>
    <col min="13" max="13" width="16" customWidth="1"/>
    <col min="14" max="14" width="12.83203125" customWidth="1"/>
    <col min="15" max="15" width="11.6640625" customWidth="1"/>
    <col min="16" max="16" width="10.5" customWidth="1"/>
    <col min="17" max="17" width="12.33203125" customWidth="1"/>
    <col min="19" max="19" width="10.83203125" customWidth="1"/>
    <col min="21" max="21" width="13.83203125" customWidth="1"/>
    <col min="25" max="26" width="11.1640625" customWidth="1"/>
    <col min="27" max="27" width="11.5" customWidth="1"/>
  </cols>
  <sheetData>
    <row r="1" spans="1:15" ht="13">
      <c r="A1" s="134"/>
      <c r="C1" s="634" t="s">
        <v>840</v>
      </c>
      <c r="D1" s="634"/>
      <c r="E1" s="634"/>
      <c r="F1" s="634"/>
      <c r="G1" s="634"/>
      <c r="H1" s="634"/>
      <c r="I1" s="634"/>
      <c r="J1" s="634"/>
      <c r="K1" s="634"/>
      <c r="L1" s="634"/>
      <c r="M1" s="634"/>
      <c r="N1" s="634"/>
    </row>
    <row r="2" spans="1:15" ht="13">
      <c r="A2" s="134"/>
      <c r="C2" s="144"/>
      <c r="D2" s="144"/>
      <c r="E2" s="144"/>
      <c r="F2" s="144"/>
      <c r="G2" s="144"/>
      <c r="H2" s="144"/>
      <c r="I2" s="144"/>
      <c r="J2" s="144"/>
      <c r="K2" s="144"/>
      <c r="L2" s="144"/>
      <c r="M2" s="23"/>
      <c r="N2" s="23"/>
    </row>
    <row r="3" spans="1:15" ht="13">
      <c r="A3" s="134"/>
      <c r="C3" s="635" t="s">
        <v>172</v>
      </c>
      <c r="D3" s="635"/>
      <c r="E3" s="145">
        <v>10000</v>
      </c>
      <c r="F3" s="144"/>
      <c r="G3" s="144"/>
      <c r="H3" s="144"/>
      <c r="I3" s="144"/>
      <c r="J3" s="144"/>
      <c r="K3" s="144"/>
      <c r="L3" s="144"/>
      <c r="M3" s="23"/>
      <c r="N3" s="23"/>
    </row>
    <row r="4" spans="1:15" ht="13">
      <c r="A4" s="134"/>
      <c r="C4" s="635" t="s">
        <v>904</v>
      </c>
      <c r="D4" s="635"/>
      <c r="E4" s="145">
        <v>1985</v>
      </c>
      <c r="F4" s="636" t="str">
        <f>IF(E4&lt;1985,"Starting Year has to be &gt;= 1985","")</f>
        <v/>
      </c>
      <c r="G4" s="636"/>
      <c r="H4" s="636"/>
      <c r="I4" s="636"/>
      <c r="J4" s="144"/>
      <c r="K4" s="144"/>
      <c r="L4" s="144"/>
      <c r="M4" s="23"/>
      <c r="N4" s="23"/>
    </row>
    <row r="5" spans="1:15" ht="13">
      <c r="A5" s="134"/>
      <c r="C5" s="635" t="s">
        <v>905</v>
      </c>
      <c r="D5" s="635"/>
      <c r="E5" s="145">
        <v>2015</v>
      </c>
      <c r="F5" s="636" t="str">
        <f>IF(E5&gt;2015,"Ending Year has to be &lt;= 2015","")</f>
        <v/>
      </c>
      <c r="G5" s="636"/>
      <c r="H5" s="636"/>
      <c r="I5" s="636"/>
      <c r="J5" s="144"/>
      <c r="K5" s="144"/>
      <c r="L5" s="144"/>
      <c r="M5" s="23"/>
      <c r="N5" s="23"/>
    </row>
    <row r="6" spans="1:15" ht="13">
      <c r="A6" s="134"/>
      <c r="C6" s="634" t="s">
        <v>173</v>
      </c>
      <c r="D6" s="634"/>
      <c r="E6" s="60">
        <v>0.05</v>
      </c>
      <c r="F6" s="8"/>
      <c r="G6" s="144"/>
      <c r="H6" s="144"/>
      <c r="I6" s="144"/>
      <c r="J6" s="144"/>
      <c r="K6" s="144"/>
      <c r="L6" s="144"/>
      <c r="M6" s="23"/>
      <c r="N6" s="23"/>
    </row>
    <row r="7" spans="1:15" ht="13">
      <c r="A7" s="134"/>
      <c r="C7" s="635" t="s">
        <v>198</v>
      </c>
      <c r="D7" s="635"/>
      <c r="E7">
        <f>MATCH(E4,B116:B141,0)-1</f>
        <v>0</v>
      </c>
      <c r="F7" s="144"/>
      <c r="G7" s="144"/>
      <c r="H7" s="144"/>
      <c r="I7" s="144"/>
      <c r="J7" s="144"/>
      <c r="K7" s="144"/>
      <c r="L7" s="144"/>
      <c r="M7" s="23"/>
      <c r="N7" s="23"/>
    </row>
    <row r="8" spans="1:15" ht="13">
      <c r="A8" s="134"/>
      <c r="C8" s="635" t="s">
        <v>213</v>
      </c>
      <c r="D8" s="635"/>
      <c r="E8">
        <f>E5-E4+1</f>
        <v>31</v>
      </c>
      <c r="F8" s="144"/>
      <c r="G8" s="144"/>
      <c r="H8" s="144"/>
      <c r="I8" s="144"/>
      <c r="J8" s="144"/>
      <c r="K8" s="144"/>
      <c r="L8" s="144"/>
      <c r="M8" s="23"/>
      <c r="N8" s="23"/>
    </row>
    <row r="9" spans="1:15" ht="13">
      <c r="A9" s="134"/>
    </row>
    <row r="10" spans="1:15" ht="36">
      <c r="C10" s="146" t="s">
        <v>199</v>
      </c>
      <c r="D10" s="146" t="s">
        <v>200</v>
      </c>
      <c r="E10" s="146" t="s">
        <v>201</v>
      </c>
      <c r="F10" s="146" t="s">
        <v>202</v>
      </c>
      <c r="G10" s="146" t="s">
        <v>176</v>
      </c>
      <c r="H10" s="146" t="s">
        <v>178</v>
      </c>
      <c r="I10" s="146" t="s">
        <v>179</v>
      </c>
      <c r="J10" s="146" t="s">
        <v>214</v>
      </c>
      <c r="K10" s="146" t="s">
        <v>207</v>
      </c>
      <c r="L10" s="146" t="s">
        <v>215</v>
      </c>
      <c r="M10" s="146" t="s">
        <v>216</v>
      </c>
      <c r="N10" s="146" t="s">
        <v>212</v>
      </c>
      <c r="O10" s="146" t="s">
        <v>217</v>
      </c>
    </row>
    <row r="11" spans="1:15">
      <c r="A11" s="147" t="str">
        <f>C44</f>
        <v>Wellington</v>
      </c>
      <c r="B11" s="147" t="s">
        <v>189</v>
      </c>
      <c r="C11" s="148">
        <f>HLOOKUP($B11,Compare_LazyPortfolios_85,COLUMN(),FALSE)</f>
        <v>0.11099032258064516</v>
      </c>
      <c r="D11" s="148">
        <f t="shared" ref="C11:O20" si="0">HLOOKUP($B11,Compare_LazyPortfolios_85,COLUMN(),FALSE)</f>
        <v>0.11199534917378996</v>
      </c>
      <c r="E11" s="148">
        <f t="shared" ca="1" si="0"/>
        <v>5.7140599091330235E-2</v>
      </c>
      <c r="F11" s="148">
        <f t="shared" ca="1" si="0"/>
        <v>6.9773748148826864E-2</v>
      </c>
      <c r="G11" s="148">
        <f t="shared" ca="1" si="0"/>
        <v>0.1051831028995831</v>
      </c>
      <c r="H11" s="149">
        <f t="shared" ca="1" si="0"/>
        <v>0.66745283134239086</v>
      </c>
      <c r="I11" s="149">
        <f t="shared" ca="1" si="0"/>
        <v>1.0673728233608777</v>
      </c>
      <c r="J11" s="149">
        <f t="shared" ca="1" si="0"/>
        <v>0.90622240696655054</v>
      </c>
      <c r="K11" s="149">
        <f t="shared" ca="1" si="0"/>
        <v>0.6501624417589994</v>
      </c>
      <c r="L11" s="507">
        <f t="shared" ca="1" si="0"/>
        <v>222055.3943695428</v>
      </c>
      <c r="M11" s="507">
        <f t="shared" ca="1" si="0"/>
        <v>222055.3943695428</v>
      </c>
      <c r="N11" s="507">
        <f t="shared" ca="1" si="0"/>
        <v>98858.188466812702</v>
      </c>
      <c r="O11" s="149">
        <f t="shared" ca="1" si="0"/>
        <v>22.205539436954279</v>
      </c>
    </row>
    <row r="12" spans="1:15" s="153" customFormat="1">
      <c r="A12" s="150" t="str">
        <f>D44</f>
        <v>Wellesley</v>
      </c>
      <c r="B12" s="150" t="s">
        <v>190</v>
      </c>
      <c r="C12" s="151">
        <f t="shared" si="0"/>
        <v>9.9890322580645161E-2</v>
      </c>
      <c r="D12" s="151">
        <f t="shared" si="0"/>
        <v>8.8899513890079704E-2</v>
      </c>
      <c r="E12" s="151">
        <f t="shared" ca="1" si="0"/>
        <v>3.8461593746858529E-2</v>
      </c>
      <c r="F12" s="151">
        <f t="shared" ca="1" si="0"/>
        <v>6.4409272526180422E-2</v>
      </c>
      <c r="G12" s="151">
        <f t="shared" ca="1" si="0"/>
        <v>9.6389508441502514E-2</v>
      </c>
      <c r="H12" s="152">
        <f t="shared" ca="1" si="0"/>
        <v>0.7159950613670194</v>
      </c>
      <c r="I12" s="152">
        <f t="shared" ca="1" si="0"/>
        <v>1.2971465225545966</v>
      </c>
      <c r="J12" s="152">
        <f t="shared" ca="1" si="0"/>
        <v>0.66033825917073574</v>
      </c>
      <c r="K12" s="152">
        <f t="shared" ca="1" si="0"/>
        <v>0.43453906901240241</v>
      </c>
      <c r="L12" s="508">
        <f t="shared" ca="1" si="0"/>
        <v>173344.87346841942</v>
      </c>
      <c r="M12" s="508">
        <f t="shared" ca="1" si="0"/>
        <v>173344.87346841942</v>
      </c>
      <c r="N12" s="508">
        <f t="shared" ca="1" si="0"/>
        <v>77172.456088043778</v>
      </c>
      <c r="O12" s="152">
        <f t="shared" ca="1" si="0"/>
        <v>17.334487346841943</v>
      </c>
    </row>
    <row r="13" spans="1:15">
      <c r="A13" s="147" t="str">
        <f>E44</f>
        <v>P3</v>
      </c>
      <c r="B13" s="147" t="s">
        <v>191</v>
      </c>
      <c r="C13" s="148">
        <f t="shared" si="0"/>
        <v>0.11157393430819916</v>
      </c>
      <c r="D13" s="148">
        <f t="shared" si="0"/>
        <v>0.14227075765594016</v>
      </c>
      <c r="E13" s="148">
        <f t="shared" ca="1" si="0"/>
        <v>7.9270675227240225E-2</v>
      </c>
      <c r="F13" s="148">
        <f t="shared" ca="1" si="0"/>
        <v>8.1752662248246705E-2</v>
      </c>
      <c r="G13" s="148">
        <f t="shared" ca="1" si="0"/>
        <v>0.10198229059162633</v>
      </c>
      <c r="H13" s="149">
        <f t="shared" ca="1" si="0"/>
        <v>0.52952009163377345</v>
      </c>
      <c r="I13" s="149">
        <f t="shared" ca="1" si="0"/>
        <v>0.77675551686281286</v>
      </c>
      <c r="J13" s="149">
        <f t="shared" ca="1" si="0"/>
        <v>0.99742455149809339</v>
      </c>
      <c r="K13" s="149">
        <f t="shared" ca="1" si="0"/>
        <v>0.67176575554919604</v>
      </c>
      <c r="L13" s="507">
        <f t="shared" ca="1" si="0"/>
        <v>202961.22360953136</v>
      </c>
      <c r="M13" s="507">
        <f t="shared" ca="1" si="0"/>
        <v>204677.45416024592</v>
      </c>
      <c r="N13" s="507">
        <f t="shared" ca="1" si="0"/>
        <v>90357.538721419056</v>
      </c>
      <c r="O13" s="149">
        <f t="shared" ca="1" si="0"/>
        <v>20.296122360953134</v>
      </c>
    </row>
    <row r="14" spans="1:15" s="153" customFormat="1">
      <c r="A14" s="150" t="s">
        <v>218</v>
      </c>
      <c r="B14" s="150" t="s">
        <v>192</v>
      </c>
      <c r="C14" s="151">
        <f t="shared" si="0"/>
        <v>0.11146622001590668</v>
      </c>
      <c r="D14" s="151">
        <f t="shared" si="0"/>
        <v>0.14846571336885697</v>
      </c>
      <c r="E14" s="151">
        <f t="shared" ca="1" si="0"/>
        <v>8.5539282505330452E-2</v>
      </c>
      <c r="F14" s="151">
        <f t="shared" ca="1" si="0"/>
        <v>7.9360615820947875E-2</v>
      </c>
      <c r="G14" s="151">
        <f t="shared" ca="1" si="0"/>
        <v>0.10092237421045125</v>
      </c>
      <c r="H14" s="152">
        <f t="shared" ca="1" si="0"/>
        <v>0.50669955123973753</v>
      </c>
      <c r="I14" s="152">
        <f t="shared" ca="1" si="0"/>
        <v>0.71857301365692849</v>
      </c>
      <c r="J14" s="152">
        <f t="shared" ca="1" si="0"/>
        <v>0.93123466625159002</v>
      </c>
      <c r="K14" s="152">
        <f t="shared" ca="1" si="0"/>
        <v>0.89227186690772464</v>
      </c>
      <c r="L14" s="508">
        <f t="shared" ca="1" si="0"/>
        <v>196996.1049990638</v>
      </c>
      <c r="M14" s="508">
        <f t="shared" ca="1" si="0"/>
        <v>184209.71600756509</v>
      </c>
      <c r="N14" s="508">
        <f t="shared" ca="1" si="0"/>
        <v>87701.891370474259</v>
      </c>
      <c r="O14" s="152">
        <f t="shared" ca="1" si="0"/>
        <v>19.699610499906381</v>
      </c>
    </row>
    <row r="15" spans="1:15">
      <c r="A15" s="147" t="s">
        <v>219</v>
      </c>
      <c r="B15" s="147" t="s">
        <v>193</v>
      </c>
      <c r="C15" s="148">
        <f t="shared" si="0"/>
        <v>0.11171436566010216</v>
      </c>
      <c r="D15" s="148">
        <f t="shared" si="0"/>
        <v>0.14878249827782541</v>
      </c>
      <c r="E15" s="148">
        <f t="shared" ca="1" si="0"/>
        <v>8.6387951711051791E-2</v>
      </c>
      <c r="F15" s="148">
        <f t="shared" ca="1" si="0"/>
        <v>7.8434099782432751E-2</v>
      </c>
      <c r="G15" s="148">
        <f t="shared" ca="1" si="0"/>
        <v>0.10107190534477706</v>
      </c>
      <c r="H15" s="149">
        <f t="shared" ca="1" si="0"/>
        <v>0.50728853767292681</v>
      </c>
      <c r="I15" s="149">
        <f t="shared" ca="1" si="0"/>
        <v>0.71438625916867193</v>
      </c>
      <c r="J15" s="149">
        <f t="shared" ca="1" si="0"/>
        <v>0.92299704202972543</v>
      </c>
      <c r="K15" s="149">
        <f t="shared" ca="1" si="0"/>
        <v>0.9028552991580745</v>
      </c>
      <c r="L15" s="507">
        <f t="shared" ca="1" si="0"/>
        <v>197827.2548557519</v>
      </c>
      <c r="M15" s="507">
        <f t="shared" ca="1" si="0"/>
        <v>184609.87880744715</v>
      </c>
      <c r="N15" s="507">
        <f t="shared" ca="1" si="0"/>
        <v>88071.91601864784</v>
      </c>
      <c r="O15" s="149">
        <f t="shared" ca="1" si="0"/>
        <v>19.782725485575192</v>
      </c>
    </row>
    <row r="16" spans="1:15" s="153" customFormat="1">
      <c r="A16" s="150" t="s">
        <v>220</v>
      </c>
      <c r="B16" s="150" t="s">
        <v>221</v>
      </c>
      <c r="C16" s="151">
        <f t="shared" si="0"/>
        <v>0.11152766948349162</v>
      </c>
      <c r="D16" s="151">
        <f t="shared" si="0"/>
        <v>0.14027423621121535</v>
      </c>
      <c r="E16" s="151">
        <f t="shared" ca="1" si="0"/>
        <v>8.0579159297289663E-2</v>
      </c>
      <c r="F16" s="151">
        <f t="shared" ca="1" si="0"/>
        <v>7.7910220265723321E-2</v>
      </c>
      <c r="G16" s="151">
        <f t="shared" ca="1" si="0"/>
        <v>0.10207104066883987</v>
      </c>
      <c r="H16" s="152">
        <f t="shared" ca="1" si="0"/>
        <v>0.5367269274787374</v>
      </c>
      <c r="I16" s="152">
        <f t="shared" ca="1" si="0"/>
        <v>0.76356802453709816</v>
      </c>
      <c r="J16" s="152">
        <f t="shared" ca="1" si="0"/>
        <v>0.94276402714529162</v>
      </c>
      <c r="K16" s="152">
        <f t="shared" ca="1" si="0"/>
        <v>0.86583089652749667</v>
      </c>
      <c r="L16" s="508">
        <f t="shared" ca="1" si="0"/>
        <v>203468.55721680107</v>
      </c>
      <c r="M16" s="508">
        <f t="shared" ca="1" si="0"/>
        <v>188268.02044545702</v>
      </c>
      <c r="N16" s="508">
        <f t="shared" ca="1" si="0"/>
        <v>90583.401648574742</v>
      </c>
      <c r="O16" s="152">
        <f t="shared" ca="1" si="0"/>
        <v>20.346855721680107</v>
      </c>
    </row>
    <row r="17" spans="1:15">
      <c r="A17" s="147" t="s">
        <v>222</v>
      </c>
      <c r="B17" s="147" t="s">
        <v>223</v>
      </c>
      <c r="C17" s="148">
        <f t="shared" si="0"/>
        <v>0.10033514545923475</v>
      </c>
      <c r="D17" s="148">
        <f t="shared" si="0"/>
        <v>0.11249239836353377</v>
      </c>
      <c r="E17" s="148">
        <f t="shared" ca="1" si="0"/>
        <v>6.3156848165367707E-2</v>
      </c>
      <c r="F17" s="148">
        <f t="shared" ca="1" si="0"/>
        <v>6.2252325807007798E-2</v>
      </c>
      <c r="G17" s="148">
        <f t="shared" ca="1" si="0"/>
        <v>9.4331282581837872E-2</v>
      </c>
      <c r="H17" s="149">
        <f t="shared" ca="1" si="0"/>
        <v>0.56978459624160072</v>
      </c>
      <c r="I17" s="149">
        <f t="shared" ca="1" si="0"/>
        <v>0.79698634307144245</v>
      </c>
      <c r="J17" s="149">
        <f t="shared" ca="1" si="0"/>
        <v>0.91449084379659207</v>
      </c>
      <c r="K17" s="149">
        <f t="shared" ca="1" si="0"/>
        <v>0.82383717297947345</v>
      </c>
      <c r="L17" s="507">
        <f t="shared" ca="1" si="0"/>
        <v>163535.95021490211</v>
      </c>
      <c r="M17" s="507">
        <f t="shared" ca="1" si="0"/>
        <v>177473.31053103547</v>
      </c>
      <c r="N17" s="507">
        <f t="shared" ca="1" si="0"/>
        <v>72805.562023588209</v>
      </c>
      <c r="O17" s="149">
        <f t="shared" ca="1" si="0"/>
        <v>16.353595021490211</v>
      </c>
    </row>
    <row r="18" spans="1:15" s="153" customFormat="1">
      <c r="A18" s="150" t="s">
        <v>224</v>
      </c>
      <c r="B18" s="150" t="s">
        <v>225</v>
      </c>
      <c r="C18" s="151">
        <f t="shared" si="0"/>
        <v>0.10728892319362993</v>
      </c>
      <c r="D18" s="151">
        <f t="shared" si="0"/>
        <v>0.13769491163461497</v>
      </c>
      <c r="E18" s="151">
        <f t="shared" ca="1" si="0"/>
        <v>7.5903296351450295E-2</v>
      </c>
      <c r="F18" s="151">
        <f t="shared" ca="1" si="0"/>
        <v>7.7838571333483042E-2</v>
      </c>
      <c r="G18" s="151">
        <f t="shared" ca="1" si="0"/>
        <v>9.8379432210969675E-2</v>
      </c>
      <c r="H18" s="152">
        <f t="shared" ca="1" si="0"/>
        <v>0.51599737908070487</v>
      </c>
      <c r="I18" s="152">
        <f t="shared" ca="1" si="0"/>
        <v>0.75476199252755238</v>
      </c>
      <c r="J18" s="152">
        <f t="shared" ca="1" si="0"/>
        <v>0.95801159700906868</v>
      </c>
      <c r="K18" s="152">
        <f t="shared" ca="1" si="0"/>
        <v>0.7961813361988066</v>
      </c>
      <c r="L18" s="508">
        <f t="shared" ca="1" si="0"/>
        <v>183368.25351727015</v>
      </c>
      <c r="M18" s="508">
        <f t="shared" ca="1" si="0"/>
        <v>185713.60365546987</v>
      </c>
      <c r="N18" s="508">
        <f t="shared" ca="1" si="0"/>
        <v>81634.825474552548</v>
      </c>
      <c r="O18" s="152">
        <f t="shared" ca="1" si="0"/>
        <v>18.336825351727015</v>
      </c>
    </row>
    <row r="19" spans="1:15">
      <c r="A19" s="147" t="s">
        <v>226</v>
      </c>
      <c r="B19" s="147" t="s">
        <v>227</v>
      </c>
      <c r="C19" s="148">
        <f t="shared" si="0"/>
        <v>0.10033514545923475</v>
      </c>
      <c r="D19" s="148">
        <f t="shared" si="0"/>
        <v>0.11249239836353377</v>
      </c>
      <c r="E19" s="148">
        <f t="shared" ca="1" si="0"/>
        <v>6.3156848165367707E-2</v>
      </c>
      <c r="F19" s="148">
        <f t="shared" ca="1" si="0"/>
        <v>6.2252325807007798E-2</v>
      </c>
      <c r="G19" s="148">
        <f t="shared" ca="1" si="0"/>
        <v>9.4331282581837872E-2</v>
      </c>
      <c r="H19" s="149">
        <f t="shared" ca="1" si="0"/>
        <v>0.56978459624160072</v>
      </c>
      <c r="I19" s="149">
        <f t="shared" ca="1" si="0"/>
        <v>0.79698634307144245</v>
      </c>
      <c r="J19" s="149">
        <f t="shared" ca="1" si="0"/>
        <v>0.91449084379659207</v>
      </c>
      <c r="K19" s="149">
        <f t="shared" ca="1" si="0"/>
        <v>0.82383717297947345</v>
      </c>
      <c r="L19" s="507">
        <f t="shared" ca="1" si="0"/>
        <v>163535.95021490211</v>
      </c>
      <c r="M19" s="507">
        <f t="shared" ca="1" si="0"/>
        <v>177473.31053103547</v>
      </c>
      <c r="N19" s="507">
        <f t="shared" ca="1" si="0"/>
        <v>72805.562023588209</v>
      </c>
      <c r="O19" s="149">
        <f t="shared" ca="1" si="0"/>
        <v>16.353595021490211</v>
      </c>
    </row>
    <row r="20" spans="1:15" s="153" customFormat="1">
      <c r="A20" s="154" t="str">
        <f>HLOOKUP($B20,Compare_LazyPortfolios_85,COLUMN()+1,FALSE)</f>
        <v>Dilbert's Portfolio</v>
      </c>
      <c r="B20" s="150" t="s">
        <v>228</v>
      </c>
      <c r="C20" s="151">
        <f t="shared" si="0"/>
        <v>0.10618916212884297</v>
      </c>
      <c r="D20" s="151">
        <f t="shared" si="0"/>
        <v>0.12655940078580333</v>
      </c>
      <c r="E20" s="151">
        <f t="shared" ca="1" si="0"/>
        <v>6.8728259646873346E-2</v>
      </c>
      <c r="F20" s="151">
        <f t="shared" ca="1" si="0"/>
        <v>7.1558150058811276E-2</v>
      </c>
      <c r="G20" s="151">
        <f t="shared" ca="1" si="0"/>
        <v>9.8698905460306685E-2</v>
      </c>
      <c r="H20" s="152">
        <f t="shared" ca="1" si="0"/>
        <v>0.55270846746352675</v>
      </c>
      <c r="I20" s="152">
        <f t="shared" ca="1" si="0"/>
        <v>0.81755543378434981</v>
      </c>
      <c r="J20" s="152">
        <f t="shared" ca="1" si="0"/>
        <v>0.99265967806067079</v>
      </c>
      <c r="K20" s="152">
        <f t="shared" ca="1" si="0"/>
        <v>0.66793730415476293</v>
      </c>
      <c r="L20" s="508">
        <f t="shared" ca="1" si="0"/>
        <v>185028.84925286681</v>
      </c>
      <c r="M20" s="508">
        <f t="shared" ca="1" si="0"/>
        <v>188497.18395364835</v>
      </c>
      <c r="N20" s="508">
        <f t="shared" ca="1" si="0"/>
        <v>82374.116166692198</v>
      </c>
      <c r="O20" s="152">
        <f t="shared" ca="1" si="0"/>
        <v>18.502884925286683</v>
      </c>
    </row>
    <row r="21" spans="1:15" ht="21.75" customHeight="1">
      <c r="A21" s="147" t="s">
        <v>229</v>
      </c>
      <c r="B21" s="147" t="s">
        <v>230</v>
      </c>
      <c r="C21" s="148">
        <f t="shared" ref="C21:O35" si="1">HLOOKUP($B21,Compare_LazyPortfolios_85,COLUMN(),FALSE)</f>
        <v>0.11374387173015632</v>
      </c>
      <c r="D21" s="148">
        <f t="shared" si="1"/>
        <v>0.14058340717423995</v>
      </c>
      <c r="E21" s="148">
        <f t="shared" ca="1" si="1"/>
        <v>7.4173023069156643E-2</v>
      </c>
      <c r="F21" s="148">
        <f t="shared" ca="1" si="1"/>
        <v>8.8289770482208652E-2</v>
      </c>
      <c r="G21" s="148">
        <f t="shared" ca="1" si="1"/>
        <v>0.1045854248282474</v>
      </c>
      <c r="H21" s="149">
        <f t="shared" ca="1" si="1"/>
        <v>0.55131088092548919</v>
      </c>
      <c r="I21" s="149">
        <f t="shared" ca="1" si="1"/>
        <v>0.85939427965236759</v>
      </c>
      <c r="J21" s="149">
        <f t="shared" ca="1" si="1"/>
        <v>0.84758627440834555</v>
      </c>
      <c r="K21" s="149">
        <f t="shared" ca="1" si="1"/>
        <v>0.92683564666053841</v>
      </c>
      <c r="L21" s="507">
        <f t="shared" ca="1" si="1"/>
        <v>218362.75181709483</v>
      </c>
      <c r="M21" s="507">
        <f t="shared" ca="1" si="1"/>
        <v>208130.77901229559</v>
      </c>
      <c r="N21" s="507">
        <f t="shared" ca="1" si="1"/>
        <v>97214.238521678868</v>
      </c>
      <c r="O21" s="149">
        <f t="shared" ref="O21:O27" ca="1" si="2">HLOOKUP($B21,Compare_LazyPortfolios_85,COLUMN(),FALSE)</f>
        <v>21.836275181709482</v>
      </c>
    </row>
    <row r="22" spans="1:15" s="153" customFormat="1" ht="26.25" customHeight="1">
      <c r="A22" s="150" t="s">
        <v>231</v>
      </c>
      <c r="B22" s="150" t="s">
        <v>232</v>
      </c>
      <c r="C22" s="151">
        <f t="shared" si="1"/>
        <v>0.10105155278471439</v>
      </c>
      <c r="D22" s="151">
        <f t="shared" si="1"/>
        <v>0.10448685296441655</v>
      </c>
      <c r="E22" s="151">
        <f t="shared" ca="1" si="1"/>
        <v>5.5630830412576951E-2</v>
      </c>
      <c r="F22" s="151">
        <f t="shared" ca="1" si="1"/>
        <v>6.0287401203235245E-2</v>
      </c>
      <c r="G22" s="151">
        <f t="shared" ca="1" si="1"/>
        <v>9.5965044816898493E-2</v>
      </c>
      <c r="H22" s="152">
        <f t="shared" ca="1" si="1"/>
        <v>0.62029663319812434</v>
      </c>
      <c r="I22" s="152">
        <f t="shared" ca="1" si="1"/>
        <v>0.9176845358248098</v>
      </c>
      <c r="J22" s="152">
        <f t="shared" ca="1" si="1"/>
        <v>0.89616610994878454</v>
      </c>
      <c r="K22" s="152">
        <f t="shared" ca="1" si="1"/>
        <v>0.74089314811378049</v>
      </c>
      <c r="L22" s="508">
        <f t="shared" ca="1" si="1"/>
        <v>171276.50273343979</v>
      </c>
      <c r="M22" s="508">
        <f t="shared" ca="1" si="1"/>
        <v>165780.86730459405</v>
      </c>
      <c r="N22" s="508">
        <f t="shared" ca="1" si="1"/>
        <v>76251.625569522104</v>
      </c>
      <c r="O22" s="152">
        <f t="shared" ca="1" si="2"/>
        <v>17.127650273343978</v>
      </c>
    </row>
    <row r="23" spans="1:15" ht="20">
      <c r="A23" s="147" t="s">
        <v>233</v>
      </c>
      <c r="B23" s="147" t="s">
        <v>234</v>
      </c>
      <c r="C23" s="148">
        <f t="shared" si="1"/>
        <v>0.10909840203910583</v>
      </c>
      <c r="D23" s="148">
        <f t="shared" si="1"/>
        <v>0.11653108092600253</v>
      </c>
      <c r="E23" s="148">
        <f t="shared" ca="1" si="1"/>
        <v>5.7275477475823504E-2</v>
      </c>
      <c r="F23" s="148">
        <f t="shared" ca="1" si="1"/>
        <v>7.7013028177268697E-2</v>
      </c>
      <c r="G23" s="148">
        <f t="shared" ca="1" si="1"/>
        <v>0.10290345884326313</v>
      </c>
      <c r="H23" s="149">
        <f t="shared" ca="1" si="1"/>
        <v>0.62523827791447784</v>
      </c>
      <c r="I23" s="149">
        <f t="shared" ca="1" si="1"/>
        <v>1.0318273132520248</v>
      </c>
      <c r="J23" s="149">
        <f t="shared" ca="1" si="1"/>
        <v>0.79989131449768125</v>
      </c>
      <c r="K23" s="149">
        <f t="shared" ca="1" si="1"/>
        <v>0.93611230883132279</v>
      </c>
      <c r="L23" s="507">
        <f t="shared" ca="1" si="1"/>
        <v>208287.14182702932</v>
      </c>
      <c r="M23" s="507">
        <f t="shared" ca="1" si="1"/>
        <v>198767.71303701299</v>
      </c>
      <c r="N23" s="507">
        <f t="shared" ca="1" si="1"/>
        <v>92728.616570705766</v>
      </c>
      <c r="O23" s="149">
        <f t="shared" ca="1" si="2"/>
        <v>20.828714182702932</v>
      </c>
    </row>
    <row r="24" spans="1:15" s="153" customFormat="1" ht="22.5" customHeight="1">
      <c r="A24" s="150" t="s">
        <v>235</v>
      </c>
      <c r="B24" s="150" t="s">
        <v>236</v>
      </c>
      <c r="C24" s="151">
        <f t="shared" si="1"/>
        <v>0.10654992205969059</v>
      </c>
      <c r="D24" s="151">
        <f t="shared" si="1"/>
        <v>0.11835936347231361</v>
      </c>
      <c r="E24" s="151">
        <f t="shared" ca="1" si="1"/>
        <v>6.6289434594569818E-2</v>
      </c>
      <c r="F24" s="151">
        <f t="shared" ca="1" si="1"/>
        <v>6.6887060324402101E-2</v>
      </c>
      <c r="G24" s="151">
        <f t="shared" ca="1" si="1"/>
        <v>9.9857046201167421E-2</v>
      </c>
      <c r="H24" s="152">
        <f t="shared" ca="1" si="1"/>
        <v>0.59404858491587187</v>
      </c>
      <c r="I24" s="152">
        <f t="shared" ca="1" si="1"/>
        <v>0.85307594499113359</v>
      </c>
      <c r="J24" s="152">
        <f t="shared" ca="1" si="1"/>
        <v>0.8776055301195409</v>
      </c>
      <c r="K24" s="152">
        <f t="shared" ca="1" si="1"/>
        <v>0.87213942134154054</v>
      </c>
      <c r="L24" s="508">
        <f t="shared" ca="1" si="1"/>
        <v>191171.64839273092</v>
      </c>
      <c r="M24" s="508">
        <f t="shared" ca="1" si="1"/>
        <v>189561.00053280382</v>
      </c>
      <c r="N24" s="508">
        <f t="shared" ca="1" si="1"/>
        <v>85108.866190696819</v>
      </c>
      <c r="O24" s="152">
        <f t="shared" ca="1" si="2"/>
        <v>19.117164839273091</v>
      </c>
    </row>
    <row r="25" spans="1:15">
      <c r="A25" s="147" t="s">
        <v>237</v>
      </c>
      <c r="B25" s="147" t="s">
        <v>238</v>
      </c>
      <c r="C25" s="148">
        <f t="shared" si="1"/>
        <v>0.11298090042553957</v>
      </c>
      <c r="D25" s="148">
        <f t="shared" si="1"/>
        <v>0.11838787730900133</v>
      </c>
      <c r="E25" s="148">
        <f t="shared" ca="1" si="1"/>
        <v>6.2170803167499608E-2</v>
      </c>
      <c r="F25" s="148">
        <f t="shared" ca="1" si="1"/>
        <v>7.5172240517205252E-2</v>
      </c>
      <c r="G25" s="148">
        <f t="shared" ca="1" si="1"/>
        <v>0.10641982562858154</v>
      </c>
      <c r="H25" s="149">
        <f t="shared" ca="1" si="1"/>
        <v>0.64822676521023592</v>
      </c>
      <c r="I25" s="149">
        <f t="shared" ca="1" si="1"/>
        <v>1.0130301880748975</v>
      </c>
      <c r="J25" s="149">
        <f t="shared" ca="1" si="1"/>
        <v>0.86256730587124508</v>
      </c>
      <c r="K25" s="149">
        <f t="shared" ca="1" si="1"/>
        <v>0.85342979811038111</v>
      </c>
      <c r="L25" s="507">
        <f t="shared" ca="1" si="1"/>
        <v>229889.12345498061</v>
      </c>
      <c r="M25" s="507">
        <f t="shared" ca="1" si="1"/>
        <v>203531.5403885573</v>
      </c>
      <c r="N25" s="507">
        <f t="shared" ca="1" si="1"/>
        <v>102345.73385396667</v>
      </c>
      <c r="O25" s="149">
        <f t="shared" ca="1" si="2"/>
        <v>22.988912345498061</v>
      </c>
    </row>
    <row r="26" spans="1:15" s="153" customFormat="1">
      <c r="A26" s="150" t="s">
        <v>239</v>
      </c>
      <c r="B26" s="150" t="s">
        <v>240</v>
      </c>
      <c r="C26" s="151">
        <f t="shared" si="1"/>
        <v>0.11709913783945824</v>
      </c>
      <c r="D26" s="151">
        <f t="shared" si="1"/>
        <v>0.16378796477351173</v>
      </c>
      <c r="E26" s="151">
        <f t="shared" ca="1" si="1"/>
        <v>9.7103733195944106E-2</v>
      </c>
      <c r="F26" s="151">
        <f t="shared" ca="1" si="1"/>
        <v>8.2949775702038986E-2</v>
      </c>
      <c r="G26" s="151">
        <f t="shared" ca="1" si="1"/>
        <v>0.1039721386099397</v>
      </c>
      <c r="H26" s="152">
        <f t="shared" ca="1" si="1"/>
        <v>0.49368968149676817</v>
      </c>
      <c r="I26" s="152">
        <f t="shared" ca="1" si="1"/>
        <v>0.69100471867605684</v>
      </c>
      <c r="J26" s="152">
        <f t="shared" ca="1" si="1"/>
        <v>0.93779624550136298</v>
      </c>
      <c r="K26" s="152">
        <f t="shared" ca="1" si="1"/>
        <v>0.88753740377759893</v>
      </c>
      <c r="L26" s="508">
        <f t="shared" ca="1" si="1"/>
        <v>214635.47559736462</v>
      </c>
      <c r="M26" s="508">
        <f t="shared" ca="1" si="1"/>
        <v>200790.1490140447</v>
      </c>
      <c r="N26" s="508">
        <f t="shared" ca="1" si="1"/>
        <v>95554.869804048183</v>
      </c>
      <c r="O26" s="152">
        <f t="shared" ca="1" si="2"/>
        <v>21.463547559736462</v>
      </c>
    </row>
    <row r="27" spans="1:15">
      <c r="A27" s="147" t="s">
        <v>241</v>
      </c>
      <c r="B27" s="147" t="s">
        <v>242</v>
      </c>
      <c r="C27" s="148">
        <f t="shared" si="1"/>
        <v>0.10122280676304941</v>
      </c>
      <c r="D27" s="148">
        <f t="shared" si="1"/>
        <v>0.12464390533515439</v>
      </c>
      <c r="E27" s="148">
        <f t="shared" ca="1" si="1"/>
        <v>7.0030595744045535E-2</v>
      </c>
      <c r="F27" s="148">
        <f t="shared" ca="1" si="1"/>
        <v>7.4927073636203614E-2</v>
      </c>
      <c r="G27" s="148">
        <f t="shared" ca="1" si="1"/>
        <v>9.3916349012458378E-2</v>
      </c>
      <c r="H27" s="149">
        <f t="shared" ca="1" si="1"/>
        <v>0.52135799910067515</v>
      </c>
      <c r="I27" s="149">
        <f t="shared" ca="1" si="1"/>
        <v>0.73143468535186229</v>
      </c>
      <c r="J27" s="149">
        <f t="shared" ca="1" si="1"/>
        <v>0.85253540108245163</v>
      </c>
      <c r="K27" s="149">
        <f t="shared" ca="1" si="1"/>
        <v>0.91875913096685535</v>
      </c>
      <c r="L27" s="507">
        <f t="shared" ca="1" si="1"/>
        <v>161624.61583010721</v>
      </c>
      <c r="M27" s="507">
        <f t="shared" ca="1" si="1"/>
        <v>157453.79424063332</v>
      </c>
      <c r="N27" s="507">
        <f t="shared" ca="1" si="1"/>
        <v>71954.643470712559</v>
      </c>
      <c r="O27" s="149">
        <f t="shared" ca="1" si="2"/>
        <v>16.162461583010721</v>
      </c>
    </row>
    <row r="28" spans="1:15" s="153" customFormat="1" ht="24.75" customHeight="1">
      <c r="A28" s="150" t="s">
        <v>243</v>
      </c>
      <c r="B28" s="150" t="s">
        <v>244</v>
      </c>
      <c r="C28" s="151">
        <f t="shared" si="1"/>
        <v>9.6660345991108149E-2</v>
      </c>
      <c r="D28" s="151">
        <f t="shared" si="1"/>
        <v>9.4247992176169165E-2</v>
      </c>
      <c r="E28" s="151">
        <f t="shared" ca="1" si="1"/>
        <v>5.2554104960928875E-2</v>
      </c>
      <c r="F28" s="151">
        <f t="shared" ca="1" si="1"/>
        <v>5.0649346988027276E-2</v>
      </c>
      <c r="G28" s="151">
        <f t="shared" ca="1" si="1"/>
        <v>9.2466740192199026E-2</v>
      </c>
      <c r="H28" s="152">
        <f t="shared" ca="1" si="1"/>
        <v>0.64109202666883502</v>
      </c>
      <c r="I28" s="152">
        <f t="shared" ca="1" si="1"/>
        <v>0.88785349928036217</v>
      </c>
      <c r="J28" s="152">
        <f t="shared" ca="1" si="1"/>
        <v>0.93826383640934119</v>
      </c>
      <c r="K28" s="152">
        <f t="shared" ca="1" si="1"/>
        <v>0.76120908273258847</v>
      </c>
      <c r="L28" s="508">
        <f t="shared" ca="1" si="1"/>
        <v>155115.40832197227</v>
      </c>
      <c r="M28" s="508">
        <f t="shared" ca="1" si="1"/>
        <v>158137.45753986365</v>
      </c>
      <c r="N28" s="508">
        <f t="shared" ca="1" si="1"/>
        <v>69056.769881846252</v>
      </c>
      <c r="O28" s="152">
        <f t="shared" ca="1" si="1"/>
        <v>15.511540832197227</v>
      </c>
    </row>
    <row r="29" spans="1:15" ht="22.5" customHeight="1">
      <c r="A29" s="147" t="s">
        <v>245</v>
      </c>
      <c r="B29" s="147" t="s">
        <v>246</v>
      </c>
      <c r="C29" s="148">
        <f t="shared" si="1"/>
        <v>0.10527412537935954</v>
      </c>
      <c r="D29" s="148">
        <f t="shared" si="1"/>
        <v>0.13449850171666117</v>
      </c>
      <c r="E29" s="148">
        <f t="shared" ca="1" si="1"/>
        <v>7.5788337513072887E-2</v>
      </c>
      <c r="F29" s="148">
        <f t="shared" ca="1" si="1"/>
        <v>7.4231949619313911E-2</v>
      </c>
      <c r="G29" s="148">
        <f t="shared" ca="1" si="1"/>
        <v>9.6738613201730717E-2</v>
      </c>
      <c r="H29" s="149">
        <f t="shared" ca="1" si="1"/>
        <v>0.5132801839486093</v>
      </c>
      <c r="I29" s="149">
        <f t="shared" ca="1" si="1"/>
        <v>0.72932230991114155</v>
      </c>
      <c r="J29" s="149">
        <f t="shared" ca="1" si="1"/>
        <v>0.84509856098029168</v>
      </c>
      <c r="K29" s="149">
        <f t="shared" ca="1" si="1"/>
        <v>0.95123887158951759</v>
      </c>
      <c r="L29" s="507">
        <f t="shared" ca="1" si="1"/>
        <v>175064.12453309522</v>
      </c>
      <c r="M29" s="507">
        <f t="shared" ca="1" si="1"/>
        <v>162449.12816333104</v>
      </c>
      <c r="N29" s="507">
        <f t="shared" ca="1" si="1"/>
        <v>77937.859902060649</v>
      </c>
      <c r="O29" s="149">
        <f ca="1">HLOOKUP($B29,Compare_LazyPortfolios_85,COLUMN(),FALSE)</f>
        <v>17.506412453309522</v>
      </c>
    </row>
    <row r="30" spans="1:15" s="153" customFormat="1">
      <c r="A30" s="150" t="s">
        <v>247</v>
      </c>
      <c r="B30" s="150" t="s">
        <v>248</v>
      </c>
      <c r="C30" s="151">
        <f t="shared" si="1"/>
        <v>9.4257732364941421E-2</v>
      </c>
      <c r="D30" s="151">
        <f t="shared" si="1"/>
        <v>0.1067975475539808</v>
      </c>
      <c r="E30" s="151">
        <f t="shared" ca="1" si="1"/>
        <v>5.9288580782333983E-2</v>
      </c>
      <c r="F30" s="151">
        <f t="shared" ca="1" si="1"/>
        <v>5.8345073922880741E-2</v>
      </c>
      <c r="G30" s="151">
        <f t="shared" ca="1" si="1"/>
        <v>8.8918857704443965E-2</v>
      </c>
      <c r="H30" s="152">
        <f t="shared" ca="1" si="1"/>
        <v>0.54326175100787188</v>
      </c>
      <c r="I30" s="152">
        <f t="shared" ca="1" si="1"/>
        <v>0.74647987489234591</v>
      </c>
      <c r="J30" s="152">
        <f t="shared" ca="1" si="1"/>
        <v>0.83149071704114241</v>
      </c>
      <c r="K30" s="152">
        <f t="shared" ca="1" si="1"/>
        <v>0.92233746040929032</v>
      </c>
      <c r="L30" s="508">
        <f t="shared" ca="1" si="1"/>
        <v>140236.50708868436</v>
      </c>
      <c r="M30" s="508">
        <f t="shared" ca="1" si="1"/>
        <v>136138.29100687755</v>
      </c>
      <c r="N30" s="508">
        <f t="shared" ca="1" si="1"/>
        <v>62432.741555600682</v>
      </c>
      <c r="O30" s="152">
        <f t="shared" ca="1" si="1"/>
        <v>14.023650708868436</v>
      </c>
    </row>
    <row r="31" spans="1:15">
      <c r="A31" s="147" t="s">
        <v>249</v>
      </c>
      <c r="B31" s="147" t="s">
        <v>250</v>
      </c>
      <c r="C31" s="148">
        <f t="shared" si="1"/>
        <v>9.997464814815156E-2</v>
      </c>
      <c r="D31" s="148">
        <f t="shared" si="1"/>
        <v>0.10821768535100017</v>
      </c>
      <c r="E31" s="148">
        <f t="shared" ca="1" si="1"/>
        <v>6.036343674894129E-2</v>
      </c>
      <c r="F31" s="148">
        <f t="shared" ca="1" si="1"/>
        <v>6.8762152944502219E-2</v>
      </c>
      <c r="G31" s="148">
        <f t="shared" ca="1" si="1"/>
        <v>9.4404672827575142E-2</v>
      </c>
      <c r="H31" s="149">
        <f t="shared" ca="1" si="1"/>
        <v>0.5889604667112126</v>
      </c>
      <c r="I31" s="149">
        <f t="shared" ca="1" si="1"/>
        <v>0.82789600525897922</v>
      </c>
      <c r="J31" s="149">
        <f t="shared" ca="1" si="1"/>
        <v>0.82315682307669891</v>
      </c>
      <c r="K31" s="149">
        <f t="shared" ca="1" si="1"/>
        <v>0.86157200467214334</v>
      </c>
      <c r="L31" s="507">
        <f t="shared" ca="1" si="1"/>
        <v>163876.28113410567</v>
      </c>
      <c r="M31" s="507">
        <f t="shared" ca="1" si="1"/>
        <v>156230.12373857971</v>
      </c>
      <c r="N31" s="507">
        <f t="shared" ca="1" si="1"/>
        <v>72957.076010659875</v>
      </c>
      <c r="O31" s="149">
        <f ca="1">HLOOKUP($B31,Compare_LazyPortfolios_85,COLUMN(),FALSE)</f>
        <v>16.387628113410567</v>
      </c>
    </row>
    <row r="32" spans="1:15" s="153" customFormat="1">
      <c r="A32" s="150" t="s">
        <v>251</v>
      </c>
      <c r="B32" s="150" t="s">
        <v>252</v>
      </c>
      <c r="C32" s="151">
        <f t="shared" si="1"/>
        <v>0.10475769660495086</v>
      </c>
      <c r="D32" s="151">
        <f t="shared" si="1"/>
        <v>0.1142564473329066</v>
      </c>
      <c r="E32" s="151">
        <f t="shared" ca="1" si="1"/>
        <v>6.6159159554028374E-2</v>
      </c>
      <c r="F32" s="151">
        <f t="shared" ca="1" si="1"/>
        <v>6.5983048312051096E-2</v>
      </c>
      <c r="G32" s="151">
        <f t="shared" ca="1" si="1"/>
        <v>9.8416840750729762E-2</v>
      </c>
      <c r="H32" s="152">
        <f t="shared" ca="1" si="1"/>
        <v>0.59969470893742383</v>
      </c>
      <c r="I32" s="152">
        <f t="shared" ca="1" si="1"/>
        <v>0.82766614591337739</v>
      </c>
      <c r="J32" s="152">
        <f t="shared" ca="1" si="1"/>
        <v>0.79407903011126446</v>
      </c>
      <c r="K32" s="152">
        <f t="shared" ca="1" si="1"/>
        <v>0.83284007006009575</v>
      </c>
      <c r="L32" s="508">
        <f t="shared" ca="1" si="1"/>
        <v>183561.951942716</v>
      </c>
      <c r="M32" s="508">
        <f t="shared" ca="1" si="1"/>
        <v>169640.73403532745</v>
      </c>
      <c r="N32" s="508">
        <f t="shared" ca="1" si="1"/>
        <v>81721.05925195216</v>
      </c>
      <c r="O32" s="152">
        <f t="shared" ca="1" si="1"/>
        <v>18.356195194271599</v>
      </c>
    </row>
    <row r="33" spans="1:30">
      <c r="A33" s="147" t="s">
        <v>253</v>
      </c>
      <c r="B33" s="147" t="s">
        <v>254</v>
      </c>
      <c r="C33" s="148">
        <f t="shared" si="1"/>
        <v>7.5362639161776851E-2</v>
      </c>
      <c r="D33" s="148">
        <f t="shared" si="1"/>
        <v>5.969861927704468E-2</v>
      </c>
      <c r="E33" s="148">
        <f t="shared" ca="1" si="1"/>
        <v>2.8703417251745026E-2</v>
      </c>
      <c r="F33" s="148">
        <f t="shared" ca="1" si="1"/>
        <v>4.0010505367467461E-2</v>
      </c>
      <c r="G33" s="148">
        <f t="shared" ca="1" si="1"/>
        <v>7.3752340411591621E-2</v>
      </c>
      <c r="H33" s="149">
        <f t="shared" ca="1" si="1"/>
        <v>0.65535735931838268</v>
      </c>
      <c r="I33" s="149">
        <f t="shared" ca="1" si="1"/>
        <v>0.88361044050373216</v>
      </c>
      <c r="J33" s="149">
        <f t="shared" ca="1" si="1"/>
        <v>0.56702378158306632</v>
      </c>
      <c r="K33" s="149">
        <f t="shared" ca="1" si="1"/>
        <v>0.6442687398383673</v>
      </c>
      <c r="L33" s="507">
        <f t="shared" ca="1" si="1"/>
        <v>90787.869987270984</v>
      </c>
      <c r="M33" s="507">
        <f t="shared" ca="1" si="1"/>
        <v>109710.80721072259</v>
      </c>
      <c r="N33" s="507">
        <f t="shared" ca="1" si="1"/>
        <v>40418.402746684857</v>
      </c>
      <c r="O33" s="149">
        <f ca="1">HLOOKUP($B33,Compare_LazyPortfolios_85,COLUMN(),FALSE)</f>
        <v>9.0787869987270984</v>
      </c>
    </row>
    <row r="34" spans="1:30" s="153" customFormat="1">
      <c r="A34" s="150" t="s">
        <v>255</v>
      </c>
      <c r="B34" s="150" t="s">
        <v>256</v>
      </c>
      <c r="C34" s="151">
        <f t="shared" si="1"/>
        <v>0.10558440461746715</v>
      </c>
      <c r="D34" s="151">
        <f t="shared" si="1"/>
        <v>0.11414332809684849</v>
      </c>
      <c r="E34" s="151">
        <f t="shared" ca="1" si="1"/>
        <v>6.1192497340258459E-2</v>
      </c>
      <c r="F34" s="151">
        <f t="shared" ca="1" si="1"/>
        <v>6.977690016631069E-2</v>
      </c>
      <c r="G34" s="151">
        <f t="shared" ca="1" si="1"/>
        <v>9.9477740604141385E-2</v>
      </c>
      <c r="H34" s="152">
        <f t="shared" ca="1" si="1"/>
        <v>0.60753174185712611</v>
      </c>
      <c r="I34" s="152">
        <f t="shared" ca="1" si="1"/>
        <v>0.90835326279285955</v>
      </c>
      <c r="J34" s="152">
        <f t="shared" ca="1" si="1"/>
        <v>0.82543319209859933</v>
      </c>
      <c r="K34" s="152">
        <f t="shared" ca="1" si="1"/>
        <v>0.85233556080963624</v>
      </c>
      <c r="L34" s="508">
        <f t="shared" ca="1" si="1"/>
        <v>189138.38681842518</v>
      </c>
      <c r="M34" s="508">
        <f t="shared" ca="1" si="1"/>
        <v>185316.86495707874</v>
      </c>
      <c r="N34" s="508">
        <f t="shared" ca="1" si="1"/>
        <v>84203.666132460246</v>
      </c>
      <c r="O34" s="152">
        <f t="shared" ca="1" si="1"/>
        <v>18.913838681842517</v>
      </c>
    </row>
    <row r="35" spans="1:30" ht="20">
      <c r="A35" s="147" t="s">
        <v>257</v>
      </c>
      <c r="B35" s="147" t="s">
        <v>258</v>
      </c>
      <c r="C35" s="148">
        <f t="shared" si="1"/>
        <v>9.1644059095005684E-2</v>
      </c>
      <c r="D35" s="148">
        <f t="shared" si="1"/>
        <v>8.4452678780779139E-2</v>
      </c>
      <c r="E35" s="148">
        <f t="shared" ca="1" si="1"/>
        <v>3.8044026558219632E-2</v>
      </c>
      <c r="F35" s="148">
        <f t="shared" ca="1" si="1"/>
        <v>6.0576899702750667E-2</v>
      </c>
      <c r="G35" s="148">
        <f t="shared" ca="1" si="1"/>
        <v>8.8448748851869707E-2</v>
      </c>
      <c r="H35" s="149">
        <f t="shared" ca="1" si="1"/>
        <v>0.65605200708205624</v>
      </c>
      <c r="I35" s="149">
        <f t="shared" ca="1" si="1"/>
        <v>1.0946280628649241</v>
      </c>
      <c r="J35" s="149">
        <f t="shared" ca="1" si="1"/>
        <v>0.60022518550076331</v>
      </c>
      <c r="K35" s="149">
        <f t="shared" ca="1" si="1"/>
        <v>0.79321378527331543</v>
      </c>
      <c r="L35" s="507">
        <f t="shared" ca="1" si="1"/>
        <v>138371.77727962242</v>
      </c>
      <c r="M35" s="507">
        <f t="shared" ca="1" si="1"/>
        <v>178162.98602927694</v>
      </c>
      <c r="N35" s="507">
        <f t="shared" ca="1" si="1"/>
        <v>61602.571176595455</v>
      </c>
      <c r="O35" s="149">
        <f ca="1">HLOOKUP($B35,Compare_LazyPortfolios_85,COLUMN(),FALSE)</f>
        <v>13.83717772796224</v>
      </c>
    </row>
    <row r="43" spans="1:30">
      <c r="A43" s="155"/>
      <c r="B43" s="155"/>
      <c r="C43" s="156" t="s">
        <v>189</v>
      </c>
      <c r="D43" s="156" t="s">
        <v>190</v>
      </c>
      <c r="E43" s="156" t="s">
        <v>191</v>
      </c>
      <c r="F43" s="156" t="s">
        <v>192</v>
      </c>
      <c r="G43" s="156" t="s">
        <v>193</v>
      </c>
      <c r="H43" s="156" t="s">
        <v>221</v>
      </c>
      <c r="I43" s="156" t="s">
        <v>223</v>
      </c>
      <c r="J43" s="156" t="s">
        <v>225</v>
      </c>
      <c r="K43" s="156" t="s">
        <v>227</v>
      </c>
      <c r="L43" s="156" t="s">
        <v>228</v>
      </c>
      <c r="M43" s="156" t="s">
        <v>230</v>
      </c>
      <c r="N43" s="156" t="s">
        <v>232</v>
      </c>
      <c r="O43" s="156" t="s">
        <v>234</v>
      </c>
      <c r="P43" s="156" t="s">
        <v>236</v>
      </c>
      <c r="Q43" s="156" t="s">
        <v>238</v>
      </c>
      <c r="R43" s="156" t="s">
        <v>240</v>
      </c>
      <c r="S43" s="156" t="s">
        <v>242</v>
      </c>
      <c r="T43" s="156" t="s">
        <v>244</v>
      </c>
      <c r="U43" s="156" t="s">
        <v>246</v>
      </c>
      <c r="V43" s="156" t="s">
        <v>248</v>
      </c>
      <c r="W43" s="156" t="s">
        <v>250</v>
      </c>
      <c r="X43" s="156" t="s">
        <v>252</v>
      </c>
      <c r="Y43" s="156" t="s">
        <v>254</v>
      </c>
      <c r="Z43" s="156" t="s">
        <v>256</v>
      </c>
      <c r="AA43" s="156" t="s">
        <v>258</v>
      </c>
    </row>
    <row r="44" spans="1:30" ht="50">
      <c r="A44" s="155"/>
      <c r="B44" s="155"/>
      <c r="C44" s="156" t="s">
        <v>259</v>
      </c>
      <c r="D44" s="156" t="s">
        <v>260</v>
      </c>
      <c r="E44" s="156" t="s">
        <v>191</v>
      </c>
      <c r="F44" s="156" t="s">
        <v>261</v>
      </c>
      <c r="G44" s="156" t="s">
        <v>262</v>
      </c>
      <c r="H44" s="156" t="s">
        <v>263</v>
      </c>
      <c r="I44" s="156" t="s">
        <v>264</v>
      </c>
      <c r="J44" s="156" t="s">
        <v>265</v>
      </c>
      <c r="K44" s="156" t="s">
        <v>266</v>
      </c>
      <c r="L44" s="156" t="s">
        <v>267</v>
      </c>
      <c r="M44" s="156" t="s">
        <v>268</v>
      </c>
      <c r="N44" s="156" t="s">
        <v>269</v>
      </c>
      <c r="O44" s="156" t="s">
        <v>270</v>
      </c>
      <c r="P44" s="156" t="s">
        <v>271</v>
      </c>
      <c r="Q44" s="156" t="s">
        <v>272</v>
      </c>
      <c r="R44" s="156" t="s">
        <v>239</v>
      </c>
      <c r="S44" s="156" t="s">
        <v>273</v>
      </c>
      <c r="T44" s="156" t="s">
        <v>243</v>
      </c>
      <c r="U44" s="156" t="s">
        <v>245</v>
      </c>
      <c r="V44" s="156" t="s">
        <v>247</v>
      </c>
      <c r="W44" s="156" t="s">
        <v>249</v>
      </c>
      <c r="X44" s="156" t="s">
        <v>251</v>
      </c>
      <c r="Y44" s="156" t="s">
        <v>274</v>
      </c>
      <c r="Z44" s="156" t="s">
        <v>275</v>
      </c>
      <c r="AA44" s="156" t="s">
        <v>276</v>
      </c>
    </row>
    <row r="45" spans="1:30">
      <c r="A45" s="157" t="s">
        <v>96</v>
      </c>
      <c r="B45" s="158" t="s">
        <v>97</v>
      </c>
      <c r="C45" s="159"/>
      <c r="D45" s="159"/>
      <c r="E45" s="160">
        <v>0.8</v>
      </c>
      <c r="F45" s="159">
        <v>0.5</v>
      </c>
      <c r="G45" s="159">
        <v>0.5</v>
      </c>
      <c r="H45" s="161">
        <v>0.48</v>
      </c>
      <c r="I45" s="161">
        <v>0.15</v>
      </c>
      <c r="J45" s="161"/>
      <c r="K45" s="161">
        <v>0.15</v>
      </c>
      <c r="L45" s="162">
        <v>0.7</v>
      </c>
      <c r="M45" s="162">
        <v>0.05</v>
      </c>
      <c r="N45" s="162"/>
      <c r="O45" s="162"/>
      <c r="P45" s="162">
        <v>0.3</v>
      </c>
      <c r="Q45" s="162">
        <v>0.3</v>
      </c>
      <c r="R45" s="162">
        <v>0.6</v>
      </c>
      <c r="S45" s="162"/>
      <c r="T45" s="162">
        <v>0.5</v>
      </c>
      <c r="U45" s="162">
        <v>0.34</v>
      </c>
      <c r="V45" s="162">
        <v>0.25</v>
      </c>
      <c r="W45" s="162">
        <v>0.2</v>
      </c>
      <c r="X45" s="162">
        <v>0.16669999999999999</v>
      </c>
      <c r="Y45" s="162">
        <v>0.25</v>
      </c>
      <c r="Z45" s="162"/>
      <c r="AA45" s="163"/>
      <c r="AD45" s="127"/>
    </row>
    <row r="46" spans="1:30">
      <c r="A46" s="164" t="s">
        <v>98</v>
      </c>
      <c r="B46" s="165" t="s">
        <v>99</v>
      </c>
      <c r="C46" s="166"/>
      <c r="D46" s="166"/>
      <c r="E46" s="167"/>
      <c r="F46" s="166"/>
      <c r="G46" s="166"/>
      <c r="H46" s="154"/>
      <c r="I46" s="154">
        <v>0.1</v>
      </c>
      <c r="J46" s="154"/>
      <c r="K46" s="154">
        <v>0.1</v>
      </c>
      <c r="L46" s="168"/>
      <c r="M46" s="168"/>
      <c r="N46" s="168">
        <v>0.1</v>
      </c>
      <c r="O46" s="168">
        <v>0.06</v>
      </c>
      <c r="P46" s="168"/>
      <c r="Q46" s="168"/>
      <c r="R46" s="168"/>
      <c r="S46" s="168">
        <v>9.2499999999999999E-2</v>
      </c>
      <c r="T46" s="168"/>
      <c r="U46" s="168"/>
      <c r="V46" s="168"/>
      <c r="W46" s="168"/>
      <c r="X46" s="168"/>
      <c r="Y46" s="168"/>
      <c r="Z46" s="168">
        <v>0.15</v>
      </c>
      <c r="AA46" s="169"/>
      <c r="AD46" s="127"/>
    </row>
    <row r="47" spans="1:30">
      <c r="A47" s="164" t="s">
        <v>100</v>
      </c>
      <c r="B47" s="165" t="s">
        <v>101</v>
      </c>
      <c r="C47" s="166"/>
      <c r="D47" s="166"/>
      <c r="E47" s="167"/>
      <c r="F47" s="166"/>
      <c r="G47" s="166"/>
      <c r="H47" s="154"/>
      <c r="I47" s="154"/>
      <c r="J47" s="154">
        <v>0.25</v>
      </c>
      <c r="K47" s="154"/>
      <c r="L47" s="168"/>
      <c r="M47" s="168">
        <v>0.15</v>
      </c>
      <c r="N47" s="168">
        <v>0.1</v>
      </c>
      <c r="O47" s="168">
        <v>0.06</v>
      </c>
      <c r="P47" s="168"/>
      <c r="Q47" s="168"/>
      <c r="R47" s="168"/>
      <c r="S47" s="168">
        <v>6.25E-2</v>
      </c>
      <c r="T47" s="168"/>
      <c r="U47" s="168"/>
      <c r="V47" s="168"/>
      <c r="W47" s="168"/>
      <c r="X47" s="168"/>
      <c r="Y47" s="168"/>
      <c r="Z47" s="168"/>
      <c r="AA47" s="169"/>
      <c r="AD47" s="127"/>
    </row>
    <row r="48" spans="1:30">
      <c r="A48" s="164" t="s">
        <v>102</v>
      </c>
      <c r="B48" s="165" t="s">
        <v>103</v>
      </c>
      <c r="C48" s="166"/>
      <c r="D48" s="166"/>
      <c r="E48" s="167"/>
      <c r="F48" s="166"/>
      <c r="G48" s="166"/>
      <c r="H48" s="154"/>
      <c r="I48" s="154"/>
      <c r="J48" s="154"/>
      <c r="K48" s="154"/>
      <c r="L48" s="168"/>
      <c r="M48" s="168"/>
      <c r="N48" s="168"/>
      <c r="O48" s="168"/>
      <c r="P48" s="168"/>
      <c r="Q48" s="168"/>
      <c r="R48" s="168"/>
      <c r="S48" s="168"/>
      <c r="T48" s="168"/>
      <c r="U48" s="168"/>
      <c r="V48" s="168"/>
      <c r="W48" s="168"/>
      <c r="X48" s="168"/>
      <c r="Y48" s="168"/>
      <c r="Z48" s="168"/>
      <c r="AA48" s="169"/>
      <c r="AD48" s="127"/>
    </row>
    <row r="49" spans="1:30">
      <c r="A49" s="164" t="s">
        <v>104</v>
      </c>
      <c r="B49" s="165" t="s">
        <v>105</v>
      </c>
      <c r="C49" s="166"/>
      <c r="D49" s="166"/>
      <c r="E49" s="167"/>
      <c r="F49" s="166"/>
      <c r="G49" s="166"/>
      <c r="H49" s="154"/>
      <c r="I49" s="154"/>
      <c r="J49" s="154"/>
      <c r="K49" s="154"/>
      <c r="L49" s="168"/>
      <c r="M49" s="168"/>
      <c r="N49" s="168"/>
      <c r="O49" s="168"/>
      <c r="P49" s="168"/>
      <c r="Q49" s="168"/>
      <c r="R49" s="168"/>
      <c r="S49" s="168"/>
      <c r="T49" s="168"/>
      <c r="U49" s="168"/>
      <c r="V49" s="168"/>
      <c r="W49" s="168"/>
      <c r="X49" s="168"/>
      <c r="Y49" s="168"/>
      <c r="Z49" s="168"/>
      <c r="AA49" s="169"/>
      <c r="AB49" s="170"/>
      <c r="AC49" s="170"/>
      <c r="AD49" s="127"/>
    </row>
    <row r="50" spans="1:30">
      <c r="A50" s="164" t="s">
        <v>106</v>
      </c>
      <c r="B50" s="165" t="s">
        <v>107</v>
      </c>
      <c r="C50" s="166"/>
      <c r="D50" s="166"/>
      <c r="E50" s="167"/>
      <c r="F50" s="166"/>
      <c r="G50" s="166"/>
      <c r="H50" s="154"/>
      <c r="I50" s="154">
        <v>0.1</v>
      </c>
      <c r="J50" s="154"/>
      <c r="K50" s="154">
        <v>0.1</v>
      </c>
      <c r="L50" s="168"/>
      <c r="M50" s="168">
        <v>0.05</v>
      </c>
      <c r="N50" s="168">
        <v>0.1</v>
      </c>
      <c r="O50" s="168">
        <v>0.06</v>
      </c>
      <c r="P50" s="168"/>
      <c r="Q50" s="168"/>
      <c r="R50" s="168"/>
      <c r="S50" s="168">
        <v>9.2499999999999999E-2</v>
      </c>
      <c r="T50" s="168"/>
      <c r="U50" s="168"/>
      <c r="V50" s="168"/>
      <c r="W50" s="168"/>
      <c r="X50" s="168"/>
      <c r="Y50" s="168"/>
      <c r="Z50" s="168">
        <v>0.15</v>
      </c>
      <c r="AA50" s="169">
        <v>0.15</v>
      </c>
      <c r="AB50" s="170"/>
      <c r="AC50" s="170"/>
      <c r="AD50" s="127"/>
    </row>
    <row r="51" spans="1:30">
      <c r="A51" s="164" t="s">
        <v>108</v>
      </c>
      <c r="B51" s="165" t="s">
        <v>109</v>
      </c>
      <c r="C51" s="166"/>
      <c r="D51" s="166"/>
      <c r="E51" s="167"/>
      <c r="F51" s="166"/>
      <c r="G51" s="166"/>
      <c r="H51" s="154"/>
      <c r="I51" s="154">
        <v>0.05</v>
      </c>
      <c r="J51" s="154">
        <v>0.25</v>
      </c>
      <c r="K51" s="154">
        <v>0.05</v>
      </c>
      <c r="L51" s="168"/>
      <c r="M51" s="168"/>
      <c r="N51" s="168">
        <v>0.1</v>
      </c>
      <c r="O51" s="168"/>
      <c r="P51" s="168"/>
      <c r="Q51" s="168"/>
      <c r="R51" s="168"/>
      <c r="S51" s="168"/>
      <c r="T51" s="168"/>
      <c r="U51" s="168"/>
      <c r="V51" s="168"/>
      <c r="W51" s="168"/>
      <c r="X51" s="168"/>
      <c r="Y51" s="168"/>
      <c r="Z51" s="168">
        <v>0.13</v>
      </c>
      <c r="AA51" s="169"/>
      <c r="AB51" s="170"/>
      <c r="AC51" s="170"/>
      <c r="AD51" s="127"/>
    </row>
    <row r="52" spans="1:30">
      <c r="A52" s="164" t="s">
        <v>110</v>
      </c>
      <c r="B52" s="165" t="s">
        <v>111</v>
      </c>
      <c r="C52" s="166"/>
      <c r="D52" s="166"/>
      <c r="E52" s="167"/>
      <c r="F52" s="166"/>
      <c r="G52" s="166"/>
      <c r="H52" s="154"/>
      <c r="I52" s="154"/>
      <c r="J52" s="154"/>
      <c r="K52" s="154"/>
      <c r="L52" s="168"/>
      <c r="M52" s="168">
        <v>0.05</v>
      </c>
      <c r="N52" s="168"/>
      <c r="O52" s="168"/>
      <c r="P52" s="168"/>
      <c r="Q52" s="168"/>
      <c r="R52" s="168"/>
      <c r="S52" s="168">
        <v>6.25E-2</v>
      </c>
      <c r="T52" s="168"/>
      <c r="U52" s="168"/>
      <c r="V52" s="168"/>
      <c r="W52" s="168"/>
      <c r="X52" s="168"/>
      <c r="Y52" s="168"/>
      <c r="Z52" s="168"/>
      <c r="AA52" s="169"/>
      <c r="AB52" s="170"/>
      <c r="AC52" s="170"/>
      <c r="AD52" s="127"/>
    </row>
    <row r="53" spans="1:30">
      <c r="A53" s="164" t="s">
        <v>112</v>
      </c>
      <c r="B53" s="165" t="s">
        <v>113</v>
      </c>
      <c r="C53" s="166"/>
      <c r="D53" s="166"/>
      <c r="E53" s="167"/>
      <c r="F53" s="166"/>
      <c r="G53" s="166"/>
      <c r="H53" s="154"/>
      <c r="I53" s="154"/>
      <c r="J53" s="154"/>
      <c r="K53" s="154"/>
      <c r="L53" s="168"/>
      <c r="M53" s="168"/>
      <c r="N53" s="168"/>
      <c r="O53" s="168">
        <v>0.06</v>
      </c>
      <c r="P53" s="168"/>
      <c r="Q53" s="168"/>
      <c r="R53" s="168"/>
      <c r="S53" s="168"/>
      <c r="T53" s="168"/>
      <c r="U53" s="168"/>
      <c r="V53" s="168"/>
      <c r="W53" s="168"/>
      <c r="X53" s="168"/>
      <c r="Y53" s="168"/>
      <c r="Z53" s="168"/>
      <c r="AA53" s="169"/>
      <c r="AB53" s="170"/>
      <c r="AC53" s="170"/>
      <c r="AD53" s="127"/>
    </row>
    <row r="54" spans="1:30">
      <c r="A54" s="164" t="s">
        <v>114</v>
      </c>
      <c r="B54" s="165" t="s">
        <v>115</v>
      </c>
      <c r="C54" s="166"/>
      <c r="D54" s="166"/>
      <c r="E54" s="167"/>
      <c r="F54" s="166"/>
      <c r="G54" s="166"/>
      <c r="H54" s="154">
        <v>0.08</v>
      </c>
      <c r="I54" s="154">
        <v>0.05</v>
      </c>
      <c r="J54" s="154"/>
      <c r="K54" s="154">
        <v>0.05</v>
      </c>
      <c r="L54" s="168"/>
      <c r="M54" s="168"/>
      <c r="N54" s="168">
        <v>0.1</v>
      </c>
      <c r="O54" s="168">
        <v>0.06</v>
      </c>
      <c r="P54" s="168">
        <v>0.2</v>
      </c>
      <c r="Q54" s="168">
        <v>0.2</v>
      </c>
      <c r="R54" s="168"/>
      <c r="S54" s="168">
        <v>0.08</v>
      </c>
      <c r="T54" s="168"/>
      <c r="U54" s="168"/>
      <c r="V54" s="168"/>
      <c r="W54" s="168">
        <v>0.2</v>
      </c>
      <c r="X54" s="168">
        <v>0.1666</v>
      </c>
      <c r="Y54" s="168"/>
      <c r="Z54" s="168"/>
      <c r="AA54" s="169"/>
      <c r="AD54" s="127"/>
    </row>
    <row r="55" spans="1:30">
      <c r="A55" s="164" t="s">
        <v>116</v>
      </c>
      <c r="B55" s="165" t="s">
        <v>624</v>
      </c>
      <c r="C55" s="166"/>
      <c r="D55" s="166"/>
      <c r="E55" s="167"/>
      <c r="F55" s="166"/>
      <c r="G55" s="166"/>
      <c r="H55" s="154"/>
      <c r="I55" s="154"/>
      <c r="J55" s="154"/>
      <c r="K55" s="154"/>
      <c r="L55" s="168"/>
      <c r="M55" s="168"/>
      <c r="N55" s="168"/>
      <c r="O55" s="168">
        <v>0.06</v>
      </c>
      <c r="P55" s="168">
        <v>0.15</v>
      </c>
      <c r="Q55" s="168">
        <v>0.15</v>
      </c>
      <c r="R55" s="168"/>
      <c r="S55" s="168"/>
      <c r="T55" s="168"/>
      <c r="U55" s="168"/>
      <c r="V55" s="168"/>
      <c r="W55" s="168"/>
      <c r="X55" s="168"/>
      <c r="Y55" s="168"/>
      <c r="Z55" s="168"/>
      <c r="AA55" s="169"/>
      <c r="AD55" s="127"/>
    </row>
    <row r="56" spans="1:30">
      <c r="A56" s="164" t="s">
        <v>117</v>
      </c>
      <c r="B56" s="165" t="s">
        <v>118</v>
      </c>
      <c r="C56" s="166"/>
      <c r="D56" s="166"/>
      <c r="E56" s="167"/>
      <c r="F56" s="166"/>
      <c r="G56" s="166"/>
      <c r="H56" s="154"/>
      <c r="I56" s="154">
        <v>0.05</v>
      </c>
      <c r="J56" s="154"/>
      <c r="K56" s="154">
        <v>0.05</v>
      </c>
      <c r="L56" s="168"/>
      <c r="M56" s="168">
        <v>0.1</v>
      </c>
      <c r="N56" s="168"/>
      <c r="O56" s="168">
        <v>0.06</v>
      </c>
      <c r="P56" s="168">
        <v>0.05</v>
      </c>
      <c r="Q56" s="168">
        <v>0.05</v>
      </c>
      <c r="R56" s="168"/>
      <c r="S56" s="168"/>
      <c r="T56" s="168"/>
      <c r="U56" s="168"/>
      <c r="V56" s="168"/>
      <c r="W56" s="168"/>
      <c r="X56" s="168"/>
      <c r="Y56" s="168"/>
      <c r="Z56" s="168">
        <v>0.04</v>
      </c>
      <c r="AA56" s="169">
        <v>0.15</v>
      </c>
    </row>
    <row r="57" spans="1:30">
      <c r="A57" s="164" t="s">
        <v>119</v>
      </c>
      <c r="B57" s="165" t="s">
        <v>120</v>
      </c>
      <c r="C57" s="166"/>
      <c r="D57" s="166"/>
      <c r="E57" s="167"/>
      <c r="F57" s="166">
        <v>0.3</v>
      </c>
      <c r="G57" s="166">
        <v>0.3</v>
      </c>
      <c r="H57" s="154">
        <v>0.24</v>
      </c>
      <c r="I57" s="154"/>
      <c r="J57" s="154"/>
      <c r="K57" s="154"/>
      <c r="L57" s="168"/>
      <c r="M57" s="168"/>
      <c r="N57" s="168">
        <v>0.1</v>
      </c>
      <c r="O57" s="168"/>
      <c r="P57" s="168"/>
      <c r="Q57" s="168"/>
      <c r="R57" s="168">
        <v>0.3</v>
      </c>
      <c r="S57" s="168">
        <v>0.31</v>
      </c>
      <c r="T57" s="168"/>
      <c r="U57" s="168">
        <v>0.33</v>
      </c>
      <c r="V57" s="168">
        <v>0.25</v>
      </c>
      <c r="W57" s="168">
        <v>0.2</v>
      </c>
      <c r="X57" s="168">
        <v>0.1666</v>
      </c>
      <c r="Y57" s="168"/>
      <c r="Z57" s="168"/>
      <c r="AA57" s="169"/>
    </row>
    <row r="58" spans="1:30">
      <c r="A58" s="164" t="s">
        <v>121</v>
      </c>
      <c r="B58" s="165" t="s">
        <v>122</v>
      </c>
      <c r="C58" s="166"/>
      <c r="D58" s="166"/>
      <c r="E58" s="167"/>
      <c r="F58" s="166"/>
      <c r="G58" s="166"/>
      <c r="H58" s="154"/>
      <c r="I58" s="154">
        <v>0.05</v>
      </c>
      <c r="J58" s="154"/>
      <c r="K58" s="154">
        <v>0.05</v>
      </c>
      <c r="L58" s="168"/>
      <c r="M58" s="168">
        <v>0.15</v>
      </c>
      <c r="N58" s="168"/>
      <c r="O58" s="168"/>
      <c r="P58" s="168"/>
      <c r="Q58" s="168"/>
      <c r="R58" s="168"/>
      <c r="S58" s="168"/>
      <c r="T58" s="168"/>
      <c r="U58" s="168"/>
      <c r="V58" s="168"/>
      <c r="W58" s="168"/>
      <c r="X58" s="168"/>
      <c r="Y58" s="168"/>
      <c r="Z58" s="168"/>
      <c r="AA58" s="169"/>
    </row>
    <row r="59" spans="1:30">
      <c r="A59" s="164" t="s">
        <v>123</v>
      </c>
      <c r="B59" s="165" t="s">
        <v>124</v>
      </c>
      <c r="C59" s="166"/>
      <c r="D59" s="166"/>
      <c r="E59" s="167"/>
      <c r="F59" s="166"/>
      <c r="G59" s="166"/>
      <c r="H59" s="154"/>
      <c r="I59" s="154">
        <v>0.05</v>
      </c>
      <c r="J59" s="154">
        <v>0.25</v>
      </c>
      <c r="K59" s="154">
        <v>0.05</v>
      </c>
      <c r="L59" s="168"/>
      <c r="M59" s="168">
        <v>0.05</v>
      </c>
      <c r="N59" s="168"/>
      <c r="O59" s="168"/>
      <c r="P59" s="168"/>
      <c r="Q59" s="168"/>
      <c r="R59" s="168"/>
      <c r="S59" s="168"/>
      <c r="T59" s="168"/>
      <c r="U59" s="168"/>
      <c r="V59" s="168"/>
      <c r="W59" s="168"/>
      <c r="X59" s="168"/>
      <c r="Y59" s="168"/>
      <c r="Z59" s="168"/>
      <c r="AA59" s="169"/>
      <c r="AD59" s="127"/>
    </row>
    <row r="60" spans="1:30">
      <c r="A60" s="164" t="s">
        <v>125</v>
      </c>
      <c r="B60" s="165" t="s">
        <v>126</v>
      </c>
      <c r="C60" s="166"/>
      <c r="D60" s="166"/>
      <c r="E60" s="167"/>
      <c r="F60" s="166"/>
      <c r="G60" s="166"/>
      <c r="H60" s="154"/>
      <c r="I60" s="154"/>
      <c r="J60" s="154"/>
      <c r="K60" s="154"/>
      <c r="L60" s="168"/>
      <c r="M60" s="168"/>
      <c r="N60" s="168"/>
      <c r="O60" s="168">
        <v>0.06</v>
      </c>
      <c r="P60" s="168"/>
      <c r="Q60" s="168"/>
      <c r="R60" s="168"/>
      <c r="S60" s="168"/>
      <c r="T60" s="168"/>
      <c r="U60" s="168"/>
      <c r="V60" s="168"/>
      <c r="W60" s="168"/>
      <c r="X60" s="168"/>
      <c r="Y60" s="168"/>
      <c r="Z60" s="168">
        <v>0.13</v>
      </c>
      <c r="AA60" s="169"/>
    </row>
    <row r="61" spans="1:30">
      <c r="A61" s="164" t="s">
        <v>127</v>
      </c>
      <c r="B61" s="165" t="s">
        <v>128</v>
      </c>
      <c r="C61" s="166"/>
      <c r="D61" s="166"/>
      <c r="E61" s="167"/>
      <c r="F61" s="166"/>
      <c r="G61" s="166"/>
      <c r="H61" s="154"/>
      <c r="I61" s="154"/>
      <c r="J61" s="154"/>
      <c r="K61" s="154"/>
      <c r="L61" s="168"/>
      <c r="M61" s="168"/>
      <c r="N61" s="168"/>
      <c r="O61" s="168"/>
      <c r="P61" s="168"/>
      <c r="Q61" s="168"/>
      <c r="R61" s="168"/>
      <c r="S61" s="168"/>
      <c r="T61" s="168"/>
      <c r="U61" s="168"/>
      <c r="V61" s="168"/>
      <c r="W61" s="168"/>
      <c r="X61" s="168"/>
      <c r="Y61" s="168"/>
      <c r="Z61" s="168"/>
      <c r="AA61" s="169"/>
    </row>
    <row r="62" spans="1:30">
      <c r="A62" s="164" t="s">
        <v>129</v>
      </c>
      <c r="B62" s="165" t="s">
        <v>130</v>
      </c>
      <c r="C62" s="166"/>
      <c r="D62" s="166"/>
      <c r="E62" s="167"/>
      <c r="F62" s="166"/>
      <c r="G62" s="166"/>
      <c r="H62" s="154"/>
      <c r="I62" s="154"/>
      <c r="J62" s="154"/>
      <c r="K62" s="154"/>
      <c r="L62" s="168"/>
      <c r="M62" s="168">
        <v>0.1</v>
      </c>
      <c r="N62" s="168"/>
      <c r="O62" s="168"/>
      <c r="P62" s="168"/>
      <c r="Q62" s="168">
        <v>0.15</v>
      </c>
      <c r="R62" s="168"/>
      <c r="S62" s="168"/>
      <c r="T62" s="168"/>
      <c r="U62" s="168"/>
      <c r="V62" s="168"/>
      <c r="W62" s="168"/>
      <c r="X62" s="168"/>
      <c r="Y62" s="168">
        <v>0.25</v>
      </c>
      <c r="Z62" s="168"/>
      <c r="AA62" s="169"/>
    </row>
    <row r="63" spans="1:30">
      <c r="A63" s="164" t="s">
        <v>131</v>
      </c>
      <c r="B63" s="165" t="s">
        <v>132</v>
      </c>
      <c r="C63" s="166"/>
      <c r="D63" s="166"/>
      <c r="E63" s="167"/>
      <c r="F63" s="166"/>
      <c r="G63" s="166"/>
      <c r="H63" s="154"/>
      <c r="I63" s="154"/>
      <c r="J63" s="154"/>
      <c r="K63" s="154"/>
      <c r="L63" s="168"/>
      <c r="M63" s="168"/>
      <c r="N63" s="168"/>
      <c r="O63" s="168">
        <v>0.2</v>
      </c>
      <c r="P63" s="168"/>
      <c r="Q63" s="168"/>
      <c r="R63" s="168"/>
      <c r="S63" s="168"/>
      <c r="T63" s="168"/>
      <c r="U63" s="168"/>
      <c r="V63" s="168"/>
      <c r="W63" s="168"/>
      <c r="X63" s="168"/>
      <c r="Y63" s="168"/>
      <c r="Z63" s="168"/>
      <c r="AA63" s="169"/>
    </row>
    <row r="64" spans="1:30">
      <c r="A64" s="164" t="s">
        <v>133</v>
      </c>
      <c r="B64" s="165" t="s">
        <v>134</v>
      </c>
      <c r="C64" s="166"/>
      <c r="D64" s="166"/>
      <c r="E64" s="167">
        <v>0.2</v>
      </c>
      <c r="F64" s="166">
        <v>0.2</v>
      </c>
      <c r="G64" s="166">
        <v>0.1</v>
      </c>
      <c r="H64" s="154">
        <v>0.2</v>
      </c>
      <c r="I64" s="154"/>
      <c r="J64" s="154"/>
      <c r="K64" s="154"/>
      <c r="L64" s="168">
        <v>0.3</v>
      </c>
      <c r="M64" s="168"/>
      <c r="N64" s="168">
        <v>0.4</v>
      </c>
      <c r="O64" s="168"/>
      <c r="P64" s="168"/>
      <c r="Q64" s="168"/>
      <c r="R64" s="168"/>
      <c r="S64" s="168"/>
      <c r="T64" s="168"/>
      <c r="U64" s="168"/>
      <c r="V64" s="168"/>
      <c r="W64" s="168"/>
      <c r="X64" s="168"/>
      <c r="Y64" s="168"/>
      <c r="Z64" s="168"/>
      <c r="AA64" s="169"/>
    </row>
    <row r="65" spans="1:27">
      <c r="A65" s="164" t="s">
        <v>135</v>
      </c>
      <c r="B65" s="165" t="s">
        <v>194</v>
      </c>
      <c r="C65" s="166"/>
      <c r="D65" s="166"/>
      <c r="E65" s="167"/>
      <c r="F65" s="166"/>
      <c r="G65" s="166"/>
      <c r="H65" s="154"/>
      <c r="I65" s="154"/>
      <c r="J65" s="154"/>
      <c r="K65" s="154"/>
      <c r="L65" s="168"/>
      <c r="M65" s="168"/>
      <c r="N65" s="168"/>
      <c r="O65" s="168"/>
      <c r="P65" s="168"/>
      <c r="Q65" s="168"/>
      <c r="R65" s="168"/>
      <c r="S65" s="168"/>
      <c r="T65" s="168"/>
      <c r="U65" s="168"/>
      <c r="V65" s="168"/>
      <c r="W65" s="168"/>
      <c r="X65" s="168"/>
      <c r="Y65" s="168">
        <v>0.25</v>
      </c>
      <c r="Z65" s="168"/>
      <c r="AA65" s="169"/>
    </row>
    <row r="66" spans="1:27">
      <c r="A66" s="164" t="s">
        <v>137</v>
      </c>
      <c r="B66" s="130" t="s">
        <v>138</v>
      </c>
      <c r="C66" s="166"/>
      <c r="D66" s="166"/>
      <c r="E66" s="167"/>
      <c r="F66" s="166"/>
      <c r="G66" s="166">
        <v>0.1</v>
      </c>
      <c r="H66" s="154"/>
      <c r="I66" s="154"/>
      <c r="J66" s="154"/>
      <c r="K66" s="154"/>
      <c r="L66" s="168"/>
      <c r="M66" s="168">
        <v>0.15</v>
      </c>
      <c r="N66" s="168"/>
      <c r="O66" s="168">
        <v>0.08</v>
      </c>
      <c r="P66" s="168">
        <v>0.15</v>
      </c>
      <c r="Q66" s="168">
        <v>0.15</v>
      </c>
      <c r="R66" s="168">
        <v>0.1</v>
      </c>
      <c r="S66" s="168"/>
      <c r="T66" s="168">
        <v>0.5</v>
      </c>
      <c r="U66" s="168">
        <v>0.33</v>
      </c>
      <c r="V66" s="168">
        <v>0.25</v>
      </c>
      <c r="W66" s="168">
        <v>0.2</v>
      </c>
      <c r="X66" s="168">
        <v>0.1666</v>
      </c>
      <c r="Y66" s="168"/>
      <c r="Z66" s="168">
        <v>0.4</v>
      </c>
      <c r="AA66" s="169">
        <v>0.35</v>
      </c>
    </row>
    <row r="67" spans="1:27">
      <c r="A67" s="164" t="s">
        <v>139</v>
      </c>
      <c r="B67" s="165" t="s">
        <v>140</v>
      </c>
      <c r="C67" s="166">
        <v>1</v>
      </c>
      <c r="D67" s="166"/>
      <c r="E67" s="167"/>
      <c r="F67" s="166"/>
      <c r="G67" s="166"/>
      <c r="H67" s="154"/>
      <c r="I67" s="154"/>
      <c r="J67" s="154"/>
      <c r="K67" s="154"/>
      <c r="L67" s="168"/>
      <c r="M67" s="168"/>
      <c r="N67" s="168"/>
      <c r="O67" s="168"/>
      <c r="P67" s="168"/>
      <c r="Q67" s="168"/>
      <c r="R67" s="168"/>
      <c r="S67" s="168"/>
      <c r="T67" s="168"/>
      <c r="U67" s="168"/>
      <c r="V67" s="168"/>
      <c r="W67" s="168"/>
      <c r="X67" s="168"/>
      <c r="Y67" s="168"/>
      <c r="Z67" s="168"/>
      <c r="AA67" s="169"/>
    </row>
    <row r="68" spans="1:27">
      <c r="A68" s="164" t="s">
        <v>141</v>
      </c>
      <c r="B68" s="165" t="s">
        <v>142</v>
      </c>
      <c r="C68" s="166"/>
      <c r="D68" s="166">
        <v>1</v>
      </c>
      <c r="E68" s="167"/>
      <c r="F68" s="166"/>
      <c r="G68" s="166"/>
      <c r="H68" s="154"/>
      <c r="I68" s="154"/>
      <c r="J68" s="154"/>
      <c r="K68" s="154"/>
      <c r="L68" s="168"/>
      <c r="M68" s="168"/>
      <c r="N68" s="168"/>
      <c r="O68" s="168"/>
      <c r="P68" s="168"/>
      <c r="Q68" s="168"/>
      <c r="R68" s="168"/>
      <c r="S68" s="168"/>
      <c r="T68" s="168"/>
      <c r="U68" s="168"/>
      <c r="V68" s="168"/>
      <c r="W68" s="168"/>
      <c r="X68" s="168"/>
      <c r="Y68" s="168"/>
      <c r="Z68" s="168"/>
      <c r="AA68" s="169"/>
    </row>
    <row r="69" spans="1:27">
      <c r="A69" s="171" t="s">
        <v>145</v>
      </c>
      <c r="B69" s="165" t="s">
        <v>146</v>
      </c>
      <c r="C69" s="166"/>
      <c r="D69" s="166"/>
      <c r="E69" s="167"/>
      <c r="F69" s="166"/>
      <c r="G69" s="166"/>
      <c r="H69" s="154"/>
      <c r="I69" s="154"/>
      <c r="J69" s="154"/>
      <c r="K69" s="154"/>
      <c r="L69" s="168"/>
      <c r="M69" s="168"/>
      <c r="N69" s="168"/>
      <c r="O69" s="168"/>
      <c r="P69" s="168"/>
      <c r="Q69" s="168"/>
      <c r="R69" s="168"/>
      <c r="S69" s="168"/>
      <c r="T69" s="168"/>
      <c r="U69" s="168"/>
      <c r="V69" s="168"/>
      <c r="W69" s="168"/>
      <c r="X69" s="168">
        <v>0.1666</v>
      </c>
      <c r="Y69" s="168"/>
      <c r="Z69" s="168"/>
      <c r="AA69" s="169"/>
    </row>
    <row r="70" spans="1:27">
      <c r="A70" s="171" t="s">
        <v>149</v>
      </c>
      <c r="B70" s="165" t="s">
        <v>150</v>
      </c>
      <c r="C70" s="166"/>
      <c r="D70" s="166"/>
      <c r="E70" s="167"/>
      <c r="F70" s="166"/>
      <c r="G70" s="166"/>
      <c r="H70" s="154"/>
      <c r="I70" s="154"/>
      <c r="J70" s="154"/>
      <c r="K70" s="154"/>
      <c r="L70" s="168"/>
      <c r="M70" s="168"/>
      <c r="N70" s="168"/>
      <c r="O70" s="168"/>
      <c r="P70" s="168"/>
      <c r="Q70" s="168"/>
      <c r="R70" s="168"/>
      <c r="S70" s="168"/>
      <c r="T70" s="168"/>
      <c r="U70" s="168"/>
      <c r="V70" s="168"/>
      <c r="W70" s="168"/>
      <c r="X70" s="168"/>
      <c r="Y70" s="168"/>
      <c r="Z70" s="168"/>
      <c r="AA70" s="169"/>
    </row>
    <row r="71" spans="1:27">
      <c r="A71" s="171" t="s">
        <v>151</v>
      </c>
      <c r="B71" s="165" t="s">
        <v>152</v>
      </c>
      <c r="C71" s="166"/>
      <c r="D71" s="166"/>
      <c r="E71" s="167"/>
      <c r="F71" s="166"/>
      <c r="G71" s="166"/>
      <c r="H71" s="154"/>
      <c r="I71" s="154"/>
      <c r="J71" s="154"/>
      <c r="K71" s="154"/>
      <c r="L71" s="168"/>
      <c r="M71" s="168"/>
      <c r="N71" s="168"/>
      <c r="O71" s="168"/>
      <c r="P71" s="168"/>
      <c r="Q71" s="168"/>
      <c r="R71" s="168"/>
      <c r="S71" s="168"/>
      <c r="T71" s="168"/>
      <c r="U71" s="168"/>
      <c r="V71" s="168"/>
      <c r="W71" s="168"/>
      <c r="X71" s="168"/>
      <c r="Y71" s="168"/>
      <c r="Z71" s="168"/>
      <c r="AA71" s="169"/>
    </row>
    <row r="72" spans="1:27">
      <c r="A72" s="171" t="s">
        <v>143</v>
      </c>
      <c r="B72" s="165" t="s">
        <v>144</v>
      </c>
      <c r="C72" s="166"/>
      <c r="D72" s="166"/>
      <c r="E72" s="167"/>
      <c r="F72" s="166"/>
      <c r="G72" s="166"/>
      <c r="H72" s="154"/>
      <c r="I72" s="154"/>
      <c r="J72" s="154"/>
      <c r="K72" s="154"/>
      <c r="L72" s="168"/>
      <c r="M72" s="168"/>
      <c r="N72" s="168"/>
      <c r="O72" s="168"/>
      <c r="P72" s="168"/>
      <c r="Q72" s="168"/>
      <c r="R72" s="168"/>
      <c r="S72" s="168"/>
      <c r="T72" s="168"/>
      <c r="U72" s="168"/>
      <c r="V72" s="168"/>
      <c r="W72" s="168"/>
      <c r="X72" s="168"/>
      <c r="Y72" s="168"/>
      <c r="Z72" s="168"/>
      <c r="AA72" s="169"/>
    </row>
    <row r="73" spans="1:27">
      <c r="A73" s="171" t="s">
        <v>153</v>
      </c>
      <c r="B73" s="165" t="s">
        <v>154</v>
      </c>
      <c r="C73" s="166"/>
      <c r="D73" s="166"/>
      <c r="E73" s="167"/>
      <c r="F73" s="166"/>
      <c r="G73" s="166"/>
      <c r="H73" s="154"/>
      <c r="I73" s="154"/>
      <c r="J73" s="154"/>
      <c r="K73" s="154"/>
      <c r="L73" s="168"/>
      <c r="M73" s="168"/>
      <c r="N73" s="168"/>
      <c r="O73" s="168"/>
      <c r="P73" s="168"/>
      <c r="Q73" s="168"/>
      <c r="R73" s="168"/>
      <c r="S73" s="168"/>
      <c r="T73" s="168"/>
      <c r="U73" s="168"/>
      <c r="V73" s="168"/>
      <c r="W73" s="168"/>
      <c r="X73" s="168"/>
      <c r="Y73" s="168"/>
      <c r="Z73" s="168"/>
      <c r="AA73" s="169"/>
    </row>
    <row r="74" spans="1:27">
      <c r="A74" s="171" t="s">
        <v>155</v>
      </c>
      <c r="B74" s="165" t="s">
        <v>156</v>
      </c>
      <c r="C74" s="166"/>
      <c r="D74" s="166"/>
      <c r="E74" s="167"/>
      <c r="F74" s="166"/>
      <c r="G74" s="166"/>
      <c r="H74" s="154"/>
      <c r="I74" s="154"/>
      <c r="J74" s="154"/>
      <c r="K74" s="154"/>
      <c r="L74" s="168"/>
      <c r="M74" s="168"/>
      <c r="N74" s="168"/>
      <c r="O74" s="168"/>
      <c r="P74" s="168"/>
      <c r="Q74" s="168"/>
      <c r="R74" s="168"/>
      <c r="S74" s="168"/>
      <c r="T74" s="168"/>
      <c r="U74" s="168"/>
      <c r="V74" s="168"/>
      <c r="W74" s="168"/>
      <c r="X74" s="168"/>
      <c r="Y74" s="168"/>
      <c r="Z74" s="168"/>
      <c r="AA74" s="169"/>
    </row>
    <row r="75" spans="1:27">
      <c r="A75" s="171" t="s">
        <v>157</v>
      </c>
      <c r="B75" s="165" t="s">
        <v>158</v>
      </c>
      <c r="C75" s="166"/>
      <c r="D75" s="166"/>
      <c r="E75" s="167"/>
      <c r="F75" s="166"/>
      <c r="G75" s="166"/>
      <c r="H75" s="154"/>
      <c r="I75" s="154"/>
      <c r="J75" s="154"/>
      <c r="K75" s="154"/>
      <c r="L75" s="168"/>
      <c r="M75" s="168"/>
      <c r="N75" s="168"/>
      <c r="O75" s="168"/>
      <c r="P75" s="168"/>
      <c r="Q75" s="168"/>
      <c r="R75" s="168"/>
      <c r="S75" s="168"/>
      <c r="T75" s="168"/>
      <c r="U75" s="168"/>
      <c r="V75" s="168"/>
      <c r="W75" s="168"/>
      <c r="X75" s="168"/>
      <c r="Y75" s="168"/>
      <c r="Z75" s="168"/>
      <c r="AA75" s="169"/>
    </row>
    <row r="76" spans="1:27">
      <c r="A76" s="171" t="s">
        <v>159</v>
      </c>
      <c r="B76" s="165" t="s">
        <v>160</v>
      </c>
      <c r="C76" s="166"/>
      <c r="D76" s="166"/>
      <c r="E76" s="167"/>
      <c r="F76" s="166"/>
      <c r="G76" s="166"/>
      <c r="H76" s="154"/>
      <c r="I76" s="154"/>
      <c r="J76" s="154"/>
      <c r="K76" s="154"/>
      <c r="L76" s="168"/>
      <c r="M76" s="168"/>
      <c r="N76" s="168"/>
      <c r="O76" s="168"/>
      <c r="P76" s="168"/>
      <c r="Q76" s="168"/>
      <c r="R76" s="168"/>
      <c r="S76" s="168"/>
      <c r="T76" s="168"/>
      <c r="U76" s="168"/>
      <c r="V76" s="168"/>
      <c r="W76" s="168"/>
      <c r="X76" s="168"/>
      <c r="Y76" s="168"/>
      <c r="Z76" s="168"/>
      <c r="AA76" s="169"/>
    </row>
    <row r="77" spans="1:27">
      <c r="A77" s="171" t="s">
        <v>161</v>
      </c>
      <c r="B77" s="165" t="s">
        <v>162</v>
      </c>
      <c r="C77" s="166"/>
      <c r="D77" s="166"/>
      <c r="E77" s="167"/>
      <c r="F77" s="166"/>
      <c r="G77" s="166"/>
      <c r="H77" s="154"/>
      <c r="I77" s="154"/>
      <c r="J77" s="154"/>
      <c r="K77" s="154"/>
      <c r="L77" s="168"/>
      <c r="M77" s="168">
        <v>0.05</v>
      </c>
      <c r="N77" s="168"/>
      <c r="O77" s="168"/>
      <c r="P77" s="168"/>
      <c r="Q77" s="168"/>
      <c r="R77" s="168"/>
      <c r="S77" s="168"/>
      <c r="T77" s="168"/>
      <c r="U77" s="168"/>
      <c r="V77" s="168"/>
      <c r="W77" s="168"/>
      <c r="X77" s="168"/>
      <c r="Y77" s="168"/>
      <c r="Z77" s="168"/>
      <c r="AA77" s="169"/>
    </row>
    <row r="78" spans="1:27">
      <c r="A78" s="172" t="s">
        <v>147</v>
      </c>
      <c r="B78" s="165" t="s">
        <v>148</v>
      </c>
      <c r="C78" s="166"/>
      <c r="D78" s="166"/>
      <c r="E78" s="167"/>
      <c r="F78" s="166"/>
      <c r="G78" s="166"/>
      <c r="H78" s="154"/>
      <c r="I78" s="154"/>
      <c r="J78" s="154">
        <v>0.25</v>
      </c>
      <c r="K78" s="154"/>
      <c r="L78" s="168"/>
      <c r="M78" s="168"/>
      <c r="N78" s="168"/>
      <c r="O78" s="168">
        <v>0.12</v>
      </c>
      <c r="P78" s="168">
        <v>0.15</v>
      </c>
      <c r="Q78" s="168"/>
      <c r="R78" s="168"/>
      <c r="S78" s="168">
        <v>0.3</v>
      </c>
      <c r="T78" s="168"/>
      <c r="U78" s="168"/>
      <c r="V78" s="168"/>
      <c r="W78" s="168"/>
      <c r="X78" s="168"/>
      <c r="Y78" s="168"/>
      <c r="Z78" s="168"/>
      <c r="AA78" s="169">
        <v>0.35</v>
      </c>
    </row>
    <row r="79" spans="1:27">
      <c r="A79" s="173" t="s">
        <v>163</v>
      </c>
      <c r="B79" s="24" t="s">
        <v>164</v>
      </c>
      <c r="C79" s="166"/>
      <c r="D79" s="166"/>
      <c r="E79" s="167"/>
      <c r="F79" s="166"/>
      <c r="G79" s="166"/>
      <c r="H79" s="154"/>
      <c r="I79" s="154"/>
      <c r="J79" s="154"/>
      <c r="K79" s="154"/>
      <c r="L79" s="168"/>
      <c r="M79" s="168"/>
      <c r="N79" s="168"/>
      <c r="O79" s="168"/>
      <c r="P79" s="168"/>
      <c r="Q79" s="168"/>
      <c r="R79" s="168"/>
      <c r="S79" s="168"/>
      <c r="T79" s="168"/>
      <c r="U79" s="168"/>
      <c r="V79" s="168"/>
      <c r="W79" s="168"/>
      <c r="X79" s="168"/>
      <c r="Y79" s="168"/>
      <c r="Z79" s="168"/>
      <c r="AA79" s="169"/>
    </row>
    <row r="80" spans="1:27">
      <c r="A80" s="171" t="s">
        <v>165</v>
      </c>
      <c r="B80" s="165" t="s">
        <v>166</v>
      </c>
      <c r="C80" s="166"/>
      <c r="D80" s="166"/>
      <c r="E80" s="167"/>
      <c r="F80" s="166"/>
      <c r="G80" s="166"/>
      <c r="H80" s="154"/>
      <c r="I80" s="154"/>
      <c r="J80" s="154"/>
      <c r="K80" s="154"/>
      <c r="L80" s="168"/>
      <c r="M80" s="168"/>
      <c r="N80" s="168"/>
      <c r="O80" s="168"/>
      <c r="P80" s="168"/>
      <c r="Q80" s="168"/>
      <c r="R80" s="168"/>
      <c r="S80" s="168"/>
      <c r="T80" s="168"/>
      <c r="U80" s="168"/>
      <c r="V80" s="168"/>
      <c r="W80" s="168"/>
      <c r="X80" s="168"/>
      <c r="Y80" s="168"/>
      <c r="Z80" s="168"/>
      <c r="AA80" s="169"/>
    </row>
    <row r="81" spans="1:27">
      <c r="A81" s="171" t="s">
        <v>167</v>
      </c>
      <c r="B81" s="165" t="s">
        <v>168</v>
      </c>
      <c r="C81" s="166"/>
      <c r="D81" s="166"/>
      <c r="E81" s="167"/>
      <c r="F81" s="166"/>
      <c r="G81" s="166"/>
      <c r="H81" s="154"/>
      <c r="I81" s="154"/>
      <c r="J81" s="154"/>
      <c r="K81" s="154"/>
      <c r="L81" s="168"/>
      <c r="M81" s="168">
        <v>0.1</v>
      </c>
      <c r="N81" s="168"/>
      <c r="O81" s="168"/>
      <c r="P81" s="168"/>
      <c r="Q81" s="168"/>
      <c r="R81" s="168"/>
      <c r="S81" s="168"/>
      <c r="T81" s="168"/>
      <c r="U81" s="168"/>
      <c r="V81" s="168"/>
      <c r="W81" s="168"/>
      <c r="X81" s="168"/>
      <c r="Y81" s="168"/>
      <c r="Z81" s="168"/>
      <c r="AA81" s="169"/>
    </row>
    <row r="82" spans="1:27">
      <c r="A82" s="129" t="s">
        <v>277</v>
      </c>
      <c r="B82" s="130" t="s">
        <v>278</v>
      </c>
      <c r="C82" s="166"/>
      <c r="D82" s="166"/>
      <c r="E82" s="167"/>
      <c r="F82" s="166"/>
      <c r="G82" s="166"/>
      <c r="H82" s="154"/>
      <c r="I82" s="154"/>
      <c r="J82" s="154"/>
      <c r="K82" s="154"/>
      <c r="L82" s="168"/>
      <c r="M82" s="168"/>
      <c r="N82" s="168"/>
      <c r="O82" s="168"/>
      <c r="P82" s="168"/>
      <c r="Q82" s="168"/>
      <c r="R82" s="168"/>
      <c r="S82" s="168"/>
      <c r="T82" s="168"/>
      <c r="U82" s="168"/>
      <c r="V82" s="168">
        <v>0.25</v>
      </c>
      <c r="W82" s="168">
        <v>0.2</v>
      </c>
      <c r="X82" s="168">
        <v>0.1666</v>
      </c>
      <c r="Y82" s="168"/>
      <c r="Z82" s="168"/>
      <c r="AA82" s="169"/>
    </row>
    <row r="83" spans="1:27">
      <c r="A83" s="129" t="s">
        <v>279</v>
      </c>
      <c r="B83" s="130" t="s">
        <v>280</v>
      </c>
      <c r="C83" s="166"/>
      <c r="D83" s="166"/>
      <c r="E83" s="167"/>
      <c r="F83" s="166"/>
      <c r="G83" s="166"/>
      <c r="H83" s="154"/>
      <c r="I83" s="154">
        <v>0.4</v>
      </c>
      <c r="J83" s="154"/>
      <c r="K83" s="154">
        <v>0.4</v>
      </c>
      <c r="L83" s="168"/>
      <c r="M83" s="168"/>
      <c r="N83" s="168"/>
      <c r="O83" s="168"/>
      <c r="P83" s="168"/>
      <c r="Q83" s="168"/>
      <c r="R83" s="168"/>
      <c r="S83" s="168"/>
      <c r="T83" s="168"/>
      <c r="U83" s="168"/>
      <c r="V83" s="168"/>
      <c r="W83" s="168"/>
      <c r="X83" s="168"/>
      <c r="Y83" s="168"/>
      <c r="Z83" s="168"/>
      <c r="AA83" s="169"/>
    </row>
    <row r="84" spans="1:27">
      <c r="A84" s="52" t="s">
        <v>281</v>
      </c>
      <c r="B84" s="123" t="s">
        <v>281</v>
      </c>
      <c r="C84" s="166"/>
      <c r="D84" s="166"/>
      <c r="E84" s="167"/>
      <c r="F84" s="166"/>
      <c r="G84" s="166"/>
      <c r="H84" s="154"/>
      <c r="I84" s="154"/>
      <c r="J84" s="154"/>
      <c r="K84" s="154"/>
      <c r="L84" s="168"/>
      <c r="M84" s="168"/>
      <c r="N84" s="168"/>
      <c r="O84" s="168"/>
      <c r="P84" s="168"/>
      <c r="Q84" s="168"/>
      <c r="R84" s="168"/>
      <c r="S84" s="168"/>
      <c r="T84" s="168"/>
      <c r="U84" s="168"/>
      <c r="V84" s="168"/>
      <c r="W84" s="168"/>
      <c r="X84" s="168"/>
      <c r="Y84" s="168">
        <v>0.25</v>
      </c>
      <c r="Z84" s="168"/>
      <c r="AA84" s="169"/>
    </row>
    <row r="85" spans="1:27">
      <c r="A85" s="174" t="s">
        <v>447</v>
      </c>
      <c r="B85" s="174" t="s">
        <v>449</v>
      </c>
      <c r="C85" s="166"/>
      <c r="D85" s="166"/>
      <c r="E85" s="167"/>
      <c r="F85" s="166"/>
      <c r="G85" s="166"/>
      <c r="H85" s="154"/>
      <c r="I85" s="154"/>
      <c r="J85" s="154"/>
      <c r="K85" s="154"/>
      <c r="L85" s="168"/>
      <c r="M85" s="168"/>
      <c r="N85" s="168"/>
      <c r="O85" s="168">
        <v>0.12</v>
      </c>
      <c r="P85" s="168"/>
      <c r="Q85" s="168"/>
      <c r="R85" s="168"/>
      <c r="S85" s="168"/>
      <c r="T85" s="168"/>
      <c r="U85" s="168"/>
      <c r="V85" s="168"/>
      <c r="W85" s="168"/>
      <c r="X85" s="168"/>
      <c r="Y85" s="168"/>
      <c r="Z85" s="168"/>
      <c r="AA85" s="169"/>
    </row>
    <row r="86" spans="1:27">
      <c r="A86" s="469"/>
      <c r="B86" s="469"/>
      <c r="C86" s="166"/>
      <c r="D86" s="166"/>
      <c r="E86" s="167"/>
      <c r="F86" s="166"/>
      <c r="G86" s="166"/>
      <c r="H86" s="154"/>
      <c r="I86" s="154"/>
      <c r="J86" s="154"/>
      <c r="K86" s="154"/>
      <c r="L86" s="168"/>
      <c r="M86" s="168"/>
      <c r="N86" s="168"/>
      <c r="O86" s="168"/>
      <c r="P86" s="168"/>
      <c r="Q86" s="168"/>
      <c r="R86" s="168"/>
      <c r="S86" s="168"/>
      <c r="T86" s="168"/>
      <c r="U86" s="168"/>
      <c r="V86" s="168"/>
      <c r="W86" s="168"/>
      <c r="X86" s="168"/>
      <c r="Y86" s="168"/>
      <c r="Z86" s="168"/>
      <c r="AA86" s="169"/>
    </row>
    <row r="87" spans="1:27">
      <c r="A87" s="469"/>
      <c r="B87" s="469"/>
      <c r="C87" s="166"/>
      <c r="D87" s="166"/>
      <c r="E87" s="167"/>
      <c r="F87" s="166"/>
      <c r="G87" s="166"/>
      <c r="H87" s="154"/>
      <c r="I87" s="154"/>
      <c r="J87" s="154"/>
      <c r="K87" s="154"/>
      <c r="L87" s="168"/>
      <c r="M87" s="168"/>
      <c r="N87" s="168"/>
      <c r="O87" s="168"/>
      <c r="P87" s="168"/>
      <c r="Q87" s="168"/>
      <c r="R87" s="168"/>
      <c r="S87" s="168"/>
      <c r="T87" s="168"/>
      <c r="U87" s="168"/>
      <c r="V87" s="168"/>
      <c r="W87" s="168"/>
      <c r="X87" s="168"/>
      <c r="Y87" s="168"/>
      <c r="Z87" s="168"/>
      <c r="AA87" s="169"/>
    </row>
    <row r="88" spans="1:27">
      <c r="A88" s="469"/>
      <c r="B88" s="469"/>
      <c r="C88" s="166"/>
      <c r="D88" s="166"/>
      <c r="E88" s="167"/>
      <c r="F88" s="166"/>
      <c r="G88" s="166"/>
      <c r="H88" s="154"/>
      <c r="I88" s="154"/>
      <c r="J88" s="154"/>
      <c r="K88" s="154"/>
      <c r="L88" s="168"/>
      <c r="M88" s="168"/>
      <c r="N88" s="168"/>
      <c r="O88" s="168"/>
      <c r="P88" s="168"/>
      <c r="Q88" s="168"/>
      <c r="R88" s="168"/>
      <c r="S88" s="168"/>
      <c r="T88" s="168"/>
      <c r="U88" s="168"/>
      <c r="V88" s="168"/>
      <c r="W88" s="168"/>
      <c r="X88" s="168"/>
      <c r="Y88" s="168"/>
      <c r="Z88" s="168"/>
      <c r="AA88" s="169"/>
    </row>
    <row r="89" spans="1:27">
      <c r="A89" s="469"/>
      <c r="B89" s="469"/>
      <c r="C89" s="166"/>
      <c r="D89" s="166"/>
      <c r="E89" s="167"/>
      <c r="F89" s="166"/>
      <c r="G89" s="166"/>
      <c r="H89" s="154"/>
      <c r="I89" s="154"/>
      <c r="J89" s="154"/>
      <c r="K89" s="154"/>
      <c r="L89" s="168"/>
      <c r="M89" s="168"/>
      <c r="N89" s="168"/>
      <c r="O89" s="168"/>
      <c r="P89" s="168"/>
      <c r="Q89" s="168"/>
      <c r="R89" s="168"/>
      <c r="S89" s="168"/>
      <c r="T89" s="168"/>
      <c r="U89" s="168"/>
      <c r="V89" s="168"/>
      <c r="W89" s="168"/>
      <c r="X89" s="168"/>
      <c r="Y89" s="168"/>
      <c r="Z89" s="168"/>
      <c r="AA89" s="169"/>
    </row>
    <row r="90" spans="1:27">
      <c r="A90" s="469"/>
      <c r="B90" s="469"/>
      <c r="C90" s="166"/>
      <c r="D90" s="166"/>
      <c r="E90" s="167"/>
      <c r="F90" s="166"/>
      <c r="G90" s="166"/>
      <c r="H90" s="154"/>
      <c r="I90" s="154"/>
      <c r="J90" s="154"/>
      <c r="K90" s="154"/>
      <c r="L90" s="168"/>
      <c r="M90" s="168"/>
      <c r="N90" s="168"/>
      <c r="O90" s="168"/>
      <c r="P90" s="168"/>
      <c r="Q90" s="168"/>
      <c r="R90" s="168"/>
      <c r="S90" s="168"/>
      <c r="T90" s="168"/>
      <c r="U90" s="168"/>
      <c r="V90" s="168"/>
      <c r="W90" s="168"/>
      <c r="X90" s="168"/>
      <c r="Y90" s="168"/>
      <c r="Z90" s="168"/>
      <c r="AA90" s="169"/>
    </row>
    <row r="91" spans="1:27">
      <c r="A91" s="469"/>
      <c r="B91" s="469"/>
      <c r="C91" s="166"/>
      <c r="D91" s="166"/>
      <c r="E91" s="167"/>
      <c r="F91" s="166"/>
      <c r="G91" s="166"/>
      <c r="H91" s="154"/>
      <c r="I91" s="154"/>
      <c r="J91" s="154"/>
      <c r="K91" s="154"/>
      <c r="L91" s="168"/>
      <c r="M91" s="168"/>
      <c r="N91" s="168"/>
      <c r="O91" s="168"/>
      <c r="P91" s="168"/>
      <c r="Q91" s="168"/>
      <c r="R91" s="168"/>
      <c r="S91" s="168"/>
      <c r="T91" s="168"/>
      <c r="U91" s="168"/>
      <c r="V91" s="168"/>
      <c r="W91" s="168"/>
      <c r="X91" s="168"/>
      <c r="Y91" s="168"/>
      <c r="Z91" s="168"/>
      <c r="AA91" s="169"/>
    </row>
    <row r="92" spans="1:27">
      <c r="A92" s="469"/>
      <c r="B92" s="469"/>
      <c r="C92" s="166"/>
      <c r="D92" s="166"/>
      <c r="E92" s="167"/>
      <c r="F92" s="166"/>
      <c r="G92" s="166"/>
      <c r="H92" s="154"/>
      <c r="I92" s="154"/>
      <c r="J92" s="154"/>
      <c r="K92" s="154"/>
      <c r="L92" s="168"/>
      <c r="M92" s="168"/>
      <c r="N92" s="168"/>
      <c r="O92" s="168"/>
      <c r="P92" s="168"/>
      <c r="Q92" s="168"/>
      <c r="R92" s="168"/>
      <c r="S92" s="168"/>
      <c r="T92" s="168"/>
      <c r="U92" s="168"/>
      <c r="V92" s="168"/>
      <c r="W92" s="168"/>
      <c r="X92" s="168"/>
      <c r="Y92" s="168"/>
      <c r="Z92" s="168"/>
      <c r="AA92" s="169"/>
    </row>
    <row r="93" spans="1:27">
      <c r="A93" s="469"/>
      <c r="B93" s="469"/>
      <c r="C93" s="166"/>
      <c r="D93" s="166"/>
      <c r="E93" s="167"/>
      <c r="F93" s="166"/>
      <c r="G93" s="166"/>
      <c r="H93" s="154"/>
      <c r="I93" s="154"/>
      <c r="J93" s="154"/>
      <c r="K93" s="154"/>
      <c r="L93" s="168"/>
      <c r="M93" s="168"/>
      <c r="N93" s="168"/>
      <c r="O93" s="168"/>
      <c r="P93" s="168"/>
      <c r="Q93" s="168"/>
      <c r="R93" s="168"/>
      <c r="S93" s="168"/>
      <c r="T93" s="168"/>
      <c r="U93" s="168"/>
      <c r="V93" s="168"/>
      <c r="W93" s="168"/>
      <c r="X93" s="168"/>
      <c r="Y93" s="168"/>
      <c r="Z93" s="168"/>
      <c r="AA93" s="169"/>
    </row>
    <row r="94" spans="1:27">
      <c r="A94" s="469"/>
      <c r="B94" s="469"/>
      <c r="C94" s="175"/>
      <c r="D94" s="175"/>
      <c r="E94" s="176"/>
      <c r="F94" s="175"/>
      <c r="G94" s="175"/>
      <c r="H94" s="177"/>
      <c r="I94" s="177"/>
      <c r="J94" s="177"/>
      <c r="K94" s="177"/>
      <c r="L94" s="178"/>
      <c r="M94" s="178"/>
      <c r="N94" s="178"/>
      <c r="O94" s="178"/>
      <c r="P94" s="178"/>
      <c r="Q94" s="178"/>
      <c r="R94" s="178"/>
      <c r="S94" s="178"/>
      <c r="T94" s="178"/>
      <c r="U94" s="178"/>
      <c r="V94" s="178"/>
      <c r="W94" s="178"/>
      <c r="X94" s="178"/>
      <c r="Y94" s="178"/>
      <c r="Z94" s="178"/>
      <c r="AA94" s="179"/>
    </row>
    <row r="95" spans="1:27">
      <c r="A95" s="155"/>
      <c r="B95" s="155"/>
      <c r="C95" s="180">
        <f t="shared" ref="C95:N95" si="3">SUM(C45:C94)</f>
        <v>1</v>
      </c>
      <c r="D95" s="180">
        <f t="shared" si="3"/>
        <v>1</v>
      </c>
      <c r="E95" s="180">
        <f t="shared" si="3"/>
        <v>1</v>
      </c>
      <c r="F95" s="180">
        <f t="shared" si="3"/>
        <v>1</v>
      </c>
      <c r="G95" s="180">
        <f t="shared" si="3"/>
        <v>1</v>
      </c>
      <c r="H95" s="180">
        <f t="shared" si="3"/>
        <v>1</v>
      </c>
      <c r="I95" s="180">
        <f t="shared" si="3"/>
        <v>1</v>
      </c>
      <c r="J95" s="180">
        <f t="shared" si="3"/>
        <v>1</v>
      </c>
      <c r="K95" s="180">
        <f t="shared" si="3"/>
        <v>1</v>
      </c>
      <c r="L95" s="180">
        <f t="shared" si="3"/>
        <v>1</v>
      </c>
      <c r="M95" s="180">
        <f t="shared" si="3"/>
        <v>1.0000000000000002</v>
      </c>
      <c r="N95" s="180">
        <f t="shared" si="3"/>
        <v>1</v>
      </c>
      <c r="O95" s="180">
        <f t="shared" ref="O95:AA95" si="4">SUM(O45:O94)</f>
        <v>0.99999999999999989</v>
      </c>
      <c r="P95" s="180">
        <f t="shared" si="4"/>
        <v>1</v>
      </c>
      <c r="Q95" s="180">
        <f t="shared" si="4"/>
        <v>1</v>
      </c>
      <c r="R95" s="180">
        <f t="shared" si="4"/>
        <v>0.99999999999999989</v>
      </c>
      <c r="S95" s="180">
        <f t="shared" si="4"/>
        <v>1</v>
      </c>
      <c r="T95" s="180">
        <f t="shared" ref="T95:Z95" si="5">SUM(T45:T94)</f>
        <v>1</v>
      </c>
      <c r="U95" s="180">
        <f t="shared" si="5"/>
        <v>1</v>
      </c>
      <c r="V95" s="180">
        <f t="shared" si="5"/>
        <v>1</v>
      </c>
      <c r="W95" s="180">
        <f t="shared" si="5"/>
        <v>1</v>
      </c>
      <c r="X95" s="180">
        <f t="shared" si="5"/>
        <v>0.99969999999999992</v>
      </c>
      <c r="Y95" s="180">
        <f t="shared" si="5"/>
        <v>1</v>
      </c>
      <c r="Z95" s="180">
        <f t="shared" si="5"/>
        <v>1</v>
      </c>
      <c r="AA95" s="180">
        <f t="shared" si="4"/>
        <v>0.99999999999999989</v>
      </c>
    </row>
    <row r="98" spans="1:27">
      <c r="L98" s="128"/>
      <c r="M98" s="128"/>
      <c r="N98" s="128"/>
      <c r="O98" s="128"/>
      <c r="P98" s="128"/>
      <c r="Q98" s="128"/>
      <c r="R98" s="128"/>
      <c r="S98" s="128"/>
      <c r="T98" s="128"/>
      <c r="U98" s="128"/>
      <c r="V98" s="128"/>
      <c r="W98" s="128"/>
      <c r="X98" s="128"/>
      <c r="Y98" s="128"/>
      <c r="Z98" s="128"/>
    </row>
    <row r="99" spans="1:27">
      <c r="C99" s="181" t="str">
        <f t="shared" ref="C99:AA99" si="6">C43</f>
        <v>P1</v>
      </c>
      <c r="D99" s="181" t="str">
        <f t="shared" si="6"/>
        <v>P2</v>
      </c>
      <c r="E99" s="181" t="str">
        <f t="shared" si="6"/>
        <v>P3</v>
      </c>
      <c r="F99" s="181" t="str">
        <f t="shared" si="6"/>
        <v>P4</v>
      </c>
      <c r="G99" s="181" t="str">
        <f t="shared" si="6"/>
        <v>P5</v>
      </c>
      <c r="H99" s="181" t="str">
        <f t="shared" si="6"/>
        <v>P6</v>
      </c>
      <c r="I99" s="181" t="str">
        <f t="shared" si="6"/>
        <v>P7</v>
      </c>
      <c r="J99" s="181" t="str">
        <f t="shared" si="6"/>
        <v>P8</v>
      </c>
      <c r="K99" s="181" t="str">
        <f t="shared" si="6"/>
        <v>P9</v>
      </c>
      <c r="L99" s="181" t="str">
        <f t="shared" si="6"/>
        <v>P10</v>
      </c>
      <c r="M99" s="181" t="str">
        <f t="shared" si="6"/>
        <v>P11</v>
      </c>
      <c r="N99" s="181" t="str">
        <f t="shared" si="6"/>
        <v>P12</v>
      </c>
      <c r="O99" s="181" t="str">
        <f t="shared" si="6"/>
        <v>P13</v>
      </c>
      <c r="P99" s="181" t="str">
        <f t="shared" si="6"/>
        <v>P14</v>
      </c>
      <c r="Q99" s="181" t="str">
        <f t="shared" si="6"/>
        <v>P15</v>
      </c>
      <c r="R99" s="181" t="str">
        <f t="shared" si="6"/>
        <v>P16</v>
      </c>
      <c r="S99" s="181" t="str">
        <f t="shared" si="6"/>
        <v>P17</v>
      </c>
      <c r="T99" s="181" t="str">
        <f t="shared" si="6"/>
        <v>P18</v>
      </c>
      <c r="U99" s="181" t="str">
        <f t="shared" si="6"/>
        <v>P19</v>
      </c>
      <c r="V99" s="181" t="str">
        <f t="shared" si="6"/>
        <v>P20</v>
      </c>
      <c r="W99" s="181" t="str">
        <f t="shared" si="6"/>
        <v>P21</v>
      </c>
      <c r="X99" s="181" t="str">
        <f t="shared" si="6"/>
        <v>P22</v>
      </c>
      <c r="Y99" s="181" t="str">
        <f t="shared" si="6"/>
        <v>P23</v>
      </c>
      <c r="Z99" s="181" t="str">
        <f t="shared" si="6"/>
        <v>P24</v>
      </c>
      <c r="AA99" s="181" t="str">
        <f t="shared" si="6"/>
        <v>P25</v>
      </c>
    </row>
    <row r="100" spans="1:27" s="26" customFormat="1" ht="60">
      <c r="C100" s="181" t="str">
        <f>C44</f>
        <v>Wellington</v>
      </c>
      <c r="D100" s="181" t="str">
        <f>D44</f>
        <v>Wellesley</v>
      </c>
      <c r="E100" s="181" t="str">
        <f t="shared" ref="E100:AA100" si="7">E44</f>
        <v>P3</v>
      </c>
      <c r="F100" s="182" t="str">
        <f t="shared" si="7"/>
        <v>Taylor_x000D_Larimore_x000D_3 Fund</v>
      </c>
      <c r="G100" s="181" t="str">
        <f t="shared" si="7"/>
        <v>Taylor_x000D_Larimore_x000D_4 Fund</v>
      </c>
      <c r="H100" s="181" t="str">
        <f t="shared" si="7"/>
        <v>Rick Ferri _x000D_Core Four</v>
      </c>
      <c r="I100" s="181" t="str">
        <f t="shared" si="7"/>
        <v>Bill_x000D_Berstein_x000D_No Brainer_x000D_Cowards</v>
      </c>
      <c r="J100" s="182" t="str">
        <f t="shared" si="7"/>
        <v>Bill_x000D_Berstein_x000D_No Brainer</v>
      </c>
      <c r="K100" s="182" t="str">
        <f t="shared" si="7"/>
        <v>Bill _x000D_Bernstein_x000D_Smart_x000D_Money</v>
      </c>
      <c r="L100" s="181" t="str">
        <f t="shared" si="7"/>
        <v>Dilbert's Portfolio</v>
      </c>
      <c r="M100" s="181" t="str">
        <f t="shared" si="7"/>
        <v>Ted _x000D_Aronson _x000D_Family_x000D_Taxable</v>
      </c>
      <c r="N100" s="181" t="str">
        <f t="shared" si="7"/>
        <v>Bill_x000D_Schultheis_x000D_Coffee House</v>
      </c>
      <c r="O100" s="182" t="str">
        <f t="shared" si="7"/>
        <v>FundAdvice_x000D_Ultimate_x000D_Buy &amp; Hold</v>
      </c>
      <c r="P100" s="181" t="str">
        <f t="shared" si="7"/>
        <v>David_x000D_Swenson _x000D_Lazy Portfolio</v>
      </c>
      <c r="Q100" s="182" t="str">
        <f t="shared" si="7"/>
        <v>David _x000D_Swenson _x000D_Yale _x000D_Endowment</v>
      </c>
      <c r="R100" s="181" t="str">
        <f t="shared" si="7"/>
        <v>2nd Grader</v>
      </c>
      <c r="S100" s="182" t="str">
        <f t="shared" si="7"/>
        <v>Frank_x000D_Armstrong_x000D_Ideal Idx</v>
      </c>
      <c r="T100" s="182" t="str">
        <f t="shared" si="7"/>
        <v>Scott Burns Couch Portfolio</v>
      </c>
      <c r="U100" s="182" t="str">
        <f t="shared" si="7"/>
        <v>Scott Burns Margaritaville</v>
      </c>
      <c r="V100" s="181" t="str">
        <f t="shared" si="7"/>
        <v>Scott Burns Four Square</v>
      </c>
      <c r="W100" s="181" t="str">
        <f t="shared" si="7"/>
        <v>Scott Burns Five Fold</v>
      </c>
      <c r="X100" s="181" t="str">
        <f t="shared" si="7"/>
        <v>Scott Burns Six Ways from Sunday</v>
      </c>
      <c r="Y100" s="182" t="str">
        <f t="shared" si="7"/>
        <v>Harry Browne_x000D_Permanent</v>
      </c>
      <c r="Z100" s="181" t="str">
        <f t="shared" si="7"/>
        <v>Larry_x000D_Swedroe_x000D_Simple Portfolio</v>
      </c>
      <c r="AA100" s="181" t="str">
        <f t="shared" si="7"/>
        <v>Larry_x000D_Swedroe_x000D_Minimize FatTails Portfolio</v>
      </c>
    </row>
    <row r="101" spans="1:27">
      <c r="A101" s="135" t="s">
        <v>199</v>
      </c>
      <c r="C101" s="183">
        <f>AVERAGE(C$116:C$147)</f>
        <v>0.11099032258064516</v>
      </c>
      <c r="D101" s="183">
        <f t="shared" ref="D101:AA101" si="8">AVERAGE(D$116:D$147)</f>
        <v>9.9890322580645161E-2</v>
      </c>
      <c r="E101" s="183">
        <f t="shared" si="8"/>
        <v>0.11157393430819916</v>
      </c>
      <c r="F101" s="183">
        <f t="shared" si="8"/>
        <v>0.11146622001590668</v>
      </c>
      <c r="G101" s="183">
        <f t="shared" si="8"/>
        <v>0.11171436566010216</v>
      </c>
      <c r="H101" s="183">
        <f t="shared" si="8"/>
        <v>0.11152766948349162</v>
      </c>
      <c r="I101" s="183">
        <f t="shared" si="8"/>
        <v>0.10033514545923475</v>
      </c>
      <c r="J101" s="183">
        <f t="shared" si="8"/>
        <v>0.10728892319362993</v>
      </c>
      <c r="K101" s="183">
        <f t="shared" si="8"/>
        <v>0.10033514545923475</v>
      </c>
      <c r="L101" s="183">
        <f t="shared" si="8"/>
        <v>0.10618916212884297</v>
      </c>
      <c r="M101" s="183">
        <f t="shared" si="8"/>
        <v>0.11374387173015632</v>
      </c>
      <c r="N101" s="183">
        <f t="shared" si="8"/>
        <v>0.10105155278471439</v>
      </c>
      <c r="O101" s="183">
        <f t="shared" si="8"/>
        <v>0.10909840203910583</v>
      </c>
      <c r="P101" s="183">
        <f t="shared" si="8"/>
        <v>0.10654992205969059</v>
      </c>
      <c r="Q101" s="183">
        <f t="shared" si="8"/>
        <v>0.11298090042553957</v>
      </c>
      <c r="R101" s="183">
        <f t="shared" si="8"/>
        <v>0.11709913783945824</v>
      </c>
      <c r="S101" s="183">
        <f t="shared" si="8"/>
        <v>0.10122280676304941</v>
      </c>
      <c r="T101" s="183">
        <f t="shared" si="8"/>
        <v>9.6660345991108149E-2</v>
      </c>
      <c r="U101" s="183">
        <f t="shared" si="8"/>
        <v>0.10527412537935954</v>
      </c>
      <c r="V101" s="183">
        <f t="shared" si="8"/>
        <v>9.4257732364941421E-2</v>
      </c>
      <c r="W101" s="183">
        <f t="shared" si="8"/>
        <v>9.997464814815156E-2</v>
      </c>
      <c r="X101" s="183">
        <f t="shared" si="8"/>
        <v>0.10475769660495086</v>
      </c>
      <c r="Y101" s="183">
        <f t="shared" si="8"/>
        <v>7.5362639161776851E-2</v>
      </c>
      <c r="Z101" s="183">
        <f t="shared" si="8"/>
        <v>0.10558440461746715</v>
      </c>
      <c r="AA101" s="183">
        <f t="shared" si="8"/>
        <v>9.1644059095005684E-2</v>
      </c>
    </row>
    <row r="102" spans="1:27">
      <c r="A102" s="135" t="s">
        <v>200</v>
      </c>
      <c r="C102" s="183">
        <f>STDEV(C$116:C$147)</f>
        <v>0.11199534917378996</v>
      </c>
      <c r="D102" s="183">
        <f t="shared" ref="D102:AA102" si="9">STDEV(D$116:D$147)</f>
        <v>8.8899513890079704E-2</v>
      </c>
      <c r="E102" s="183">
        <f t="shared" si="9"/>
        <v>0.14227075765594016</v>
      </c>
      <c r="F102" s="183">
        <f t="shared" si="9"/>
        <v>0.14846571336885697</v>
      </c>
      <c r="G102" s="183">
        <f t="shared" si="9"/>
        <v>0.14878249827782541</v>
      </c>
      <c r="H102" s="183">
        <f t="shared" si="9"/>
        <v>0.14027423621121535</v>
      </c>
      <c r="I102" s="183">
        <f t="shared" si="9"/>
        <v>0.11249239836353377</v>
      </c>
      <c r="J102" s="183">
        <f t="shared" si="9"/>
        <v>0.13769491163461497</v>
      </c>
      <c r="K102" s="183">
        <f t="shared" si="9"/>
        <v>0.11249239836353377</v>
      </c>
      <c r="L102" s="183">
        <f t="shared" si="9"/>
        <v>0.12655940078580333</v>
      </c>
      <c r="M102" s="183">
        <f t="shared" si="9"/>
        <v>0.14058340717423995</v>
      </c>
      <c r="N102" s="183">
        <f t="shared" si="9"/>
        <v>0.10448685296441655</v>
      </c>
      <c r="O102" s="183">
        <f t="shared" si="9"/>
        <v>0.11653108092600253</v>
      </c>
      <c r="P102" s="183">
        <f t="shared" si="9"/>
        <v>0.11835936347231361</v>
      </c>
      <c r="Q102" s="183">
        <f t="shared" si="9"/>
        <v>0.11838787730900133</v>
      </c>
      <c r="R102" s="183">
        <f t="shared" si="9"/>
        <v>0.16378796477351173</v>
      </c>
      <c r="S102" s="183">
        <f t="shared" si="9"/>
        <v>0.12464390533515439</v>
      </c>
      <c r="T102" s="183">
        <f t="shared" si="9"/>
        <v>9.4247992176169165E-2</v>
      </c>
      <c r="U102" s="183">
        <f t="shared" si="9"/>
        <v>0.13449850171666117</v>
      </c>
      <c r="V102" s="183">
        <f t="shared" si="9"/>
        <v>0.1067975475539808</v>
      </c>
      <c r="W102" s="183">
        <f t="shared" si="9"/>
        <v>0.10821768535100017</v>
      </c>
      <c r="X102" s="183">
        <f t="shared" si="9"/>
        <v>0.1142564473329066</v>
      </c>
      <c r="Y102" s="183">
        <f t="shared" si="9"/>
        <v>5.969861927704468E-2</v>
      </c>
      <c r="Z102" s="183">
        <f t="shared" si="9"/>
        <v>0.11414332809684849</v>
      </c>
      <c r="AA102" s="183">
        <f t="shared" si="9"/>
        <v>8.4452678780779139E-2</v>
      </c>
    </row>
    <row r="103" spans="1:27">
      <c r="A103" s="135" t="s">
        <v>201</v>
      </c>
      <c r="C103" s="183">
        <f t="array" aca="1" ref="C103" ca="1">SQRT(SUM(IF(OFFSET(C$116,$E$7,0,$E$8,1)&lt;Mar85_Lazy_Nominal,(OFFSET(C$116,$E$7,0,$E$8,1)-Mar85_Lazy_Nominal)^2))/$E$8)</f>
        <v>5.7140599091330235E-2</v>
      </c>
      <c r="D103" s="183">
        <f t="array" aca="1" ref="D103" ca="1">SQRT(SUM(IF(OFFSET(D$116,$E$7,0,$E$8,1)&lt;Mar85_Lazy_Nominal,(OFFSET(D$116,$E$7,0,$E$8,1)-Mar85_Lazy_Nominal)^2))/$E$8)</f>
        <v>3.8461593746858529E-2</v>
      </c>
      <c r="E103" s="183">
        <f t="array" aca="1" ref="E103" ca="1">SQRT(SUM(IF(OFFSET(E$116,$E$7,0,$E$8,1)&lt;Mar85_Lazy_Nominal,(OFFSET(E$116,$E$7,0,$E$8,1)-Mar85_Lazy_Nominal)^2))/$E$8)</f>
        <v>7.9270675227240225E-2</v>
      </c>
      <c r="F103" s="183">
        <f t="array" aca="1" ref="F103" ca="1">SQRT(SUM(IF(OFFSET(F$116,$E$7,0,$E$8,1)&lt;Mar85_Lazy_Nominal,(OFFSET(F$116,$E$7,0,$E$8,1)-Mar85_Lazy_Nominal)^2))/$E$8)</f>
        <v>8.5539282505330452E-2</v>
      </c>
      <c r="G103" s="183">
        <f t="array" aca="1" ref="G103" ca="1">SQRT(SUM(IF(OFFSET(G$116,$E$7,0,$E$8,1)&lt;Mar85_Lazy_Nominal,(OFFSET(G$116,$E$7,0,$E$8,1)-Mar85_Lazy_Nominal)^2))/$E$8)</f>
        <v>8.6387951711051791E-2</v>
      </c>
      <c r="H103" s="183">
        <f t="array" aca="1" ref="H103" ca="1">SQRT(SUM(IF(OFFSET(H$116,$E$7,0,$E$8,1)&lt;Mar85_Lazy_Nominal,(OFFSET(H$116,$E$7,0,$E$8,1)-Mar85_Lazy_Nominal)^2))/$E$8)</f>
        <v>8.0579159297289663E-2</v>
      </c>
      <c r="I103" s="183">
        <f t="array" aca="1" ref="I103" ca="1">SQRT(SUM(IF(OFFSET(I$116,$E$7,0,$E$8,1)&lt;Mar85_Lazy_Nominal,(OFFSET(I$116,$E$7,0,$E$8,1)-Mar85_Lazy_Nominal)^2))/$E$8)</f>
        <v>6.3156848165367707E-2</v>
      </c>
      <c r="J103" s="183">
        <f t="array" aca="1" ref="J103" ca="1">SQRT(SUM(IF(OFFSET(J$116,$E$7,0,$E$8,1)&lt;Mar85_Lazy_Nominal,(OFFSET(J$116,$E$7,0,$E$8,1)-Mar85_Lazy_Nominal)^2))/$E$8)</f>
        <v>7.5903296351450295E-2</v>
      </c>
      <c r="K103" s="183">
        <f t="array" aca="1" ref="K103" ca="1">SQRT(SUM(IF(OFFSET(K$116,$E$7,0,$E$8,1)&lt;Mar85_Lazy_Nominal,(OFFSET(K$116,$E$7,0,$E$8,1)-Mar85_Lazy_Nominal)^2))/$E$8)</f>
        <v>6.3156848165367707E-2</v>
      </c>
      <c r="L103" s="183">
        <f t="array" aca="1" ref="L103" ca="1">SQRT(SUM(IF(OFFSET(L$116,$E$7,0,$E$8,1)&lt;Mar85_Lazy_Nominal,(OFFSET(L$116,$E$7,0,$E$8,1)-Mar85_Lazy_Nominal)^2))/$E$8)</f>
        <v>6.8728259646873346E-2</v>
      </c>
      <c r="M103" s="183">
        <f t="array" aca="1" ref="M103" ca="1">SQRT(SUM(IF(OFFSET(M$116,$E$7,0,$E$8,1)&lt;Mar85_Lazy_Nominal,(OFFSET(M$116,$E$7,0,$E$8,1)-Mar85_Lazy_Nominal)^2))/$E$8)</f>
        <v>7.4173023069156643E-2</v>
      </c>
      <c r="N103" s="183">
        <f t="array" aca="1" ref="N103" ca="1">SQRT(SUM(IF(OFFSET(N$116,$E$7,0,$E$8,1)&lt;Mar85_Lazy_Nominal,(OFFSET(N$116,$E$7,0,$E$8,1)-Mar85_Lazy_Nominal)^2))/$E$8)</f>
        <v>5.5630830412576951E-2</v>
      </c>
      <c r="O103" s="183">
        <f t="array" aca="1" ref="O103" ca="1">SQRT(SUM(IF(OFFSET(O$116,$E$7,0,$E$8,1)&lt;Mar85_Lazy_Nominal,(OFFSET(O$116,$E$7,0,$E$8,1)-Mar85_Lazy_Nominal)^2))/$E$8)</f>
        <v>5.7275477475823504E-2</v>
      </c>
      <c r="P103" s="183">
        <f t="array" aca="1" ref="P103" ca="1">SQRT(SUM(IF(OFFSET(P$116,$E$7,0,$E$8,1)&lt;Mar85_Lazy_Nominal,(OFFSET(P$116,$E$7,0,$E$8,1)-Mar85_Lazy_Nominal)^2))/$E$8)</f>
        <v>6.6289434594569818E-2</v>
      </c>
      <c r="Q103" s="183">
        <f t="array" aca="1" ref="Q103" ca="1">SQRT(SUM(IF(OFFSET(Q$116,$E$7,0,$E$8,1)&lt;Mar85_Lazy_Nominal,(OFFSET(Q$116,$E$7,0,$E$8,1)-Mar85_Lazy_Nominal)^2))/$E$8)</f>
        <v>6.2170803167499608E-2</v>
      </c>
      <c r="R103" s="183">
        <f t="array" aca="1" ref="R103" ca="1">SQRT(SUM(IF(OFFSET(R$116,$E$7,0,$E$8,1)&lt;Mar85_Lazy_Nominal,(OFFSET(R$116,$E$7,0,$E$8,1)-Mar85_Lazy_Nominal)^2))/$E$8)</f>
        <v>9.7103733195944106E-2</v>
      </c>
      <c r="S103" s="183">
        <f t="array" aca="1" ref="S103" ca="1">SQRT(SUM(IF(OFFSET(S$116,$E$7,0,$E$8,1)&lt;Mar85_Lazy_Nominal,(OFFSET(S$116,$E$7,0,$E$8,1)-Mar85_Lazy_Nominal)^2))/$E$8)</f>
        <v>7.0030595744045535E-2</v>
      </c>
      <c r="T103" s="183">
        <f t="array" aca="1" ref="T103" ca="1">SQRT(SUM(IF(OFFSET(T$116,$E$7,0,$E$8,1)&lt;Mar85_Lazy_Nominal,(OFFSET(T$116,$E$7,0,$E$8,1)-Mar85_Lazy_Nominal)^2))/$E$8)</f>
        <v>5.2554104960928875E-2</v>
      </c>
      <c r="U103" s="183">
        <f t="array" aca="1" ref="U103" ca="1">SQRT(SUM(IF(OFFSET(U$116,$E$7,0,$E$8,1)&lt;Mar85_Lazy_Nominal,(OFFSET(U$116,$E$7,0,$E$8,1)-Mar85_Lazy_Nominal)^2))/$E$8)</f>
        <v>7.5788337513072887E-2</v>
      </c>
      <c r="V103" s="183">
        <f t="array" aca="1" ref="V103" ca="1">SQRT(SUM(IF(OFFSET(V$116,$E$7,0,$E$8,1)&lt;Mar85_Lazy_Nominal,(OFFSET(V$116,$E$7,0,$E$8,1)-Mar85_Lazy_Nominal)^2))/$E$8)</f>
        <v>5.9288580782333983E-2</v>
      </c>
      <c r="W103" s="183">
        <f t="array" aca="1" ref="W103" ca="1">SQRT(SUM(IF(OFFSET(W$116,$E$7,0,$E$8,1)&lt;Mar85_Lazy_Nominal,(OFFSET(W$116,$E$7,0,$E$8,1)-Mar85_Lazy_Nominal)^2))/$E$8)</f>
        <v>6.036343674894129E-2</v>
      </c>
      <c r="X103" s="183">
        <f t="array" aca="1" ref="X103" ca="1">SQRT(SUM(IF(OFFSET(X$116,$E$7,0,$E$8,1)&lt;Mar85_Lazy_Nominal,(OFFSET(X$116,$E$7,0,$E$8,1)-Mar85_Lazy_Nominal)^2))/$E$8)</f>
        <v>6.6159159554028374E-2</v>
      </c>
      <c r="Y103" s="183">
        <f t="array" aca="1" ref="Y103" ca="1">SQRT(SUM(IF(OFFSET(Y$116,$E$7,0,$E$8,1)&lt;Mar85_Lazy_Nominal,(OFFSET(Y$116,$E$7,0,$E$8,1)-Mar85_Lazy_Nominal)^2))/$E$8)</f>
        <v>2.8703417251745026E-2</v>
      </c>
      <c r="Z103" s="183">
        <f t="array" aca="1" ref="Z103" ca="1">SQRT(SUM(IF(OFFSET(Z$116,$E$7,0,$E$8,1)&lt;Mar85_Lazy_Nominal,(OFFSET(Z$116,$E$7,0,$E$8,1)-Mar85_Lazy_Nominal)^2))/$E$8)</f>
        <v>6.1192497340258459E-2</v>
      </c>
      <c r="AA103" s="183">
        <f t="array" aca="1" ref="AA103" ca="1">SQRT(SUM(IF(OFFSET(AA$116,$E$7,0,$E$8,1)&lt;Mar85_Lazy_Nominal,(OFFSET(AA$116,$E$7,0,$E$8,1)-Mar85_Lazy_Nominal)^2))/$E$8)</f>
        <v>3.8044026558219632E-2</v>
      </c>
    </row>
    <row r="104" spans="1:27">
      <c r="A104" s="135" t="s">
        <v>202</v>
      </c>
      <c r="C104" s="183">
        <f t="array" aca="1" ref="C104" ca="1">STDEV(IF(OFFSET(C$116,$E$7,0,$E$8,1)&gt;Mar85_Lazy_Nominal,OFFSET(C$116,$E$7,0,$E$8,1)))</f>
        <v>6.9773748148826864E-2</v>
      </c>
      <c r="D104" s="183">
        <f t="array" aca="1" ref="D104" ca="1">STDEV(IF(OFFSET(D$116,$E$7,0,$E$8,1)&gt;Mar85_Lazy_Nominal,OFFSET(D$116,$E$7,0,$E$8,1)))</f>
        <v>6.4409272526180422E-2</v>
      </c>
      <c r="E104" s="183">
        <f t="array" aca="1" ref="E104" ca="1">STDEV(IF(OFFSET(E$116,$E$7,0,$E$8,1)&gt;Mar85_Lazy_Nominal,OFFSET(E$116,$E$7,0,$E$8,1)))</f>
        <v>8.1752662248246705E-2</v>
      </c>
      <c r="F104" s="183">
        <f t="array" aca="1" ref="F104" ca="1">STDEV(IF(OFFSET(F$116,$E$7,0,$E$8,1)&gt;Mar85_Lazy_Nominal,OFFSET(F$116,$E$7,0,$E$8,1)))</f>
        <v>7.9360615820947875E-2</v>
      </c>
      <c r="G104" s="183">
        <f t="array" aca="1" ref="G104" ca="1">STDEV(IF(OFFSET(G$116,$E$7,0,$E$8,1)&gt;Mar85_Lazy_Nominal,OFFSET(G$116,$E$7,0,$E$8,1)))</f>
        <v>7.8434099782432751E-2</v>
      </c>
      <c r="H104" s="183">
        <f t="array" aca="1" ref="H104" ca="1">STDEV(IF(OFFSET(H$116,$E$7,0,$E$8,1)&gt;Mar85_Lazy_Nominal,OFFSET(H$116,$E$7,0,$E$8,1)))</f>
        <v>7.7910220265723321E-2</v>
      </c>
      <c r="I104" s="183">
        <f t="array" aca="1" ref="I104" ca="1">STDEV(IF(OFFSET(I$116,$E$7,0,$E$8,1)&gt;Mar85_Lazy_Nominal,OFFSET(I$116,$E$7,0,$E$8,1)))</f>
        <v>6.2252325807007798E-2</v>
      </c>
      <c r="J104" s="183">
        <f t="array" aca="1" ref="J104" ca="1">STDEV(IF(OFFSET(J$116,$E$7,0,$E$8,1)&gt;Mar85_Lazy_Nominal,OFFSET(J$116,$E$7,0,$E$8,1)))</f>
        <v>7.7838571333483042E-2</v>
      </c>
      <c r="K104" s="183">
        <f t="array" aca="1" ref="K104" ca="1">STDEV(IF(OFFSET(K$116,$E$7,0,$E$8,1)&gt;Mar85_Lazy_Nominal,OFFSET(K$116,$E$7,0,$E$8,1)))</f>
        <v>6.2252325807007798E-2</v>
      </c>
      <c r="L104" s="183">
        <f t="array" aca="1" ref="L104" ca="1">STDEV(IF(OFFSET(L$116,$E$7,0,$E$8,1)&gt;Mar85_Lazy_Nominal,OFFSET(L$116,$E$7,0,$E$8,1)))</f>
        <v>7.1558150058811276E-2</v>
      </c>
      <c r="M104" s="183">
        <f t="array" aca="1" ref="M104" ca="1">STDEV(IF(OFFSET(M$116,$E$7,0,$E$8,1)&gt;Mar85_Lazy_Nominal,OFFSET(M$116,$E$7,0,$E$8,1)))</f>
        <v>8.8289770482208652E-2</v>
      </c>
      <c r="N104" s="183">
        <f t="array" aca="1" ref="N104" ca="1">STDEV(IF(OFFSET(N$116,$E$7,0,$E$8,1)&gt;Mar85_Lazy_Nominal,OFFSET(N$116,$E$7,0,$E$8,1)))</f>
        <v>6.0287401203235245E-2</v>
      </c>
      <c r="O104" s="183">
        <f t="array" aca="1" ref="O104" ca="1">STDEV(IF(OFFSET(O$116,$E$7,0,$E$8,1)&gt;Mar85_Lazy_Nominal,OFFSET(O$116,$E$7,0,$E$8,1)))</f>
        <v>7.7013028177268697E-2</v>
      </c>
      <c r="P104" s="183">
        <f t="array" aca="1" ref="P104" ca="1">STDEV(IF(OFFSET(P$116,$E$7,0,$E$8,1)&gt;Mar85_Lazy_Nominal,OFFSET(P$116,$E$7,0,$E$8,1)))</f>
        <v>6.6887060324402101E-2</v>
      </c>
      <c r="Q104" s="183">
        <f t="array" aca="1" ref="Q104" ca="1">STDEV(IF(OFFSET(Q$116,$E$7,0,$E$8,1)&gt;Mar85_Lazy_Nominal,OFFSET(Q$116,$E$7,0,$E$8,1)))</f>
        <v>7.5172240517205252E-2</v>
      </c>
      <c r="R104" s="183">
        <f t="array" aca="1" ref="R104" ca="1">STDEV(IF(OFFSET(R$116,$E$7,0,$E$8,1)&gt;Mar85_Lazy_Nominal,OFFSET(R$116,$E$7,0,$E$8,1)))</f>
        <v>8.2949775702038986E-2</v>
      </c>
      <c r="S104" s="183">
        <f t="array" aca="1" ref="S104" ca="1">STDEV(IF(OFFSET(S$116,$E$7,0,$E$8,1)&gt;Mar85_Lazy_Nominal,OFFSET(S$116,$E$7,0,$E$8,1)))</f>
        <v>7.4927073636203614E-2</v>
      </c>
      <c r="T104" s="183">
        <f t="array" aca="1" ref="T104" ca="1">STDEV(IF(OFFSET(T$116,$E$7,0,$E$8,1)&gt;Mar85_Lazy_Nominal,OFFSET(T$116,$E$7,0,$E$8,1)))</f>
        <v>5.0649346988027276E-2</v>
      </c>
      <c r="U104" s="183">
        <f t="array" aca="1" ref="U104" ca="1">STDEV(IF(OFFSET(U$116,$E$7,0,$E$8,1)&gt;Mar85_Lazy_Nominal,OFFSET(U$116,$E$7,0,$E$8,1)))</f>
        <v>7.4231949619313911E-2</v>
      </c>
      <c r="V104" s="183">
        <f t="array" aca="1" ref="V104" ca="1">STDEV(IF(OFFSET(V$116,$E$7,0,$E$8,1)&gt;Mar85_Lazy_Nominal,OFFSET(V$116,$E$7,0,$E$8,1)))</f>
        <v>5.8345073922880741E-2</v>
      </c>
      <c r="W104" s="183">
        <f t="array" aca="1" ref="W104" ca="1">STDEV(IF(OFFSET(W$116,$E$7,0,$E$8,1)&gt;Mar85_Lazy_Nominal,OFFSET(W$116,$E$7,0,$E$8,1)))</f>
        <v>6.8762152944502219E-2</v>
      </c>
      <c r="X104" s="183">
        <f t="array" aca="1" ref="X104" ca="1">STDEV(IF(OFFSET(X$116,$E$7,0,$E$8,1)&gt;Mar85_Lazy_Nominal,OFFSET(X$116,$E$7,0,$E$8,1)))</f>
        <v>6.5983048312051096E-2</v>
      </c>
      <c r="Y104" s="183">
        <f t="array" aca="1" ref="Y104" ca="1">STDEV(IF(OFFSET(Y$116,$E$7,0,$E$8,1)&gt;Mar85_Lazy_Nominal,OFFSET(Y$116,$E$7,0,$E$8,1)))</f>
        <v>4.0010505367467461E-2</v>
      </c>
      <c r="Z104" s="183">
        <f t="array" aca="1" ref="Z104" ca="1">STDEV(IF(OFFSET(Z$116,$E$7,0,$E$8,1)&gt;Mar85_Lazy_Nominal,OFFSET(Z$116,$E$7,0,$E$8,1)))</f>
        <v>6.977690016631069E-2</v>
      </c>
      <c r="AA104" s="183">
        <f t="array" aca="1" ref="AA104" ca="1">STDEV(IF(OFFSET(AA$116,$E$7,0,$E$8,1)&gt;Mar85_Lazy_Nominal,OFFSET(AA$116,$E$7,0,$E$8,1)))</f>
        <v>6.0576899702750667E-2</v>
      </c>
    </row>
    <row r="105" spans="1:27">
      <c r="A105" s="135" t="s">
        <v>176</v>
      </c>
      <c r="C105" s="184">
        <f t="array" aca="1" ref="C105" ca="1">PRODUCT(1+OFFSET(C$116,$E$7,0,$E$8,1))^(1/$E$8)-1</f>
        <v>0.1051831028995831</v>
      </c>
      <c r="D105" s="184">
        <f t="array" aca="1" ref="D105" ca="1">PRODUCT(1+OFFSET(D$116,$E$7,0,$E$8,1))^(1/$E$8)-1</f>
        <v>9.6389508441502514E-2</v>
      </c>
      <c r="E105" s="184">
        <f t="array" aca="1" ref="E105" ca="1">PRODUCT(1+OFFSET(E$116,$E$7,0,$E$8,1))^(1/$E$8)-1</f>
        <v>0.10198229059162633</v>
      </c>
      <c r="F105" s="184">
        <f t="array" aca="1" ref="F105" ca="1">PRODUCT(1+OFFSET(F$116,$E$7,0,$E$8,1))^(1/$E$8)-1</f>
        <v>0.10092237421045125</v>
      </c>
      <c r="G105" s="184">
        <f t="array" aca="1" ref="G105" ca="1">PRODUCT(1+OFFSET(G$116,$E$7,0,$E$8,1))^(1/$E$8)-1</f>
        <v>0.10107190534477706</v>
      </c>
      <c r="H105" s="184">
        <f t="array" aca="1" ref="H105" ca="1">PRODUCT(1+OFFSET(H$116,$E$7,0,$E$8,1))^(1/$E$8)-1</f>
        <v>0.10207104066883987</v>
      </c>
      <c r="I105" s="184">
        <f t="array" aca="1" ref="I105" ca="1">PRODUCT(1+OFFSET(I$116,$E$7,0,$E$8,1))^(1/$E$8)-1</f>
        <v>9.4331282581837872E-2</v>
      </c>
      <c r="J105" s="184">
        <f t="array" aca="1" ref="J105" ca="1">PRODUCT(1+OFFSET(J$116,$E$7,0,$E$8,1))^(1/$E$8)-1</f>
        <v>9.8379432210969675E-2</v>
      </c>
      <c r="K105" s="184">
        <f t="array" aca="1" ref="K105" ca="1">PRODUCT(1+OFFSET(K$116,$E$7,0,$E$8,1))^(1/$E$8)-1</f>
        <v>9.4331282581837872E-2</v>
      </c>
      <c r="L105" s="184">
        <f t="array" aca="1" ref="L105" ca="1">PRODUCT(1+OFFSET(L$116,$E$7,0,$E$8,1))^(1/$E$8)-1</f>
        <v>9.8698905460306685E-2</v>
      </c>
      <c r="M105" s="184">
        <f t="array" aca="1" ref="M105" ca="1">PRODUCT(1+OFFSET(M$116,$E$7,0,$E$8,1))^(1/$E$8)-1</f>
        <v>0.1045854248282474</v>
      </c>
      <c r="N105" s="184">
        <f t="array" aca="1" ref="N105" ca="1">PRODUCT(1+OFFSET(N$116,$E$7,0,$E$8,1))^(1/$E$8)-1</f>
        <v>9.5965044816898493E-2</v>
      </c>
      <c r="O105" s="184">
        <f t="array" aca="1" ref="O105" ca="1">PRODUCT(1+OFFSET(O$116,$E$7,0,$E$8,1))^(1/$E$8)-1</f>
        <v>0.10290345884326313</v>
      </c>
      <c r="P105" s="184">
        <f t="array" aca="1" ref="P105" ca="1">PRODUCT(1+OFFSET(P$116,$E$7,0,$E$8,1))^(1/$E$8)-1</f>
        <v>9.9857046201167421E-2</v>
      </c>
      <c r="Q105" s="184">
        <f t="array" aca="1" ref="Q105" ca="1">PRODUCT(1+OFFSET(Q$116,$E$7,0,$E$8,1))^(1/$E$8)-1</f>
        <v>0.10641982562858154</v>
      </c>
      <c r="R105" s="184">
        <f t="array" aca="1" ref="R105" ca="1">PRODUCT(1+OFFSET(R$116,$E$7,0,$E$8,1))^(1/$E$8)-1</f>
        <v>0.1039721386099397</v>
      </c>
      <c r="S105" s="184">
        <f t="array" aca="1" ref="S105" ca="1">PRODUCT(1+OFFSET(S$116,$E$7,0,$E$8,1))^(1/$E$8)-1</f>
        <v>9.3916349012458378E-2</v>
      </c>
      <c r="T105" s="184">
        <f t="array" aca="1" ref="T105" ca="1">PRODUCT(1+OFFSET(T$116,$E$7,0,$E$8,1))^(1/$E$8)-1</f>
        <v>9.2466740192199026E-2</v>
      </c>
      <c r="U105" s="184">
        <f t="array" aca="1" ref="U105" ca="1">PRODUCT(1+OFFSET(U$116,$E$7,0,$E$8,1))^(1/$E$8)-1</f>
        <v>9.6738613201730717E-2</v>
      </c>
      <c r="V105" s="184">
        <f t="array" aca="1" ref="V105" ca="1">PRODUCT(1+OFFSET(V$116,$E$7,0,$E$8,1))^(1/$E$8)-1</f>
        <v>8.8918857704443965E-2</v>
      </c>
      <c r="W105" s="184">
        <f t="array" aca="1" ref="W105" ca="1">PRODUCT(1+OFFSET(W$116,$E$7,0,$E$8,1))^(1/$E$8)-1</f>
        <v>9.4404672827575142E-2</v>
      </c>
      <c r="X105" s="184">
        <f t="array" aca="1" ref="X105" ca="1">PRODUCT(1+OFFSET(X$116,$E$7,0,$E$8,1))^(1/$E$8)-1</f>
        <v>9.8416840750729762E-2</v>
      </c>
      <c r="Y105" s="184">
        <f t="array" aca="1" ref="Y105" ca="1">PRODUCT(1+OFFSET(Y$116,$E$7,0,$E$8,1))^(1/$E$8)-1</f>
        <v>7.3752340411591621E-2</v>
      </c>
      <c r="Z105" s="184">
        <f t="array" aca="1" ref="Z105" ca="1">PRODUCT(1+OFFSET(Z$116,$E$7,0,$E$8,1))^(1/$E$8)-1</f>
        <v>9.9477740604141385E-2</v>
      </c>
      <c r="AA105" s="184">
        <f t="array" aca="1" ref="AA105" ca="1">PRODUCT(1+OFFSET(AA$116,$E$7,0,$E$8,1))^(1/$E$8)-1</f>
        <v>8.8448748851869707E-2</v>
      </c>
    </row>
    <row r="106" spans="1:27">
      <c r="A106" s="135" t="s">
        <v>203</v>
      </c>
      <c r="C106" s="185">
        <f ca="1">(C$101-AVERAGE(OFFSET(Data_85_15!$V$8,$E$7,0,$E8))%)/C$102</f>
        <v>0.66745283134239086</v>
      </c>
      <c r="D106" s="185">
        <f ca="1">(D$101-AVERAGE(OFFSET(Data_85_15!$V$8,$E$7,0,$E8))%)/D$102</f>
        <v>0.7159950613670194</v>
      </c>
      <c r="E106" s="185">
        <f ca="1">(E$101-AVERAGE(OFFSET(Data_85_15!$V$8,$E$7,0,$E8))%)/E$102</f>
        <v>0.52952009163377345</v>
      </c>
      <c r="F106" s="185">
        <f ca="1">(F$101-AVERAGE(OFFSET(Data_85_15!$V$8,$E$7,0,$E8))%)/F$102</f>
        <v>0.50669955123973753</v>
      </c>
      <c r="G106" s="185">
        <f ca="1">(G$101-AVERAGE(OFFSET(Data_85_15!$V$8,$E$7,0,$E8))%)/G$102</f>
        <v>0.50728853767292681</v>
      </c>
      <c r="H106" s="185">
        <f ca="1">(H$101-AVERAGE(OFFSET(Data_85_15!$V$8,$E$7,0,$E8))%)/H$102</f>
        <v>0.5367269274787374</v>
      </c>
      <c r="I106" s="185">
        <f ca="1">(I$101-AVERAGE(OFFSET(Data_85_15!$V$8,$E$7,0,$E8))%)/I$102</f>
        <v>0.56978459624160072</v>
      </c>
      <c r="J106" s="185">
        <f ca="1">(J$101-AVERAGE(OFFSET(Data_85_15!$V$8,$E$7,0,$E8))%)/J$102</f>
        <v>0.51599737908070487</v>
      </c>
      <c r="K106" s="185">
        <f ca="1">(K$101-AVERAGE(OFFSET(Data_85_15!$V$8,$E$7,0,$E8))%)/K$102</f>
        <v>0.56978459624160072</v>
      </c>
      <c r="L106" s="185">
        <f ca="1">(L$101-AVERAGE(OFFSET(Data_85_15!$V$8,$E$7,0,$E8))%)/L$102</f>
        <v>0.55270846746352675</v>
      </c>
      <c r="M106" s="185">
        <f ca="1">(M$101-AVERAGE(OFFSET(Data_85_15!$V$8,$E$7,0,$E8))%)/M$102</f>
        <v>0.55131088092548919</v>
      </c>
      <c r="N106" s="185">
        <f ca="1">(N$101-AVERAGE(OFFSET(Data_85_15!$V$8,$E$7,0,$E8))%)/N$102</f>
        <v>0.62029663319812434</v>
      </c>
      <c r="O106" s="185">
        <f ca="1">(O$101-AVERAGE(OFFSET(Data_85_15!$V$8,$E$7,0,$E8))%)/O$102</f>
        <v>0.62523827791447784</v>
      </c>
      <c r="P106" s="185">
        <f ca="1">(P$101-AVERAGE(OFFSET(Data_85_15!$V$8,$E$7,0,$E8))%)/P$102</f>
        <v>0.59404858491587187</v>
      </c>
      <c r="Q106" s="185">
        <f ca="1">(Q$101-AVERAGE(OFFSET(Data_85_15!$V$8,$E$7,0,$E8))%)/Q$102</f>
        <v>0.64822676521023592</v>
      </c>
      <c r="R106" s="185">
        <f ca="1">(R$101-AVERAGE(OFFSET(Data_85_15!$V$8,$E$7,0,$E8))%)/R$102</f>
        <v>0.49368968149676817</v>
      </c>
      <c r="S106" s="185">
        <f ca="1">(S$101-AVERAGE(OFFSET(Data_85_15!$V$8,$E$7,0,$E8))%)/S$102</f>
        <v>0.52135799910067515</v>
      </c>
      <c r="T106" s="185">
        <f ca="1">(T$101-AVERAGE(OFFSET(Data_85_15!$V$8,$E$7,0,$E8))%)/T$102</f>
        <v>0.64109202666883502</v>
      </c>
      <c r="U106" s="185">
        <f ca="1">(U$101-AVERAGE(OFFSET(Data_85_15!$V$8,$E$7,0,$E8))%)/U$102</f>
        <v>0.5132801839486093</v>
      </c>
      <c r="V106" s="185">
        <f ca="1">(V$101-AVERAGE(OFFSET(Data_85_15!$V$8,$E$7,0,$E8))%)/V$102</f>
        <v>0.54326175100787188</v>
      </c>
      <c r="W106" s="185">
        <f ca="1">(W$101-AVERAGE(OFFSET(Data_85_15!$V$8,$E$7,0,$E8))%)/W$102</f>
        <v>0.5889604667112126</v>
      </c>
      <c r="X106" s="185">
        <f ca="1">(X$101-AVERAGE(OFFSET(Data_85_15!$V$8,$E$7,0,$E8))%)/X$102</f>
        <v>0.59969470893742383</v>
      </c>
      <c r="Y106" s="185">
        <f ca="1">(Y$101-AVERAGE(OFFSET(Data_85_15!$V$8,$E$7,0,$E8))%)/Y$102</f>
        <v>0.65535735931838268</v>
      </c>
      <c r="Z106" s="185">
        <f ca="1">(Z$101-AVERAGE(OFFSET(Data_85_15!$V$8,$E$7,0,$E8))%)/Z$102</f>
        <v>0.60753174185712611</v>
      </c>
      <c r="AA106" s="185">
        <f ca="1">(AA$101-AVERAGE(OFFSET(Data_85_15!$V$8,$E$7,0,$E8))%)/AA$102</f>
        <v>0.65605200708205624</v>
      </c>
    </row>
    <row r="107" spans="1:27">
      <c r="A107" s="135" t="s">
        <v>204</v>
      </c>
      <c r="C107" s="185">
        <f t="shared" ref="C107:AA107" ca="1" si="10">(C101-Mar85_Lazy_Nominal)/C103</f>
        <v>1.0673728233608777</v>
      </c>
      <c r="D107" s="185">
        <f t="shared" ca="1" si="10"/>
        <v>1.2971465225545966</v>
      </c>
      <c r="E107" s="185">
        <f t="shared" ca="1" si="10"/>
        <v>0.77675551686281286</v>
      </c>
      <c r="F107" s="185">
        <f t="shared" ca="1" si="10"/>
        <v>0.71857301365692849</v>
      </c>
      <c r="G107" s="185">
        <f t="shared" ca="1" si="10"/>
        <v>0.71438625916867193</v>
      </c>
      <c r="H107" s="185">
        <f t="shared" ca="1" si="10"/>
        <v>0.76356802453709816</v>
      </c>
      <c r="I107" s="185">
        <f t="shared" ca="1" si="10"/>
        <v>0.79698634307144245</v>
      </c>
      <c r="J107" s="185">
        <f t="shared" ca="1" si="10"/>
        <v>0.75476199252755238</v>
      </c>
      <c r="K107" s="185">
        <f t="shared" ca="1" si="10"/>
        <v>0.79698634307144245</v>
      </c>
      <c r="L107" s="185">
        <f t="shared" ca="1" si="10"/>
        <v>0.81755543378434981</v>
      </c>
      <c r="M107" s="185">
        <f t="shared" ca="1" si="10"/>
        <v>0.85939427965236759</v>
      </c>
      <c r="N107" s="185">
        <f t="shared" ca="1" si="10"/>
        <v>0.9176845358248098</v>
      </c>
      <c r="O107" s="185">
        <f t="shared" ca="1" si="10"/>
        <v>1.0318273132520248</v>
      </c>
      <c r="P107" s="185">
        <f t="shared" ca="1" si="10"/>
        <v>0.85307594499113359</v>
      </c>
      <c r="Q107" s="185">
        <f t="shared" ca="1" si="10"/>
        <v>1.0130301880748975</v>
      </c>
      <c r="R107" s="185">
        <f t="shared" ca="1" si="10"/>
        <v>0.69100471867605684</v>
      </c>
      <c r="S107" s="185">
        <f t="shared" ca="1" si="10"/>
        <v>0.73143468535186229</v>
      </c>
      <c r="T107" s="185">
        <f t="shared" ca="1" si="10"/>
        <v>0.88785349928036217</v>
      </c>
      <c r="U107" s="185">
        <f t="shared" ca="1" si="10"/>
        <v>0.72932230991114155</v>
      </c>
      <c r="V107" s="185">
        <f t="shared" ca="1" si="10"/>
        <v>0.74647987489234591</v>
      </c>
      <c r="W107" s="185">
        <f t="shared" ca="1" si="10"/>
        <v>0.82789600525897922</v>
      </c>
      <c r="X107" s="185">
        <f t="shared" ca="1" si="10"/>
        <v>0.82766614591337739</v>
      </c>
      <c r="Y107" s="185">
        <f t="shared" ca="1" si="10"/>
        <v>0.88361044050373216</v>
      </c>
      <c r="Z107" s="185">
        <f t="shared" ca="1" si="10"/>
        <v>0.90835326279285955</v>
      </c>
      <c r="AA107" s="185">
        <f t="shared" ca="1" si="10"/>
        <v>1.0946280628649241</v>
      </c>
    </row>
    <row r="108" spans="1:27">
      <c r="A108" s="135" t="s">
        <v>206</v>
      </c>
      <c r="C108" s="185">
        <f ca="1">PEARSON(OFFSET(C$116,$E$7,0,$E$8,1),OFFSET(Data_85_15!$B$8,$E$7,0,$E$8,1))</f>
        <v>0.90622240696655054</v>
      </c>
      <c r="D108" s="185">
        <f ca="1">PEARSON(OFFSET(D$116,$E$7,0,$E$8,1),OFFSET(Data_85_15!$B$8,$E$7,0,$E$8,1))</f>
        <v>0.66033825917073574</v>
      </c>
      <c r="E108" s="185">
        <f ca="1">PEARSON(OFFSET(E$116,$E$7,0,$E$8,1),OFFSET(Data_85_15!$B$8,$E$7,0,$E$8,1))</f>
        <v>0.99742455149809339</v>
      </c>
      <c r="F108" s="185">
        <f ca="1">PEARSON(OFFSET(F$116,$E$7,0,$E$8,1),OFFSET(Data_85_15!$B$8,$E$7,0,$E$8,1))</f>
        <v>0.93123466625159002</v>
      </c>
      <c r="G108" s="185">
        <f ca="1">PEARSON(OFFSET(G$116,$E$7,0,$E$8,1),OFFSET(Data_85_15!$B$8,$E$7,0,$E$8,1))</f>
        <v>0.92299704202972543</v>
      </c>
      <c r="H108" s="185">
        <f ca="1">PEARSON(OFFSET(H$116,$E$7,0,$E$8,1),OFFSET(Data_85_15!$B$8,$E$7,0,$E$8,1))</f>
        <v>0.94276402714529162</v>
      </c>
      <c r="I108" s="185">
        <f ca="1">PEARSON(OFFSET(I$116,$E$7,0,$E$8,1),OFFSET(Data_85_15!$B$8,$E$7,0,$E$8,1))</f>
        <v>0.91449084379659207</v>
      </c>
      <c r="J108" s="185">
        <f ca="1">PEARSON(OFFSET(J$116,$E$7,0,$E$8,1),OFFSET(Data_85_15!$B$8,$E$7,0,$E$8,1))</f>
        <v>0.95801159700906868</v>
      </c>
      <c r="K108" s="185">
        <f ca="1">PEARSON(OFFSET(K$116,$E$7,0,$E$8,1),OFFSET(Data_85_15!$B$8,$E$7,0,$E$8,1))</f>
        <v>0.91449084379659207</v>
      </c>
      <c r="L108" s="185">
        <f ca="1">PEARSON(OFFSET(L$116,$E$7,0,$E$8,1),OFFSET(Data_85_15!$B$8,$E$7,0,$E$8,1))</f>
        <v>0.99265967806067079</v>
      </c>
      <c r="M108" s="185">
        <f ca="1">PEARSON(OFFSET(M$116,$E$7,0,$E$8,1),OFFSET(Data_85_15!$B$8,$E$7,0,$E$8,1))</f>
        <v>0.84758627440834555</v>
      </c>
      <c r="N108" s="185">
        <f ca="1">PEARSON(OFFSET(N$116,$E$7,0,$E$8,1),OFFSET(Data_85_15!$B$8,$E$7,0,$E$8,1))</f>
        <v>0.89616610994878454</v>
      </c>
      <c r="O108" s="185">
        <f ca="1">PEARSON(OFFSET(O$116,$E$7,0,$E$8,1),OFFSET(Data_85_15!$B$8,$E$7,0,$E$8,1))</f>
        <v>0.79989131449768125</v>
      </c>
      <c r="P108" s="185">
        <f ca="1">PEARSON(OFFSET(P$116,$E$7,0,$E$8,1),OFFSET(Data_85_15!$B$8,$E$7,0,$E$8,1))</f>
        <v>0.8776055301195409</v>
      </c>
      <c r="Q108" s="185">
        <f ca="1">PEARSON(OFFSET(Q$116,$E$7,0,$E$8,1),OFFSET(Data_85_15!$B$8,$E$7,0,$E$8,1))</f>
        <v>0.86256730587124508</v>
      </c>
      <c r="R108" s="185">
        <f ca="1">PEARSON(OFFSET(R$116,$E$7,0,$E$8,1),OFFSET(Data_85_15!$B$8,$E$7,0,$E$8,1))</f>
        <v>0.93779624550136298</v>
      </c>
      <c r="S108" s="185">
        <f ca="1">PEARSON(OFFSET(S$116,$E$7,0,$E$8,1),OFFSET(Data_85_15!$B$8,$E$7,0,$E$8,1))</f>
        <v>0.85253540108245163</v>
      </c>
      <c r="T108" s="185">
        <f ca="1">PEARSON(OFFSET(T$116,$E$7,0,$E$8,1),OFFSET(Data_85_15!$B$8,$E$7,0,$E$8,1))</f>
        <v>0.93826383640934119</v>
      </c>
      <c r="U108" s="185">
        <f ca="1">PEARSON(OFFSET(U$116,$E$7,0,$E$8,1),OFFSET(Data_85_15!$B$8,$E$7,0,$E$8,1))</f>
        <v>0.84509856098029168</v>
      </c>
      <c r="V108" s="185">
        <f ca="1">PEARSON(OFFSET(V$116,$E$7,0,$E$8,1),OFFSET(Data_85_15!$B$8,$E$7,0,$E$8,1))</f>
        <v>0.83149071704114241</v>
      </c>
      <c r="W108" s="185">
        <f ca="1">PEARSON(OFFSET(W$116,$E$7,0,$E$8,1),OFFSET(Data_85_15!$B$8,$E$7,0,$E$8,1))</f>
        <v>0.82315682307669891</v>
      </c>
      <c r="X108" s="185">
        <f ca="1">PEARSON(OFFSET(X$116,$E$7,0,$E$8,1),OFFSET(Data_85_15!$B$8,$E$7,0,$E$8,1))</f>
        <v>0.79407903011126446</v>
      </c>
      <c r="Y108" s="185">
        <f ca="1">PEARSON(OFFSET(Y$116,$E$7,0,$E$8,1),OFFSET(Data_85_15!$B$8,$E$7,0,$E$8,1))</f>
        <v>0.56702378158306632</v>
      </c>
      <c r="Z108" s="185">
        <f ca="1">PEARSON(OFFSET(Z$116,$E$7,0,$E$8,1),OFFSET(Data_85_15!$B$8,$E$7,0,$E$8,1))</f>
        <v>0.82543319209859933</v>
      </c>
      <c r="AA108" s="185">
        <f ca="1">PEARSON(OFFSET(AA$116,$E$7,0,$E$8,1),OFFSET(Data_85_15!$B$8,$E$7,0,$E$8,1))</f>
        <v>0.60022518550076331</v>
      </c>
    </row>
    <row r="109" spans="1:27">
      <c r="A109" s="135" t="s">
        <v>207</v>
      </c>
      <c r="C109" s="185">
        <f ca="1">PEARSON(OFFSET(C$116,$E$7,0,$E$8,1),OFFSET(Data_85_15!$N$8,$E$7,0,$E$8,1))</f>
        <v>0.6501624417589994</v>
      </c>
      <c r="D109" s="185">
        <f ca="1">PEARSON(OFFSET(D$116,$E$7,0,$E$8,1),OFFSET(Data_85_15!$N$8,$E$7,0,$E$8,1))</f>
        <v>0.43453906901240241</v>
      </c>
      <c r="E109" s="185">
        <f ca="1">PEARSON(OFFSET(E$116,$E$7,0,$E$8,1),OFFSET(Data_85_15!$N$8,$E$7,0,$E$8,1))</f>
        <v>0.67176575554919604</v>
      </c>
      <c r="F109" s="185">
        <f ca="1">PEARSON(OFFSET(F$116,$E$7,0,$E$8,1),OFFSET(Data_85_15!$N$8,$E$7,0,$E$8,1))</f>
        <v>0.89227186690772464</v>
      </c>
      <c r="G109" s="185">
        <f ca="1">PEARSON(OFFSET(G$116,$E$7,0,$E$8,1),OFFSET(Data_85_15!$N$8,$E$7,0,$E$8,1))</f>
        <v>0.9028552991580745</v>
      </c>
      <c r="H109" s="185">
        <f ca="1">PEARSON(OFFSET(H$116,$E$7,0,$E$8,1),OFFSET(Data_85_15!$N$8,$E$7,0,$E$8,1))</f>
        <v>0.86583089652749667</v>
      </c>
      <c r="I109" s="185">
        <f ca="1">PEARSON(OFFSET(I$116,$E$7,0,$E$8,1),OFFSET(Data_85_15!$N$8,$E$7,0,$E$8,1))</f>
        <v>0.82383717297947345</v>
      </c>
      <c r="J109" s="185">
        <f ca="1">PEARSON(OFFSET(J$116,$E$7,0,$E$8,1),OFFSET(Data_85_15!$N$8,$E$7,0,$E$8,1))</f>
        <v>0.7961813361988066</v>
      </c>
      <c r="K109" s="185">
        <f ca="1">PEARSON(OFFSET(K$116,$E$7,0,$E$8,1),OFFSET(Data_85_15!$N$8,$E$7,0,$E$8,1))</f>
        <v>0.82383717297947345</v>
      </c>
      <c r="L109" s="185">
        <f ca="1">PEARSON(OFFSET(L$116,$E$7,0,$E$8,1),OFFSET(Data_85_15!$N$8,$E$7,0,$E$8,1))</f>
        <v>0.66793730415476293</v>
      </c>
      <c r="M109" s="185">
        <f ca="1">PEARSON(OFFSET(M$116,$E$7,0,$E$8,1),OFFSET(Data_85_15!$N$8,$E$7,0,$E$8,1))</f>
        <v>0.92683564666053841</v>
      </c>
      <c r="N109" s="185">
        <f ca="1">PEARSON(OFFSET(N$116,$E$7,0,$E$8,1),OFFSET(Data_85_15!$N$8,$E$7,0,$E$8,1))</f>
        <v>0.74089314811378049</v>
      </c>
      <c r="O109" s="185">
        <f ca="1">PEARSON(OFFSET(O$116,$E$7,0,$E$8,1),OFFSET(Data_85_15!$N$8,$E$7,0,$E$8,1))</f>
        <v>0.93611230883132279</v>
      </c>
      <c r="P109" s="185">
        <f ca="1">PEARSON(OFFSET(P$116,$E$7,0,$E$8,1),OFFSET(Data_85_15!$N$8,$E$7,0,$E$8,1))</f>
        <v>0.87213942134154054</v>
      </c>
      <c r="Q109" s="185">
        <f ca="1">PEARSON(OFFSET(Q$116,$E$7,0,$E$8,1),OFFSET(Data_85_15!$N$8,$E$7,0,$E$8,1))</f>
        <v>0.85342979811038111</v>
      </c>
      <c r="R109" s="185">
        <f ca="1">PEARSON(OFFSET(R$116,$E$7,0,$E$8,1),OFFSET(Data_85_15!$N$8,$E$7,0,$E$8,1))</f>
        <v>0.88753740377759893</v>
      </c>
      <c r="S109" s="185">
        <f ca="1">PEARSON(OFFSET(S$116,$E$7,0,$E$8,1),OFFSET(Data_85_15!$N$8,$E$7,0,$E$8,1))</f>
        <v>0.91875913096685535</v>
      </c>
      <c r="T109" s="185">
        <f ca="1">PEARSON(OFFSET(T$116,$E$7,0,$E$8,1),OFFSET(Data_85_15!$N$8,$E$7,0,$E$8,1))</f>
        <v>0.76120908273258847</v>
      </c>
      <c r="U109" s="185">
        <f ca="1">PEARSON(OFFSET(U$116,$E$7,0,$E$8,1),OFFSET(Data_85_15!$N$8,$E$7,0,$E$8,1))</f>
        <v>0.95123887158951759</v>
      </c>
      <c r="V109" s="185">
        <f ca="1">PEARSON(OFFSET(V$116,$E$7,0,$E$8,1),OFFSET(Data_85_15!$N$8,$E$7,0,$E$8,1))</f>
        <v>0.92233746040929032</v>
      </c>
      <c r="W109" s="185">
        <f ca="1">PEARSON(OFFSET(W$116,$E$7,0,$E$8,1),OFFSET(Data_85_15!$N$8,$E$7,0,$E$8,1))</f>
        <v>0.86157200467214334</v>
      </c>
      <c r="X109" s="185">
        <f ca="1">PEARSON(OFFSET(X$116,$E$7,0,$E$8,1),OFFSET(Data_85_15!$N$8,$E$7,0,$E$8,1))</f>
        <v>0.83284007006009575</v>
      </c>
      <c r="Y109" s="185">
        <f ca="1">PEARSON(OFFSET(Y$116,$E$7,0,$E$8,1),OFFSET(Data_85_15!$N$8,$E$7,0,$E$8,1))</f>
        <v>0.6442687398383673</v>
      </c>
      <c r="Z109" s="185">
        <f ca="1">PEARSON(OFFSET(Z$116,$E$7,0,$E$8,1),OFFSET(Data_85_15!$N$8,$E$7,0,$E$8,1))</f>
        <v>0.85233556080963624</v>
      </c>
      <c r="AA109" s="185">
        <f ca="1">PEARSON(OFFSET(AA$116,$E$7,0,$E$8,1),OFFSET(Data_85_15!$N$8,$E$7,0,$E$8,1))</f>
        <v>0.79321378527331543</v>
      </c>
    </row>
    <row r="110" spans="1:27">
      <c r="A110" s="135" t="s">
        <v>208</v>
      </c>
      <c r="C110" s="466">
        <f t="array" aca="1" ref="C110" ca="1">$E$3*PRODUCT(1+OFFSET(C$116,$E$7,0,$E$8,1))</f>
        <v>222055.3943695428</v>
      </c>
      <c r="D110" s="466">
        <f t="array" aca="1" ref="D110" ca="1">$E$3*PRODUCT(1+OFFSET(D$116,$E$7,0,$E$8,1))</f>
        <v>173344.87346841942</v>
      </c>
      <c r="E110" s="466">
        <f t="array" aca="1" ref="E110" ca="1">$E$3*PRODUCT(1+OFFSET(E$116,$E$7,0,$E$8,1))</f>
        <v>202961.22360953136</v>
      </c>
      <c r="F110" s="466">
        <f t="array" aca="1" ref="F110" ca="1">$E$3*PRODUCT(1+OFFSET(F$116,$E$7,0,$E$8,1))</f>
        <v>196996.1049990638</v>
      </c>
      <c r="G110" s="466">
        <f t="array" aca="1" ref="G110" ca="1">$E$3*PRODUCT(1+OFFSET(G$116,$E$7,0,$E$8,1))</f>
        <v>197827.2548557519</v>
      </c>
      <c r="H110" s="466">
        <f t="array" aca="1" ref="H110" ca="1">$E$3*PRODUCT(1+OFFSET(H$116,$E$7,0,$E$8,1))</f>
        <v>203468.55721680107</v>
      </c>
      <c r="I110" s="466">
        <f t="array" aca="1" ref="I110" ca="1">$E$3*PRODUCT(1+OFFSET(I$116,$E$7,0,$E$8,1))</f>
        <v>163535.95021490211</v>
      </c>
      <c r="J110" s="466">
        <f t="array" aca="1" ref="J110" ca="1">$E$3*PRODUCT(1+OFFSET(J$116,$E$7,0,$E$8,1))</f>
        <v>183368.25351727015</v>
      </c>
      <c r="K110" s="466">
        <f t="array" aca="1" ref="K110" ca="1">$E$3*PRODUCT(1+OFFSET(K$116,$E$7,0,$E$8,1))</f>
        <v>163535.95021490211</v>
      </c>
      <c r="L110" s="466">
        <f t="array" aca="1" ref="L110" ca="1">$E$3*PRODUCT(1+OFFSET(L$116,$E$7,0,$E$8,1))</f>
        <v>185028.84925286681</v>
      </c>
      <c r="M110" s="466">
        <f t="array" aca="1" ref="M110" ca="1">$E$3*PRODUCT(1+OFFSET(M$116,$E$7,0,$E$8,1))</f>
        <v>218362.75181709483</v>
      </c>
      <c r="N110" s="466">
        <f t="array" aca="1" ref="N110" ca="1">$E$3*PRODUCT(1+OFFSET(N$116,$E$7,0,$E$8,1))</f>
        <v>171276.50273343979</v>
      </c>
      <c r="O110" s="466">
        <f t="array" aca="1" ref="O110" ca="1">$E$3*PRODUCT(1+OFFSET(O$116,$E$7,0,$E$8,1))</f>
        <v>208287.14182702932</v>
      </c>
      <c r="P110" s="466">
        <f t="array" aca="1" ref="P110" ca="1">$E$3*PRODUCT(1+OFFSET(P$116,$E$7,0,$E$8,1))</f>
        <v>191171.64839273092</v>
      </c>
      <c r="Q110" s="466">
        <f t="array" aca="1" ref="Q110" ca="1">$E$3*PRODUCT(1+OFFSET(Q$116,$E$7,0,$E$8,1))</f>
        <v>229889.12345498061</v>
      </c>
      <c r="R110" s="466">
        <f t="array" aca="1" ref="R110" ca="1">$E$3*PRODUCT(1+OFFSET(R$116,$E$7,0,$E$8,1))</f>
        <v>214635.47559736462</v>
      </c>
      <c r="S110" s="466">
        <f t="array" aca="1" ref="S110" ca="1">$E$3*PRODUCT(1+OFFSET(S$116,$E$7,0,$E$8,1))</f>
        <v>161624.61583010721</v>
      </c>
      <c r="T110" s="466">
        <f t="array" aca="1" ref="T110" ca="1">$E$3*PRODUCT(1+OFFSET(T$116,$E$7,0,$E$8,1))</f>
        <v>155115.40832197227</v>
      </c>
      <c r="U110" s="466">
        <f t="array" aca="1" ref="U110" ca="1">$E$3*PRODUCT(1+OFFSET(U$116,$E$7,0,$E$8,1))</f>
        <v>175064.12453309522</v>
      </c>
      <c r="V110" s="466">
        <f t="array" aca="1" ref="V110" ca="1">$E$3*PRODUCT(1+OFFSET(V$116,$E$7,0,$E$8,1))</f>
        <v>140236.50708868436</v>
      </c>
      <c r="W110" s="466">
        <f t="array" aca="1" ref="W110" ca="1">$E$3*PRODUCT(1+OFFSET(W$116,$E$7,0,$E$8,1))</f>
        <v>163876.28113410567</v>
      </c>
      <c r="X110" s="466">
        <f t="array" aca="1" ref="X110" ca="1">$E$3*PRODUCT(1+OFFSET(X$116,$E$7,0,$E$8,1))</f>
        <v>183561.951942716</v>
      </c>
      <c r="Y110" s="466">
        <f t="array" aca="1" ref="Y110" ca="1">$E$3*PRODUCT(1+OFFSET(Y$116,$E$7,0,$E$8,1))</f>
        <v>90787.869987270984</v>
      </c>
      <c r="Z110" s="466">
        <f t="array" aca="1" ref="Z110" ca="1">$E$3*PRODUCT(1+OFFSET(Z$116,$E$7,0,$E$8,1))</f>
        <v>189138.38681842518</v>
      </c>
      <c r="AA110" s="466">
        <f t="array" aca="1" ref="AA110" ca="1">$E$3*PRODUCT(1+OFFSET(AA$116,$E$7,0,$E$8,1))</f>
        <v>138371.77727962242</v>
      </c>
    </row>
    <row r="111" spans="1:27">
      <c r="A111" s="135" t="s">
        <v>282</v>
      </c>
      <c r="C111" s="466">
        <f t="array" aca="1" ref="C111" ca="1">$E$3*SUMPRODUCT(C45:C94,TRANSPOSE(Returns_85_15!$B$104:$AY$104))</f>
        <v>222055.3943695428</v>
      </c>
      <c r="D111" s="466">
        <f t="array" aca="1" ref="D111" ca="1">$E$3*SUMPRODUCT(D45:D94,TRANSPOSE(Returns_85_15!$B$104:$AY$104))</f>
        <v>173344.87346841942</v>
      </c>
      <c r="E111" s="466">
        <f t="array" aca="1" ref="E111" ca="1">$E$3*SUMPRODUCT(E45:E94,TRANSPOSE(Returns_85_15!$B$104:$AY$104))</f>
        <v>204677.45416024592</v>
      </c>
      <c r="F111" s="466">
        <f t="array" aca="1" ref="F111" ca="1">$E$3*SUMPRODUCT(F45:F94,TRANSPOSE(Returns_85_15!$B$104:$AY$104))</f>
        <v>184209.71600756509</v>
      </c>
      <c r="G111" s="466">
        <f t="array" aca="1" ref="G111" ca="1">$E$3*SUMPRODUCT(G45:G94,TRANSPOSE(Returns_85_15!$B$104:$AY$104))</f>
        <v>184609.87880744715</v>
      </c>
      <c r="H111" s="466">
        <f t="array" aca="1" ref="H111" ca="1">$E$3*SUMPRODUCT(H45:H94,TRANSPOSE(Returns_85_15!$B$104:$AY$104))</f>
        <v>188268.02044545702</v>
      </c>
      <c r="I111" s="466">
        <f t="array" aca="1" ref="I111" ca="1">$E$3*SUMPRODUCT(I45:I94,TRANSPOSE(Returns_85_15!$B$104:$AY$104))</f>
        <v>177473.31053103547</v>
      </c>
      <c r="J111" s="466">
        <f t="array" aca="1" ref="J111" ca="1">$E$3*SUMPRODUCT(J45:J94,TRANSPOSE(Returns_85_15!$B$104:$AY$104))</f>
        <v>185713.60365546987</v>
      </c>
      <c r="K111" s="466">
        <f t="array" aca="1" ref="K111" ca="1">$E$3*SUMPRODUCT(K45:K94,TRANSPOSE(Returns_85_15!$B$104:$AY$104))</f>
        <v>177473.31053103547</v>
      </c>
      <c r="L111" s="466">
        <f t="array" aca="1" ref="L111" ca="1">$E$3*SUMPRODUCT(L45:L94,TRANSPOSE(Returns_85_15!$B$104:$AY$104))</f>
        <v>188497.18395364835</v>
      </c>
      <c r="M111" s="466">
        <f t="array" aca="1" ref="M111" ca="1">$E$3*SUMPRODUCT(M45:M94,TRANSPOSE(Returns_85_15!$B$104:$AY$104))</f>
        <v>208130.77901229559</v>
      </c>
      <c r="N111" s="466">
        <f t="array" aca="1" ref="N111" ca="1">$E$3*SUMPRODUCT(N45:N94,TRANSPOSE(Returns_85_15!$B$104:$AY$104))</f>
        <v>165780.86730459405</v>
      </c>
      <c r="O111" s="466">
        <f t="array" aca="1" ref="O111" ca="1">$E$3*SUMPRODUCT(O45:O94,TRANSPOSE(Returns_85_15!$B$104:$AY$104))</f>
        <v>198767.71303701299</v>
      </c>
      <c r="P111" s="466">
        <f t="array" aca="1" ref="P111" ca="1">$E$3*SUMPRODUCT(P45:P94,TRANSPOSE(Returns_85_15!$B$104:$AY$104))</f>
        <v>189561.00053280382</v>
      </c>
      <c r="Q111" s="466">
        <f t="array" aca="1" ref="Q111" ca="1">$E$3*SUMPRODUCT(Q45:Q94,TRANSPOSE(Returns_85_15!$B$104:$AY$104))</f>
        <v>203531.5403885573</v>
      </c>
      <c r="R111" s="466">
        <f t="array" aca="1" ref="R111" ca="1">$E$3*SUMPRODUCT(R45:R94,TRANSPOSE(Returns_85_15!$B$104:$AY$104))</f>
        <v>200790.1490140447</v>
      </c>
      <c r="S111" s="466">
        <f t="array" aca="1" ref="S111" ca="1">$E$3*SUMPRODUCT(S45:S94,TRANSPOSE(Returns_85_15!$B$104:$AY$104))</f>
        <v>157453.79424063332</v>
      </c>
      <c r="T111" s="466">
        <f t="array" aca="1" ref="T111" ca="1">$E$3*SUMPRODUCT(T45:T94,TRANSPOSE(Returns_85_15!$B$104:$AY$104))</f>
        <v>158137.45753986365</v>
      </c>
      <c r="U111" s="466">
        <f t="array" aca="1" ref="U111" ca="1">$E$3*SUMPRODUCT(U45:U94,TRANSPOSE(Returns_85_15!$B$104:$AY$104))</f>
        <v>162449.12816333104</v>
      </c>
      <c r="V111" s="466">
        <f t="array" aca="1" ref="V111" ca="1">$E$3*SUMPRODUCT(V45:V94,TRANSPOSE(Returns_85_15!$B$104:$AY$104))</f>
        <v>136138.29100687755</v>
      </c>
      <c r="W111" s="466">
        <f t="array" aca="1" ref="W111" ca="1">$E$3*SUMPRODUCT(W45:W94,TRANSPOSE(Returns_85_15!$B$104:$AY$104))</f>
        <v>156230.12373857971</v>
      </c>
      <c r="X111" s="466">
        <f t="array" aca="1" ref="X111" ca="1">$E$3*SUMPRODUCT(X45:X94,TRANSPOSE(Returns_85_15!$B$104:$AY$104))</f>
        <v>169640.73403532745</v>
      </c>
      <c r="Y111" s="466">
        <f t="array" aca="1" ref="Y111" ca="1">$E$3*SUMPRODUCT(Y45:Y94,TRANSPOSE(Returns_85_15!$B$104:$AY$104))</f>
        <v>109710.80721072259</v>
      </c>
      <c r="Z111" s="466">
        <f t="array" aca="1" ref="Z111" ca="1">$E$3*SUMPRODUCT(Z45:Z94,TRANSPOSE(Returns_85_15!$B$104:$AY$104))</f>
        <v>185316.86495707874</v>
      </c>
      <c r="AA111" s="466">
        <f t="array" aca="1" ref="AA111" ca="1">$E$3*SUMPRODUCT(AA45:AA94,TRANSPOSE(Returns_85_15!$B$104:$AY$104))</f>
        <v>178162.98602927694</v>
      </c>
    </row>
    <row r="112" spans="1:27">
      <c r="A112" s="135" t="s">
        <v>212</v>
      </c>
      <c r="C112" s="466">
        <f t="array" aca="1" ref="C112" ca="1">$E$3*PRODUCT(1+((OFFSET(C$116,$E$7,0,$E$8,1)-OFFSET(Data_85_15!$AZ$8,$E$7,0,$E$8,1)%)/(1+OFFSET(Data_85_15!$AZ$8,$E$7,0,$E$8,1)%)))</f>
        <v>98858.188466812702</v>
      </c>
      <c r="D112" s="466">
        <f t="array" aca="1" ref="D112" ca="1">$E$3*PRODUCT(1+((OFFSET(D$116,$E$7,0,$E$8,1)-OFFSET(Data_85_15!$AZ$8,$E$7,0,$E$8,1)%)/(1+OFFSET(Data_85_15!$AZ$8,$E$7,0,$E$8,1)%)))</f>
        <v>77172.456088043778</v>
      </c>
      <c r="E112" s="466">
        <f t="array" aca="1" ref="E112" ca="1">$E$3*PRODUCT(1+((OFFSET(E$116,$E$7,0,$E$8,1)-OFFSET(Data_85_15!$AZ$8,$E$7,0,$E$8,1)%)/(1+OFFSET(Data_85_15!$AZ$8,$E$7,0,$E$8,1)%)))</f>
        <v>90357.538721419056</v>
      </c>
      <c r="F112" s="466">
        <f t="array" aca="1" ref="F112" ca="1">$E$3*PRODUCT(1+((OFFSET(F$116,$E$7,0,$E$8,1)-OFFSET(Data_85_15!$AZ$8,$E$7,0,$E$8,1)%)/(1+OFFSET(Data_85_15!$AZ$8,$E$7,0,$E$8,1)%)))</f>
        <v>87701.891370474259</v>
      </c>
      <c r="G112" s="466">
        <f t="array" aca="1" ref="G112" ca="1">$E$3*PRODUCT(1+((OFFSET(G$116,$E$7,0,$E$8,1)-OFFSET(Data_85_15!$AZ$8,$E$7,0,$E$8,1)%)/(1+OFFSET(Data_85_15!$AZ$8,$E$7,0,$E$8,1)%)))</f>
        <v>88071.91601864784</v>
      </c>
      <c r="H112" s="466">
        <f t="array" aca="1" ref="H112" ca="1">$E$3*PRODUCT(1+((OFFSET(H$116,$E$7,0,$E$8,1)-OFFSET(Data_85_15!$AZ$8,$E$7,0,$E$8,1)%)/(1+OFFSET(Data_85_15!$AZ$8,$E$7,0,$E$8,1)%)))</f>
        <v>90583.401648574742</v>
      </c>
      <c r="I112" s="466">
        <f t="array" aca="1" ref="I112" ca="1">$E$3*PRODUCT(1+((OFFSET(I$116,$E$7,0,$E$8,1)-OFFSET(Data_85_15!$AZ$8,$E$7,0,$E$8,1)%)/(1+OFFSET(Data_85_15!$AZ$8,$E$7,0,$E$8,1)%)))</f>
        <v>72805.562023588209</v>
      </c>
      <c r="J112" s="466">
        <f t="array" aca="1" ref="J112" ca="1">$E$3*PRODUCT(1+((OFFSET(J$116,$E$7,0,$E$8,1)-OFFSET(Data_85_15!$AZ$8,$E$7,0,$E$8,1)%)/(1+OFFSET(Data_85_15!$AZ$8,$E$7,0,$E$8,1)%)))</f>
        <v>81634.825474552548</v>
      </c>
      <c r="K112" s="466">
        <f t="array" aca="1" ref="K112" ca="1">$E$3*PRODUCT(1+((OFFSET(K$116,$E$7,0,$E$8,1)-OFFSET(Data_85_15!$AZ$8,$E$7,0,$E$8,1)%)/(1+OFFSET(Data_85_15!$AZ$8,$E$7,0,$E$8,1)%)))</f>
        <v>72805.562023588209</v>
      </c>
      <c r="L112" s="466">
        <f t="array" aca="1" ref="L112" ca="1">$E$3*PRODUCT(1+((OFFSET(L$116,$E$7,0,$E$8,1)-OFFSET(Data_85_15!$AZ$8,$E$7,0,$E$8,1)%)/(1+OFFSET(Data_85_15!$AZ$8,$E$7,0,$E$8,1)%)))</f>
        <v>82374.116166692198</v>
      </c>
      <c r="M112" s="466">
        <f t="array" aca="1" ref="M112" ca="1">$E$3*PRODUCT(1+((OFFSET(M$116,$E$7,0,$E$8,1)-OFFSET(Data_85_15!$AZ$8,$E$7,0,$E$8,1)%)/(1+OFFSET(Data_85_15!$AZ$8,$E$7,0,$E$8,1)%)))</f>
        <v>97214.238521678868</v>
      </c>
      <c r="N112" s="466">
        <f t="array" aca="1" ref="N112" ca="1">$E$3*PRODUCT(1+((OFFSET(N$116,$E$7,0,$E$8,1)-OFFSET(Data_85_15!$AZ$8,$E$7,0,$E$8,1)%)/(1+OFFSET(Data_85_15!$AZ$8,$E$7,0,$E$8,1)%)))</f>
        <v>76251.625569522104</v>
      </c>
      <c r="O112" s="466">
        <f t="array" aca="1" ref="O112" ca="1">$E$3*PRODUCT(1+((OFFSET(O$116,$E$7,0,$E$8,1)-OFFSET(Data_85_15!$AZ$8,$E$7,0,$E$8,1)%)/(1+OFFSET(Data_85_15!$AZ$8,$E$7,0,$E$8,1)%)))</f>
        <v>92728.616570705766</v>
      </c>
      <c r="P112" s="466">
        <f t="array" aca="1" ref="P112" ca="1">$E$3*PRODUCT(1+((OFFSET(P$116,$E$7,0,$E$8,1)-OFFSET(Data_85_15!$AZ$8,$E$7,0,$E$8,1)%)/(1+OFFSET(Data_85_15!$AZ$8,$E$7,0,$E$8,1)%)))</f>
        <v>85108.866190696819</v>
      </c>
      <c r="Q112" s="466">
        <f t="array" aca="1" ref="Q112" ca="1">$E$3*PRODUCT(1+((OFFSET(Q$116,$E$7,0,$E$8,1)-OFFSET(Data_85_15!$AZ$8,$E$7,0,$E$8,1)%)/(1+OFFSET(Data_85_15!$AZ$8,$E$7,0,$E$8,1)%)))</f>
        <v>102345.73385396667</v>
      </c>
      <c r="R112" s="466">
        <f t="array" aca="1" ref="R112" ca="1">$E$3*PRODUCT(1+((OFFSET(R$116,$E$7,0,$E$8,1)-OFFSET(Data_85_15!$AZ$8,$E$7,0,$E$8,1)%)/(1+OFFSET(Data_85_15!$AZ$8,$E$7,0,$E$8,1)%)))</f>
        <v>95554.869804048183</v>
      </c>
      <c r="S112" s="466">
        <f t="array" aca="1" ref="S112" ca="1">$E$3*PRODUCT(1+((OFFSET(S$116,$E$7,0,$E$8,1)-OFFSET(Data_85_15!$AZ$8,$E$7,0,$E$8,1)%)/(1+OFFSET(Data_85_15!$AZ$8,$E$7,0,$E$8,1)%)))</f>
        <v>71954.643470712559</v>
      </c>
      <c r="T112" s="466">
        <f t="array" aca="1" ref="T112" ca="1">$E$3*PRODUCT(1+((OFFSET(T$116,$E$7,0,$E$8,1)-OFFSET(Data_85_15!$AZ$8,$E$7,0,$E$8,1)%)/(1+OFFSET(Data_85_15!$AZ$8,$E$7,0,$E$8,1)%)))</f>
        <v>69056.769881846252</v>
      </c>
      <c r="U112" s="466">
        <f t="array" aca="1" ref="U112" ca="1">$E$3*PRODUCT(1+((OFFSET(U$116,$E$7,0,$E$8,1)-OFFSET(Data_85_15!$AZ$8,$E$7,0,$E$8,1)%)/(1+OFFSET(Data_85_15!$AZ$8,$E$7,0,$E$8,1)%)))</f>
        <v>77937.859902060649</v>
      </c>
      <c r="V112" s="466">
        <f t="array" aca="1" ref="V112" ca="1">$E$3*PRODUCT(1+((OFFSET(V$116,$E$7,0,$E$8,1)-OFFSET(Data_85_15!$AZ$8,$E$7,0,$E$8,1)%)/(1+OFFSET(Data_85_15!$AZ$8,$E$7,0,$E$8,1)%)))</f>
        <v>62432.741555600682</v>
      </c>
      <c r="W112" s="466">
        <f t="array" aca="1" ref="W112" ca="1">$E$3*PRODUCT(1+((OFFSET(W$116,$E$7,0,$E$8,1)-OFFSET(Data_85_15!$AZ$8,$E$7,0,$E$8,1)%)/(1+OFFSET(Data_85_15!$AZ$8,$E$7,0,$E$8,1)%)))</f>
        <v>72957.076010659875</v>
      </c>
      <c r="X112" s="466">
        <f t="array" aca="1" ref="X112" ca="1">$E$3*PRODUCT(1+((OFFSET(X$116,$E$7,0,$E$8,1)-OFFSET(Data_85_15!$AZ$8,$E$7,0,$E$8,1)%)/(1+OFFSET(Data_85_15!$AZ$8,$E$7,0,$E$8,1)%)))</f>
        <v>81721.05925195216</v>
      </c>
      <c r="Y112" s="466">
        <f t="array" aca="1" ref="Y112" ca="1">$E$3*PRODUCT(1+((OFFSET(Y$116,$E$7,0,$E$8,1)-OFFSET(Data_85_15!$AZ$8,$E$7,0,$E$8,1)%)/(1+OFFSET(Data_85_15!$AZ$8,$E$7,0,$E$8,1)%)))</f>
        <v>40418.402746684857</v>
      </c>
      <c r="Z112" s="466">
        <f t="array" aca="1" ref="Z112" ca="1">$E$3*PRODUCT(1+((OFFSET(Z$116,$E$7,0,$E$8,1)-OFFSET(Data_85_15!$AZ$8,$E$7,0,$E$8,1)%)/(1+OFFSET(Data_85_15!$AZ$8,$E$7,0,$E$8,1)%)))</f>
        <v>84203.666132460246</v>
      </c>
      <c r="AA112" s="466">
        <f t="array" aca="1" ref="AA112" ca="1">$E$3*PRODUCT(1+((OFFSET(AA$116,$E$7,0,$E$8,1)-OFFSET(Data_85_15!$AZ$8,$E$7,0,$E$8,1)%)/(1+OFFSET(Data_85_15!$AZ$8,$E$7,0,$E$8,1)%)))</f>
        <v>61602.571176595455</v>
      </c>
    </row>
    <row r="113" spans="1:27">
      <c r="A113" s="186" t="s">
        <v>283</v>
      </c>
      <c r="C113" s="185">
        <f t="array" aca="1" ref="C113" ca="1">PRODUCT(1+OFFSET(C$116,$E$7,0,$E$8,1))</f>
        <v>22.205539436954279</v>
      </c>
      <c r="D113" s="185">
        <f t="array" aca="1" ref="D113" ca="1">PRODUCT(1+OFFSET(D$116,$E$7,0,$E$8,1))</f>
        <v>17.334487346841943</v>
      </c>
      <c r="E113" s="185">
        <f t="array" aca="1" ref="E113" ca="1">PRODUCT(1+OFFSET(E$116,$E$7,0,$E$8,1))</f>
        <v>20.296122360953134</v>
      </c>
      <c r="F113" s="185">
        <f t="array" aca="1" ref="F113" ca="1">PRODUCT(1+OFFSET(F$116,$E$7,0,$E$8,1))</f>
        <v>19.699610499906381</v>
      </c>
      <c r="G113" s="185">
        <f t="array" aca="1" ref="G113" ca="1">PRODUCT(1+OFFSET(G$116,$E$7,0,$E$8,1))</f>
        <v>19.782725485575192</v>
      </c>
      <c r="H113" s="185">
        <f t="array" aca="1" ref="H113" ca="1">PRODUCT(1+OFFSET(H$116,$E$7,0,$E$8,1))</f>
        <v>20.346855721680107</v>
      </c>
      <c r="I113" s="185">
        <f t="array" aca="1" ref="I113" ca="1">PRODUCT(1+OFFSET(I$116,$E$7,0,$E$8,1))</f>
        <v>16.353595021490211</v>
      </c>
      <c r="J113" s="185">
        <f t="array" aca="1" ref="J113" ca="1">PRODUCT(1+OFFSET(J$116,$E$7,0,$E$8,1))</f>
        <v>18.336825351727015</v>
      </c>
      <c r="K113" s="185">
        <f t="array" aca="1" ref="K113" ca="1">PRODUCT(1+OFFSET(K$116,$E$7,0,$E$8,1))</f>
        <v>16.353595021490211</v>
      </c>
      <c r="L113" s="185">
        <f t="array" aca="1" ref="L113" ca="1">PRODUCT(1+OFFSET(L$116,$E$7,0,$E$8,1))</f>
        <v>18.502884925286683</v>
      </c>
      <c r="M113" s="185">
        <f t="array" aca="1" ref="M113" ca="1">PRODUCT(1+OFFSET(M$116,$E$7,0,$E$8,1))</f>
        <v>21.836275181709482</v>
      </c>
      <c r="N113" s="185">
        <f t="array" aca="1" ref="N113" ca="1">PRODUCT(1+OFFSET(N$116,$E$7,0,$E$8,1))</f>
        <v>17.127650273343978</v>
      </c>
      <c r="O113" s="185">
        <f t="array" aca="1" ref="O113" ca="1">PRODUCT(1+OFFSET(O$116,$E$7,0,$E$8,1))</f>
        <v>20.828714182702932</v>
      </c>
      <c r="P113" s="185">
        <f t="array" aca="1" ref="P113" ca="1">PRODUCT(1+OFFSET(P$116,$E$7,0,$E$8,1))</f>
        <v>19.117164839273091</v>
      </c>
      <c r="Q113" s="185">
        <f t="array" aca="1" ref="Q113" ca="1">PRODUCT(1+OFFSET(Q$116,$E$7,0,$E$8,1))</f>
        <v>22.988912345498061</v>
      </c>
      <c r="R113" s="185">
        <f t="array" aca="1" ref="R113" ca="1">PRODUCT(1+OFFSET(R$116,$E$7,0,$E$8,1))</f>
        <v>21.463547559736462</v>
      </c>
      <c r="S113" s="185">
        <f t="array" aca="1" ref="S113" ca="1">PRODUCT(1+OFFSET(S$116,$E$7,0,$E$8,1))</f>
        <v>16.162461583010721</v>
      </c>
      <c r="T113" s="185">
        <f t="array" aca="1" ref="T113" ca="1">PRODUCT(1+OFFSET(T$116,$E$7,0,$E$8,1))</f>
        <v>15.511540832197227</v>
      </c>
      <c r="U113" s="185">
        <f t="array" aca="1" ref="U113" ca="1">PRODUCT(1+OFFSET(U$116,$E$7,0,$E$8,1))</f>
        <v>17.506412453309522</v>
      </c>
      <c r="V113" s="185">
        <f t="array" aca="1" ref="V113" ca="1">PRODUCT(1+OFFSET(V$116,$E$7,0,$E$8,1))</f>
        <v>14.023650708868436</v>
      </c>
      <c r="W113" s="185">
        <f t="array" aca="1" ref="W113" ca="1">PRODUCT(1+OFFSET(W$116,$E$7,0,$E$8,1))</f>
        <v>16.387628113410567</v>
      </c>
      <c r="X113" s="185">
        <f t="array" aca="1" ref="X113" ca="1">PRODUCT(1+OFFSET(X$116,$E$7,0,$E$8,1))</f>
        <v>18.356195194271599</v>
      </c>
      <c r="Y113" s="185">
        <f t="array" aca="1" ref="Y113" ca="1">PRODUCT(1+OFFSET(Y$116,$E$7,0,$E$8,1))</f>
        <v>9.0787869987270984</v>
      </c>
      <c r="Z113" s="185">
        <f t="array" aca="1" ref="Z113" ca="1">PRODUCT(1+OFFSET(Z$116,$E$7,0,$E$8,1))</f>
        <v>18.913838681842517</v>
      </c>
      <c r="AA113" s="185">
        <f t="array" aca="1" ref="AA113" ca="1">PRODUCT(1+OFFSET(AA$116,$E$7,0,$E$8,1))</f>
        <v>13.83717772796224</v>
      </c>
    </row>
    <row r="115" spans="1:27">
      <c r="E115" s="141"/>
      <c r="L115" s="141"/>
      <c r="M115" s="141"/>
      <c r="N115" s="141"/>
      <c r="O115" s="141"/>
      <c r="P115" s="141"/>
      <c r="Q115" s="141"/>
      <c r="R115" s="141"/>
      <c r="S115" s="141"/>
      <c r="T115" s="141"/>
      <c r="U115" s="141"/>
      <c r="V115" s="141"/>
      <c r="W115" s="141"/>
      <c r="X115" s="141"/>
      <c r="Y115" s="141"/>
      <c r="Z115" s="141"/>
      <c r="AA115" s="141"/>
    </row>
    <row r="116" spans="1:27">
      <c r="B116" s="142">
        <v>1985</v>
      </c>
      <c r="C116" s="141">
        <f t="array" ref="C116">IF(AND($B116&gt;=$E$4,$B116&lt;=$E$5),SUMPRODUCT(C$45:C$94,TRANSPOSE(Data_85_15!$B8:$AY8))%,"")</f>
        <v>0.2853</v>
      </c>
      <c r="D116" s="141">
        <f t="array" ref="D116">IF(AND($B116&gt;=$E$4,$B116&lt;=$E$5),SUMPRODUCT(D$45:D$94,TRANSPOSE(Data_85_15!$B8:$AY8))%,"")</f>
        <v>0.27410000000000001</v>
      </c>
      <c r="E116" s="141">
        <f t="array" ref="E116">IF(AND($B116&gt;=$E$4,$B116&lt;=$E$5),SUMPRODUCT(E$45:E$94,TRANSPOSE(Data_85_15!$B8:$AY8))%,"")</f>
        <v>0.29133407339259793</v>
      </c>
      <c r="F116" s="141">
        <f t="array" ref="F116">IF(AND($B116&gt;=$E$4,$B116&lt;=$E$5),SUMPRODUCT(F$45:F$94,TRANSPOSE(Data_85_15!$B8:$AY8))%,"")</f>
        <v>0.36636105058066964</v>
      </c>
      <c r="G116" s="141">
        <f t="array" ref="G116">IF(AND($B116&gt;=$E$4,$B116&lt;=$E$5),SUMPRODUCT(G$45:G$94,TRANSPOSE(Data_85_15!$B8:$AY8))%,"")</f>
        <v>0.35727921425332432</v>
      </c>
      <c r="H116" s="141">
        <f t="array" ref="H116">IF(AND($B116&gt;=$E$4,$B116&lt;=$E$5),SUMPRODUCT(H$45:H$94,TRANSPOSE(Data_85_15!$B8:$AY8))%,"")</f>
        <v>0.34080805643787387</v>
      </c>
      <c r="I116" s="141">
        <f t="array" ref="I116">IF(AND($B116&gt;=$E$4,$B116&lt;=$E$5),SUMPRODUCT(I$45:I$94,TRANSPOSE(Data_85_15!$B8:$AY8))%,"")</f>
        <v>0.28362276731405389</v>
      </c>
      <c r="J116" s="141">
        <f t="array" ref="J116">IF(AND($B116&gt;=$E$4,$B116&lt;=$E$5),SUMPRODUCT(J$45:J$94,TRANSPOSE(Data_85_15!$B8:$AY8))%,"")</f>
        <v>0.38584236529951127</v>
      </c>
      <c r="K116" s="141">
        <f t="array" ref="K116">IF(AND($B116&gt;=$E$4,$B116&lt;=$E$5),SUMPRODUCT(K$45:K$94,TRANSPOSE(Data_85_15!$B8:$AY8))%,"")</f>
        <v>0.28362276731405389</v>
      </c>
      <c r="L116" s="141">
        <f t="array" ref="L116">IF(AND($B116&gt;=$E$4,$B116&lt;=$E$5),SUMPRODUCT(L$45:L$94,TRANSPOSE(Data_85_15!$B8:$AY8))%,"")</f>
        <v>0.27712290304087839</v>
      </c>
      <c r="M116" s="141">
        <f t="array" ref="M116">IF(AND($B116&gt;=$E$4,$B116&lt;=$E$5),SUMPRODUCT(M$45:M$94,TRANSPOSE(Data_85_15!$B8:$AY8))%,"")</f>
        <v>0.33802816647912892</v>
      </c>
      <c r="N116" s="141">
        <f t="array" ref="N116">IF(AND($B116&gt;=$E$4,$B116&lt;=$E$5),SUMPRODUCT(N$45:N$94,TRANSPOSE(Data_85_15!$B8:$AY8))%,"")</f>
        <v>0.27076045843134955</v>
      </c>
      <c r="O116" s="141">
        <f t="array" ref="O116">IF(AND($B116&gt;=$E$4,$B116&lt;=$E$5),SUMPRODUCT(O$45:O$94,TRANSPOSE(Data_85_15!$B8:$AY8))%,"")</f>
        <v>0.32826967045350031</v>
      </c>
      <c r="P116" s="141">
        <f t="array" ref="P116">IF(AND($B116&gt;=$E$4,$B116&lt;=$E$5),SUMPRODUCT(P$45:P$94,TRANSPOSE(Data_85_15!$B8:$AY8))%,"")</f>
        <v>0.28101827366336485</v>
      </c>
      <c r="Q116" s="141">
        <f t="array" ref="Q116">IF(AND($B116&gt;=$E$4,$B116&lt;=$E$5),SUMPRODUCT(Q$45:Q$94,TRANSPOSE(Data_85_15!$B8:$AY8))%,"")</f>
        <v>0.30766498025019123</v>
      </c>
      <c r="R116" s="141">
        <f t="array" ref="R116">IF(AND($B116&gt;=$E$4,$B116&lt;=$E$5),SUMPRODUCT(R$45:R$94,TRANSPOSE(Data_85_15!$B8:$AY8))%,"")</f>
        <v>0.3714903846050438</v>
      </c>
      <c r="S116" s="141">
        <f t="array" ref="S116">IF(AND($B116&gt;=$E$4,$B116&lt;=$E$5),SUMPRODUCT(S$45:S$94,TRANSPOSE(Data_85_15!$B8:$AY8))%,"")</f>
        <v>0.3265686173140373</v>
      </c>
      <c r="T116" s="141">
        <f t="array" ref="T116">IF(AND($B116&gt;=$E$4,$B116&lt;=$E$5),SUMPRODUCT(T$45:T$94,TRANSPOSE(Data_85_15!$B8:$AY8))%,"")</f>
        <v>0.20329138070071298</v>
      </c>
      <c r="U116" s="141">
        <f t="array" ref="U116">IF(AND($B116&gt;=$E$4,$B116&lt;=$E$5),SUMPRODUCT(U$45:U$94,TRANSPOSE(Data_85_15!$B8:$AY8))%,"")</f>
        <v>0.32541916696200213</v>
      </c>
      <c r="V116" s="141">
        <f t="array" ref="V116">IF(AND($B116&gt;=$E$4,$B116&lt;=$E$5),SUMPRODUCT(V$45:V$94,TRANSPOSE(Data_85_15!$B8:$AY8))%,"")</f>
        <v>0.24823227486442556</v>
      </c>
      <c r="W116" s="141">
        <f t="array" ref="W116">IF(AND($B116&gt;=$E$4,$B116&lt;=$E$5),SUMPRODUCT(W$45:W$94,TRANSPOSE(Data_85_15!$B8:$AY8))%,"")</f>
        <v>0.23616810594779417</v>
      </c>
      <c r="X116" s="141">
        <f t="array" ref="X116">IF(AND($B116&gt;=$E$4,$B116&lt;=$E$5),SUMPRODUCT(X$45:X$94,TRANSPOSE(Data_85_15!$B8:$AY8))%,"")</f>
        <v>0.22009761873581454</v>
      </c>
      <c r="Y116" s="141">
        <f t="array" ref="Y116">IF(AND($B116&gt;=$E$4,$B116&lt;=$E$5),SUMPRODUCT(Y$45:Y$94,TRANSPOSE(Data_85_15!$B8:$AY8))%,"")</f>
        <v>0.18835685426204113</v>
      </c>
      <c r="Z116" s="141">
        <f t="array" ref="Z116">IF(AND($B116&gt;=$E$4,$B116&lt;=$E$5),SUMPRODUCT(Z$45:Z$94,TRANSPOSE(Data_85_15!$B8:$AY8))%,"")</f>
        <v>0.26252387066780097</v>
      </c>
      <c r="AA116" s="141">
        <f t="array" ref="AA116">IF(AND($B116&gt;=$E$4,$B116&lt;=$E$5),SUMPRODUCT(AA$45:AA$94,TRANSPOSE(Data_85_15!$B8:$AY8))%,"")</f>
        <v>0.21240365494991661</v>
      </c>
    </row>
    <row r="117" spans="1:27">
      <c r="B117" s="142">
        <f t="shared" ref="B117:B147" si="11">B116+1</f>
        <v>1986</v>
      </c>
      <c r="C117" s="141">
        <f t="array" ref="C117">IF(AND($B117&gt;=$E$4,$B117&lt;=$E$5),SUMPRODUCT(C$45:C$94,TRANSPOSE(Data_85_15!$B9:$AY9))%,"")</f>
        <v>0.184</v>
      </c>
      <c r="D117" s="141">
        <f t="array" ref="D117">IF(AND($B117&gt;=$E$4,$B117&lt;=$E$5),SUMPRODUCT(D$45:D$94,TRANSPOSE(Data_85_15!$B9:$AY9))%,"")</f>
        <v>0.18340000000000001</v>
      </c>
      <c r="E117" s="141">
        <f t="array" ref="E117">IF(AND($B117&gt;=$E$4,$B117&lt;=$E$5),SUMPRODUCT(E$45:E$94,TRANSPOSE(Data_85_15!$B9:$AY9))%,"")</f>
        <v>0.15297222267056185</v>
      </c>
      <c r="F117" s="141">
        <f t="array" ref="F117">IF(AND($B117&gt;=$E$4,$B117&lt;=$E$5),SUMPRODUCT(F$45:F$94,TRANSPOSE(Data_85_15!$B9:$AY9))%,"")</f>
        <v>0.31061156167730769</v>
      </c>
      <c r="G117" s="141">
        <f t="array" ref="G117">IF(AND($B117&gt;=$E$4,$B117&lt;=$E$5),SUMPRODUCT(G$45:G$94,TRANSPOSE(Data_85_15!$B9:$AY9))%,"")</f>
        <v>0.31969339800465302</v>
      </c>
      <c r="H117" s="141">
        <f t="array" ref="H117">IF(AND($B117&gt;=$E$4,$B117&lt;=$E$5),SUMPRODUCT(H$45:H$94,TRANSPOSE(Data_85_15!$B9:$AY9))%,"")</f>
        <v>0.28147402887020262</v>
      </c>
      <c r="I117" s="141">
        <f t="array" ref="I117">IF(AND($B117&gt;=$E$4,$B117&lt;=$E$5),SUMPRODUCT(I$45:I$94,TRANSPOSE(Data_85_15!$B9:$AY9))%,"")</f>
        <v>0.2083105459548576</v>
      </c>
      <c r="J117" s="141">
        <f t="array" ref="J117">IF(AND($B117&gt;=$E$4,$B117&lt;=$E$5),SUMPRODUCT(J$45:J$94,TRANSPOSE(Data_85_15!$B9:$AY9))%,"")</f>
        <v>0.19829842215835061</v>
      </c>
      <c r="K117" s="141">
        <f t="array" ref="K117">IF(AND($B117&gt;=$E$4,$B117&lt;=$E$5),SUMPRODUCT(K$45:K$94,TRANSPOSE(Data_85_15!$B9:$AY9))%,"")</f>
        <v>0.2083105459548576</v>
      </c>
      <c r="L117" s="141">
        <f t="array" ref="L117">IF(AND($B117&gt;=$E$4,$B117&lt;=$E$5),SUMPRODUCT(L$45:L$94,TRANSPOSE(Data_85_15!$B9:$AY9))%,"")</f>
        <v>0.14994350920799909</v>
      </c>
      <c r="M117" s="141">
        <f t="array" ref="M117">IF(AND($B117&gt;=$E$4,$B117&lt;=$E$5),SUMPRODUCT(M$45:M$94,TRANSPOSE(Data_85_15!$B9:$AY9))%,"")</f>
        <v>0.34244023357509817</v>
      </c>
      <c r="N117" s="141">
        <f t="array" ref="N117">IF(AND($B117&gt;=$E$4,$B117&lt;=$E$5),SUMPRODUCT(N$45:N$94,TRANSPOSE(Data_85_15!$B9:$AY9))%,"")</f>
        <v>0.1892329290410209</v>
      </c>
      <c r="O117" s="141">
        <f t="array" ref="O117">IF(AND($B117&gt;=$E$4,$B117&lt;=$E$5),SUMPRODUCT(O$45:O$94,TRANSPOSE(Data_85_15!$B9:$AY9))%,"")</f>
        <v>0.29430794519053277</v>
      </c>
      <c r="P117" s="141">
        <f t="array" ref="P117">IF(AND($B117&gt;=$E$4,$B117&lt;=$E$5),SUMPRODUCT(P$45:P$94,TRANSPOSE(Data_85_15!$B9:$AY9))%,"")</f>
        <v>0.27164303331038325</v>
      </c>
      <c r="Q117" s="141">
        <f t="array" ref="Q117">IF(AND($B117&gt;=$E$4,$B117&lt;=$E$5),SUMPRODUCT(Q$45:Q$94,TRANSPOSE(Data_85_15!$B9:$AY9))%,"")</f>
        <v>0.29050530875948505</v>
      </c>
      <c r="R117" s="141">
        <f t="array" ref="R117">IF(AND($B117&gt;=$E$4,$B117&lt;=$E$5),SUMPRODUCT(R$45:R$94,TRANSPOSE(Data_85_15!$B9:$AY9))%,"")</f>
        <v>0.32272211146721574</v>
      </c>
      <c r="S117" s="141">
        <f t="array" ref="S117">IF(AND($B117&gt;=$E$4,$B117&lt;=$E$5),SUMPRODUCT(S$45:S$94,TRANSPOSE(Data_85_15!$B9:$AY9))%,"")</f>
        <v>0.30058705550977644</v>
      </c>
      <c r="T117" s="141">
        <f t="array" ref="T117">IF(AND($B117&gt;=$E$4,$B117&lt;=$E$5),SUMPRODUCT(T$45:T$94,TRANSPOSE(Data_85_15!$B9:$AY9))%,"")</f>
        <v>0.18929526391960017</v>
      </c>
      <c r="U117" s="141">
        <f t="array" ref="U117">IF(AND($B117&gt;=$E$4,$B117&lt;=$E$5),SUMPRODUCT(U$45:U$94,TRANSPOSE(Data_85_15!$B9:$AY9))%,"")</f>
        <v>0.3524082279568902</v>
      </c>
      <c r="V117" s="141">
        <f t="array" ref="V117">IF(AND($B117&gt;=$E$4,$B117&lt;=$E$5),SUMPRODUCT(V$45:V$94,TRANSPOSE(Data_85_15!$B9:$AY9))%,"")</f>
        <v>0.26989616019767682</v>
      </c>
      <c r="W117" s="141">
        <f t="array" ref="W117">IF(AND($B117&gt;=$E$4,$B117&lt;=$E$5),SUMPRODUCT(W$45:W$94,TRANSPOSE(Data_85_15!$B9:$AY9))%,"")</f>
        <v>0.2536986955628891</v>
      </c>
      <c r="X117" s="141">
        <f t="array" ref="X117">IF(AND($B117&gt;=$E$4,$B117&lt;=$E$5),SUMPRODUCT(X$45:X$94,TRANSPOSE(Data_85_15!$B9:$AY9))%,"")</f>
        <v>0.23250511636884619</v>
      </c>
      <c r="Y117" s="141">
        <f t="array" ref="Y117">IF(AND($B117&gt;=$E$4,$B117&lt;=$E$5),SUMPRODUCT(Y$45:Y$94,TRANSPOSE(Data_85_15!$B9:$AY9))%,"")</f>
        <v>0.16744693643945097</v>
      </c>
      <c r="Z117" s="141">
        <f t="array" ref="Z117">IF(AND($B117&gt;=$E$4,$B117&lt;=$E$5),SUMPRODUCT(Z$45:Z$94,TRANSPOSE(Data_85_15!$B9:$AY9))%,"")</f>
        <v>0.2441414735961891</v>
      </c>
      <c r="AA117" s="141">
        <f t="array" ref="AA117">IF(AND($B117&gt;=$E$4,$B117&lt;=$E$5),SUMPRODUCT(AA$45:AA$94,TRANSPOSE(Data_85_15!$B9:$AY9))%,"")</f>
        <v>0.22169217508459999</v>
      </c>
    </row>
    <row r="118" spans="1:27">
      <c r="B118" s="142">
        <f t="shared" si="11"/>
        <v>1987</v>
      </c>
      <c r="C118" s="141">
        <f t="array" ref="C118">IF(AND($B118&gt;=$E$4,$B118&lt;=$E$5),SUMPRODUCT(C$45:C$94,TRANSPOSE(Data_85_15!$B10:$AY10))%,"")</f>
        <v>2.2799999999999997E-2</v>
      </c>
      <c r="D118" s="141">
        <f t="array" ref="D118">IF(AND($B118&gt;=$E$4,$B118&lt;=$E$5),SUMPRODUCT(D$45:D$94,TRANSPOSE(Data_85_15!$B10:$AY10))%,"")</f>
        <v>-1.9199999999999998E-2</v>
      </c>
      <c r="E118" s="141">
        <f t="array" ref="E118">IF(AND($B118&gt;=$E$4,$B118&lt;=$E$5),SUMPRODUCT(E$45:E$94,TRANSPOSE(Data_85_15!$B10:$AY10))%,"")</f>
        <v>1.4095474818556957E-2</v>
      </c>
      <c r="F118" s="141">
        <f t="array" ref="F118">IF(AND($B118&gt;=$E$4,$B118&lt;=$E$5),SUMPRODUCT(F$45:F$94,TRANSPOSE(Data_85_15!$B10:$AY10))%,"")</f>
        <v>8.9138089960124206E-2</v>
      </c>
      <c r="G118" s="141">
        <f t="array" ref="G118">IF(AND($B118&gt;=$E$4,$B118&lt;=$E$5),SUMPRODUCT(G$45:G$94,TRANSPOSE(Data_85_15!$B10:$AY10))%,"")</f>
        <v>9.6383598942160142E-2</v>
      </c>
      <c r="H118" s="141">
        <f t="array" ref="H118">IF(AND($B118&gt;=$E$4,$B118&lt;=$E$5),SUMPRODUCT(H$45:H$94,TRANSPOSE(Data_85_15!$B10:$AY10))%,"")</f>
        <v>6.9827652179708016E-2</v>
      </c>
      <c r="I118" s="141">
        <f t="array" ref="I118">IF(AND($B118&gt;=$E$4,$B118&lt;=$E$5),SUMPRODUCT(I$45:I$94,TRANSPOSE(Data_85_15!$B10:$AY10))%,"")</f>
        <v>4.6939901240190034E-2</v>
      </c>
      <c r="J118" s="141">
        <f t="array" ref="J118">IF(AND($B118&gt;=$E$4,$B118&lt;=$E$5),SUMPRODUCT(J$45:J$94,TRANSPOSE(Data_85_15!$B10:$AY10))%,"")</f>
        <v>1.3297965964229226E-2</v>
      </c>
      <c r="K118" s="141">
        <f t="array" ref="K118">IF(AND($B118&gt;=$E$4,$B118&lt;=$E$5),SUMPRODUCT(K$45:K$94,TRANSPOSE(Data_85_15!$B10:$AY10))%,"")</f>
        <v>4.6939901240190034E-2</v>
      </c>
      <c r="L118" s="141">
        <f t="array" ref="L118">IF(AND($B118&gt;=$E$4,$B118&lt;=$E$5),SUMPRODUCT(L$45:L$94,TRANSPOSE(Data_85_15!$B10:$AY10))%,"")</f>
        <v>1.3506195156856098E-2</v>
      </c>
      <c r="M118" s="141">
        <f t="array" ref="M118">IF(AND($B118&gt;=$E$4,$B118&lt;=$E$5),SUMPRODUCT(M$45:M$94,TRANSPOSE(Data_85_15!$B10:$AY10))%,"")</f>
        <v>0.10361858708897677</v>
      </c>
      <c r="N118" s="141">
        <f t="array" ref="N118">IF(AND($B118&gt;=$E$4,$B118&lt;=$E$5),SUMPRODUCT(N$45:N$94,TRANSPOSE(Data_85_15!$B10:$AY10))%,"")</f>
        <v>1.5101035524650214E-2</v>
      </c>
      <c r="O118" s="141">
        <f t="array" ref="O118">IF(AND($B118&gt;=$E$4,$B118&lt;=$E$5),SUMPRODUCT(O$45:O$94,TRANSPOSE(Data_85_15!$B10:$AY10))%,"")</f>
        <v>0.10818296916441371</v>
      </c>
      <c r="P118" s="141">
        <f t="array" ref="P118">IF(AND($B118&gt;=$E$4,$B118&lt;=$E$5),SUMPRODUCT(P$45:P$94,TRANSPOSE(Data_85_15!$B10:$AY10))%,"")</f>
        <v>7.36453929504782E-2</v>
      </c>
      <c r="Q118" s="141">
        <f t="array" ref="Q118">IF(AND($B118&gt;=$E$4,$B118&lt;=$E$5),SUMPRODUCT(Q$45:Q$94,TRANSPOSE(Data_85_15!$B10:$AY10))%,"")</f>
        <v>6.0277129477424307E-2</v>
      </c>
      <c r="R118" s="141">
        <f t="array" ref="R118">IF(AND($B118&gt;=$E$4,$B118&lt;=$E$5),SUMPRODUCT(R$45:R$94,TRANSPOSE(Data_85_15!$B10:$AY10))%,"")</f>
        <v>9.6972878603861015E-2</v>
      </c>
      <c r="S118" s="141">
        <f t="array" ref="S118">IF(AND($B118&gt;=$E$4,$B118&lt;=$E$5),SUMPRODUCT(S$45:S$94,TRANSPOSE(Data_85_15!$B10:$AY10))%,"")</f>
        <v>8.6301638333899616E-2</v>
      </c>
      <c r="T118" s="141">
        <f t="array" ref="T118">IF(AND($B118&gt;=$E$4,$B118&lt;=$E$5),SUMPRODUCT(T$45:T$94,TRANSPOSE(Data_85_15!$B10:$AY10))%,"")</f>
        <v>4.8555180743634026E-2</v>
      </c>
      <c r="U118" s="141">
        <f t="array" ref="U118">IF(AND($B118&gt;=$E$4,$B118&lt;=$E$5),SUMPRODUCT(U$45:U$94,TRANSPOSE(Data_85_15!$B10:$AY10))%,"")</f>
        <v>0.1197864675547884</v>
      </c>
      <c r="V118" s="141">
        <f t="array" ref="V118">IF(AND($B118&gt;=$E$4,$B118&lt;=$E$5),SUMPRODUCT(V$45:V$94,TRANSPOSE(Data_85_15!$B10:$AY10))%,"")</f>
        <v>9.4756611525279394E-2</v>
      </c>
      <c r="W118" s="141">
        <f t="array" ref="W118">IF(AND($B118&gt;=$E$4,$B118&lt;=$E$5),SUMPRODUCT(W$45:W$94,TRANSPOSE(Data_85_15!$B10:$AY10))%,"")</f>
        <v>6.8105309168358372E-2</v>
      </c>
      <c r="X118" s="141">
        <f t="array" ref="X118">IF(AND($B118&gt;=$E$4,$B118&lt;=$E$5),SUMPRODUCT(X$45:X$94,TRANSPOSE(Data_85_15!$B10:$AY10))%,"")</f>
        <v>6.6945829940656704E-2</v>
      </c>
      <c r="Y118" s="141">
        <f t="array" ref="Y118">IF(AND($B118&gt;=$E$4,$B118&lt;=$E$5),SUMPRODUCT(Y$45:Y$94,TRANSPOSE(Data_85_15!$B10:$AY10))%,"")</f>
        <v>6.5610312982611094E-2</v>
      </c>
      <c r="Z118" s="141">
        <f t="array" ref="Z118">IF(AND($B118&gt;=$E$4,$B118&lt;=$E$5),SUMPRODUCT(Z$45:Z$94,TRANSPOSE(Data_85_15!$B10:$AY10))%,"")</f>
        <v>7.0112672533921741E-2</v>
      </c>
      <c r="AA118" s="141">
        <f t="array" ref="AA118">IF(AND($B118&gt;=$E$4,$B118&lt;=$E$5),SUMPRODUCT(AA$45:AA$94,TRANSPOSE(Data_85_15!$B10:$AY10))%,"")</f>
        <v>9.3803053009828899E-2</v>
      </c>
    </row>
    <row r="119" spans="1:27">
      <c r="B119" s="142">
        <f t="shared" si="11"/>
        <v>1988</v>
      </c>
      <c r="C119" s="141">
        <f t="array" ref="C119">IF(AND($B119&gt;=$E$4,$B119&lt;=$E$5),SUMPRODUCT(C$45:C$94,TRANSPOSE(Data_85_15!$B11:$AY11))%,"")</f>
        <v>0.16109999999999999</v>
      </c>
      <c r="D119" s="141">
        <f t="array" ref="D119">IF(AND($B119&gt;=$E$4,$B119&lt;=$E$5),SUMPRODUCT(D$45:D$94,TRANSPOSE(Data_85_15!$B11:$AY11))%,"")</f>
        <v>0.1361</v>
      </c>
      <c r="E119" s="141">
        <f t="array" ref="E119">IF(AND($B119&gt;=$E$4,$B119&lt;=$E$5),SUMPRODUCT(E$45:E$94,TRANSPOSE(Data_85_15!$B11:$AY11))%,"")</f>
        <v>0.15709792352999899</v>
      </c>
      <c r="F119" s="141">
        <f t="array" ref="F119">IF(AND($B119&gt;=$E$4,$B119&lt;=$E$5),SUMPRODUCT(F$45:F$94,TRANSPOSE(Data_85_15!$B11:$AY11))%,"")</f>
        <v>0.19395014902325194</v>
      </c>
      <c r="G119" s="141">
        <f t="array" ref="G119">IF(AND($B119&gt;=$E$4,$B119&lt;=$E$5),SUMPRODUCT(G$45:G$94,TRANSPOSE(Data_85_15!$B11:$AY11))%,"")</f>
        <v>0.20526282367395055</v>
      </c>
      <c r="H119" s="141">
        <f t="array" ref="H119">IF(AND($B119&gt;=$E$4,$B119&lt;=$E$5),SUMPRODUCT(H$45:H$94,TRANSPOSE(Data_85_15!$B11:$AY11))%,"")</f>
        <v>0.18290444378783924</v>
      </c>
      <c r="I119" s="141">
        <f t="array" ref="I119">IF(AND($B119&gt;=$E$4,$B119&lt;=$E$5),SUMPRODUCT(I$45:I$94,TRANSPOSE(Data_85_15!$B11:$AY11))%,"")</f>
        <v>0.1709671447473734</v>
      </c>
      <c r="J119" s="141">
        <f t="array" ref="J119">IF(AND($B119&gt;=$E$4,$B119&lt;=$E$5),SUMPRODUCT(J$45:J$94,TRANSPOSE(Data_85_15!$B11:$AY11))%,"")</f>
        <v>0.15655039195694731</v>
      </c>
      <c r="K119" s="141">
        <f t="array" ref="K119">IF(AND($B119&gt;=$E$4,$B119&lt;=$E$5),SUMPRODUCT(K$45:K$94,TRANSPOSE(Data_85_15!$B11:$AY11))%,"")</f>
        <v>0.1709671447473734</v>
      </c>
      <c r="L119" s="141">
        <f t="array" ref="L119">IF(AND($B119&gt;=$E$4,$B119&lt;=$E$5),SUMPRODUCT(L$45:L$94,TRANSPOSE(Data_85_15!$B11:$AY11))%,"")</f>
        <v>0.14664818308874911</v>
      </c>
      <c r="M119" s="141">
        <f t="array" ref="M119">IF(AND($B119&gt;=$E$4,$B119&lt;=$E$5),SUMPRODUCT(M$45:M$94,TRANSPOSE(Data_85_15!$B11:$AY11))%,"")</f>
        <v>0.22153376629970378</v>
      </c>
      <c r="N119" s="141">
        <f t="array" ref="N119">IF(AND($B119&gt;=$E$4,$B119&lt;=$E$5),SUMPRODUCT(N$45:N$94,TRANSPOSE(Data_85_15!$B11:$AY11))%,"")</f>
        <v>0.16564299379624814</v>
      </c>
      <c r="O119" s="141">
        <f t="array" ref="O119">IF(AND($B119&gt;=$E$4,$B119&lt;=$E$5),SUMPRODUCT(O$45:O$94,TRANSPOSE(Data_85_15!$B11:$AY11))%,"")</f>
        <v>0.18786310495947517</v>
      </c>
      <c r="P119" s="141">
        <f t="array" ref="P119">IF(AND($B119&gt;=$E$4,$B119&lt;=$E$5),SUMPRODUCT(P$45:P$94,TRANSPOSE(Data_85_15!$B11:$AY11))%,"")</f>
        <v>0.17903314604415121</v>
      </c>
      <c r="Q119" s="141">
        <f t="array" ref="Q119">IF(AND($B119&gt;=$E$4,$B119&lt;=$E$5),SUMPRODUCT(Q$45:Q$94,TRANSPOSE(Data_85_15!$B11:$AY11))%,"")</f>
        <v>0.18422521191241473</v>
      </c>
      <c r="R119" s="141">
        <f t="array" ref="R119">IF(AND($B119&gt;=$E$4,$B119&lt;=$E$5),SUMPRODUCT(R$45:R$94,TRANSPOSE(Data_85_15!$B11:$AY11))%,"")</f>
        <v>0.21571256411520046</v>
      </c>
      <c r="S119" s="141">
        <f t="array" ref="S119">IF(AND($B119&gt;=$E$4,$B119&lt;=$E$5),SUMPRODUCT(S$45:S$94,TRANSPOSE(Data_85_15!$B11:$AY11))%,"")</f>
        <v>0.19181616545310975</v>
      </c>
      <c r="T119" s="141">
        <f t="array" ref="T119">IF(AND($B119&gt;=$E$4,$B119&lt;=$E$5),SUMPRODUCT(T$45:T$94,TRANSPOSE(Data_85_15!$B11:$AY11))%,"")</f>
        <v>0.18231207545974237</v>
      </c>
      <c r="U119" s="141">
        <f t="array" ref="U119">IF(AND($B119&gt;=$E$4,$B119&lt;=$E$5),SUMPRODUCT(U$45:U$94,TRANSPOSE(Data_85_15!$B11:$AY11))%,"")</f>
        <v>0.22138253534625782</v>
      </c>
      <c r="V119" s="141">
        <f t="array" ref="V119">IF(AND($B119&gt;=$E$4,$B119&lt;=$E$5),SUMPRODUCT(V$45:V$94,TRANSPOSE(Data_85_15!$B11:$AY11))%,"")</f>
        <v>0.18199057674404004</v>
      </c>
      <c r="W119" s="141">
        <f t="array" ref="W119">IF(AND($B119&gt;=$E$4,$B119&lt;=$E$5),SUMPRODUCT(W$45:W$94,TRANSPOSE(Data_85_15!$B11:$AY11))%,"")</f>
        <v>0.17200379193582649</v>
      </c>
      <c r="X119" s="141">
        <f t="array" ref="X119">IF(AND($B119&gt;=$E$4,$B119&lt;=$E$5),SUMPRODUCT(X$45:X$94,TRANSPOSE(Data_85_15!$B11:$AY11))%,"")</f>
        <v>0.1788993784229847</v>
      </c>
      <c r="Y119" s="141">
        <f t="array" ref="Y119">IF(AND($B119&gt;=$E$4,$B119&lt;=$E$5),SUMPRODUCT(Y$45:Y$94,TRANSPOSE(Data_85_15!$B11:$AY11))%,"")</f>
        <v>4.6342497069146969E-2</v>
      </c>
      <c r="Z119" s="141">
        <f t="array" ref="Z119">IF(AND($B119&gt;=$E$4,$B119&lt;=$E$5),SUMPRODUCT(Z$45:Z$94,TRANSPOSE(Data_85_15!$B11:$AY11))%,"")</f>
        <v>0.25019425271665419</v>
      </c>
      <c r="AA119" s="141">
        <f t="array" ref="AA119">IF(AND($B119&gt;=$E$4,$B119&lt;=$E$5),SUMPRODUCT(AA$45:AA$94,TRANSPOSE(Data_85_15!$B11:$AY11))%,"")</f>
        <v>0.18894109703320847</v>
      </c>
    </row>
    <row r="120" spans="1:27">
      <c r="B120" s="142">
        <f t="shared" si="11"/>
        <v>1989</v>
      </c>
      <c r="C120" s="141">
        <f t="array" ref="C120">IF(AND($B120&gt;=$E$4,$B120&lt;=$E$5),SUMPRODUCT(C$45:C$94,TRANSPOSE(Data_85_15!$B12:$AY12))%,"")</f>
        <v>0.21600000000000003</v>
      </c>
      <c r="D120" s="141">
        <f t="array" ref="D120">IF(AND($B120&gt;=$E$4,$B120&lt;=$E$5),SUMPRODUCT(D$45:D$94,TRANSPOSE(Data_85_15!$B12:$AY12))%,"")</f>
        <v>0.20929999999999999</v>
      </c>
      <c r="E120" s="141">
        <f t="array" ref="E120">IF(AND($B120&gt;=$E$4,$B120&lt;=$E$5),SUMPRODUCT(E$45:E$94,TRANSPOSE(Data_85_15!$B12:$AY12))%,"")</f>
        <v>0.25672993511031245</v>
      </c>
      <c r="F120" s="141">
        <f t="array" ref="F120">IF(AND($B120&gt;=$E$4,$B120&lt;=$E$5),SUMPRODUCT(F$45:F$94,TRANSPOSE(Data_85_15!$B12:$AY12))%,"")</f>
        <v>0.22669299451678504</v>
      </c>
      <c r="G120" s="141">
        <f t="array" ref="G120">IF(AND($B120&gt;=$E$4,$B120&lt;=$E$5),SUMPRODUCT(G$45:G$94,TRANSPOSE(Data_85_15!$B12:$AY12))%,"")</f>
        <v>0.21894121806967923</v>
      </c>
      <c r="H120" s="141">
        <f t="array" ref="H120">IF(AND($B120&gt;=$E$4,$B120&lt;=$E$5),SUMPRODUCT(H$45:H$94,TRANSPOSE(Data_85_15!$B12:$AY12))%,"")</f>
        <v>0.21656967198901142</v>
      </c>
      <c r="I120" s="141">
        <f t="array" ref="I120">IF(AND($B120&gt;=$E$4,$B120&lt;=$E$5),SUMPRODUCT(I$45:I$94,TRANSPOSE(Data_85_15!$B12:$AY12))%,"")</f>
        <v>0.18592035314175137</v>
      </c>
      <c r="J120" s="141">
        <f t="array" ref="J120">IF(AND($B120&gt;=$E$4,$B120&lt;=$E$5),SUMPRODUCT(J$45:J$94,TRANSPOSE(Data_85_15!$B12:$AY12))%,"")</f>
        <v>0.21135399418099318</v>
      </c>
      <c r="K120" s="141">
        <f t="array" ref="K120">IF(AND($B120&gt;=$E$4,$B120&lt;=$E$5),SUMPRODUCT(K$45:K$94,TRANSPOSE(Data_85_15!$B12:$AY12))%,"")</f>
        <v>0.18592035314175137</v>
      </c>
      <c r="L120" s="141">
        <f t="array" ref="L120">IF(AND($B120&gt;=$E$4,$B120&lt;=$E$5),SUMPRODUCT(L$45:L$94,TRANSPOSE(Data_85_15!$B12:$AY12))%,"")</f>
        <v>0.24168869322152337</v>
      </c>
      <c r="M120" s="141">
        <f t="array" ref="M120">IF(AND($B120&gt;=$E$4,$B120&lt;=$E$5),SUMPRODUCT(M$45:M$94,TRANSPOSE(Data_85_15!$B12:$AY12))%,"")</f>
        <v>0.21168156273043506</v>
      </c>
      <c r="N120" s="141">
        <f t="array" ref="N120">IF(AND($B120&gt;=$E$4,$B120&lt;=$E$5),SUMPRODUCT(N$45:N$94,TRANSPOSE(Data_85_15!$B12:$AY12))%,"")</f>
        <v>0.16609490924549694</v>
      </c>
      <c r="O120" s="141">
        <f t="array" ref="O120">IF(AND($B120&gt;=$E$4,$B120&lt;=$E$5),SUMPRODUCT(O$45:O$94,TRANSPOSE(Data_85_15!$B12:$AY12))%,"")</f>
        <v>0.18166433807273802</v>
      </c>
      <c r="P120" s="141">
        <f t="array" ref="P120">IF(AND($B120&gt;=$E$4,$B120&lt;=$E$5),SUMPRODUCT(P$45:P$94,TRANSPOSE(Data_85_15!$B12:$AY12))%,"")</f>
        <v>0.17291551902619079</v>
      </c>
      <c r="Q120" s="141">
        <f t="array" ref="Q120">IF(AND($B120&gt;=$E$4,$B120&lt;=$E$5),SUMPRODUCT(Q$45:Q$94,TRANSPOSE(Data_85_15!$B12:$AY12))%,"")</f>
        <v>0.1870859681279872</v>
      </c>
      <c r="R120" s="141">
        <f t="array" ref="R120">IF(AND($B120&gt;=$E$4,$B120&lt;=$E$5),SUMPRODUCT(R$45:R$94,TRANSPOSE(Data_85_15!$B12:$AY12))%,"")</f>
        <v>0.23398245995846825</v>
      </c>
      <c r="S120" s="141">
        <f t="array" ref="S120">IF(AND($B120&gt;=$E$4,$B120&lt;=$E$5),SUMPRODUCT(S$45:S$94,TRANSPOSE(Data_85_15!$B12:$AY12))%,"")</f>
        <v>0.15646533753713501</v>
      </c>
      <c r="T120" s="141">
        <f t="array" ref="T120">IF(AND($B120&gt;=$E$4,$B120&lt;=$E$5),SUMPRODUCT(T$45:T$94,TRANSPOSE(Data_85_15!$B12:$AY12))%,"")</f>
        <v>0.17284732720841631</v>
      </c>
      <c r="U120" s="141">
        <f t="array" ref="U120">IF(AND($B120&gt;=$E$4,$B120&lt;=$E$5),SUMPRODUCT(U$45:U$94,TRANSPOSE(Data_85_15!$B12:$AY12))%,"")</f>
        <v>0.17855482372655743</v>
      </c>
      <c r="V120" s="141">
        <f t="array" ref="V120">IF(AND($B120&gt;=$E$4,$B120&lt;=$E$5),SUMPRODUCT(V$45:V$94,TRANSPOSE(Data_85_15!$B12:$AY12))%,"")</f>
        <v>0.16672098449824127</v>
      </c>
      <c r="W120" s="141">
        <f t="array" ref="W120">IF(AND($B120&gt;=$E$4,$B120&lt;=$E$5),SUMPRODUCT(W$45:W$94,TRANSPOSE(Data_85_15!$B12:$AY12))%,"")</f>
        <v>0.15041249475997345</v>
      </c>
      <c r="X120" s="141">
        <f t="array" ref="X120">IF(AND($B120&gt;=$E$4,$B120&lt;=$E$5),SUMPRODUCT(X$45:X$94,TRANSPOSE(Data_85_15!$B12:$AY12))%,"")</f>
        <v>0.19770998937694667</v>
      </c>
      <c r="Y120" s="141">
        <f t="array" ref="Y120">IF(AND($B120&gt;=$E$4,$B120&lt;=$E$5),SUMPRODUCT(Y$45:Y$94,TRANSPOSE(Data_85_15!$B12:$AY12))%,"")</f>
        <v>0.13063604329067163</v>
      </c>
      <c r="Z120" s="141">
        <f t="array" ref="Z120">IF(AND($B120&gt;=$E$4,$B120&lt;=$E$5),SUMPRODUCT(Z$45:Z$94,TRANSPOSE(Data_85_15!$B12:$AY12))%,"")</f>
        <v>0.14856641651409624</v>
      </c>
      <c r="AA120" s="141">
        <f t="array" ref="AA120">IF(AND($B120&gt;=$E$4,$B120&lt;=$E$5),SUMPRODUCT(AA$45:AA$94,TRANSPOSE(Data_85_15!$B12:$AY12))%,"")</f>
        <v>0.16519844745480339</v>
      </c>
    </row>
    <row r="121" spans="1:27">
      <c r="B121" s="142">
        <f t="shared" si="11"/>
        <v>1990</v>
      </c>
      <c r="C121" s="141">
        <f t="array" ref="C121">IF(AND($B121&gt;=$E$4,$B121&lt;=$E$5),SUMPRODUCT(C$45:C$94,TRANSPOSE(Data_85_15!$B13:$AY13))%,"")</f>
        <v>-2.81E-2</v>
      </c>
      <c r="D121" s="141">
        <f t="array" ref="D121">IF(AND($B121&gt;=$E$4,$B121&lt;=$E$5),SUMPRODUCT(D$45:D$94,TRANSPOSE(Data_85_15!$B13:$AY13))%,"")</f>
        <v>3.7599999999999995E-2</v>
      </c>
      <c r="E121" s="141">
        <f t="array" ref="E121">IF(AND($B121&gt;=$E$4,$B121&lt;=$E$5),SUMPRODUCT(E$45:E$94,TRANSPOSE(Data_85_15!$B13:$AY13))%,"")</f>
        <v>-3.1976230408305877E-2</v>
      </c>
      <c r="F121" s="141">
        <f t="array" ref="F121">IF(AND($B121&gt;=$E$4,$B121&lt;=$E$5),SUMPRODUCT(F$45:F$94,TRANSPOSE(Data_85_15!$B13:$AY13))%,"")</f>
        <v>-7.7945857934546586E-2</v>
      </c>
      <c r="G121" s="141">
        <f t="array" ref="G121">IF(AND($B121&gt;=$E$4,$B121&lt;=$E$5),SUMPRODUCT(G$45:G$94,TRANSPOSE(Data_85_15!$B13:$AY13))%,"")</f>
        <v>-8.0607833982450763E-2</v>
      </c>
      <c r="H121" s="141">
        <f t="array" ref="H121">IF(AND($B121&gt;=$E$4,$B121&lt;=$E$5),SUMPRODUCT(H$45:H$94,TRANSPOSE(Data_85_15!$B13:$AY13))%,"")</f>
        <v>-7.6319821058126749E-2</v>
      </c>
      <c r="I121" s="141">
        <f t="array" ref="I121">IF(AND($B121&gt;=$E$4,$B121&lt;=$E$5),SUMPRODUCT(I$45:I$94,TRANSPOSE(Data_85_15!$B13:$AY13))%,"")</f>
        <v>-4.4764163430031249E-2</v>
      </c>
      <c r="J121" s="141">
        <f t="array" ref="J121">IF(AND($B121&gt;=$E$4,$B121&lt;=$E$5),SUMPRODUCT(J$45:J$94,TRANSPOSE(Data_85_15!$B13:$AY13))%,"")</f>
        <v>-4.4931497697739214E-2</v>
      </c>
      <c r="K121" s="141">
        <f t="array" ref="K121">IF(AND($B121&gt;=$E$4,$B121&lt;=$E$5),SUMPRODUCT(K$45:K$94,TRANSPOSE(Data_85_15!$B13:$AY13))%,"")</f>
        <v>-4.4764163430031249E-2</v>
      </c>
      <c r="L121" s="141">
        <f t="array" ref="L121">IF(AND($B121&gt;=$E$4,$B121&lt;=$E$5),SUMPRODUCT(L$45:L$94,TRANSPOSE(Data_85_15!$B13:$AY13))%,"")</f>
        <v>-1.7166701607267635E-2</v>
      </c>
      <c r="M121" s="141">
        <f t="array" ref="M121">IF(AND($B121&gt;=$E$4,$B121&lt;=$E$5),SUMPRODUCT(M$45:M$94,TRANSPOSE(Data_85_15!$B13:$AY13))%,"")</f>
        <v>-9.4467132535763235E-2</v>
      </c>
      <c r="N121" s="141">
        <f t="array" ref="N121">IF(AND($B121&gt;=$E$4,$B121&lt;=$E$5),SUMPRODUCT(N$45:N$94,TRANSPOSE(Data_85_15!$B13:$AY13))%,"")</f>
        <v>-5.5797184931578897E-2</v>
      </c>
      <c r="O121" s="141">
        <f t="array" ref="O121">IF(AND($B121&gt;=$E$4,$B121&lt;=$E$5),SUMPRODUCT(O$45:O$94,TRANSPOSE(Data_85_15!$B13:$AY13))%,"")</f>
        <v>-7.0163622296742695E-2</v>
      </c>
      <c r="P121" s="141">
        <f t="array" ref="P121">IF(AND($B121&gt;=$E$4,$B121&lt;=$E$5),SUMPRODUCT(P$45:P$94,TRANSPOSE(Data_85_15!$B13:$AY13))%,"")</f>
        <v>-6.8061989143315391E-2</v>
      </c>
      <c r="Q121" s="141">
        <f t="array" ref="Q121">IF(AND($B121&gt;=$E$4,$B121&lt;=$E$5),SUMPRODUCT(Q$45:Q$94,TRANSPOSE(Data_85_15!$B13:$AY13))%,"")</f>
        <v>-7.241594123912376E-2</v>
      </c>
      <c r="R121" s="141">
        <f t="array" ref="R121">IF(AND($B121&gt;=$E$4,$B121&lt;=$E$5),SUMPRODUCT(R$45:R$94,TRANSPOSE(Data_85_15!$B13:$AY13))%,"")</f>
        <v>-9.5417362783489001E-2</v>
      </c>
      <c r="S121" s="141">
        <f t="array" ref="S121">IF(AND($B121&gt;=$E$4,$B121&lt;=$E$5),SUMPRODUCT(S$45:S$94,TRANSPOSE(Data_85_15!$B13:$AY13))%,"")</f>
        <v>-9.4131117553640925E-2</v>
      </c>
      <c r="T121" s="141">
        <f t="array" ref="T121">IF(AND($B121&gt;=$E$4,$B121&lt;=$E$5),SUMPRODUCT(T$45:T$94,TRANSPOSE(Data_85_15!$B13:$AY13))%,"")</f>
        <v>-8.5752424471213123E-4</v>
      </c>
      <c r="U121" s="141">
        <f t="array" ref="U121">IF(AND($B121&gt;=$E$4,$B121&lt;=$E$5),SUMPRODUCT(U$45:U$94,TRANSPOSE(Data_85_15!$B13:$AY13))%,"")</f>
        <v>-7.2074954203904792E-2</v>
      </c>
      <c r="V121" s="141">
        <f t="array" ref="V121">IF(AND($B121&gt;=$E$4,$B121&lt;=$E$5),SUMPRODUCT(V$45:V$94,TRANSPOSE(Data_85_15!$B13:$AY13))%,"")</f>
        <v>-3.4010607063485576E-2</v>
      </c>
      <c r="W121" s="141">
        <f t="array" ref="W121">IF(AND($B121&gt;=$E$4,$B121&lt;=$E$5),SUMPRODUCT(W$45:W$94,TRANSPOSE(Data_85_15!$B13:$AY13))%,"")</f>
        <v>-5.8447264824935695E-2</v>
      </c>
      <c r="X121" s="141">
        <f t="array" ref="X121">IF(AND($B121&gt;=$E$4,$B121&lt;=$E$5),SUMPRODUCT(X$45:X$94,TRANSPOSE(Data_85_15!$B13:$AY13))%,"")</f>
        <v>-5.0975151127972448E-2</v>
      </c>
      <c r="Y121" s="141">
        <f t="array" ref="Y121">IF(AND($B121&gt;=$E$4,$B121&lt;=$E$5),SUMPRODUCT(Y$45:Y$94,TRANSPOSE(Data_85_15!$B13:$AY13))%,"")</f>
        <v>1.4250688135477297E-2</v>
      </c>
      <c r="Z121" s="141">
        <f t="array" ref="Z121">IF(AND($B121&gt;=$E$4,$B121&lt;=$E$5),SUMPRODUCT(Z$45:Z$94,TRANSPOSE(Data_85_15!$B13:$AY13))%,"")</f>
        <v>-7.9996477696190407E-2</v>
      </c>
      <c r="AA121" s="141">
        <f t="array" ref="AA121">IF(AND($B121&gt;=$E$4,$B121&lt;=$E$5),SUMPRODUCT(AA$45:AA$94,TRANSPOSE(Data_85_15!$B13:$AY13))%,"")</f>
        <v>2.0370600280066584E-3</v>
      </c>
    </row>
    <row r="122" spans="1:27">
      <c r="B122" s="142">
        <f t="shared" si="11"/>
        <v>1991</v>
      </c>
      <c r="C122" s="141">
        <f t="array" ref="C122">IF(AND($B122&gt;=$E$4,$B122&lt;=$E$5),SUMPRODUCT(C$45:C$94,TRANSPOSE(Data_85_15!$B14:$AY14))%,"")</f>
        <v>0.23649999999999999</v>
      </c>
      <c r="D122" s="141">
        <f t="array" ref="D122">IF(AND($B122&gt;=$E$4,$B122&lt;=$E$5),SUMPRODUCT(D$45:D$94,TRANSPOSE(Data_85_15!$B14:$AY14))%,"")</f>
        <v>0.2157</v>
      </c>
      <c r="E122" s="141">
        <f t="array" ref="E122">IF(AND($B122&gt;=$E$4,$B122&lt;=$E$5),SUMPRODUCT(E$45:E$94,TRANSPOSE(Data_85_15!$B14:$AY14))%,"")</f>
        <v>0.30627118897873618</v>
      </c>
      <c r="F122" s="141">
        <f t="array" ref="F122">IF(AND($B122&gt;=$E$4,$B122&lt;=$E$5),SUMPRODUCT(F$45:F$94,TRANSPOSE(Data_85_15!$B14:$AY14))%,"")</f>
        <v>0.2608993000364756</v>
      </c>
      <c r="G122" s="141">
        <f t="array" ref="G122">IF(AND($B122&gt;=$E$4,$B122&lt;=$E$5),SUMPRODUCT(G$45:G$94,TRANSPOSE(Data_85_15!$B14:$AY14))%,"")</f>
        <v>0.26131796271112628</v>
      </c>
      <c r="H122" s="141">
        <f t="array" ref="H122">IF(AND($B122&gt;=$E$4,$B122&lt;=$E$5),SUMPRODUCT(H$45:H$94,TRANSPOSE(Data_85_15!$B14:$AY14))%,"")</f>
        <v>0.27067503488955164</v>
      </c>
      <c r="I122" s="141">
        <f t="array" ref="I122">IF(AND($B122&gt;=$E$4,$B122&lt;=$E$5),SUMPRODUCT(I$45:I$94,TRANSPOSE(Data_85_15!$B14:$AY14))%,"")</f>
        <v>0.25119525119788405</v>
      </c>
      <c r="J122" s="141">
        <f t="array" ref="J122">IF(AND($B122&gt;=$E$4,$B122&lt;=$E$5),SUMPRODUCT(J$45:J$94,TRANSPOSE(Data_85_15!$B14:$AY14))%,"")</f>
        <v>0.24643075216307189</v>
      </c>
      <c r="K122" s="141">
        <f t="array" ref="K122">IF(AND($B122&gt;=$E$4,$B122&lt;=$E$5),SUMPRODUCT(K$45:K$94,TRANSPOSE(Data_85_15!$B14:$AY14))%,"")</f>
        <v>0.25119525119788405</v>
      </c>
      <c r="L122" s="141">
        <f t="array" ref="L122">IF(AND($B122&gt;=$E$4,$B122&lt;=$E$5),SUMPRODUCT(L$45:L$94,TRANSPOSE(Data_85_15!$B14:$AY14))%,"")</f>
        <v>0.28704979035639405</v>
      </c>
      <c r="M122" s="141">
        <f t="array" ref="M122">IF(AND($B122&gt;=$E$4,$B122&lt;=$E$5),SUMPRODUCT(M$45:M$94,TRANSPOSE(Data_85_15!$B14:$AY14))%,"")</f>
        <v>0.28694053985763168</v>
      </c>
      <c r="N122" s="141">
        <f t="array" ref="N122">IF(AND($B122&gt;=$E$4,$B122&lt;=$E$5),SUMPRODUCT(N$45:N$94,TRANSPOSE(Data_85_15!$B14:$AY14))%,"")</f>
        <v>0.25736918718455376</v>
      </c>
      <c r="O122" s="141">
        <f t="array" ref="O122">IF(AND($B122&gt;=$E$4,$B122&lt;=$E$5),SUMPRODUCT(O$45:O$94,TRANSPOSE(Data_85_15!$B14:$AY14))%,"")</f>
        <v>0.2158658469855915</v>
      </c>
      <c r="P122" s="141">
        <f t="array" ref="P122">IF(AND($B122&gt;=$E$4,$B122&lt;=$E$5),SUMPRODUCT(P$45:P$94,TRANSPOSE(Data_85_15!$B14:$AY14))%,"")</f>
        <v>0.2616172370158763</v>
      </c>
      <c r="Q122" s="141">
        <f t="array" ref="Q122">IF(AND($B122&gt;=$E$4,$B122&lt;=$E$5),SUMPRODUCT(Q$45:Q$94,TRANSPOSE(Data_85_15!$B14:$AY14))%,"")</f>
        <v>0.27204367414162484</v>
      </c>
      <c r="R122" s="141">
        <f t="array" ref="R122">IF(AND($B122&gt;=$E$4,$B122&lt;=$E$5),SUMPRODUCT(R$45:R$94,TRANSPOSE(Data_85_15!$B14:$AY14))%,"")</f>
        <v>0.2805393613334683</v>
      </c>
      <c r="S122" s="141">
        <f t="array" ref="S122">IF(AND($B122&gt;=$E$4,$B122&lt;=$E$5),SUMPRODUCT(S$45:S$94,TRANSPOSE(Data_85_15!$B14:$AY14))%,"")</f>
        <v>0.23112554779006753</v>
      </c>
      <c r="T122" s="141">
        <f t="array" ref="T122">IF(AND($B122&gt;=$E$4,$B122&lt;=$E$5),SUMPRODUCT(T$45:T$94,TRANSPOSE(Data_85_15!$B14:$AY14))%,"")</f>
        <v>0.25070030648496355</v>
      </c>
      <c r="U122" s="141">
        <f t="array" ref="U122">IF(AND($B122&gt;=$E$4,$B122&lt;=$E$5),SUMPRODUCT(U$45:U$94,TRANSPOSE(Data_85_15!$B14:$AY14))%,"")</f>
        <v>0.23275587975955225</v>
      </c>
      <c r="V122" s="141">
        <f t="array" ref="V122">IF(AND($B122&gt;=$E$4,$B122&lt;=$E$5),SUMPRODUCT(V$45:V$94,TRANSPOSE(Data_85_15!$B14:$AY14))%,"")</f>
        <v>0.21109374234645309</v>
      </c>
      <c r="W122" s="141">
        <f t="array" ref="W122">IF(AND($B122&gt;=$E$4,$B122&lt;=$E$5),SUMPRODUCT(W$45:W$94,TRANSPOSE(Data_85_15!$B14:$AY14))%,"")</f>
        <v>0.23957118378340625</v>
      </c>
      <c r="X122" s="141">
        <f t="array" ref="X122">IF(AND($B122&gt;=$E$4,$B122&lt;=$E$5),SUMPRODUCT(X$45:X$94,TRANSPOSE(Data_85_15!$B14:$AY14))%,"")</f>
        <v>0.2000637474901997</v>
      </c>
      <c r="Y122" s="141">
        <f t="array" ref="Y122">IF(AND($B122&gt;=$E$4,$B122&lt;=$E$5),SUMPRODUCT(Y$45:Y$94,TRANSPOSE(Data_85_15!$B14:$AY14))%,"")</f>
        <v>0.11800773187428849</v>
      </c>
      <c r="Z122" s="141">
        <f t="array" ref="Z122">IF(AND($B122&gt;=$E$4,$B122&lt;=$E$5),SUMPRODUCT(Z$45:Z$94,TRANSPOSE(Data_85_15!$B14:$AY14))%,"")</f>
        <v>0.25786081399594912</v>
      </c>
      <c r="AA122" s="141">
        <f t="array" ref="AA122">IF(AND($B122&gt;=$E$4,$B122&lt;=$E$5),SUMPRODUCT(AA$45:AA$94,TRANSPOSE(Data_85_15!$B14:$AY14))%,"")</f>
        <v>0.24264032125256407</v>
      </c>
    </row>
    <row r="123" spans="1:27">
      <c r="B123" s="142">
        <f t="shared" si="11"/>
        <v>1992</v>
      </c>
      <c r="C123" s="141">
        <f t="array" ref="C123">IF(AND($B123&gt;=$E$4,$B123&lt;=$E$5),SUMPRODUCT(C$45:C$94,TRANSPOSE(Data_85_15!$B15:$AY15))%,"")</f>
        <v>7.9299999999999995E-2</v>
      </c>
      <c r="D123" s="141">
        <f t="array" ref="D123">IF(AND($B123&gt;=$E$4,$B123&lt;=$E$5),SUMPRODUCT(D$45:D$94,TRANSPOSE(Data_85_15!$B15:$AY15))%,"")</f>
        <v>8.6699999999999999E-2</v>
      </c>
      <c r="E123" s="141">
        <f t="array" ref="E123">IF(AND($B123&gt;=$E$4,$B123&lt;=$E$5),SUMPRODUCT(E$45:E$94,TRANSPOSE(Data_85_15!$B15:$AY15))%,"")</f>
        <v>9.1189254267744851E-2</v>
      </c>
      <c r="F123" s="141">
        <f t="array" ref="F123">IF(AND($B123&gt;=$E$4,$B123&lt;=$E$5),SUMPRODUCT(F$45:F$94,TRANSPOSE(Data_85_15!$B15:$AY15))%,"")</f>
        <v>3.6784524188743437E-2</v>
      </c>
      <c r="G123" s="141">
        <f t="array" ref="G123">IF(AND($B123&gt;=$E$4,$B123&lt;=$E$5),SUMPRODUCT(G$45:G$94,TRANSPOSE(Data_85_15!$B15:$AY15))%,"")</f>
        <v>3.6929953330460001E-2</v>
      </c>
      <c r="H123" s="141">
        <f t="array" ref="H123">IF(AND($B123&gt;=$E$4,$B123&lt;=$E$5),SUMPRODUCT(H$45:H$94,TRANSPOSE(Data_85_15!$B15:$AY15))%,"")</f>
        <v>5.1416794927380244E-2</v>
      </c>
      <c r="I123" s="141">
        <f t="array" ref="I123">IF(AND($B123&gt;=$E$4,$B123&lt;=$E$5),SUMPRODUCT(I$45:I$94,TRANSPOSE(Data_85_15!$B15:$AY15))%,"")</f>
        <v>9.645068001059981E-2</v>
      </c>
      <c r="J123" s="141">
        <f t="array" ref="J123">IF(AND($B123&gt;=$E$4,$B123&lt;=$E$5),SUMPRODUCT(J$45:J$94,TRANSPOSE(Data_85_15!$B15:$AY15))%,"")</f>
        <v>7.1414224977163307E-2</v>
      </c>
      <c r="K123" s="141">
        <f t="array" ref="K123">IF(AND($B123&gt;=$E$4,$B123&lt;=$E$5),SUMPRODUCT(K$45:K$94,TRANSPOSE(Data_85_15!$B15:$AY15))%,"")</f>
        <v>9.645068001059981E-2</v>
      </c>
      <c r="L123" s="141">
        <f t="array" ref="L123">IF(AND($B123&gt;=$E$4,$B123&lt;=$E$5),SUMPRODUCT(L$45:L$94,TRANSPOSE(Data_85_15!$B15:$AY15))%,"")</f>
        <v>8.8715597484276737E-2</v>
      </c>
      <c r="M123" s="141">
        <f t="array" ref="M123">IF(AND($B123&gt;=$E$4,$B123&lt;=$E$5),SUMPRODUCT(M$45:M$94,TRANSPOSE(Data_85_15!$B15:$AY15))%,"")</f>
        <v>5.4151751422720773E-2</v>
      </c>
      <c r="N123" s="141">
        <f t="array" ref="N123">IF(AND($B123&gt;=$E$4,$B123&lt;=$E$5),SUMPRODUCT(N$45:N$94,TRANSPOSE(Data_85_15!$B15:$AY15))%,"")</f>
        <v>0.10203293527972622</v>
      </c>
      <c r="O123" s="141">
        <f t="array" ref="O123">IF(AND($B123&gt;=$E$4,$B123&lt;=$E$5),SUMPRODUCT(O$45:O$94,TRANSPOSE(Data_85_15!$B15:$AY15))%,"")</f>
        <v>5.4746484628217192E-2</v>
      </c>
      <c r="P123" s="141">
        <f t="array" ref="P123">IF(AND($B123&gt;=$E$4,$B123&lt;=$E$5),SUMPRODUCT(P$45:P$94,TRANSPOSE(Data_85_15!$B15:$AY15))%,"")</f>
        <v>6.5877960303096561E-2</v>
      </c>
      <c r="Q123" s="141">
        <f t="array" ref="Q123">IF(AND($B123&gt;=$E$4,$B123&lt;=$E$5),SUMPRODUCT(Q$45:Q$94,TRANSPOSE(Data_85_15!$B15:$AY15))%,"")</f>
        <v>6.7172571081539678E-2</v>
      </c>
      <c r="R123" s="141">
        <f t="array" ref="R123">IF(AND($B123&gt;=$E$4,$B123&lt;=$E$5),SUMPRODUCT(R$45:R$94,TRANSPOSE(Data_85_15!$B15:$AY15))%,"")</f>
        <v>3.9403610113928109E-2</v>
      </c>
      <c r="S123" s="141">
        <f t="array" ref="S123">IF(AND($B123&gt;=$E$4,$B123&lt;=$E$5),SUMPRODUCT(S$45:S$94,TRANSPOSE(Data_85_15!$B15:$AY15))%,"")</f>
        <v>5.3161952728706732E-2</v>
      </c>
      <c r="T123" s="141">
        <f t="array" ref="T123">IF(AND($B123&gt;=$E$4,$B123&lt;=$E$5),SUMPRODUCT(T$45:T$94,TRANSPOSE(Data_85_15!$B15:$AY15))%,"")</f>
        <v>8.4495429625923352E-2</v>
      </c>
      <c r="U123" s="141">
        <f t="array" ref="U123">IF(AND($B123&gt;=$E$4,$B123&lt;=$E$5),SUMPRODUCT(U$45:U$94,TRANSPOSE(Data_85_15!$B15:$AY15))%,"")</f>
        <v>2.860821352999943E-2</v>
      </c>
      <c r="V123" s="141">
        <f t="array" ref="V123">IF(AND($B123&gt;=$E$4,$B123&lt;=$E$5),SUMPRODUCT(V$45:V$94,TRANSPOSE(Data_85_15!$B15:$AY15))%,"")</f>
        <v>3.1069581705797437E-2</v>
      </c>
      <c r="W123" s="141">
        <f t="array" ref="W123">IF(AND($B123&gt;=$E$4,$B123&lt;=$E$5),SUMPRODUCT(W$45:W$94,TRANSPOSE(Data_85_15!$B15:$AY15))%,"")</f>
        <v>5.3461290738665478E-2</v>
      </c>
      <c r="X123" s="141">
        <f t="array" ref="X123">IF(AND($B123&gt;=$E$4,$B123&lt;=$E$5),SUMPRODUCT(X$45:X$94,TRANSPOSE(Data_85_15!$B15:$AY15))%,"")</f>
        <v>5.4705468842091813E-2</v>
      </c>
      <c r="Y123" s="141">
        <f t="array" ref="Y123">IF(AND($B123&gt;=$E$4,$B123&lt;=$E$5),SUMPRODUCT(Y$45:Y$94,TRANSPOSE(Data_85_15!$B15:$AY15))%,"")</f>
        <v>3.6051741887381236E-2</v>
      </c>
      <c r="Z123" s="141">
        <f t="array" ref="Z123">IF(AND($B123&gt;=$E$4,$B123&lt;=$E$5),SUMPRODUCT(Z$45:Z$94,TRANSPOSE(Data_85_15!$B15:$AY15))%,"")</f>
        <v>0.10633646321391574</v>
      </c>
      <c r="AA123" s="141">
        <f t="array" ref="AA123">IF(AND($B123&gt;=$E$4,$B123&lt;=$E$5),SUMPRODUCT(AA$45:AA$94,TRANSPOSE(Data_85_15!$B15:$AY15))%,"")</f>
        <v>0.10813425430442006</v>
      </c>
    </row>
    <row r="124" spans="1:27">
      <c r="B124" s="142">
        <f t="shared" si="11"/>
        <v>1993</v>
      </c>
      <c r="C124" s="141">
        <f t="array" ref="C124">IF(AND($B124&gt;=$E$4,$B124&lt;=$E$5),SUMPRODUCT(C$45:C$94,TRANSPOSE(Data_85_15!$B16:$AY16))%,"")</f>
        <v>0.13519999999999999</v>
      </c>
      <c r="D124" s="141">
        <f t="array" ref="D124">IF(AND($B124&gt;=$E$4,$B124&lt;=$E$5),SUMPRODUCT(D$45:D$94,TRANSPOSE(Data_85_15!$B16:$AY16))%,"")</f>
        <v>0.14649999999999999</v>
      </c>
      <c r="E124" s="141">
        <f t="array" ref="E124">IF(AND($B124&gt;=$E$4,$B124&lt;=$E$5),SUMPRODUCT(E$45:E$94,TRANSPOSE(Data_85_15!$B16:$AY16))%,"")</f>
        <v>0.10281812119397024</v>
      </c>
      <c r="F124" s="141">
        <f t="array" ref="F124">IF(AND($B124&gt;=$E$4,$B124&lt;=$E$5),SUMPRODUCT(F$45:F$94,TRANSPOSE(Data_85_15!$B16:$AY16))%,"")</f>
        <v>0.18815972127606578</v>
      </c>
      <c r="G124" s="141">
        <f t="array" ref="G124">IF(AND($B124&gt;=$E$4,$B124&lt;=$E$5),SUMPRODUCT(G$45:G$94,TRANSPOSE(Data_85_15!$B16:$AY16))%,"")</f>
        <v>0.19394878315231329</v>
      </c>
      <c r="H124" s="141">
        <f t="array" ref="H124">IF(AND($B124&gt;=$E$4,$B124&lt;=$E$5),SUMPRODUCT(H$45:H$94,TRANSPOSE(Data_85_15!$B16:$AY16))%,"")</f>
        <v>0.17825725879913651</v>
      </c>
      <c r="I124" s="141">
        <f t="array" ref="I124">IF(AND($B124&gt;=$E$4,$B124&lt;=$E$5),SUMPRODUCT(I$45:I$94,TRANSPOSE(Data_85_15!$B16:$AY16))%,"")</f>
        <v>0.17397505295013255</v>
      </c>
      <c r="J124" s="141">
        <f t="array" ref="J124">IF(AND($B124&gt;=$E$4,$B124&lt;=$E$5),SUMPRODUCT(J$45:J$94,TRANSPOSE(Data_85_15!$B16:$AY16))%,"")</f>
        <v>0.160325</v>
      </c>
      <c r="K124" s="141">
        <f t="array" ref="K124">IF(AND($B124&gt;=$E$4,$B124&lt;=$E$5),SUMPRODUCT(K$45:K$94,TRANSPOSE(Data_85_15!$B16:$AY16))%,"")</f>
        <v>0.17397505295013255</v>
      </c>
      <c r="L124" s="141">
        <f t="array" ref="L124">IF(AND($B124&gt;=$E$4,$B124&lt;=$E$5),SUMPRODUCT(L$45:L$94,TRANSPOSE(Data_85_15!$B16:$AY16))%,"")</f>
        <v>0.10206585604472394</v>
      </c>
      <c r="M124" s="141">
        <f t="array" ref="M124">IF(AND($B124&gt;=$E$4,$B124&lt;=$E$5),SUMPRODUCT(M$45:M$94,TRANSPOSE(Data_85_15!$B16:$AY16))%,"")</f>
        <v>0.24396262865417359</v>
      </c>
      <c r="N124" s="141">
        <f t="array" ref="N124">IF(AND($B124&gt;=$E$4,$B124&lt;=$E$5),SUMPRODUCT(N$45:N$94,TRANSPOSE(Data_85_15!$B16:$AY16))%,"")</f>
        <v>0.16717338528424183</v>
      </c>
      <c r="O124" s="141">
        <f t="array" ref="O124">IF(AND($B124&gt;=$E$4,$B124&lt;=$E$5),SUMPRODUCT(O$45:O$94,TRANSPOSE(Data_85_15!$B16:$AY16))%,"")</f>
        <v>0.22922611267640061</v>
      </c>
      <c r="P124" s="141">
        <f t="array" ref="P124">IF(AND($B124&gt;=$E$4,$B124&lt;=$E$5),SUMPRODUCT(P$45:P$94,TRANSPOSE(Data_85_15!$B16:$AY16))%,"")</f>
        <v>0.18917783739306893</v>
      </c>
      <c r="Q124" s="141">
        <f t="array" ref="Q124">IF(AND($B124&gt;=$E$4,$B124&lt;=$E$5),SUMPRODUCT(Q$45:Q$94,TRANSPOSE(Data_85_15!$B16:$AY16))%,"")</f>
        <v>0.2047478373930689</v>
      </c>
      <c r="R124" s="141">
        <f t="array" ref="R124">IF(AND($B124&gt;=$E$4,$B124&lt;=$E$5),SUMPRODUCT(R$45:R$94,TRANSPOSE(Data_85_15!$B16:$AY16))%,"")</f>
        <v>0.19470104830155954</v>
      </c>
      <c r="S124" s="141">
        <f t="array" ref="S124">IF(AND($B124&gt;=$E$4,$B124&lt;=$E$5),SUMPRODUCT(S$45:S$94,TRANSPOSE(Data_85_15!$B16:$AY16))%,"")</f>
        <v>0.20813638133124521</v>
      </c>
      <c r="T124" s="141">
        <f t="array" ref="T124">IF(AND($B124&gt;=$E$4,$B124&lt;=$E$5),SUMPRODUCT(T$45:T$94,TRANSPOSE(Data_85_15!$B16:$AY16))%,"")</f>
        <v>0.12950663512746893</v>
      </c>
      <c r="U124" s="141">
        <f t="array" ref="U124">IF(AND($B124&gt;=$E$4,$B124&lt;=$E$5),SUMPRODUCT(U$45:U$94,TRANSPOSE(Data_85_15!$B16:$AY16))%,"")</f>
        <v>0.21481984078187191</v>
      </c>
      <c r="V124" s="141">
        <f t="array" ref="V124">IF(AND($B124&gt;=$E$4,$B124&lt;=$E$5),SUMPRODUCT(V$45:V$94,TRANSPOSE(Data_85_15!$B16:$AY16))%,"")</f>
        <v>0.19132698050526312</v>
      </c>
      <c r="W124" s="141">
        <f t="array" ref="W124">IF(AND($B124&gt;=$E$4,$B124&lt;=$E$5),SUMPRODUCT(W$45:W$94,TRANSPOSE(Data_85_15!$B16:$AY16))%,"")</f>
        <v>0.19184075855142774</v>
      </c>
      <c r="X124" s="141">
        <f t="array" ref="X124">IF(AND($B124&gt;=$E$4,$B124&lt;=$E$5),SUMPRODUCT(X$45:X$94,TRANSPOSE(Data_85_15!$B16:$AY16))%,"")</f>
        <v>0.20399610413848854</v>
      </c>
      <c r="Y124" s="141">
        <f t="array" ref="Y124">IF(AND($B124&gt;=$E$4,$B124&lt;=$E$5),SUMPRODUCT(Y$45:Y$94,TRANSPOSE(Data_85_15!$B16:$AY16))%,"")</f>
        <v>0.118228524864621</v>
      </c>
      <c r="Z124" s="141">
        <f t="array" ref="Z124">IF(AND($B124&gt;=$E$4,$B124&lt;=$E$5),SUMPRODUCT(Z$45:Z$94,TRANSPOSE(Data_85_15!$B16:$AY16))%,"")</f>
        <v>0.23078776998037229</v>
      </c>
      <c r="AA124" s="141">
        <f t="array" ref="AA124">IF(AND($B124&gt;=$E$4,$B124&lt;=$E$5),SUMPRODUCT(AA$45:AA$94,TRANSPOSE(Data_85_15!$B16:$AY16))%,"")</f>
        <v>0.22318817263195026</v>
      </c>
    </row>
    <row r="125" spans="1:27">
      <c r="B125" s="142">
        <f t="shared" si="11"/>
        <v>1994</v>
      </c>
      <c r="C125" s="141">
        <f t="array" ref="C125">IF(AND($B125&gt;=$E$4,$B125&lt;=$E$5),SUMPRODUCT(C$45:C$94,TRANSPOSE(Data_85_15!$B17:$AY17))%,"")</f>
        <v>-4.8999999999999998E-3</v>
      </c>
      <c r="D125" s="141">
        <f t="array" ref="D125">IF(AND($B125&gt;=$E$4,$B125&lt;=$E$5),SUMPRODUCT(D$45:D$94,TRANSPOSE(Data_85_15!$B17:$AY17))%,"")</f>
        <v>-4.4400000000000002E-2</v>
      </c>
      <c r="E125" s="141">
        <f t="array" ref="E125">IF(AND($B125&gt;=$E$4,$B125&lt;=$E$5),SUMPRODUCT(E$45:E$94,TRANSPOSE(Data_85_15!$B17:$AY17))%,"")</f>
        <v>-6.6800000000000002E-3</v>
      </c>
      <c r="F125" s="141">
        <f t="array" ref="F125">IF(AND($B125&gt;=$E$4,$B125&lt;=$E$5),SUMPRODUCT(F$45:F$94,TRANSPOSE(Data_85_15!$B17:$AY17))%,"")</f>
        <v>1.0503318698862502E-2</v>
      </c>
      <c r="G125" s="141">
        <f t="array" ref="G125">IF(AND($B125&gt;=$E$4,$B125&lt;=$E$5),SUMPRODUCT(G$45:G$94,TRANSPOSE(Data_85_15!$B17:$AY17))%,"")</f>
        <v>1.615733067491041E-2</v>
      </c>
      <c r="H125" s="141">
        <f t="array" ref="H125">IF(AND($B125&gt;=$E$4,$B125&lt;=$E$5),SUMPRODUCT(H$45:H$94,TRANSPOSE(Data_85_15!$B17:$AY17))%,"")</f>
        <v>9.5485556173784507E-3</v>
      </c>
      <c r="I125" s="141">
        <f t="array" ref="I125">IF(AND($B125&gt;=$E$4,$B125&lt;=$E$5),SUMPRODUCT(I$45:I$94,TRANSPOSE(Data_85_15!$B17:$AY17))%,"")</f>
        <v>1.8377058720296052E-3</v>
      </c>
      <c r="J125" s="141">
        <f t="array" ref="J125">IF(AND($B125&gt;=$E$4,$B125&lt;=$E$5),SUMPRODUCT(J$45:J$94,TRANSPOSE(Data_85_15!$B17:$AY17))%,"")</f>
        <v>4.9249999999999997E-3</v>
      </c>
      <c r="K125" s="141">
        <f t="array" ref="K125">IF(AND($B125&gt;=$E$4,$B125&lt;=$E$5),SUMPRODUCT(K$45:K$94,TRANSPOSE(Data_85_15!$B17:$AY17))%,"")</f>
        <v>1.8377058720296052E-3</v>
      </c>
      <c r="L125" s="141">
        <f t="array" ref="L125">IF(AND($B125&gt;=$E$4,$B125&lt;=$E$5),SUMPRODUCT(L$45:L$94,TRANSPOSE(Data_85_15!$B17:$AY17))%,"")</f>
        <v>-9.1700000000000011E-3</v>
      </c>
      <c r="M125" s="141">
        <f t="array" ref="M125">IF(AND($B125&gt;=$E$4,$B125&lt;=$E$5),SUMPRODUCT(M$45:M$94,TRANSPOSE(Data_85_15!$B17:$AY17))%,"")</f>
        <v>7.2511166409324765E-3</v>
      </c>
      <c r="N125" s="141">
        <f t="array" ref="N125">IF(AND($B125&gt;=$E$4,$B125&lt;=$E$5),SUMPRODUCT(N$45:N$94,TRANSPOSE(Data_85_15!$B17:$AY17))%,"")</f>
        <v>-3.9358814082179937E-3</v>
      </c>
      <c r="O125" s="141">
        <f t="array" ref="O125">IF(AND($B125&gt;=$E$4,$B125&lt;=$E$5),SUMPRODUCT(O$45:O$94,TRANSPOSE(Data_85_15!$B17:$AY17))%,"")</f>
        <v>1.7500099050059111E-2</v>
      </c>
      <c r="P125" s="141">
        <f t="array" ref="P125">IF(AND($B125&gt;=$E$4,$B125&lt;=$E$5),SUMPRODUCT(P$45:P$94,TRANSPOSE(Data_85_15!$B17:$AY17))%,"")</f>
        <v>1.7177513924490639E-2</v>
      </c>
      <c r="Q125" s="141">
        <f t="array" ref="Q125">IF(AND($B125&gt;=$E$4,$B125&lt;=$E$5),SUMPRODUCT(Q$45:Q$94,TRANSPOSE(Data_85_15!$B17:$AY17))%,"")</f>
        <v>7.5025139244906383E-3</v>
      </c>
      <c r="R125" s="141">
        <f t="array" ref="R125">IF(AND($B125&gt;=$E$4,$B125&lt;=$E$5),SUMPRODUCT(R$45:R$94,TRANSPOSE(Data_85_15!$B17:$AY17))%,"")</f>
        <v>1.8647330674910405E-2</v>
      </c>
      <c r="S125" s="141">
        <f t="array" ref="S125">IF(AND($B125&gt;=$E$4,$B125&lt;=$E$5),SUMPRODUCT(S$45:S$94,TRANSPOSE(Data_85_15!$B17:$AY17))%,"")</f>
        <v>1.4660690725732214E-2</v>
      </c>
      <c r="T125" s="141">
        <f t="array" ref="T125">IF(AND($B125&gt;=$E$4,$B125&lt;=$E$5),SUMPRODUCT(T$45:T$94,TRANSPOSE(Data_85_15!$B17:$AY17))%,"")</f>
        <v>1.4120059880239521E-2</v>
      </c>
      <c r="U125" s="141">
        <f t="array" ref="U125">IF(AND($B125&gt;=$E$4,$B125&lt;=$E$5),SUMPRODUCT(U$45:U$94,TRANSPOSE(Data_85_15!$B17:$AY17))%,"")</f>
        <v>2.7642890089706839E-2</v>
      </c>
      <c r="V125" s="141">
        <f t="array" ref="V125">IF(AND($B125&gt;=$E$4,$B125&lt;=$E$5),SUMPRODUCT(V$45:V$94,TRANSPOSE(Data_85_15!$B17:$AY17))%,"")</f>
        <v>2.2829462189171847E-2</v>
      </c>
      <c r="W125" s="141">
        <f t="array" ref="W125">IF(AND($B125&gt;=$E$4,$B125&lt;=$E$5),SUMPRODUCT(W$45:W$94,TRANSPOSE(Data_85_15!$B17:$AY17))%,"")</f>
        <v>2.4128321397058606E-2</v>
      </c>
      <c r="X125" s="141">
        <f t="array" ref="X125">IF(AND($B125&gt;=$E$4,$B125&lt;=$E$5),SUMPRODUCT(X$45:X$94,TRANSPOSE(Data_85_15!$B17:$AY17))%,"")</f>
        <v>1.7383141723749818E-2</v>
      </c>
      <c r="Y125" s="141">
        <f t="array" ref="Y125">IF(AND($B125&gt;=$E$4,$B125&lt;=$E$5),SUMPRODUCT(Y$45:Y$94,TRANSPOSE(Data_85_15!$B17:$AY17))%,"")</f>
        <v>-1.4873782661313903E-2</v>
      </c>
      <c r="Z125" s="141">
        <f t="array" ref="Z125">IF(AND($B125&gt;=$E$4,$B125&lt;=$E$5),SUMPRODUCT(Z$45:Z$94,TRANSPOSE(Data_85_15!$B17:$AY17))%,"")</f>
        <v>1.9407041181181504E-2</v>
      </c>
      <c r="AA125" s="141">
        <f t="array" ref="AA125">IF(AND($B125&gt;=$E$4,$B125&lt;=$E$5),SUMPRODUCT(AA$45:AA$94,TRANSPOSE(Data_85_15!$B17:$AY17))%,"")</f>
        <v>-5.5473590059852782E-3</v>
      </c>
    </row>
    <row r="126" spans="1:27">
      <c r="B126" s="142">
        <f t="shared" si="11"/>
        <v>1995</v>
      </c>
      <c r="C126" s="141">
        <f t="array" ref="C126">IF(AND($B126&gt;=$E$4,$B126&lt;=$E$5),SUMPRODUCT(C$45:C$94,TRANSPOSE(Data_85_15!$B18:$AY18))%,"")</f>
        <v>0.32919999999999999</v>
      </c>
      <c r="D126" s="141">
        <f t="array" ref="D126">IF(AND($B126&gt;=$E$4,$B126&lt;=$E$5),SUMPRODUCT(D$45:D$94,TRANSPOSE(Data_85_15!$B18:$AY18))%,"")</f>
        <v>0.28910000000000002</v>
      </c>
      <c r="E126" s="141">
        <f t="array" ref="E126">IF(AND($B126&gt;=$E$4,$B126&lt;=$E$5),SUMPRODUCT(E$45:E$94,TRANSPOSE(Data_85_15!$B18:$AY18))%,"")</f>
        <v>0.32268000000000002</v>
      </c>
      <c r="F126" s="141">
        <f t="array" ref="F126">IF(AND($B126&gt;=$E$4,$B126&lt;=$E$5),SUMPRODUCT(F$45:F$94,TRANSPOSE(Data_85_15!$B18:$AY18))%,"")</f>
        <v>0.24441796248253841</v>
      </c>
      <c r="G126" s="141">
        <f t="array" ref="G126">IF(AND($B126&gt;=$E$4,$B126&lt;=$E$5),SUMPRODUCT(G$45:G$94,TRANSPOSE(Data_85_15!$B18:$AY18))%,"")</f>
        <v>0.22683676487774801</v>
      </c>
      <c r="H126" s="141">
        <f t="array" ref="H126">IF(AND($B126&gt;=$E$4,$B126&lt;=$E$5),SUMPRODUCT(H$45:H$94,TRANSPOSE(Data_85_15!$B18:$AY18))%,"")</f>
        <v>0.2434391679114247</v>
      </c>
      <c r="I126" s="141">
        <f t="array" ref="I126">IF(AND($B126&gt;=$E$4,$B126&lt;=$E$5),SUMPRODUCT(I$45:I$94,TRANSPOSE(Data_85_15!$B18:$AY18))%,"")</f>
        <v>0.20159644440650581</v>
      </c>
      <c r="J126" s="141">
        <f t="array" ref="J126">IF(AND($B126&gt;=$E$4,$B126&lt;=$E$5),SUMPRODUCT(J$45:J$94,TRANSPOSE(Data_85_15!$B18:$AY18))%,"")</f>
        <v>0.25145000000000001</v>
      </c>
      <c r="K126" s="141">
        <f t="array" ref="K126">IF(AND($B126&gt;=$E$4,$B126&lt;=$E$5),SUMPRODUCT(K$45:K$94,TRANSPOSE(Data_85_15!$B18:$AY18))%,"")</f>
        <v>0.20159644440650581</v>
      </c>
      <c r="L126" s="141">
        <f t="array" ref="L126">IF(AND($B126&gt;=$E$4,$B126&lt;=$E$5),SUMPRODUCT(L$45:L$94,TRANSPOSE(Data_85_15!$B18:$AY18))%,"")</f>
        <v>0.30506999999999995</v>
      </c>
      <c r="M126" s="141">
        <f t="array" ref="M126">IF(AND($B126&gt;=$E$4,$B126&lt;=$E$5),SUMPRODUCT(M$45:M$94,TRANSPOSE(Data_85_15!$B18:$AY18))%,"")</f>
        <v>0.19205280476661821</v>
      </c>
      <c r="N126" s="141">
        <f t="array" ref="N126">IF(AND($B126&gt;=$E$4,$B126&lt;=$E$5),SUMPRODUCT(N$45:N$94,TRANSPOSE(Data_85_15!$B18:$AY18))%,"")</f>
        <v>0.22606497552249233</v>
      </c>
      <c r="O126" s="141">
        <f t="array" ref="O126">IF(AND($B126&gt;=$E$4,$B126&lt;=$E$5),SUMPRODUCT(O$45:O$94,TRANSPOSE(Data_85_15!$B18:$AY18))%,"")</f>
        <v>0.15908348531487523</v>
      </c>
      <c r="P126" s="141">
        <f t="array" ref="P126">IF(AND($B126&gt;=$E$4,$B126&lt;=$E$5),SUMPRODUCT(P$45:P$94,TRANSPOSE(Data_85_15!$B18:$AY18))%,"")</f>
        <v>0.17379929562660529</v>
      </c>
      <c r="Q126" s="141">
        <f t="array" ref="Q126">IF(AND($B126&gt;=$E$4,$B126&lt;=$E$5),SUMPRODUCT(Q$45:Q$94,TRANSPOSE(Data_85_15!$B18:$AY18))%,"")</f>
        <v>0.20079929562660528</v>
      </c>
      <c r="R126" s="141">
        <f t="array" ref="R126">IF(AND($B126&gt;=$E$4,$B126&lt;=$E$5),SUMPRODUCT(R$45:R$94,TRANSPOSE(Data_85_15!$B18:$AY18))%,"")</f>
        <v>0.244446764877748</v>
      </c>
      <c r="S126" s="141">
        <f t="array" ref="S126">IF(AND($B126&gt;=$E$4,$B126&lt;=$E$5),SUMPRODUCT(S$45:S$94,TRANSPOSE(Data_85_15!$B18:$AY18))%,"")</f>
        <v>0.17876987010716575</v>
      </c>
      <c r="T126" s="141">
        <f t="array" ref="T126">IF(AND($B126&gt;=$E$4,$B126&lt;=$E$5),SUMPRODUCT(T$45:T$94,TRANSPOSE(Data_85_15!$B18:$AY18))%,"")</f>
        <v>0.1819440119760479</v>
      </c>
      <c r="U126" s="141">
        <f t="array" ref="U126">IF(AND($B126&gt;=$E$4,$B126&lt;=$E$5),SUMPRODUCT(U$45:U$94,TRANSPOSE(Data_85_15!$B18:$AY18))%,"")</f>
        <v>0.15568080663498388</v>
      </c>
      <c r="V126" s="141">
        <f t="array" ref="V126">IF(AND($B126&gt;=$E$4,$B126&lt;=$E$5),SUMPRODUCT(V$45:V$94,TRANSPOSE(Data_85_15!$B18:$AY18))%,"")</f>
        <v>0.1621036413901393</v>
      </c>
      <c r="W126" s="141">
        <f t="array" ref="W126">IF(AND($B126&gt;=$E$4,$B126&lt;=$E$5),SUMPRODUCT(W$45:W$94,TRANSPOSE(Data_85_15!$B18:$AY18))%,"")</f>
        <v>0.15968490792559639</v>
      </c>
      <c r="X126" s="141">
        <f t="array" ref="X126">IF(AND($B126&gt;=$E$4,$B126&lt;=$E$5),SUMPRODUCT(X$45:X$94,TRANSPOSE(Data_85_15!$B18:$AY18))%,"")</f>
        <v>0.17523643830202179</v>
      </c>
      <c r="Y126" s="141">
        <f t="array" ref="Y126">IF(AND($B126&gt;=$E$4,$B126&lt;=$E$5),SUMPRODUCT(Y$45:Y$94,TRANSPOSE(Data_85_15!$B18:$AY18))%,"")</f>
        <v>0.17991542226397736</v>
      </c>
      <c r="Z126" s="141">
        <f t="array" ref="Z126">IF(AND($B126&gt;=$E$4,$B126&lt;=$E$5),SUMPRODUCT(Z$45:Z$94,TRANSPOSE(Data_85_15!$B18:$AY18))%,"")</f>
        <v>0.14873589291177855</v>
      </c>
      <c r="AA126" s="141">
        <f t="array" ref="AA126">IF(AND($B126&gt;=$E$4,$B126&lt;=$E$5),SUMPRODUCT(AA$45:AA$94,TRANSPOSE(Data_85_15!$B18:$AY18))%,"")</f>
        <v>8.3091659560281639E-2</v>
      </c>
    </row>
    <row r="127" spans="1:27">
      <c r="B127" s="142">
        <f t="shared" si="11"/>
        <v>1996</v>
      </c>
      <c r="C127" s="141">
        <f t="array" ref="C127">IF(AND($B127&gt;=$E$4,$B127&lt;=$E$5),SUMPRODUCT(C$45:C$94,TRANSPOSE(Data_85_15!$B19:$AY19))%,"")</f>
        <v>0.16190000000000002</v>
      </c>
      <c r="D127" s="141">
        <f t="array" ref="D127">IF(AND($B127&gt;=$E$4,$B127&lt;=$E$5),SUMPRODUCT(D$45:D$94,TRANSPOSE(Data_85_15!$B19:$AY19))%,"")</f>
        <v>9.4200000000000006E-2</v>
      </c>
      <c r="E127" s="141">
        <f t="array" ref="E127">IF(AND($B127&gt;=$E$4,$B127&lt;=$E$5),SUMPRODUCT(E$45:E$94,TRANSPOSE(Data_85_15!$B19:$AY19))%,"")</f>
        <v>0.17484000000000002</v>
      </c>
      <c r="F127" s="141">
        <f t="array" ref="F127">IF(AND($B127&gt;=$E$4,$B127&lt;=$E$5),SUMPRODUCT(F$45:F$94,TRANSPOSE(Data_85_15!$B19:$AY19))%,"")</f>
        <v>0.13469348633007383</v>
      </c>
      <c r="G127" s="141">
        <f t="array" ref="G127">IF(AND($B127&gt;=$E$4,$B127&lt;=$E$5),SUMPRODUCT(G$45:G$94,TRANSPOSE(Data_85_15!$B19:$AY19))%,"")</f>
        <v>0.13500570189893613</v>
      </c>
      <c r="H127" s="141">
        <f t="array" ref="H127">IF(AND($B127&gt;=$E$4,$B127&lt;=$E$5),SUMPRODUCT(H$45:H$94,TRANSPOSE(Data_85_15!$B19:$AY19))%,"")</f>
        <v>0.15391409486896632</v>
      </c>
      <c r="I127" s="141">
        <f t="array" ref="I127">IF(AND($B127&gt;=$E$4,$B127&lt;=$E$5),SUMPRODUCT(I$45:I$94,TRANSPOSE(Data_85_15!$B19:$AY19))%,"")</f>
        <v>0.13475098686038273</v>
      </c>
      <c r="J127" s="141">
        <f t="array" ref="J127">IF(AND($B127&gt;=$E$4,$B127&lt;=$E$5),SUMPRODUCT(J$45:J$94,TRANSPOSE(Data_85_15!$B19:$AY19))%,"")</f>
        <v>0.16662500000000002</v>
      </c>
      <c r="K127" s="141">
        <f t="array" ref="K127">IF(AND($B127&gt;=$E$4,$B127&lt;=$E$5),SUMPRODUCT(K$45:K$94,TRANSPOSE(Data_85_15!$B19:$AY19))%,"")</f>
        <v>0.13475098686038273</v>
      </c>
      <c r="L127" s="141">
        <f t="array" ref="L127">IF(AND($B127&gt;=$E$4,$B127&lt;=$E$5),SUMPRODUCT(L$45:L$94,TRANSPOSE(Data_85_15!$B19:$AY19))%,"")</f>
        <v>0.15745999999999999</v>
      </c>
      <c r="M127" s="141">
        <f t="array" ref="M127">IF(AND($B127&gt;=$E$4,$B127&lt;=$E$5),SUMPRODUCT(M$45:M$94,TRANSPOSE(Data_85_15!$B19:$AY19))%,"")</f>
        <v>0.10262133243241145</v>
      </c>
      <c r="N127" s="141">
        <f t="array" ref="N127">IF(AND($B127&gt;=$E$4,$B127&lt;=$E$5),SUMPRODUCT(N$45:N$94,TRANSPOSE(Data_85_15!$B19:$AY19))%,"")</f>
        <v>0.14082838176514101</v>
      </c>
      <c r="O127" s="141">
        <f t="array" ref="O127">IF(AND($B127&gt;=$E$4,$B127&lt;=$E$5),SUMPRODUCT(O$45:O$94,TRANSPOSE(Data_85_15!$B19:$AY19))%,"")</f>
        <v>0.1058644793408369</v>
      </c>
      <c r="P127" s="141">
        <f t="array" ref="P127">IF(AND($B127&gt;=$E$4,$B127&lt;=$E$5),SUMPRODUCT(P$45:P$94,TRANSPOSE(Data_85_15!$B19:$AY19))%,"")</f>
        <v>0.16257307702531776</v>
      </c>
      <c r="Q127" s="141">
        <f t="array" ref="Q127">IF(AND($B127&gt;=$E$4,$B127&lt;=$E$5),SUMPRODUCT(Q$45:Q$94,TRANSPOSE(Data_85_15!$B19:$AY19))%,"")</f>
        <v>0.15411307702531776</v>
      </c>
      <c r="R127" s="141">
        <f t="array" ref="R127">IF(AND($B127&gt;=$E$4,$B127&lt;=$E$5),SUMPRODUCT(R$45:R$94,TRANSPOSE(Data_85_15!$B19:$AY19))%,"")</f>
        <v>0.1523857018989361</v>
      </c>
      <c r="S127" s="141">
        <f t="array" ref="S127">IF(AND($B127&gt;=$E$4,$B127&lt;=$E$5),SUMPRODUCT(S$45:S$94,TRANSPOSE(Data_85_15!$B19:$AY19))%,"")</f>
        <v>0.12558126258124244</v>
      </c>
      <c r="T127" s="141">
        <f t="array" ref="T127">IF(AND($B127&gt;=$E$4,$B127&lt;=$E$5),SUMPRODUCT(T$45:T$94,TRANSPOSE(Data_85_15!$B19:$AY19))%,"")</f>
        <v>0.12426107784431138</v>
      </c>
      <c r="U127" s="141">
        <f t="array" ref="U127">IF(AND($B127&gt;=$E$4,$B127&lt;=$E$5),SUMPRODUCT(U$45:U$94,TRANSPOSE(Data_85_15!$B19:$AY19))%,"")</f>
        <v>0.10911514634032676</v>
      </c>
      <c r="V127" s="141">
        <f t="array" ref="V127">IF(AND($B127&gt;=$E$4,$B127&lt;=$E$5),SUMPRODUCT(V$45:V$94,TRANSPOSE(Data_85_15!$B19:$AY19))%,"")</f>
        <v>9.0700110863883895E-2</v>
      </c>
      <c r="W127" s="141">
        <f t="array" ref="W127">IF(AND($B127&gt;=$E$4,$B127&lt;=$E$5),SUMPRODUCT(W$45:W$94,TRANSPOSE(Data_85_15!$B19:$AY19))%,"")</f>
        <v>0.14245835320337524</v>
      </c>
      <c r="X127" s="141">
        <f t="array" ref="X127">IF(AND($B127&gt;=$E$4,$B127&lt;=$E$5),SUMPRODUCT(X$45:X$94,TRANSPOSE(Data_85_15!$B19:$AY19))%,"")</f>
        <v>0.17533276821841157</v>
      </c>
      <c r="Y127" s="141">
        <f t="array" ref="Y127">IF(AND($B127&gt;=$E$4,$B127&lt;=$E$5),SUMPRODUCT(Y$45:Y$94,TRANSPOSE(Data_85_15!$B19:$AY19))%,"")</f>
        <v>4.9583258696480233E-2</v>
      </c>
      <c r="Z127" s="141">
        <f t="array" ref="Z127">IF(AND($B127&gt;=$E$4,$B127&lt;=$E$5),SUMPRODUCT(Z$45:Z$94,TRANSPOSE(Data_85_15!$B19:$AY19))%,"")</f>
        <v>0.12188899337392262</v>
      </c>
      <c r="AA127" s="141">
        <f t="array" ref="AA127">IF(AND($B127&gt;=$E$4,$B127&lt;=$E$5),SUMPRODUCT(AA$45:AA$94,TRANSPOSE(Data_85_15!$B19:$AY19))%,"")</f>
        <v>8.4414885589491465E-2</v>
      </c>
    </row>
    <row r="128" spans="1:27">
      <c r="B128" s="142">
        <f t="shared" si="11"/>
        <v>1997</v>
      </c>
      <c r="C128" s="141">
        <f t="array" ref="C128">IF(AND($B128&gt;=$E$4,$B128&lt;=$E$5),SUMPRODUCT(C$45:C$94,TRANSPOSE(Data_85_15!$B20:$AY20))%,"")</f>
        <v>0.23230000000000001</v>
      </c>
      <c r="D128" s="141">
        <f t="array" ref="D128">IF(AND($B128&gt;=$E$4,$B128&lt;=$E$5),SUMPRODUCT(D$45:D$94,TRANSPOSE(Data_85_15!$B20:$AY20))%,"")</f>
        <v>0.20190000000000002</v>
      </c>
      <c r="E128" s="141">
        <f t="array" ref="E128">IF(AND($B128&gt;=$E$4,$B128&lt;=$E$5),SUMPRODUCT(E$45:E$94,TRANSPOSE(Data_85_15!$B20:$AY20))%,"")</f>
        <v>0.26679999999999998</v>
      </c>
      <c r="F128" s="141">
        <f t="array" ref="F128">IF(AND($B128&gt;=$E$4,$B128&lt;=$E$5),SUMPRODUCT(F$45:F$94,TRANSPOSE(Data_85_15!$B20:$AY20))%,"")</f>
        <v>0.17086651965675514</v>
      </c>
      <c r="G128" s="141">
        <f t="array" ref="G128">IF(AND($B128&gt;=$E$4,$B128&lt;=$E$5),SUMPRODUCT(G$45:G$94,TRANSPOSE(Data_85_15!$B20:$AY20))%,"")</f>
        <v>0.16921095079447965</v>
      </c>
      <c r="H128" s="141">
        <f t="array" ref="H128">IF(AND($B128&gt;=$E$4,$B128&lt;=$E$5),SUMPRODUCT(H$45:H$94,TRANSPOSE(Data_85_15!$B20:$AY20))%,"")</f>
        <v>0.18003081476789362</v>
      </c>
      <c r="I128" s="141">
        <f t="array" ref="I128">IF(AND($B128&gt;=$E$4,$B128&lt;=$E$5),SUMPRODUCT(I$45:I$94,TRANSPOSE(Data_85_15!$B20:$AY20))%,"")</f>
        <v>0.14794855502362519</v>
      </c>
      <c r="J128" s="141">
        <f t="array" ref="J128">IF(AND($B128&gt;=$E$4,$B128&lt;=$E$5),SUMPRODUCT(J$45:J$94,TRANSPOSE(Data_85_15!$B20:$AY20))%,"")</f>
        <v>0.221</v>
      </c>
      <c r="K128" s="141">
        <f t="array" ref="K128">IF(AND($B128&gt;=$E$4,$B128&lt;=$E$5),SUMPRODUCT(K$45:K$94,TRANSPOSE(Data_85_15!$B20:$AY20))%,"")</f>
        <v>0.14794855502362519</v>
      </c>
      <c r="L128" s="141">
        <f t="array" ref="L128">IF(AND($B128&gt;=$E$4,$B128&lt;=$E$5),SUMPRODUCT(L$45:L$94,TRANSPOSE(Data_85_15!$B20:$AY20))%,"")</f>
        <v>0.24525</v>
      </c>
      <c r="M128" s="141">
        <f t="array" ref="M128">IF(AND($B128&gt;=$E$4,$B128&lt;=$E$5),SUMPRODUCT(M$45:M$94,TRANSPOSE(Data_85_15!$B20:$AY20))%,"")</f>
        <v>0.10240088745287036</v>
      </c>
      <c r="N128" s="141">
        <f t="array" ref="N128">IF(AND($B128&gt;=$E$4,$B128&lt;=$E$5),SUMPRODUCT(N$45:N$94,TRANSPOSE(Data_85_15!$B20:$AY20))%,"")</f>
        <v>0.17428172764409955</v>
      </c>
      <c r="O128" s="141">
        <f t="array" ref="O128">IF(AND($B128&gt;=$E$4,$B128&lt;=$E$5),SUMPRODUCT(O$45:O$94,TRANSPOSE(Data_85_15!$B20:$AY20))%,"")</f>
        <v>8.2932116722293628E-2</v>
      </c>
      <c r="P128" s="141">
        <f t="array" ref="P128">IF(AND($B128&gt;=$E$4,$B128&lt;=$E$5),SUMPRODUCT(P$45:P$94,TRANSPOSE(Data_85_15!$B20:$AY20))%,"")</f>
        <v>0.14575793325276468</v>
      </c>
      <c r="Q128" s="141">
        <f t="array" ref="Q128">IF(AND($B128&gt;=$E$4,$B128&lt;=$E$5),SUMPRODUCT(Q$45:Q$94,TRANSPOSE(Data_85_15!$B20:$AY20))%,"")</f>
        <v>0.15702293325276467</v>
      </c>
      <c r="R128" s="141">
        <f t="array" ref="R128">IF(AND($B128&gt;=$E$4,$B128&lt;=$E$5),SUMPRODUCT(R$45:R$94,TRANSPOSE(Data_85_15!$B20:$AY20))%,"")</f>
        <v>0.19076095079447966</v>
      </c>
      <c r="S128" s="141">
        <f t="array" ref="S128">IF(AND($B128&gt;=$E$4,$B128&lt;=$E$5),SUMPRODUCT(S$45:S$94,TRANSPOSE(Data_85_15!$B20:$AY20))%,"")</f>
        <v>0.11619415364061171</v>
      </c>
      <c r="T128" s="141">
        <f t="array" ref="T128">IF(AND($B128&gt;=$E$4,$B128&lt;=$E$5),SUMPRODUCT(T$45:T$94,TRANSPOSE(Data_85_15!$B20:$AY20))%,"")</f>
        <v>0.19387215568862273</v>
      </c>
      <c r="U128" s="141">
        <f t="array" ref="U128">IF(AND($B128&gt;=$E$4,$B128&lt;=$E$5),SUMPRODUCT(U$45:U$94,TRANSPOSE(Data_85_15!$B20:$AY20))%,"")</f>
        <v>0.12779479437692168</v>
      </c>
      <c r="V128" s="141">
        <f t="array" ref="V128">IF(AND($B128&gt;=$E$4,$B128&lt;=$E$5),SUMPRODUCT(V$45:V$94,TRANSPOSE(Data_85_15!$B20:$AY20))%,"")</f>
        <v>9.2216510891607331E-2</v>
      </c>
      <c r="W128" s="141">
        <f t="array" ref="W128">IF(AND($B128&gt;=$E$4,$B128&lt;=$E$5),SUMPRODUCT(W$45:W$94,TRANSPOSE(Data_85_15!$B20:$AY20))%,"")</f>
        <v>0.11069720631950966</v>
      </c>
      <c r="X128" s="141">
        <f t="array" ref="X128">IF(AND($B128&gt;=$E$4,$B128&lt;=$E$5),SUMPRODUCT(X$45:X$94,TRANSPOSE(Data_85_15!$B20:$AY20))%,"")</f>
        <v>0.11704850286415155</v>
      </c>
      <c r="Y128" s="141">
        <f t="array" ref="Y128">IF(AND($B128&gt;=$E$4,$B128&lt;=$E$5),SUMPRODUCT(Y$45:Y$94,TRANSPOSE(Data_85_15!$B20:$AY20))%,"")</f>
        <v>7.0721563778737451E-2</v>
      </c>
      <c r="Z128" s="141">
        <f t="array" ref="Z128">IF(AND($B128&gt;=$E$4,$B128&lt;=$E$5),SUMPRODUCT(Z$45:Z$94,TRANSPOSE(Data_85_15!$B20:$AY20))%,"")</f>
        <v>0.14232405798400205</v>
      </c>
      <c r="AA128" s="141">
        <f t="array" ref="AA128">IF(AND($B128&gt;=$E$4,$B128&lt;=$E$5),SUMPRODUCT(AA$45:AA$94,TRANSPOSE(Data_85_15!$B20:$AY20))%,"")</f>
        <v>7.1626842415139794E-2</v>
      </c>
    </row>
    <row r="129" spans="2:27">
      <c r="B129" s="142">
        <f t="shared" si="11"/>
        <v>1998</v>
      </c>
      <c r="C129" s="141">
        <f t="array" ref="C129">IF(AND($B129&gt;=$E$4,$B129&lt;=$E$5),SUMPRODUCT(C$45:C$94,TRANSPOSE(Data_85_15!$B21:$AY21))%,"")</f>
        <v>0.1206</v>
      </c>
      <c r="D129" s="141">
        <f t="array" ref="D129">IF(AND($B129&gt;=$E$4,$B129&lt;=$E$5),SUMPRODUCT(D$45:D$94,TRANSPOSE(Data_85_15!$B21:$AY21))%,"")</f>
        <v>0.11840000000000001</v>
      </c>
      <c r="E129" s="141">
        <f t="array" ref="E129">IF(AND($B129&gt;=$E$4,$B129&lt;=$E$5),SUMPRODUCT(E$45:E$94,TRANSPOSE(Data_85_15!$B21:$AY21))%,"")</f>
        <v>0.20324</v>
      </c>
      <c r="F129" s="141">
        <f t="array" ref="F129">IF(AND($B129&gt;=$E$4,$B129&lt;=$E$5),SUMPRODUCT(F$45:F$94,TRANSPOSE(Data_85_15!$B21:$AY21))%,"")</f>
        <v>0.18026000000000003</v>
      </c>
      <c r="G129" s="141">
        <f t="array" ref="G129">IF(AND($B129&gt;=$E$4,$B129&lt;=$E$5),SUMPRODUCT(G$45:G$94,TRANSPOSE(Data_85_15!$B21:$AY21))%,"")</f>
        <v>0.17427481037924153</v>
      </c>
      <c r="H129" s="141">
        <f t="array" ref="H129">IF(AND($B129&gt;=$E$4,$B129&lt;=$E$5),SUMPRODUCT(H$45:H$94,TRANSPOSE(Data_85_15!$B21:$AY21))%,"")</f>
        <v>0.15319199999999999</v>
      </c>
      <c r="I129" s="141">
        <f t="array" ref="I129">IF(AND($B129&gt;=$E$4,$B129&lt;=$E$5),SUMPRODUCT(I$45:I$94,TRANSPOSE(Data_85_15!$B21:$AY21))%,"")</f>
        <v>6.6205443479996018E-2</v>
      </c>
      <c r="J129" s="141">
        <f t="array" ref="J129">IF(AND($B129&gt;=$E$4,$B129&lt;=$E$5),SUMPRODUCT(J$45:J$94,TRANSPOSE(Data_85_15!$B21:$AY21))%,"")</f>
        <v>0.15557500000000002</v>
      </c>
      <c r="K129" s="141">
        <f t="array" ref="K129">IF(AND($B129&gt;=$E$4,$B129&lt;=$E$5),SUMPRODUCT(K$45:K$94,TRANSPOSE(Data_85_15!$B21:$AY21))%,"")</f>
        <v>6.6205443479996018E-2</v>
      </c>
      <c r="L129" s="141">
        <f t="array" ref="L129">IF(AND($B129&gt;=$E$4,$B129&lt;=$E$5),SUMPRODUCT(L$45:L$94,TRANSPOSE(Data_85_15!$B21:$AY21))%,"")</f>
        <v>0.18856000000000001</v>
      </c>
      <c r="M129" s="141">
        <f t="array" ref="M129">IF(AND($B129&gt;=$E$4,$B129&lt;=$E$5),SUMPRODUCT(M$45:M$94,TRANSPOSE(Data_85_15!$B21:$AY21))%,"")</f>
        <v>7.9683824368622827E-2</v>
      </c>
      <c r="N129" s="141">
        <f t="array" ref="N129">IF(AND($B129&gt;=$E$4,$B129&lt;=$E$5),SUMPRODUCT(N$45:N$94,TRANSPOSE(Data_85_15!$B21:$AY21))%,"")</f>
        <v>6.7535443479996016E-2</v>
      </c>
      <c r="O129" s="141">
        <f t="array" ref="O129">IF(AND($B129&gt;=$E$4,$B129&lt;=$E$5),SUMPRODUCT(O$45:O$94,TRANSPOSE(Data_85_15!$B21:$AY21))%,"")</f>
        <v>8.6816238191005105E-2</v>
      </c>
      <c r="P129" s="141">
        <f t="array" ref="P129">IF(AND($B129&gt;=$E$4,$B129&lt;=$E$5),SUMPRODUCT(P$45:P$94,TRANSPOSE(Data_85_15!$B21:$AY21))%,"")</f>
        <v>7.3299956601932517E-2</v>
      </c>
      <c r="Q129" s="141">
        <f t="array" ref="Q129">IF(AND($B129&gt;=$E$4,$B129&lt;=$E$5),SUMPRODUCT(Q$45:Q$94,TRANSPOSE(Data_85_15!$B21:$AY21))%,"")</f>
        <v>8.1834956601932504E-2</v>
      </c>
      <c r="R129" s="141">
        <f t="array" ref="R129">IF(AND($B129&gt;=$E$4,$B129&lt;=$E$5),SUMPRODUCT(R$45:R$94,TRANSPOSE(Data_85_15!$B21:$AY21))%,"")</f>
        <v>0.18895481037924153</v>
      </c>
      <c r="S129" s="141">
        <f t="array" ref="S129">IF(AND($B129&gt;=$E$4,$B129&lt;=$E$5),SUMPRODUCT(S$45:S$94,TRANSPOSE(Data_85_15!$B21:$AY21))%,"")</f>
        <v>8.3207394043699492E-2</v>
      </c>
      <c r="T129" s="141">
        <f t="array" ref="T129">IF(AND($B129&gt;=$E$4,$B129&lt;=$E$5),SUMPRODUCT(T$45:T$94,TRANSPOSE(Data_85_15!$B21:$AY21))%,"")</f>
        <v>0.12927405189620758</v>
      </c>
      <c r="U129" s="141">
        <f t="array" ref="U129">IF(AND($B129&gt;=$E$4,$B129&lt;=$E$5),SUMPRODUCT(U$45:U$94,TRANSPOSE(Data_85_15!$B21:$AY21))%,"")</f>
        <v>0.139126874251497</v>
      </c>
      <c r="V129" s="141">
        <f t="array" ref="V129">IF(AND($B129&gt;=$E$4,$B129&lt;=$E$5),SUMPRODUCT(V$45:V$94,TRANSPOSE(Data_85_15!$B21:$AY21))%,"")</f>
        <v>0.13488702594810378</v>
      </c>
      <c r="W129" s="141">
        <f t="array" ref="W129">IF(AND($B129&gt;=$E$4,$B129&lt;=$E$5),SUMPRODUCT(W$45:W$94,TRANSPOSE(Data_85_15!$B21:$AY21))%,"")</f>
        <v>7.5269620758483036E-2</v>
      </c>
      <c r="X129" s="141">
        <f t="array" ref="X129">IF(AND($B129&gt;=$E$4,$B129&lt;=$E$5),SUMPRODUCT(X$45:X$94,TRANSPOSE(Data_85_15!$B21:$AY21))%,"")</f>
        <v>2.8519874091816364E-2</v>
      </c>
      <c r="Y129" s="141">
        <f t="array" ref="Y129">IF(AND($B129&gt;=$E$4,$B129&lt;=$E$5),SUMPRODUCT(Y$45:Y$94,TRANSPOSE(Data_85_15!$B21:$AY21))%,"")</f>
        <v>0.10021968164557485</v>
      </c>
      <c r="Z129" s="141">
        <f t="array" ref="Z129">IF(AND($B129&gt;=$E$4,$B129&lt;=$E$5),SUMPRODUCT(Z$45:Z$94,TRANSPOSE(Data_85_15!$B21:$AY21))%,"")</f>
        <v>3.6924406736960083E-2</v>
      </c>
      <c r="AA129" s="141">
        <f t="array" ref="AA129">IF(AND($B129&gt;=$E$4,$B129&lt;=$E$5),SUMPRODUCT(AA$45:AA$94,TRANSPOSE(Data_85_15!$B21:$AY21))%,"")</f>
        <v>-2.4099984526606776E-3</v>
      </c>
    </row>
    <row r="130" spans="2:27">
      <c r="B130" s="142">
        <f t="shared" si="11"/>
        <v>1999</v>
      </c>
      <c r="C130" s="141">
        <f t="array" ref="C130">IF(AND($B130&gt;=$E$4,$B130&lt;=$E$5),SUMPRODUCT(C$45:C$94,TRANSPOSE(Data_85_15!$B22:$AY22))%,"")</f>
        <v>4.41E-2</v>
      </c>
      <c r="D130" s="141">
        <f t="array" ref="D130">IF(AND($B130&gt;=$E$4,$B130&lt;=$E$5),SUMPRODUCT(D$45:D$94,TRANSPOSE(Data_85_15!$B22:$AY22))%,"")</f>
        <v>-4.1399999999999999E-2</v>
      </c>
      <c r="E130" s="141">
        <f t="array" ref="E130">IF(AND($B130&gt;=$E$4,$B130&lt;=$E$5),SUMPRODUCT(E$45:E$94,TRANSPOSE(Data_85_15!$B22:$AY22))%,"")</f>
        <v>0.18895999999999996</v>
      </c>
      <c r="F130" s="141">
        <f t="array" ref="F130">IF(AND($B130&gt;=$E$4,$B130&lt;=$E$5),SUMPRODUCT(F$45:F$94,TRANSPOSE(Data_85_15!$B22:$AY22))%,"")</f>
        <v>0.20729</v>
      </c>
      <c r="G130" s="141">
        <f t="array" ref="G130">IF(AND($B130&gt;=$E$4,$B130&lt;=$E$5),SUMPRODUCT(G$45:G$94,TRANSPOSE(Data_85_15!$B22:$AY22))%,"")</f>
        <v>0.21573463073852295</v>
      </c>
      <c r="H130" s="141">
        <f t="array" ref="H130">IF(AND($B130&gt;=$E$4,$B130&lt;=$E$5),SUMPRODUCT(H$45:H$94,TRANSPOSE(Data_85_15!$B22:$AY22))%,"")</f>
        <v>0.18134400000000001</v>
      </c>
      <c r="I130" s="141">
        <f t="array" ref="I130">IF(AND($B130&gt;=$E$4,$B130&lt;=$E$5),SUMPRODUCT(I$45:I$94,TRANSPOSE(Data_85_15!$B22:$AY22))%,"")</f>
        <v>0.14176284046692608</v>
      </c>
      <c r="J130" s="141">
        <f t="array" ref="J130">IF(AND($B130&gt;=$E$4,$B130&lt;=$E$5),SUMPRODUCT(J$45:J$94,TRANSPOSE(Data_85_15!$B22:$AY22))%,"")</f>
        <v>0.15667500000000001</v>
      </c>
      <c r="K130" s="141">
        <f t="array" ref="K130">IF(AND($B130&gt;=$E$4,$B130&lt;=$E$5),SUMPRODUCT(K$45:K$94,TRANSPOSE(Data_85_15!$B22:$AY22))%,"")</f>
        <v>0.14176284046692608</v>
      </c>
      <c r="L130" s="141">
        <f t="array" ref="L130">IF(AND($B130&gt;=$E$4,$B130&lt;=$E$5),SUMPRODUCT(L$45:L$94,TRANSPOSE(Data_85_15!$B22:$AY22))%,"")</f>
        <v>0.16438999999999995</v>
      </c>
      <c r="M130" s="141">
        <f t="array" ref="M130">IF(AND($B130&gt;=$E$4,$B130&lt;=$E$5),SUMPRODUCT(M$45:M$94,TRANSPOSE(Data_85_15!$B22:$AY22))%,"")</f>
        <v>0.25064591248511658</v>
      </c>
      <c r="N130" s="141">
        <f t="array" ref="N130">IF(AND($B130&gt;=$E$4,$B130&lt;=$E$5),SUMPRODUCT(N$45:N$94,TRANSPOSE(Data_85_15!$B22:$AY22))%,"")</f>
        <v>8.2722840466926073E-2</v>
      </c>
      <c r="O130" s="141">
        <f t="array" ref="O130">IF(AND($B130&gt;=$E$4,$B130&lt;=$E$5),SUMPRODUCT(O$45:O$94,TRANSPOSE(Data_85_15!$B22:$AY22))%,"")</f>
        <v>0.21453672868314302</v>
      </c>
      <c r="P130" s="141">
        <f t="array" ref="P130">IF(AND($B130&gt;=$E$4,$B130&lt;=$E$5),SUMPRODUCT(P$45:P$94,TRANSPOSE(Data_85_15!$B22:$AY22))%,"")</f>
        <v>0.14921524563820707</v>
      </c>
      <c r="Q130" s="141">
        <f t="array" ref="Q130">IF(AND($B130&gt;=$E$4,$B130&lt;=$E$5),SUMPRODUCT(Q$45:Q$94,TRANSPOSE(Data_85_15!$B22:$AY22))%,"")</f>
        <v>0.13345024563820707</v>
      </c>
      <c r="R130" s="141">
        <f t="array" ref="R130">IF(AND($B130&gt;=$E$4,$B130&lt;=$E$5),SUMPRODUCT(R$45:R$94,TRANSPOSE(Data_85_15!$B22:$AY22))%,"")</f>
        <v>0.24030463073852296</v>
      </c>
      <c r="S130" s="141">
        <f t="array" ref="S130">IF(AND($B130&gt;=$E$4,$B130&lt;=$E$5),SUMPRODUCT(S$45:S$94,TRANSPOSE(Data_85_15!$B22:$AY22))%,"")</f>
        <v>0.134948560111743</v>
      </c>
      <c r="T130" s="141">
        <f t="array" ref="T130">IF(AND($B130&gt;=$E$4,$B130&lt;=$E$5),SUMPRODUCT(T$45:T$94,TRANSPOSE(Data_85_15!$B22:$AY22))%,"")</f>
        <v>0.15747315369261478</v>
      </c>
      <c r="U130" s="141">
        <f t="array" ref="U130">IF(AND($B130&gt;=$E$4,$B130&lt;=$E$5),SUMPRODUCT(U$45:U$94,TRANSPOSE(Data_85_15!$B22:$AY22))%,"")</f>
        <v>0.20504928143712575</v>
      </c>
      <c r="V130" s="141">
        <f t="array" ref="V130">IF(AND($B130&gt;=$E$4,$B130&lt;=$E$5),SUMPRODUCT(V$45:V$94,TRANSPOSE(Data_85_15!$B22:$AY22))%,"")</f>
        <v>0.14281157684630741</v>
      </c>
      <c r="W130" s="141">
        <f t="array" ref="W130">IF(AND($B130&gt;=$E$4,$B130&lt;=$E$5),SUMPRODUCT(W$45:W$94,TRANSPOSE(Data_85_15!$B22:$AY22))%,"")</f>
        <v>0.10616926147704592</v>
      </c>
      <c r="X130" s="141">
        <f t="array" ref="X130">IF(AND($B130&gt;=$E$4,$B130&lt;=$E$5),SUMPRODUCT(X$45:X$94,TRANSPOSE(Data_85_15!$B22:$AY22))%,"")</f>
        <v>0.12341548481037921</v>
      </c>
      <c r="Y130" s="141">
        <f t="array" ref="Y130">IF(AND($B130&gt;=$E$4,$B130&lt;=$E$5),SUMPRODUCT(Y$45:Y$94,TRANSPOSE(Data_85_15!$B22:$AY22))%,"")</f>
        <v>5.037371916088252E-2</v>
      </c>
      <c r="Z130" s="141">
        <f t="array" ref="Z130">IF(AND($B130&gt;=$E$4,$B130&lt;=$E$5),SUMPRODUCT(Z$45:Z$94,TRANSPOSE(Data_85_15!$B22:$AY22))%,"")</f>
        <v>0.13731278365448094</v>
      </c>
      <c r="AA130" s="141">
        <f t="array" ref="AA130">IF(AND($B130&gt;=$E$4,$B130&lt;=$E$5),SUMPRODUCT(AA$45:AA$94,TRANSPOSE(Data_85_15!$B22:$AY22))%,"")</f>
        <v>0.13039546828521945</v>
      </c>
    </row>
    <row r="131" spans="2:27">
      <c r="B131" s="142">
        <f t="shared" si="11"/>
        <v>2000</v>
      </c>
      <c r="C131" s="141">
        <f t="array" ref="C131">IF(AND($B131&gt;=$E$4,$B131&lt;=$E$5),SUMPRODUCT(C$45:C$94,TRANSPOSE(Data_85_15!$B23:$AY23))%,"")</f>
        <v>0.10400000000000001</v>
      </c>
      <c r="D131" s="141">
        <f t="array" ref="D131">IF(AND($B131&gt;=$E$4,$B131&lt;=$E$5),SUMPRODUCT(D$45:D$94,TRANSPOSE(Data_85_15!$B23:$AY23))%,"")</f>
        <v>0.16170000000000001</v>
      </c>
      <c r="E131" s="141">
        <f t="array" ref="E131">IF(AND($B131&gt;=$E$4,$B131&lt;=$E$5),SUMPRODUCT(E$45:E$94,TRANSPOSE(Data_85_15!$B23:$AY23))%,"")</f>
        <v>-6.1780000000000009E-2</v>
      </c>
      <c r="F131" s="141">
        <f t="array" ref="F131">IF(AND($B131&gt;=$E$4,$B131&lt;=$E$5),SUMPRODUCT(F$45:F$94,TRANSPOSE(Data_85_15!$B23:$AY23))%,"")</f>
        <v>-7.6899999999999996E-2</v>
      </c>
      <c r="G131" s="141">
        <f t="array" ref="G131">IF(AND($B131&gt;=$E$4,$B131&lt;=$E$5),SUMPRODUCT(G$45:G$94,TRANSPOSE(Data_85_15!$B23:$AY23))%,"")</f>
        <v>-8.3699181636726558E-2</v>
      </c>
      <c r="H131" s="141">
        <f t="array" ref="H131">IF(AND($B131&gt;=$E$4,$B131&lt;=$E$5),SUMPRODUCT(H$45:H$94,TRANSPOSE(Data_85_15!$B23:$AY23))%,"")</f>
        <v>-4.4339999999999991E-2</v>
      </c>
      <c r="I131" s="141">
        <f t="array" ref="I131">IF(AND($B131&gt;=$E$4,$B131&lt;=$E$5),SUMPRODUCT(I$45:I$94,TRANSPOSE(Data_85_15!$B23:$AY23))%,"")</f>
        <v>2.5885000000000005E-2</v>
      </c>
      <c r="J131" s="141">
        <f t="array" ref="J131">IF(AND($B131&gt;=$E$4,$B131&lt;=$E$5),SUMPRODUCT(J$45:J$94,TRANSPOSE(Data_85_15!$B23:$AY23))%,"")</f>
        <v>-2.7699999999999999E-2</v>
      </c>
      <c r="K131" s="141">
        <f t="array" ref="K131">IF(AND($B131&gt;=$E$4,$B131&lt;=$E$5),SUMPRODUCT(K$45:K$94,TRANSPOSE(Data_85_15!$B23:$AY23))%,"")</f>
        <v>2.5885000000000005E-2</v>
      </c>
      <c r="L131" s="141">
        <f t="array" ref="L131">IF(AND($B131&gt;=$E$4,$B131&lt;=$E$5),SUMPRODUCT(L$45:L$94,TRANSPOSE(Data_85_15!$B23:$AY23))%,"")</f>
        <v>-3.9819999999999994E-2</v>
      </c>
      <c r="M131" s="141">
        <f t="array" ref="M131">IF(AND($B131&gt;=$E$4,$B131&lt;=$E$5),SUMPRODUCT(M$45:M$94,TRANSPOSE(Data_85_15!$B23:$AY23))%,"")</f>
        <v>-6.6783772455089818E-2</v>
      </c>
      <c r="N131" s="141">
        <f t="array" ref="N131">IF(AND($B131&gt;=$E$4,$B131&lt;=$E$5),SUMPRODUCT(N$45:N$94,TRANSPOSE(Data_85_15!$B23:$AY23))%,"")</f>
        <v>7.2530000000000011E-2</v>
      </c>
      <c r="O131" s="141">
        <f t="array" ref="O131">IF(AND($B131&gt;=$E$4,$B131&lt;=$E$5),SUMPRODUCT(O$45:O$94,TRANSPOSE(Data_85_15!$B23:$AY23))%,"")</f>
        <v>3.7020412908222916E-2</v>
      </c>
      <c r="P131" s="141">
        <f t="array" ref="P131">IF(AND($B131&gt;=$E$4,$B131&lt;=$E$5),SUMPRODUCT(P$45:P$94,TRANSPOSE(Data_85_15!$B23:$AY23))%,"")</f>
        <v>5.7906230889205731E-3</v>
      </c>
      <c r="Q131" s="141">
        <f t="array" ref="Q131">IF(AND($B131&gt;=$E$4,$B131&lt;=$E$5),SUMPRODUCT(Q$45:Q$94,TRANSPOSE(Data_85_15!$B23:$AY23))%,"")</f>
        <v>2.2125623088920569E-2</v>
      </c>
      <c r="R131" s="141">
        <f t="array" ref="R131">IF(AND($B131&gt;=$E$4,$B131&lt;=$E$5),SUMPRODUCT(R$45:R$94,TRANSPOSE(Data_85_15!$B23:$AY23))%,"")</f>
        <v>-0.10565918163672654</v>
      </c>
      <c r="S131" s="141">
        <f t="array" ref="S131">IF(AND($B131&gt;=$E$4,$B131&lt;=$E$5),SUMPRODUCT(S$45:S$94,TRANSPOSE(Data_85_15!$B23:$AY23))%,"")</f>
        <v>2.0373249999999999E-2</v>
      </c>
      <c r="T131" s="141">
        <f t="array" ref="T131">IF(AND($B131&gt;=$E$4,$B131&lt;=$E$5),SUMPRODUCT(T$45:T$94,TRANSPOSE(Data_85_15!$B23:$AY23))%,"")</f>
        <v>-2.9895908183632736E-2</v>
      </c>
      <c r="U131" s="141">
        <f t="array" ref="U131">IF(AND($B131&gt;=$E$4,$B131&lt;=$E$5),SUMPRODUCT(U$45:U$94,TRANSPOSE(Data_85_15!$B23:$AY23))%,"")</f>
        <v>-7.2301299401197616E-2</v>
      </c>
      <c r="V131" s="141">
        <f t="array" ref="V131">IF(AND($B131&gt;=$E$4,$B131&lt;=$E$5),SUMPRODUCT(V$45:V$94,TRANSPOSE(Data_85_15!$B23:$AY23))%,"")</f>
        <v>-5.2897954091816371E-2</v>
      </c>
      <c r="W131" s="141">
        <f t="array" ref="W131">IF(AND($B131&gt;=$E$4,$B131&lt;=$E$5),SUMPRODUCT(W$45:W$94,TRANSPOSE(Data_85_15!$B23:$AY23))%,"")</f>
        <v>1.0381636726546907E-2</v>
      </c>
      <c r="X131" s="141">
        <f t="array" ref="X131">IF(AND($B131&gt;=$E$4,$B131&lt;=$E$5),SUMPRODUCT(X$45:X$94,TRANSPOSE(Data_85_15!$B23:$AY23))%,"")</f>
        <v>6.9329713393213574E-2</v>
      </c>
      <c r="Y131" s="141">
        <f t="array" ref="Y131">IF(AND($B131&gt;=$E$4,$B131&lt;=$E$5),SUMPRODUCT(Y$45:Y$94,TRANSPOSE(Data_85_15!$B23:$AY23))%,"")</f>
        <v>2.2824245224099284E-2</v>
      </c>
      <c r="Z131" s="141">
        <f t="array" ref="Z131">IF(AND($B131&gt;=$E$4,$B131&lt;=$E$5),SUMPRODUCT(Z$45:Z$94,TRANSPOSE(Data_85_15!$B23:$AY23))%,"")</f>
        <v>3.6084273453093799E-2</v>
      </c>
      <c r="AA131" s="141">
        <f t="array" ref="AA131">IF(AND($B131&gt;=$E$4,$B131&lt;=$E$5),SUMPRODUCT(AA$45:AA$94,TRANSPOSE(Data_85_15!$B23:$AY23))%,"")</f>
        <v>3.8452864271457089E-2</v>
      </c>
    </row>
    <row r="132" spans="2:27">
      <c r="B132" s="142">
        <f t="shared" si="11"/>
        <v>2001</v>
      </c>
      <c r="C132" s="141">
        <f t="array" ref="C132">IF(AND($B132&gt;=$E$4,$B132&lt;=$E$5),SUMPRODUCT(C$45:C$94,TRANSPOSE(Data_85_15!$B24:$AY24))%,"")</f>
        <v>4.1900000000000007E-2</v>
      </c>
      <c r="D132" s="141">
        <f t="array" ref="D132">IF(AND($B132&gt;=$E$4,$B132&lt;=$E$5),SUMPRODUCT(D$45:D$94,TRANSPOSE(Data_85_15!$B24:$AY24))%,"")</f>
        <v>7.3899999999999993E-2</v>
      </c>
      <c r="E132" s="141">
        <f t="array" ref="E132">IF(AND($B132&gt;=$E$4,$B132&lt;=$E$5),SUMPRODUCT(E$45:E$94,TRANSPOSE(Data_85_15!$B24:$AY24))%,"")</f>
        <v>-7.0900000000000019E-2</v>
      </c>
      <c r="F132" s="141">
        <f t="array" ref="F132">IF(AND($B132&gt;=$E$4,$B132&lt;=$E$5),SUMPRODUCT(F$45:F$94,TRANSPOSE(Data_85_15!$B24:$AY24))%,"")</f>
        <v>-9.844E-2</v>
      </c>
      <c r="G132" s="141">
        <f t="array" ref="G132">IF(AND($B132&gt;=$E$4,$B132&lt;=$E$5),SUMPRODUCT(G$45:G$94,TRANSPOSE(Data_85_15!$B24:$AY24))%,"")</f>
        <v>-9.9474790419161685E-2</v>
      </c>
      <c r="H132" s="141">
        <f t="array" ref="H132">IF(AND($B132&gt;=$E$4,$B132&lt;=$E$5),SUMPRODUCT(H$45:H$94,TRANSPOSE(Data_85_15!$B24:$AY24))%,"")</f>
        <v>-7.4275999999999981E-2</v>
      </c>
      <c r="I132" s="141">
        <f t="array" ref="I132">IF(AND($B132&gt;=$E$4,$B132&lt;=$E$5),SUMPRODUCT(I$45:I$94,TRANSPOSE(Data_85_15!$B24:$AY24))%,"")</f>
        <v>8.8999999999999973E-4</v>
      </c>
      <c r="J132" s="141">
        <f t="array" ref="J132">IF(AND($B132&gt;=$E$4,$B132&lt;=$E$5),SUMPRODUCT(J$45:J$94,TRANSPOSE(Data_85_15!$B24:$AY24))%,"")</f>
        <v>-5.3549999999999993E-2</v>
      </c>
      <c r="K132" s="141">
        <f t="array" ref="K132">IF(AND($B132&gt;=$E$4,$B132&lt;=$E$5),SUMPRODUCT(K$45:K$94,TRANSPOSE(Data_85_15!$B24:$AY24))%,"")</f>
        <v>8.8999999999999973E-4</v>
      </c>
      <c r="L132" s="141">
        <f t="array" ref="L132">IF(AND($B132&gt;=$E$4,$B132&lt;=$E$5),SUMPRODUCT(L$45:L$94,TRANSPOSE(Data_85_15!$B24:$AY24))%,"")</f>
        <v>-5.1500000000000004E-2</v>
      </c>
      <c r="M132" s="141">
        <f t="array" ref="M132">IF(AND($B132&gt;=$E$4,$B132&lt;=$E$5),SUMPRODUCT(M$45:M$94,TRANSPOSE(Data_85_15!$B24:$AY24))%,"")</f>
        <v>-6.1872185628742526E-2</v>
      </c>
      <c r="N132" s="141">
        <f t="array" ref="N132">IF(AND($B132&gt;=$E$4,$B132&lt;=$E$5),SUMPRODUCT(N$45:N$94,TRANSPOSE(Data_85_15!$B24:$AY24))%,"")</f>
        <v>1.882E-2</v>
      </c>
      <c r="O132" s="141">
        <f t="array" ref="O132">IF(AND($B132&gt;=$E$4,$B132&lt;=$E$5),SUMPRODUCT(O$45:O$94,TRANSPOSE(Data_85_15!$B24:$AY24))%,"")</f>
        <v>-4.3159468322820872E-3</v>
      </c>
      <c r="P132" s="141">
        <f t="array" ref="P132">IF(AND($B132&gt;=$E$4,$B132&lt;=$E$5),SUMPRODUCT(P$45:P$94,TRANSPOSE(Data_85_15!$B24:$AY24))%,"")</f>
        <v>-1.9872471871124377E-2</v>
      </c>
      <c r="Q132" s="141">
        <f t="array" ref="Q132">IF(AND($B132&gt;=$E$4,$B132&lt;=$E$5),SUMPRODUCT(Q$45:Q$94,TRANSPOSE(Data_85_15!$B24:$AY24))%,"")</f>
        <v>-2.510747187112437E-2</v>
      </c>
      <c r="R132" s="141">
        <f t="array" ref="R132">IF(AND($B132&gt;=$E$4,$B132&lt;=$E$5),SUMPRODUCT(R$45:R$94,TRANSPOSE(Data_85_15!$B24:$AY24))%,"")</f>
        <v>-0.11887479041916166</v>
      </c>
      <c r="S132" s="141">
        <f t="array" ref="S132">IF(AND($B132&gt;=$E$4,$B132&lt;=$E$5),SUMPRODUCT(S$45:S$94,TRANSPOSE(Data_85_15!$B24:$AY24))%,"")</f>
        <v>-3.5501499999999991E-2</v>
      </c>
      <c r="T132" s="141">
        <f t="array" ref="T132">IF(AND($B132&gt;=$E$4,$B132&lt;=$E$5),SUMPRODUCT(T$45:T$94,TRANSPOSE(Data_85_15!$B24:$AY24))%,"")</f>
        <v>-1.7873952095808384E-2</v>
      </c>
      <c r="U132" s="141">
        <f t="array" ref="U132">IF(AND($B132&gt;=$E$4,$B132&lt;=$E$5),SUMPRODUCT(U$45:U$94,TRANSPOSE(Data_85_15!$B24:$AY24))%,"")</f>
        <v>-7.9388808383233533E-2</v>
      </c>
      <c r="V132" s="141">
        <f t="array" ref="V132">IF(AND($B132&gt;=$E$4,$B132&lt;=$E$5),SUMPRODUCT(V$45:V$94,TRANSPOSE(Data_85_15!$B24:$AY24))%,"")</f>
        <v>-5.3111976047904186E-2</v>
      </c>
      <c r="W132" s="141">
        <f t="array" ref="W132">IF(AND($B132&gt;=$E$4,$B132&lt;=$E$5),SUMPRODUCT(W$45:W$94,TRANSPOSE(Data_85_15!$B24:$AY24))%,"")</f>
        <v>-1.7789580838323354E-2</v>
      </c>
      <c r="X132" s="141">
        <f t="array" ref="X132">IF(AND($B132&gt;=$E$4,$B132&lt;=$E$5),SUMPRODUCT(X$45:X$94,TRANSPOSE(Data_85_15!$B24:$AY24))%,"")</f>
        <v>-1.9077990838323355E-2</v>
      </c>
      <c r="Y132" s="141">
        <f t="array" ref="Y132">IF(AND($B132&gt;=$E$4,$B132&lt;=$E$5),SUMPRODUCT(Y$45:Y$94,TRANSPOSE(Data_85_15!$B24:$AY24))%,"")</f>
        <v>-5.5842636558883704E-3</v>
      </c>
      <c r="Z132" s="141">
        <f t="array" ref="Z132">IF(AND($B132&gt;=$E$4,$B132&lt;=$E$5),SUMPRODUCT(Z$45:Z$94,TRANSPOSE(Data_85_15!$B24:$AY24))%,"")</f>
        <v>1.6962838323353296E-2</v>
      </c>
      <c r="AA132" s="141">
        <f t="array" ref="AA132">IF(AND($B132&gt;=$E$4,$B132&lt;=$E$5),SUMPRODUCT(AA$45:AA$94,TRANSPOSE(Data_85_15!$B24:$AY24))%,"")</f>
        <v>6.9413233532934132E-2</v>
      </c>
    </row>
    <row r="133" spans="2:27">
      <c r="B133" s="142">
        <f t="shared" si="11"/>
        <v>2002</v>
      </c>
      <c r="C133" s="141">
        <f t="array" ref="C133">IF(AND($B133&gt;=$E$4,$B133&lt;=$E$5),SUMPRODUCT(C$45:C$94,TRANSPOSE(Data_85_15!$B25:$AY25))%,"")</f>
        <v>-6.9000000000000006E-2</v>
      </c>
      <c r="D133" s="141">
        <f t="array" ref="D133">IF(AND($B133&gt;=$E$4,$B133&lt;=$E$5),SUMPRODUCT(D$45:D$94,TRANSPOSE(Data_85_15!$B25:$AY25))%,"")</f>
        <v>4.6399999999999997E-2</v>
      </c>
      <c r="E133" s="141">
        <f t="array" ref="E133">IF(AND($B133&gt;=$E$4,$B133&lt;=$E$5),SUMPRODUCT(E$45:E$94,TRANSPOSE(Data_85_15!$B25:$AY25))%,"")</f>
        <v>-0.15115999999999999</v>
      </c>
      <c r="F133" s="141">
        <f t="array" ref="F133">IF(AND($B133&gt;=$E$4,$B133&lt;=$E$5),SUMPRODUCT(F$45:F$94,TRANSPOSE(Data_85_15!$B25:$AY25))%,"")</f>
        <v>-0.13352</v>
      </c>
      <c r="G133" s="141">
        <f t="array" ref="G133">IF(AND($B133&gt;=$E$4,$B133&lt;=$E$5),SUMPRODUCT(G$45:G$94,TRANSPOSE(Data_85_15!$B25:$AY25))%,"")</f>
        <v>-0.12517</v>
      </c>
      <c r="H133" s="141">
        <f t="array" ref="H133">IF(AND($B133&gt;=$E$4,$B133&lt;=$E$5),SUMPRODUCT(H$45:H$94,TRANSPOSE(Data_85_15!$B25:$AY25))%,"")</f>
        <v>-0.11727999999999998</v>
      </c>
      <c r="I133" s="141">
        <f t="array" ref="I133">IF(AND($B133&gt;=$E$4,$B133&lt;=$E$5),SUMPRODUCT(I$45:I$94,TRANSPOSE(Data_85_15!$B25:$AY25))%,"")</f>
        <v>-7.1155000000000024E-2</v>
      </c>
      <c r="J133" s="141">
        <f t="array" ref="J133">IF(AND($B133&gt;=$E$4,$B133&lt;=$E$5),SUMPRODUCT(J$45:J$94,TRANSPOSE(Data_85_15!$B25:$AY25))%,"")</f>
        <v>-0.13025000000000003</v>
      </c>
      <c r="K133" s="141">
        <f t="array" ref="K133">IF(AND($B133&gt;=$E$4,$B133&lt;=$E$5),SUMPRODUCT(K$45:K$94,TRANSPOSE(Data_85_15!$B25:$AY25))%,"")</f>
        <v>-7.1155000000000024E-2</v>
      </c>
      <c r="L133" s="141">
        <f t="array" ref="L133">IF(AND($B133&gt;=$E$4,$B133&lt;=$E$5),SUMPRODUCT(L$45:L$94,TRANSPOSE(Data_85_15!$B25:$AY25))%,"")</f>
        <v>-0.12193999999999999</v>
      </c>
      <c r="M133" s="141">
        <f t="array" ref="M133">IF(AND($B133&gt;=$E$4,$B133&lt;=$E$5),SUMPRODUCT(M$45:M$94,TRANSPOSE(Data_85_15!$B25:$AY25))%,"")</f>
        <v>-6.4504999999999993E-2</v>
      </c>
      <c r="N133" s="141">
        <f t="array" ref="N133">IF(AND($B133&gt;=$E$4,$B133&lt;=$E$5),SUMPRODUCT(N$45:N$94,TRANSPOSE(Data_85_15!$B25:$AY25))%,"")</f>
        <v>-5.5570000000000001E-2</v>
      </c>
      <c r="O133" s="141">
        <f t="array" ref="O133">IF(AND($B133&gt;=$E$4,$B133&lt;=$E$5),SUMPRODUCT(O$45:O$94,TRANSPOSE(Data_85_15!$B25:$AY25))%,"")</f>
        <v>-1.6449999999999999E-2</v>
      </c>
      <c r="P133" s="141">
        <f t="array" ref="P133">IF(AND($B133&gt;=$E$4,$B133&lt;=$E$5),SUMPRODUCT(P$45:P$94,TRANSPOSE(Data_85_15!$B25:$AY25))%,"")</f>
        <v>-4.5579999999999996E-2</v>
      </c>
      <c r="Q133" s="141">
        <f t="array" ref="Q133">IF(AND($B133&gt;=$E$4,$B133&lt;=$E$5),SUMPRODUCT(Q$45:Q$94,TRANSPOSE(Data_85_15!$B25:$AY25))%,"")</f>
        <v>-3.2604999999999988E-2</v>
      </c>
      <c r="R133" s="141">
        <f t="array" ref="R133">IF(AND($B133&gt;=$E$4,$B133&lt;=$E$5),SUMPRODUCT(R$45:R$94,TRANSPOSE(Data_85_15!$B25:$AY25))%,"")</f>
        <v>-0.15439000000000003</v>
      </c>
      <c r="S133" s="141">
        <f t="array" ref="S133">IF(AND($B133&gt;=$E$4,$B133&lt;=$E$5),SUMPRODUCT(S$45:S$94,TRANSPOSE(Data_85_15!$B25:$AY25))%,"")</f>
        <v>-7.5639750000000006E-2</v>
      </c>
      <c r="T133" s="141">
        <f t="array" ref="T133">IF(AND($B133&gt;=$E$4,$B133&lt;=$E$5),SUMPRODUCT(T$45:T$94,TRANSPOSE(Data_85_15!$B25:$AY25))%,"")</f>
        <v>-2.1750000000000005E-2</v>
      </c>
      <c r="U133" s="141">
        <f t="array" ref="U133">IF(AND($B133&gt;=$E$4,$B133&lt;=$E$5),SUMPRODUCT(U$45:U$94,TRANSPOSE(Data_85_15!$B25:$AY25))%,"")</f>
        <v>-6.6215000000000024E-2</v>
      </c>
      <c r="V133" s="141">
        <f t="array" ref="V133">IF(AND($B133&gt;=$E$4,$B133&lt;=$E$5),SUMPRODUCT(V$45:V$94,TRANSPOSE(Data_85_15!$B25:$AY25))%,"")</f>
        <v>4.7499999999999964E-3</v>
      </c>
      <c r="W133" s="141">
        <f t="array" ref="W133">IF(AND($B133&gt;=$E$4,$B133&lt;=$E$5),SUMPRODUCT(W$45:W$94,TRANSPOSE(Data_85_15!$B25:$AY25))%,"")</f>
        <v>1.1299999999999999E-2</v>
      </c>
      <c r="X133" s="141">
        <f t="array" ref="X133">IF(AND($B133&gt;=$E$4,$B133&lt;=$E$5),SUMPRODUCT(X$45:X$94,TRANSPOSE(Data_85_15!$B25:$AY25))%,"")</f>
        <v>8.3590199999999896E-3</v>
      </c>
      <c r="Y133" s="141">
        <f t="array" ref="Y133">IF(AND($B133&gt;=$E$4,$B133&lt;=$E$5),SUMPRODUCT(Y$45:Y$94,TRANSPOSE(Data_85_15!$B25:$AY25))%,"")</f>
        <v>5.5440906113576389E-2</v>
      </c>
      <c r="Z133" s="141">
        <f t="array" ref="Z133">IF(AND($B133&gt;=$E$4,$B133&lt;=$E$5),SUMPRODUCT(Z$45:Z$94,TRANSPOSE(Data_85_15!$B25:$AY25))%,"")</f>
        <v>-3.2577999999999996E-2</v>
      </c>
      <c r="AA133" s="141">
        <f t="array" ref="AA133">IF(AND($B133&gt;=$E$4,$B133&lt;=$E$5),SUMPRODUCT(AA$45:AA$94,TRANSPOSE(Data_85_15!$B25:$AY25))%,"")</f>
        <v>5.3759999999999995E-2</v>
      </c>
    </row>
    <row r="134" spans="2:27">
      <c r="B134" s="142">
        <f t="shared" si="11"/>
        <v>2003</v>
      </c>
      <c r="C134" s="141">
        <f t="array" ref="C134">IF(AND($B134&gt;=$E$4,$B134&lt;=$E$5),SUMPRODUCT(C$45:C$94,TRANSPOSE(Data_85_15!$B26:$AY26))%,"")</f>
        <v>0.20749999999999999</v>
      </c>
      <c r="D134" s="141">
        <f t="array" ref="D134">IF(AND($B134&gt;=$E$4,$B134&lt;=$E$5),SUMPRODUCT(D$45:D$94,TRANSPOSE(Data_85_15!$B26:$AY26))%,"")</f>
        <v>9.6600000000000005E-2</v>
      </c>
      <c r="E134" s="141">
        <f t="array" ref="E134">IF(AND($B134&gt;=$E$4,$B134&lt;=$E$5),SUMPRODUCT(E$45:E$94,TRANSPOSE(Data_85_15!$B26:$AY26))%,"")</f>
        <v>0.25874000000000003</v>
      </c>
      <c r="F134" s="141">
        <f t="array" ref="F134">IF(AND($B134&gt;=$E$4,$B134&lt;=$E$5),SUMPRODUCT(F$45:F$94,TRANSPOSE(Data_85_15!$B26:$AY26))%,"")</f>
        <v>0.28571000000000002</v>
      </c>
      <c r="G134" s="141">
        <f t="array" ref="G134">IF(AND($B134&gt;=$E$4,$B134&lt;=$E$5),SUMPRODUCT(G$45:G$94,TRANSPOSE(Data_85_15!$B26:$AY26))%,"")</f>
        <v>0.28974</v>
      </c>
      <c r="H134" s="141">
        <f t="array" ref="H134">IF(AND($B134&gt;=$E$4,$B134&lt;=$E$5),SUMPRODUCT(H$45:H$94,TRANSPOSE(Data_85_15!$B26:$AY26))%,"")</f>
        <v>0.28375600000000001</v>
      </c>
      <c r="I134" s="141">
        <f t="array" ref="I134">IF(AND($B134&gt;=$E$4,$B134&lt;=$E$5),SUMPRODUCT(I$45:I$94,TRANSPOSE(Data_85_15!$B26:$AY26))%,"")</f>
        <v>0.24129</v>
      </c>
      <c r="J134" s="141">
        <f t="array" ref="J134">IF(AND($B134&gt;=$E$4,$B134&lt;=$E$5),SUMPRODUCT(J$45:J$94,TRANSPOSE(Data_85_15!$B26:$AY26))%,"")</f>
        <v>0.28802499999999998</v>
      </c>
      <c r="K134" s="141">
        <f t="array" ref="K134">IF(AND($B134&gt;=$E$4,$B134&lt;=$E$5),SUMPRODUCT(K$45:K$94,TRANSPOSE(Data_85_15!$B26:$AY26))%,"")</f>
        <v>0.24129</v>
      </c>
      <c r="L134" s="141">
        <f t="array" ref="L134">IF(AND($B134&gt;=$E$4,$B134&lt;=$E$5),SUMPRODUCT(L$45:L$94,TRANSPOSE(Data_85_15!$B26:$AY26))%,"")</f>
        <v>0.23135999999999998</v>
      </c>
      <c r="M134" s="141">
        <f t="array" ref="M134">IF(AND($B134&gt;=$E$4,$B134&lt;=$E$5),SUMPRODUCT(M$45:M$94,TRANSPOSE(Data_85_15!$B26:$AY26))%,"")</f>
        <v>0.29980000000000001</v>
      </c>
      <c r="N134" s="141">
        <f t="array" ref="N134">IF(AND($B134&gt;=$E$4,$B134&lt;=$E$5),SUMPRODUCT(N$45:N$94,TRANSPOSE(Data_85_15!$B26:$AY26))%,"")</f>
        <v>0.23544000000000004</v>
      </c>
      <c r="O134" s="141">
        <f t="array" ref="O134">IF(AND($B134&gt;=$E$4,$B134&lt;=$E$5),SUMPRODUCT(O$45:O$94,TRANSPOSE(Data_85_15!$B26:$AY26))%,"")</f>
        <v>0.29358399999999996</v>
      </c>
      <c r="P134" s="141">
        <f t="array" ref="P134">IF(AND($B134&gt;=$E$4,$B134&lt;=$E$5),SUMPRODUCT(P$45:P$94,TRANSPOSE(Data_85_15!$B26:$AY26))%,"")</f>
        <v>0.26774999999999999</v>
      </c>
      <c r="Q134" s="141">
        <f t="array" ref="Q134">IF(AND($B134&gt;=$E$4,$B134&lt;=$E$5),SUMPRODUCT(Q$45:Q$94,TRANSPOSE(Data_85_15!$B26:$AY26))%,"")</f>
        <v>0.26819999999999999</v>
      </c>
      <c r="R134" s="141">
        <f t="array" ref="R134">IF(AND($B134&gt;=$E$4,$B134&lt;=$E$5),SUMPRODUCT(R$45:R$94,TRANSPOSE(Data_85_15!$B26:$AY26))%,"")</f>
        <v>0.31712000000000001</v>
      </c>
      <c r="S134" s="141">
        <f t="array" ref="S134">IF(AND($B134&gt;=$E$4,$B134&lt;=$E$5),SUMPRODUCT(S$45:S$94,TRANSPOSE(Data_85_15!$B26:$AY26))%,"")</f>
        <v>0.26955849999999998</v>
      </c>
      <c r="T134" s="141">
        <f t="array" ref="T134">IF(AND($B134&gt;=$E$4,$B134&lt;=$E$5),SUMPRODUCT(T$45:T$94,TRANSPOSE(Data_85_15!$B26:$AY26))%,"")</f>
        <v>0.19675000000000001</v>
      </c>
      <c r="U134" s="141">
        <f t="array" ref="U134">IF(AND($B134&gt;=$E$4,$B134&lt;=$E$5),SUMPRODUCT(U$45:U$94,TRANSPOSE(Data_85_15!$B26:$AY26))%,"")</f>
        <v>0.26611200000000002</v>
      </c>
      <c r="V134" s="141">
        <f t="array" ref="V134">IF(AND($B134&gt;=$E$4,$B134&lt;=$E$5),SUMPRODUCT(V$45:V$94,TRANSPOSE(Data_85_15!$B26:$AY26))%,"")</f>
        <v>0.2407</v>
      </c>
      <c r="W134" s="141">
        <f t="array" ref="W134">IF(AND($B134&gt;=$E$4,$B134&lt;=$E$5),SUMPRODUCT(W$45:W$94,TRANSPOSE(Data_85_15!$B26:$AY26))%,"")</f>
        <v>0.26386000000000004</v>
      </c>
      <c r="X134" s="141">
        <f t="array" ref="X134">IF(AND($B134&gt;=$E$4,$B134&lt;=$E$5),SUMPRODUCT(X$45:X$94,TRANSPOSE(Data_85_15!$B26:$AY26))%,"")</f>
        <v>0.27613752999999996</v>
      </c>
      <c r="Y134" s="141">
        <f t="array" ref="Y134">IF(AND($B134&gt;=$E$4,$B134&lt;=$E$5),SUMPRODUCT(Y$45:Y$94,TRANSPOSE(Data_85_15!$B26:$AY26))%,"")</f>
        <v>0.13493290432739091</v>
      </c>
      <c r="Z134" s="141">
        <f t="array" ref="Z134">IF(AND($B134&gt;=$E$4,$B134&lt;=$E$5),SUMPRODUCT(Z$45:Z$94,TRANSPOSE(Data_85_15!$B26:$AY26))%,"")</f>
        <v>0.273009</v>
      </c>
      <c r="AA134" s="141">
        <f t="array" ref="AA134">IF(AND($B134&gt;=$E$4,$B134&lt;=$E$5),SUMPRODUCT(AA$45:AA$94,TRANSPOSE(Data_85_15!$B26:$AY26))%,"")</f>
        <v>0.17858999999999997</v>
      </c>
    </row>
    <row r="135" spans="2:27">
      <c r="B135" s="142">
        <f t="shared" si="11"/>
        <v>2004</v>
      </c>
      <c r="C135" s="141">
        <f t="array" ref="C135">IF(AND($B135&gt;=$E$4,$B135&lt;=$E$5),SUMPRODUCT(C$45:C$94,TRANSPOSE(Data_85_15!$B27:$AY27))%,"")</f>
        <v>0.11169999999999999</v>
      </c>
      <c r="D135" s="141">
        <f t="array" ref="D135">IF(AND($B135&gt;=$E$4,$B135&lt;=$E$5),SUMPRODUCT(D$45:D$94,TRANSPOSE(Data_85_15!$B27:$AY27))%,"")</f>
        <v>7.5700000000000003E-2</v>
      </c>
      <c r="E135" s="141">
        <f t="array" ref="E135">IF(AND($B135&gt;=$E$4,$B135&lt;=$E$5),SUMPRODUCT(E$45:E$94,TRANSPOSE(Data_85_15!$B27:$AY27))%,"")</f>
        <v>0.10864000000000001</v>
      </c>
      <c r="F135" s="141">
        <f t="array" ref="F135">IF(AND($B135&gt;=$E$4,$B135&lt;=$E$5),SUMPRODUCT(F$45:F$94,TRANSPOSE(Data_85_15!$B27:$AY27))%,"")</f>
        <v>0.13360000000000002</v>
      </c>
      <c r="G135" s="141">
        <f t="array" ref="G135">IF(AND($B135&gt;=$E$4,$B135&lt;=$E$5),SUMPRODUCT(G$45:G$94,TRANSPOSE(Data_85_15!$B27:$AY27))%,"")</f>
        <v>0.13763</v>
      </c>
      <c r="H135" s="141">
        <f t="array" ref="H135">IF(AND($B135&gt;=$E$4,$B135&lt;=$E$5),SUMPRODUCT(H$45:H$94,TRANSPOSE(Data_85_15!$B27:$AY27))%,"")</f>
        <v>0.14319999999999999</v>
      </c>
      <c r="I135" s="141">
        <f t="array" ref="I135">IF(AND($B135&gt;=$E$4,$B135&lt;=$E$5),SUMPRODUCT(I$45:I$94,TRANSPOSE(Data_85_15!$B27:$AY27))%,"")</f>
        <v>0.124295</v>
      </c>
      <c r="J135" s="141">
        <f t="array" ref="J135">IF(AND($B135&gt;=$E$4,$B135&lt;=$E$5),SUMPRODUCT(J$45:J$94,TRANSPOSE(Data_85_15!$B27:$AY27))%,"")</f>
        <v>0.131325</v>
      </c>
      <c r="K135" s="141">
        <f t="array" ref="K135">IF(AND($B135&gt;=$E$4,$B135&lt;=$E$5),SUMPRODUCT(K$45:K$94,TRANSPOSE(Data_85_15!$B27:$AY27))%,"")</f>
        <v>0.124295</v>
      </c>
      <c r="L135" s="141">
        <f t="array" ref="L135">IF(AND($B135&gt;=$E$4,$B135&lt;=$E$5),SUMPRODUCT(L$45:L$94,TRANSPOSE(Data_85_15!$B27:$AY27))%,"")</f>
        <v>0.10035999999999999</v>
      </c>
      <c r="M135" s="141">
        <f t="array" ref="M135">IF(AND($B135&gt;=$E$4,$B135&lt;=$E$5),SUMPRODUCT(M$45:M$94,TRANSPOSE(Data_85_15!$B27:$AY27))%,"")</f>
        <v>0.14946500000000001</v>
      </c>
      <c r="N135" s="141">
        <f t="array" ref="N135">IF(AND($B135&gt;=$E$4,$B135&lt;=$E$5),SUMPRODUCT(N$45:N$94,TRANSPOSE(Data_85_15!$B27:$AY27))%,"")</f>
        <v>0.13804</v>
      </c>
      <c r="O135" s="141">
        <f t="array" ref="O135">IF(AND($B135&gt;=$E$4,$B135&lt;=$E$5),SUMPRODUCT(O$45:O$94,TRANSPOSE(Data_85_15!$B27:$AY27))%,"")</f>
        <v>0.15273600000000001</v>
      </c>
      <c r="P135" s="141">
        <f t="array" ref="P135">IF(AND($B135&gt;=$E$4,$B135&lt;=$E$5),SUMPRODUCT(P$45:P$94,TRANSPOSE(Data_85_15!$B27:$AY27))%,"")</f>
        <v>0.15646500000000002</v>
      </c>
      <c r="Q135" s="141">
        <f t="array" ref="Q135">IF(AND($B135&gt;=$E$4,$B135&lt;=$E$5),SUMPRODUCT(Q$45:Q$94,TRANSPOSE(Data_85_15!$B27:$AY27))%,"")</f>
        <v>0.1656</v>
      </c>
      <c r="R135" s="141">
        <f t="array" ref="R135">IF(AND($B135&gt;=$E$4,$B135&lt;=$E$5),SUMPRODUCT(R$45:R$94,TRANSPOSE(Data_85_15!$B27:$AY27))%,"")</f>
        <v>0.14590999999999998</v>
      </c>
      <c r="S135" s="141">
        <f t="array" ref="S135">IF(AND($B135&gt;=$E$4,$B135&lt;=$E$5),SUMPRODUCT(S$45:S$94,TRANSPOSE(Data_85_15!$B27:$AY27))%,"")</f>
        <v>0.144979</v>
      </c>
      <c r="T135" s="141">
        <f t="array" ref="T135">IF(AND($B135&gt;=$E$4,$B135&lt;=$E$5),SUMPRODUCT(T$45:T$94,TRANSPOSE(Data_85_15!$B27:$AY27))%,"")</f>
        <v>0.10395</v>
      </c>
      <c r="U135" s="141">
        <f t="array" ref="U135">IF(AND($B135&gt;=$E$4,$B135&lt;=$E$5),SUMPRODUCT(U$45:U$94,TRANSPOSE(Data_85_15!$B27:$AY27))%,"")</f>
        <v>0.138631</v>
      </c>
      <c r="V135" s="141">
        <f t="array" ref="V135">IF(AND($B135&gt;=$E$4,$B135&lt;=$E$5),SUMPRODUCT(V$45:V$94,TRANSPOSE(Data_85_15!$B27:$AY27))%,"")</f>
        <v>0.13297499999999998</v>
      </c>
      <c r="W135" s="141">
        <f t="array" ref="W135">IF(AND($B135&gt;=$E$4,$B135&lt;=$E$5),SUMPRODUCT(W$45:W$94,TRANSPOSE(Data_85_15!$B27:$AY27))%,"")</f>
        <v>0.16790000000000002</v>
      </c>
      <c r="X135" s="141">
        <f t="array" ref="X135">IF(AND($B135&gt;=$E$4,$B135&lt;=$E$5),SUMPRODUCT(X$45:X$94,TRANSPOSE(Data_85_15!$B27:$AY27))%,"")</f>
        <v>0.20093212000000002</v>
      </c>
      <c r="Y135" s="141">
        <f t="array" ref="Y135">IF(AND($B135&gt;=$E$4,$B135&lt;=$E$5),SUMPRODUCT(Y$45:Y$94,TRANSPOSE(Data_85_15!$B27:$AY27))%,"")</f>
        <v>6.2806828315875585E-2</v>
      </c>
      <c r="Z135" s="141">
        <f t="array" ref="Z135">IF(AND($B135&gt;=$E$4,$B135&lt;=$E$5),SUMPRODUCT(Z$45:Z$94,TRANSPOSE(Data_85_15!$B27:$AY27))%,"")</f>
        <v>0.153359</v>
      </c>
      <c r="AA135" s="141">
        <f t="array" ref="AA135">IF(AND($B135&gt;=$E$4,$B135&lt;=$E$5),SUMPRODUCT(AA$45:AA$94,TRANSPOSE(Data_85_15!$B27:$AY27))%,"")</f>
        <v>0.10705499999999998</v>
      </c>
    </row>
    <row r="136" spans="2:27">
      <c r="B136" s="142">
        <f t="shared" si="11"/>
        <v>2005</v>
      </c>
      <c r="C136" s="141">
        <f t="array" ref="C136">IF(AND($B136&gt;=$E$4,$B136&lt;=$E$5),SUMPRODUCT(C$45:C$94,TRANSPOSE(Data_85_15!$B28:$AY28))%,"")</f>
        <v>6.8199999999999997E-2</v>
      </c>
      <c r="D136" s="141">
        <f t="array" ref="D136">IF(AND($B136&gt;=$E$4,$B136&lt;=$E$5),SUMPRODUCT(D$45:D$94,TRANSPOSE(Data_85_15!$B28:$AY28))%,"")</f>
        <v>3.4799999999999998E-2</v>
      </c>
      <c r="E136" s="141">
        <f t="array" ref="E136">IF(AND($B136&gt;=$E$4,$B136&lt;=$E$5),SUMPRODUCT(E$45:E$94,TRANSPOSE(Data_85_15!$B28:$AY28))%,"")</f>
        <v>5.2640000000000013E-2</v>
      </c>
      <c r="F136" s="141">
        <f t="array" ref="F136">IF(AND($B136&gt;=$E$4,$B136&lt;=$E$5),SUMPRODUCT(F$45:F$94,TRANSPOSE(Data_85_15!$B28:$AY28))%,"")</f>
        <v>8.1409999999999996E-2</v>
      </c>
      <c r="G136" s="141">
        <f t="array" ref="G136">IF(AND($B136&gt;=$E$4,$B136&lt;=$E$5),SUMPRODUCT(G$45:G$94,TRANSPOSE(Data_85_15!$B28:$AY28))%,"")</f>
        <v>8.1600000000000006E-2</v>
      </c>
      <c r="H136" s="141">
        <f t="array" ref="H136">IF(AND($B136&gt;=$E$4,$B136&lt;=$E$5),SUMPRODUCT(H$45:H$94,TRANSPOSE(Data_85_15!$B28:$AY28))%,"")</f>
        <v>8.0384000000000011E-2</v>
      </c>
      <c r="I136" s="141">
        <f t="array" ref="I136">IF(AND($B136&gt;=$E$4,$B136&lt;=$E$5),SUMPRODUCT(I$45:I$94,TRANSPOSE(Data_85_15!$B28:$AY28))%,"")</f>
        <v>7.2505E-2</v>
      </c>
      <c r="J136" s="141">
        <f t="array" ref="J136">IF(AND($B136&gt;=$E$4,$B136&lt;=$E$5),SUMPRODUCT(J$45:J$94,TRANSPOSE(Data_85_15!$B28:$AY28))%,"")</f>
        <v>5.79E-2</v>
      </c>
      <c r="K136" s="141">
        <f t="array" ref="K136">IF(AND($B136&gt;=$E$4,$B136&lt;=$E$5),SUMPRODUCT(K$45:K$94,TRANSPOSE(Data_85_15!$B28:$AY28))%,"")</f>
        <v>7.2505E-2</v>
      </c>
      <c r="L136" s="141">
        <f t="array" ref="L136">IF(AND($B136&gt;=$E$4,$B136&lt;=$E$5),SUMPRODUCT(L$45:L$94,TRANSPOSE(Data_85_15!$B28:$AY28))%,"")</f>
        <v>4.9059999999999999E-2</v>
      </c>
      <c r="M136" s="141">
        <f t="array" ref="M136">IF(AND($B136&gt;=$E$4,$B136&lt;=$E$5),SUMPRODUCT(M$45:M$94,TRANSPOSE(Data_85_15!$B28:$AY28))%,"")</f>
        <v>0.110235</v>
      </c>
      <c r="N136" s="141">
        <f t="array" ref="N136">IF(AND($B136&gt;=$E$4,$B136&lt;=$E$5),SUMPRODUCT(N$45:N$94,TRANSPOSE(Data_85_15!$B28:$AY28))%,"")</f>
        <v>6.2350000000000003E-2</v>
      </c>
      <c r="O136" s="141">
        <f t="array" ref="O136">IF(AND($B136&gt;=$E$4,$B136&lt;=$E$5),SUMPRODUCT(O$45:O$94,TRANSPOSE(Data_85_15!$B28:$AY28))%,"")</f>
        <v>9.1929999999999998E-2</v>
      </c>
      <c r="P136" s="141">
        <f t="array" ref="P136">IF(AND($B136&gt;=$E$4,$B136&lt;=$E$5),SUMPRODUCT(P$45:P$94,TRANSPOSE(Data_85_15!$B28:$AY28))%,"")</f>
        <v>8.468500000000001E-2</v>
      </c>
      <c r="Q136" s="141">
        <f t="array" ref="Q136">IF(AND($B136&gt;=$E$4,$B136&lt;=$E$5),SUMPRODUCT(Q$45:Q$94,TRANSPOSE(Data_85_15!$B28:$AY28))%,"")</f>
        <v>9.1945000000000013E-2</v>
      </c>
      <c r="R136" s="141">
        <f t="array" ref="R136">IF(AND($B136&gt;=$E$4,$B136&lt;=$E$5),SUMPRODUCT(R$45:R$94,TRANSPOSE(Data_85_15!$B28:$AY28))%,"")</f>
        <v>8.5180000000000006E-2</v>
      </c>
      <c r="S136" s="141">
        <f t="array" ref="S136">IF(AND($B136&gt;=$E$4,$B136&lt;=$E$5),SUMPRODUCT(S$45:S$94,TRANSPOSE(Data_85_15!$B28:$AY28))%,"")</f>
        <v>8.3643250000000002E-2</v>
      </c>
      <c r="T136" s="141">
        <f t="array" ref="T136">IF(AND($B136&gt;=$E$4,$B136&lt;=$E$5),SUMPRODUCT(T$45:T$94,TRANSPOSE(Data_85_15!$B28:$AY28))%,"")</f>
        <v>4.2849999999999999E-2</v>
      </c>
      <c r="U136" s="141">
        <f t="array" ref="U136">IF(AND($B136&gt;=$E$4,$B136&lt;=$E$5),SUMPRODUCT(U$45:U$94,TRANSPOSE(Data_85_15!$B28:$AY28))%,"")</f>
        <v>8.0259999999999998E-2</v>
      </c>
      <c r="V136" s="141">
        <f t="array" ref="V136">IF(AND($B136&gt;=$E$4,$B136&lt;=$E$5),SUMPRODUCT(V$45:V$94,TRANSPOSE(Data_85_15!$B28:$AY28))%,"")</f>
        <v>4.4450000000000003E-2</v>
      </c>
      <c r="W136" s="141">
        <f t="array" ref="W136">IF(AND($B136&gt;=$E$4,$B136&lt;=$E$5),SUMPRODUCT(W$45:W$94,TRANSPOSE(Data_85_15!$B28:$AY28))%,"")</f>
        <v>5.9340000000000004E-2</v>
      </c>
      <c r="X136" s="141">
        <f t="array" ref="X136">IF(AND($B136&gt;=$E$4,$B136&lt;=$E$5),SUMPRODUCT(X$45:X$94,TRANSPOSE(Data_85_15!$B28:$AY28))%,"")</f>
        <v>0.1237398</v>
      </c>
      <c r="Y136" s="141">
        <f t="array" ref="Y136">IF(AND($B136&gt;=$E$4,$B136&lt;=$E$5),SUMPRODUCT(Y$45:Y$94,TRANSPOSE(Data_85_15!$B28:$AY28))%,"")</f>
        <v>8.3499999999999991E-2</v>
      </c>
      <c r="Z136" s="141">
        <f t="array" ref="Z136">IF(AND($B136&gt;=$E$4,$B136&lt;=$E$5),SUMPRODUCT(Z$45:Z$94,TRANSPOSE(Data_85_15!$B28:$AY28))%,"")</f>
        <v>7.5835999999999987E-2</v>
      </c>
      <c r="AA136" s="141">
        <f t="array" ref="AA136">IF(AND($B136&gt;=$E$4,$B136&lt;=$E$5),SUMPRODUCT(AA$45:AA$94,TRANSPOSE(Data_85_15!$B28:$AY28))%,"")</f>
        <v>7.2440000000000004E-2</v>
      </c>
    </row>
    <row r="137" spans="2:27">
      <c r="B137" s="142">
        <f t="shared" si="11"/>
        <v>2006</v>
      </c>
      <c r="C137" s="141">
        <f t="array" ref="C137">IF(AND($B137&gt;=$E$4,$B137&lt;=$E$5),SUMPRODUCT(C$45:C$94,TRANSPOSE(Data_85_15!$B29:$AY29))%,"")</f>
        <v>0.1497</v>
      </c>
      <c r="D137" s="141">
        <f t="array" ref="D137">IF(AND($B137&gt;=$E$4,$B137&lt;=$E$5),SUMPRODUCT(D$45:D$94,TRANSPOSE(Data_85_15!$B29:$AY29))%,"")</f>
        <v>0.1128</v>
      </c>
      <c r="E137" s="141">
        <f t="array" ref="E137">IF(AND($B137&gt;=$E$4,$B137&lt;=$E$5),SUMPRODUCT(E$45:E$94,TRANSPOSE(Data_85_15!$B29:$AY29))%,"")</f>
        <v>0.13262000000000002</v>
      </c>
      <c r="F137" s="141">
        <f t="array" ref="F137">IF(AND($B137&gt;=$E$4,$B137&lt;=$E$5),SUMPRODUCT(F$45:F$94,TRANSPOSE(Data_85_15!$B29:$AY29))%,"")</f>
        <v>0.16600999999999999</v>
      </c>
      <c r="G137" s="141">
        <f t="array" ref="G137">IF(AND($B137&gt;=$E$4,$B137&lt;=$E$5),SUMPRODUCT(G$45:G$94,TRANSPOSE(Data_85_15!$B29:$AY29))%,"")</f>
        <v>0.16216999999999998</v>
      </c>
      <c r="H137" s="141">
        <f t="array" ref="H137">IF(AND($B137&gt;=$E$4,$B137&lt;=$E$5),SUMPRODUCT(H$45:H$94,TRANSPOSE(Data_85_15!$B29:$AY29))%,"")</f>
        <v>0.17497999999999997</v>
      </c>
      <c r="I137" s="141">
        <f t="array" ref="I137">IF(AND($B137&gt;=$E$4,$B137&lt;=$E$5),SUMPRODUCT(I$45:I$94,TRANSPOSE(Data_85_15!$B29:$AY29))%,"")</f>
        <v>0.14737</v>
      </c>
      <c r="J137" s="141">
        <f t="array" ref="J137">IF(AND($B137&gt;=$E$4,$B137&lt;=$E$5),SUMPRODUCT(J$45:J$94,TRANSPOSE(Data_85_15!$B29:$AY29))%,"")</f>
        <v>0.17117499999999999</v>
      </c>
      <c r="K137" s="141">
        <f t="array" ref="K137">IF(AND($B137&gt;=$E$4,$B137&lt;=$E$5),SUMPRODUCT(K$45:K$94,TRANSPOSE(Data_85_15!$B29:$AY29))%,"")</f>
        <v>0.14737</v>
      </c>
      <c r="L137" s="141">
        <f t="array" ref="L137">IF(AND($B137&gt;=$E$4,$B137&lt;=$E$5),SUMPRODUCT(L$45:L$94,TRANSPOSE(Data_85_15!$B29:$AY29))%,"")</f>
        <v>0.12138</v>
      </c>
      <c r="M137" s="141">
        <f t="array" ref="M137">IF(AND($B137&gt;=$E$4,$B137&lt;=$E$5),SUMPRODUCT(M$45:M$94,TRANSPOSE(Data_85_15!$B29:$AY29))%,"")</f>
        <v>0.13166500000000003</v>
      </c>
      <c r="N137" s="141">
        <f t="array" ref="N137">IF(AND($B137&gt;=$E$4,$B137&lt;=$E$5),SUMPRODUCT(N$45:N$94,TRANSPOSE(Data_85_15!$B29:$AY29))%,"")</f>
        <v>0.15145999999999998</v>
      </c>
      <c r="O137" s="141">
        <f t="array" ref="O137">IF(AND($B137&gt;=$E$4,$B137&lt;=$E$5),SUMPRODUCT(O$45:O$94,TRANSPOSE(Data_85_15!$B29:$AY29))%,"")</f>
        <v>0.15952200000000002</v>
      </c>
      <c r="P137" s="141">
        <f t="array" ref="P137">IF(AND($B137&gt;=$E$4,$B137&lt;=$E$5),SUMPRODUCT(P$45:P$94,TRANSPOSE(Data_85_15!$B29:$AY29))%,"")</f>
        <v>0.17706999999999998</v>
      </c>
      <c r="Q137" s="141">
        <f t="array" ref="Q137">IF(AND($B137&gt;=$E$4,$B137&lt;=$E$5),SUMPRODUCT(Q$45:Q$94,TRANSPOSE(Data_85_15!$B29:$AY29))%,"")</f>
        <v>0.17402499999999996</v>
      </c>
      <c r="R137" s="141">
        <f t="array" ref="R137">IF(AND($B137&gt;=$E$4,$B137&lt;=$E$5),SUMPRODUCT(R$45:R$94,TRANSPOSE(Data_85_15!$B29:$AY29))%,"")</f>
        <v>0.17340999999999998</v>
      </c>
      <c r="S137" s="141">
        <f t="array" ref="S137">IF(AND($B137&gt;=$E$4,$B137&lt;=$E$5),SUMPRODUCT(S$45:S$94,TRANSPOSE(Data_85_15!$B29:$AY29))%,"")</f>
        <v>0.17747325</v>
      </c>
      <c r="T137" s="141">
        <f t="array" ref="T137">IF(AND($B137&gt;=$E$4,$B137&lt;=$E$5),SUMPRODUCT(T$45:T$94,TRANSPOSE(Data_85_15!$B29:$AY29))%,"")</f>
        <v>7.9699999999999993E-2</v>
      </c>
      <c r="U137" s="141">
        <f t="array" ref="U137">IF(AND($B137&gt;=$E$4,$B137&lt;=$E$5),SUMPRODUCT(U$45:U$94,TRANSPOSE(Data_85_15!$B29:$AY29))%,"")</f>
        <v>0.142065</v>
      </c>
      <c r="V137" s="141">
        <f t="array" ref="V137">IF(AND($B137&gt;=$E$4,$B137&lt;=$E$5),SUMPRODUCT(V$45:V$94,TRANSPOSE(Data_85_15!$B29:$AY29))%,"")</f>
        <v>0.121075</v>
      </c>
      <c r="W137" s="141">
        <f t="array" ref="W137">IF(AND($B137&gt;=$E$4,$B137&lt;=$E$5),SUMPRODUCT(W$45:W$94,TRANSPOSE(Data_85_15!$B29:$AY29))%,"")</f>
        <v>0.16699999999999998</v>
      </c>
      <c r="X137" s="141">
        <f t="array" ref="X137">IF(AND($B137&gt;=$E$4,$B137&lt;=$E$5),SUMPRODUCT(X$45:X$94,TRANSPOSE(Data_85_15!$B29:$AY29))%,"")</f>
        <v>0.17188007</v>
      </c>
      <c r="Y137" s="141">
        <f t="array" ref="Y137">IF(AND($B137&gt;=$E$4,$B137&lt;=$E$5),SUMPRODUCT(Y$45:Y$94,TRANSPOSE(Data_85_15!$B29:$AY29))%,"")</f>
        <v>0.10992499999999999</v>
      </c>
      <c r="Z137" s="141">
        <f t="array" ref="Z137">IF(AND($B137&gt;=$E$4,$B137&lt;=$E$5),SUMPRODUCT(Z$45:Z$94,TRANSPOSE(Data_85_15!$B29:$AY29))%,"")</f>
        <v>0.13147399999999998</v>
      </c>
      <c r="AA137" s="141">
        <f t="array" ref="AA137">IF(AND($B137&gt;=$E$4,$B137&lt;=$E$5),SUMPRODUCT(AA$45:AA$94,TRANSPOSE(Data_85_15!$B29:$AY29))%,"")</f>
        <v>8.7645000000000001E-2</v>
      </c>
    </row>
    <row r="138" spans="2:27">
      <c r="B138" s="142">
        <f t="shared" si="11"/>
        <v>2007</v>
      </c>
      <c r="C138" s="141">
        <f t="array" ref="C138">IF(AND($B138&gt;=$E$4,$B138&lt;=$E$5),SUMPRODUCT(C$45:C$94,TRANSPOSE(Data_85_15!$B30:$AY30))%,"")</f>
        <v>8.3400000000000002E-2</v>
      </c>
      <c r="D138" s="141">
        <f t="array" ref="D138">IF(AND($B138&gt;=$E$4,$B138&lt;=$E$5),SUMPRODUCT(D$45:D$94,TRANSPOSE(Data_85_15!$B30:$AY30))%,"")</f>
        <v>5.6100000000000004E-2</v>
      </c>
      <c r="E138" s="141">
        <f t="array" ref="E138">IF(AND($B138&gt;=$E$4,$B138&lt;=$E$5),SUMPRODUCT(E$45:E$94,TRANSPOSE(Data_85_15!$B30:$AY30))%,"")</f>
        <v>5.7760000000000006E-2</v>
      </c>
      <c r="F138" s="141">
        <f t="array" ref="F138">IF(AND($B138&gt;=$E$4,$B138&lt;=$E$5),SUMPRODUCT(F$45:F$94,TRANSPOSE(Data_85_15!$B30:$AY30))%,"")</f>
        <v>8.7849999999999998E-2</v>
      </c>
      <c r="G138" s="141">
        <f t="array" ref="G138">IF(AND($B138&gt;=$E$4,$B138&lt;=$E$5),SUMPRODUCT(G$45:G$94,TRANSPOSE(Data_85_15!$B30:$AY30))%,"")</f>
        <v>9.2520000000000005E-2</v>
      </c>
      <c r="H138" s="141">
        <f t="array" ref="H138">IF(AND($B138&gt;=$E$4,$B138&lt;=$E$5),SUMPRODUCT(H$45:H$94,TRANSPOSE(Data_85_15!$B30:$AY30))%,"")</f>
        <v>6.4271999999999996E-2</v>
      </c>
      <c r="I138" s="141">
        <f t="array" ref="I138">IF(AND($B138&gt;=$E$4,$B138&lt;=$E$5),SUMPRODUCT(I$45:I$94,TRANSPOSE(Data_85_15!$B30:$AY30))%,"")</f>
        <v>4.5795000000000002E-2</v>
      </c>
      <c r="J138" s="141">
        <f t="array" ref="J138">IF(AND($B138&gt;=$E$4,$B138&lt;=$E$5),SUMPRODUCT(J$45:J$94,TRANSPOSE(Data_85_15!$B30:$AY30))%,"")</f>
        <v>7.0650000000000004E-2</v>
      </c>
      <c r="K138" s="141">
        <f t="array" ref="K138">IF(AND($B138&gt;=$E$4,$B138&lt;=$E$5),SUMPRODUCT(K$45:K$94,TRANSPOSE(Data_85_15!$B30:$AY30))%,"")</f>
        <v>4.5795000000000002E-2</v>
      </c>
      <c r="L138" s="141">
        <f t="array" ref="L138">IF(AND($B138&gt;=$E$4,$B138&lt;=$E$5),SUMPRODUCT(L$45:L$94,TRANSPOSE(Data_85_15!$B30:$AY30))%,"")</f>
        <v>5.9190000000000006E-2</v>
      </c>
      <c r="M138" s="141">
        <f t="array" ref="M138">IF(AND($B138&gt;=$E$4,$B138&lt;=$E$5),SUMPRODUCT(M$45:M$94,TRANSPOSE(Data_85_15!$B30:$AY30))%,"")</f>
        <v>9.7064999999999999E-2</v>
      </c>
      <c r="N138" s="141">
        <f t="array" ref="N138">IF(AND($B138&gt;=$E$4,$B138&lt;=$E$5),SUMPRODUCT(N$45:N$94,TRANSPOSE(Data_85_15!$B30:$AY30))%,"")</f>
        <v>2.6310000000000004E-2</v>
      </c>
      <c r="O138" s="141">
        <f t="array" ref="O138">IF(AND($B138&gt;=$E$4,$B138&lt;=$E$5),SUMPRODUCT(O$45:O$94,TRANSPOSE(Data_85_15!$B30:$AY30))%,"")</f>
        <v>6.8435999999999997E-2</v>
      </c>
      <c r="P138" s="141">
        <f t="array" ref="P138">IF(AND($B138&gt;=$E$4,$B138&lt;=$E$5),SUMPRODUCT(P$45:P$94,TRANSPOSE(Data_85_15!$B30:$AY30))%,"")</f>
        <v>4.8944999999999995E-2</v>
      </c>
      <c r="Q138" s="141">
        <f t="array" ref="Q138">IF(AND($B138&gt;=$E$4,$B138&lt;=$E$5),SUMPRODUCT(Q$45:Q$94,TRANSPOSE(Data_85_15!$B30:$AY30))%,"")</f>
        <v>5.0969999999999994E-2</v>
      </c>
      <c r="R138" s="141">
        <f t="array" ref="R138">IF(AND($B138&gt;=$E$4,$B138&lt;=$E$5),SUMPRODUCT(R$45:R$94,TRANSPOSE(Data_85_15!$B30:$AY30))%,"")</f>
        <v>9.1090000000000004E-2</v>
      </c>
      <c r="S138" s="141">
        <f t="array" ref="S138">IF(AND($B138&gt;=$E$4,$B138&lt;=$E$5),SUMPRODUCT(S$45:S$94,TRANSPOSE(Data_85_15!$B30:$AY30))%,"")</f>
        <v>6.1544999999999989E-2</v>
      </c>
      <c r="T138" s="141">
        <f t="array" ref="T138">IF(AND($B138&gt;=$E$4,$B138&lt;=$E$5),SUMPRODUCT(T$45:T$94,TRANSPOSE(Data_85_15!$B30:$AY30))%,"")</f>
        <v>8.539999999999999E-2</v>
      </c>
      <c r="U138" s="141">
        <f t="array" ref="U138">IF(AND($B138&gt;=$E$4,$B138&lt;=$E$5),SUMPRODUCT(U$45:U$94,TRANSPOSE(Data_85_15!$B30:$AY30))%,"")</f>
        <v>0.10812899999999999</v>
      </c>
      <c r="V138" s="141">
        <f t="array" ref="V138">IF(AND($B138&gt;=$E$4,$B138&lt;=$E$5),SUMPRODUCT(V$45:V$94,TRANSPOSE(Data_85_15!$B30:$AY30))%,"")</f>
        <v>0.10464999999999998</v>
      </c>
      <c r="W138" s="141">
        <f t="array" ref="W138">IF(AND($B138&gt;=$E$4,$B138&lt;=$E$5),SUMPRODUCT(W$45:W$94,TRANSPOSE(Data_85_15!$B30:$AY30))%,"")</f>
        <v>5.0799999999999998E-2</v>
      </c>
      <c r="X138" s="141">
        <f t="array" ref="X138">IF(AND($B138&gt;=$E$4,$B138&lt;=$E$5),SUMPRODUCT(X$45:X$94,TRANSPOSE(Data_85_15!$B30:$AY30))%,"")</f>
        <v>0.10396389</v>
      </c>
      <c r="Y138" s="141">
        <f t="array" ref="Y138">IF(AND($B138&gt;=$E$4,$B138&lt;=$E$5),SUMPRODUCT(Y$45:Y$94,TRANSPOSE(Data_85_15!$B30:$AY30))%,"")</f>
        <v>0.12484999999999999</v>
      </c>
      <c r="Z138" s="141">
        <f t="array" ref="Z138">IF(AND($B138&gt;=$E$4,$B138&lt;=$E$5),SUMPRODUCT(Z$45:Z$94,TRANSPOSE(Data_85_15!$B30:$AY30))%,"")</f>
        <v>6.9416000000000005E-2</v>
      </c>
      <c r="AA138" s="141">
        <f t="array" ref="AA138">IF(AND($B138&gt;=$E$4,$B138&lt;=$E$5),SUMPRODUCT(AA$45:AA$94,TRANSPOSE(Data_85_15!$B30:$AY30))%,"")</f>
        <v>0.115925</v>
      </c>
    </row>
    <row r="139" spans="2:27">
      <c r="B139" s="142">
        <f t="shared" si="11"/>
        <v>2008</v>
      </c>
      <c r="C139" s="141">
        <f t="array" ref="C139">IF(AND($B139&gt;=$E$4,$B139&lt;=$E$5),SUMPRODUCT(C$45:C$94,TRANSPOSE(Data_85_15!$B31:$AY31))%,"")</f>
        <v>-0.223</v>
      </c>
      <c r="D139" s="141">
        <f t="array" ref="D139">IF(AND($B139&gt;=$E$4,$B139&lt;=$E$5),SUMPRODUCT(D$45:D$94,TRANSPOSE(Data_85_15!$B31:$AY31))%,"")</f>
        <v>-9.8400000000000001E-2</v>
      </c>
      <c r="E139" s="141">
        <f t="array" ref="E139">IF(AND($B139&gt;=$E$4,$B139&lt;=$E$5),SUMPRODUCT(E$45:E$94,TRANSPOSE(Data_85_15!$B31:$AY31))%,"")</f>
        <v>-0.28621999999999997</v>
      </c>
      <c r="F139" s="141">
        <f t="array" ref="F139">IF(AND($B139&gt;=$E$4,$B139&lt;=$E$5),SUMPRODUCT(F$45:F$94,TRANSPOSE(Data_85_15!$B31:$AY31))%,"")</f>
        <v>-0.30740000000000001</v>
      </c>
      <c r="G139" s="141">
        <f t="array" ref="G139">IF(AND($B139&gt;=$E$4,$B139&lt;=$E$5),SUMPRODUCT(G$45:G$94,TRANSPOSE(Data_85_15!$B31:$AY31))%,"")</f>
        <v>-0.31530000000000002</v>
      </c>
      <c r="H139" s="141">
        <f t="array" ref="H139">IF(AND($B139&gt;=$E$4,$B139&lt;=$E$5),SUMPRODUCT(H$45:H$94,TRANSPOSE(Data_85_15!$B31:$AY31))%,"")</f>
        <v>-0.30317199999999994</v>
      </c>
      <c r="I139" s="141">
        <f t="array" ref="I139">IF(AND($B139&gt;=$E$4,$B139&lt;=$E$5),SUMPRODUCT(I$45:I$94,TRANSPOSE(Data_85_15!$B31:$AY31))%,"")</f>
        <v>-0.24504999999999999</v>
      </c>
      <c r="J139" s="141">
        <f t="array" ref="J139">IF(AND($B139&gt;=$E$4,$B139&lt;=$E$5),SUMPRODUCT(J$45:J$94,TRANSPOSE(Data_85_15!$B31:$AY31))%,"")</f>
        <v>-0.27784999999999999</v>
      </c>
      <c r="K139" s="141">
        <f t="array" ref="K139">IF(AND($B139&gt;=$E$4,$B139&lt;=$E$5),SUMPRODUCT(K$45:K$94,TRANSPOSE(Data_85_15!$B31:$AY31))%,"")</f>
        <v>-0.24504999999999999</v>
      </c>
      <c r="L139" s="141">
        <f t="array" ref="L139">IF(AND($B139&gt;=$E$4,$B139&lt;=$E$5),SUMPRODUCT(L$45:L$94,TRANSPOSE(Data_85_15!$B31:$AY31))%,"")</f>
        <v>-0.24412999999999996</v>
      </c>
      <c r="M139" s="141">
        <f t="array" ref="M139">IF(AND($B139&gt;=$E$4,$B139&lt;=$E$5),SUMPRODUCT(M$45:M$94,TRANSPOSE(Data_85_15!$B31:$AY31))%,"")</f>
        <v>-0.26791999999999999</v>
      </c>
      <c r="N139" s="141">
        <f t="array" ref="N139">IF(AND($B139&gt;=$E$4,$B139&lt;=$E$5),SUMPRODUCT(N$45:N$94,TRANSPOSE(Data_85_15!$B31:$AY31))%,"")</f>
        <v>-0.20206000000000002</v>
      </c>
      <c r="O139" s="141">
        <f t="array" ref="O139">IF(AND($B139&gt;=$E$4,$B139&lt;=$E$5),SUMPRODUCT(O$45:O$94,TRANSPOSE(Data_85_15!$B31:$AY31))%,"")</f>
        <v>-0.214008</v>
      </c>
      <c r="P139" s="141">
        <f t="array" ref="P139">IF(AND($B139&gt;=$E$4,$B139&lt;=$E$5),SUMPRODUCT(P$45:P$94,TRANSPOSE(Data_85_15!$B31:$AY31))%,"")</f>
        <v>-0.267785</v>
      </c>
      <c r="Q139" s="141">
        <f t="array" ref="Q139">IF(AND($B139&gt;=$E$4,$B139&lt;=$E$5),SUMPRODUCT(Q$45:Q$94,TRANSPOSE(Data_85_15!$B31:$AY31))%,"")</f>
        <v>-0.24402499999999996</v>
      </c>
      <c r="R139" s="141">
        <f t="array" ref="R139">IF(AND($B139&gt;=$E$4,$B139&lt;=$E$5),SUMPRODUCT(R$45:R$94,TRANSPOSE(Data_85_15!$B31:$AY31))%,"")</f>
        <v>-0.35738999999999999</v>
      </c>
      <c r="S139" s="141">
        <f t="array" ref="S139">IF(AND($B139&gt;=$E$4,$B139&lt;=$E$5),SUMPRODUCT(S$45:S$94,TRANSPOSE(Data_85_15!$B31:$AY31))%,"")</f>
        <v>-0.25736599999999998</v>
      </c>
      <c r="T139" s="141">
        <f t="array" ref="T139">IF(AND($B139&gt;=$E$4,$B139&lt;=$E$5),SUMPRODUCT(T$45:T$94,TRANSPOSE(Data_85_15!$B31:$AY31))%,"")</f>
        <v>-0.19945000000000002</v>
      </c>
      <c r="U139" s="141">
        <f t="array" ref="U139">IF(AND($B139&gt;=$E$4,$B139&lt;=$E$5),SUMPRODUCT(U$45:U$94,TRANSPOSE(Data_85_15!$B31:$AY31))%,"")</f>
        <v>-0.28087099999999998</v>
      </c>
      <c r="V139" s="141">
        <f t="array" ref="V139">IF(AND($B139&gt;=$E$4,$B139&lt;=$E$5),SUMPRODUCT(V$45:V$94,TRANSPOSE(Data_85_15!$B31:$AY31))%,"")</f>
        <v>-0.21664999999999998</v>
      </c>
      <c r="W139" s="141">
        <f t="array" ref="W139">IF(AND($B139&gt;=$E$4,$B139&lt;=$E$5),SUMPRODUCT(W$45:W$94,TRANSPOSE(Data_85_15!$B31:$AY31))%,"")</f>
        <v>-0.24742</v>
      </c>
      <c r="X139" s="141">
        <f t="array" ref="X139">IF(AND($B139&gt;=$E$4,$B139&lt;=$E$5),SUMPRODUCT(X$45:X$94,TRANSPOSE(Data_85_15!$B31:$AY31))%,"")</f>
        <v>-0.27755932</v>
      </c>
      <c r="Y139" s="141">
        <f t="array" ref="Y139">IF(AND($B139&gt;=$E$4,$B139&lt;=$E$5),SUMPRODUCT(Y$45:Y$94,TRANSPOSE(Data_85_15!$B31:$AY31))%,"")</f>
        <v>-1.8974999999999999E-2</v>
      </c>
      <c r="Z139" s="141">
        <f t="array" ref="Z139">IF(AND($B139&gt;=$E$4,$B139&lt;=$E$5),SUMPRODUCT(Z$45:Z$94,TRANSPOSE(Data_85_15!$B31:$AY31))%,"")</f>
        <v>-0.23570700000000003</v>
      </c>
      <c r="AA139" s="141">
        <f t="array" ref="AA139">IF(AND($B139&gt;=$E$4,$B139&lt;=$E$5),SUMPRODUCT(AA$45:AA$94,TRANSPOSE(Data_85_15!$B31:$AY31))%,"")</f>
        <v>-0.113885</v>
      </c>
    </row>
    <row r="140" spans="2:27">
      <c r="B140" s="142">
        <f t="shared" si="11"/>
        <v>2009</v>
      </c>
      <c r="C140" s="141">
        <f t="array" ref="C140">IF(AND($B140&gt;=$E$4,$B140&lt;=$E$5),SUMPRODUCT(C$45:C$94,TRANSPOSE(Data_85_15!$B32:$AY32))%,"")</f>
        <v>0.222</v>
      </c>
      <c r="D140" s="141">
        <f t="array" ref="D140">IF(AND($B140&gt;=$E$4,$B140&lt;=$E$5),SUMPRODUCT(D$45:D$94,TRANSPOSE(Data_85_15!$B32:$AY32))%,"")</f>
        <v>0.16020000000000001</v>
      </c>
      <c r="E140" s="141">
        <f t="array" ref="E140">IF(AND($B140&gt;=$E$4,$B140&lt;=$E$5),SUMPRODUCT(E$45:E$94,TRANSPOSE(Data_85_15!$B32:$AY32))%,"")</f>
        <v>0.24146000000000001</v>
      </c>
      <c r="F140" s="141">
        <f t="array" ref="F140">IF(AND($B140&gt;=$E$4,$B140&lt;=$E$5),SUMPRODUCT(F$45:F$94,TRANSPOSE(Data_85_15!$B32:$AY32))%,"")</f>
        <v>0.26555000000000001</v>
      </c>
      <c r="G140" s="141">
        <f t="array" ref="G140">IF(AND($B140&gt;=$E$4,$B140&lt;=$E$5),SUMPRODUCT(G$45:G$94,TRANSPOSE(Data_85_15!$B32:$AY32))%,"")</f>
        <v>0.27041999999999999</v>
      </c>
      <c r="H140" s="141">
        <f t="array" ref="H140">IF(AND($B140&gt;=$E$4,$B140&lt;=$E$5),SUMPRODUCT(H$45:H$94,TRANSPOSE(Data_85_15!$B32:$AY32))%,"")</f>
        <v>0.261436</v>
      </c>
      <c r="I140" s="141">
        <f t="array" ref="I140">IF(AND($B140&gt;=$E$4,$B140&lt;=$E$5),SUMPRODUCT(I$45:I$94,TRANSPOSE(Data_85_15!$B32:$AY32))%,"")</f>
        <v>0.246475</v>
      </c>
      <c r="J140" s="141">
        <f t="array" ref="J140">IF(AND($B140&gt;=$E$4,$B140&lt;=$E$5),SUMPRODUCT(J$45:J$94,TRANSPOSE(Data_85_15!$B32:$AY32))%,"")</f>
        <v>0.23989999999999997</v>
      </c>
      <c r="K140" s="141">
        <f t="array" ref="K140">IF(AND($B140&gt;=$E$4,$B140&lt;=$E$5),SUMPRODUCT(K$45:K$94,TRANSPOSE(Data_85_15!$B32:$AY32))%,"")</f>
        <v>0.246475</v>
      </c>
      <c r="L140" s="141">
        <f t="array" ref="L140">IF(AND($B140&gt;=$E$4,$B140&lt;=$E$5),SUMPRODUCT(L$45:L$94,TRANSPOSE(Data_85_15!$B32:$AY32))%,"")</f>
        <v>0.21869</v>
      </c>
      <c r="M140" s="141">
        <f t="array" ref="M140">IF(AND($B140&gt;=$E$4,$B140&lt;=$E$5),SUMPRODUCT(M$45:M$94,TRANSPOSE(Data_85_15!$B32:$AY32))%,"")</f>
        <v>0.26553000000000004</v>
      </c>
      <c r="N140" s="141">
        <f t="array" ref="N140">IF(AND($B140&gt;=$E$4,$B140&lt;=$E$5),SUMPRODUCT(N$45:N$94,TRANSPOSE(Data_85_15!$B32:$AY32))%,"")</f>
        <v>0.20255999999999999</v>
      </c>
      <c r="O140" s="141">
        <f t="array" ref="O140">IF(AND($B140&gt;=$E$4,$B140&lt;=$E$5),SUMPRODUCT(O$45:O$94,TRANSPOSE(Data_85_15!$B32:$AY32))%,"")</f>
        <v>0.22550799999999999</v>
      </c>
      <c r="P140" s="141">
        <f t="array" ref="P140">IF(AND($B140&gt;=$E$4,$B140&lt;=$E$5),SUMPRODUCT(P$45:P$94,TRANSPOSE(Data_85_15!$B32:$AY32))%,"")</f>
        <v>0.24401500000000001</v>
      </c>
      <c r="Q140" s="141">
        <f t="array" ref="Q140">IF(AND($B140&gt;=$E$4,$B140&lt;=$E$5),SUMPRODUCT(Q$45:Q$94,TRANSPOSE(Data_85_15!$B32:$AY32))%,"")</f>
        <v>0.22378000000000001</v>
      </c>
      <c r="R140" s="141">
        <f t="array" ref="R140">IF(AND($B140&gt;=$E$4,$B140&lt;=$E$5),SUMPRODUCT(R$45:R$94,TRANSPOSE(Data_85_15!$B32:$AY32))%,"")</f>
        <v>0.29318999999999995</v>
      </c>
      <c r="S140" s="141">
        <f t="array" ref="S140">IF(AND($B140&gt;=$E$4,$B140&lt;=$E$5),SUMPRODUCT(S$45:S$94,TRANSPOSE(Data_85_15!$B32:$AY32))%,"")</f>
        <v>0.23073549999999998</v>
      </c>
      <c r="T140" s="141">
        <f t="array" ref="T140">IF(AND($B140&gt;=$E$4,$B140&lt;=$E$5),SUMPRODUCT(T$45:T$94,TRANSPOSE(Data_85_15!$B32:$AY32))%,"")</f>
        <v>0.19750000000000001</v>
      </c>
      <c r="U140" s="141">
        <f t="array" ref="U140">IF(AND($B140&gt;=$E$4,$B140&lt;=$E$5),SUMPRODUCT(U$45:U$94,TRANSPOSE(Data_85_15!$B32:$AY32))%,"")</f>
        <v>0.25442900000000002</v>
      </c>
      <c r="V140" s="141">
        <f t="array" ref="V140">IF(AND($B140&gt;=$E$4,$B140&lt;=$E$5),SUMPRODUCT(V$45:V$94,TRANSPOSE(Data_85_15!$B32:$AY32))%,"")</f>
        <v>0.23349999999999999</v>
      </c>
      <c r="W140" s="141">
        <f t="array" ref="W140">IF(AND($B140&gt;=$E$4,$B140&lt;=$E$5),SUMPRODUCT(W$45:W$94,TRANSPOSE(Data_85_15!$B32:$AY32))%,"")</f>
        <v>0.24596000000000004</v>
      </c>
      <c r="X140" s="141">
        <f t="array" ref="X140">IF(AND($B140&gt;=$E$4,$B140&lt;=$E$5),SUMPRODUCT(X$45:X$94,TRANSPOSE(Data_85_15!$B32:$AY32))%,"")</f>
        <v>0.26882113999999996</v>
      </c>
      <c r="Y140" s="141">
        <f t="array" ref="Y140">IF(AND($B140&gt;=$E$4,$B140&lt;=$E$5),SUMPRODUCT(Y$45:Y$94,TRANSPOSE(Data_85_15!$B32:$AY32))%,"")</f>
        <v>0.102925</v>
      </c>
      <c r="Z140" s="141">
        <f t="array" ref="Z140">IF(AND($B140&gt;=$E$4,$B140&lt;=$E$5),SUMPRODUCT(Z$45:Z$94,TRANSPOSE(Data_85_15!$B32:$AY32))%,"")</f>
        <v>0.23932900000000001</v>
      </c>
      <c r="AA140" s="141">
        <f t="array" ref="AA140">IF(AND($B140&gt;=$E$4,$B140&lt;=$E$5),SUMPRODUCT(AA$45:AA$94,TRANSPOSE(Data_85_15!$B32:$AY32))%,"")</f>
        <v>0.20232000000000003</v>
      </c>
    </row>
    <row r="141" spans="2:27">
      <c r="B141" s="142">
        <f t="shared" si="11"/>
        <v>2010</v>
      </c>
      <c r="C141" s="141">
        <f t="array" ref="C141">IF(AND($B141&gt;=$E$4,$B141&lt;=$E$5),SUMPRODUCT(C$45:C$94,TRANSPOSE(Data_85_15!$B33:$AY33))%,"")</f>
        <v>0.1094</v>
      </c>
      <c r="D141" s="141">
        <f t="array" ref="D141">IF(AND($B141&gt;=$E$4,$B141&lt;=$E$5),SUMPRODUCT(D$45:D$94,TRANSPOSE(Data_85_15!$B33:$AY33))%,"")</f>
        <v>0.1065</v>
      </c>
      <c r="E141" s="141">
        <f t="array" ref="E141">IF(AND($B141&gt;=$E$4,$B141&lt;=$E$5),SUMPRODUCT(E$45:E$94,TRANSPOSE(Data_85_15!$B33:$AY33))%,"")</f>
        <v>0.14956000000000003</v>
      </c>
      <c r="F141" s="141">
        <f t="array" ref="F141">IF(AND($B141&gt;=$E$4,$B141&lt;=$E$5),SUMPRODUCT(F$45:F$94,TRANSPOSE(Data_85_15!$B33:$AY33))%,"")</f>
        <v>0.13165000000000002</v>
      </c>
      <c r="G141" s="141">
        <f t="array" ref="G141">IF(AND($B141&gt;=$E$4,$B141&lt;=$E$5),SUMPRODUCT(G$45:G$94,TRANSPOSE(Data_85_15!$B33:$AY33))%,"")</f>
        <v>0.13140000000000002</v>
      </c>
      <c r="H141" s="141">
        <f t="array" ref="H141">IF(AND($B141&gt;=$E$4,$B141&lt;=$E$5),SUMPRODUCT(H$45:H$94,TRANSPOSE(Data_85_15!$B33:$AY33))%,"")</f>
        <v>0.14419999999999999</v>
      </c>
      <c r="I141" s="141">
        <f t="array" ref="I141">IF(AND($B141&gt;=$E$4,$B141&lt;=$E$5),SUMPRODUCT(I$45:I$94,TRANSPOSE(Data_85_15!$B33:$AY33))%,"")</f>
        <v>0.133355</v>
      </c>
      <c r="J141" s="141">
        <f t="array" ref="J141">IF(AND($B141&gt;=$E$4,$B141&lt;=$E$5),SUMPRODUCT(J$45:J$94,TRANSPOSE(Data_85_15!$B33:$AY33))%,"")</f>
        <v>0.12544999999999998</v>
      </c>
      <c r="K141" s="141">
        <f t="array" ref="K141">IF(AND($B141&gt;=$E$4,$B141&lt;=$E$5),SUMPRODUCT(K$45:K$94,TRANSPOSE(Data_85_15!$B33:$AY33))%,"")</f>
        <v>0.133355</v>
      </c>
      <c r="L141" s="141">
        <f t="array" ref="L141">IF(AND($B141&gt;=$E$4,$B141&lt;=$E$5),SUMPRODUCT(L$45:L$94,TRANSPOSE(Data_85_15!$B33:$AY33))%,"")</f>
        <v>0.13888999999999999</v>
      </c>
      <c r="M141" s="141">
        <f t="array" ref="M141">IF(AND($B141&gt;=$E$4,$B141&lt;=$E$5),SUMPRODUCT(M$45:M$94,TRANSPOSE(Data_85_15!$B33:$AY33))%,"")</f>
        <v>0.15539000000000003</v>
      </c>
      <c r="N141" s="141">
        <f t="array" ref="N141">IF(AND($B141&gt;=$E$4,$B141&lt;=$E$5),SUMPRODUCT(N$45:N$94,TRANSPOSE(Data_85_15!$B33:$AY33))%,"")</f>
        <v>0.14682999999999999</v>
      </c>
      <c r="O141" s="141">
        <f t="array" ref="O141">IF(AND($B141&gt;=$E$4,$B141&lt;=$E$5),SUMPRODUCT(O$45:O$94,TRANSPOSE(Data_85_15!$B33:$AY33))%,"")</f>
        <v>0.13778799999999999</v>
      </c>
      <c r="P141" s="141">
        <f t="array" ref="P141">IF(AND($B141&gt;=$E$4,$B141&lt;=$E$5),SUMPRODUCT(P$45:P$94,TRANSPOSE(Data_85_15!$B33:$AY33))%,"")</f>
        <v>0.14305499999999999</v>
      </c>
      <c r="Q141" s="141">
        <f t="array" ref="Q141">IF(AND($B141&gt;=$E$4,$B141&lt;=$E$5),SUMPRODUCT(Q$45:Q$94,TRANSPOSE(Data_85_15!$B33:$AY33))%,"")</f>
        <v>0.15248999999999996</v>
      </c>
      <c r="R141" s="141">
        <f t="array" ref="R141">IF(AND($B141&gt;=$E$4,$B141&lt;=$E$5),SUMPRODUCT(R$45:R$94,TRANSPOSE(Data_85_15!$B33:$AY33))%,"")</f>
        <v>0.14207</v>
      </c>
      <c r="S141" s="141">
        <f t="array" ref="S141">IF(AND($B141&gt;=$E$4,$B141&lt;=$E$5),SUMPRODUCT(S$45:S$94,TRANSPOSE(Data_85_15!$B33:$AY33))%,"")</f>
        <v>0.1296995</v>
      </c>
      <c r="T141" s="141">
        <f t="array" ref="T141">IF(AND($B141&gt;=$E$4,$B141&lt;=$E$5),SUMPRODUCT(T$45:T$94,TRANSPOSE(Data_85_15!$B33:$AY33))%,"")</f>
        <v>0.11629999999999999</v>
      </c>
      <c r="U141" s="141">
        <f t="array" ref="U141">IF(AND($B141&gt;=$E$4,$B141&lt;=$E$5),SUMPRODUCT(U$45:U$94,TRANSPOSE(Data_85_15!$B33:$AY33))%,"")</f>
        <v>0.11516300000000002</v>
      </c>
      <c r="V141" s="141">
        <f t="array" ref="V141">IF(AND($B141&gt;=$E$4,$B141&lt;=$E$5),SUMPRODUCT(V$45:V$94,TRANSPOSE(Data_85_15!$B33:$AY33))%,"")</f>
        <v>0.11405000000000001</v>
      </c>
      <c r="W141" s="141">
        <f t="array" ref="W141">IF(AND($B141&gt;=$E$4,$B141&lt;=$E$5),SUMPRODUCT(W$45:W$94,TRANSPOSE(Data_85_15!$B33:$AY33))%,"")</f>
        <v>0.14784</v>
      </c>
      <c r="X141" s="141">
        <f t="array" ref="X141">IF(AND($B141&gt;=$E$4,$B141&lt;=$E$5),SUMPRODUCT(X$45:X$94,TRANSPOSE(Data_85_15!$B33:$AY33))%,"")</f>
        <v>0.14554218999999999</v>
      </c>
      <c r="Y141" s="141">
        <f t="array" ref="Y141">IF(AND($B141&gt;=$E$4,$B141&lt;=$E$5),SUMPRODUCT(Y$45:Y$94,TRANSPOSE(Data_85_15!$B33:$AY33))%,"")</f>
        <v>0.13824999999999998</v>
      </c>
      <c r="Z141" s="141">
        <f t="array" ref="Z141">IF(AND($B141&gt;=$E$4,$B141&lt;=$E$5),SUMPRODUCT(Z$45:Z$94,TRANSPOSE(Data_85_15!$B33:$AY33))%,"")</f>
        <v>0.13641300000000001</v>
      </c>
      <c r="AA141" s="141">
        <f t="array" ref="AA141">IF(AND($B141&gt;=$E$4,$B141&lt;=$E$5),SUMPRODUCT(AA$45:AA$94,TRANSPOSE(Data_85_15!$B33:$AY33))%,"")</f>
        <v>9.6354999999999982E-2</v>
      </c>
    </row>
    <row r="142" spans="2:27">
      <c r="B142" s="142">
        <f t="shared" si="11"/>
        <v>2011</v>
      </c>
      <c r="C142" s="141">
        <f t="array" ref="C142">IF(AND($B142&gt;=$E$4,$B142&lt;=$E$5),SUMPRODUCT(C$45:C$94,TRANSPOSE(Data_85_15!$B34:$AY34))%,"")</f>
        <v>3.85E-2</v>
      </c>
      <c r="D142" s="141">
        <f t="array" ref="D142">IF(AND($B142&gt;=$E$4,$B142&lt;=$E$5),SUMPRODUCT(D$45:D$94,TRANSPOSE(Data_85_15!$B34:$AY34))%,"")</f>
        <v>9.6300000000000011E-2</v>
      </c>
      <c r="E142" s="141">
        <f t="array" ref="E142">IF(AND($B142&gt;=$E$4,$B142&lt;=$E$5),SUMPRODUCT(E$45:E$94,TRANSPOSE(Data_85_15!$B34:$AY34))%,"")</f>
        <v>2.2800000000000001E-2</v>
      </c>
      <c r="F142" s="141">
        <f t="array" ref="F142">IF(AND($B142&gt;=$E$4,$B142&lt;=$E$5),SUMPRODUCT(F$45:F$94,TRANSPOSE(Data_85_15!$B34:$AY34))%,"")</f>
        <v>-2.3760000000000003E-2</v>
      </c>
      <c r="G142" s="141">
        <f t="array" ref="G142">IF(AND($B142&gt;=$E$4,$B142&lt;=$E$5),SUMPRODUCT(G$45:G$94,TRANSPOSE(Data_85_15!$B34:$AY34))%,"")</f>
        <v>-1.8080000000000006E-2</v>
      </c>
      <c r="H142" s="141">
        <f t="array" ref="H142">IF(AND($B142&gt;=$E$4,$B142&lt;=$E$5),SUMPRODUCT(H$45:H$94,TRANSPOSE(Data_85_15!$B34:$AY34))%,"")</f>
        <v>-8.4399999999999979E-3</v>
      </c>
      <c r="I142" s="141">
        <f t="array" ref="I142">IF(AND($B142&gt;=$E$4,$B142&lt;=$E$5),SUMPRODUCT(I$45:I$94,TRANSPOSE(Data_85_15!$B34:$AY34))%,"")</f>
        <v>-1.3555000000000005E-2</v>
      </c>
      <c r="J142" s="141">
        <f t="array" ref="J142">IF(AND($B142&gt;=$E$4,$B142&lt;=$E$5),SUMPRODUCT(J$45:J$94,TRANSPOSE(Data_85_15!$B34:$AY34))%,"")</f>
        <v>-2.5425E-2</v>
      </c>
      <c r="K142" s="141">
        <f t="array" ref="K142">IF(AND($B142&gt;=$E$4,$B142&lt;=$E$5),SUMPRODUCT(K$45:K$94,TRANSPOSE(Data_85_15!$B34:$AY34))%,"")</f>
        <v>-1.3555000000000005E-2</v>
      </c>
      <c r="L142" s="141">
        <f t="array" ref="L142">IF(AND($B142&gt;=$E$4,$B142&lt;=$E$5),SUMPRODUCT(L$45:L$94,TRANSPOSE(Data_85_15!$B34:$AY34))%,"")</f>
        <v>2.9399999999999996E-2</v>
      </c>
      <c r="M142" s="141">
        <f t="array" ref="M142">IF(AND($B142&gt;=$E$4,$B142&lt;=$E$5),SUMPRODUCT(M$45:M$94,TRANSPOSE(Data_85_15!$B34:$AY34))%,"")</f>
        <v>3.5600000000000033E-3</v>
      </c>
      <c r="N142" s="141">
        <f t="array" ref="N142">IF(AND($B142&gt;=$E$4,$B142&lt;=$E$5),SUMPRODUCT(N$45:N$94,TRANSPOSE(Data_85_15!$B34:$AY34))%,"")</f>
        <v>2.0160000000000001E-2</v>
      </c>
      <c r="O142" s="141">
        <f t="array" ref="O142">IF(AND($B142&gt;=$E$4,$B142&lt;=$E$5),SUMPRODUCT(O$45:O$94,TRANSPOSE(Data_85_15!$B34:$AY34))%,"")</f>
        <v>-1.8113999999999998E-2</v>
      </c>
      <c r="P142" s="141">
        <f t="array" ref="P142">IF(AND($B142&gt;=$E$4,$B142&lt;=$E$5),SUMPRODUCT(P$45:P$94,TRANSPOSE(Data_85_15!$B34:$AY34))%,"")</f>
        <v>1.4715000000000004E-2</v>
      </c>
      <c r="Q142" s="141">
        <f t="array" ref="Q142">IF(AND($B142&gt;=$E$4,$B142&lt;=$E$5),SUMPRODUCT(Q$45:Q$94,TRANSPOSE(Data_85_15!$B34:$AY34))%,"")</f>
        <v>5.5245000000000009E-2</v>
      </c>
      <c r="R142" s="141">
        <f t="array" ref="R142">IF(AND($B142&gt;=$E$4,$B142&lt;=$E$5),SUMPRODUCT(R$45:R$94,TRANSPOSE(Data_85_15!$B34:$AY34))%,"")</f>
        <v>-2.4680000000000001E-2</v>
      </c>
      <c r="S142" s="141">
        <f t="array" ref="S142">IF(AND($B142&gt;=$E$4,$B142&lt;=$E$5),SUMPRODUCT(S$45:S$94,TRANSPOSE(Data_85_15!$B34:$AY34))%,"")</f>
        <v>-3.4259250000000005E-2</v>
      </c>
      <c r="T142" s="141">
        <f t="array" ref="T142">IF(AND($B142&gt;=$E$4,$B142&lt;=$E$5),SUMPRODUCT(T$45:T$94,TRANSPOSE(Data_85_15!$B34:$AY34))%,"")</f>
        <v>7.0999999999999994E-2</v>
      </c>
      <c r="U142" s="141">
        <f t="array" ref="U142">IF(AND($B142&gt;=$E$4,$B142&lt;=$E$5),SUMPRODUCT(U$45:U$94,TRANSPOSE(Data_85_15!$B34:$AY34))%,"")</f>
        <v>-1.092000000000004E-3</v>
      </c>
      <c r="V142" s="141">
        <f t="array" ref="V142">IF(AND($B142&gt;=$E$4,$B142&lt;=$E$5),SUMPRODUCT(V$45:V$94,TRANSPOSE(Data_85_15!$B34:$AY34))%,"")</f>
        <v>2.2099999999999995E-2</v>
      </c>
      <c r="W142" s="141">
        <f t="array" ref="W142">IF(AND($B142&gt;=$E$4,$B142&lt;=$E$5),SUMPRODUCT(W$45:W$94,TRANSPOSE(Data_85_15!$B34:$AY34))%,"")</f>
        <v>3.4619999999999998E-2</v>
      </c>
      <c r="X142" s="141">
        <f t="array" ref="X142">IF(AND($B142&gt;=$E$4,$B142&lt;=$E$5),SUMPRODUCT(X$45:X$94,TRANSPOSE(Data_85_15!$B34:$AY34))%,"")</f>
        <v>2.5940580000000001E-2</v>
      </c>
      <c r="Y142" s="141">
        <f t="array" ref="Y142">IF(AND($B142&gt;=$E$4,$B142&lt;=$E$5),SUMPRODUCT(Y$45:Y$94,TRANSPOSE(Data_85_15!$B34:$AY34))%,"")</f>
        <v>9.9574999999999997E-2</v>
      </c>
      <c r="Z142" s="141">
        <f t="array" ref="Z142">IF(AND($B142&gt;=$E$4,$B142&lt;=$E$5),SUMPRODUCT(Z$45:Z$94,TRANSPOSE(Data_85_15!$B34:$AY34))%,"")</f>
        <v>1.7954000000000005E-2</v>
      </c>
      <c r="AA142" s="141">
        <f t="array" ref="AA142">IF(AND($B142&gt;=$E$4,$B142&lt;=$E$5),SUMPRODUCT(AA$45:AA$94,TRANSPOSE(Data_85_15!$B34:$AY34))%,"")</f>
        <v>1.9239999999999993E-2</v>
      </c>
    </row>
    <row r="143" spans="2:27">
      <c r="B143" s="142">
        <f t="shared" si="11"/>
        <v>2012</v>
      </c>
      <c r="C143" s="141">
        <f t="array" ref="C143">IF(AND($B143&gt;=$E$4,$B143&lt;=$E$5),SUMPRODUCT(C$45:C$94,TRANSPOSE(Data_85_15!$B35:$AY35))%,"")</f>
        <v>0.12570000000000001</v>
      </c>
      <c r="D143" s="141">
        <f t="array" ref="D143">IF(AND($B143&gt;=$E$4,$B143&lt;=$E$5),SUMPRODUCT(D$45:D$94,TRANSPOSE(Data_85_15!$B35:$AY35))%,"")</f>
        <v>0.10060000000000001</v>
      </c>
      <c r="E143" s="141">
        <f t="array" ref="E143">IF(AND($B143&gt;=$E$4,$B143&lt;=$E$5),SUMPRODUCT(E$45:E$94,TRANSPOSE(Data_85_15!$B35:$AY35))%,"")</f>
        <v>0.1381</v>
      </c>
      <c r="F143" s="141">
        <f t="array" ref="F143">IF(AND($B143&gt;=$E$4,$B143&lt;=$E$5),SUMPRODUCT(F$45:F$94,TRANSPOSE(Data_85_15!$B35:$AY35))%,"")</f>
        <v>0.14377000000000001</v>
      </c>
      <c r="G143" s="141">
        <f t="array" ref="G143">IF(AND($B143&gt;=$E$4,$B143&lt;=$E$5),SUMPRODUCT(G$45:G$94,TRANSPOSE(Data_85_15!$B35:$AY35))%,"")</f>
        <v>0.14649999999999999</v>
      </c>
      <c r="H143" s="141">
        <f t="array" ref="H143">IF(AND($B143&gt;=$E$4,$B143&lt;=$E$5),SUMPRODUCT(H$45:H$94,TRANSPOSE(Data_85_15!$B35:$AY35))%,"")</f>
        <v>0.14366000000000001</v>
      </c>
      <c r="I143" s="141">
        <f t="array" ref="I143">IF(AND($B143&gt;=$E$4,$B143&lt;=$E$5),SUMPRODUCT(I$45:I$94,TRANSPOSE(Data_85_15!$B35:$AY35))%,"")</f>
        <v>0.121265</v>
      </c>
      <c r="J143" s="141">
        <f t="array" ref="J143">IF(AND($B143&gt;=$E$4,$B143&lt;=$E$5),SUMPRODUCT(J$45:J$94,TRANSPOSE(Data_85_15!$B35:$AY35))%,"")</f>
        <v>0.138375</v>
      </c>
      <c r="K143" s="141">
        <f t="array" ref="K143">IF(AND($B143&gt;=$E$4,$B143&lt;=$E$5),SUMPRODUCT(K$45:K$94,TRANSPOSE(Data_85_15!$B35:$AY35))%,"")</f>
        <v>0.121265</v>
      </c>
      <c r="L143" s="141">
        <f t="array" ref="L143">IF(AND($B143&gt;=$E$4,$B143&lt;=$E$5),SUMPRODUCT(L$45:L$94,TRANSPOSE(Data_85_15!$B35:$AY35))%,"")</f>
        <v>0.12590000000000001</v>
      </c>
      <c r="M143" s="141">
        <f t="array" ref="M143">IF(AND($B143&gt;=$E$4,$B143&lt;=$E$5),SUMPRODUCT(M$45:M$94,TRANSPOSE(Data_85_15!$B35:$AY35))%,"")</f>
        <v>0.14129999999999998</v>
      </c>
      <c r="N143" s="141">
        <f t="array" ref="N143">IF(AND($B143&gt;=$E$4,$B143&lt;=$E$5),SUMPRODUCT(N$45:N$94,TRANSPOSE(Data_85_15!$B35:$AY35))%,"")</f>
        <v>0.11929000000000002</v>
      </c>
      <c r="O143" s="141">
        <f t="array" ref="O143">IF(AND($B143&gt;=$E$4,$B143&lt;=$E$5),SUMPRODUCT(O$45:O$94,TRANSPOSE(Data_85_15!$B35:$AY35))%,"")</f>
        <v>0.12073200000000002</v>
      </c>
      <c r="P143" s="141">
        <f t="array" ref="P143">IF(AND($B143&gt;=$E$4,$B143&lt;=$E$5),SUMPRODUCT(P$45:P$94,TRANSPOSE(Data_85_15!$B35:$AY35))%,"")</f>
        <v>0.13217499999999999</v>
      </c>
      <c r="Q143" s="141">
        <f t="array" ref="Q143">IF(AND($B143&gt;=$E$4,$B143&lt;=$E$5),SUMPRODUCT(Q$45:Q$94,TRANSPOSE(Data_85_15!$B35:$AY35))%,"")</f>
        <v>0.13634499999999999</v>
      </c>
      <c r="R143" s="141">
        <f t="array" ref="R143">IF(AND($B143&gt;=$E$4,$B143&lt;=$E$5),SUMPRODUCT(R$45:R$94,TRANSPOSE(Data_85_15!$B35:$AY35))%,"")</f>
        <v>0.15870000000000001</v>
      </c>
      <c r="S143" s="141">
        <f t="array" ref="S143">IF(AND($B143&gt;=$E$4,$B143&lt;=$E$5),SUMPRODUCT(S$45:S$94,TRANSPOSE(Data_85_15!$B35:$AY35))%,"")</f>
        <v>0.12420850000000001</v>
      </c>
      <c r="T143" s="141">
        <f t="array" ref="T143">IF(AND($B143&gt;=$E$4,$B143&lt;=$E$5),SUMPRODUCT(T$45:T$94,TRANSPOSE(Data_85_15!$B35:$AY35))%,"")</f>
        <v>0.11515</v>
      </c>
      <c r="U143" s="141">
        <f t="array" ref="U143">IF(AND($B143&gt;=$E$4,$B143&lt;=$E$5),SUMPRODUCT(U$45:U$94,TRANSPOSE(Data_85_15!$B35:$AY35))%,"")</f>
        <v>0.137486</v>
      </c>
      <c r="V143" s="141">
        <f t="array" ref="V143">IF(AND($B143&gt;=$E$4,$B143&lt;=$E$5),SUMPRODUCT(V$45:V$94,TRANSPOSE(Data_85_15!$B35:$AY35))%,"")</f>
        <v>0.12147500000000001</v>
      </c>
      <c r="W143" s="141">
        <f t="array" ref="W143">IF(AND($B143&gt;=$E$4,$B143&lt;=$E$5),SUMPRODUCT(W$45:W$94,TRANSPOSE(Data_85_15!$B35:$AY35))%,"")</f>
        <v>0.13224</v>
      </c>
      <c r="X143" s="141">
        <f t="array" ref="X143">IF(AND($B143&gt;=$E$4,$B143&lt;=$E$5),SUMPRODUCT(X$45:X$94,TRANSPOSE(Data_85_15!$B35:$AY35))%,"")</f>
        <v>0.11462039</v>
      </c>
      <c r="Y143" s="141">
        <f t="array" ref="Y143">IF(AND($B143&gt;=$E$4,$B143&lt;=$E$5),SUMPRODUCT(Y$45:Y$94,TRANSPOSE(Data_85_15!$B35:$AY35))%,"")</f>
        <v>6.5849999999999992E-2</v>
      </c>
      <c r="Z143" s="141">
        <f t="array" ref="Z143">IF(AND($B143&gt;=$E$4,$B143&lt;=$E$5),SUMPRODUCT(Z$45:Z$94,TRANSPOSE(Data_85_15!$B35:$AY35))%,"")</f>
        <v>0.134602</v>
      </c>
      <c r="AA143" s="141">
        <f t="array" ref="AA143">IF(AND($B143&gt;=$E$4,$B143&lt;=$E$5),SUMPRODUCT(AA$45:AA$94,TRANSPOSE(Data_85_15!$B35:$AY35))%,"")</f>
        <v>8.194499999999999E-2</v>
      </c>
    </row>
    <row r="144" spans="2:27">
      <c r="B144" s="142">
        <f t="shared" si="11"/>
        <v>2013</v>
      </c>
      <c r="C144" s="141">
        <f t="array" ref="C144">IF(AND($B144&gt;=$E$4,$B144&lt;=$E$5),SUMPRODUCT(C$45:C$94,TRANSPOSE(Data_85_15!$B36:$AY36))%,"")</f>
        <v>0.1966</v>
      </c>
      <c r="D144" s="141">
        <f t="array" ref="D144">IF(AND($B144&gt;=$E$4,$B144&lt;=$E$5),SUMPRODUCT(D$45:D$94,TRANSPOSE(Data_85_15!$B36:$AY36))%,"")</f>
        <v>9.1899999999999996E-2</v>
      </c>
      <c r="E144" s="141">
        <f t="array" ref="E144">IF(AND($B144&gt;=$E$4,$B144&lt;=$E$5),SUMPRODUCT(E$45:E$94,TRANSPOSE(Data_85_15!$B36:$AY36))%,"")</f>
        <v>0.26228000000000001</v>
      </c>
      <c r="F144" s="141">
        <f t="array" ref="F144">IF(AND($B144&gt;=$E$4,$B144&lt;=$E$5),SUMPRODUCT(F$45:F$94,TRANSPOSE(Data_85_15!$B36:$AY36))%,"")</f>
        <v>0.20735000000000001</v>
      </c>
      <c r="G144" s="141">
        <f t="array" ref="G144">IF(AND($B144&gt;=$E$4,$B144&lt;=$E$5),SUMPRODUCT(G$45:G$94,TRANSPOSE(Data_85_15!$B36:$AY36))%,"")</f>
        <v>0.20069000000000004</v>
      </c>
      <c r="H144" s="141">
        <f t="array" ref="H144">IF(AND($B144&gt;=$E$4,$B144&lt;=$E$5),SUMPRODUCT(H$45:H$94,TRANSPOSE(Data_85_15!$B36:$AY36))%,"")</f>
        <v>0.19350400000000001</v>
      </c>
      <c r="I144" s="141">
        <f t="array" ref="I144">IF(AND($B144&gt;=$E$4,$B144&lt;=$E$5),SUMPRODUCT(I$45:I$94,TRANSPOSE(Data_85_15!$B36:$AY36))%,"")</f>
        <v>0.16156500000000004</v>
      </c>
      <c r="J144" s="141">
        <f t="array" ref="J144">IF(AND($B144&gt;=$E$4,$B144&lt;=$E$5),SUMPRODUCT(J$45:J$94,TRANSPOSE(Data_85_15!$B36:$AY36))%,"")</f>
        <v>0.23600000000000002</v>
      </c>
      <c r="K144" s="141">
        <f t="array" ref="K144">IF(AND($B144&gt;=$E$4,$B144&lt;=$E$5),SUMPRODUCT(K$45:K$94,TRANSPOSE(Data_85_15!$B36:$AY36))%,"")</f>
        <v>0.16156500000000004</v>
      </c>
      <c r="L144" s="141">
        <f t="array" ref="L144">IF(AND($B144&gt;=$E$4,$B144&lt;=$E$5),SUMPRODUCT(L$45:L$94,TRANSPOSE(Data_85_15!$B36:$AY36))%,"")</f>
        <v>0.22666999999999998</v>
      </c>
      <c r="M144" s="141">
        <f t="array" ref="M144">IF(AND($B144&gt;=$E$4,$B144&lt;=$E$5),SUMPRODUCT(M$45:M$94,TRANSPOSE(Data_85_15!$B36:$AY36))%,"")</f>
        <v>0.14939000000000002</v>
      </c>
      <c r="N144" s="141">
        <f t="array" ref="N144">IF(AND($B144&gt;=$E$4,$B144&lt;=$E$5),SUMPRODUCT(N$45:N$94,TRANSPOSE(Data_85_15!$B36:$AY36))%,"")</f>
        <v>0.14737</v>
      </c>
      <c r="O144" s="141">
        <f t="array" ref="O144">IF(AND($B144&gt;=$E$4,$B144&lt;=$E$5),SUMPRODUCT(O$45:O$94,TRANSPOSE(Data_85_15!$B36:$AY36))%,"")</f>
        <v>0.12369999999999998</v>
      </c>
      <c r="P144" s="141">
        <f t="array" ref="P144">IF(AND($B144&gt;=$E$4,$B144&lt;=$E$5),SUMPRODUCT(P$45:P$94,TRANSPOSE(Data_85_15!$B36:$AY36))%,"")</f>
        <v>0.12163500000000001</v>
      </c>
      <c r="Q144" s="141">
        <f t="array" ref="Q144">IF(AND($B144&gt;=$E$4,$B144&lt;=$E$5),SUMPRODUCT(Q$45:Q$94,TRANSPOSE(Data_85_15!$B36:$AY36))%,"")</f>
        <v>0.10224000000000003</v>
      </c>
      <c r="R144" s="141">
        <f t="array" ref="R144">IF(AND($B144&gt;=$E$4,$B144&lt;=$E$5),SUMPRODUCT(R$45:R$94,TRANSPOSE(Data_85_15!$B36:$AY36))%,"")</f>
        <v>0.23630000000000004</v>
      </c>
      <c r="S144" s="141">
        <f t="array" ref="S144">IF(AND($B144&gt;=$E$4,$B144&lt;=$E$5),SUMPRODUCT(S$45:S$94,TRANSPOSE(Data_85_15!$B36:$AY36))%,"")</f>
        <v>0.15608749999999999</v>
      </c>
      <c r="T144" s="141">
        <f t="array" ref="T144">IF(AND($B144&gt;=$E$4,$B144&lt;=$E$5),SUMPRODUCT(T$45:T$94,TRANSPOSE(Data_85_15!$B36:$AY36))%,"")</f>
        <v>0.12214999999999999</v>
      </c>
      <c r="U144" s="141">
        <f t="array" ref="U144">IF(AND($B144&gt;=$E$4,$B144&lt;=$E$5),SUMPRODUCT(U$45:U$94,TRANSPOSE(Data_85_15!$B36:$AY36))%,"")</f>
        <v>0.13358599999999998</v>
      </c>
      <c r="V144" s="141">
        <f t="array" ref="V144">IF(AND($B144&gt;=$E$4,$B144&lt;=$E$5),SUMPRODUCT(V$45:V$94,TRANSPOSE(Data_85_15!$B36:$AY36))%,"")</f>
        <v>8.6074999999999999E-2</v>
      </c>
      <c r="W144" s="141">
        <f t="array" ref="W144">IF(AND($B144&gt;=$E$4,$B144&lt;=$E$5),SUMPRODUCT(W$45:W$94,TRANSPOSE(Data_85_15!$B36:$AY36))%,"")</f>
        <v>7.3480000000000004E-2</v>
      </c>
      <c r="X144" s="141">
        <f t="array" ref="X144">IF(AND($B144&gt;=$E$4,$B144&lt;=$E$5),SUMPRODUCT(X$45:X$94,TRANSPOSE(Data_85_15!$B36:$AY36))%,"")</f>
        <v>9.1463429999999984E-2</v>
      </c>
      <c r="Y144" s="141">
        <f t="array" ref="Y144">IF(AND($B144&gt;=$E$4,$B144&lt;=$E$5),SUMPRODUCT(Y$45:Y$94,TRANSPOSE(Data_85_15!$B36:$AY36))%,"")</f>
        <v>-1.999999999999999E-2</v>
      </c>
      <c r="Z144" s="141">
        <f t="array" ref="Z144">IF(AND($B144&gt;=$E$4,$B144&lt;=$E$5),SUMPRODUCT(Z$45:Z$94,TRANSPOSE(Data_85_15!$B36:$AY36))%,"")</f>
        <v>0.14383499999999999</v>
      </c>
      <c r="AA144" s="141">
        <f t="array" ref="AA144">IF(AND($B144&gt;=$E$4,$B144&lt;=$E$5),SUMPRODUCT(AA$45:AA$94,TRANSPOSE(Data_85_15!$B36:$AY36))%,"")</f>
        <v>1.5259999999999991E-2</v>
      </c>
    </row>
    <row r="145" spans="2:27">
      <c r="B145" s="142">
        <f t="shared" si="11"/>
        <v>2014</v>
      </c>
      <c r="C145" s="141">
        <f t="array" ref="C145">IF(AND($B145&gt;=$E$4,$B145&lt;=$E$5),SUMPRODUCT(C$45:C$94,TRANSPOSE(Data_85_15!$B37:$AY37))%,"")</f>
        <v>9.820000000000001E-2</v>
      </c>
      <c r="D145" s="141">
        <f t="array" ref="D145">IF(AND($B145&gt;=$E$4,$B145&lt;=$E$5),SUMPRODUCT(D$45:D$94,TRANSPOSE(Data_85_15!$B37:$AY37))%,"")</f>
        <v>8.0700000000000008E-2</v>
      </c>
      <c r="E145" s="141">
        <f t="array" ref="E145">IF(AND($B145&gt;=$E$4,$B145&lt;=$E$5),SUMPRODUCT(E$45:E$94,TRANSPOSE(Data_85_15!$B37:$AY37))%,"")</f>
        <v>0.11096</v>
      </c>
      <c r="F145" s="141">
        <f t="array" ref="F145">IF(AND($B145&gt;=$E$4,$B145&lt;=$E$5),SUMPRODUCT(F$45:F$94,TRANSPOSE(Data_85_15!$B37:$AY37))%,"")</f>
        <v>6.0949999999999997E-2</v>
      </c>
      <c r="G145" s="141">
        <f t="array" ref="G145">IF(AND($B145&gt;=$E$4,$B145&lt;=$E$5),SUMPRODUCT(G$45:G$94,TRANSPOSE(Data_85_15!$B37:$AY37))%,"")</f>
        <v>5.9019999999999989E-2</v>
      </c>
      <c r="H145" s="141">
        <f t="array" ref="H145">IF(AND($B145&gt;=$E$4,$B145&lt;=$E$5),SUMPRODUCT(H$45:H$94,TRANSPOSE(Data_85_15!$B37:$AY37))%,"")</f>
        <v>8.5111999999999993E-2</v>
      </c>
      <c r="I145" s="141">
        <f t="array" ref="I145">IF(AND($B145&gt;=$E$4,$B145&lt;=$E$5),SUMPRODUCT(I$45:I$94,TRANSPOSE(Data_85_15!$B37:$AY37))%,"")</f>
        <v>6.2405000000000009E-2</v>
      </c>
      <c r="J145" s="141">
        <f t="array" ref="J145">IF(AND($B145&gt;=$E$4,$B145&lt;=$E$5),SUMPRODUCT(J$45:J$94,TRANSPOSE(Data_85_15!$B37:$AY37))%,"")</f>
        <v>3.7299999999999993E-2</v>
      </c>
      <c r="K145" s="141">
        <f t="array" ref="K145">IF(AND($B145&gt;=$E$4,$B145&lt;=$E$5),SUMPRODUCT(K$45:K$94,TRANSPOSE(Data_85_15!$B37:$AY37))%,"")</f>
        <v>6.2405000000000009E-2</v>
      </c>
      <c r="L145" s="141">
        <f t="array" ref="L145">IF(AND($B145&gt;=$E$4,$B145&lt;=$E$5),SUMPRODUCT(L$45:L$94,TRANSPOSE(Data_85_15!$B37:$AY37))%,"")</f>
        <v>0.10428999999999998</v>
      </c>
      <c r="M145" s="141">
        <f t="array" ref="M145">IF(AND($B145&gt;=$E$4,$B145&lt;=$E$5),SUMPRODUCT(M$45:M$94,TRANSPOSE(Data_85_15!$B37:$AY37))%,"")</f>
        <v>6.4390000000000003E-2</v>
      </c>
      <c r="N145" s="141">
        <f t="array" ref="N145">IF(AND($B145&gt;=$E$4,$B145&lt;=$E$5),SUMPRODUCT(N$45:N$94,TRANSPOSE(Data_85_15!$B37:$AY37))%,"")</f>
        <v>9.325E-2</v>
      </c>
      <c r="O145" s="141">
        <f t="array" ref="O145">IF(AND($B145&gt;=$E$4,$B145&lt;=$E$5),SUMPRODUCT(O$45:O$94,TRANSPOSE(Data_85_15!$B37:$AY37))%,"")</f>
        <v>4.2640000000000011E-2</v>
      </c>
      <c r="P145" s="141">
        <f t="array" ref="P145">IF(AND($B145&gt;=$E$4,$B145&lt;=$E$5),SUMPRODUCT(P$45:P$94,TRANSPOSE(Data_85_15!$B37:$AY37))%,"")</f>
        <v>9.6079999999999999E-2</v>
      </c>
      <c r="Q145" s="141">
        <f t="array" ref="Q145">IF(AND($B145&gt;=$E$4,$B145&lt;=$E$5),SUMPRODUCT(Q$45:Q$94,TRANSPOSE(Data_85_15!$B37:$AY37))%,"")</f>
        <v>0.13292000000000001</v>
      </c>
      <c r="R145" s="141">
        <f t="array" ref="R145">IF(AND($B145&gt;=$E$4,$B145&lt;=$E$5),SUMPRODUCT(R$45:R$94,TRANSPOSE(Data_85_15!$B37:$AY37))%,"")</f>
        <v>6.5689999999999985E-2</v>
      </c>
      <c r="S145" s="141">
        <f t="array" ref="S145">IF(AND($B145&gt;=$E$4,$B145&lt;=$E$5),SUMPRODUCT(S$45:S$94,TRANSPOSE(Data_85_15!$B37:$AY37))%,"")</f>
        <v>4.5640750000000008E-2</v>
      </c>
      <c r="T145" s="141">
        <f t="array" ref="T145">IF(AND($B145&gt;=$E$4,$B145&lt;=$E$5),SUMPRODUCT(T$45:T$94,TRANSPOSE(Data_85_15!$B37:$AY37))%,"")</f>
        <v>8.1299999999999983E-2</v>
      </c>
      <c r="U145" s="141">
        <f t="array" ref="U145">IF(AND($B145&gt;=$E$4,$B145&lt;=$E$5),SUMPRODUCT(U$45:U$94,TRANSPOSE(Data_85_15!$B37:$AY37))%,"")</f>
        <v>4.0908999999999994E-2</v>
      </c>
      <c r="V145" s="141">
        <f t="array" ref="V145">IF(AND($B145&gt;=$E$4,$B145&lt;=$E$5),SUMPRODUCT(V$45:V$94,TRANSPOSE(Data_85_15!$B37:$AY37))%,"")</f>
        <v>3.5975E-2</v>
      </c>
      <c r="W145" s="141">
        <f t="array" ref="W145">IF(AND($B145&gt;=$E$4,$B145&lt;=$E$5),SUMPRODUCT(W$45:W$94,TRANSPOSE(Data_85_15!$B37:$AY37))%,"")</f>
        <v>8.9039999999999994E-2</v>
      </c>
      <c r="X145" s="141">
        <f t="array" ref="X145">IF(AND($B145&gt;=$E$4,$B145&lt;=$E$5),SUMPRODUCT(X$45:X$94,TRANSPOSE(Data_85_15!$B37:$AY37))%,"")</f>
        <v>5.0425589999999999E-2</v>
      </c>
      <c r="Y145" s="141">
        <f t="array" ref="Y145">IF(AND($B145&gt;=$E$4,$B145&lt;=$E$5),SUMPRODUCT(Y$45:Y$94,TRANSPOSE(Data_85_15!$B37:$AY37))%,"")</f>
        <v>8.8800000000000004E-2</v>
      </c>
      <c r="Z145" s="141">
        <f t="array" ref="Z145">IF(AND($B145&gt;=$E$4,$B145&lt;=$E$5),SUMPRODUCT(Z$45:Z$94,TRANSPOSE(Data_85_15!$B37:$AY37))%,"")</f>
        <v>5.1532000000000001E-2</v>
      </c>
      <c r="AA145" s="141">
        <f t="array" ref="AA145">IF(AND($B145&gt;=$E$4,$B145&lt;=$E$5),SUMPRODUCT(AA$45:AA$94,TRANSPOSE(Data_85_15!$B37:$AY37))%,"")</f>
        <v>3.2104999999999995E-2</v>
      </c>
    </row>
    <row r="146" spans="2:27">
      <c r="B146" s="142">
        <f t="shared" si="11"/>
        <v>2015</v>
      </c>
      <c r="C146" s="141">
        <f t="array" ref="C146">IF(AND($B146&gt;=$E$4,$B146&lt;=$E$5),SUMPRODUCT(C$45:C$94,TRANSPOSE(Data_85_15!$B38:$AY38))%,"")</f>
        <v>5.9999999999999995E-4</v>
      </c>
      <c r="D146" s="141">
        <f t="array" ref="D146">IF(AND($B146&gt;=$E$4,$B146&lt;=$E$5),SUMPRODUCT(D$45:D$94,TRANSPOSE(Data_85_15!$B38:$AY38))%,"")</f>
        <v>1.2800000000000001E-2</v>
      </c>
      <c r="E146" s="141">
        <f t="array" ref="E146">IF(AND($B146&gt;=$E$4,$B146&lt;=$E$5),SUMPRODUCT(E$45:E$94,TRANSPOSE(Data_85_15!$B38:$AY38))%,"")</f>
        <v>2.9199999999999999E-3</v>
      </c>
      <c r="F146" s="141">
        <f t="array" ref="F146">IF(AND($B146&gt;=$E$4,$B146&lt;=$E$5),SUMPRODUCT(F$45:F$94,TRANSPOSE(Data_85_15!$B38:$AY38))%,"")</f>
        <v>-1.1059999999999999E-2</v>
      </c>
      <c r="G146" s="141">
        <f t="array" ref="G146">IF(AND($B146&gt;=$E$4,$B146&lt;=$E$5),SUMPRODUCT(G$45:G$94,TRANSPOSE(Data_85_15!$B38:$AY38))%,"")</f>
        <v>-1.319E-2</v>
      </c>
      <c r="H146" s="141">
        <f t="array" ref="H146">IF(AND($B146&gt;=$E$4,$B146&lt;=$E$5),SUMPRODUCT(H$45:H$94,TRANSPOSE(Data_85_15!$B38:$AY38))%,"")</f>
        <v>-6.7199999999999994E-3</v>
      </c>
      <c r="I146" s="141">
        <f t="array" ref="I146">IF(AND($B146&gt;=$E$4,$B146&lt;=$E$5),SUMPRODUCT(I$45:I$94,TRANSPOSE(Data_85_15!$B38:$AY38))%,"")</f>
        <v>-9.6650000000000017E-3</v>
      </c>
      <c r="J146" s="141">
        <f t="array" ref="J146">IF(AND($B146&gt;=$E$4,$B146&lt;=$E$5),SUMPRODUCT(J$45:J$94,TRANSPOSE(Data_85_15!$B38:$AY38))%,"")</f>
        <v>-1.0199999999999997E-2</v>
      </c>
      <c r="K146" s="141">
        <f t="array" ref="K146">IF(AND($B146&gt;=$E$4,$B146&lt;=$E$5),SUMPRODUCT(K$45:K$94,TRANSPOSE(Data_85_15!$B38:$AY38))%,"")</f>
        <v>-9.6650000000000017E-3</v>
      </c>
      <c r="L146" s="141">
        <f t="array" ref="L146">IF(AND($B146&gt;=$E$4,$B146&lt;=$E$5),SUMPRODUCT(L$45:L$94,TRANSPOSE(Data_85_15!$B38:$AY38))%,"")</f>
        <v>2.9299999999999999E-3</v>
      </c>
      <c r="M146" s="141">
        <f t="array" ref="M146">IF(AND($B146&gt;=$E$4,$B146&lt;=$E$5),SUMPRODUCT(M$45:M$94,TRANSPOSE(Data_85_15!$B38:$AY38))%,"")</f>
        <v>-2.3195E-2</v>
      </c>
      <c r="N146" s="141">
        <f t="array" ref="N146">IF(AND($B146&gt;=$E$4,$B146&lt;=$E$5),SUMPRODUCT(N$45:N$94,TRANSPOSE(Data_85_15!$B38:$AY38))%,"")</f>
        <v>-9.2900000000000014E-3</v>
      </c>
      <c r="O146" s="141">
        <f t="array" ref="O146">IF(AND($B146&gt;=$E$4,$B146&lt;=$E$5),SUMPRODUCT(O$45:O$94,TRANSPOSE(Data_85_15!$B38:$AY38))%,"")</f>
        <v>-1.5354000000000001E-2</v>
      </c>
      <c r="P146" s="141">
        <f t="array" ref="P146">IF(AND($B146&gt;=$E$4,$B146&lt;=$E$5),SUMPRODUCT(P$45:P$94,TRANSPOSE(Data_85_15!$B38:$AY38))%,"")</f>
        <v>-4.7850000000000002E-3</v>
      </c>
      <c r="Q146" s="141">
        <f t="array" ref="Q146">IF(AND($B146&gt;=$E$4,$B146&lt;=$E$5),SUMPRODUCT(Q$45:Q$94,TRANSPOSE(Data_85_15!$B38:$AY38))%,"")</f>
        <v>-7.7700000000000017E-3</v>
      </c>
      <c r="R146" s="141">
        <f t="array" ref="R146">IF(AND($B146&gt;=$E$4,$B146&lt;=$E$5),SUMPRODUCT(R$45:R$94,TRANSPOSE(Data_85_15!$B38:$AY38))%,"")</f>
        <v>-1.32E-2</v>
      </c>
      <c r="S146" s="141">
        <f t="array" ref="S146">IF(AND($B146&gt;=$E$4,$B146&lt;=$E$5),SUMPRODUCT(S$45:S$94,TRANSPOSE(Data_85_15!$B38:$AY38))%,"")</f>
        <v>-1.6664000000000002E-2</v>
      </c>
      <c r="T146" s="141">
        <f t="array" ref="T146">IF(AND($B146&gt;=$E$4,$B146&lt;=$E$5),SUMPRODUCT(T$45:T$94,TRANSPOSE(Data_85_15!$B38:$AY38))%,"")</f>
        <v>-7.7000000000000002E-3</v>
      </c>
      <c r="U146" s="141">
        <f t="array" ref="U146">IF(AND($B146&gt;=$E$4,$B146&lt;=$E$5),SUMPRODUCT(U$45:U$94,TRANSPOSE(Data_85_15!$B38:$AY38))%,"")</f>
        <v>-1.9474000000000002E-2</v>
      </c>
      <c r="V146" s="141">
        <f t="array" ref="V146">IF(AND($B146&gt;=$E$4,$B146&lt;=$E$5),SUMPRODUCT(V$45:V$94,TRANSPOSE(Data_85_15!$B38:$AY38))%,"")</f>
        <v>-2.375E-2</v>
      </c>
      <c r="W146" s="141">
        <f t="array" ref="W146">IF(AND($B146&gt;=$E$4,$B146&lt;=$E$5),SUMPRODUCT(W$45:W$94,TRANSPOSE(Data_85_15!$B38:$AY38))%,"")</f>
        <v>-1.4560000000000002E-2</v>
      </c>
      <c r="X146" s="141">
        <f t="array" ref="X146">IF(AND($B146&gt;=$E$4,$B146&lt;=$E$5),SUMPRODUCT(X$45:X$94,TRANSPOSE(Data_85_15!$B38:$AY38))%,"")</f>
        <v>-4.7913870000000004E-2</v>
      </c>
      <c r="Y146" s="141">
        <f t="array" ref="Y146">IF(AND($B146&gt;=$E$4,$B146&lt;=$E$5),SUMPRODUCT(Y$45:Y$94,TRANSPOSE(Data_85_15!$B38:$AY38))%,"")</f>
        <v>-2.9750000000000002E-2</v>
      </c>
      <c r="Z146" s="141">
        <f t="array" ref="Z146">IF(AND($B146&gt;=$E$4,$B146&lt;=$E$5),SUMPRODUCT(Z$45:Z$94,TRANSPOSE(Data_85_15!$B38:$AY38))%,"")</f>
        <v>-3.5525000000000001E-2</v>
      </c>
      <c r="AA146" s="141">
        <f t="array" ref="AA146">IF(AND($B146&gt;=$E$4,$B146&lt;=$E$5),SUMPRODUCT(AA$45:AA$94,TRANSPOSE(Data_85_15!$B38:$AY38))%,"")</f>
        <v>-3.5264999999999998E-2</v>
      </c>
    </row>
    <row r="147" spans="2:27">
      <c r="B147" s="142">
        <f t="shared" si="11"/>
        <v>2016</v>
      </c>
      <c r="C147" s="141" t="str">
        <f t="array" ref="C147">IF(AND($B147&gt;=$E$4,$B147&lt;=$E$5),SUMPRODUCT(C$45:C$94,TRANSPOSE(Data_85_15!$B39:$AY39))%,"")</f>
        <v/>
      </c>
      <c r="D147" s="141" t="str">
        <f t="array" ref="D147">IF(AND($B147&gt;=$E$4,$B147&lt;=$E$5),SUMPRODUCT(D$45:D$94,TRANSPOSE(Data_85_15!$B39:$AY39))%,"")</f>
        <v/>
      </c>
      <c r="E147" s="141" t="str">
        <f t="array" ref="E147">IF(AND($B147&gt;=$E$4,$B147&lt;=$E$5),SUMPRODUCT(E$45:E$94,TRANSPOSE(Data_85_15!$B39:$AY39))%,"")</f>
        <v/>
      </c>
      <c r="F147" s="141" t="str">
        <f t="array" ref="F147">IF(AND($B147&gt;=$E$4,$B147&lt;=$E$5),SUMPRODUCT(F$45:F$94,TRANSPOSE(Data_85_15!$B39:$AY39))%,"")</f>
        <v/>
      </c>
      <c r="G147" s="141" t="str">
        <f t="array" ref="G147">IF(AND($B147&gt;=$E$4,$B147&lt;=$E$5),SUMPRODUCT(G$45:G$94,TRANSPOSE(Data_85_15!$B39:$AY39))%,"")</f>
        <v/>
      </c>
      <c r="H147" s="141" t="str">
        <f t="array" ref="H147">IF(AND($B147&gt;=$E$4,$B147&lt;=$E$5),SUMPRODUCT(H$45:H$94,TRANSPOSE(Data_85_15!$B39:$AY39))%,"")</f>
        <v/>
      </c>
      <c r="I147" s="141" t="str">
        <f t="array" ref="I147">IF(AND($B147&gt;=$E$4,$B147&lt;=$E$5),SUMPRODUCT(I$45:I$94,TRANSPOSE(Data_85_15!$B39:$AY39))%,"")</f>
        <v/>
      </c>
      <c r="J147" s="141" t="str">
        <f t="array" ref="J147">IF(AND($B147&gt;=$E$4,$B147&lt;=$E$5),SUMPRODUCT(J$45:J$94,TRANSPOSE(Data_85_15!$B39:$AY39))%,"")</f>
        <v/>
      </c>
      <c r="K147" s="141" t="str">
        <f t="array" ref="K147">IF(AND($B147&gt;=$E$4,$B147&lt;=$E$5),SUMPRODUCT(K$45:K$94,TRANSPOSE(Data_85_15!$B39:$AY39))%,"")</f>
        <v/>
      </c>
      <c r="L147" s="141" t="str">
        <f t="array" ref="L147">IF(AND($B147&gt;=$E$4,$B147&lt;=$E$5),SUMPRODUCT(L$45:L$94,TRANSPOSE(Data_85_15!$B39:$AY39))%,"")</f>
        <v/>
      </c>
      <c r="M147" s="141" t="str">
        <f t="array" ref="M147">IF(AND($B147&gt;=$E$4,$B147&lt;=$E$5),SUMPRODUCT(M$45:M$94,TRANSPOSE(Data_85_15!$B39:$AY39))%,"")</f>
        <v/>
      </c>
      <c r="N147" s="141" t="str">
        <f t="array" ref="N147">IF(AND($B147&gt;=$E$4,$B147&lt;=$E$5),SUMPRODUCT(N$45:N$94,TRANSPOSE(Data_85_15!$B39:$AY39))%,"")</f>
        <v/>
      </c>
      <c r="O147" s="141" t="str">
        <f t="array" ref="O147">IF(AND($B147&gt;=$E$4,$B147&lt;=$E$5),SUMPRODUCT(O$45:O$94,TRANSPOSE(Data_85_15!$B39:$AY39))%,"")</f>
        <v/>
      </c>
      <c r="P147" s="141" t="str">
        <f t="array" ref="P147">IF(AND($B147&gt;=$E$4,$B147&lt;=$E$5),SUMPRODUCT(P$45:P$94,TRANSPOSE(Data_85_15!$B39:$AY39))%,"")</f>
        <v/>
      </c>
      <c r="Q147" s="141" t="str">
        <f t="array" ref="Q147">IF(AND($B147&gt;=$E$4,$B147&lt;=$E$5),SUMPRODUCT(Q$45:Q$94,TRANSPOSE(Data_85_15!$B39:$AY39))%,"")</f>
        <v/>
      </c>
      <c r="R147" s="141" t="str">
        <f t="array" ref="R147">IF(AND($B147&gt;=$E$4,$B147&lt;=$E$5),SUMPRODUCT(R$45:R$94,TRANSPOSE(Data_85_15!$B39:$AY39))%,"")</f>
        <v/>
      </c>
      <c r="S147" s="141" t="str">
        <f t="array" ref="S147">IF(AND($B147&gt;=$E$4,$B147&lt;=$E$5),SUMPRODUCT(S$45:S$94,TRANSPOSE(Data_85_15!$B39:$AY39))%,"")</f>
        <v/>
      </c>
      <c r="T147" s="141" t="str">
        <f t="array" ref="T147">IF(AND($B147&gt;=$E$4,$B147&lt;=$E$5),SUMPRODUCT(T$45:T$94,TRANSPOSE(Data_85_15!$B39:$AY39))%,"")</f>
        <v/>
      </c>
      <c r="U147" s="141" t="str">
        <f t="array" ref="U147">IF(AND($B147&gt;=$E$4,$B147&lt;=$E$5),SUMPRODUCT(U$45:U$94,TRANSPOSE(Data_85_15!$B39:$AY39))%,"")</f>
        <v/>
      </c>
      <c r="V147" s="141" t="str">
        <f t="array" ref="V147">IF(AND($B147&gt;=$E$4,$B147&lt;=$E$5),SUMPRODUCT(V$45:V$94,TRANSPOSE(Data_85_15!$B39:$AY39))%,"")</f>
        <v/>
      </c>
      <c r="W147" s="141" t="str">
        <f t="array" ref="W147">IF(AND($B147&gt;=$E$4,$B147&lt;=$E$5),SUMPRODUCT(W$45:W$94,TRANSPOSE(Data_85_15!$B39:$AY39))%,"")</f>
        <v/>
      </c>
      <c r="X147" s="141" t="str">
        <f t="array" ref="X147">IF(AND($B147&gt;=$E$4,$B147&lt;=$E$5),SUMPRODUCT(X$45:X$94,TRANSPOSE(Data_85_15!$B39:$AY39))%,"")</f>
        <v/>
      </c>
      <c r="Y147" s="141" t="str">
        <f t="array" ref="Y147">IF(AND($B147&gt;=$E$4,$B147&lt;=$E$5),SUMPRODUCT(Y$45:Y$94,TRANSPOSE(Data_85_15!$B39:$AY39))%,"")</f>
        <v/>
      </c>
      <c r="Z147" s="141" t="str">
        <f t="array" ref="Z147">IF(AND($B147&gt;=$E$4,$B147&lt;=$E$5),SUMPRODUCT(Z$45:Z$94,TRANSPOSE(Data_85_15!$B39:$AY39))%,"")</f>
        <v/>
      </c>
      <c r="AA147" s="141" t="str">
        <f t="array" ref="AA147">IF(AND($B147&gt;=$E$4,$B147&lt;=$E$5),SUMPRODUCT(AA$45:AA$94,TRANSPOSE(Data_85_15!$B39:$AY39))%,"")</f>
        <v/>
      </c>
    </row>
  </sheetData>
  <sheetProtection selectLockedCells="1" selectUnlockedCells="1"/>
  <mergeCells count="9">
    <mergeCell ref="C6:D6"/>
    <mergeCell ref="C7:D7"/>
    <mergeCell ref="C8:D8"/>
    <mergeCell ref="C1:N1"/>
    <mergeCell ref="C3:D3"/>
    <mergeCell ref="C4:D4"/>
    <mergeCell ref="F4:I4"/>
    <mergeCell ref="C5:D5"/>
    <mergeCell ref="F5:I5"/>
  </mergeCells>
  <conditionalFormatting sqref="C116:AA147">
    <cfRule type="cellIs" dxfId="43" priority="1" stopIfTrue="1" operator="equal">
      <formula>MAX($C116:$AA116,-99)</formula>
    </cfRule>
    <cfRule type="cellIs" dxfId="42" priority="2" stopIfTrue="1" operator="equal">
      <formula>MIN($C116:$AA116,99)</formula>
    </cfRule>
  </conditionalFormatting>
  <pageMargins left="0.7" right="0.7" top="0.75" bottom="0.75" header="0.51180555555555551" footer="0.51180555555555551"/>
  <pageSetup firstPageNumber="0" orientation="portrait" horizontalDpi="300" verticalDpi="300"/>
  <ignoredErrors>
    <ignoredError sqref="C95:AA95 C111:AA111 C116:AA145 C146:AA147" emptyCellReference="1"/>
  </ignoredErrors>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7"/>
  <sheetViews>
    <sheetView zoomScale="90" zoomScaleNormal="90" zoomScalePageLayoutView="90" workbookViewId="0"/>
  </sheetViews>
  <sheetFormatPr baseColWidth="10" defaultColWidth="11.6640625" defaultRowHeight="12" x14ac:dyDescent="0"/>
  <sheetData>
    <row r="1" spans="1:15">
      <c r="A1" s="401" t="s">
        <v>284</v>
      </c>
      <c r="B1" s="402"/>
      <c r="C1" s="402"/>
      <c r="D1" s="402"/>
      <c r="E1" s="402"/>
      <c r="F1" s="402"/>
      <c r="G1" s="402"/>
      <c r="H1" s="402"/>
      <c r="I1" s="402"/>
      <c r="J1" s="403"/>
      <c r="K1" s="403"/>
      <c r="L1" s="403"/>
      <c r="M1" s="403"/>
      <c r="N1" s="403"/>
      <c r="O1" s="404"/>
    </row>
    <row r="2" spans="1:15">
      <c r="A2" s="405" t="s">
        <v>285</v>
      </c>
      <c r="B2" s="187"/>
      <c r="C2" s="187"/>
      <c r="D2" s="187"/>
      <c r="E2" s="187"/>
      <c r="F2" s="187"/>
      <c r="G2" s="187"/>
      <c r="H2" s="187"/>
      <c r="I2" s="187"/>
      <c r="J2" s="406"/>
      <c r="K2" s="406"/>
      <c r="L2" s="406"/>
      <c r="M2" s="406"/>
      <c r="N2" s="406"/>
      <c r="O2" s="407"/>
    </row>
    <row r="3" spans="1:15">
      <c r="A3" s="409" t="s">
        <v>957</v>
      </c>
      <c r="B3" s="187"/>
      <c r="C3" s="187"/>
      <c r="D3" s="187"/>
      <c r="E3" s="187"/>
      <c r="F3" s="187"/>
      <c r="G3" s="187"/>
      <c r="H3" s="187"/>
      <c r="I3" s="187"/>
      <c r="J3" s="406"/>
      <c r="K3" s="406"/>
      <c r="L3" s="406"/>
      <c r="M3" s="406"/>
      <c r="N3" s="406"/>
      <c r="O3" s="407"/>
    </row>
    <row r="4" spans="1:15">
      <c r="A4" s="637" t="s">
        <v>637</v>
      </c>
      <c r="B4" s="638"/>
      <c r="C4" s="638"/>
      <c r="D4" s="638"/>
      <c r="E4" s="409" t="s">
        <v>13</v>
      </c>
      <c r="F4" s="187"/>
      <c r="G4" s="187"/>
      <c r="H4" s="187"/>
      <c r="I4" s="187"/>
      <c r="J4" s="406"/>
      <c r="K4" s="406"/>
      <c r="L4" s="406"/>
      <c r="M4" s="406"/>
      <c r="N4" s="406"/>
      <c r="O4" s="407"/>
    </row>
    <row r="5" spans="1:15">
      <c r="A5" s="405"/>
      <c r="B5" s="187"/>
      <c r="C5" s="187"/>
      <c r="D5" s="187"/>
      <c r="E5" s="187"/>
      <c r="F5" s="187"/>
      <c r="G5" s="187"/>
      <c r="H5" s="187"/>
      <c r="I5" s="187"/>
      <c r="J5" s="406"/>
      <c r="K5" s="406"/>
      <c r="L5" s="406"/>
      <c r="M5" s="406"/>
      <c r="N5" s="406"/>
      <c r="O5" s="407"/>
    </row>
    <row r="6" spans="1:15">
      <c r="A6" s="408" t="s">
        <v>286</v>
      </c>
      <c r="B6" s="187"/>
      <c r="C6" s="187"/>
      <c r="D6" s="187"/>
      <c r="E6" s="187"/>
      <c r="F6" s="187"/>
      <c r="G6" s="187"/>
      <c r="H6" s="187"/>
      <c r="I6" s="187"/>
      <c r="J6" s="406"/>
      <c r="K6" s="406"/>
      <c r="L6" s="406"/>
      <c r="M6" s="406"/>
      <c r="N6" s="406"/>
      <c r="O6" s="407"/>
    </row>
    <row r="7" spans="1:15">
      <c r="A7" s="646" t="s">
        <v>950</v>
      </c>
      <c r="B7" s="187"/>
      <c r="C7" s="187"/>
      <c r="D7" s="187"/>
      <c r="E7" s="187"/>
      <c r="F7" s="187"/>
      <c r="G7" s="187"/>
      <c r="H7" s="187"/>
      <c r="I7" s="187"/>
      <c r="J7" s="406"/>
      <c r="K7" s="406"/>
      <c r="L7" s="406"/>
      <c r="M7" s="406"/>
      <c r="N7" s="406"/>
      <c r="O7" s="407"/>
    </row>
    <row r="8" spans="1:15">
      <c r="A8" s="648" t="s">
        <v>975</v>
      </c>
      <c r="B8" s="187"/>
      <c r="C8" s="187"/>
      <c r="D8" s="187"/>
      <c r="E8" s="187"/>
      <c r="F8" s="4" t="s">
        <v>976</v>
      </c>
      <c r="G8" s="648"/>
      <c r="H8" s="187"/>
      <c r="I8" s="187"/>
      <c r="J8" s="406"/>
      <c r="K8" s="406"/>
      <c r="L8" s="406"/>
      <c r="M8" s="406"/>
      <c r="N8" s="406"/>
      <c r="O8" s="407"/>
    </row>
    <row r="9" spans="1:15">
      <c r="A9" s="647" t="s">
        <v>953</v>
      </c>
      <c r="B9" s="187"/>
      <c r="C9" s="187"/>
      <c r="D9" s="187"/>
      <c r="E9" s="187"/>
      <c r="F9" s="596" t="s">
        <v>958</v>
      </c>
      <c r="G9" s="187"/>
      <c r="H9" s="187"/>
      <c r="I9" s="187"/>
      <c r="J9" s="406"/>
      <c r="K9" s="406"/>
      <c r="L9" s="406"/>
      <c r="M9" s="406"/>
      <c r="N9" s="406"/>
      <c r="O9" s="407"/>
    </row>
    <row r="10" spans="1:15">
      <c r="A10" s="408" t="s">
        <v>287</v>
      </c>
      <c r="B10" s="187"/>
      <c r="C10" s="187"/>
      <c r="D10" s="187"/>
      <c r="E10" s="187"/>
      <c r="F10" s="187"/>
      <c r="G10" s="187"/>
      <c r="H10" s="187"/>
      <c r="I10" s="187"/>
      <c r="J10" s="406"/>
      <c r="K10" s="406"/>
      <c r="L10" s="406"/>
      <c r="M10" s="406"/>
      <c r="N10" s="406"/>
      <c r="O10" s="407"/>
    </row>
    <row r="11" spans="1:15">
      <c r="A11" s="408"/>
      <c r="B11" s="187"/>
      <c r="C11" s="187"/>
      <c r="D11" s="187"/>
      <c r="E11" s="187"/>
      <c r="F11" s="187"/>
      <c r="G11" s="187"/>
      <c r="H11" s="187"/>
      <c r="I11" s="187"/>
      <c r="J11" s="406"/>
      <c r="K11" s="406"/>
      <c r="L11" s="406"/>
      <c r="M11" s="406"/>
      <c r="N11" s="406"/>
      <c r="O11" s="407"/>
    </row>
    <row r="12" spans="1:15">
      <c r="A12" s="408" t="s">
        <v>288</v>
      </c>
      <c r="B12" s="187"/>
      <c r="C12" s="187"/>
      <c r="D12" s="187"/>
      <c r="E12" s="187"/>
      <c r="F12" s="187"/>
      <c r="G12" s="409" t="s">
        <v>289</v>
      </c>
      <c r="H12" s="187"/>
      <c r="I12" s="187"/>
      <c r="J12" s="406"/>
      <c r="K12" s="406"/>
      <c r="L12" s="596" t="s">
        <v>958</v>
      </c>
      <c r="M12" s="406"/>
      <c r="N12" s="406"/>
      <c r="O12" s="407"/>
    </row>
    <row r="13" spans="1:15">
      <c r="A13" s="408" t="s">
        <v>290</v>
      </c>
      <c r="B13" s="187"/>
      <c r="C13" s="187"/>
      <c r="D13" s="187"/>
      <c r="E13" s="187"/>
      <c r="F13" s="187"/>
      <c r="G13" s="409"/>
      <c r="H13" s="187"/>
      <c r="I13" s="187"/>
      <c r="J13" s="406"/>
      <c r="K13" s="406"/>
      <c r="L13" s="406"/>
      <c r="M13" s="406"/>
      <c r="N13" s="406"/>
      <c r="O13" s="407"/>
    </row>
    <row r="14" spans="1:15">
      <c r="A14" s="408" t="s">
        <v>951</v>
      </c>
      <c r="B14" s="187"/>
      <c r="C14" s="187"/>
      <c r="D14" s="187"/>
      <c r="E14" s="187"/>
      <c r="F14" s="187"/>
      <c r="G14" s="409" t="s">
        <v>676</v>
      </c>
      <c r="H14" s="187"/>
      <c r="I14" s="187"/>
      <c r="J14" s="406"/>
      <c r="K14" s="406"/>
      <c r="L14" s="406"/>
      <c r="M14" s="406"/>
      <c r="N14" s="406"/>
      <c r="O14" s="407"/>
    </row>
    <row r="15" spans="1:15">
      <c r="A15" s="408" t="s">
        <v>969</v>
      </c>
      <c r="B15" s="187"/>
      <c r="C15" s="187"/>
      <c r="D15" s="187"/>
      <c r="E15" s="187"/>
      <c r="F15" s="187"/>
      <c r="G15" s="409" t="s">
        <v>677</v>
      </c>
      <c r="H15" s="187"/>
      <c r="I15" s="187"/>
      <c r="J15" s="406"/>
      <c r="K15" s="406"/>
      <c r="L15" s="406"/>
      <c r="M15" s="406"/>
      <c r="N15" s="406"/>
      <c r="O15" s="407"/>
    </row>
    <row r="16" spans="1:15">
      <c r="A16" s="408"/>
      <c r="B16" s="187"/>
      <c r="C16" s="187"/>
      <c r="D16" s="187"/>
      <c r="E16" s="187"/>
      <c r="F16" s="187"/>
      <c r="G16" s="187"/>
      <c r="H16" s="187"/>
      <c r="I16" s="187"/>
      <c r="J16" s="406"/>
      <c r="K16" s="406"/>
      <c r="L16" s="406"/>
      <c r="M16" s="406"/>
      <c r="N16" s="406"/>
      <c r="O16" s="407"/>
    </row>
    <row r="17" spans="1:15">
      <c r="A17" s="408" t="s">
        <v>638</v>
      </c>
      <c r="B17" s="187"/>
      <c r="C17" s="187"/>
      <c r="D17" s="187"/>
      <c r="E17" s="187"/>
      <c r="F17" s="187"/>
      <c r="G17" s="187"/>
      <c r="H17" s="187"/>
      <c r="I17" s="187"/>
      <c r="J17" s="406"/>
      <c r="K17" s="406"/>
      <c r="L17" s="406"/>
      <c r="M17" s="406"/>
      <c r="N17" s="406"/>
      <c r="O17" s="407"/>
    </row>
    <row r="18" spans="1:15">
      <c r="A18" s="408"/>
      <c r="B18" s="187"/>
      <c r="C18" s="187"/>
      <c r="D18" s="187"/>
      <c r="E18" s="187"/>
      <c r="F18" s="187"/>
      <c r="G18" s="187"/>
      <c r="H18" s="187"/>
      <c r="I18" s="187"/>
      <c r="J18" s="406"/>
      <c r="K18" s="406"/>
      <c r="L18" s="406"/>
      <c r="M18" s="406"/>
      <c r="N18" s="406"/>
      <c r="O18" s="407"/>
    </row>
    <row r="19" spans="1:15">
      <c r="A19" s="405" t="s">
        <v>291</v>
      </c>
      <c r="B19" s="187"/>
      <c r="C19" s="187"/>
      <c r="D19" s="187"/>
      <c r="E19" s="187"/>
      <c r="F19" s="188" t="s">
        <v>918</v>
      </c>
      <c r="G19" s="187"/>
      <c r="H19" s="187"/>
      <c r="I19" s="187"/>
      <c r="J19" s="187"/>
      <c r="K19" s="188" t="s">
        <v>293</v>
      </c>
      <c r="L19" s="187"/>
      <c r="M19" s="187"/>
      <c r="N19" s="187"/>
      <c r="O19" s="410"/>
    </row>
    <row r="20" spans="1:15">
      <c r="A20" s="408" t="s">
        <v>587</v>
      </c>
      <c r="B20" s="187"/>
      <c r="C20" s="187"/>
      <c r="D20" s="187"/>
      <c r="E20" s="187"/>
      <c r="F20" s="187" t="s">
        <v>588</v>
      </c>
      <c r="G20" s="187"/>
      <c r="H20" s="187"/>
      <c r="I20" s="187"/>
      <c r="J20" s="187"/>
      <c r="K20" s="187" t="s">
        <v>589</v>
      </c>
      <c r="L20" s="187"/>
      <c r="M20" s="187"/>
      <c r="N20" s="187"/>
      <c r="O20" s="410"/>
    </row>
    <row r="21" spans="1:15">
      <c r="A21" s="408" t="s">
        <v>294</v>
      </c>
      <c r="B21" s="187"/>
      <c r="C21" s="187"/>
      <c r="D21" s="187"/>
      <c r="E21" s="187"/>
      <c r="F21" s="187" t="s">
        <v>295</v>
      </c>
      <c r="G21" s="187"/>
      <c r="H21" s="187"/>
      <c r="I21" s="187"/>
      <c r="J21" s="187"/>
      <c r="K21" s="187" t="s">
        <v>296</v>
      </c>
      <c r="L21" s="187"/>
      <c r="M21" s="187"/>
      <c r="N21" s="187"/>
      <c r="O21" s="410"/>
    </row>
    <row r="22" spans="1:15">
      <c r="A22" s="408" t="s">
        <v>941</v>
      </c>
      <c r="B22" s="187"/>
      <c r="C22" s="187"/>
      <c r="D22" s="187"/>
      <c r="E22" s="187"/>
      <c r="F22" s="187" t="s">
        <v>943</v>
      </c>
      <c r="G22" s="187"/>
      <c r="H22" s="187"/>
      <c r="I22" s="187"/>
      <c r="J22" s="187"/>
      <c r="K22" s="187" t="s">
        <v>297</v>
      </c>
      <c r="L22" s="187"/>
      <c r="M22" s="187"/>
      <c r="N22" s="187"/>
      <c r="O22" s="410"/>
    </row>
    <row r="23" spans="1:15">
      <c r="A23" s="408"/>
      <c r="B23" s="187"/>
      <c r="C23" s="187"/>
      <c r="D23" s="187"/>
      <c r="E23" s="187"/>
      <c r="F23" s="187"/>
      <c r="G23" s="187"/>
      <c r="H23" s="187"/>
      <c r="I23" s="187"/>
      <c r="J23" s="187"/>
      <c r="K23" s="187" t="s">
        <v>948</v>
      </c>
      <c r="L23" s="187"/>
      <c r="M23" s="187"/>
      <c r="N23" s="187"/>
      <c r="O23" s="410"/>
    </row>
    <row r="24" spans="1:15">
      <c r="A24" s="405" t="s">
        <v>298</v>
      </c>
      <c r="B24" s="187"/>
      <c r="C24" s="187"/>
      <c r="D24" s="187"/>
      <c r="E24" s="187"/>
      <c r="F24" s="188" t="s">
        <v>299</v>
      </c>
      <c r="G24" s="187"/>
      <c r="H24" s="187"/>
      <c r="I24" s="187"/>
      <c r="J24" s="187"/>
      <c r="K24" s="187"/>
      <c r="L24" s="187"/>
      <c r="M24" s="187"/>
      <c r="N24" s="187"/>
      <c r="O24" s="410"/>
    </row>
    <row r="25" spans="1:15">
      <c r="A25" s="408" t="s">
        <v>590</v>
      </c>
      <c r="B25" s="187"/>
      <c r="C25" s="187"/>
      <c r="D25" s="187"/>
      <c r="E25" s="187"/>
      <c r="F25" s="187" t="s">
        <v>588</v>
      </c>
      <c r="G25" s="187"/>
      <c r="H25" s="187"/>
      <c r="I25" s="187"/>
      <c r="J25" s="187"/>
      <c r="K25" s="188" t="s">
        <v>300</v>
      </c>
      <c r="L25" s="187"/>
      <c r="M25" s="187"/>
      <c r="N25" s="187"/>
      <c r="O25" s="410"/>
    </row>
    <row r="26" spans="1:15">
      <c r="A26" s="408" t="s">
        <v>301</v>
      </c>
      <c r="B26" s="187"/>
      <c r="C26" s="187"/>
      <c r="D26" s="187"/>
      <c r="E26" s="187"/>
      <c r="F26" s="187" t="s">
        <v>302</v>
      </c>
      <c r="G26" s="187"/>
      <c r="H26" s="187"/>
      <c r="I26" s="187"/>
      <c r="J26" s="187"/>
      <c r="K26" s="187" t="s">
        <v>591</v>
      </c>
      <c r="L26" s="187"/>
      <c r="M26" s="187"/>
      <c r="N26" s="187"/>
      <c r="O26" s="410"/>
    </row>
    <row r="27" spans="1:15">
      <c r="A27" s="408" t="s">
        <v>942</v>
      </c>
      <c r="B27" s="187"/>
      <c r="C27" s="187"/>
      <c r="D27" s="187"/>
      <c r="E27" s="187"/>
      <c r="F27" s="409" t="s">
        <v>974</v>
      </c>
      <c r="G27" s="187"/>
      <c r="H27" s="187"/>
      <c r="I27" s="187"/>
      <c r="J27" s="187"/>
      <c r="K27" s="187" t="s">
        <v>303</v>
      </c>
      <c r="L27" s="187"/>
      <c r="M27" s="187"/>
      <c r="N27" s="187"/>
      <c r="O27" s="410"/>
    </row>
    <row r="28" spans="1:15">
      <c r="A28" s="408"/>
      <c r="B28" s="187"/>
      <c r="C28" s="187"/>
      <c r="D28" s="187"/>
      <c r="E28" s="187"/>
      <c r="F28" s="187" t="s">
        <v>304</v>
      </c>
      <c r="G28" s="187"/>
      <c r="H28" s="187"/>
      <c r="I28" s="187"/>
      <c r="J28" s="187"/>
      <c r="K28" s="409" t="s">
        <v>305</v>
      </c>
      <c r="L28" s="187"/>
      <c r="M28" s="187"/>
      <c r="N28" s="187"/>
      <c r="O28" s="410"/>
    </row>
    <row r="29" spans="1:15">
      <c r="A29" s="405" t="s">
        <v>306</v>
      </c>
      <c r="B29" s="187"/>
      <c r="C29" s="187"/>
      <c r="D29" s="187"/>
      <c r="E29" s="187"/>
      <c r="F29" s="187" t="s">
        <v>307</v>
      </c>
      <c r="G29" s="187"/>
      <c r="H29" s="187"/>
      <c r="I29" s="187"/>
      <c r="J29" s="187"/>
      <c r="K29" s="187" t="s">
        <v>604</v>
      </c>
      <c r="L29" s="187"/>
      <c r="M29" s="187"/>
      <c r="N29" s="187"/>
      <c r="O29" s="410"/>
    </row>
    <row r="30" spans="1:15">
      <c r="A30" s="408" t="s">
        <v>590</v>
      </c>
      <c r="B30" s="187"/>
      <c r="C30" s="187"/>
      <c r="D30" s="187"/>
      <c r="E30" s="187"/>
      <c r="F30" s="187" t="s">
        <v>946</v>
      </c>
      <c r="G30" s="187"/>
      <c r="H30" s="187"/>
      <c r="I30" s="187"/>
      <c r="J30" s="187"/>
      <c r="K30" s="187"/>
      <c r="L30" s="187"/>
      <c r="M30" s="187"/>
      <c r="N30" s="187"/>
      <c r="O30" s="410"/>
    </row>
    <row r="31" spans="1:15">
      <c r="A31" s="408" t="s">
        <v>308</v>
      </c>
      <c r="B31" s="187"/>
      <c r="C31" s="187"/>
      <c r="D31" s="187"/>
      <c r="E31" s="187"/>
      <c r="F31" s="187" t="s">
        <v>309</v>
      </c>
      <c r="G31" s="187"/>
      <c r="H31" s="187"/>
      <c r="I31" s="187"/>
      <c r="J31" s="187"/>
      <c r="K31" s="188" t="s">
        <v>310</v>
      </c>
      <c r="L31" s="187"/>
      <c r="M31" s="187"/>
      <c r="N31" s="187"/>
      <c r="O31" s="410"/>
    </row>
    <row r="32" spans="1:15">
      <c r="A32" s="408" t="s">
        <v>311</v>
      </c>
      <c r="B32" s="187"/>
      <c r="C32" s="187"/>
      <c r="D32" s="187"/>
      <c r="E32" s="187"/>
      <c r="F32" s="406"/>
      <c r="G32" s="187"/>
      <c r="H32" s="187"/>
      <c r="I32" s="187"/>
      <c r="J32" s="187"/>
      <c r="K32" s="187" t="s">
        <v>592</v>
      </c>
      <c r="L32" s="187"/>
      <c r="M32" s="187"/>
      <c r="N32" s="187"/>
      <c r="O32" s="410"/>
    </row>
    <row r="33" spans="1:15">
      <c r="A33" s="408" t="s">
        <v>944</v>
      </c>
      <c r="B33" s="187"/>
      <c r="C33" s="187"/>
      <c r="D33" s="187"/>
      <c r="E33" s="187"/>
      <c r="F33" s="188" t="s">
        <v>312</v>
      </c>
      <c r="G33" s="187"/>
      <c r="H33" s="187"/>
      <c r="I33" s="187"/>
      <c r="J33" s="187"/>
      <c r="K33" s="187" t="s">
        <v>968</v>
      </c>
      <c r="L33" s="187"/>
      <c r="M33" s="187"/>
      <c r="N33" s="187"/>
      <c r="O33" s="410"/>
    </row>
    <row r="34" spans="1:15">
      <c r="A34" s="408"/>
      <c r="B34" s="187"/>
      <c r="C34" s="187"/>
      <c r="D34" s="187"/>
      <c r="E34" s="187"/>
      <c r="F34" s="187" t="s">
        <v>313</v>
      </c>
      <c r="G34" s="187"/>
      <c r="H34" s="187"/>
      <c r="I34" s="187"/>
      <c r="J34" s="187"/>
      <c r="K34" s="187" t="s">
        <v>949</v>
      </c>
      <c r="L34" s="187"/>
      <c r="M34" s="187"/>
      <c r="N34" s="187"/>
      <c r="O34" s="410"/>
    </row>
    <row r="35" spans="1:15">
      <c r="A35" s="405" t="s">
        <v>314</v>
      </c>
      <c r="B35" s="187"/>
      <c r="C35" s="187"/>
      <c r="D35" s="187"/>
      <c r="E35" s="187"/>
      <c r="F35" s="187" t="s">
        <v>593</v>
      </c>
      <c r="G35" s="187"/>
      <c r="H35" s="187"/>
      <c r="I35" s="187"/>
      <c r="J35" s="187"/>
      <c r="K35" s="187"/>
      <c r="L35" s="187"/>
      <c r="M35" s="187"/>
      <c r="N35" s="187"/>
      <c r="O35" s="410"/>
    </row>
    <row r="36" spans="1:15">
      <c r="A36" s="408" t="s">
        <v>594</v>
      </c>
      <c r="B36" s="187"/>
      <c r="C36" s="187"/>
      <c r="D36" s="187"/>
      <c r="E36" s="187"/>
      <c r="F36" s="187" t="s">
        <v>315</v>
      </c>
      <c r="G36" s="187"/>
      <c r="H36" s="187"/>
      <c r="I36" s="187"/>
      <c r="J36" s="187"/>
      <c r="K36" s="188" t="s">
        <v>316</v>
      </c>
      <c r="L36" s="187"/>
      <c r="M36" s="187"/>
      <c r="N36" s="187"/>
      <c r="O36" s="410"/>
    </row>
    <row r="37" spans="1:15">
      <c r="A37" s="408" t="s">
        <v>308</v>
      </c>
      <c r="B37" s="187"/>
      <c r="C37" s="187"/>
      <c r="D37" s="187"/>
      <c r="E37" s="187"/>
      <c r="F37" s="187" t="s">
        <v>977</v>
      </c>
      <c r="G37" s="187"/>
      <c r="H37" s="187"/>
      <c r="I37" s="187"/>
      <c r="J37" s="187"/>
      <c r="K37" s="187" t="s">
        <v>592</v>
      </c>
      <c r="L37" s="187"/>
      <c r="M37" s="187"/>
      <c r="N37" s="187"/>
      <c r="O37" s="410"/>
    </row>
    <row r="38" spans="1:15">
      <c r="A38" s="408" t="s">
        <v>317</v>
      </c>
      <c r="B38" s="187"/>
      <c r="C38" s="187"/>
      <c r="D38" s="187"/>
      <c r="E38" s="187"/>
      <c r="F38" s="187" t="s">
        <v>947</v>
      </c>
      <c r="G38" s="187"/>
      <c r="H38" s="187"/>
      <c r="I38" s="187"/>
      <c r="J38" s="187"/>
      <c r="K38" s="187" t="s">
        <v>605</v>
      </c>
      <c r="L38" s="400"/>
      <c r="M38" s="400"/>
      <c r="N38" s="400"/>
      <c r="O38" s="411"/>
    </row>
    <row r="39" spans="1:15">
      <c r="A39" s="408" t="s">
        <v>945</v>
      </c>
      <c r="B39" s="187"/>
      <c r="C39" s="187"/>
      <c r="D39" s="187"/>
      <c r="E39" s="187"/>
      <c r="F39" s="187"/>
      <c r="G39" s="187"/>
      <c r="H39" s="187"/>
      <c r="I39" s="187"/>
      <c r="J39" s="187"/>
      <c r="K39" s="187"/>
      <c r="L39" s="187"/>
      <c r="M39" s="187"/>
      <c r="N39" s="187"/>
      <c r="O39" s="410"/>
    </row>
    <row r="40" spans="1:15">
      <c r="A40" s="408"/>
      <c r="B40" s="187"/>
      <c r="C40" s="187"/>
      <c r="D40" s="187"/>
      <c r="E40" s="187"/>
      <c r="F40" s="188" t="s">
        <v>318</v>
      </c>
      <c r="G40" s="187"/>
      <c r="H40" s="187"/>
      <c r="I40" s="187"/>
      <c r="J40" s="187"/>
      <c r="K40" s="188" t="s">
        <v>319</v>
      </c>
      <c r="L40" s="187"/>
      <c r="M40" s="187"/>
      <c r="N40" s="187"/>
      <c r="O40" s="410"/>
    </row>
    <row r="41" spans="1:15">
      <c r="A41" s="405" t="s">
        <v>320</v>
      </c>
      <c r="B41" s="187"/>
      <c r="C41" s="187"/>
      <c r="D41" s="187"/>
      <c r="E41" s="187"/>
      <c r="F41" s="187" t="s">
        <v>593</v>
      </c>
      <c r="G41" s="187"/>
      <c r="H41" s="187"/>
      <c r="I41" s="187"/>
      <c r="J41" s="187"/>
      <c r="K41" s="412" t="s">
        <v>592</v>
      </c>
      <c r="L41" s="187"/>
      <c r="M41" s="187"/>
      <c r="N41" s="187"/>
      <c r="O41" s="410"/>
    </row>
    <row r="42" spans="1:15">
      <c r="A42" s="408" t="s">
        <v>595</v>
      </c>
      <c r="B42" s="187"/>
      <c r="C42" s="187"/>
      <c r="D42" s="187"/>
      <c r="E42" s="187"/>
      <c r="F42" s="187" t="s">
        <v>321</v>
      </c>
      <c r="G42" s="187"/>
      <c r="H42" s="187"/>
      <c r="I42" s="187"/>
      <c r="J42" s="187"/>
      <c r="K42" s="187" t="s">
        <v>955</v>
      </c>
      <c r="L42" s="187"/>
      <c r="M42" s="187"/>
      <c r="N42" s="187"/>
      <c r="O42" s="410"/>
    </row>
    <row r="43" spans="1:15">
      <c r="A43" s="408" t="s">
        <v>322</v>
      </c>
      <c r="B43" s="187"/>
      <c r="C43" s="187"/>
      <c r="D43" s="187"/>
      <c r="E43" s="187"/>
      <c r="F43" s="187" t="s">
        <v>606</v>
      </c>
      <c r="G43" s="187"/>
      <c r="H43" s="187"/>
      <c r="I43" s="187"/>
      <c r="J43" s="187"/>
      <c r="K43" s="187" t="s">
        <v>323</v>
      </c>
      <c r="L43" s="187"/>
      <c r="M43" s="187"/>
      <c r="N43" s="187"/>
      <c r="O43" s="410"/>
    </row>
    <row r="44" spans="1:15">
      <c r="A44" s="408" t="s">
        <v>324</v>
      </c>
      <c r="B44" s="187"/>
      <c r="C44" s="187"/>
      <c r="D44" s="187"/>
      <c r="E44" s="187"/>
      <c r="F44" s="187"/>
      <c r="G44" s="187"/>
      <c r="H44" s="187"/>
      <c r="I44" s="187"/>
      <c r="J44" s="187"/>
      <c r="K44" s="409" t="s">
        <v>954</v>
      </c>
      <c r="L44" s="187"/>
      <c r="M44" s="187"/>
      <c r="N44" s="187" t="s">
        <v>956</v>
      </c>
      <c r="O44" s="410"/>
    </row>
    <row r="45" spans="1:15">
      <c r="A45" s="408" t="s">
        <v>932</v>
      </c>
      <c r="B45" s="187"/>
      <c r="C45" s="187"/>
      <c r="D45" s="187"/>
      <c r="E45" s="187"/>
      <c r="F45" s="187"/>
      <c r="G45" s="187"/>
      <c r="H45" s="187"/>
      <c r="I45" s="187"/>
      <c r="J45" s="187"/>
      <c r="K45" s="187"/>
      <c r="L45" s="187"/>
      <c r="M45" s="187"/>
      <c r="N45" s="187"/>
      <c r="O45" s="410"/>
    </row>
    <row r="46" spans="1:15">
      <c r="A46" s="408"/>
      <c r="B46" s="187"/>
      <c r="C46" s="187"/>
      <c r="D46" s="187"/>
      <c r="E46" s="187"/>
      <c r="F46" s="188" t="s">
        <v>325</v>
      </c>
      <c r="G46" s="187"/>
      <c r="H46" s="187"/>
      <c r="I46" s="187"/>
      <c r="J46" s="187"/>
      <c r="K46" s="3" t="s">
        <v>127</v>
      </c>
      <c r="L46" s="187"/>
      <c r="M46" s="187"/>
      <c r="N46" s="187"/>
      <c r="O46" s="410"/>
    </row>
    <row r="47" spans="1:15">
      <c r="A47" s="405" t="s">
        <v>326</v>
      </c>
      <c r="B47" s="187"/>
      <c r="C47" s="187"/>
      <c r="D47" s="187"/>
      <c r="E47" s="187"/>
      <c r="F47" s="187" t="s">
        <v>593</v>
      </c>
      <c r="G47" s="187"/>
      <c r="H47" s="187"/>
      <c r="I47" s="187"/>
      <c r="J47" s="187"/>
      <c r="K47" s="187" t="s">
        <v>593</v>
      </c>
      <c r="L47" s="187"/>
      <c r="M47" s="187"/>
      <c r="N47" s="187"/>
      <c r="O47" s="410"/>
    </row>
    <row r="48" spans="1:15">
      <c r="A48" s="408" t="s">
        <v>595</v>
      </c>
      <c r="B48" s="187"/>
      <c r="C48" s="187"/>
      <c r="D48" s="187"/>
      <c r="E48" s="187"/>
      <c r="F48" s="187" t="s">
        <v>328</v>
      </c>
      <c r="G48" s="187"/>
      <c r="H48" s="187"/>
      <c r="I48" s="187"/>
      <c r="J48" s="187"/>
      <c r="K48" s="187" t="s">
        <v>327</v>
      </c>
      <c r="L48" s="187"/>
      <c r="M48" s="187"/>
      <c r="N48" s="187"/>
      <c r="O48" s="410"/>
    </row>
    <row r="49" spans="1:15">
      <c r="A49" s="408" t="s">
        <v>330</v>
      </c>
      <c r="B49" s="187"/>
      <c r="C49" s="187"/>
      <c r="D49" s="187"/>
      <c r="E49" s="187"/>
      <c r="F49" s="187" t="s">
        <v>607</v>
      </c>
      <c r="G49" s="187"/>
      <c r="H49" s="187"/>
      <c r="I49" s="187"/>
      <c r="J49" s="187"/>
      <c r="K49" s="187" t="s">
        <v>329</v>
      </c>
      <c r="L49" s="187"/>
      <c r="M49" s="187"/>
      <c r="N49" s="187"/>
      <c r="O49" s="410"/>
    </row>
    <row r="50" spans="1:15">
      <c r="A50" s="408" t="s">
        <v>935</v>
      </c>
      <c r="B50" s="187"/>
      <c r="C50" s="187"/>
      <c r="D50" s="187"/>
      <c r="E50" s="187"/>
      <c r="F50" s="187"/>
      <c r="G50" s="187"/>
      <c r="H50" s="187"/>
      <c r="I50" s="187"/>
      <c r="J50" s="187"/>
      <c r="K50" s="187" t="s">
        <v>331</v>
      </c>
      <c r="L50" s="187"/>
      <c r="M50" s="187"/>
      <c r="N50" s="187"/>
      <c r="O50" s="410"/>
    </row>
    <row r="51" spans="1:15">
      <c r="A51" s="408" t="s">
        <v>929</v>
      </c>
      <c r="B51" s="187"/>
      <c r="C51" s="187"/>
      <c r="D51" s="187"/>
      <c r="E51" s="187"/>
      <c r="F51" s="188" t="s">
        <v>333</v>
      </c>
      <c r="G51" s="187"/>
      <c r="H51" s="187"/>
      <c r="I51" s="187"/>
      <c r="J51" s="187"/>
      <c r="K51" s="187" t="s">
        <v>332</v>
      </c>
      <c r="L51" s="187"/>
      <c r="M51" s="187"/>
      <c r="N51" s="187"/>
      <c r="O51" s="410"/>
    </row>
    <row r="52" spans="1:15">
      <c r="A52" s="405" t="s">
        <v>309</v>
      </c>
      <c r="B52" s="187"/>
      <c r="C52" s="187"/>
      <c r="D52" s="187"/>
      <c r="E52" s="187"/>
      <c r="F52" s="187" t="s">
        <v>593</v>
      </c>
      <c r="G52" s="187"/>
      <c r="H52" s="187"/>
      <c r="I52" s="187"/>
      <c r="J52" s="187"/>
      <c r="K52" s="406" t="s">
        <v>334</v>
      </c>
      <c r="L52" s="187"/>
      <c r="M52" s="187"/>
      <c r="N52" s="187"/>
      <c r="O52" s="410"/>
    </row>
    <row r="53" spans="1:15">
      <c r="A53" s="405" t="s">
        <v>927</v>
      </c>
      <c r="B53" s="187"/>
      <c r="C53" s="187"/>
      <c r="D53" s="187"/>
      <c r="E53" s="187"/>
      <c r="F53" s="187" t="s">
        <v>335</v>
      </c>
      <c r="G53" s="187"/>
      <c r="H53" s="187"/>
      <c r="I53" s="187"/>
      <c r="J53" s="187"/>
      <c r="K53" s="187" t="s">
        <v>608</v>
      </c>
      <c r="L53" s="187"/>
      <c r="M53" s="187"/>
      <c r="N53" s="187"/>
      <c r="O53" s="410"/>
    </row>
    <row r="54" spans="1:15">
      <c r="A54" s="408" t="s">
        <v>595</v>
      </c>
      <c r="B54" s="187"/>
      <c r="C54" s="187"/>
      <c r="D54" s="187"/>
      <c r="E54" s="187"/>
      <c r="F54" s="187" t="s">
        <v>337</v>
      </c>
      <c r="G54" s="187"/>
      <c r="H54" s="187"/>
      <c r="I54" s="187"/>
      <c r="J54" s="187"/>
      <c r="K54" s="187"/>
      <c r="L54" s="187"/>
      <c r="M54" s="187"/>
      <c r="N54" s="187"/>
      <c r="O54" s="410"/>
    </row>
    <row r="55" spans="1:15">
      <c r="A55" s="408" t="s">
        <v>336</v>
      </c>
      <c r="B55" s="187"/>
      <c r="C55" s="187"/>
      <c r="D55" s="187"/>
      <c r="E55" s="187"/>
      <c r="F55" s="187" t="s">
        <v>609</v>
      </c>
      <c r="G55" s="187"/>
      <c r="H55" s="187"/>
      <c r="I55" s="187"/>
      <c r="J55" s="187"/>
      <c r="K55" s="188" t="s">
        <v>338</v>
      </c>
      <c r="L55" s="187"/>
      <c r="M55" s="187"/>
      <c r="N55" s="187"/>
      <c r="O55" s="410"/>
    </row>
    <row r="56" spans="1:15">
      <c r="A56" s="408" t="s">
        <v>936</v>
      </c>
      <c r="B56" s="187"/>
      <c r="C56" s="187"/>
      <c r="D56" s="187"/>
      <c r="E56" s="187"/>
      <c r="F56" s="187"/>
      <c r="G56" s="187"/>
      <c r="H56" s="187"/>
      <c r="I56" s="187"/>
      <c r="J56" s="187"/>
      <c r="K56" s="187" t="s">
        <v>593</v>
      </c>
      <c r="L56" s="187"/>
      <c r="M56" s="187"/>
      <c r="N56" s="187"/>
      <c r="O56" s="410"/>
    </row>
    <row r="57" spans="1:15">
      <c r="A57" s="408" t="s">
        <v>930</v>
      </c>
      <c r="B57" s="187"/>
      <c r="C57" s="187"/>
      <c r="D57" s="187"/>
      <c r="E57" s="187"/>
      <c r="F57" s="188" t="s">
        <v>143</v>
      </c>
      <c r="G57" s="187"/>
      <c r="H57" s="187"/>
      <c r="I57" s="187"/>
      <c r="J57" s="187"/>
      <c r="K57" s="187" t="s">
        <v>339</v>
      </c>
      <c r="L57" s="187"/>
      <c r="M57" s="187"/>
      <c r="N57" s="187"/>
      <c r="O57" s="410"/>
    </row>
    <row r="58" spans="1:15">
      <c r="A58" s="405" t="s">
        <v>309</v>
      </c>
      <c r="B58" s="187"/>
      <c r="C58" s="187"/>
      <c r="D58" s="187"/>
      <c r="E58" s="187"/>
      <c r="F58" s="187" t="s">
        <v>592</v>
      </c>
      <c r="G58" s="187"/>
      <c r="H58" s="187"/>
      <c r="I58" s="187"/>
      <c r="J58" s="187"/>
      <c r="K58" s="187" t="s">
        <v>610</v>
      </c>
      <c r="L58" s="187"/>
      <c r="M58" s="187"/>
      <c r="N58" s="187"/>
      <c r="O58" s="410"/>
    </row>
    <row r="59" spans="1:15">
      <c r="A59" s="405" t="s">
        <v>340</v>
      </c>
      <c r="B59" s="187"/>
      <c r="C59" s="187"/>
      <c r="D59" s="187"/>
      <c r="E59" s="187"/>
      <c r="F59" s="187" t="s">
        <v>611</v>
      </c>
      <c r="G59" s="187"/>
      <c r="H59" s="187"/>
      <c r="I59" s="187"/>
      <c r="J59" s="187"/>
      <c r="K59" s="187"/>
      <c r="L59" s="187"/>
      <c r="M59" s="187"/>
      <c r="N59" s="187"/>
      <c r="O59" s="410"/>
    </row>
    <row r="60" spans="1:15">
      <c r="A60" s="408" t="s">
        <v>590</v>
      </c>
      <c r="B60" s="187"/>
      <c r="C60" s="187"/>
      <c r="D60" s="187"/>
      <c r="E60" s="187"/>
      <c r="F60" s="187"/>
      <c r="G60" s="187"/>
      <c r="H60" s="187"/>
      <c r="I60" s="187"/>
      <c r="J60" s="187"/>
      <c r="K60" s="188" t="s">
        <v>341</v>
      </c>
      <c r="L60" s="187"/>
      <c r="M60" s="187"/>
      <c r="N60" s="187"/>
      <c r="O60" s="410"/>
    </row>
    <row r="61" spans="1:15">
      <c r="A61" s="408" t="s">
        <v>308</v>
      </c>
      <c r="B61" s="187"/>
      <c r="C61" s="187"/>
      <c r="D61" s="187"/>
      <c r="E61" s="187"/>
      <c r="F61" s="188" t="s">
        <v>153</v>
      </c>
      <c r="G61" s="187"/>
      <c r="H61" s="187"/>
      <c r="I61" s="187"/>
      <c r="J61" s="187"/>
      <c r="K61" s="187" t="s">
        <v>592</v>
      </c>
      <c r="L61" s="187"/>
      <c r="M61" s="187"/>
      <c r="N61" s="187"/>
      <c r="O61" s="410"/>
    </row>
    <row r="62" spans="1:15">
      <c r="A62" s="408" t="s">
        <v>342</v>
      </c>
      <c r="B62" s="187"/>
      <c r="C62" s="187"/>
      <c r="D62" s="187"/>
      <c r="E62" s="187"/>
      <c r="F62" s="187" t="s">
        <v>592</v>
      </c>
      <c r="G62" s="187"/>
      <c r="H62" s="187"/>
      <c r="I62" s="187"/>
      <c r="J62" s="187"/>
      <c r="K62" s="187" t="s">
        <v>612</v>
      </c>
      <c r="L62" s="187"/>
      <c r="M62" s="187"/>
      <c r="N62" s="187"/>
      <c r="O62" s="410"/>
    </row>
    <row r="63" spans="1:15">
      <c r="A63" s="408" t="s">
        <v>933</v>
      </c>
      <c r="B63" s="187"/>
      <c r="C63" s="187"/>
      <c r="D63" s="187"/>
      <c r="E63" s="187"/>
      <c r="F63" s="187" t="s">
        <v>613</v>
      </c>
      <c r="G63" s="187"/>
      <c r="H63" s="187"/>
      <c r="I63" s="187"/>
      <c r="J63" s="187"/>
      <c r="K63" s="187"/>
      <c r="L63" s="187"/>
      <c r="M63" s="187"/>
      <c r="N63" s="187"/>
      <c r="O63" s="410"/>
    </row>
    <row r="64" spans="1:15">
      <c r="A64" s="408"/>
      <c r="B64" s="187"/>
      <c r="C64" s="187"/>
      <c r="D64" s="187"/>
      <c r="E64" s="187"/>
      <c r="F64" s="187"/>
      <c r="G64" s="187"/>
      <c r="H64" s="187"/>
      <c r="I64" s="187"/>
      <c r="J64" s="187"/>
      <c r="K64" s="413" t="s">
        <v>344</v>
      </c>
      <c r="L64" s="187"/>
      <c r="M64" s="187"/>
      <c r="N64" s="187"/>
      <c r="O64" s="410"/>
    </row>
    <row r="65" spans="1:15">
      <c r="A65" s="405" t="s">
        <v>343</v>
      </c>
      <c r="B65" s="187"/>
      <c r="C65" s="187"/>
      <c r="D65" s="187"/>
      <c r="E65" s="187"/>
      <c r="F65" s="188" t="s">
        <v>345</v>
      </c>
      <c r="G65" s="187"/>
      <c r="H65" s="187"/>
      <c r="I65" s="187"/>
      <c r="J65" s="187"/>
      <c r="K65" s="187" t="s">
        <v>592</v>
      </c>
      <c r="L65" s="187"/>
      <c r="M65" s="187"/>
      <c r="N65" s="187"/>
      <c r="O65" s="410"/>
    </row>
    <row r="66" spans="1:15">
      <c r="A66" s="408" t="s">
        <v>590</v>
      </c>
      <c r="B66" s="187"/>
      <c r="C66" s="187"/>
      <c r="D66" s="187"/>
      <c r="E66" s="187"/>
      <c r="F66" s="187" t="s">
        <v>593</v>
      </c>
      <c r="G66" s="187"/>
      <c r="H66" s="187"/>
      <c r="I66" s="187"/>
      <c r="J66" s="187"/>
      <c r="K66" s="409" t="s">
        <v>346</v>
      </c>
      <c r="L66" s="187"/>
      <c r="M66" s="187"/>
      <c r="N66" s="187"/>
      <c r="O66" s="410"/>
    </row>
    <row r="67" spans="1:15">
      <c r="A67" s="408" t="s">
        <v>308</v>
      </c>
      <c r="B67" s="187"/>
      <c r="C67" s="187"/>
      <c r="D67" s="187"/>
      <c r="E67" s="187"/>
      <c r="F67" s="187" t="s">
        <v>614</v>
      </c>
      <c r="G67" s="187"/>
      <c r="H67" s="187"/>
      <c r="I67" s="187"/>
      <c r="J67" s="187"/>
      <c r="K67" s="409" t="s">
        <v>923</v>
      </c>
      <c r="L67" s="187"/>
      <c r="M67" s="187"/>
      <c r="N67" s="187"/>
      <c r="O67" s="410"/>
    </row>
    <row r="68" spans="1:15">
      <c r="A68" s="408" t="s">
        <v>347</v>
      </c>
      <c r="B68" s="187"/>
      <c r="C68" s="187"/>
      <c r="D68" s="187"/>
      <c r="E68" s="187"/>
      <c r="F68" s="187"/>
      <c r="G68" s="187"/>
      <c r="H68" s="187"/>
      <c r="I68" s="187"/>
      <c r="J68" s="187"/>
      <c r="K68" s="409" t="s">
        <v>348</v>
      </c>
      <c r="L68" s="187"/>
      <c r="M68" s="187"/>
      <c r="N68" s="187"/>
      <c r="O68" s="410"/>
    </row>
    <row r="69" spans="1:15">
      <c r="A69" s="408" t="s">
        <v>934</v>
      </c>
      <c r="B69" s="187"/>
      <c r="C69" s="187"/>
      <c r="D69" s="187"/>
      <c r="E69" s="187"/>
      <c r="F69" s="188" t="s">
        <v>350</v>
      </c>
      <c r="G69" s="187"/>
      <c r="H69" s="187"/>
      <c r="I69" s="187"/>
      <c r="J69" s="187"/>
      <c r="K69" s="187" t="s">
        <v>833</v>
      </c>
      <c r="L69" s="187"/>
      <c r="M69" s="595" t="s">
        <v>922</v>
      </c>
      <c r="N69" s="187"/>
      <c r="O69" s="410"/>
    </row>
    <row r="70" spans="1:15">
      <c r="A70" s="408"/>
      <c r="B70" s="187"/>
      <c r="C70" s="187"/>
      <c r="D70" s="187"/>
      <c r="E70" s="187"/>
      <c r="F70" s="187" t="s">
        <v>593</v>
      </c>
      <c r="G70" s="187"/>
      <c r="H70" s="187"/>
      <c r="I70" s="187"/>
      <c r="J70" s="187"/>
      <c r="K70" s="187" t="s">
        <v>912</v>
      </c>
      <c r="L70" s="187"/>
      <c r="M70" s="187"/>
      <c r="N70" s="187"/>
      <c r="O70" s="410"/>
    </row>
    <row r="71" spans="1:15">
      <c r="A71" s="405" t="s">
        <v>349</v>
      </c>
      <c r="B71" s="187"/>
      <c r="C71" s="187"/>
      <c r="D71" s="187"/>
      <c r="E71" s="187"/>
      <c r="F71" s="187" t="s">
        <v>615</v>
      </c>
      <c r="G71" s="187"/>
      <c r="H71" s="187"/>
      <c r="I71" s="187"/>
      <c r="J71" s="187"/>
      <c r="K71" s="187"/>
      <c r="L71" s="187"/>
      <c r="M71" s="187"/>
      <c r="N71" s="187"/>
      <c r="O71" s="410"/>
    </row>
    <row r="72" spans="1:15">
      <c r="A72" s="408" t="s">
        <v>594</v>
      </c>
      <c r="B72" s="187"/>
      <c r="C72" s="187"/>
      <c r="D72" s="187"/>
      <c r="E72" s="187"/>
      <c r="F72" s="187"/>
      <c r="G72" s="187"/>
      <c r="H72" s="187"/>
      <c r="I72" s="187"/>
      <c r="J72" s="187"/>
      <c r="K72" s="188" t="s">
        <v>351</v>
      </c>
      <c r="L72" s="187"/>
      <c r="M72" s="187"/>
      <c r="N72" s="187"/>
      <c r="O72" s="410"/>
    </row>
    <row r="73" spans="1:15">
      <c r="A73" s="408" t="s">
        <v>308</v>
      </c>
      <c r="B73" s="187"/>
      <c r="C73" s="187"/>
      <c r="D73" s="187"/>
      <c r="E73" s="187"/>
      <c r="F73" s="188" t="s">
        <v>353</v>
      </c>
      <c r="G73" s="187"/>
      <c r="H73" s="187"/>
      <c r="I73" s="187"/>
      <c r="J73" s="187"/>
      <c r="K73" s="187" t="s">
        <v>593</v>
      </c>
      <c r="L73" s="187"/>
      <c r="M73" s="187"/>
      <c r="N73" s="187"/>
      <c r="O73" s="410"/>
    </row>
    <row r="74" spans="1:15">
      <c r="A74" s="408" t="s">
        <v>352</v>
      </c>
      <c r="B74" s="187"/>
      <c r="C74" s="187"/>
      <c r="D74" s="187"/>
      <c r="E74" s="187"/>
      <c r="F74" s="187" t="s">
        <v>593</v>
      </c>
      <c r="G74" s="187"/>
      <c r="H74" s="187"/>
      <c r="I74" s="187"/>
      <c r="J74" s="187"/>
      <c r="K74" s="187" t="s">
        <v>354</v>
      </c>
      <c r="L74" s="187"/>
      <c r="M74" s="187"/>
      <c r="N74" s="187"/>
      <c r="O74" s="410"/>
    </row>
    <row r="75" spans="1:15">
      <c r="A75" s="408" t="s">
        <v>937</v>
      </c>
      <c r="B75" s="187"/>
      <c r="C75" s="187"/>
      <c r="D75" s="187"/>
      <c r="E75" s="187"/>
      <c r="F75" s="187" t="s">
        <v>616</v>
      </c>
      <c r="G75" s="187"/>
      <c r="H75" s="187"/>
      <c r="I75" s="187"/>
      <c r="J75" s="187"/>
      <c r="K75" s="187" t="s">
        <v>355</v>
      </c>
      <c r="L75" s="187"/>
      <c r="M75" s="187"/>
      <c r="N75" s="187"/>
      <c r="O75" s="410"/>
    </row>
    <row r="76" spans="1:15">
      <c r="A76" s="408"/>
      <c r="B76" s="187"/>
      <c r="C76" s="187"/>
      <c r="D76" s="187"/>
      <c r="E76" s="187"/>
      <c r="F76" s="187"/>
      <c r="G76" s="187"/>
      <c r="H76" s="187"/>
      <c r="I76" s="187"/>
      <c r="J76" s="187"/>
      <c r="K76" s="187" t="s">
        <v>357</v>
      </c>
      <c r="L76" s="187"/>
      <c r="M76" s="187"/>
      <c r="N76" s="187"/>
      <c r="O76" s="410"/>
    </row>
    <row r="77" spans="1:15">
      <c r="A77" s="405" t="s">
        <v>356</v>
      </c>
      <c r="B77" s="187"/>
      <c r="C77" s="187"/>
      <c r="D77" s="187"/>
      <c r="E77" s="187"/>
      <c r="F77" s="188" t="s">
        <v>359</v>
      </c>
      <c r="G77" s="187"/>
      <c r="H77" s="187"/>
      <c r="I77" s="187"/>
      <c r="J77" s="187"/>
      <c r="K77" s="187" t="s">
        <v>617</v>
      </c>
      <c r="L77" s="187"/>
      <c r="M77" s="187"/>
      <c r="N77" s="187"/>
      <c r="O77" s="410"/>
    </row>
    <row r="78" spans="1:15">
      <c r="A78" s="408" t="s">
        <v>596</v>
      </c>
      <c r="B78" s="187"/>
      <c r="C78" s="187"/>
      <c r="D78" s="187"/>
      <c r="E78" s="187"/>
      <c r="F78" s="187" t="s">
        <v>591</v>
      </c>
      <c r="G78" s="406"/>
      <c r="H78" s="406"/>
      <c r="I78" s="406"/>
      <c r="J78" s="406"/>
      <c r="K78" s="187"/>
      <c r="L78" s="187"/>
      <c r="M78" s="187"/>
      <c r="N78" s="187"/>
      <c r="O78" s="410"/>
    </row>
    <row r="79" spans="1:15">
      <c r="A79" s="408" t="s">
        <v>358</v>
      </c>
      <c r="B79" s="187"/>
      <c r="C79" s="187"/>
      <c r="D79" s="187"/>
      <c r="E79" s="187"/>
      <c r="F79" s="187" t="s">
        <v>360</v>
      </c>
      <c r="G79" s="406"/>
      <c r="H79" s="406"/>
      <c r="I79" s="406"/>
      <c r="J79" s="406"/>
      <c r="K79" s="187"/>
      <c r="L79" s="406"/>
      <c r="M79" s="406"/>
      <c r="N79" s="406"/>
      <c r="O79" s="407"/>
    </row>
    <row r="80" spans="1:15">
      <c r="A80" s="408" t="s">
        <v>938</v>
      </c>
      <c r="B80" s="406"/>
      <c r="C80" s="406"/>
      <c r="D80" s="406"/>
      <c r="E80" s="406"/>
      <c r="F80" s="187" t="s">
        <v>618</v>
      </c>
      <c r="G80" s="187"/>
      <c r="H80" s="187"/>
      <c r="I80" s="187"/>
      <c r="J80" s="187"/>
      <c r="K80" s="187"/>
      <c r="L80" s="187"/>
      <c r="M80" s="187"/>
      <c r="N80" s="187"/>
      <c r="O80" s="407"/>
    </row>
    <row r="81" spans="1:15">
      <c r="A81" s="414"/>
      <c r="B81" s="406"/>
      <c r="C81" s="406"/>
      <c r="D81" s="406"/>
      <c r="E81" s="406"/>
      <c r="F81" s="187"/>
      <c r="G81" s="187"/>
      <c r="H81" s="187"/>
      <c r="I81" s="187"/>
      <c r="J81" s="187"/>
      <c r="K81" s="187"/>
      <c r="L81" s="187"/>
      <c r="M81" s="187"/>
      <c r="N81" s="187"/>
      <c r="O81" s="407"/>
    </row>
    <row r="82" spans="1:15" ht="13">
      <c r="A82" s="415" t="s">
        <v>361</v>
      </c>
      <c r="B82" s="187"/>
      <c r="C82" s="187"/>
      <c r="D82" s="187"/>
      <c r="E82" s="187"/>
      <c r="F82" s="188" t="s">
        <v>363</v>
      </c>
      <c r="G82" s="187"/>
      <c r="H82" s="187"/>
      <c r="I82" s="187"/>
      <c r="J82" s="187"/>
      <c r="K82" s="187"/>
      <c r="L82" s="187"/>
      <c r="M82" s="187"/>
      <c r="N82" s="187"/>
      <c r="O82" s="407"/>
    </row>
    <row r="83" spans="1:15">
      <c r="A83" s="408" t="s">
        <v>587</v>
      </c>
      <c r="B83" s="187"/>
      <c r="C83" s="187"/>
      <c r="D83" s="187"/>
      <c r="E83" s="187"/>
      <c r="F83" s="187" t="s">
        <v>591</v>
      </c>
      <c r="G83" s="187"/>
      <c r="H83" s="187"/>
      <c r="I83" s="187"/>
      <c r="J83" s="187"/>
      <c r="K83" s="187"/>
      <c r="L83" s="187"/>
      <c r="M83" s="187"/>
      <c r="N83" s="187"/>
      <c r="O83" s="407"/>
    </row>
    <row r="84" spans="1:15">
      <c r="A84" s="408" t="s">
        <v>362</v>
      </c>
      <c r="B84" s="187"/>
      <c r="C84" s="187"/>
      <c r="D84" s="187"/>
      <c r="E84" s="187"/>
      <c r="F84" s="187" t="s">
        <v>963</v>
      </c>
      <c r="G84" s="187"/>
      <c r="H84" s="187"/>
      <c r="I84" s="187"/>
      <c r="J84" s="187"/>
      <c r="K84" s="187"/>
      <c r="L84" s="187"/>
      <c r="M84" s="187"/>
      <c r="N84" s="187"/>
      <c r="O84" s="407"/>
    </row>
    <row r="85" spans="1:15">
      <c r="A85" s="408" t="s">
        <v>939</v>
      </c>
      <c r="B85" s="187"/>
      <c r="C85" s="187"/>
      <c r="D85" s="187"/>
      <c r="E85" s="187"/>
      <c r="F85" s="187" t="s">
        <v>931</v>
      </c>
      <c r="G85" s="187"/>
      <c r="H85" s="187"/>
      <c r="I85" s="187"/>
      <c r="J85" s="187"/>
      <c r="K85" s="187"/>
      <c r="L85" s="187"/>
      <c r="M85" s="187"/>
      <c r="N85" s="187"/>
      <c r="O85" s="407"/>
    </row>
    <row r="86" spans="1:15">
      <c r="A86" s="408"/>
      <c r="B86" s="187"/>
      <c r="C86" s="187"/>
      <c r="D86" s="187"/>
      <c r="E86" s="187"/>
      <c r="F86" s="187"/>
      <c r="G86" s="187"/>
      <c r="H86" s="187"/>
      <c r="I86" s="187"/>
      <c r="J86" s="187"/>
      <c r="K86" s="187"/>
      <c r="L86" s="187"/>
      <c r="M86" s="187"/>
      <c r="N86" s="187"/>
      <c r="O86" s="407"/>
    </row>
    <row r="87" spans="1:15">
      <c r="A87" s="188" t="s">
        <v>364</v>
      </c>
      <c r="B87" s="187"/>
      <c r="C87" s="187"/>
      <c r="D87" s="187"/>
      <c r="E87" s="187"/>
      <c r="F87" s="188" t="s">
        <v>366</v>
      </c>
      <c r="G87" s="187"/>
      <c r="H87" s="187"/>
      <c r="I87" s="187"/>
      <c r="J87" s="187"/>
      <c r="K87" s="187"/>
      <c r="L87" s="187"/>
      <c r="M87" s="187"/>
      <c r="N87" s="187"/>
      <c r="O87" s="407"/>
    </row>
    <row r="88" spans="1:15">
      <c r="A88" s="187" t="s">
        <v>595</v>
      </c>
      <c r="B88" s="187"/>
      <c r="C88" s="187"/>
      <c r="D88" s="187"/>
      <c r="E88" s="187"/>
      <c r="F88" s="187" t="s">
        <v>591</v>
      </c>
      <c r="G88" s="187"/>
      <c r="H88" s="187"/>
      <c r="I88" s="187"/>
      <c r="J88" s="187"/>
      <c r="K88" s="187"/>
      <c r="L88" s="187"/>
      <c r="M88" s="187"/>
      <c r="N88" s="187"/>
      <c r="O88" s="407"/>
    </row>
    <row r="89" spans="1:15">
      <c r="A89" s="187" t="s">
        <v>365</v>
      </c>
      <c r="B89" s="187"/>
      <c r="C89" s="187"/>
      <c r="D89" s="187"/>
      <c r="E89" s="187"/>
      <c r="F89" s="187" t="s">
        <v>367</v>
      </c>
      <c r="G89" s="187"/>
      <c r="H89" s="187"/>
      <c r="I89" s="187"/>
      <c r="J89" s="187"/>
      <c r="K89" s="187"/>
      <c r="L89" s="187"/>
      <c r="M89" s="187"/>
      <c r="N89" s="187"/>
      <c r="O89" s="407"/>
    </row>
    <row r="90" spans="1:15">
      <c r="A90" s="187" t="s">
        <v>940</v>
      </c>
      <c r="B90" s="187"/>
      <c r="C90" s="187"/>
      <c r="D90" s="187"/>
      <c r="E90" s="187"/>
      <c r="F90" s="187" t="s">
        <v>619</v>
      </c>
      <c r="G90" s="187"/>
      <c r="H90" s="187"/>
      <c r="I90" s="187"/>
      <c r="J90" s="187"/>
      <c r="K90" s="187"/>
      <c r="L90" s="187"/>
      <c r="M90" s="187"/>
      <c r="N90" s="187"/>
      <c r="O90" s="407"/>
    </row>
    <row r="91" spans="1:15">
      <c r="A91" s="187"/>
      <c r="B91" s="187"/>
      <c r="C91" s="187"/>
      <c r="D91" s="187"/>
      <c r="E91" s="187"/>
      <c r="F91" s="187" t="s">
        <v>368</v>
      </c>
      <c r="G91" s="187"/>
      <c r="H91" s="187"/>
      <c r="I91" s="187"/>
      <c r="J91" s="187"/>
      <c r="K91" s="187"/>
      <c r="L91" s="187"/>
      <c r="M91" s="187"/>
      <c r="N91" s="187"/>
      <c r="O91" s="410"/>
    </row>
    <row r="92" spans="1:15">
      <c r="A92" s="187"/>
      <c r="B92" s="187"/>
      <c r="C92" s="187"/>
      <c r="D92" s="187"/>
      <c r="E92" s="187"/>
      <c r="F92" s="187"/>
      <c r="G92" s="187"/>
      <c r="H92" s="187"/>
      <c r="I92" s="187"/>
      <c r="J92" s="187"/>
      <c r="K92" s="187"/>
      <c r="L92" s="187"/>
      <c r="M92" s="187"/>
      <c r="N92" s="187"/>
      <c r="O92" s="410"/>
    </row>
    <row r="93" spans="1:15">
      <c r="A93" s="408"/>
      <c r="B93" s="187"/>
      <c r="C93" s="187"/>
      <c r="D93" s="187"/>
      <c r="E93" s="187"/>
      <c r="F93" s="187"/>
      <c r="G93" s="187"/>
      <c r="H93" s="187"/>
      <c r="I93" s="187"/>
      <c r="J93" s="187"/>
      <c r="K93" s="187"/>
      <c r="L93" s="187"/>
      <c r="M93" s="187"/>
      <c r="N93" s="187"/>
      <c r="O93" s="410"/>
    </row>
    <row r="94" spans="1:15">
      <c r="A94" s="188" t="s">
        <v>831</v>
      </c>
      <c r="B94" s="187"/>
      <c r="C94" s="187"/>
      <c r="D94" s="187"/>
      <c r="E94" s="187"/>
      <c r="F94" s="187"/>
      <c r="G94" s="187"/>
      <c r="H94" s="187"/>
      <c r="I94" s="187"/>
      <c r="J94" s="187"/>
      <c r="K94" s="187"/>
      <c r="L94" s="187"/>
      <c r="M94" s="187"/>
      <c r="N94" s="187"/>
      <c r="O94" s="410"/>
    </row>
    <row r="95" spans="1:15">
      <c r="A95" s="412" t="s">
        <v>594</v>
      </c>
      <c r="B95" s="187"/>
      <c r="C95" s="187"/>
      <c r="D95" s="187"/>
      <c r="E95" s="187"/>
      <c r="F95" s="187"/>
      <c r="G95" s="187"/>
      <c r="H95" s="187"/>
      <c r="I95" s="187"/>
      <c r="J95" s="187"/>
      <c r="K95" s="187"/>
      <c r="L95" s="187"/>
      <c r="M95" s="187"/>
      <c r="N95" s="187"/>
      <c r="O95" s="410"/>
    </row>
    <row r="96" spans="1:15">
      <c r="A96" s="187" t="s">
        <v>679</v>
      </c>
      <c r="B96" s="187"/>
      <c r="C96" s="187"/>
      <c r="D96" s="187"/>
      <c r="E96" s="187"/>
      <c r="F96" s="187"/>
      <c r="G96" s="187"/>
      <c r="H96" s="409" t="s">
        <v>678</v>
      </c>
      <c r="I96" s="187"/>
      <c r="J96" s="187"/>
      <c r="K96" s="187"/>
      <c r="L96" s="187"/>
      <c r="M96" s="187"/>
      <c r="N96" s="187"/>
      <c r="O96" s="410"/>
    </row>
    <row r="97" spans="1:15">
      <c r="A97" s="187" t="s">
        <v>680</v>
      </c>
      <c r="B97" s="187"/>
      <c r="C97" s="187"/>
      <c r="D97" s="187"/>
      <c r="E97" s="187"/>
      <c r="F97" s="187"/>
      <c r="G97" s="187"/>
      <c r="H97" s="409" t="s">
        <v>677</v>
      </c>
      <c r="I97" s="187"/>
      <c r="J97" s="187"/>
      <c r="K97" s="187"/>
      <c r="L97" s="187"/>
      <c r="M97" s="187"/>
      <c r="N97" s="187"/>
      <c r="O97" s="410"/>
    </row>
    <row r="98" spans="1:15">
      <c r="A98" s="187" t="s">
        <v>681</v>
      </c>
      <c r="B98" s="187"/>
      <c r="C98" s="187"/>
      <c r="D98" s="187"/>
      <c r="E98" s="187"/>
      <c r="F98" s="187"/>
      <c r="G98" s="187"/>
      <c r="H98" s="409" t="s">
        <v>682</v>
      </c>
      <c r="I98" s="187"/>
      <c r="J98" s="187"/>
      <c r="K98" s="187"/>
      <c r="L98" s="187"/>
      <c r="M98" s="187"/>
      <c r="N98" s="187"/>
      <c r="O98" s="410"/>
    </row>
    <row r="99" spans="1:15">
      <c r="A99" s="187"/>
      <c r="B99" s="187"/>
      <c r="C99" s="187"/>
      <c r="D99" s="187"/>
      <c r="E99" s="187"/>
      <c r="F99" s="187"/>
      <c r="G99" s="187"/>
      <c r="H99" s="187"/>
      <c r="I99" s="187"/>
      <c r="J99" s="187"/>
      <c r="K99" s="187"/>
      <c r="L99" s="187"/>
      <c r="M99" s="187"/>
      <c r="N99" s="187"/>
      <c r="O99" s="410"/>
    </row>
    <row r="100" spans="1:15">
      <c r="A100" s="187"/>
      <c r="B100" s="187"/>
      <c r="C100" s="187"/>
      <c r="D100" s="187"/>
      <c r="E100" s="187"/>
      <c r="F100" s="187"/>
      <c r="G100" s="187"/>
      <c r="H100" s="187"/>
      <c r="I100" s="187"/>
      <c r="J100" s="187"/>
      <c r="K100" s="187"/>
      <c r="L100" s="187"/>
      <c r="M100" s="187"/>
      <c r="N100" s="187"/>
      <c r="O100" s="410"/>
    </row>
    <row r="101" spans="1:15">
      <c r="A101" s="187"/>
      <c r="B101" s="187"/>
      <c r="C101" s="187"/>
      <c r="D101" s="187"/>
      <c r="E101" s="187"/>
      <c r="F101" s="187"/>
      <c r="G101" s="187"/>
      <c r="H101" s="187"/>
      <c r="I101" s="187"/>
      <c r="J101" s="187"/>
      <c r="K101" s="187"/>
      <c r="L101" s="187"/>
      <c r="M101" s="187"/>
      <c r="N101" s="187"/>
      <c r="O101" s="410"/>
    </row>
    <row r="102" spans="1:15">
      <c r="A102" s="187"/>
      <c r="B102" s="187"/>
      <c r="C102" s="187"/>
      <c r="D102" s="187"/>
      <c r="E102" s="187"/>
      <c r="F102" s="187"/>
      <c r="G102" s="187"/>
      <c r="H102" s="187"/>
      <c r="I102" s="187"/>
      <c r="J102" s="187"/>
      <c r="K102" s="187"/>
      <c r="L102" s="187"/>
      <c r="M102" s="187"/>
      <c r="N102" s="187"/>
      <c r="O102" s="410"/>
    </row>
    <row r="103" spans="1:15">
      <c r="A103" s="187"/>
      <c r="B103" s="187"/>
      <c r="C103" s="187"/>
      <c r="D103" s="187"/>
      <c r="E103" s="187"/>
      <c r="F103" s="187"/>
      <c r="G103" s="187"/>
      <c r="H103" s="187"/>
      <c r="I103" s="187"/>
      <c r="J103" s="187"/>
      <c r="K103" s="187"/>
      <c r="L103" s="187"/>
      <c r="M103" s="187"/>
      <c r="N103" s="187"/>
      <c r="O103" s="410"/>
    </row>
    <row r="104" spans="1:15">
      <c r="A104" s="187"/>
      <c r="B104" s="187"/>
      <c r="C104" s="187"/>
      <c r="D104" s="187"/>
      <c r="E104" s="187"/>
      <c r="F104" s="187"/>
      <c r="G104" s="187"/>
      <c r="H104" s="187"/>
      <c r="I104" s="187"/>
      <c r="J104" s="187"/>
      <c r="K104" s="187"/>
      <c r="L104" s="187"/>
      <c r="M104" s="187"/>
      <c r="N104" s="187"/>
      <c r="O104" s="410"/>
    </row>
    <row r="105" spans="1:15">
      <c r="A105" s="187"/>
      <c r="B105" s="187"/>
      <c r="C105" s="187"/>
      <c r="D105" s="187"/>
      <c r="E105" s="187"/>
      <c r="F105" s="187"/>
      <c r="G105" s="187"/>
      <c r="H105" s="187"/>
      <c r="I105" s="187"/>
      <c r="J105" s="187"/>
      <c r="K105" s="187"/>
      <c r="L105" s="187"/>
      <c r="M105" s="187"/>
      <c r="N105" s="187"/>
      <c r="O105" s="410"/>
    </row>
    <row r="106" spans="1:15">
      <c r="A106" s="187"/>
      <c r="B106" s="187"/>
      <c r="C106" s="187"/>
      <c r="D106" s="187"/>
      <c r="E106" s="187"/>
      <c r="F106" s="187"/>
      <c r="G106" s="187"/>
      <c r="H106" s="187"/>
      <c r="I106" s="187"/>
      <c r="J106" s="187"/>
      <c r="K106" s="187"/>
      <c r="L106" s="187"/>
      <c r="M106" s="187"/>
      <c r="N106" s="187"/>
      <c r="O106" s="407"/>
    </row>
    <row r="107" spans="1:15" ht="13" thickBot="1">
      <c r="A107" s="416"/>
      <c r="B107" s="417"/>
      <c r="C107" s="417"/>
      <c r="D107" s="417"/>
      <c r="E107" s="417"/>
      <c r="F107" s="417"/>
      <c r="G107" s="417"/>
      <c r="H107" s="417"/>
      <c r="I107" s="417"/>
      <c r="J107" s="417"/>
      <c r="K107" s="417"/>
      <c r="L107" s="417"/>
      <c r="M107" s="417"/>
      <c r="N107" s="417"/>
      <c r="O107" s="418"/>
    </row>
  </sheetData>
  <sheetProtection selectLockedCells="1" selectUnlockedCells="1"/>
  <mergeCells count="1">
    <mergeCell ref="A4:D4"/>
  </mergeCells>
  <hyperlinks>
    <hyperlink ref="G12" r:id="rId1"/>
    <hyperlink ref="K66" r:id="rId2"/>
    <hyperlink ref="E4" r:id="rId3"/>
    <hyperlink ref="A7" r:id="rId4"/>
    <hyperlink ref="A9" r:id="rId5"/>
    <hyperlink ref="G14" r:id="rId6" location="more-299"/>
    <hyperlink ref="G15" r:id="rId7"/>
    <hyperlink ref="H96" r:id="rId8"/>
    <hyperlink ref="H97" r:id="rId9"/>
    <hyperlink ref="K28" r:id="rId10"/>
    <hyperlink ref="K44" r:id="rId11"/>
    <hyperlink ref="A3" r:id="rId12"/>
    <hyperlink ref="F27" r:id="rId13"/>
    <hyperlink ref="A8" r:id="rId14"/>
  </hyperlinks>
  <pageMargins left="0.78749999999999998" right="0.78749999999999998" top="1.0527777777777778" bottom="1.05277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496"/>
  <sheetViews>
    <sheetView zoomScale="90" zoomScaleNormal="90" zoomScalePageLayoutView="90" workbookViewId="0"/>
  </sheetViews>
  <sheetFormatPr baseColWidth="10" defaultColWidth="8.83203125" defaultRowHeight="12" x14ac:dyDescent="0"/>
  <cols>
    <col min="1" max="1" width="12.1640625" customWidth="1"/>
    <col min="2" max="2" width="13.5" customWidth="1"/>
    <col min="3" max="3" width="10.1640625" customWidth="1"/>
    <col min="4" max="4" width="8.83203125" customWidth="1"/>
    <col min="5" max="5" width="8" customWidth="1"/>
    <col min="6" max="6" width="8.5" customWidth="1"/>
    <col min="7" max="7" width="9.5" customWidth="1"/>
    <col min="8" max="8" width="10" customWidth="1"/>
    <col min="9" max="9" width="8.5" customWidth="1"/>
    <col min="10" max="10" width="9.5" customWidth="1"/>
    <col min="11" max="11" width="8.33203125" customWidth="1"/>
    <col min="13" max="13" width="8.1640625" customWidth="1"/>
    <col min="15" max="15" width="10.83203125" customWidth="1"/>
    <col min="16" max="16" width="9.6640625" customWidth="1"/>
    <col min="17" max="17" width="9.5" customWidth="1"/>
    <col min="18" max="18" width="11.6640625" customWidth="1"/>
    <col min="19" max="19" width="11.5" customWidth="1"/>
    <col min="20" max="20" width="12.1640625" customWidth="1"/>
    <col min="21" max="21" width="12" customWidth="1"/>
    <col min="22" max="22" width="11.5" customWidth="1"/>
    <col min="23" max="24" width="10.83203125" customWidth="1"/>
    <col min="25" max="26" width="11.5" customWidth="1"/>
    <col min="27" max="38" width="8.6640625" customWidth="1"/>
    <col min="39" max="39" width="8.83203125" customWidth="1"/>
    <col min="40" max="40" width="10.1640625" customWidth="1"/>
    <col min="41" max="41" width="8" customWidth="1"/>
    <col min="42" max="42" width="10" bestFit="1" customWidth="1"/>
    <col min="43" max="44" width="11.33203125" customWidth="1"/>
    <col min="45" max="45" width="11.83203125" customWidth="1"/>
    <col min="53" max="53" width="9.6640625" style="189" customWidth="1"/>
    <col min="76" max="76" width="11" customWidth="1"/>
    <col min="80" max="80" width="10.1640625" customWidth="1"/>
    <col min="83" max="83" width="9.83203125" customWidth="1"/>
    <col min="84" max="84" width="10" customWidth="1"/>
  </cols>
  <sheetData>
    <row r="1" spans="1:103" s="26" customFormat="1" ht="48">
      <c r="A1" s="190" t="s">
        <v>369</v>
      </c>
      <c r="B1" s="497" t="str">
        <f>IF(Data_All!B1="", "", Data_All!B1)</f>
        <v>MKT-TSM</v>
      </c>
      <c r="C1" s="497" t="str">
        <f>IF(Data_All!C1="", "", Data_All!C1)</f>
        <v>LCV</v>
      </c>
      <c r="D1" s="497" t="str">
        <f>IF(Data_All!D1="", "", Data_All!D1)</f>
        <v>500 Idx</v>
      </c>
      <c r="E1" s="497" t="str">
        <f>IF(Data_All!E1="", "", Data_All!E1)</f>
        <v>LCG</v>
      </c>
      <c r="F1" s="497" t="str">
        <f>IF(Data_All!F1="", "", Data_All!F1)</f>
        <v>MCB</v>
      </c>
      <c r="G1" s="497" t="str">
        <f>IF(Data_All!G1="", "", Data_All!G1)</f>
        <v>SCV</v>
      </c>
      <c r="H1" s="497" t="str">
        <f>IF(Data_All!H1="", "", Data_All!H1)</f>
        <v>SCB</v>
      </c>
      <c r="I1" s="497" t="str">
        <f>IF(Data_All!I1="", "", Data_All!I1)</f>
        <v>SCG</v>
      </c>
      <c r="J1" s="497" t="str">
        <f>IF(Data_All!J1="", "", Data_All!J1)</f>
        <v>D10</v>
      </c>
      <c r="K1" s="497" t="str">
        <f>IF(Data_All!K1="", "", Data_All!K1)</f>
        <v>REIT</v>
      </c>
      <c r="L1" s="497" t="str">
        <f>IF(Data_All!L1="", "", Data_All!L1)</f>
        <v>EAFED</v>
      </c>
      <c r="M1" s="497" t="str">
        <f>IF(Data_All!M1="", "", Data_All!M1)</f>
        <v>EM</v>
      </c>
      <c r="N1" s="497" t="str">
        <f>IF(Data_All!N1="", "", Data_All!N1)</f>
        <v>Total Intl</v>
      </c>
      <c r="O1" s="497" t="str">
        <f>IF(Data_All!O1="", "", Data_All!O1)</f>
        <v>Pacific</v>
      </c>
      <c r="P1" s="497" t="str">
        <f>IF(Data_All!P1="", "", Data_All!P1)</f>
        <v>Europe</v>
      </c>
      <c r="Q1" s="497" t="str">
        <f>IF(Data_All!Q1="", "", Data_All!Q1)</f>
        <v>Intl Value</v>
      </c>
      <c r="R1" s="497" t="str">
        <f>IF(Data_All!R1="", "", Data_All!R1)</f>
        <v>COMM</v>
      </c>
      <c r="S1" s="497" t="str">
        <f>IF(Data_All!S1="", "", Data_All!S1)</f>
        <v>LTGB</v>
      </c>
      <c r="T1" s="497" t="str">
        <f>IF(Data_All!T1="", "", Data_All!T1)</f>
        <v>5 Yr T</v>
      </c>
      <c r="U1" s="497" t="str">
        <f>IF(Data_All!U1="", "", Data_All!U1)</f>
        <v>ITB</v>
      </c>
      <c r="V1" s="497" t="str">
        <f>IF(Data_All!V1="", "", Data_All!V1)</f>
        <v>TBILL</v>
      </c>
      <c r="W1" s="497" t="str">
        <f>IF(Data_All!W1="", "", Data_All!W1)</f>
        <v>S-TIPS</v>
      </c>
      <c r="X1" s="497" t="str">
        <f>IF(Data_All!X1="", "", Data_All!X1)</f>
        <v>Wellington</v>
      </c>
      <c r="Y1" s="497" t="str">
        <f>IF(Data_All!Y1="", "", Data_All!Y1)</f>
        <v>Wellesley</v>
      </c>
      <c r="Z1" s="497" t="str">
        <f>IF(Data_All!Z1="", "", Data_All!Z1)</f>
        <v>Windsor</v>
      </c>
      <c r="AA1" s="497" t="str">
        <f>IF(Data_All!AA1="", "", Data_All!AA1)</f>
        <v>ST Trsry</v>
      </c>
      <c r="AB1" s="497" t="str">
        <f>IF(Data_All!AB1="", "", Data_All!AB1)</f>
        <v>GOLD</v>
      </c>
      <c r="AC1" s="497" t="str">
        <f>IF(Data_All!AC1="", "", Data_All!AC1)</f>
        <v>VG Intl Small</v>
      </c>
      <c r="AD1" s="497" t="str">
        <f>IF(Data_All!AD1="", "", Data_All!AD1)</f>
        <v>Energy</v>
      </c>
      <c r="AE1" s="497" t="str">
        <f>IF(Data_All!AE1="", "", Data_All!AE1)</f>
        <v>Health</v>
      </c>
      <c r="AF1" s="497" t="str">
        <f>IF(Data_All!AF1="", "", Data_All!AF1)</f>
        <v>P.Metals</v>
      </c>
      <c r="AG1" s="497" t="str">
        <f>IF(Data_All!AG1="", "", Data_All!AG1)</f>
        <v>Windsor II</v>
      </c>
      <c r="AH1" s="497" t="str">
        <f>IF(Data_All!AH1="", "", Data_All!AH1)</f>
        <v>V ST TE</v>
      </c>
      <c r="AI1" s="497" t="str">
        <f>IF(Data_All!AI1="", "", Data_All!AI1)</f>
        <v>V Int TE</v>
      </c>
      <c r="AJ1" s="497" t="str">
        <f>IF(Data_All!AJ1="", "", Data_All!AJ1)</f>
        <v>V LT TE</v>
      </c>
      <c r="AK1" s="497" t="str">
        <f>IF(Data_All!AK1="", "", Data_All!AK1)</f>
        <v>Hi-Yld C</v>
      </c>
      <c r="AL1" s="497" t="str">
        <f>IF(Data_All!AL1="", "", Data_All!AL1)</f>
        <v>MidCap Growth</v>
      </c>
      <c r="AM1" s="497" t="str">
        <f>IF(Data_All!AM1="", "", Data_All!AM1)</f>
        <v>MidCap Val</v>
      </c>
      <c r="AN1" s="497" t="str">
        <f>IF(Data_All!AN1="", "", Data_All!AN1)</f>
        <v>V Ext Mkt</v>
      </c>
      <c r="AO1" s="497" t="str">
        <f>IF(Data_All!AO1="", "", Data_All!AO1)</f>
        <v>Global Bd Fund</v>
      </c>
      <c r="AP1" s="497" t="str">
        <f>IF(Data_All!AP1="", "", Data_All!AP1)</f>
        <v>ST Invest. Grade</v>
      </c>
      <c r="AQ1" s="497" t="str">
        <f>IF(Data_All!AQ1="", "", Data_All!AQ1)</f>
        <v/>
      </c>
      <c r="AR1" s="497" t="str">
        <f>IF(Data_All!AR1="", "", Data_All!AR1)</f>
        <v/>
      </c>
      <c r="AS1" s="497" t="str">
        <f>IF(Data_All!AS1="", "", Data_All!AS1)</f>
        <v/>
      </c>
      <c r="AT1" s="497" t="str">
        <f>IF(Data_All!AT1="", "", Data_All!AT1)</f>
        <v/>
      </c>
      <c r="AU1" s="497" t="str">
        <f>IF(Data_All!AU1="", "", Data_All!AU1)</f>
        <v/>
      </c>
      <c r="AV1" s="497" t="str">
        <f>IF(Data_All!AV1="", "", Data_All!AV1)</f>
        <v/>
      </c>
      <c r="AW1" s="497" t="str">
        <f>IF(Data_All!AW1="", "", Data_All!AW1)</f>
        <v/>
      </c>
      <c r="AX1" s="497" t="str">
        <f>IF(Data_All!AX1="", "", Data_All!AX1)</f>
        <v/>
      </c>
      <c r="AY1" s="497" t="str">
        <f>IF(Data_All!AY1="", "", Data_All!AY1)</f>
        <v/>
      </c>
      <c r="AZ1" s="497" t="str">
        <f>IF(Data_All!AZ1="", "", Data_All!AZ1)</f>
        <v/>
      </c>
      <c r="BA1" s="497" t="str">
        <f>IF(Data_All!BA1="", "", Data_All!BA1)</f>
        <v/>
      </c>
      <c r="BB1" s="497" t="str">
        <f>IF(Data_All!BB1="", "", Data_All!BB1)</f>
        <v/>
      </c>
      <c r="BC1" s="497" t="str">
        <f>IF(Data_All!BC1="", "", Data_All!BC1)</f>
        <v/>
      </c>
      <c r="BD1" s="497" t="str">
        <f>IF(Data_All!BD1="", "", Data_All!BD1)</f>
        <v/>
      </c>
      <c r="BE1" s="497" t="str">
        <f>IF(Data_All!BE1="", "", Data_All!BE1)</f>
        <v/>
      </c>
      <c r="BF1" s="497" t="str">
        <f>IF(Data_All!BF1="", "", Data_All!BF1)</f>
        <v/>
      </c>
      <c r="BG1" s="497" t="str">
        <f>IF(Data_All!BG1="", "", Data_All!BG1)</f>
        <v/>
      </c>
      <c r="BH1" s="497" t="str">
        <f>IF(Data_All!BH1="", "", Data_All!BH1)</f>
        <v/>
      </c>
      <c r="BI1" s="497" t="str">
        <f>IF(Data_All!BI1="", "", Data_All!BI1)</f>
        <v/>
      </c>
      <c r="BJ1" s="497" t="str">
        <f>IF(Data_All!BJ1="", "", Data_All!BJ1)</f>
        <v/>
      </c>
      <c r="BK1" s="497" t="str">
        <f>IF(Data_All!BK1="", "", Data_All!BK1)</f>
        <v/>
      </c>
      <c r="BL1" s="497" t="str">
        <f>IF(Data_All!BL1="", "", Data_All!BL1)</f>
        <v/>
      </c>
      <c r="BM1" s="497" t="str">
        <f>IF(Data_All!BM1="", "", Data_All!BM1)</f>
        <v/>
      </c>
      <c r="BN1" s="497" t="str">
        <f>IF(Data_All!BN1="", "", Data_All!BN1)</f>
        <v/>
      </c>
      <c r="BO1" s="497" t="str">
        <f>IF(Data_All!BO1="", "", Data_All!BO1)</f>
        <v/>
      </c>
      <c r="BP1" s="497" t="str">
        <f>IF(Data_All!BP1="", "", Data_All!BP1)</f>
        <v/>
      </c>
      <c r="BQ1" s="497" t="str">
        <f>IF(Data_All!BQ1="", "", Data_All!BQ1)</f>
        <v/>
      </c>
      <c r="BR1" s="497" t="str">
        <f>IF(Data_All!BR1="", "", Data_All!BR1)</f>
        <v/>
      </c>
      <c r="BS1" s="497" t="str">
        <f>IF(Data_All!BS1="", "", Data_All!BS1)</f>
        <v/>
      </c>
      <c r="BT1" s="497" t="str">
        <f>IF(Data_All!BT1="", "", Data_All!BT1)</f>
        <v/>
      </c>
      <c r="BU1" s="497" t="str">
        <f>IF(Data_All!BU1="", "", Data_All!BU1)</f>
        <v/>
      </c>
      <c r="BV1" s="497" t="str">
        <f>IF(Data_All!BV1="", "", Data_All!BV1)</f>
        <v/>
      </c>
      <c r="BW1" s="497" t="str">
        <f>IF(Data_All!BW1="", "", Data_All!BW1)</f>
        <v/>
      </c>
      <c r="BX1" s="497" t="str">
        <f>IF(Data_All!BX1="", "", Data_All!BX1)</f>
        <v>S&amp;P500(h)</v>
      </c>
      <c r="BY1" s="497" t="str">
        <f>IF(Data_All!BY1="", "", Data_All!BY1)</f>
        <v>IT Bonds(h)</v>
      </c>
      <c r="BZ1" s="497" t="str">
        <f>IF(Data_All!BZ1="", "", Data_All!BZ1)</f>
        <v>TBills(h)</v>
      </c>
      <c r="CA1" s="563" t="s">
        <v>388</v>
      </c>
      <c r="CB1" s="191" t="s">
        <v>175</v>
      </c>
      <c r="CC1" s="194" t="s">
        <v>389</v>
      </c>
      <c r="CD1" s="195" t="s">
        <v>631</v>
      </c>
      <c r="CE1" s="156" t="str">
        <f>"Growth of "&amp;TEXT(CB4,"0")</f>
        <v>Growth of 10000</v>
      </c>
      <c r="CF1" s="181" t="s">
        <v>390</v>
      </c>
      <c r="CI1" s="181" t="s">
        <v>632</v>
      </c>
      <c r="CJ1" s="181" t="s">
        <v>391</v>
      </c>
      <c r="CK1" s="181" t="s">
        <v>633</v>
      </c>
      <c r="CM1"/>
      <c r="CN1" s="181" t="s">
        <v>393</v>
      </c>
      <c r="CO1" s="181" t="s">
        <v>394</v>
      </c>
      <c r="CP1" s="181" t="s">
        <v>395</v>
      </c>
      <c r="CQ1" s="181" t="s">
        <v>396</v>
      </c>
      <c r="CR1" s="181" t="s">
        <v>397</v>
      </c>
      <c r="CU1" s="181" t="s">
        <v>398</v>
      </c>
      <c r="CV1" s="181" t="s">
        <v>399</v>
      </c>
      <c r="CW1" s="181" t="s">
        <v>400</v>
      </c>
      <c r="CX1" s="181" t="s">
        <v>401</v>
      </c>
      <c r="CY1" s="181" t="s">
        <v>402</v>
      </c>
    </row>
    <row r="2" spans="1:103">
      <c r="B2" s="192" t="str">
        <f>IF(Data_All!B2="", "", Data_All!B2)</f>
        <v>VTSMX</v>
      </c>
      <c r="C2" s="192" t="str">
        <f>IF(Data_All!C2="", "", Data_All!C2)</f>
        <v>VIVAX</v>
      </c>
      <c r="D2" s="192" t="str">
        <f>IF(Data_All!D2="", "", Data_All!D2)</f>
        <v>VFINX</v>
      </c>
      <c r="E2" s="192" t="str">
        <f>IF(Data_All!E2="", "", Data_All!E2)</f>
        <v>VIGRX</v>
      </c>
      <c r="F2" s="192" t="str">
        <f>IF(Data_All!F2="", "", Data_All!F2)</f>
        <v>VIMSX</v>
      </c>
      <c r="G2" s="192" t="str">
        <f>IF(Data_All!G2="", "", Data_All!G2)</f>
        <v>VISVX</v>
      </c>
      <c r="H2" s="192" t="str">
        <f>IF(Data_All!H2="", "", Data_All!H2)</f>
        <v>NAESX</v>
      </c>
      <c r="I2" s="192" t="str">
        <f>IF(Data_All!I2="", "", Data_All!I2)</f>
        <v>VISGX</v>
      </c>
      <c r="J2" s="192" t="str">
        <f>IF(Data_All!J2="", "", Data_All!J2)</f>
        <v>BRSIX</v>
      </c>
      <c r="K2" s="192" t="str">
        <f>IF(Data_All!K2="", "", Data_All!K2)</f>
        <v>VGSIX</v>
      </c>
      <c r="L2" s="192" t="str">
        <f>IF(Data_All!L2="", "", Data_All!L2)</f>
        <v>VTMGX</v>
      </c>
      <c r="M2" s="192" t="str">
        <f>IF(Data_All!M2="", "", Data_All!M2)</f>
        <v>VEIEX</v>
      </c>
      <c r="N2" s="192" t="str">
        <f>IF(Data_All!N2="", "", Data_All!N2)</f>
        <v>VGTSX</v>
      </c>
      <c r="O2" s="192" t="str">
        <f>IF(Data_All!O2="", "", Data_All!O2)</f>
        <v>VPACX</v>
      </c>
      <c r="P2" s="192" t="str">
        <f>IF(Data_All!P2="", "", Data_All!P2)</f>
        <v>VEURX</v>
      </c>
      <c r="Q2" s="192" t="str">
        <f>IF(Data_All!Q2="", "", Data_All!Q2)</f>
        <v>VTRIX</v>
      </c>
      <c r="R2" s="192" t="str">
        <f>IF(Data_All!R2="", "", Data_All!R2)</f>
        <v>PCRIX</v>
      </c>
      <c r="S2" s="192" t="str">
        <f>IF(Data_All!S2="", "", Data_All!S2)</f>
        <v>VUSTX</v>
      </c>
      <c r="T2" s="192" t="str">
        <f>IF(Data_All!T2="", "", Data_All!T2)</f>
        <v>VFITX</v>
      </c>
      <c r="U2" s="192" t="str">
        <f>IF(Data_All!U2="", "", Data_All!U2)</f>
        <v>VBMFX</v>
      </c>
      <c r="V2" s="192" t="str">
        <f>IF(Data_All!V2="", "", Data_All!V2)</f>
        <v>VUSXX</v>
      </c>
      <c r="W2" s="192" t="str">
        <f>IF(Data_All!W2="", "", Data_All!W2)</f>
        <v>VIPSX</v>
      </c>
      <c r="X2" s="192" t="str">
        <f>IF(Data_All!X2="", "", Data_All!X2)</f>
        <v>VWELX</v>
      </c>
      <c r="Y2" s="192" t="str">
        <f>IF(Data_All!Y2="", "", Data_All!Y2)</f>
        <v>VWINX</v>
      </c>
      <c r="Z2" s="192" t="str">
        <f>IF(Data_All!Z2="", "", Data_All!Z2)</f>
        <v>VWNDX</v>
      </c>
      <c r="AA2" s="192" t="str">
        <f>IF(Data_All!AA2="", "", Data_All!AA2)</f>
        <v>VFISX</v>
      </c>
      <c r="AB2" s="192" t="str">
        <f>IF(Data_All!AB2="", "", Data_All!AB2)</f>
        <v>GLD</v>
      </c>
      <c r="AC2" s="192" t="str">
        <f>IF(Data_All!AC2="", "", Data_All!AC2)</f>
        <v>VFSVX</v>
      </c>
      <c r="AD2" s="192" t="str">
        <f>IF(Data_All!AD2="", "", Data_All!AD2)</f>
        <v>VGENX</v>
      </c>
      <c r="AE2" s="192" t="str">
        <f>IF(Data_All!AE2="", "", Data_All!AE2)</f>
        <v>VGHCX</v>
      </c>
      <c r="AF2" s="192" t="str">
        <f>IF(Data_All!AF2="", "", Data_All!AF2)</f>
        <v>VGPMX</v>
      </c>
      <c r="AG2" s="192" t="str">
        <f>IF(Data_All!AG2="", "", Data_All!AG2)</f>
        <v>VWNFX</v>
      </c>
      <c r="AH2" s="192" t="str">
        <f>IF(Data_All!AH2="", "", Data_All!AH2)</f>
        <v>VWSTX</v>
      </c>
      <c r="AI2" s="192" t="str">
        <f>IF(Data_All!AI2="", "", Data_All!AI2)</f>
        <v>VWITX</v>
      </c>
      <c r="AJ2" s="192" t="str">
        <f>IF(Data_All!AJ2="", "", Data_All!AJ2)</f>
        <v>VWLTX</v>
      </c>
      <c r="AK2" s="192" t="str">
        <f>IF(Data_All!AK2="", "", Data_All!AK2)</f>
        <v>VWEHX</v>
      </c>
      <c r="AL2" s="192" t="str">
        <f>IF(Data_All!AL2="", "", Data_All!AL2)</f>
        <v>VMGIX</v>
      </c>
      <c r="AM2" s="192" t="str">
        <f>IF(Data_All!AM2="", "", Data_All!AM2)</f>
        <v>VMVIX</v>
      </c>
      <c r="AN2" s="192" t="str">
        <f>IF(Data_All!AN2="", "", Data_All!AN2)</f>
        <v>VEXMX</v>
      </c>
      <c r="AO2" s="192" t="str">
        <f>IF(Data_All!AO2="", "", Data_All!AO2)</f>
        <v>PIGLX</v>
      </c>
      <c r="AP2" s="192" t="str">
        <f>IF(Data_All!AP2="", "", Data_All!AP2)</f>
        <v>VFSTX</v>
      </c>
      <c r="AQ2" s="192" t="str">
        <f>IF(Data_All!AQ2="", "", Data_All!AQ2)</f>
        <v/>
      </c>
      <c r="AR2" s="192" t="str">
        <f>IF(Data_All!AR2="", "", Data_All!AR2)</f>
        <v/>
      </c>
      <c r="AS2" s="192" t="str">
        <f>IF(Data_All!AS2="", "", Data_All!AS2)</f>
        <v/>
      </c>
      <c r="AT2" s="192" t="str">
        <f>IF(Data_All!AT2="", "", Data_All!AT2)</f>
        <v/>
      </c>
      <c r="AU2" s="192" t="str">
        <f>IF(Data_All!AU2="", "", Data_All!AU2)</f>
        <v/>
      </c>
      <c r="AV2" s="192" t="str">
        <f>IF(Data_All!AV2="", "", Data_All!AV2)</f>
        <v/>
      </c>
      <c r="AW2" s="192" t="str">
        <f>IF(Data_All!AW2="", "", Data_All!AW2)</f>
        <v/>
      </c>
      <c r="AX2" s="192" t="str">
        <f>IF(Data_All!AX2="", "", Data_All!AX2)</f>
        <v/>
      </c>
      <c r="AY2" s="192" t="str">
        <f>IF(Data_All!AY2="", "", Data_All!AY2)</f>
        <v/>
      </c>
      <c r="AZ2" s="192" t="str">
        <f>IF(Data_All!AZ2="", "", Data_All!AZ2)</f>
        <v/>
      </c>
      <c r="BA2" s="192" t="str">
        <f>IF(Data_All!BA2="", "", Data_All!BA2)</f>
        <v/>
      </c>
      <c r="BB2" s="192" t="str">
        <f>IF(Data_All!BB2="", "", Data_All!BB2)</f>
        <v/>
      </c>
      <c r="BC2" s="192" t="str">
        <f>IF(Data_All!BC2="", "", Data_All!BC2)</f>
        <v/>
      </c>
      <c r="BD2" s="192" t="str">
        <f>IF(Data_All!BD2="", "", Data_All!BD2)</f>
        <v/>
      </c>
      <c r="BE2" s="192" t="str">
        <f>IF(Data_All!BE2="", "", Data_All!BE2)</f>
        <v/>
      </c>
      <c r="BF2" s="192" t="str">
        <f>IF(Data_All!BF2="", "", Data_All!BF2)</f>
        <v/>
      </c>
      <c r="BG2" s="192" t="str">
        <f>IF(Data_All!BG2="", "", Data_All!BG2)</f>
        <v/>
      </c>
      <c r="BH2" s="192" t="str">
        <f>IF(Data_All!BH2="", "", Data_All!BH2)</f>
        <v/>
      </c>
      <c r="BI2" s="192" t="str">
        <f>IF(Data_All!BI2="", "", Data_All!BI2)</f>
        <v/>
      </c>
      <c r="BJ2" s="192" t="str">
        <f>IF(Data_All!BJ2="", "", Data_All!BJ2)</f>
        <v/>
      </c>
      <c r="BK2" s="192" t="str">
        <f>IF(Data_All!BK2="", "", Data_All!BK2)</f>
        <v/>
      </c>
      <c r="BL2" s="192" t="str">
        <f>IF(Data_All!BL2="", "", Data_All!BL2)</f>
        <v/>
      </c>
      <c r="BM2" s="192" t="str">
        <f>IF(Data_All!BM2="", "", Data_All!BM2)</f>
        <v/>
      </c>
      <c r="BN2" s="192" t="str">
        <f>IF(Data_All!BN2="", "", Data_All!BN2)</f>
        <v/>
      </c>
      <c r="BO2" s="192" t="str">
        <f>IF(Data_All!BO2="", "", Data_All!BO2)</f>
        <v/>
      </c>
      <c r="BP2" s="192" t="str">
        <f>IF(Data_All!BP2="", "", Data_All!BP2)</f>
        <v/>
      </c>
      <c r="BQ2" s="192" t="str">
        <f>IF(Data_All!BQ2="", "", Data_All!BQ2)</f>
        <v/>
      </c>
      <c r="BR2" s="192" t="str">
        <f>IF(Data_All!BR2="", "", Data_All!BR2)</f>
        <v/>
      </c>
      <c r="BS2" s="192" t="str">
        <f>IF(Data_All!BS2="", "", Data_All!BS2)</f>
        <v/>
      </c>
      <c r="BT2" s="192" t="str">
        <f>IF(Data_All!BT2="", "", Data_All!BT2)</f>
        <v/>
      </c>
      <c r="BU2" s="192" t="str">
        <f>IF(Data_All!BU2="", "", Data_All!BU2)</f>
        <v/>
      </c>
      <c r="BV2" s="192" t="str">
        <f>IF(Data_All!BV2="", "", Data_All!BV2)</f>
        <v/>
      </c>
      <c r="BW2" s="192" t="str">
        <f>IF(Data_All!BW2="", "", Data_All!BW2)</f>
        <v/>
      </c>
      <c r="BX2" s="192" t="str">
        <f>IF(Data_All!BX2="", "", Data_All!BX2)</f>
        <v>S&amp;P500(h)</v>
      </c>
      <c r="BY2" s="192" t="str">
        <f>IF(Data_All!BY2="", "", Data_All!BY2)</f>
        <v>IT Bonds(h)</v>
      </c>
      <c r="BZ2" s="192" t="str">
        <f>IF(Data_All!BZ2="", "", Data_All!BZ2)</f>
        <v>TBills(h)</v>
      </c>
      <c r="CA2" s="164"/>
      <c r="CB2" s="197"/>
      <c r="CC2" s="197"/>
      <c r="CD2" s="198"/>
      <c r="CE2" s="36">
        <f>CB4/10000</f>
        <v>1</v>
      </c>
      <c r="CF2" s="36"/>
      <c r="CG2" s="199">
        <f>AVERAGE(CG7:CG153)</f>
        <v>2.2972394967086786E-2</v>
      </c>
      <c r="CI2" s="36" t="str">
        <f>Data_All!V2</f>
        <v>VUSXX</v>
      </c>
      <c r="CJ2" s="36" t="s">
        <v>403</v>
      </c>
      <c r="CO2" s="189" t="b">
        <v>1</v>
      </c>
      <c r="CP2" s="189" t="b">
        <v>1</v>
      </c>
      <c r="CQ2" s="189" t="b">
        <v>1</v>
      </c>
      <c r="CR2" s="189" t="b">
        <v>1</v>
      </c>
      <c r="CV2" s="189" t="b">
        <v>1</v>
      </c>
      <c r="CW2" s="189" t="b">
        <v>1</v>
      </c>
      <c r="CX2" s="189" t="b">
        <v>1</v>
      </c>
      <c r="CY2" s="189" t="b">
        <v>1</v>
      </c>
    </row>
    <row r="3" spans="1:103" s="36" customFormat="1" ht="14" customHeight="1">
      <c r="A3" s="424" t="s">
        <v>433</v>
      </c>
      <c r="B3" s="200">
        <f>VLOOKUP(B2,Allocation_O,2,)</f>
        <v>0</v>
      </c>
      <c r="C3" s="200">
        <f t="shared" ref="C3:AE3" si="0">VLOOKUP(C2,Allocation_O,2,)</f>
        <v>0</v>
      </c>
      <c r="D3" s="200">
        <f t="shared" si="0"/>
        <v>0</v>
      </c>
      <c r="E3" s="200">
        <f t="shared" si="0"/>
        <v>0</v>
      </c>
      <c r="F3" s="200">
        <f t="shared" si="0"/>
        <v>0</v>
      </c>
      <c r="G3" s="200">
        <f t="shared" si="0"/>
        <v>0</v>
      </c>
      <c r="H3" s="200">
        <f t="shared" si="0"/>
        <v>0</v>
      </c>
      <c r="I3" s="200">
        <f t="shared" si="0"/>
        <v>0</v>
      </c>
      <c r="J3" s="200">
        <f t="shared" si="0"/>
        <v>0</v>
      </c>
      <c r="K3" s="200">
        <f t="shared" si="0"/>
        <v>0</v>
      </c>
      <c r="L3" s="200">
        <f t="shared" si="0"/>
        <v>0</v>
      </c>
      <c r="M3" s="200">
        <f t="shared" si="0"/>
        <v>0</v>
      </c>
      <c r="N3" s="200">
        <f t="shared" si="0"/>
        <v>0</v>
      </c>
      <c r="O3" s="200">
        <f t="shared" si="0"/>
        <v>0</v>
      </c>
      <c r="P3" s="200">
        <f t="shared" si="0"/>
        <v>0</v>
      </c>
      <c r="Q3" s="200">
        <f t="shared" si="0"/>
        <v>0</v>
      </c>
      <c r="R3" s="200">
        <f t="shared" si="0"/>
        <v>0</v>
      </c>
      <c r="S3" s="200">
        <f t="shared" si="0"/>
        <v>0</v>
      </c>
      <c r="T3" s="200">
        <f t="shared" si="0"/>
        <v>0</v>
      </c>
      <c r="U3" s="200">
        <f t="shared" si="0"/>
        <v>0</v>
      </c>
      <c r="V3" s="200">
        <f t="shared" si="0"/>
        <v>0</v>
      </c>
      <c r="W3" s="200">
        <f t="shared" si="0"/>
        <v>0</v>
      </c>
      <c r="X3" s="200">
        <f t="shared" si="0"/>
        <v>0</v>
      </c>
      <c r="Y3" s="200">
        <f t="shared" si="0"/>
        <v>0</v>
      </c>
      <c r="Z3" s="200">
        <f t="shared" si="0"/>
        <v>0</v>
      </c>
      <c r="AA3" s="200">
        <f t="shared" si="0"/>
        <v>0</v>
      </c>
      <c r="AB3" s="200">
        <f t="shared" si="0"/>
        <v>0</v>
      </c>
      <c r="AC3" s="200">
        <f t="shared" si="0"/>
        <v>0</v>
      </c>
      <c r="AD3" s="200">
        <f t="shared" si="0"/>
        <v>0</v>
      </c>
      <c r="AE3" s="200">
        <f t="shared" si="0"/>
        <v>0</v>
      </c>
      <c r="AF3" s="200">
        <f t="shared" ref="AF3:BZ3" si="1">VLOOKUP(AF2,Allocation_O,2,)</f>
        <v>0</v>
      </c>
      <c r="AG3" s="200">
        <f t="shared" si="1"/>
        <v>0</v>
      </c>
      <c r="AH3" s="200">
        <f t="shared" si="1"/>
        <v>0</v>
      </c>
      <c r="AI3" s="200">
        <f t="shared" si="1"/>
        <v>0</v>
      </c>
      <c r="AJ3" s="200">
        <f t="shared" si="1"/>
        <v>0</v>
      </c>
      <c r="AK3" s="200">
        <f t="shared" si="1"/>
        <v>0</v>
      </c>
      <c r="AL3" s="200">
        <f t="shared" si="1"/>
        <v>0</v>
      </c>
      <c r="AM3" s="200">
        <f t="shared" si="1"/>
        <v>0</v>
      </c>
      <c r="AN3" s="200">
        <f t="shared" si="1"/>
        <v>0</v>
      </c>
      <c r="AO3" s="200">
        <f t="shared" si="1"/>
        <v>0</v>
      </c>
      <c r="AP3" s="200">
        <f t="shared" si="1"/>
        <v>0</v>
      </c>
      <c r="AQ3" s="200">
        <f t="shared" si="1"/>
        <v>0</v>
      </c>
      <c r="AR3" s="200">
        <f t="shared" si="1"/>
        <v>0</v>
      </c>
      <c r="AS3" s="200">
        <f t="shared" si="1"/>
        <v>0</v>
      </c>
      <c r="AT3" s="200">
        <f t="shared" si="1"/>
        <v>0</v>
      </c>
      <c r="AU3" s="200">
        <f t="shared" si="1"/>
        <v>0</v>
      </c>
      <c r="AV3" s="200">
        <f t="shared" si="1"/>
        <v>0</v>
      </c>
      <c r="AW3" s="200">
        <f t="shared" si="1"/>
        <v>0</v>
      </c>
      <c r="AX3" s="200">
        <f t="shared" si="1"/>
        <v>0</v>
      </c>
      <c r="AY3" s="200">
        <f t="shared" si="1"/>
        <v>0</v>
      </c>
      <c r="AZ3" s="200">
        <f t="shared" si="1"/>
        <v>0</v>
      </c>
      <c r="BA3" s="200">
        <f t="shared" si="1"/>
        <v>0</v>
      </c>
      <c r="BB3" s="200">
        <f t="shared" si="1"/>
        <v>0</v>
      </c>
      <c r="BC3" s="200">
        <f t="shared" si="1"/>
        <v>0</v>
      </c>
      <c r="BD3" s="200">
        <f t="shared" si="1"/>
        <v>0</v>
      </c>
      <c r="BE3" s="200">
        <f t="shared" si="1"/>
        <v>0</v>
      </c>
      <c r="BF3" s="200">
        <f t="shared" si="1"/>
        <v>0</v>
      </c>
      <c r="BG3" s="200">
        <f t="shared" si="1"/>
        <v>0</v>
      </c>
      <c r="BH3" s="200">
        <f t="shared" si="1"/>
        <v>0</v>
      </c>
      <c r="BI3" s="200">
        <f t="shared" si="1"/>
        <v>0</v>
      </c>
      <c r="BJ3" s="200">
        <f t="shared" si="1"/>
        <v>0</v>
      </c>
      <c r="BK3" s="200">
        <f t="shared" si="1"/>
        <v>0</v>
      </c>
      <c r="BL3" s="200">
        <f t="shared" si="1"/>
        <v>0</v>
      </c>
      <c r="BM3" s="200">
        <f t="shared" si="1"/>
        <v>0</v>
      </c>
      <c r="BN3" s="200">
        <f t="shared" si="1"/>
        <v>0</v>
      </c>
      <c r="BO3" s="200">
        <f t="shared" si="1"/>
        <v>0</v>
      </c>
      <c r="BP3" s="200">
        <f t="shared" si="1"/>
        <v>0</v>
      </c>
      <c r="BQ3" s="200">
        <f t="shared" si="1"/>
        <v>0</v>
      </c>
      <c r="BR3" s="200">
        <f t="shared" si="1"/>
        <v>0</v>
      </c>
      <c r="BS3" s="200">
        <f t="shared" si="1"/>
        <v>0</v>
      </c>
      <c r="BT3" s="200">
        <f t="shared" si="1"/>
        <v>0</v>
      </c>
      <c r="BU3" s="200">
        <f t="shared" si="1"/>
        <v>0</v>
      </c>
      <c r="BV3" s="200">
        <f t="shared" si="1"/>
        <v>0</v>
      </c>
      <c r="BW3" s="200">
        <f t="shared" si="1"/>
        <v>0</v>
      </c>
      <c r="BX3" s="200">
        <f t="shared" si="1"/>
        <v>0.6</v>
      </c>
      <c r="BY3" s="200">
        <f t="shared" si="1"/>
        <v>0.4</v>
      </c>
      <c r="BZ3" s="200">
        <f t="shared" si="1"/>
        <v>0</v>
      </c>
      <c r="CA3" s="564" t="str">
        <f>IF((OR(SUM(B3:BZ3)&lt;1,SUM(B3:BZ3)&gt;1)),"ERROR","")</f>
        <v/>
      </c>
      <c r="CB3" s="202" t="s">
        <v>309</v>
      </c>
      <c r="CC3" s="201"/>
      <c r="CD3" s="203" t="s">
        <v>309</v>
      </c>
      <c r="CE3" s="36" t="str">
        <f>"Max. Drawdown Rebalanced = "&amp;TEXT(MAX(CG7:CG153),"0.0%")</f>
        <v>Max. Drawdown Rebalanced = 36.0%</v>
      </c>
    </row>
    <row r="4" spans="1:103">
      <c r="A4" s="204" t="s">
        <v>405</v>
      </c>
      <c r="B4" s="427" t="str">
        <f>IF(Portfolio!$T$88*B$3&gt;0,Portfolio!$T$88*B$3,"")</f>
        <v/>
      </c>
      <c r="C4" s="427" t="str">
        <f>IF(Portfolio!$T$88*C$3&gt;0,Portfolio!$T$88*C$3,"")</f>
        <v/>
      </c>
      <c r="D4" s="427" t="str">
        <f>IF(Portfolio!$T$88*D$3&gt;0,Portfolio!$T$88*D$3,"")</f>
        <v/>
      </c>
      <c r="E4" s="427" t="str">
        <f>IF(Portfolio!$T$88*E$3&gt;0,Portfolio!$T$88*E$3,"")</f>
        <v/>
      </c>
      <c r="F4" s="427" t="str">
        <f>IF(Portfolio!$T$88*F$3&gt;0,Portfolio!$T$88*F$3,"")</f>
        <v/>
      </c>
      <c r="G4" s="427" t="str">
        <f>IF(Portfolio!$T$88*G$3&gt;0,Portfolio!$T$88*G$3,"")</f>
        <v/>
      </c>
      <c r="H4" s="427" t="str">
        <f>IF(Portfolio!$T$88*H$3&gt;0,Portfolio!$T$88*H$3,"")</f>
        <v/>
      </c>
      <c r="I4" s="427" t="str">
        <f>IF(Portfolio!$T$88*I$3&gt;0,Portfolio!$T$88*I$3,"")</f>
        <v/>
      </c>
      <c r="J4" s="427" t="str">
        <f>IF(Portfolio!$T$88*J$3&gt;0,Portfolio!$T$88*J$3,"")</f>
        <v/>
      </c>
      <c r="K4" s="427" t="str">
        <f>IF(Portfolio!$T$88*K$3&gt;0,Portfolio!$T$88*K$3,"")</f>
        <v/>
      </c>
      <c r="L4" s="427" t="str">
        <f>IF(Portfolio!$T$88*L$3&gt;0,Portfolio!$T$88*L$3,"")</f>
        <v/>
      </c>
      <c r="M4" s="427" t="str">
        <f>IF(Portfolio!$T$88*M$3&gt;0,Portfolio!$T$88*M$3,"")</f>
        <v/>
      </c>
      <c r="N4" s="427" t="str">
        <f>IF(Portfolio!$T$88*N$3&gt;0,Portfolio!$T$88*N$3,"")</f>
        <v/>
      </c>
      <c r="O4" s="427" t="str">
        <f>IF(Portfolio!$T$88*O$3&gt;0,Portfolio!$T$88*O$3,"")</f>
        <v/>
      </c>
      <c r="P4" s="427" t="str">
        <f>IF(Portfolio!$T$88*P$3&gt;0,Portfolio!$T$88*P$3,"")</f>
        <v/>
      </c>
      <c r="Q4" s="427" t="str">
        <f>IF(Portfolio!$T$88*Q$3&gt;0,Portfolio!$T$88*Q$3,"")</f>
        <v/>
      </c>
      <c r="R4" s="427" t="str">
        <f>IF(Portfolio!$T$88*R$3&gt;0,Portfolio!$T$88*R$3,"")</f>
        <v/>
      </c>
      <c r="S4" s="427" t="str">
        <f>IF(Portfolio!$T$88*S$3&gt;0,Portfolio!$T$88*S$3,"")</f>
        <v/>
      </c>
      <c r="T4" s="427" t="str">
        <f>IF(Portfolio!$T$88*T$3&gt;0,Portfolio!$T$88*T$3,"")</f>
        <v/>
      </c>
      <c r="U4" s="427" t="str">
        <f>IF(Portfolio!$T$88*U$3&gt;0,Portfolio!$T$88*U$3,"")</f>
        <v/>
      </c>
      <c r="V4" s="427" t="str">
        <f>IF(Portfolio!$T$88*V$3&gt;0,Portfolio!$T$88*V$3,"")</f>
        <v/>
      </c>
      <c r="W4" s="427" t="str">
        <f>IF(Portfolio!$T$88*W$3&gt;0,Portfolio!$T$88*W$3,"")</f>
        <v/>
      </c>
      <c r="X4" s="427" t="str">
        <f>IF(Portfolio!$T$88*X$3&gt;0,Portfolio!$T$88*X$3,"")</f>
        <v/>
      </c>
      <c r="Y4" s="427" t="str">
        <f>IF(Portfolio!$T$88*Y$3&gt;0,Portfolio!$T$88*Y$3,"")</f>
        <v/>
      </c>
      <c r="Z4" s="427" t="str">
        <f>IF(Portfolio!$T$88*Z$3&gt;0,Portfolio!$T$88*Z$3,"")</f>
        <v/>
      </c>
      <c r="AA4" s="427" t="str">
        <f>IF(Portfolio!$T$88*AA$3&gt;0,Portfolio!$T$88*AA$3,"")</f>
        <v/>
      </c>
      <c r="AB4" s="427" t="str">
        <f>IF(Portfolio!$T$88*AB$3&gt;0,Portfolio!$T$88*AB$3,"")</f>
        <v/>
      </c>
      <c r="AC4" s="427" t="str">
        <f>IF(Portfolio!$T$88*AC$3&gt;0,Portfolio!$T$88*AC$3,"")</f>
        <v/>
      </c>
      <c r="AD4" s="427" t="str">
        <f>IF(Portfolio!$T$88*AD$3&gt;0,Portfolio!$T$88*AD$3,"")</f>
        <v/>
      </c>
      <c r="AE4" s="427" t="str">
        <f>IF(Portfolio!$T$88*AE$3&gt;0,Portfolio!$T$88*AE$3,"")</f>
        <v/>
      </c>
      <c r="AF4" s="427" t="str">
        <f>IF(Portfolio!$T$88*AF$3&gt;0,Portfolio!$T$88*AF$3,"")</f>
        <v/>
      </c>
      <c r="AG4" s="427" t="str">
        <f>IF(Portfolio!$T$88*AG$3&gt;0,Portfolio!$T$88*AG$3,"")</f>
        <v/>
      </c>
      <c r="AH4" s="427" t="str">
        <f>IF(Portfolio!$T$88*AH$3&gt;0,Portfolio!$T$88*AH$3,"")</f>
        <v/>
      </c>
      <c r="AI4" s="427" t="str">
        <f>IF(Portfolio!$T$88*AI$3&gt;0,Portfolio!$T$88*AI$3,"")</f>
        <v/>
      </c>
      <c r="AJ4" s="427" t="str">
        <f>IF(Portfolio!$T$88*AJ$3&gt;0,Portfolio!$T$88*AJ$3,"")</f>
        <v/>
      </c>
      <c r="AK4" s="427" t="str">
        <f>IF(Portfolio!$T$88*AK$3&gt;0,Portfolio!$T$88*AK$3,"")</f>
        <v/>
      </c>
      <c r="AL4" s="427" t="str">
        <f>IF(Portfolio!$T$88*AL$3&gt;0,Portfolio!$T$88*AL$3,"")</f>
        <v/>
      </c>
      <c r="AM4" s="427" t="str">
        <f>IF(Portfolio!$T$88*AM$3&gt;0,Portfolio!$T$88*AM$3,"")</f>
        <v/>
      </c>
      <c r="AN4" s="427" t="str">
        <f>IF(Portfolio!$T$88*AN$3&gt;0,Portfolio!$T$88*AN$3,"")</f>
        <v/>
      </c>
      <c r="AO4" s="427" t="str">
        <f>IF(Portfolio!$T$88*AO$3&gt;0,Portfolio!$T$88*AO$3,"")</f>
        <v/>
      </c>
      <c r="AP4" s="427" t="str">
        <f>IF(Portfolio!$T$88*AP$3&gt;0,Portfolio!$T$88*AP$3,"")</f>
        <v/>
      </c>
      <c r="AQ4" s="427" t="str">
        <f>IF(Portfolio!$T$88*AQ$3&gt;0,Portfolio!$T$88*AQ$3,"")</f>
        <v/>
      </c>
      <c r="AR4" s="427" t="str">
        <f>IF(Portfolio!$T$88*AR$3&gt;0,Portfolio!$T$88*AR$3,"")</f>
        <v/>
      </c>
      <c r="AS4" s="427" t="str">
        <f>IF(Portfolio!$T$88*AS$3&gt;0,Portfolio!$T$88*AS$3,"")</f>
        <v/>
      </c>
      <c r="AT4" s="427" t="str">
        <f>IF(Portfolio!$T$88*AT$3&gt;0,Portfolio!$T$88*AT$3,"")</f>
        <v/>
      </c>
      <c r="AU4" s="427" t="str">
        <f>IF(Portfolio!$T$88*AU$3&gt;0,Portfolio!$T$88*AU$3,"")</f>
        <v/>
      </c>
      <c r="AV4" s="427" t="str">
        <f>IF(Portfolio!$T$88*AV$3&gt;0,Portfolio!$T$88*AV$3,"")</f>
        <v/>
      </c>
      <c r="AW4" s="427" t="str">
        <f>IF(Portfolio!$T$88*AW$3&gt;0,Portfolio!$T$88*AW$3,"")</f>
        <v/>
      </c>
      <c r="AX4" s="427" t="str">
        <f>IF(Portfolio!$T$88*AX$3&gt;0,Portfolio!$T$88*AX$3,"")</f>
        <v/>
      </c>
      <c r="AY4" s="427" t="str">
        <f>IF(Portfolio!$T$88*AY$3&gt;0,Portfolio!$T$88*AY$3,"")</f>
        <v/>
      </c>
      <c r="AZ4" s="427" t="str">
        <f>IF(Portfolio!$T$88*AZ$3&gt;0,Portfolio!$T$88*AZ$3,"")</f>
        <v/>
      </c>
      <c r="BA4" s="427" t="str">
        <f>IF(Portfolio!$T$88*BA$3&gt;0,Portfolio!$T$88*BA$3,"")</f>
        <v/>
      </c>
      <c r="BB4" s="427" t="str">
        <f>IF(Portfolio!$T$88*BB$3&gt;0,Portfolio!$T$88*BB$3,"")</f>
        <v/>
      </c>
      <c r="BC4" s="427" t="str">
        <f>IF(Portfolio!$T$88*BC$3&gt;0,Portfolio!$T$88*BC$3,"")</f>
        <v/>
      </c>
      <c r="BD4" s="427" t="str">
        <f>IF(Portfolio!$T$88*BD$3&gt;0,Portfolio!$T$88*BD$3,"")</f>
        <v/>
      </c>
      <c r="BE4" s="427" t="str">
        <f>IF(Portfolio!$T$88*BE$3&gt;0,Portfolio!$T$88*BE$3,"")</f>
        <v/>
      </c>
      <c r="BF4" s="427" t="str">
        <f>IF(Portfolio!$T$88*BF$3&gt;0,Portfolio!$T$88*BF$3,"")</f>
        <v/>
      </c>
      <c r="BG4" s="427" t="str">
        <f>IF(Portfolio!$T$88*BG$3&gt;0,Portfolio!$T$88*BG$3,"")</f>
        <v/>
      </c>
      <c r="BH4" s="427" t="str">
        <f>IF(Portfolio!$T$88*BH$3&gt;0,Portfolio!$T$88*BH$3,"")</f>
        <v/>
      </c>
      <c r="BI4" s="427" t="str">
        <f>IF(Portfolio!$T$88*BI$3&gt;0,Portfolio!$T$88*BI$3,"")</f>
        <v/>
      </c>
      <c r="BJ4" s="427" t="str">
        <f>IF(Portfolio!$T$88*BJ$3&gt;0,Portfolio!$T$88*BJ$3,"")</f>
        <v/>
      </c>
      <c r="BK4" s="427" t="str">
        <f>IF(Portfolio!$T$88*BK$3&gt;0,Portfolio!$T$88*BK$3,"")</f>
        <v/>
      </c>
      <c r="BL4" s="427" t="str">
        <f>IF(Portfolio!$T$88*BL$3&gt;0,Portfolio!$T$88*BL$3,"")</f>
        <v/>
      </c>
      <c r="BM4" s="427" t="str">
        <f>IF(Portfolio!$T$88*BM$3&gt;0,Portfolio!$T$88*BM$3,"")</f>
        <v/>
      </c>
      <c r="BN4" s="427" t="str">
        <f>IF(Portfolio!$T$88*BN$3&gt;0,Portfolio!$T$88*BN$3,"")</f>
        <v/>
      </c>
      <c r="BO4" s="427" t="str">
        <f>IF(Portfolio!$T$88*BO$3&gt;0,Portfolio!$T$88*BO$3,"")</f>
        <v/>
      </c>
      <c r="BP4" s="427" t="str">
        <f>IF(Portfolio!$T$88*BP$3&gt;0,Portfolio!$T$88*BP$3,"")</f>
        <v/>
      </c>
      <c r="BQ4" s="427" t="str">
        <f>IF(Portfolio!$T$88*BQ$3&gt;0,Portfolio!$T$88*BQ$3,"")</f>
        <v/>
      </c>
      <c r="BR4" s="427" t="str">
        <f>IF(Portfolio!$T$88*BR$3&gt;0,Portfolio!$T$88*BR$3,"")</f>
        <v/>
      </c>
      <c r="BS4" s="427" t="str">
        <f>IF(Portfolio!$T$88*BS$3&gt;0,Portfolio!$T$88*BS$3,"")</f>
        <v/>
      </c>
      <c r="BT4" s="427" t="str">
        <f>IF(Portfolio!$T$88*BT$3&gt;0,Portfolio!$T$88*BT$3,"")</f>
        <v/>
      </c>
      <c r="BU4" s="427" t="str">
        <f>IF(Portfolio!$T$88*BU$3&gt;0,Portfolio!$T$88*BU$3,"")</f>
        <v/>
      </c>
      <c r="BV4" s="427" t="str">
        <f>IF(Portfolio!$T$88*BV$3&gt;0,Portfolio!$T$88*BV$3,"")</f>
        <v/>
      </c>
      <c r="BW4" s="427" t="str">
        <f>IF(Portfolio!$T$88*BW$3&gt;0,Portfolio!$T$88*BW$3,"")</f>
        <v/>
      </c>
      <c r="BX4" s="427">
        <f>IF(Portfolio!$T$88*BX$3&gt;0,Portfolio!$T$88*BX$3,"")</f>
        <v>6000</v>
      </c>
      <c r="BY4" s="427">
        <f>IF(Portfolio!$T$88*BY$3&gt;0,Portfolio!$T$88*BY$3,"")</f>
        <v>4000</v>
      </c>
      <c r="BZ4" s="427" t="str">
        <f>IF(Portfolio!$T$88*BZ$3&gt;0,Portfolio!$T$88*BZ$3,"")</f>
        <v/>
      </c>
      <c r="CA4" s="565"/>
      <c r="CB4" s="432">
        <f>Portfolio!$T$88</f>
        <v>10000</v>
      </c>
      <c r="CC4" s="206"/>
      <c r="CD4" s="435">
        <f>Portfolio!$T$88</f>
        <v>10000</v>
      </c>
      <c r="CE4" s="144" t="str">
        <f>"Avg. Drawdown Rebalanced = "&amp;TEXT(CG2,"0.0%")</f>
        <v>Avg. Drawdown Rebalanced = 2.3%</v>
      </c>
      <c r="CO4" s="189"/>
    </row>
    <row r="5" spans="1:103">
      <c r="A5" s="164"/>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206"/>
      <c r="BF5" s="206"/>
      <c r="BG5" s="206"/>
      <c r="BH5" s="206"/>
      <c r="BI5" s="206"/>
      <c r="BJ5" s="206"/>
      <c r="BK5" s="206"/>
      <c r="BL5" s="206"/>
      <c r="BM5" s="206"/>
      <c r="BN5" s="206"/>
      <c r="BO5" s="206"/>
      <c r="BP5" s="206"/>
      <c r="BQ5" s="206"/>
      <c r="BR5" s="206"/>
      <c r="BS5" s="206"/>
      <c r="BT5" s="206"/>
      <c r="BU5" s="206"/>
      <c r="BV5" s="206"/>
      <c r="BW5" s="206"/>
      <c r="BX5" s="206"/>
      <c r="BY5" s="206"/>
      <c r="BZ5" s="206"/>
      <c r="CA5" s="565"/>
      <c r="CB5" s="432"/>
      <c r="CC5" s="206"/>
      <c r="CD5" s="435"/>
      <c r="CE5" s="144"/>
      <c r="CI5" s="61">
        <f>AVERAGE(TBill_O)/100</f>
        <v>4.2110452730473591E-2</v>
      </c>
      <c r="CJ5" s="61">
        <f>AVERAGE(CJ7:CJ153)/100</f>
        <v>2.2234099456226356E-2</v>
      </c>
      <c r="CO5" s="189"/>
    </row>
    <row r="6" spans="1:103">
      <c r="A6" s="164"/>
      <c r="B6" s="206"/>
      <c r="C6" s="206"/>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K6" s="206"/>
      <c r="BL6" s="206"/>
      <c r="BM6" s="206"/>
      <c r="BN6" s="206"/>
      <c r="BO6" s="206"/>
      <c r="BP6" s="206"/>
      <c r="BQ6" s="206"/>
      <c r="BR6" s="206"/>
      <c r="BS6" s="206"/>
      <c r="BT6" s="206"/>
      <c r="BU6" s="206"/>
      <c r="BV6" s="206"/>
      <c r="BW6" s="206"/>
      <c r="BX6" s="206"/>
      <c r="BY6" s="206"/>
      <c r="BZ6" s="206"/>
      <c r="CA6" s="565"/>
      <c r="CB6" s="432"/>
      <c r="CC6" s="206"/>
      <c r="CD6" s="435"/>
      <c r="CE6" s="144"/>
      <c r="CI6" s="61">
        <f>(CI5-CJ5)/(1+CJ5)</f>
        <v>1.9444032716987612E-2</v>
      </c>
      <c r="CO6" s="189"/>
    </row>
    <row r="7" spans="1:103">
      <c r="A7" s="204">
        <v>1871</v>
      </c>
      <c r="B7" s="206" t="str">
        <f>IF(AND($A7&gt;=SYear_O, $A7&lt;=EYear_O, B$3&gt;0), B$3 * VLOOKUP($A7, Data_All!$A$8:$CA$153, MATCH(B$2, Data_All!$B$2:$CA$2, 0)+1), "")</f>
        <v/>
      </c>
      <c r="C7" s="206" t="str">
        <f>IF(AND($A7&gt;=SYear_O, $A7&lt;=EYear_O, C$3&gt;0), C$3 * VLOOKUP($A7, Data_All!$A$8:$CA$153, MATCH(C$2, Data_All!$B$2:$CA$2, 0)+1), "")</f>
        <v/>
      </c>
      <c r="D7" s="206" t="str">
        <f>IF(AND($A7&gt;=SYear_O, $A7&lt;=EYear_O, D$3&gt;0), D$3 * VLOOKUP($A7, Data_All!$A$8:$CA$153, MATCH(D$2, Data_All!$B$2:$CA$2, 0)+1), "")</f>
        <v/>
      </c>
      <c r="E7" s="206" t="str">
        <f>IF(AND($A7&gt;=SYear_O, $A7&lt;=EYear_O, E$3&gt;0), E$3 * VLOOKUP($A7, Data_All!$A$8:$CA$153, MATCH(E$2, Data_All!$B$2:$CA$2, 0)+1), "")</f>
        <v/>
      </c>
      <c r="F7" s="206" t="str">
        <f>IF(AND($A7&gt;=SYear_O, $A7&lt;=EYear_O, F$3&gt;0), F$3 * VLOOKUP($A7, Data_All!$A$8:$CA$153, MATCH(F$2, Data_All!$B$2:$CA$2, 0)+1), "")</f>
        <v/>
      </c>
      <c r="G7" s="206" t="str">
        <f>IF(AND($A7&gt;=SYear_O, $A7&lt;=EYear_O, G$3&gt;0), G$3 * VLOOKUP($A7, Data_All!$A$8:$CA$153, MATCH(G$2, Data_All!$B$2:$CA$2, 0)+1), "")</f>
        <v/>
      </c>
      <c r="H7" s="206" t="str">
        <f>IF(AND($A7&gt;=SYear_O, $A7&lt;=EYear_O, H$3&gt;0), H$3 * VLOOKUP($A7, Data_All!$A$8:$CA$153, MATCH(H$2, Data_All!$B$2:$CA$2, 0)+1), "")</f>
        <v/>
      </c>
      <c r="I7" s="206" t="str">
        <f>IF(AND($A7&gt;=SYear_O, $A7&lt;=EYear_O, I$3&gt;0), I$3 * VLOOKUP($A7, Data_All!$A$8:$CA$153, MATCH(I$2, Data_All!$B$2:$CA$2, 0)+1), "")</f>
        <v/>
      </c>
      <c r="J7" s="206" t="str">
        <f>IF(AND($A7&gt;=SYear_O, $A7&lt;=EYear_O, J$3&gt;0), J$3 * VLOOKUP($A7, Data_All!$A$8:$CA$153, MATCH(J$2, Data_All!$B$2:$CA$2, 0)+1), "")</f>
        <v/>
      </c>
      <c r="K7" s="206" t="str">
        <f>IF(AND($A7&gt;=SYear_O, $A7&lt;=EYear_O, K$3&gt;0), K$3 * VLOOKUP($A7, Data_All!$A$8:$CA$153, MATCH(K$2, Data_All!$B$2:$CA$2, 0)+1), "")</f>
        <v/>
      </c>
      <c r="L7" s="206" t="str">
        <f>IF(AND($A7&gt;=SYear_O, $A7&lt;=EYear_O, L$3&gt;0), L$3 * VLOOKUP($A7, Data_All!$A$8:$CA$153, MATCH(L$2, Data_All!$B$2:$CA$2, 0)+1), "")</f>
        <v/>
      </c>
      <c r="M7" s="206" t="str">
        <f>IF(AND($A7&gt;=SYear_O, $A7&lt;=EYear_O, M$3&gt;0), M$3 * VLOOKUP($A7, Data_All!$A$8:$CA$153, MATCH(M$2, Data_All!$B$2:$CA$2, 0)+1), "")</f>
        <v/>
      </c>
      <c r="N7" s="206" t="str">
        <f>IF(AND($A7&gt;=SYear_O, $A7&lt;=EYear_O, N$3&gt;0), N$3 * VLOOKUP($A7, Data_All!$A$8:$CA$153, MATCH(N$2, Data_All!$B$2:$CA$2, 0)+1), "")</f>
        <v/>
      </c>
      <c r="O7" s="206" t="str">
        <f>IF(AND($A7&gt;=SYear_O, $A7&lt;=EYear_O, O$3&gt;0), O$3 * VLOOKUP($A7, Data_All!$A$8:$CA$153, MATCH(O$2, Data_All!$B$2:$CA$2, 0)+1), "")</f>
        <v/>
      </c>
      <c r="P7" s="206" t="str">
        <f>IF(AND($A7&gt;=SYear_O, $A7&lt;=EYear_O, P$3&gt;0), P$3 * VLOOKUP($A7, Data_All!$A$8:$CA$153, MATCH(P$2, Data_All!$B$2:$CA$2, 0)+1), "")</f>
        <v/>
      </c>
      <c r="Q7" s="206" t="str">
        <f>IF(AND($A7&gt;=SYear_O, $A7&lt;=EYear_O, Q$3&gt;0), Q$3 * VLOOKUP($A7, Data_All!$A$8:$CA$153, MATCH(Q$2, Data_All!$B$2:$CA$2, 0)+1), "")</f>
        <v/>
      </c>
      <c r="R7" s="206" t="str">
        <f>IF(AND($A7&gt;=SYear_O, $A7&lt;=EYear_O, R$3&gt;0), R$3 * VLOOKUP($A7, Data_All!$A$8:$CA$153, MATCH(R$2, Data_All!$B$2:$CA$2, 0)+1), "")</f>
        <v/>
      </c>
      <c r="S7" s="206" t="str">
        <f>IF(AND($A7&gt;=SYear_O, $A7&lt;=EYear_O, S$3&gt;0), S$3 * VLOOKUP($A7, Data_All!$A$8:$CA$153, MATCH(S$2, Data_All!$B$2:$CA$2, 0)+1), "")</f>
        <v/>
      </c>
      <c r="T7" s="206" t="str">
        <f>IF(AND($A7&gt;=SYear_O, $A7&lt;=EYear_O, T$3&gt;0), T$3 * VLOOKUP($A7, Data_All!$A$8:$CA$153, MATCH(T$2, Data_All!$B$2:$CA$2, 0)+1), "")</f>
        <v/>
      </c>
      <c r="U7" s="206" t="str">
        <f>IF(AND($A7&gt;=SYear_O, $A7&lt;=EYear_O, U$3&gt;0), U$3 * VLOOKUP($A7, Data_All!$A$8:$CA$153, MATCH(U$2, Data_All!$B$2:$CA$2, 0)+1), "")</f>
        <v/>
      </c>
      <c r="V7" s="206" t="str">
        <f>IF(AND($A7&gt;=SYear_O, $A7&lt;=EYear_O, V$3&gt;0), V$3 * VLOOKUP($A7, Data_All!$A$8:$CA$153, MATCH(V$2, Data_All!$B$2:$CA$2, 0)+1), "")</f>
        <v/>
      </c>
      <c r="W7" s="206" t="str">
        <f>IF(AND($A7&gt;=SYear_O, $A7&lt;=EYear_O, W$3&gt;0), W$3 * VLOOKUP($A7, Data_All!$A$8:$CA$153, MATCH(W$2, Data_All!$B$2:$CA$2, 0)+1), "")</f>
        <v/>
      </c>
      <c r="X7" s="206" t="str">
        <f>IF(AND($A7&gt;=SYear_O, $A7&lt;=EYear_O, X$3&gt;0), X$3 * VLOOKUP($A7, Data_All!$A$8:$CA$153, MATCH(X$2, Data_All!$B$2:$CA$2, 0)+1), "")</f>
        <v/>
      </c>
      <c r="Y7" s="206" t="str">
        <f>IF(AND($A7&gt;=SYear_O, $A7&lt;=EYear_O, Y$3&gt;0), Y$3 * VLOOKUP($A7, Data_All!$A$8:$CA$153, MATCH(Y$2, Data_All!$B$2:$CA$2, 0)+1), "")</f>
        <v/>
      </c>
      <c r="Z7" s="206" t="str">
        <f>IF(AND($A7&gt;=SYear_O, $A7&lt;=EYear_O, Z$3&gt;0), Z$3 * VLOOKUP($A7, Data_All!$A$8:$CA$153, MATCH(Z$2, Data_All!$B$2:$CA$2, 0)+1), "")</f>
        <v/>
      </c>
      <c r="AA7" s="206" t="str">
        <f>IF(AND($A7&gt;=SYear_O, $A7&lt;=EYear_O, AA$3&gt;0), AA$3 * VLOOKUP($A7, Data_All!$A$8:$CA$153, MATCH(AA$2, Data_All!$B$2:$CA$2, 0)+1), "")</f>
        <v/>
      </c>
      <c r="AB7" s="206" t="str">
        <f>IF(AND($A7&gt;=SYear_O, $A7&lt;=EYear_O, AB$3&gt;0), AB$3 * VLOOKUP($A7, Data_All!$A$8:$CA$153, MATCH(AB$2, Data_All!$B$2:$CA$2, 0)+1), "")</f>
        <v/>
      </c>
      <c r="AC7" s="206" t="str">
        <f>IF(AND($A7&gt;=SYear_O, $A7&lt;=EYear_O, AC$3&gt;0), AC$3 * VLOOKUP($A7, Data_All!$A$8:$CA$153, MATCH(AC$2, Data_All!$B$2:$CA$2, 0)+1), "")</f>
        <v/>
      </c>
      <c r="AD7" s="206" t="str">
        <f>IF(AND($A7&gt;=SYear_O, $A7&lt;=EYear_O, AD$3&gt;0), AD$3 * VLOOKUP($A7, Data_All!$A$8:$CA$153, MATCH(AD$2, Data_All!$B$2:$CA$2, 0)+1), "")</f>
        <v/>
      </c>
      <c r="AE7" s="206" t="str">
        <f>IF(AND($A7&gt;=SYear_O, $A7&lt;=EYear_O, AE$3&gt;0), AE$3 * VLOOKUP($A7, Data_All!$A$8:$CA$153, MATCH(AE$2, Data_All!$B$2:$CA$2, 0)+1), "")</f>
        <v/>
      </c>
      <c r="AF7" s="206" t="str">
        <f>IF(AND($A7&gt;=SYear_O, $A7&lt;=EYear_O, AF$3&gt;0), AF$3 * VLOOKUP($A7, Data_All!$A$8:$CA$153, MATCH(AF$2, Data_All!$B$2:$CA$2, 0)+1), "")</f>
        <v/>
      </c>
      <c r="AG7" s="206" t="str">
        <f>IF(AND($A7&gt;=SYear_O, $A7&lt;=EYear_O, AG$3&gt;0), AG$3 * VLOOKUP($A7, Data_All!$A$8:$CA$153, MATCH(AG$2, Data_All!$B$2:$CA$2, 0)+1), "")</f>
        <v/>
      </c>
      <c r="AH7" s="206" t="str">
        <f>IF(AND($A7&gt;=SYear_O, $A7&lt;=EYear_O, AH$3&gt;0), AH$3 * VLOOKUP($A7, Data_All!$A$8:$CA$153, MATCH(AH$2, Data_All!$B$2:$CA$2, 0)+1), "")</f>
        <v/>
      </c>
      <c r="AI7" s="206" t="str">
        <f>IF(AND($A7&gt;=SYear_O, $A7&lt;=EYear_O, AI$3&gt;0), AI$3 * VLOOKUP($A7, Data_All!$A$8:$CA$153, MATCH(AI$2, Data_All!$B$2:$CA$2, 0)+1), "")</f>
        <v/>
      </c>
      <c r="AJ7" s="206" t="str">
        <f>IF(AND($A7&gt;=SYear_O, $A7&lt;=EYear_O, AJ$3&gt;0), AJ$3 * VLOOKUP($A7, Data_All!$A$8:$CA$153, MATCH(AJ$2, Data_All!$B$2:$CA$2, 0)+1), "")</f>
        <v/>
      </c>
      <c r="AK7" s="206" t="str">
        <f>IF(AND($A7&gt;=SYear_O, $A7&lt;=EYear_O, AK$3&gt;0), AK$3 * VLOOKUP($A7, Data_All!$A$8:$CA$153, MATCH(AK$2, Data_All!$B$2:$CA$2, 0)+1), "")</f>
        <v/>
      </c>
      <c r="AL7" s="206" t="str">
        <f>IF(AND($A7&gt;=SYear_O, $A7&lt;=EYear_O, AL$3&gt;0), AL$3 * VLOOKUP($A7, Data_All!$A$8:$CA$153, MATCH(AL$2, Data_All!$B$2:$CA$2, 0)+1), "")</f>
        <v/>
      </c>
      <c r="AM7" s="206" t="str">
        <f>IF(AND($A7&gt;=SYear_O, $A7&lt;=EYear_O, AM$3&gt;0), AM$3 * VLOOKUP($A7, Data_All!$A$8:$CA$153, MATCH(AM$2, Data_All!$B$2:$CA$2, 0)+1), "")</f>
        <v/>
      </c>
      <c r="AN7" s="206" t="str">
        <f>IF(AND($A7&gt;=SYear_O, $A7&lt;=EYear_O, AN$3&gt;0), AN$3 * VLOOKUP($A7, Data_All!$A$8:$CA$153, MATCH(AN$2, Data_All!$B$2:$CA$2, 0)+1), "")</f>
        <v/>
      </c>
      <c r="AO7" s="206" t="str">
        <f>IF(AND($A7&gt;=SYear_O, $A7&lt;=EYear_O, AO$3&gt;0), AO$3 * VLOOKUP($A7, Data_All!$A$8:$CA$153, MATCH(AO$2, Data_All!$B$2:$CA$2, 0)+1), "")</f>
        <v/>
      </c>
      <c r="AP7" s="206" t="str">
        <f>IF(AND($A7&gt;=SYear_O, $A7&lt;=EYear_O, AP$3&gt;0), AP$3 * VLOOKUP($A7, Data_All!$A$8:$CA$153, MATCH(AP$2, Data_All!$B$2:$CA$2, 0)+1), "")</f>
        <v/>
      </c>
      <c r="AQ7" s="206" t="str">
        <f>IF(AND($A7&gt;=SYear_O, $A7&lt;=EYear_O, AQ$3&gt;0), AQ$3 * VLOOKUP($A7, Data_All!$A$8:$CA$153, MATCH(AQ$2, Data_All!$B$2:$CA$2, 0)+1), "")</f>
        <v/>
      </c>
      <c r="AR7" s="206" t="str">
        <f>IF(AND($A7&gt;=SYear_O, $A7&lt;=EYear_O, AR$3&gt;0), AR$3 * VLOOKUP($A7, Data_All!$A$8:$CA$153, MATCH(AR$2, Data_All!$B$2:$CA$2, 0)+1), "")</f>
        <v/>
      </c>
      <c r="AS7" s="206" t="str">
        <f>IF(AND($A7&gt;=SYear_O, $A7&lt;=EYear_O, AS$3&gt;0), AS$3 * VLOOKUP($A7, Data_All!$A$8:$CA$153, MATCH(AS$2, Data_All!$B$2:$CA$2, 0)+1), "")</f>
        <v/>
      </c>
      <c r="AT7" s="206" t="str">
        <f>IF(AND($A7&gt;=SYear_O, $A7&lt;=EYear_O, AT$3&gt;0), AT$3 * VLOOKUP($A7, Data_All!$A$8:$CA$153, MATCH(AT$2, Data_All!$B$2:$CA$2, 0)+1), "")</f>
        <v/>
      </c>
      <c r="AU7" s="206" t="str">
        <f>IF(AND($A7&gt;=SYear_O, $A7&lt;=EYear_O, AU$3&gt;0), AU$3 * VLOOKUP($A7, Data_All!$A$8:$CA$153, MATCH(AU$2, Data_All!$B$2:$CA$2, 0)+1), "")</f>
        <v/>
      </c>
      <c r="AV7" s="206" t="str">
        <f>IF(AND($A7&gt;=SYear_O, $A7&lt;=EYear_O, AV$3&gt;0), AV$3 * VLOOKUP($A7, Data_All!$A$8:$CA$153, MATCH(AV$2, Data_All!$B$2:$CA$2, 0)+1), "")</f>
        <v/>
      </c>
      <c r="AW7" s="206" t="str">
        <f>IF(AND($A7&gt;=SYear_O, $A7&lt;=EYear_O, AW$3&gt;0), AW$3 * VLOOKUP($A7, Data_All!$A$8:$CA$153, MATCH(AW$2, Data_All!$B$2:$CA$2, 0)+1), "")</f>
        <v/>
      </c>
      <c r="AX7" s="206" t="str">
        <f>IF(AND($A7&gt;=SYear_O, $A7&lt;=EYear_O, AX$3&gt;0), AX$3 * VLOOKUP($A7, Data_All!$A$8:$CA$153, MATCH(AX$2, Data_All!$B$2:$CA$2, 0)+1), "")</f>
        <v/>
      </c>
      <c r="AY7" s="206" t="str">
        <f>IF(AND($A7&gt;=SYear_O, $A7&lt;=EYear_O, AY$3&gt;0), AY$3 * VLOOKUP($A7, Data_All!$A$8:$CA$153, MATCH(AY$2, Data_All!$B$2:$CA$2, 0)+1), "")</f>
        <v/>
      </c>
      <c r="AZ7" s="206" t="str">
        <f>IF(AND($A7&gt;=SYear_O, $A7&lt;=EYear_O, AZ$3&gt;0), AZ$3 * VLOOKUP($A7, Data_All!$A$8:$CA$153, MATCH(AZ$2, Data_All!$B$2:$CA$2, 0)+1), "")</f>
        <v/>
      </c>
      <c r="BA7" s="206" t="str">
        <f>IF(AND($A7&gt;=SYear_O, $A7&lt;=EYear_O, BA$3&gt;0), BA$3 * VLOOKUP($A7, Data_All!$A$8:$CA$153, MATCH(BA$2, Data_All!$B$2:$CA$2, 0)+1), "")</f>
        <v/>
      </c>
      <c r="BB7" s="206" t="str">
        <f>IF(AND($A7&gt;=SYear_O, $A7&lt;=EYear_O, BB$3&gt;0), BB$3 * VLOOKUP($A7, Data_All!$A$8:$CA$153, MATCH(BB$2, Data_All!$B$2:$CA$2, 0)+1), "")</f>
        <v/>
      </c>
      <c r="BC7" s="206" t="str">
        <f>IF(AND($A7&gt;=SYear_O, $A7&lt;=EYear_O, BC$3&gt;0), BC$3 * VLOOKUP($A7, Data_All!$A$8:$CA$153, MATCH(BC$2, Data_All!$B$2:$CA$2, 0)+1), "")</f>
        <v/>
      </c>
      <c r="BD7" s="206" t="str">
        <f>IF(AND($A7&gt;=SYear_O, $A7&lt;=EYear_O, BD$3&gt;0), BD$3 * VLOOKUP($A7, Data_All!$A$8:$CA$153, MATCH(BD$2, Data_All!$B$2:$CA$2, 0)+1), "")</f>
        <v/>
      </c>
      <c r="BE7" s="206" t="str">
        <f>IF(AND($A7&gt;=SYear_O, $A7&lt;=EYear_O, BE$3&gt;0), BE$3 * VLOOKUP($A7, Data_All!$A$8:$CA$153, MATCH(BE$2, Data_All!$B$2:$CA$2, 0)+1), "")</f>
        <v/>
      </c>
      <c r="BF7" s="206" t="str">
        <f>IF(AND($A7&gt;=SYear_O, $A7&lt;=EYear_O, BF$3&gt;0), BF$3 * VLOOKUP($A7, Data_All!$A$8:$CA$153, MATCH(BF$2, Data_All!$B$2:$CA$2, 0)+1), "")</f>
        <v/>
      </c>
      <c r="BG7" s="206" t="str">
        <f>IF(AND($A7&gt;=SYear_O, $A7&lt;=EYear_O, BG$3&gt;0), BG$3 * VLOOKUP($A7, Data_All!$A$8:$CA$153, MATCH(BG$2, Data_All!$B$2:$CA$2, 0)+1), "")</f>
        <v/>
      </c>
      <c r="BH7" s="206" t="str">
        <f>IF(AND($A7&gt;=SYear_O, $A7&lt;=EYear_O, BH$3&gt;0), BH$3 * VLOOKUP($A7, Data_All!$A$8:$CA$153, MATCH(BH$2, Data_All!$B$2:$CA$2, 0)+1), "")</f>
        <v/>
      </c>
      <c r="BI7" s="206" t="str">
        <f>IF(AND($A7&gt;=SYear_O, $A7&lt;=EYear_O, BI$3&gt;0), BI$3 * VLOOKUP($A7, Data_All!$A$8:$CA$153, MATCH(BI$2, Data_All!$B$2:$CA$2, 0)+1), "")</f>
        <v/>
      </c>
      <c r="BJ7" s="206" t="str">
        <f>IF(AND($A7&gt;=SYear_O, $A7&lt;=EYear_O, BJ$3&gt;0), BJ$3 * VLOOKUP($A7, Data_All!$A$8:$CA$153, MATCH(BJ$2, Data_All!$B$2:$CA$2, 0)+1), "")</f>
        <v/>
      </c>
      <c r="BK7" s="206" t="str">
        <f>IF(AND($A7&gt;=SYear_O, $A7&lt;=EYear_O, BK$3&gt;0), BK$3 * VLOOKUP($A7, Data_All!$A$8:$CA$153, MATCH(BK$2, Data_All!$B$2:$CA$2, 0)+1), "")</f>
        <v/>
      </c>
      <c r="BL7" s="206" t="str">
        <f>IF(AND($A7&gt;=SYear_O, $A7&lt;=EYear_O, BL$3&gt;0), BL$3 * VLOOKUP($A7, Data_All!$A$8:$CA$153, MATCH(BL$2, Data_All!$B$2:$CA$2, 0)+1), "")</f>
        <v/>
      </c>
      <c r="BM7" s="206" t="str">
        <f>IF(AND($A7&gt;=SYear_O, $A7&lt;=EYear_O, BM$3&gt;0), BM$3 * VLOOKUP($A7, Data_All!$A$8:$CA$153, MATCH(BM$2, Data_All!$B$2:$CA$2, 0)+1), "")</f>
        <v/>
      </c>
      <c r="BN7" s="206" t="str">
        <f>IF(AND($A7&gt;=SYear_O, $A7&lt;=EYear_O, BN$3&gt;0), BN$3 * VLOOKUP($A7, Data_All!$A$8:$CA$153, MATCH(BN$2, Data_All!$B$2:$CA$2, 0)+1), "")</f>
        <v/>
      </c>
      <c r="BO7" s="206" t="str">
        <f>IF(AND($A7&gt;=SYear_O, $A7&lt;=EYear_O, BO$3&gt;0), BO$3 * VLOOKUP($A7, Data_All!$A$8:$CA$153, MATCH(BO$2, Data_All!$B$2:$CA$2, 0)+1), "")</f>
        <v/>
      </c>
      <c r="BP7" s="206" t="str">
        <f>IF(AND($A7&gt;=SYear_O, $A7&lt;=EYear_O, BP$3&gt;0), BP$3 * VLOOKUP($A7, Data_All!$A$8:$CA$153, MATCH(BP$2, Data_All!$B$2:$CA$2, 0)+1), "")</f>
        <v/>
      </c>
      <c r="BQ7" s="206" t="str">
        <f>IF(AND($A7&gt;=SYear_O, $A7&lt;=EYear_O, BQ$3&gt;0), BQ$3 * VLOOKUP($A7, Data_All!$A$8:$CA$153, MATCH(BQ$2, Data_All!$B$2:$CA$2, 0)+1), "")</f>
        <v/>
      </c>
      <c r="BR7" s="206" t="str">
        <f>IF(AND($A7&gt;=SYear_O, $A7&lt;=EYear_O, BR$3&gt;0), BR$3 * VLOOKUP($A7, Data_All!$A$8:$CA$153, MATCH(BR$2, Data_All!$B$2:$CA$2, 0)+1), "")</f>
        <v/>
      </c>
      <c r="BS7" s="206" t="str">
        <f>IF(AND($A7&gt;=SYear_O, $A7&lt;=EYear_O, BS$3&gt;0), BS$3 * VLOOKUP($A7, Data_All!$A$8:$CA$153, MATCH(BS$2, Data_All!$B$2:$CA$2, 0)+1), "")</f>
        <v/>
      </c>
      <c r="BT7" s="206" t="str">
        <f>IF(AND($A7&gt;=SYear_O, $A7&lt;=EYear_O, BT$3&gt;0), BT$3 * VLOOKUP($A7, Data_All!$A$8:$CA$153, MATCH(BT$2, Data_All!$B$2:$CA$2, 0)+1), "")</f>
        <v/>
      </c>
      <c r="BU7" s="206" t="str">
        <f>IF(AND($A7&gt;=SYear_O, $A7&lt;=EYear_O, BU$3&gt;0), BU$3 * VLOOKUP($A7, Data_All!$A$8:$CA$153, MATCH(BU$2, Data_All!$B$2:$CA$2, 0)+1), "")</f>
        <v/>
      </c>
      <c r="BV7" s="206" t="str">
        <f>IF(AND($A7&gt;=SYear_O, $A7&lt;=EYear_O, BV$3&gt;0), BV$3 * VLOOKUP($A7, Data_All!$A$8:$CA$153, MATCH(BV$2, Data_All!$B$2:$CA$2, 0)+1), "")</f>
        <v/>
      </c>
      <c r="BW7" s="206" t="str">
        <f>IF(AND($A7&gt;=SYear_O, $A7&lt;=EYear_O, BW$3&gt;0), BW$3 * VLOOKUP($A7, Data_All!$A$8:$CA$153, MATCH(BW$2, Data_All!$B$2:$CA$2, 0)+1), "")</f>
        <v/>
      </c>
      <c r="BX7" s="206">
        <f>IF(AND($A7&gt;=SYear_O, $A7&lt;=EYear_O, BX$3&gt;0), BX$3 * VLOOKUP($A7, Data_All!$A$8:$CA$153, MATCH(BX$2, Data_All!$B$2:$CA$2, 0)+1), "")</f>
        <v>9.1891891891891877</v>
      </c>
      <c r="BY7" s="206">
        <f>IF(AND($A7&gt;=SYear_O, $A7&lt;=EYear_O, BY$3&gt;0), BY$3 * VLOOKUP($A7, Data_All!$A$8:$CA$153, MATCH(BY$2, Data_All!$B$2:$CA$2, 0)+1), "")</f>
        <v>1.0653194040465497</v>
      </c>
      <c r="BZ7" s="206" t="str">
        <f>IF(AND($A7&gt;=SYear_O, $A7&lt;=EYear_O, BZ$3&gt;0), BZ$3 * VLOOKUP($A7, Data_All!$A$8:$CA$153, MATCH(BZ$2, Data_All!$B$2:$CA$2, 0)+1), "")</f>
        <v/>
      </c>
      <c r="CA7" s="565">
        <f t="shared" ref="CA7:CA38" si="2">IF(AND($A7&gt;=SYear_O,$A7&lt;=EYear_O),SUM(B7:BZ7),"")</f>
        <v>10.254508593235737</v>
      </c>
      <c r="CB7" s="427">
        <f t="shared" ref="CB7:CB38" si="3">IF(AND($A7&gt;=SYear_O,$A7&lt;=EYear_O),IF($A7=SYear_O,$CB$4*(1+CA7%),$CB6*(1+CA7%)),"")</f>
        <v>11025.450859323573</v>
      </c>
      <c r="CC7" s="565">
        <f>IF(AND($A7&gt;=SYear_O,$A7&lt;=EYear_O),(CA7-Data_All!CA8)/(1+Data_All!CA8%),"")</f>
        <v>8.5962028544014153</v>
      </c>
      <c r="CD7" s="436">
        <f t="shared" ref="CD7:CD38" si="4">IF(AND($A7&gt;=SYear_O,$A7&lt;=EYear_O),IF($A7=SYear_O,$CD$4*(1+CC7%),$CD6*(1+CC7%)),"")</f>
        <v>10859.620285440142</v>
      </c>
      <c r="CE7" s="438">
        <f t="shared" ref="CE7:CE38" si="5">IF(AND($A7&gt;=SYear_O,$A7&lt;=EYear_O),IF($A7=SYear_O,CE$2,CE6*(1+CA7%)),"")</f>
        <v>1</v>
      </c>
      <c r="CF7" s="438">
        <f>IF(AND($A7&gt;=SYear_O,$A7&lt;=EYear_O),MAX($CE$7:CE7),"")</f>
        <v>1</v>
      </c>
      <c r="CG7" s="209">
        <f t="shared" ref="CG7:CG38" si="6">IF(AND($A7&gt;=SYear_O,$A7&lt;=EYear_O),1-(CE7/CF7),"")</f>
        <v>0</v>
      </c>
      <c r="CI7" s="143">
        <f>IF(AND($A7&gt;=SYear_O,$A7&lt;=EYear_O),Data_All!V8,"")</f>
        <v>6.254371066040564</v>
      </c>
      <c r="CJ7" s="143">
        <f>IF(AND($A7&gt;=SYear_O,$A7&lt;=EYear_O),Data_All!CA8,"")</f>
        <v>1.5270384186983676</v>
      </c>
      <c r="CK7" s="143">
        <f t="shared" ref="CK7:CK38" si="7">IF(AND($A7&gt;=SYear_O,$A7&lt;=EYear_O),(CI7-CJ7)/(1+CJ7%),"")</f>
        <v>4.656230222974334</v>
      </c>
      <c r="CN7" s="61">
        <f t="shared" ref="CN7:CN38" si="8">IF(AND($A7&gt;=SYear_O,$A7&lt;=EYear_O),IF($A7=SYear_O,($CB7/$CB$4)-1,($CB7/$CB6)-1),"")</f>
        <v>0.10254508593235734</v>
      </c>
      <c r="CO7" s="61">
        <f t="shared" ref="CO7:CO38" si="9">IF(AND($A7&gt;=SYear_O,$A7&lt;=EYear_O),IF($A7=SYear_O,(($CB9/$CB$4)^(1/(1+($A9-$A7)))-1),(($CB9/$CB6)^(1/(1+($A9-$A7)))-1)),"")</f>
        <v>6.7362156477864588E-2</v>
      </c>
      <c r="CP7" s="61">
        <f t="shared" ref="CP7:CP38" si="10">IF(AND($A7&gt;=SYear_O,$A7&lt;=EYear_O),IF($A7=SYear_O,(($CB11/$CB$4)^(1/(1+($A11-$A7)))-1),(($CB11/$CB6)^(1/(1+($A11-$A7)))-1)),"")</f>
        <v>6.4050575451208847E-2</v>
      </c>
      <c r="CQ7" s="61">
        <f t="shared" ref="CQ7:CQ38" si="11">IF(AND($A7&gt;=SYear_O,$A7&lt;=EYear_O),IF($A7=SYear_O,(($CB16/$CB$4)^(1/(1+($A16-$A7)))-1),(($CB16/$CB6)^(1/(1+($A16-$A7)))-1)),"")</f>
        <v>8.2129312630661699E-2</v>
      </c>
      <c r="CR7" s="61">
        <f t="shared" ref="CR7:CR38" si="12">IF(AND($A7&gt;=SYear_O,$A7&lt;=EYear_O),IF($A7=SYear_O,(($CB21/$CB$4)^(1/(1+($A21-$A7)))-1),(($CB21/$CB6)^(1/(1+($A21-$A7)))-1)),"")</f>
        <v>6.4767614030356802E-2</v>
      </c>
      <c r="CU7" s="61">
        <f t="shared" ref="CU7:CU38" si="13">IF(AND($A7&gt;=SYear_O,$A7&lt;=EYear_O),IF($A7=SYear_O,($CD7/$CD$4)-1,($CD7/$CD6)-1),"")</f>
        <v>8.5962028544014135E-2</v>
      </c>
      <c r="CV7" s="61">
        <f t="shared" ref="CV7:CV38" si="14">IF(AND($A7&gt;=SYear_O,$A7&lt;=EYear_O),IF($A7=SYear_O,(($CD9/$CD$4)^(1/(1+($A9-$A7)))-1),(($CD9/$CD6)^(1/(1+($A9-$A7)))-1)),"")</f>
        <v>7.0092557089377783E-2</v>
      </c>
      <c r="CW7" s="61">
        <f t="shared" ref="CW7:CW38" si="15">IF(AND($A7&gt;=SYear_O,$A7&lt;=EYear_O),IF($A7=SYear_O,(($CD11/$CD$4)^(1/(1+($A11-$A7)))-1),(($CD11/$CD6)^(1/(1+($A11-$A7)))-1)),"")</f>
        <v>9.4046193332229411E-2</v>
      </c>
      <c r="CX7" s="61">
        <f t="shared" ref="CX7:CX38" si="16">IF(AND($A7&gt;=SYear_O,$A7&lt;=EYear_O),IF($A7=SYear_O,(($CD16/$CD$4)^(1/(1+($A16-$A7)))-1),(($CD16/$CD6)^(1/(1+($A16-$A7)))-1)),"")</f>
        <v>0.11286556047498175</v>
      </c>
      <c r="CY7" s="61">
        <f t="shared" ref="CY7:CY38" si="17">IF(AND($A7&gt;=SYear_O,$A7&lt;=EYear_O),IF($A7=SYear_O,(($CD21/$CD$4)^(1/(1+($A21-$A7)))-1),(($CD21/$CD6)^(1/(1+($A21-$A7)))-1)),"")</f>
        <v>9.6783559106235151E-2</v>
      </c>
    </row>
    <row r="8" spans="1:103">
      <c r="A8" s="204">
        <f>A7+1</f>
        <v>1872</v>
      </c>
      <c r="B8" s="206" t="str">
        <f>IF(AND($A8&gt;=SYear_O, $A8&lt;=EYear_O, B$3&gt;0), B$3 * VLOOKUP($A8, Data_All!$A$8:$CA$153, MATCH(B$2, Data_All!$B$2:$CA$2, 0)+1), "")</f>
        <v/>
      </c>
      <c r="C8" s="206" t="str">
        <f>IF(AND($A8&gt;=SYear_O, $A8&lt;=EYear_O, C$3&gt;0), C$3 * VLOOKUP($A8, Data_All!$A$8:$CA$153, MATCH(C$2, Data_All!$B$2:$CA$2, 0)+1), "")</f>
        <v/>
      </c>
      <c r="D8" s="206" t="str">
        <f>IF(AND($A8&gt;=SYear_O, $A8&lt;=EYear_O, D$3&gt;0), D$3 * VLOOKUP($A8, Data_All!$A$8:$CA$153, MATCH(D$2, Data_All!$B$2:$CA$2, 0)+1), "")</f>
        <v/>
      </c>
      <c r="E8" s="206" t="str">
        <f>IF(AND($A8&gt;=SYear_O, $A8&lt;=EYear_O, E$3&gt;0), E$3 * VLOOKUP($A8, Data_All!$A$8:$CA$153, MATCH(E$2, Data_All!$B$2:$CA$2, 0)+1), "")</f>
        <v/>
      </c>
      <c r="F8" s="206" t="str">
        <f>IF(AND($A8&gt;=SYear_O, $A8&lt;=EYear_O, F$3&gt;0), F$3 * VLOOKUP($A8, Data_All!$A$8:$CA$153, MATCH(F$2, Data_All!$B$2:$CA$2, 0)+1), "")</f>
        <v/>
      </c>
      <c r="G8" s="206" t="str">
        <f>IF(AND($A8&gt;=SYear_O, $A8&lt;=EYear_O, G$3&gt;0), G$3 * VLOOKUP($A8, Data_All!$A$8:$CA$153, MATCH(G$2, Data_All!$B$2:$CA$2, 0)+1), "")</f>
        <v/>
      </c>
      <c r="H8" s="206" t="str">
        <f>IF(AND($A8&gt;=SYear_O, $A8&lt;=EYear_O, H$3&gt;0), H$3 * VLOOKUP($A8, Data_All!$A$8:$CA$153, MATCH(H$2, Data_All!$B$2:$CA$2, 0)+1), "")</f>
        <v/>
      </c>
      <c r="I8" s="206" t="str">
        <f>IF(AND($A8&gt;=SYear_O, $A8&lt;=EYear_O, I$3&gt;0), I$3 * VLOOKUP($A8, Data_All!$A$8:$CA$153, MATCH(I$2, Data_All!$B$2:$CA$2, 0)+1), "")</f>
        <v/>
      </c>
      <c r="J8" s="206" t="str">
        <f>IF(AND($A8&gt;=SYear_O, $A8&lt;=EYear_O, J$3&gt;0), J$3 * VLOOKUP($A8, Data_All!$A$8:$CA$153, MATCH(J$2, Data_All!$B$2:$CA$2, 0)+1), "")</f>
        <v/>
      </c>
      <c r="K8" s="206" t="str">
        <f>IF(AND($A8&gt;=SYear_O, $A8&lt;=EYear_O, K$3&gt;0), K$3 * VLOOKUP($A8, Data_All!$A$8:$CA$153, MATCH(K$2, Data_All!$B$2:$CA$2, 0)+1), "")</f>
        <v/>
      </c>
      <c r="L8" s="206" t="str">
        <f>IF(AND($A8&gt;=SYear_O, $A8&lt;=EYear_O, L$3&gt;0), L$3 * VLOOKUP($A8, Data_All!$A$8:$CA$153, MATCH(L$2, Data_All!$B$2:$CA$2, 0)+1), "")</f>
        <v/>
      </c>
      <c r="M8" s="206" t="str">
        <f>IF(AND($A8&gt;=SYear_O, $A8&lt;=EYear_O, M$3&gt;0), M$3 * VLOOKUP($A8, Data_All!$A$8:$CA$153, MATCH(M$2, Data_All!$B$2:$CA$2, 0)+1), "")</f>
        <v/>
      </c>
      <c r="N8" s="206" t="str">
        <f>IF(AND($A8&gt;=SYear_O, $A8&lt;=EYear_O, N$3&gt;0), N$3 * VLOOKUP($A8, Data_All!$A$8:$CA$153, MATCH(N$2, Data_All!$B$2:$CA$2, 0)+1), "")</f>
        <v/>
      </c>
      <c r="O8" s="206" t="str">
        <f>IF(AND($A8&gt;=SYear_O, $A8&lt;=EYear_O, O$3&gt;0), O$3 * VLOOKUP($A8, Data_All!$A$8:$CA$153, MATCH(O$2, Data_All!$B$2:$CA$2, 0)+1), "")</f>
        <v/>
      </c>
      <c r="P8" s="206" t="str">
        <f>IF(AND($A8&gt;=SYear_O, $A8&lt;=EYear_O, P$3&gt;0), P$3 * VLOOKUP($A8, Data_All!$A$8:$CA$153, MATCH(P$2, Data_All!$B$2:$CA$2, 0)+1), "")</f>
        <v/>
      </c>
      <c r="Q8" s="206" t="str">
        <f>IF(AND($A8&gt;=SYear_O, $A8&lt;=EYear_O, Q$3&gt;0), Q$3 * VLOOKUP($A8, Data_All!$A$8:$CA$153, MATCH(Q$2, Data_All!$B$2:$CA$2, 0)+1), "")</f>
        <v/>
      </c>
      <c r="R8" s="206" t="str">
        <f>IF(AND($A8&gt;=SYear_O, $A8&lt;=EYear_O, R$3&gt;0), R$3 * VLOOKUP($A8, Data_All!$A$8:$CA$153, MATCH(R$2, Data_All!$B$2:$CA$2, 0)+1), "")</f>
        <v/>
      </c>
      <c r="S8" s="206" t="str">
        <f>IF(AND($A8&gt;=SYear_O, $A8&lt;=EYear_O, S$3&gt;0), S$3 * VLOOKUP($A8, Data_All!$A$8:$CA$153, MATCH(S$2, Data_All!$B$2:$CA$2, 0)+1), "")</f>
        <v/>
      </c>
      <c r="T8" s="206" t="str">
        <f>IF(AND($A8&gt;=SYear_O, $A8&lt;=EYear_O, T$3&gt;0), T$3 * VLOOKUP($A8, Data_All!$A$8:$CA$153, MATCH(T$2, Data_All!$B$2:$CA$2, 0)+1), "")</f>
        <v/>
      </c>
      <c r="U8" s="206" t="str">
        <f>IF(AND($A8&gt;=SYear_O, $A8&lt;=EYear_O, U$3&gt;0), U$3 * VLOOKUP($A8, Data_All!$A$8:$CA$153, MATCH(U$2, Data_All!$B$2:$CA$2, 0)+1), "")</f>
        <v/>
      </c>
      <c r="V8" s="206" t="str">
        <f>IF(AND($A8&gt;=SYear_O, $A8&lt;=EYear_O, V$3&gt;0), V$3 * VLOOKUP($A8, Data_All!$A$8:$CA$153, MATCH(V$2, Data_All!$B$2:$CA$2, 0)+1), "")</f>
        <v/>
      </c>
      <c r="W8" s="206" t="str">
        <f>IF(AND($A8&gt;=SYear_O, $A8&lt;=EYear_O, W$3&gt;0), W$3 * VLOOKUP($A8, Data_All!$A$8:$CA$153, MATCH(W$2, Data_All!$B$2:$CA$2, 0)+1), "")</f>
        <v/>
      </c>
      <c r="X8" s="206" t="str">
        <f>IF(AND($A8&gt;=SYear_O, $A8&lt;=EYear_O, X$3&gt;0), X$3 * VLOOKUP($A8, Data_All!$A$8:$CA$153, MATCH(X$2, Data_All!$B$2:$CA$2, 0)+1), "")</f>
        <v/>
      </c>
      <c r="Y8" s="206" t="str">
        <f>IF(AND($A8&gt;=SYear_O, $A8&lt;=EYear_O, Y$3&gt;0), Y$3 * VLOOKUP($A8, Data_All!$A$8:$CA$153, MATCH(Y$2, Data_All!$B$2:$CA$2, 0)+1), "")</f>
        <v/>
      </c>
      <c r="Z8" s="206" t="str">
        <f>IF(AND($A8&gt;=SYear_O, $A8&lt;=EYear_O, Z$3&gt;0), Z$3 * VLOOKUP($A8, Data_All!$A$8:$CA$153, MATCH(Z$2, Data_All!$B$2:$CA$2, 0)+1), "")</f>
        <v/>
      </c>
      <c r="AA8" s="206" t="str">
        <f>IF(AND($A8&gt;=SYear_O, $A8&lt;=EYear_O, AA$3&gt;0), AA$3 * VLOOKUP($A8, Data_All!$A$8:$CA$153, MATCH(AA$2, Data_All!$B$2:$CA$2, 0)+1), "")</f>
        <v/>
      </c>
      <c r="AB8" s="206" t="str">
        <f>IF(AND($A8&gt;=SYear_O, $A8&lt;=EYear_O, AB$3&gt;0), AB$3 * VLOOKUP($A8, Data_All!$A$8:$CA$153, MATCH(AB$2, Data_All!$B$2:$CA$2, 0)+1), "")</f>
        <v/>
      </c>
      <c r="AC8" s="206" t="str">
        <f>IF(AND($A8&gt;=SYear_O, $A8&lt;=EYear_O, AC$3&gt;0), AC$3 * VLOOKUP($A8, Data_All!$A$8:$CA$153, MATCH(AC$2, Data_All!$B$2:$CA$2, 0)+1), "")</f>
        <v/>
      </c>
      <c r="AD8" s="206" t="str">
        <f>IF(AND($A8&gt;=SYear_O, $A8&lt;=EYear_O, AD$3&gt;0), AD$3 * VLOOKUP($A8, Data_All!$A$8:$CA$153, MATCH(AD$2, Data_All!$B$2:$CA$2, 0)+1), "")</f>
        <v/>
      </c>
      <c r="AE8" s="206" t="str">
        <f>IF(AND($A8&gt;=SYear_O, $A8&lt;=EYear_O, AE$3&gt;0), AE$3 * VLOOKUP($A8, Data_All!$A$8:$CA$153, MATCH(AE$2, Data_All!$B$2:$CA$2, 0)+1), "")</f>
        <v/>
      </c>
      <c r="AF8" s="206" t="str">
        <f>IF(AND($A8&gt;=SYear_O, $A8&lt;=EYear_O, AF$3&gt;0), AF$3 * VLOOKUP($A8, Data_All!$A$8:$CA$153, MATCH(AF$2, Data_All!$B$2:$CA$2, 0)+1), "")</f>
        <v/>
      </c>
      <c r="AG8" s="206" t="str">
        <f>IF(AND($A8&gt;=SYear_O, $A8&lt;=EYear_O, AG$3&gt;0), AG$3 * VLOOKUP($A8, Data_All!$A$8:$CA$153, MATCH(AG$2, Data_All!$B$2:$CA$2, 0)+1), "")</f>
        <v/>
      </c>
      <c r="AH8" s="206" t="str">
        <f>IF(AND($A8&gt;=SYear_O, $A8&lt;=EYear_O, AH$3&gt;0), AH$3 * VLOOKUP($A8, Data_All!$A$8:$CA$153, MATCH(AH$2, Data_All!$B$2:$CA$2, 0)+1), "")</f>
        <v/>
      </c>
      <c r="AI8" s="206" t="str">
        <f>IF(AND($A8&gt;=SYear_O, $A8&lt;=EYear_O, AI$3&gt;0), AI$3 * VLOOKUP($A8, Data_All!$A$8:$CA$153, MATCH(AI$2, Data_All!$B$2:$CA$2, 0)+1), "")</f>
        <v/>
      </c>
      <c r="AJ8" s="206" t="str">
        <f>IF(AND($A8&gt;=SYear_O, $A8&lt;=EYear_O, AJ$3&gt;0), AJ$3 * VLOOKUP($A8, Data_All!$A$8:$CA$153, MATCH(AJ$2, Data_All!$B$2:$CA$2, 0)+1), "")</f>
        <v/>
      </c>
      <c r="AK8" s="206" t="str">
        <f>IF(AND($A8&gt;=SYear_O, $A8&lt;=EYear_O, AK$3&gt;0), AK$3 * VLOOKUP($A8, Data_All!$A$8:$CA$153, MATCH(AK$2, Data_All!$B$2:$CA$2, 0)+1), "")</f>
        <v/>
      </c>
      <c r="AL8" s="206" t="str">
        <f>IF(AND($A8&gt;=SYear_O, $A8&lt;=EYear_O, AL$3&gt;0), AL$3 * VLOOKUP($A8, Data_All!$A$8:$CA$153, MATCH(AL$2, Data_All!$B$2:$CA$2, 0)+1), "")</f>
        <v/>
      </c>
      <c r="AM8" s="206" t="str">
        <f>IF(AND($A8&gt;=SYear_O, $A8&lt;=EYear_O, AM$3&gt;0), AM$3 * VLOOKUP($A8, Data_All!$A$8:$CA$153, MATCH(AM$2, Data_All!$B$2:$CA$2, 0)+1), "")</f>
        <v/>
      </c>
      <c r="AN8" s="206" t="str">
        <f>IF(AND($A8&gt;=SYear_O, $A8&lt;=EYear_O, AN$3&gt;0), AN$3 * VLOOKUP($A8, Data_All!$A$8:$CA$153, MATCH(AN$2, Data_All!$B$2:$CA$2, 0)+1), "")</f>
        <v/>
      </c>
      <c r="AO8" s="206" t="str">
        <f>IF(AND($A8&gt;=SYear_O, $A8&lt;=EYear_O, AO$3&gt;0), AO$3 * VLOOKUP($A8, Data_All!$A$8:$CA$153, MATCH(AO$2, Data_All!$B$2:$CA$2, 0)+1), "")</f>
        <v/>
      </c>
      <c r="AP8" s="206" t="str">
        <f>IF(AND($A8&gt;=SYear_O, $A8&lt;=EYear_O, AP$3&gt;0), AP$3 * VLOOKUP($A8, Data_All!$A$8:$CA$153, MATCH(AP$2, Data_All!$B$2:$CA$2, 0)+1), "")</f>
        <v/>
      </c>
      <c r="AQ8" s="206" t="str">
        <f>IF(AND($A8&gt;=SYear_O, $A8&lt;=EYear_O, AQ$3&gt;0), AQ$3 * VLOOKUP($A8, Data_All!$A$8:$CA$153, MATCH(AQ$2, Data_All!$B$2:$CA$2, 0)+1), "")</f>
        <v/>
      </c>
      <c r="AR8" s="206" t="str">
        <f>IF(AND($A8&gt;=SYear_O, $A8&lt;=EYear_O, AR$3&gt;0), AR$3 * VLOOKUP($A8, Data_All!$A$8:$CA$153, MATCH(AR$2, Data_All!$B$2:$CA$2, 0)+1), "")</f>
        <v/>
      </c>
      <c r="AS8" s="206" t="str">
        <f>IF(AND($A8&gt;=SYear_O, $A8&lt;=EYear_O, AS$3&gt;0), AS$3 * VLOOKUP($A8, Data_All!$A$8:$CA$153, MATCH(AS$2, Data_All!$B$2:$CA$2, 0)+1), "")</f>
        <v/>
      </c>
      <c r="AT8" s="206" t="str">
        <f>IF(AND($A8&gt;=SYear_O, $A8&lt;=EYear_O, AT$3&gt;0), AT$3 * VLOOKUP($A8, Data_All!$A$8:$CA$153, MATCH(AT$2, Data_All!$B$2:$CA$2, 0)+1), "")</f>
        <v/>
      </c>
      <c r="AU8" s="206" t="str">
        <f>IF(AND($A8&gt;=SYear_O, $A8&lt;=EYear_O, AU$3&gt;0), AU$3 * VLOOKUP($A8, Data_All!$A$8:$CA$153, MATCH(AU$2, Data_All!$B$2:$CA$2, 0)+1), "")</f>
        <v/>
      </c>
      <c r="AV8" s="206" t="str">
        <f>IF(AND($A8&gt;=SYear_O, $A8&lt;=EYear_O, AV$3&gt;0), AV$3 * VLOOKUP($A8, Data_All!$A$8:$CA$153, MATCH(AV$2, Data_All!$B$2:$CA$2, 0)+1), "")</f>
        <v/>
      </c>
      <c r="AW8" s="206" t="str">
        <f>IF(AND($A8&gt;=SYear_O, $A8&lt;=EYear_O, AW$3&gt;0), AW$3 * VLOOKUP($A8, Data_All!$A$8:$CA$153, MATCH(AW$2, Data_All!$B$2:$CA$2, 0)+1), "")</f>
        <v/>
      </c>
      <c r="AX8" s="206" t="str">
        <f>IF(AND($A8&gt;=SYear_O, $A8&lt;=EYear_O, AX$3&gt;0), AX$3 * VLOOKUP($A8, Data_All!$A$8:$CA$153, MATCH(AX$2, Data_All!$B$2:$CA$2, 0)+1), "")</f>
        <v/>
      </c>
      <c r="AY8" s="206" t="str">
        <f>IF(AND($A8&gt;=SYear_O, $A8&lt;=EYear_O, AY$3&gt;0), AY$3 * VLOOKUP($A8, Data_All!$A$8:$CA$153, MATCH(AY$2, Data_All!$B$2:$CA$2, 0)+1), "")</f>
        <v/>
      </c>
      <c r="AZ8" s="206" t="str">
        <f>IF(AND($A8&gt;=SYear_O, $A8&lt;=EYear_O, AZ$3&gt;0), AZ$3 * VLOOKUP($A8, Data_All!$A$8:$CA$153, MATCH(AZ$2, Data_All!$B$2:$CA$2, 0)+1), "")</f>
        <v/>
      </c>
      <c r="BA8" s="206" t="str">
        <f>IF(AND($A8&gt;=SYear_O, $A8&lt;=EYear_O, BA$3&gt;0), BA$3 * VLOOKUP($A8, Data_All!$A$8:$CA$153, MATCH(BA$2, Data_All!$B$2:$CA$2, 0)+1), "")</f>
        <v/>
      </c>
      <c r="BB8" s="206" t="str">
        <f>IF(AND($A8&gt;=SYear_O, $A8&lt;=EYear_O, BB$3&gt;0), BB$3 * VLOOKUP($A8, Data_All!$A$8:$CA$153, MATCH(BB$2, Data_All!$B$2:$CA$2, 0)+1), "")</f>
        <v/>
      </c>
      <c r="BC8" s="206" t="str">
        <f>IF(AND($A8&gt;=SYear_O, $A8&lt;=EYear_O, BC$3&gt;0), BC$3 * VLOOKUP($A8, Data_All!$A$8:$CA$153, MATCH(BC$2, Data_All!$B$2:$CA$2, 0)+1), "")</f>
        <v/>
      </c>
      <c r="BD8" s="206" t="str">
        <f>IF(AND($A8&gt;=SYear_O, $A8&lt;=EYear_O, BD$3&gt;0), BD$3 * VLOOKUP($A8, Data_All!$A$8:$CA$153, MATCH(BD$2, Data_All!$B$2:$CA$2, 0)+1), "")</f>
        <v/>
      </c>
      <c r="BE8" s="206" t="str">
        <f>IF(AND($A8&gt;=SYear_O, $A8&lt;=EYear_O, BE$3&gt;0), BE$3 * VLOOKUP($A8, Data_All!$A$8:$CA$153, MATCH(BE$2, Data_All!$B$2:$CA$2, 0)+1), "")</f>
        <v/>
      </c>
      <c r="BF8" s="206" t="str">
        <f>IF(AND($A8&gt;=SYear_O, $A8&lt;=EYear_O, BF$3&gt;0), BF$3 * VLOOKUP($A8, Data_All!$A$8:$CA$153, MATCH(BF$2, Data_All!$B$2:$CA$2, 0)+1), "")</f>
        <v/>
      </c>
      <c r="BG8" s="206" t="str">
        <f>IF(AND($A8&gt;=SYear_O, $A8&lt;=EYear_O, BG$3&gt;0), BG$3 * VLOOKUP($A8, Data_All!$A$8:$CA$153, MATCH(BG$2, Data_All!$B$2:$CA$2, 0)+1), "")</f>
        <v/>
      </c>
      <c r="BH8" s="206" t="str">
        <f>IF(AND($A8&gt;=SYear_O, $A8&lt;=EYear_O, BH$3&gt;0), BH$3 * VLOOKUP($A8, Data_All!$A$8:$CA$153, MATCH(BH$2, Data_All!$B$2:$CA$2, 0)+1), "")</f>
        <v/>
      </c>
      <c r="BI8" s="206" t="str">
        <f>IF(AND($A8&gt;=SYear_O, $A8&lt;=EYear_O, BI$3&gt;0), BI$3 * VLOOKUP($A8, Data_All!$A$8:$CA$153, MATCH(BI$2, Data_All!$B$2:$CA$2, 0)+1), "")</f>
        <v/>
      </c>
      <c r="BJ8" s="206" t="str">
        <f>IF(AND($A8&gt;=SYear_O, $A8&lt;=EYear_O, BJ$3&gt;0), BJ$3 * VLOOKUP($A8, Data_All!$A$8:$CA$153, MATCH(BJ$2, Data_All!$B$2:$CA$2, 0)+1), "")</f>
        <v/>
      </c>
      <c r="BK8" s="206" t="str">
        <f>IF(AND($A8&gt;=SYear_O, $A8&lt;=EYear_O, BK$3&gt;0), BK$3 * VLOOKUP($A8, Data_All!$A$8:$CA$153, MATCH(BK$2, Data_All!$B$2:$CA$2, 0)+1), "")</f>
        <v/>
      </c>
      <c r="BL8" s="206" t="str">
        <f>IF(AND($A8&gt;=SYear_O, $A8&lt;=EYear_O, BL$3&gt;0), BL$3 * VLOOKUP($A8, Data_All!$A$8:$CA$153, MATCH(BL$2, Data_All!$B$2:$CA$2, 0)+1), "")</f>
        <v/>
      </c>
      <c r="BM8" s="206" t="str">
        <f>IF(AND($A8&gt;=SYear_O, $A8&lt;=EYear_O, BM$3&gt;0), BM$3 * VLOOKUP($A8, Data_All!$A$8:$CA$153, MATCH(BM$2, Data_All!$B$2:$CA$2, 0)+1), "")</f>
        <v/>
      </c>
      <c r="BN8" s="206" t="str">
        <f>IF(AND($A8&gt;=SYear_O, $A8&lt;=EYear_O, BN$3&gt;0), BN$3 * VLOOKUP($A8, Data_All!$A$8:$CA$153, MATCH(BN$2, Data_All!$B$2:$CA$2, 0)+1), "")</f>
        <v/>
      </c>
      <c r="BO8" s="206" t="str">
        <f>IF(AND($A8&gt;=SYear_O, $A8&lt;=EYear_O, BO$3&gt;0), BO$3 * VLOOKUP($A8, Data_All!$A$8:$CA$153, MATCH(BO$2, Data_All!$B$2:$CA$2, 0)+1), "")</f>
        <v/>
      </c>
      <c r="BP8" s="206" t="str">
        <f>IF(AND($A8&gt;=SYear_O, $A8&lt;=EYear_O, BP$3&gt;0), BP$3 * VLOOKUP($A8, Data_All!$A$8:$CA$153, MATCH(BP$2, Data_All!$B$2:$CA$2, 0)+1), "")</f>
        <v/>
      </c>
      <c r="BQ8" s="206" t="str">
        <f>IF(AND($A8&gt;=SYear_O, $A8&lt;=EYear_O, BQ$3&gt;0), BQ$3 * VLOOKUP($A8, Data_All!$A$8:$CA$153, MATCH(BQ$2, Data_All!$B$2:$CA$2, 0)+1), "")</f>
        <v/>
      </c>
      <c r="BR8" s="206" t="str">
        <f>IF(AND($A8&gt;=SYear_O, $A8&lt;=EYear_O, BR$3&gt;0), BR$3 * VLOOKUP($A8, Data_All!$A$8:$CA$153, MATCH(BR$2, Data_All!$B$2:$CA$2, 0)+1), "")</f>
        <v/>
      </c>
      <c r="BS8" s="206" t="str">
        <f>IF(AND($A8&gt;=SYear_O, $A8&lt;=EYear_O, BS$3&gt;0), BS$3 * VLOOKUP($A8, Data_All!$A$8:$CA$153, MATCH(BS$2, Data_All!$B$2:$CA$2, 0)+1), "")</f>
        <v/>
      </c>
      <c r="BT8" s="206" t="str">
        <f>IF(AND($A8&gt;=SYear_O, $A8&lt;=EYear_O, BT$3&gt;0), BT$3 * VLOOKUP($A8, Data_All!$A$8:$CA$153, MATCH(BT$2, Data_All!$B$2:$CA$2, 0)+1), "")</f>
        <v/>
      </c>
      <c r="BU8" s="206" t="str">
        <f>IF(AND($A8&gt;=SYear_O, $A8&lt;=EYear_O, BU$3&gt;0), BU$3 * VLOOKUP($A8, Data_All!$A$8:$CA$153, MATCH(BU$2, Data_All!$B$2:$CA$2, 0)+1), "")</f>
        <v/>
      </c>
      <c r="BV8" s="206" t="str">
        <f>IF(AND($A8&gt;=SYear_O, $A8&lt;=EYear_O, BV$3&gt;0), BV$3 * VLOOKUP($A8, Data_All!$A$8:$CA$153, MATCH(BV$2, Data_All!$B$2:$CA$2, 0)+1), "")</f>
        <v/>
      </c>
      <c r="BW8" s="206" t="str">
        <f>IF(AND($A8&gt;=SYear_O, $A8&lt;=EYear_O, BW$3&gt;0), BW$3 * VLOOKUP($A8, Data_All!$A$8:$CA$153, MATCH(BW$2, Data_All!$B$2:$CA$2, 0)+1), "")</f>
        <v/>
      </c>
      <c r="BX8" s="206">
        <f>IF(AND($A8&gt;=SYear_O, $A8&lt;=EYear_O, BX$3&gt;0), BX$3 * VLOOKUP($A8, Data_All!$A$8:$CA$153, MATCH(BX$2, Data_All!$B$2:$CA$2, 0)+1), "")</f>
        <v>6.7901234567901216</v>
      </c>
      <c r="BY8" s="206">
        <f>IF(AND($A8&gt;=SYear_O, $A8&lt;=EYear_O, BY$3&gt;0), BY$3 * VLOOKUP($A8, Data_All!$A$8:$CA$153, MATCH(BY$2, Data_All!$B$2:$CA$2, 0)+1), "")</f>
        <v>1.4683849362496026</v>
      </c>
      <c r="BZ8" s="206" t="str">
        <f>IF(AND($A8&gt;=SYear_O, $A8&lt;=EYear_O, BZ$3&gt;0), BZ$3 * VLOOKUP($A8, Data_All!$A$8:$CA$153, MATCH(BZ$2, Data_All!$B$2:$CA$2, 0)+1), "")</f>
        <v/>
      </c>
      <c r="CA8" s="565">
        <f t="shared" si="2"/>
        <v>8.2585083930397243</v>
      </c>
      <c r="CB8" s="427">
        <f t="shared" si="3"/>
        <v>11935.98864391128</v>
      </c>
      <c r="CC8" s="565">
        <f>IF(AND($A8&gt;=SYear_O,$A8&lt;=EYear_O),(CA8-Data_All!CA9)/(1+Data_All!CA9%),"")</f>
        <v>5.8706364430949085</v>
      </c>
      <c r="CD8" s="436">
        <f t="shared" si="4"/>
        <v>11497.149111498919</v>
      </c>
      <c r="CE8" s="438">
        <f t="shared" si="5"/>
        <v>1.0825850839303972</v>
      </c>
      <c r="CF8" s="438">
        <f>IF(AND($A8&gt;=SYear_O,$A8&lt;=EYear_O),MAX($CE$7:CE8),"")</f>
        <v>1.0825850839303972</v>
      </c>
      <c r="CG8" s="209">
        <f t="shared" si="6"/>
        <v>0</v>
      </c>
      <c r="CI8" s="143">
        <f>IF(AND($A8&gt;=SYear_O,$A8&lt;=EYear_O),Data_All!V9,"")</f>
        <v>7.7130582475771812</v>
      </c>
      <c r="CJ8" s="143">
        <f>IF(AND($A8&gt;=SYear_O,$A8&lt;=EYear_O),Data_All!CA9,"")</f>
        <v>2.255461977153872</v>
      </c>
      <c r="CK8" s="143">
        <f t="shared" si="7"/>
        <v>5.3372173621812564</v>
      </c>
      <c r="CN8" s="61">
        <f t="shared" si="8"/>
        <v>8.2585083930397207E-2</v>
      </c>
      <c r="CO8" s="61">
        <f t="shared" si="9"/>
        <v>5.5508050528127573E-2</v>
      </c>
      <c r="CP8" s="61">
        <f t="shared" si="10"/>
        <v>3.0567714165255833E-2</v>
      </c>
      <c r="CQ8" s="61">
        <f t="shared" si="11"/>
        <v>7.3401194789824542E-2</v>
      </c>
      <c r="CR8" s="61">
        <f t="shared" si="12"/>
        <v>6.2489601704706521E-2</v>
      </c>
      <c r="CU8" s="61">
        <f t="shared" si="13"/>
        <v>5.8706364430949121E-2</v>
      </c>
      <c r="CV8" s="61">
        <f t="shared" si="14"/>
        <v>8.9306758431581201E-2</v>
      </c>
      <c r="CW8" s="61">
        <f t="shared" si="15"/>
        <v>6.0980766944153331E-2</v>
      </c>
      <c r="CX8" s="61">
        <f t="shared" si="16"/>
        <v>9.7005867889774278E-2</v>
      </c>
      <c r="CY8" s="61">
        <f t="shared" si="17"/>
        <v>9.5543352888675326E-2</v>
      </c>
    </row>
    <row r="9" spans="1:103">
      <c r="A9" s="204">
        <f t="shared" ref="A9:A72" si="18">A8+1</f>
        <v>1873</v>
      </c>
      <c r="B9" s="206" t="str">
        <f>IF(AND($A9&gt;=SYear_O, $A9&lt;=EYear_O, B$3&gt;0), B$3 * VLOOKUP($A9, Data_All!$A$8:$CA$153, MATCH(B$2, Data_All!$B$2:$CA$2, 0)+1), "")</f>
        <v/>
      </c>
      <c r="C9" s="206" t="str">
        <f>IF(AND($A9&gt;=SYear_O, $A9&lt;=EYear_O, C$3&gt;0), C$3 * VLOOKUP($A9, Data_All!$A$8:$CA$153, MATCH(C$2, Data_All!$B$2:$CA$2, 0)+1), "")</f>
        <v/>
      </c>
      <c r="D9" s="206" t="str">
        <f>IF(AND($A9&gt;=SYear_O, $A9&lt;=EYear_O, D$3&gt;0), D$3 * VLOOKUP($A9, Data_All!$A$8:$CA$153, MATCH(D$2, Data_All!$B$2:$CA$2, 0)+1), "")</f>
        <v/>
      </c>
      <c r="E9" s="206" t="str">
        <f>IF(AND($A9&gt;=SYear_O, $A9&lt;=EYear_O, E$3&gt;0), E$3 * VLOOKUP($A9, Data_All!$A$8:$CA$153, MATCH(E$2, Data_All!$B$2:$CA$2, 0)+1), "")</f>
        <v/>
      </c>
      <c r="F9" s="206" t="str">
        <f>IF(AND($A9&gt;=SYear_O, $A9&lt;=EYear_O, F$3&gt;0), F$3 * VLOOKUP($A9, Data_All!$A$8:$CA$153, MATCH(F$2, Data_All!$B$2:$CA$2, 0)+1), "")</f>
        <v/>
      </c>
      <c r="G9" s="206" t="str">
        <f>IF(AND($A9&gt;=SYear_O, $A9&lt;=EYear_O, G$3&gt;0), G$3 * VLOOKUP($A9, Data_All!$A$8:$CA$153, MATCH(G$2, Data_All!$B$2:$CA$2, 0)+1), "")</f>
        <v/>
      </c>
      <c r="H9" s="206" t="str">
        <f>IF(AND($A9&gt;=SYear_O, $A9&lt;=EYear_O, H$3&gt;0), H$3 * VLOOKUP($A9, Data_All!$A$8:$CA$153, MATCH(H$2, Data_All!$B$2:$CA$2, 0)+1), "")</f>
        <v/>
      </c>
      <c r="I9" s="206" t="str">
        <f>IF(AND($A9&gt;=SYear_O, $A9&lt;=EYear_O, I$3&gt;0), I$3 * VLOOKUP($A9, Data_All!$A$8:$CA$153, MATCH(I$2, Data_All!$B$2:$CA$2, 0)+1), "")</f>
        <v/>
      </c>
      <c r="J9" s="206" t="str">
        <f>IF(AND($A9&gt;=SYear_O, $A9&lt;=EYear_O, J$3&gt;0), J$3 * VLOOKUP($A9, Data_All!$A$8:$CA$153, MATCH(J$2, Data_All!$B$2:$CA$2, 0)+1), "")</f>
        <v/>
      </c>
      <c r="K9" s="206" t="str">
        <f>IF(AND($A9&gt;=SYear_O, $A9&lt;=EYear_O, K$3&gt;0), K$3 * VLOOKUP($A9, Data_All!$A$8:$CA$153, MATCH(K$2, Data_All!$B$2:$CA$2, 0)+1), "")</f>
        <v/>
      </c>
      <c r="L9" s="206" t="str">
        <f>IF(AND($A9&gt;=SYear_O, $A9&lt;=EYear_O, L$3&gt;0), L$3 * VLOOKUP($A9, Data_All!$A$8:$CA$153, MATCH(L$2, Data_All!$B$2:$CA$2, 0)+1), "")</f>
        <v/>
      </c>
      <c r="M9" s="206" t="str">
        <f>IF(AND($A9&gt;=SYear_O, $A9&lt;=EYear_O, M$3&gt;0), M$3 * VLOOKUP($A9, Data_All!$A$8:$CA$153, MATCH(M$2, Data_All!$B$2:$CA$2, 0)+1), "")</f>
        <v/>
      </c>
      <c r="N9" s="206" t="str">
        <f>IF(AND($A9&gt;=SYear_O, $A9&lt;=EYear_O, N$3&gt;0), N$3 * VLOOKUP($A9, Data_All!$A$8:$CA$153, MATCH(N$2, Data_All!$B$2:$CA$2, 0)+1), "")</f>
        <v/>
      </c>
      <c r="O9" s="206" t="str">
        <f>IF(AND($A9&gt;=SYear_O, $A9&lt;=EYear_O, O$3&gt;0), O$3 * VLOOKUP($A9, Data_All!$A$8:$CA$153, MATCH(O$2, Data_All!$B$2:$CA$2, 0)+1), "")</f>
        <v/>
      </c>
      <c r="P9" s="206" t="str">
        <f>IF(AND($A9&gt;=SYear_O, $A9&lt;=EYear_O, P$3&gt;0), P$3 * VLOOKUP($A9, Data_All!$A$8:$CA$153, MATCH(P$2, Data_All!$B$2:$CA$2, 0)+1), "")</f>
        <v/>
      </c>
      <c r="Q9" s="206" t="str">
        <f>IF(AND($A9&gt;=SYear_O, $A9&lt;=EYear_O, Q$3&gt;0), Q$3 * VLOOKUP($A9, Data_All!$A$8:$CA$153, MATCH(Q$2, Data_All!$B$2:$CA$2, 0)+1), "")</f>
        <v/>
      </c>
      <c r="R9" s="206" t="str">
        <f>IF(AND($A9&gt;=SYear_O, $A9&lt;=EYear_O, R$3&gt;0), R$3 * VLOOKUP($A9, Data_All!$A$8:$CA$153, MATCH(R$2, Data_All!$B$2:$CA$2, 0)+1), "")</f>
        <v/>
      </c>
      <c r="S9" s="206" t="str">
        <f>IF(AND($A9&gt;=SYear_O, $A9&lt;=EYear_O, S$3&gt;0), S$3 * VLOOKUP($A9, Data_All!$A$8:$CA$153, MATCH(S$2, Data_All!$B$2:$CA$2, 0)+1), "")</f>
        <v/>
      </c>
      <c r="T9" s="206" t="str">
        <f>IF(AND($A9&gt;=SYear_O, $A9&lt;=EYear_O, T$3&gt;0), T$3 * VLOOKUP($A9, Data_All!$A$8:$CA$153, MATCH(T$2, Data_All!$B$2:$CA$2, 0)+1), "")</f>
        <v/>
      </c>
      <c r="U9" s="206" t="str">
        <f>IF(AND($A9&gt;=SYear_O, $A9&lt;=EYear_O, U$3&gt;0), U$3 * VLOOKUP($A9, Data_All!$A$8:$CA$153, MATCH(U$2, Data_All!$B$2:$CA$2, 0)+1), "")</f>
        <v/>
      </c>
      <c r="V9" s="206" t="str">
        <f>IF(AND($A9&gt;=SYear_O, $A9&lt;=EYear_O, V$3&gt;0), V$3 * VLOOKUP($A9, Data_All!$A$8:$CA$153, MATCH(V$2, Data_All!$B$2:$CA$2, 0)+1), "")</f>
        <v/>
      </c>
      <c r="W9" s="206" t="str">
        <f>IF(AND($A9&gt;=SYear_O, $A9&lt;=EYear_O, W$3&gt;0), W$3 * VLOOKUP($A9, Data_All!$A$8:$CA$153, MATCH(W$2, Data_All!$B$2:$CA$2, 0)+1), "")</f>
        <v/>
      </c>
      <c r="X9" s="206" t="str">
        <f>IF(AND($A9&gt;=SYear_O, $A9&lt;=EYear_O, X$3&gt;0), X$3 * VLOOKUP($A9, Data_All!$A$8:$CA$153, MATCH(X$2, Data_All!$B$2:$CA$2, 0)+1), "")</f>
        <v/>
      </c>
      <c r="Y9" s="206" t="str">
        <f>IF(AND($A9&gt;=SYear_O, $A9&lt;=EYear_O, Y$3&gt;0), Y$3 * VLOOKUP($A9, Data_All!$A$8:$CA$153, MATCH(Y$2, Data_All!$B$2:$CA$2, 0)+1), "")</f>
        <v/>
      </c>
      <c r="Z9" s="206" t="str">
        <f>IF(AND($A9&gt;=SYear_O, $A9&lt;=EYear_O, Z$3&gt;0), Z$3 * VLOOKUP($A9, Data_All!$A$8:$CA$153, MATCH(Z$2, Data_All!$B$2:$CA$2, 0)+1), "")</f>
        <v/>
      </c>
      <c r="AA9" s="206" t="str">
        <f>IF(AND($A9&gt;=SYear_O, $A9&lt;=EYear_O, AA$3&gt;0), AA$3 * VLOOKUP($A9, Data_All!$A$8:$CA$153, MATCH(AA$2, Data_All!$B$2:$CA$2, 0)+1), "")</f>
        <v/>
      </c>
      <c r="AB9" s="206" t="str">
        <f>IF(AND($A9&gt;=SYear_O, $A9&lt;=EYear_O, AB$3&gt;0), AB$3 * VLOOKUP($A9, Data_All!$A$8:$CA$153, MATCH(AB$2, Data_All!$B$2:$CA$2, 0)+1), "")</f>
        <v/>
      </c>
      <c r="AC9" s="206" t="str">
        <f>IF(AND($A9&gt;=SYear_O, $A9&lt;=EYear_O, AC$3&gt;0), AC$3 * VLOOKUP($A9, Data_All!$A$8:$CA$153, MATCH(AC$2, Data_All!$B$2:$CA$2, 0)+1), "")</f>
        <v/>
      </c>
      <c r="AD9" s="206" t="str">
        <f>IF(AND($A9&gt;=SYear_O, $A9&lt;=EYear_O, AD$3&gt;0), AD$3 * VLOOKUP($A9, Data_All!$A$8:$CA$153, MATCH(AD$2, Data_All!$B$2:$CA$2, 0)+1), "")</f>
        <v/>
      </c>
      <c r="AE9" s="206" t="str">
        <f>IF(AND($A9&gt;=SYear_O, $A9&lt;=EYear_O, AE$3&gt;0), AE$3 * VLOOKUP($A9, Data_All!$A$8:$CA$153, MATCH(AE$2, Data_All!$B$2:$CA$2, 0)+1), "")</f>
        <v/>
      </c>
      <c r="AF9" s="206" t="str">
        <f>IF(AND($A9&gt;=SYear_O, $A9&lt;=EYear_O, AF$3&gt;0), AF$3 * VLOOKUP($A9, Data_All!$A$8:$CA$153, MATCH(AF$2, Data_All!$B$2:$CA$2, 0)+1), "")</f>
        <v/>
      </c>
      <c r="AG9" s="206" t="str">
        <f>IF(AND($A9&gt;=SYear_O, $A9&lt;=EYear_O, AG$3&gt;0), AG$3 * VLOOKUP($A9, Data_All!$A$8:$CA$153, MATCH(AG$2, Data_All!$B$2:$CA$2, 0)+1), "")</f>
        <v/>
      </c>
      <c r="AH9" s="206" t="str">
        <f>IF(AND($A9&gt;=SYear_O, $A9&lt;=EYear_O, AH$3&gt;0), AH$3 * VLOOKUP($A9, Data_All!$A$8:$CA$153, MATCH(AH$2, Data_All!$B$2:$CA$2, 0)+1), "")</f>
        <v/>
      </c>
      <c r="AI9" s="206" t="str">
        <f>IF(AND($A9&gt;=SYear_O, $A9&lt;=EYear_O, AI$3&gt;0), AI$3 * VLOOKUP($A9, Data_All!$A$8:$CA$153, MATCH(AI$2, Data_All!$B$2:$CA$2, 0)+1), "")</f>
        <v/>
      </c>
      <c r="AJ9" s="206" t="str">
        <f>IF(AND($A9&gt;=SYear_O, $A9&lt;=EYear_O, AJ$3&gt;0), AJ$3 * VLOOKUP($A9, Data_All!$A$8:$CA$153, MATCH(AJ$2, Data_All!$B$2:$CA$2, 0)+1), "")</f>
        <v/>
      </c>
      <c r="AK9" s="206" t="str">
        <f>IF(AND($A9&gt;=SYear_O, $A9&lt;=EYear_O, AK$3&gt;0), AK$3 * VLOOKUP($A9, Data_All!$A$8:$CA$153, MATCH(AK$2, Data_All!$B$2:$CA$2, 0)+1), "")</f>
        <v/>
      </c>
      <c r="AL9" s="206" t="str">
        <f>IF(AND($A9&gt;=SYear_O, $A9&lt;=EYear_O, AL$3&gt;0), AL$3 * VLOOKUP($A9, Data_All!$A$8:$CA$153, MATCH(AL$2, Data_All!$B$2:$CA$2, 0)+1), "")</f>
        <v/>
      </c>
      <c r="AM9" s="206" t="str">
        <f>IF(AND($A9&gt;=SYear_O, $A9&lt;=EYear_O, AM$3&gt;0), AM$3 * VLOOKUP($A9, Data_All!$A$8:$CA$153, MATCH(AM$2, Data_All!$B$2:$CA$2, 0)+1), "")</f>
        <v/>
      </c>
      <c r="AN9" s="206" t="str">
        <f>IF(AND($A9&gt;=SYear_O, $A9&lt;=EYear_O, AN$3&gt;0), AN$3 * VLOOKUP($A9, Data_All!$A$8:$CA$153, MATCH(AN$2, Data_All!$B$2:$CA$2, 0)+1), "")</f>
        <v/>
      </c>
      <c r="AO9" s="206" t="str">
        <f>IF(AND($A9&gt;=SYear_O, $A9&lt;=EYear_O, AO$3&gt;0), AO$3 * VLOOKUP($A9, Data_All!$A$8:$CA$153, MATCH(AO$2, Data_All!$B$2:$CA$2, 0)+1), "")</f>
        <v/>
      </c>
      <c r="AP9" s="206" t="str">
        <f>IF(AND($A9&gt;=SYear_O, $A9&lt;=EYear_O, AP$3&gt;0), AP$3 * VLOOKUP($A9, Data_All!$A$8:$CA$153, MATCH(AP$2, Data_All!$B$2:$CA$2, 0)+1), "")</f>
        <v/>
      </c>
      <c r="AQ9" s="206" t="str">
        <f>IF(AND($A9&gt;=SYear_O, $A9&lt;=EYear_O, AQ$3&gt;0), AQ$3 * VLOOKUP($A9, Data_All!$A$8:$CA$153, MATCH(AQ$2, Data_All!$B$2:$CA$2, 0)+1), "")</f>
        <v/>
      </c>
      <c r="AR9" s="206" t="str">
        <f>IF(AND($A9&gt;=SYear_O, $A9&lt;=EYear_O, AR$3&gt;0), AR$3 * VLOOKUP($A9, Data_All!$A$8:$CA$153, MATCH(AR$2, Data_All!$B$2:$CA$2, 0)+1), "")</f>
        <v/>
      </c>
      <c r="AS9" s="206" t="str">
        <f>IF(AND($A9&gt;=SYear_O, $A9&lt;=EYear_O, AS$3&gt;0), AS$3 * VLOOKUP($A9, Data_All!$A$8:$CA$153, MATCH(AS$2, Data_All!$B$2:$CA$2, 0)+1), "")</f>
        <v/>
      </c>
      <c r="AT9" s="206" t="str">
        <f>IF(AND($A9&gt;=SYear_O, $A9&lt;=EYear_O, AT$3&gt;0), AT$3 * VLOOKUP($A9, Data_All!$A$8:$CA$153, MATCH(AT$2, Data_All!$B$2:$CA$2, 0)+1), "")</f>
        <v/>
      </c>
      <c r="AU9" s="206" t="str">
        <f>IF(AND($A9&gt;=SYear_O, $A9&lt;=EYear_O, AU$3&gt;0), AU$3 * VLOOKUP($A9, Data_All!$A$8:$CA$153, MATCH(AU$2, Data_All!$B$2:$CA$2, 0)+1), "")</f>
        <v/>
      </c>
      <c r="AV9" s="206" t="str">
        <f>IF(AND($A9&gt;=SYear_O, $A9&lt;=EYear_O, AV$3&gt;0), AV$3 * VLOOKUP($A9, Data_All!$A$8:$CA$153, MATCH(AV$2, Data_All!$B$2:$CA$2, 0)+1), "")</f>
        <v/>
      </c>
      <c r="AW9" s="206" t="str">
        <f>IF(AND($A9&gt;=SYear_O, $A9&lt;=EYear_O, AW$3&gt;0), AW$3 * VLOOKUP($A9, Data_All!$A$8:$CA$153, MATCH(AW$2, Data_All!$B$2:$CA$2, 0)+1), "")</f>
        <v/>
      </c>
      <c r="AX9" s="206" t="str">
        <f>IF(AND($A9&gt;=SYear_O, $A9&lt;=EYear_O, AX$3&gt;0), AX$3 * VLOOKUP($A9, Data_All!$A$8:$CA$153, MATCH(AX$2, Data_All!$B$2:$CA$2, 0)+1), "")</f>
        <v/>
      </c>
      <c r="AY9" s="206" t="str">
        <f>IF(AND($A9&gt;=SYear_O, $A9&lt;=EYear_O, AY$3&gt;0), AY$3 * VLOOKUP($A9, Data_All!$A$8:$CA$153, MATCH(AY$2, Data_All!$B$2:$CA$2, 0)+1), "")</f>
        <v/>
      </c>
      <c r="AZ9" s="206" t="str">
        <f>IF(AND($A9&gt;=SYear_O, $A9&lt;=EYear_O, AZ$3&gt;0), AZ$3 * VLOOKUP($A9, Data_All!$A$8:$CA$153, MATCH(AZ$2, Data_All!$B$2:$CA$2, 0)+1), "")</f>
        <v/>
      </c>
      <c r="BA9" s="206" t="str">
        <f>IF(AND($A9&gt;=SYear_O, $A9&lt;=EYear_O, BA$3&gt;0), BA$3 * VLOOKUP($A9, Data_All!$A$8:$CA$153, MATCH(BA$2, Data_All!$B$2:$CA$2, 0)+1), "")</f>
        <v/>
      </c>
      <c r="BB9" s="206" t="str">
        <f>IF(AND($A9&gt;=SYear_O, $A9&lt;=EYear_O, BB$3&gt;0), BB$3 * VLOOKUP($A9, Data_All!$A$8:$CA$153, MATCH(BB$2, Data_All!$B$2:$CA$2, 0)+1), "")</f>
        <v/>
      </c>
      <c r="BC9" s="206" t="str">
        <f>IF(AND($A9&gt;=SYear_O, $A9&lt;=EYear_O, BC$3&gt;0), BC$3 * VLOOKUP($A9, Data_All!$A$8:$CA$153, MATCH(BC$2, Data_All!$B$2:$CA$2, 0)+1), "")</f>
        <v/>
      </c>
      <c r="BD9" s="206" t="str">
        <f>IF(AND($A9&gt;=SYear_O, $A9&lt;=EYear_O, BD$3&gt;0), BD$3 * VLOOKUP($A9, Data_All!$A$8:$CA$153, MATCH(BD$2, Data_All!$B$2:$CA$2, 0)+1), "")</f>
        <v/>
      </c>
      <c r="BE9" s="206" t="str">
        <f>IF(AND($A9&gt;=SYear_O, $A9&lt;=EYear_O, BE$3&gt;0), BE$3 * VLOOKUP($A9, Data_All!$A$8:$CA$153, MATCH(BE$2, Data_All!$B$2:$CA$2, 0)+1), "")</f>
        <v/>
      </c>
      <c r="BF9" s="206" t="str">
        <f>IF(AND($A9&gt;=SYear_O, $A9&lt;=EYear_O, BF$3&gt;0), BF$3 * VLOOKUP($A9, Data_All!$A$8:$CA$153, MATCH(BF$2, Data_All!$B$2:$CA$2, 0)+1), "")</f>
        <v/>
      </c>
      <c r="BG9" s="206" t="str">
        <f>IF(AND($A9&gt;=SYear_O, $A9&lt;=EYear_O, BG$3&gt;0), BG$3 * VLOOKUP($A9, Data_All!$A$8:$CA$153, MATCH(BG$2, Data_All!$B$2:$CA$2, 0)+1), "")</f>
        <v/>
      </c>
      <c r="BH9" s="206" t="str">
        <f>IF(AND($A9&gt;=SYear_O, $A9&lt;=EYear_O, BH$3&gt;0), BH$3 * VLOOKUP($A9, Data_All!$A$8:$CA$153, MATCH(BH$2, Data_All!$B$2:$CA$2, 0)+1), "")</f>
        <v/>
      </c>
      <c r="BI9" s="206" t="str">
        <f>IF(AND($A9&gt;=SYear_O, $A9&lt;=EYear_O, BI$3&gt;0), BI$3 * VLOOKUP($A9, Data_All!$A$8:$CA$153, MATCH(BI$2, Data_All!$B$2:$CA$2, 0)+1), "")</f>
        <v/>
      </c>
      <c r="BJ9" s="206" t="str">
        <f>IF(AND($A9&gt;=SYear_O, $A9&lt;=EYear_O, BJ$3&gt;0), BJ$3 * VLOOKUP($A9, Data_All!$A$8:$CA$153, MATCH(BJ$2, Data_All!$B$2:$CA$2, 0)+1), "")</f>
        <v/>
      </c>
      <c r="BK9" s="206" t="str">
        <f>IF(AND($A9&gt;=SYear_O, $A9&lt;=EYear_O, BK$3&gt;0), BK$3 * VLOOKUP($A9, Data_All!$A$8:$CA$153, MATCH(BK$2, Data_All!$B$2:$CA$2, 0)+1), "")</f>
        <v/>
      </c>
      <c r="BL9" s="206" t="str">
        <f>IF(AND($A9&gt;=SYear_O, $A9&lt;=EYear_O, BL$3&gt;0), BL$3 * VLOOKUP($A9, Data_All!$A$8:$CA$153, MATCH(BL$2, Data_All!$B$2:$CA$2, 0)+1), "")</f>
        <v/>
      </c>
      <c r="BM9" s="206" t="str">
        <f>IF(AND($A9&gt;=SYear_O, $A9&lt;=EYear_O, BM$3&gt;0), BM$3 * VLOOKUP($A9, Data_All!$A$8:$CA$153, MATCH(BM$2, Data_All!$B$2:$CA$2, 0)+1), "")</f>
        <v/>
      </c>
      <c r="BN9" s="206" t="str">
        <f>IF(AND($A9&gt;=SYear_O, $A9&lt;=EYear_O, BN$3&gt;0), BN$3 * VLOOKUP($A9, Data_All!$A$8:$CA$153, MATCH(BN$2, Data_All!$B$2:$CA$2, 0)+1), "")</f>
        <v/>
      </c>
      <c r="BO9" s="206" t="str">
        <f>IF(AND($A9&gt;=SYear_O, $A9&lt;=EYear_O, BO$3&gt;0), BO$3 * VLOOKUP($A9, Data_All!$A$8:$CA$153, MATCH(BO$2, Data_All!$B$2:$CA$2, 0)+1), "")</f>
        <v/>
      </c>
      <c r="BP9" s="206" t="str">
        <f>IF(AND($A9&gt;=SYear_O, $A9&lt;=EYear_O, BP$3&gt;0), BP$3 * VLOOKUP($A9, Data_All!$A$8:$CA$153, MATCH(BP$2, Data_All!$B$2:$CA$2, 0)+1), "")</f>
        <v/>
      </c>
      <c r="BQ9" s="206" t="str">
        <f>IF(AND($A9&gt;=SYear_O, $A9&lt;=EYear_O, BQ$3&gt;0), BQ$3 * VLOOKUP($A9, Data_All!$A$8:$CA$153, MATCH(BQ$2, Data_All!$B$2:$CA$2, 0)+1), "")</f>
        <v/>
      </c>
      <c r="BR9" s="206" t="str">
        <f>IF(AND($A9&gt;=SYear_O, $A9&lt;=EYear_O, BR$3&gt;0), BR$3 * VLOOKUP($A9, Data_All!$A$8:$CA$153, MATCH(BR$2, Data_All!$B$2:$CA$2, 0)+1), "")</f>
        <v/>
      </c>
      <c r="BS9" s="206" t="str">
        <f>IF(AND($A9&gt;=SYear_O, $A9&lt;=EYear_O, BS$3&gt;0), BS$3 * VLOOKUP($A9, Data_All!$A$8:$CA$153, MATCH(BS$2, Data_All!$B$2:$CA$2, 0)+1), "")</f>
        <v/>
      </c>
      <c r="BT9" s="206" t="str">
        <f>IF(AND($A9&gt;=SYear_O, $A9&lt;=EYear_O, BT$3&gt;0), BT$3 * VLOOKUP($A9, Data_All!$A$8:$CA$153, MATCH(BT$2, Data_All!$B$2:$CA$2, 0)+1), "")</f>
        <v/>
      </c>
      <c r="BU9" s="206" t="str">
        <f>IF(AND($A9&gt;=SYear_O, $A9&lt;=EYear_O, BU$3&gt;0), BU$3 * VLOOKUP($A9, Data_All!$A$8:$CA$153, MATCH(BU$2, Data_All!$B$2:$CA$2, 0)+1), "")</f>
        <v/>
      </c>
      <c r="BV9" s="206" t="str">
        <f>IF(AND($A9&gt;=SYear_O, $A9&lt;=EYear_O, BV$3&gt;0), BV$3 * VLOOKUP($A9, Data_All!$A$8:$CA$153, MATCH(BV$2, Data_All!$B$2:$CA$2, 0)+1), "")</f>
        <v/>
      </c>
      <c r="BW9" s="206" t="str">
        <f>IF(AND($A9&gt;=SYear_O, $A9&lt;=EYear_O, BW$3&gt;0), BW$3 * VLOOKUP($A9, Data_All!$A$8:$CA$153, MATCH(BW$2, Data_All!$B$2:$CA$2, 0)+1), "")</f>
        <v/>
      </c>
      <c r="BX9" s="206">
        <f>IF(AND($A9&gt;=SYear_O, $A9&lt;=EYear_O, BX$3&gt;0), BX$3 * VLOOKUP($A9, Data_All!$A$8:$CA$153, MATCH(BX$2, Data_All!$B$2:$CA$2, 0)+1), "")</f>
        <v>-1.4090019569471623</v>
      </c>
      <c r="BY9" s="206">
        <f>IF(AND($A9&gt;=SYear_O, $A9&lt;=EYear_O, BY$3&gt;0), BY$3 * VLOOKUP($A9, Data_All!$A$8:$CA$153, MATCH(BY$2, Data_All!$B$2:$CA$2, 0)+1), "")</f>
        <v>3.2862031388825574</v>
      </c>
      <c r="BZ9" s="206" t="str">
        <f>IF(AND($A9&gt;=SYear_O, $A9&lt;=EYear_O, BZ$3&gt;0), BZ$3 * VLOOKUP($A9, Data_All!$A$8:$CA$153, MATCH(BZ$2, Data_All!$B$2:$CA$2, 0)+1), "")</f>
        <v/>
      </c>
      <c r="CA9" s="565">
        <f t="shared" si="2"/>
        <v>1.8772011819353951</v>
      </c>
      <c r="CB9" s="427">
        <f t="shared" si="3"/>
        <v>12160.051163810456</v>
      </c>
      <c r="CC9" s="565">
        <f>IF(AND($A9&gt;=SYear_O,$A9&lt;=EYear_O),(CA9-Data_All!CA10)/(1+Data_All!CA10%),"")</f>
        <v>6.5795460641286017</v>
      </c>
      <c r="CD9" s="436">
        <f t="shared" si="4"/>
        <v>12253.609333351542</v>
      </c>
      <c r="CE9" s="438">
        <f t="shared" si="5"/>
        <v>1.102907383921395</v>
      </c>
      <c r="CF9" s="438">
        <f>IF(AND($A9&gt;=SYear_O,$A9&lt;=EYear_O),MAX($CE$7:CE9),"")</f>
        <v>1.102907383921395</v>
      </c>
      <c r="CG9" s="209">
        <f t="shared" si="6"/>
        <v>0</v>
      </c>
      <c r="CI9" s="143">
        <f>IF(AND($A9&gt;=SYear_O,$A9&lt;=EYear_O),Data_All!V10,"")</f>
        <v>8.2525726845838747</v>
      </c>
      <c r="CJ9" s="143">
        <f>IF(AND($A9&gt;=SYear_O,$A9&lt;=EYear_O),Data_All!CA10,"")</f>
        <v>-4.4120518953644439</v>
      </c>
      <c r="CK9" s="143">
        <f t="shared" si="7"/>
        <v>13.249185520840932</v>
      </c>
      <c r="CN9" s="61">
        <f t="shared" si="8"/>
        <v>1.8772011819353951E-2</v>
      </c>
      <c r="CO9" s="61">
        <f t="shared" si="9"/>
        <v>4.5484630158687089E-2</v>
      </c>
      <c r="CP9" s="61">
        <f t="shared" si="10"/>
        <v>1.4566777212651427E-2</v>
      </c>
      <c r="CQ9" s="61">
        <f t="shared" si="11"/>
        <v>6.8525938975003253E-2</v>
      </c>
      <c r="CR9" s="61">
        <f t="shared" si="12"/>
        <v>5.8085373080981606E-2</v>
      </c>
      <c r="CU9" s="61">
        <f t="shared" si="13"/>
        <v>6.5795460641286052E-2</v>
      </c>
      <c r="CV9" s="61">
        <f t="shared" si="14"/>
        <v>0.10882423868825719</v>
      </c>
      <c r="CW9" s="61">
        <f t="shared" si="15"/>
        <v>8.5511495620807176E-2</v>
      </c>
      <c r="CX9" s="61">
        <f t="shared" si="16"/>
        <v>9.6528346588240721E-2</v>
      </c>
      <c r="CY9" s="61">
        <f t="shared" si="17"/>
        <v>8.9241957476129841E-2</v>
      </c>
    </row>
    <row r="10" spans="1:103">
      <c r="A10" s="204">
        <f t="shared" si="18"/>
        <v>1874</v>
      </c>
      <c r="B10" s="206" t="str">
        <f>IF(AND($A10&gt;=SYear_O, $A10&lt;=EYear_O, B$3&gt;0), B$3 * VLOOKUP($A10, Data_All!$A$8:$CA$153, MATCH(B$2, Data_All!$B$2:$CA$2, 0)+1), "")</f>
        <v/>
      </c>
      <c r="C10" s="206" t="str">
        <f>IF(AND($A10&gt;=SYear_O, $A10&lt;=EYear_O, C$3&gt;0), C$3 * VLOOKUP($A10, Data_All!$A$8:$CA$153, MATCH(C$2, Data_All!$B$2:$CA$2, 0)+1), "")</f>
        <v/>
      </c>
      <c r="D10" s="206" t="str">
        <f>IF(AND($A10&gt;=SYear_O, $A10&lt;=EYear_O, D$3&gt;0), D$3 * VLOOKUP($A10, Data_All!$A$8:$CA$153, MATCH(D$2, Data_All!$B$2:$CA$2, 0)+1), "")</f>
        <v/>
      </c>
      <c r="E10" s="206" t="str">
        <f>IF(AND($A10&gt;=SYear_O, $A10&lt;=EYear_O, E$3&gt;0), E$3 * VLOOKUP($A10, Data_All!$A$8:$CA$153, MATCH(E$2, Data_All!$B$2:$CA$2, 0)+1), "")</f>
        <v/>
      </c>
      <c r="F10" s="206" t="str">
        <f>IF(AND($A10&gt;=SYear_O, $A10&lt;=EYear_O, F$3&gt;0), F$3 * VLOOKUP($A10, Data_All!$A$8:$CA$153, MATCH(F$2, Data_All!$B$2:$CA$2, 0)+1), "")</f>
        <v/>
      </c>
      <c r="G10" s="206" t="str">
        <f>IF(AND($A10&gt;=SYear_O, $A10&lt;=EYear_O, G$3&gt;0), G$3 * VLOOKUP($A10, Data_All!$A$8:$CA$153, MATCH(G$2, Data_All!$B$2:$CA$2, 0)+1), "")</f>
        <v/>
      </c>
      <c r="H10" s="206" t="str">
        <f>IF(AND($A10&gt;=SYear_O, $A10&lt;=EYear_O, H$3&gt;0), H$3 * VLOOKUP($A10, Data_All!$A$8:$CA$153, MATCH(H$2, Data_All!$B$2:$CA$2, 0)+1), "")</f>
        <v/>
      </c>
      <c r="I10" s="206" t="str">
        <f>IF(AND($A10&gt;=SYear_O, $A10&lt;=EYear_O, I$3&gt;0), I$3 * VLOOKUP($A10, Data_All!$A$8:$CA$153, MATCH(I$2, Data_All!$B$2:$CA$2, 0)+1), "")</f>
        <v/>
      </c>
      <c r="J10" s="206" t="str">
        <f>IF(AND($A10&gt;=SYear_O, $A10&lt;=EYear_O, J$3&gt;0), J$3 * VLOOKUP($A10, Data_All!$A$8:$CA$153, MATCH(J$2, Data_All!$B$2:$CA$2, 0)+1), "")</f>
        <v/>
      </c>
      <c r="K10" s="206" t="str">
        <f>IF(AND($A10&gt;=SYear_O, $A10&lt;=EYear_O, K$3&gt;0), K$3 * VLOOKUP($A10, Data_All!$A$8:$CA$153, MATCH(K$2, Data_All!$B$2:$CA$2, 0)+1), "")</f>
        <v/>
      </c>
      <c r="L10" s="206" t="str">
        <f>IF(AND($A10&gt;=SYear_O, $A10&lt;=EYear_O, L$3&gt;0), L$3 * VLOOKUP($A10, Data_All!$A$8:$CA$153, MATCH(L$2, Data_All!$B$2:$CA$2, 0)+1), "")</f>
        <v/>
      </c>
      <c r="M10" s="206" t="str">
        <f>IF(AND($A10&gt;=SYear_O, $A10&lt;=EYear_O, M$3&gt;0), M$3 * VLOOKUP($A10, Data_All!$A$8:$CA$153, MATCH(M$2, Data_All!$B$2:$CA$2, 0)+1), "")</f>
        <v/>
      </c>
      <c r="N10" s="206" t="str">
        <f>IF(AND($A10&gt;=SYear_O, $A10&lt;=EYear_O, N$3&gt;0), N$3 * VLOOKUP($A10, Data_All!$A$8:$CA$153, MATCH(N$2, Data_All!$B$2:$CA$2, 0)+1), "")</f>
        <v/>
      </c>
      <c r="O10" s="206" t="str">
        <f>IF(AND($A10&gt;=SYear_O, $A10&lt;=EYear_O, O$3&gt;0), O$3 * VLOOKUP($A10, Data_All!$A$8:$CA$153, MATCH(O$2, Data_All!$B$2:$CA$2, 0)+1), "")</f>
        <v/>
      </c>
      <c r="P10" s="206" t="str">
        <f>IF(AND($A10&gt;=SYear_O, $A10&lt;=EYear_O, P$3&gt;0), P$3 * VLOOKUP($A10, Data_All!$A$8:$CA$153, MATCH(P$2, Data_All!$B$2:$CA$2, 0)+1), "")</f>
        <v/>
      </c>
      <c r="Q10" s="206" t="str">
        <f>IF(AND($A10&gt;=SYear_O, $A10&lt;=EYear_O, Q$3&gt;0), Q$3 * VLOOKUP($A10, Data_All!$A$8:$CA$153, MATCH(Q$2, Data_All!$B$2:$CA$2, 0)+1), "")</f>
        <v/>
      </c>
      <c r="R10" s="206" t="str">
        <f>IF(AND($A10&gt;=SYear_O, $A10&lt;=EYear_O, R$3&gt;0), R$3 * VLOOKUP($A10, Data_All!$A$8:$CA$153, MATCH(R$2, Data_All!$B$2:$CA$2, 0)+1), "")</f>
        <v/>
      </c>
      <c r="S10" s="206" t="str">
        <f>IF(AND($A10&gt;=SYear_O, $A10&lt;=EYear_O, S$3&gt;0), S$3 * VLOOKUP($A10, Data_All!$A$8:$CA$153, MATCH(S$2, Data_All!$B$2:$CA$2, 0)+1), "")</f>
        <v/>
      </c>
      <c r="T10" s="206" t="str">
        <f>IF(AND($A10&gt;=SYear_O, $A10&lt;=EYear_O, T$3&gt;0), T$3 * VLOOKUP($A10, Data_All!$A$8:$CA$153, MATCH(T$2, Data_All!$B$2:$CA$2, 0)+1), "")</f>
        <v/>
      </c>
      <c r="U10" s="206" t="str">
        <f>IF(AND($A10&gt;=SYear_O, $A10&lt;=EYear_O, U$3&gt;0), U$3 * VLOOKUP($A10, Data_All!$A$8:$CA$153, MATCH(U$2, Data_All!$B$2:$CA$2, 0)+1), "")</f>
        <v/>
      </c>
      <c r="V10" s="206" t="str">
        <f>IF(AND($A10&gt;=SYear_O, $A10&lt;=EYear_O, V$3&gt;0), V$3 * VLOOKUP($A10, Data_All!$A$8:$CA$153, MATCH(V$2, Data_All!$B$2:$CA$2, 0)+1), "")</f>
        <v/>
      </c>
      <c r="W10" s="206" t="str">
        <f>IF(AND($A10&gt;=SYear_O, $A10&lt;=EYear_O, W$3&gt;0), W$3 * VLOOKUP($A10, Data_All!$A$8:$CA$153, MATCH(W$2, Data_All!$B$2:$CA$2, 0)+1), "")</f>
        <v/>
      </c>
      <c r="X10" s="206" t="str">
        <f>IF(AND($A10&gt;=SYear_O, $A10&lt;=EYear_O, X$3&gt;0), X$3 * VLOOKUP($A10, Data_All!$A$8:$CA$153, MATCH(X$2, Data_All!$B$2:$CA$2, 0)+1), "")</f>
        <v/>
      </c>
      <c r="Y10" s="206" t="str">
        <f>IF(AND($A10&gt;=SYear_O, $A10&lt;=EYear_O, Y$3&gt;0), Y$3 * VLOOKUP($A10, Data_All!$A$8:$CA$153, MATCH(Y$2, Data_All!$B$2:$CA$2, 0)+1), "")</f>
        <v/>
      </c>
      <c r="Z10" s="206" t="str">
        <f>IF(AND($A10&gt;=SYear_O, $A10&lt;=EYear_O, Z$3&gt;0), Z$3 * VLOOKUP($A10, Data_All!$A$8:$CA$153, MATCH(Z$2, Data_All!$B$2:$CA$2, 0)+1), "")</f>
        <v/>
      </c>
      <c r="AA10" s="206" t="str">
        <f>IF(AND($A10&gt;=SYear_O, $A10&lt;=EYear_O, AA$3&gt;0), AA$3 * VLOOKUP($A10, Data_All!$A$8:$CA$153, MATCH(AA$2, Data_All!$B$2:$CA$2, 0)+1), "")</f>
        <v/>
      </c>
      <c r="AB10" s="206" t="str">
        <f>IF(AND($A10&gt;=SYear_O, $A10&lt;=EYear_O, AB$3&gt;0), AB$3 * VLOOKUP($A10, Data_All!$A$8:$CA$153, MATCH(AB$2, Data_All!$B$2:$CA$2, 0)+1), "")</f>
        <v/>
      </c>
      <c r="AC10" s="206" t="str">
        <f>IF(AND($A10&gt;=SYear_O, $A10&lt;=EYear_O, AC$3&gt;0), AC$3 * VLOOKUP($A10, Data_All!$A$8:$CA$153, MATCH(AC$2, Data_All!$B$2:$CA$2, 0)+1), "")</f>
        <v/>
      </c>
      <c r="AD10" s="206" t="str">
        <f>IF(AND($A10&gt;=SYear_O, $A10&lt;=EYear_O, AD$3&gt;0), AD$3 * VLOOKUP($A10, Data_All!$A$8:$CA$153, MATCH(AD$2, Data_All!$B$2:$CA$2, 0)+1), "")</f>
        <v/>
      </c>
      <c r="AE10" s="206" t="str">
        <f>IF(AND($A10&gt;=SYear_O, $A10&lt;=EYear_O, AE$3&gt;0), AE$3 * VLOOKUP($A10, Data_All!$A$8:$CA$153, MATCH(AE$2, Data_All!$B$2:$CA$2, 0)+1), "")</f>
        <v/>
      </c>
      <c r="AF10" s="206" t="str">
        <f>IF(AND($A10&gt;=SYear_O, $A10&lt;=EYear_O, AF$3&gt;0), AF$3 * VLOOKUP($A10, Data_All!$A$8:$CA$153, MATCH(AF$2, Data_All!$B$2:$CA$2, 0)+1), "")</f>
        <v/>
      </c>
      <c r="AG10" s="206" t="str">
        <f>IF(AND($A10&gt;=SYear_O, $A10&lt;=EYear_O, AG$3&gt;0), AG$3 * VLOOKUP($A10, Data_All!$A$8:$CA$153, MATCH(AG$2, Data_All!$B$2:$CA$2, 0)+1), "")</f>
        <v/>
      </c>
      <c r="AH10" s="206" t="str">
        <f>IF(AND($A10&gt;=SYear_O, $A10&lt;=EYear_O, AH$3&gt;0), AH$3 * VLOOKUP($A10, Data_All!$A$8:$CA$153, MATCH(AH$2, Data_All!$B$2:$CA$2, 0)+1), "")</f>
        <v/>
      </c>
      <c r="AI10" s="206" t="str">
        <f>IF(AND($A10&gt;=SYear_O, $A10&lt;=EYear_O, AI$3&gt;0), AI$3 * VLOOKUP($A10, Data_All!$A$8:$CA$153, MATCH(AI$2, Data_All!$B$2:$CA$2, 0)+1), "")</f>
        <v/>
      </c>
      <c r="AJ10" s="206" t="str">
        <f>IF(AND($A10&gt;=SYear_O, $A10&lt;=EYear_O, AJ$3&gt;0), AJ$3 * VLOOKUP($A10, Data_All!$A$8:$CA$153, MATCH(AJ$2, Data_All!$B$2:$CA$2, 0)+1), "")</f>
        <v/>
      </c>
      <c r="AK10" s="206" t="str">
        <f>IF(AND($A10&gt;=SYear_O, $A10&lt;=EYear_O, AK$3&gt;0), AK$3 * VLOOKUP($A10, Data_All!$A$8:$CA$153, MATCH(AK$2, Data_All!$B$2:$CA$2, 0)+1), "")</f>
        <v/>
      </c>
      <c r="AL10" s="206" t="str">
        <f>IF(AND($A10&gt;=SYear_O, $A10&lt;=EYear_O, AL$3&gt;0), AL$3 * VLOOKUP($A10, Data_All!$A$8:$CA$153, MATCH(AL$2, Data_All!$B$2:$CA$2, 0)+1), "")</f>
        <v/>
      </c>
      <c r="AM10" s="206" t="str">
        <f>IF(AND($A10&gt;=SYear_O, $A10&lt;=EYear_O, AM$3&gt;0), AM$3 * VLOOKUP($A10, Data_All!$A$8:$CA$153, MATCH(AM$2, Data_All!$B$2:$CA$2, 0)+1), "")</f>
        <v/>
      </c>
      <c r="AN10" s="206" t="str">
        <f>IF(AND($A10&gt;=SYear_O, $A10&lt;=EYear_O, AN$3&gt;0), AN$3 * VLOOKUP($A10, Data_All!$A$8:$CA$153, MATCH(AN$2, Data_All!$B$2:$CA$2, 0)+1), "")</f>
        <v/>
      </c>
      <c r="AO10" s="206" t="str">
        <f>IF(AND($A10&gt;=SYear_O, $A10&lt;=EYear_O, AO$3&gt;0), AO$3 * VLOOKUP($A10, Data_All!$A$8:$CA$153, MATCH(AO$2, Data_All!$B$2:$CA$2, 0)+1), "")</f>
        <v/>
      </c>
      <c r="AP10" s="206" t="str">
        <f>IF(AND($A10&gt;=SYear_O, $A10&lt;=EYear_O, AP$3&gt;0), AP$3 * VLOOKUP($A10, Data_All!$A$8:$CA$153, MATCH(AP$2, Data_All!$B$2:$CA$2, 0)+1), "")</f>
        <v/>
      </c>
      <c r="AQ10" s="206" t="str">
        <f>IF(AND($A10&gt;=SYear_O, $A10&lt;=EYear_O, AQ$3&gt;0), AQ$3 * VLOOKUP($A10, Data_All!$A$8:$CA$153, MATCH(AQ$2, Data_All!$B$2:$CA$2, 0)+1), "")</f>
        <v/>
      </c>
      <c r="AR10" s="206" t="str">
        <f>IF(AND($A10&gt;=SYear_O, $A10&lt;=EYear_O, AR$3&gt;0), AR$3 * VLOOKUP($A10, Data_All!$A$8:$CA$153, MATCH(AR$2, Data_All!$B$2:$CA$2, 0)+1), "")</f>
        <v/>
      </c>
      <c r="AS10" s="206" t="str">
        <f>IF(AND($A10&gt;=SYear_O, $A10&lt;=EYear_O, AS$3&gt;0), AS$3 * VLOOKUP($A10, Data_All!$A$8:$CA$153, MATCH(AS$2, Data_All!$B$2:$CA$2, 0)+1), "")</f>
        <v/>
      </c>
      <c r="AT10" s="206" t="str">
        <f>IF(AND($A10&gt;=SYear_O, $A10&lt;=EYear_O, AT$3&gt;0), AT$3 * VLOOKUP($A10, Data_All!$A$8:$CA$153, MATCH(AT$2, Data_All!$B$2:$CA$2, 0)+1), "")</f>
        <v/>
      </c>
      <c r="AU10" s="206" t="str">
        <f>IF(AND($A10&gt;=SYear_O, $A10&lt;=EYear_O, AU$3&gt;0), AU$3 * VLOOKUP($A10, Data_All!$A$8:$CA$153, MATCH(AU$2, Data_All!$B$2:$CA$2, 0)+1), "")</f>
        <v/>
      </c>
      <c r="AV10" s="206" t="str">
        <f>IF(AND($A10&gt;=SYear_O, $A10&lt;=EYear_O, AV$3&gt;0), AV$3 * VLOOKUP($A10, Data_All!$A$8:$CA$153, MATCH(AV$2, Data_All!$B$2:$CA$2, 0)+1), "")</f>
        <v/>
      </c>
      <c r="AW10" s="206" t="str">
        <f>IF(AND($A10&gt;=SYear_O, $A10&lt;=EYear_O, AW$3&gt;0), AW$3 * VLOOKUP($A10, Data_All!$A$8:$CA$153, MATCH(AW$2, Data_All!$B$2:$CA$2, 0)+1), "")</f>
        <v/>
      </c>
      <c r="AX10" s="206" t="str">
        <f>IF(AND($A10&gt;=SYear_O, $A10&lt;=EYear_O, AX$3&gt;0), AX$3 * VLOOKUP($A10, Data_All!$A$8:$CA$153, MATCH(AX$2, Data_All!$B$2:$CA$2, 0)+1), "")</f>
        <v/>
      </c>
      <c r="AY10" s="206" t="str">
        <f>IF(AND($A10&gt;=SYear_O, $A10&lt;=EYear_O, AY$3&gt;0), AY$3 * VLOOKUP($A10, Data_All!$A$8:$CA$153, MATCH(AY$2, Data_All!$B$2:$CA$2, 0)+1), "")</f>
        <v/>
      </c>
      <c r="AZ10" s="206" t="str">
        <f>IF(AND($A10&gt;=SYear_O, $A10&lt;=EYear_O, AZ$3&gt;0), AZ$3 * VLOOKUP($A10, Data_All!$A$8:$CA$153, MATCH(AZ$2, Data_All!$B$2:$CA$2, 0)+1), "")</f>
        <v/>
      </c>
      <c r="BA10" s="206" t="str">
        <f>IF(AND($A10&gt;=SYear_O, $A10&lt;=EYear_O, BA$3&gt;0), BA$3 * VLOOKUP($A10, Data_All!$A$8:$CA$153, MATCH(BA$2, Data_All!$B$2:$CA$2, 0)+1), "")</f>
        <v/>
      </c>
      <c r="BB10" s="206" t="str">
        <f>IF(AND($A10&gt;=SYear_O, $A10&lt;=EYear_O, BB$3&gt;0), BB$3 * VLOOKUP($A10, Data_All!$A$8:$CA$153, MATCH(BB$2, Data_All!$B$2:$CA$2, 0)+1), "")</f>
        <v/>
      </c>
      <c r="BC10" s="206" t="str">
        <f>IF(AND($A10&gt;=SYear_O, $A10&lt;=EYear_O, BC$3&gt;0), BC$3 * VLOOKUP($A10, Data_All!$A$8:$CA$153, MATCH(BC$2, Data_All!$B$2:$CA$2, 0)+1), "")</f>
        <v/>
      </c>
      <c r="BD10" s="206" t="str">
        <f>IF(AND($A10&gt;=SYear_O, $A10&lt;=EYear_O, BD$3&gt;0), BD$3 * VLOOKUP($A10, Data_All!$A$8:$CA$153, MATCH(BD$2, Data_All!$B$2:$CA$2, 0)+1), "")</f>
        <v/>
      </c>
      <c r="BE10" s="206" t="str">
        <f>IF(AND($A10&gt;=SYear_O, $A10&lt;=EYear_O, BE$3&gt;0), BE$3 * VLOOKUP($A10, Data_All!$A$8:$CA$153, MATCH(BE$2, Data_All!$B$2:$CA$2, 0)+1), "")</f>
        <v/>
      </c>
      <c r="BF10" s="206" t="str">
        <f>IF(AND($A10&gt;=SYear_O, $A10&lt;=EYear_O, BF$3&gt;0), BF$3 * VLOOKUP($A10, Data_All!$A$8:$CA$153, MATCH(BF$2, Data_All!$B$2:$CA$2, 0)+1), "")</f>
        <v/>
      </c>
      <c r="BG10" s="206" t="str">
        <f>IF(AND($A10&gt;=SYear_O, $A10&lt;=EYear_O, BG$3&gt;0), BG$3 * VLOOKUP($A10, Data_All!$A$8:$CA$153, MATCH(BG$2, Data_All!$B$2:$CA$2, 0)+1), "")</f>
        <v/>
      </c>
      <c r="BH10" s="206" t="str">
        <f>IF(AND($A10&gt;=SYear_O, $A10&lt;=EYear_O, BH$3&gt;0), BH$3 * VLOOKUP($A10, Data_All!$A$8:$CA$153, MATCH(BH$2, Data_All!$B$2:$CA$2, 0)+1), "")</f>
        <v/>
      </c>
      <c r="BI10" s="206" t="str">
        <f>IF(AND($A10&gt;=SYear_O, $A10&lt;=EYear_O, BI$3&gt;0), BI$3 * VLOOKUP($A10, Data_All!$A$8:$CA$153, MATCH(BI$2, Data_All!$B$2:$CA$2, 0)+1), "")</f>
        <v/>
      </c>
      <c r="BJ10" s="206" t="str">
        <f>IF(AND($A10&gt;=SYear_O, $A10&lt;=EYear_O, BJ$3&gt;0), BJ$3 * VLOOKUP($A10, Data_All!$A$8:$CA$153, MATCH(BJ$2, Data_All!$B$2:$CA$2, 0)+1), "")</f>
        <v/>
      </c>
      <c r="BK10" s="206" t="str">
        <f>IF(AND($A10&gt;=SYear_O, $A10&lt;=EYear_O, BK$3&gt;0), BK$3 * VLOOKUP($A10, Data_All!$A$8:$CA$153, MATCH(BK$2, Data_All!$B$2:$CA$2, 0)+1), "")</f>
        <v/>
      </c>
      <c r="BL10" s="206" t="str">
        <f>IF(AND($A10&gt;=SYear_O, $A10&lt;=EYear_O, BL$3&gt;0), BL$3 * VLOOKUP($A10, Data_All!$A$8:$CA$153, MATCH(BL$2, Data_All!$B$2:$CA$2, 0)+1), "")</f>
        <v/>
      </c>
      <c r="BM10" s="206" t="str">
        <f>IF(AND($A10&gt;=SYear_O, $A10&lt;=EYear_O, BM$3&gt;0), BM$3 * VLOOKUP($A10, Data_All!$A$8:$CA$153, MATCH(BM$2, Data_All!$B$2:$CA$2, 0)+1), "")</f>
        <v/>
      </c>
      <c r="BN10" s="206" t="str">
        <f>IF(AND($A10&gt;=SYear_O, $A10&lt;=EYear_O, BN$3&gt;0), BN$3 * VLOOKUP($A10, Data_All!$A$8:$CA$153, MATCH(BN$2, Data_All!$B$2:$CA$2, 0)+1), "")</f>
        <v/>
      </c>
      <c r="BO10" s="206" t="str">
        <f>IF(AND($A10&gt;=SYear_O, $A10&lt;=EYear_O, BO$3&gt;0), BO$3 * VLOOKUP($A10, Data_All!$A$8:$CA$153, MATCH(BO$2, Data_All!$B$2:$CA$2, 0)+1), "")</f>
        <v/>
      </c>
      <c r="BP10" s="206" t="str">
        <f>IF(AND($A10&gt;=SYear_O, $A10&lt;=EYear_O, BP$3&gt;0), BP$3 * VLOOKUP($A10, Data_All!$A$8:$CA$153, MATCH(BP$2, Data_All!$B$2:$CA$2, 0)+1), "")</f>
        <v/>
      </c>
      <c r="BQ10" s="206" t="str">
        <f>IF(AND($A10&gt;=SYear_O, $A10&lt;=EYear_O, BQ$3&gt;0), BQ$3 * VLOOKUP($A10, Data_All!$A$8:$CA$153, MATCH(BQ$2, Data_All!$B$2:$CA$2, 0)+1), "")</f>
        <v/>
      </c>
      <c r="BR10" s="206" t="str">
        <f>IF(AND($A10&gt;=SYear_O, $A10&lt;=EYear_O, BR$3&gt;0), BR$3 * VLOOKUP($A10, Data_All!$A$8:$CA$153, MATCH(BR$2, Data_All!$B$2:$CA$2, 0)+1), "")</f>
        <v/>
      </c>
      <c r="BS10" s="206" t="str">
        <f>IF(AND($A10&gt;=SYear_O, $A10&lt;=EYear_O, BS$3&gt;0), BS$3 * VLOOKUP($A10, Data_All!$A$8:$CA$153, MATCH(BS$2, Data_All!$B$2:$CA$2, 0)+1), "")</f>
        <v/>
      </c>
      <c r="BT10" s="206" t="str">
        <f>IF(AND($A10&gt;=SYear_O, $A10&lt;=EYear_O, BT$3&gt;0), BT$3 * VLOOKUP($A10, Data_All!$A$8:$CA$153, MATCH(BT$2, Data_All!$B$2:$CA$2, 0)+1), "")</f>
        <v/>
      </c>
      <c r="BU10" s="206" t="str">
        <f>IF(AND($A10&gt;=SYear_O, $A10&lt;=EYear_O, BU$3&gt;0), BU$3 * VLOOKUP($A10, Data_All!$A$8:$CA$153, MATCH(BU$2, Data_All!$B$2:$CA$2, 0)+1), "")</f>
        <v/>
      </c>
      <c r="BV10" s="206" t="str">
        <f>IF(AND($A10&gt;=SYear_O, $A10&lt;=EYear_O, BV$3&gt;0), BV$3 * VLOOKUP($A10, Data_All!$A$8:$CA$153, MATCH(BV$2, Data_All!$B$2:$CA$2, 0)+1), "")</f>
        <v/>
      </c>
      <c r="BW10" s="206" t="str">
        <f>IF(AND($A10&gt;=SYear_O, $A10&lt;=EYear_O, BW$3&gt;0), BW$3 * VLOOKUP($A10, Data_All!$A$8:$CA$153, MATCH(BW$2, Data_All!$B$2:$CA$2, 0)+1), "")</f>
        <v/>
      </c>
      <c r="BX10" s="206">
        <f>IF(AND($A10&gt;=SYear_O, $A10&lt;=EYear_O, BX$3&gt;0), BX$3 * VLOOKUP($A10, Data_All!$A$8:$CA$153, MATCH(BX$2, Data_All!$B$2:$CA$2, 0)+1), "")</f>
        <v>2.7038626609442007</v>
      </c>
      <c r="BY10" s="206">
        <f>IF(AND($A10&gt;=SYear_O, $A10&lt;=EYear_O, BY$3&gt;0), BY$3 * VLOOKUP($A10, Data_All!$A$8:$CA$153, MATCH(BY$2, Data_All!$B$2:$CA$2, 0)+1), "")</f>
        <v>3.9178381297725551</v>
      </c>
      <c r="BZ10" s="206" t="str">
        <f>IF(AND($A10&gt;=SYear_O, $A10&lt;=EYear_O, BZ$3&gt;0), BZ$3 * VLOOKUP($A10, Data_All!$A$8:$CA$153, MATCH(BZ$2, Data_All!$B$2:$CA$2, 0)+1), "")</f>
        <v/>
      </c>
      <c r="CA10" s="565">
        <f t="shared" si="2"/>
        <v>6.6217007907167558</v>
      </c>
      <c r="CB10" s="427">
        <f t="shared" si="3"/>
        <v>12965.253367876056</v>
      </c>
      <c r="CC10" s="565">
        <f>IF(AND($A10&gt;=SYear_O,$A10&lt;=EYear_O),(CA10-Data_All!CA11)/(1+Data_All!CA11%),"")</f>
        <v>14.551611824547903</v>
      </c>
      <c r="CD10" s="436">
        <f t="shared" si="4"/>
        <v>14036.706998037429</v>
      </c>
      <c r="CE10" s="438">
        <f t="shared" si="5"/>
        <v>1.1759386108833916</v>
      </c>
      <c r="CF10" s="438">
        <f>IF(AND($A10&gt;=SYear_O,$A10&lt;=EYear_O),MAX($CE$7:CE10),"")</f>
        <v>1.1759386108833916</v>
      </c>
      <c r="CG10" s="209">
        <f t="shared" si="6"/>
        <v>0</v>
      </c>
      <c r="CI10" s="143">
        <f>IF(AND($A10&gt;=SYear_O,$A10&lt;=EYear_O),Data_All!V11,"")</f>
        <v>6.7639124787691092</v>
      </c>
      <c r="CJ10" s="143">
        <f>IF(AND($A10&gt;=SYear_O,$A10&lt;=EYear_O),Data_All!CA11,"")</f>
        <v>-6.9225660883558193</v>
      </c>
      <c r="CK10" s="143">
        <f t="shared" si="7"/>
        <v>14.704400402913045</v>
      </c>
      <c r="CN10" s="61">
        <f t="shared" si="8"/>
        <v>6.6217007907167558E-2</v>
      </c>
      <c r="CO10" s="61">
        <f t="shared" si="9"/>
        <v>1.7687733070071765E-2</v>
      </c>
      <c r="CP10" s="61">
        <f t="shared" si="10"/>
        <v>3.3463872827603325E-2</v>
      </c>
      <c r="CQ10" s="61">
        <f t="shared" si="11"/>
        <v>6.4484483819078786E-2</v>
      </c>
      <c r="CR10" s="61">
        <f t="shared" si="12"/>
        <v>5.9349474617383935E-2</v>
      </c>
      <c r="CU10" s="61">
        <f t="shared" si="13"/>
        <v>0.14551611824547894</v>
      </c>
      <c r="CV10" s="61">
        <f t="shared" si="14"/>
        <v>6.0138781756636561E-2</v>
      </c>
      <c r="CW10" s="61">
        <f t="shared" si="15"/>
        <v>0.1199013487655789</v>
      </c>
      <c r="CX10" s="61">
        <f t="shared" si="16"/>
        <v>9.6116068699039436E-2</v>
      </c>
      <c r="CY10" s="61">
        <f t="shared" si="17"/>
        <v>9.0645082498758356E-2</v>
      </c>
    </row>
    <row r="11" spans="1:103">
      <c r="A11" s="204">
        <f t="shared" si="18"/>
        <v>1875</v>
      </c>
      <c r="B11" s="206" t="str">
        <f>IF(AND($A11&gt;=SYear_O, $A11&lt;=EYear_O, B$3&gt;0), B$3 * VLOOKUP($A11, Data_All!$A$8:$CA$153, MATCH(B$2, Data_All!$B$2:$CA$2, 0)+1), "")</f>
        <v/>
      </c>
      <c r="C11" s="206" t="str">
        <f>IF(AND($A11&gt;=SYear_O, $A11&lt;=EYear_O, C$3&gt;0), C$3 * VLOOKUP($A11, Data_All!$A$8:$CA$153, MATCH(C$2, Data_All!$B$2:$CA$2, 0)+1), "")</f>
        <v/>
      </c>
      <c r="D11" s="206" t="str">
        <f>IF(AND($A11&gt;=SYear_O, $A11&lt;=EYear_O, D$3&gt;0), D$3 * VLOOKUP($A11, Data_All!$A$8:$CA$153, MATCH(D$2, Data_All!$B$2:$CA$2, 0)+1), "")</f>
        <v/>
      </c>
      <c r="E11" s="206" t="str">
        <f>IF(AND($A11&gt;=SYear_O, $A11&lt;=EYear_O, E$3&gt;0), E$3 * VLOOKUP($A11, Data_All!$A$8:$CA$153, MATCH(E$2, Data_All!$B$2:$CA$2, 0)+1), "")</f>
        <v/>
      </c>
      <c r="F11" s="206" t="str">
        <f>IF(AND($A11&gt;=SYear_O, $A11&lt;=EYear_O, F$3&gt;0), F$3 * VLOOKUP($A11, Data_All!$A$8:$CA$153, MATCH(F$2, Data_All!$B$2:$CA$2, 0)+1), "")</f>
        <v/>
      </c>
      <c r="G11" s="206" t="str">
        <f>IF(AND($A11&gt;=SYear_O, $A11&lt;=EYear_O, G$3&gt;0), G$3 * VLOOKUP($A11, Data_All!$A$8:$CA$153, MATCH(G$2, Data_All!$B$2:$CA$2, 0)+1), "")</f>
        <v/>
      </c>
      <c r="H11" s="206" t="str">
        <f>IF(AND($A11&gt;=SYear_O, $A11&lt;=EYear_O, H$3&gt;0), H$3 * VLOOKUP($A11, Data_All!$A$8:$CA$153, MATCH(H$2, Data_All!$B$2:$CA$2, 0)+1), "")</f>
        <v/>
      </c>
      <c r="I11" s="206" t="str">
        <f>IF(AND($A11&gt;=SYear_O, $A11&lt;=EYear_O, I$3&gt;0), I$3 * VLOOKUP($A11, Data_All!$A$8:$CA$153, MATCH(I$2, Data_All!$B$2:$CA$2, 0)+1), "")</f>
        <v/>
      </c>
      <c r="J11" s="206" t="str">
        <f>IF(AND($A11&gt;=SYear_O, $A11&lt;=EYear_O, J$3&gt;0), J$3 * VLOOKUP($A11, Data_All!$A$8:$CA$153, MATCH(J$2, Data_All!$B$2:$CA$2, 0)+1), "")</f>
        <v/>
      </c>
      <c r="K11" s="206" t="str">
        <f>IF(AND($A11&gt;=SYear_O, $A11&lt;=EYear_O, K$3&gt;0), K$3 * VLOOKUP($A11, Data_All!$A$8:$CA$153, MATCH(K$2, Data_All!$B$2:$CA$2, 0)+1), "")</f>
        <v/>
      </c>
      <c r="L11" s="206" t="str">
        <f>IF(AND($A11&gt;=SYear_O, $A11&lt;=EYear_O, L$3&gt;0), L$3 * VLOOKUP($A11, Data_All!$A$8:$CA$153, MATCH(L$2, Data_All!$B$2:$CA$2, 0)+1), "")</f>
        <v/>
      </c>
      <c r="M11" s="206" t="str">
        <f>IF(AND($A11&gt;=SYear_O, $A11&lt;=EYear_O, M$3&gt;0), M$3 * VLOOKUP($A11, Data_All!$A$8:$CA$153, MATCH(M$2, Data_All!$B$2:$CA$2, 0)+1), "")</f>
        <v/>
      </c>
      <c r="N11" s="206" t="str">
        <f>IF(AND($A11&gt;=SYear_O, $A11&lt;=EYear_O, N$3&gt;0), N$3 * VLOOKUP($A11, Data_All!$A$8:$CA$153, MATCH(N$2, Data_All!$B$2:$CA$2, 0)+1), "")</f>
        <v/>
      </c>
      <c r="O11" s="206" t="str">
        <f>IF(AND($A11&gt;=SYear_O, $A11&lt;=EYear_O, O$3&gt;0), O$3 * VLOOKUP($A11, Data_All!$A$8:$CA$153, MATCH(O$2, Data_All!$B$2:$CA$2, 0)+1), "")</f>
        <v/>
      </c>
      <c r="P11" s="206" t="str">
        <f>IF(AND($A11&gt;=SYear_O, $A11&lt;=EYear_O, P$3&gt;0), P$3 * VLOOKUP($A11, Data_All!$A$8:$CA$153, MATCH(P$2, Data_All!$B$2:$CA$2, 0)+1), "")</f>
        <v/>
      </c>
      <c r="Q11" s="206" t="str">
        <f>IF(AND($A11&gt;=SYear_O, $A11&lt;=EYear_O, Q$3&gt;0), Q$3 * VLOOKUP($A11, Data_All!$A$8:$CA$153, MATCH(Q$2, Data_All!$B$2:$CA$2, 0)+1), "")</f>
        <v/>
      </c>
      <c r="R11" s="206" t="str">
        <f>IF(AND($A11&gt;=SYear_O, $A11&lt;=EYear_O, R$3&gt;0), R$3 * VLOOKUP($A11, Data_All!$A$8:$CA$153, MATCH(R$2, Data_All!$B$2:$CA$2, 0)+1), "")</f>
        <v/>
      </c>
      <c r="S11" s="206" t="str">
        <f>IF(AND($A11&gt;=SYear_O, $A11&lt;=EYear_O, S$3&gt;0), S$3 * VLOOKUP($A11, Data_All!$A$8:$CA$153, MATCH(S$2, Data_All!$B$2:$CA$2, 0)+1), "")</f>
        <v/>
      </c>
      <c r="T11" s="206" t="str">
        <f>IF(AND($A11&gt;=SYear_O, $A11&lt;=EYear_O, T$3&gt;0), T$3 * VLOOKUP($A11, Data_All!$A$8:$CA$153, MATCH(T$2, Data_All!$B$2:$CA$2, 0)+1), "")</f>
        <v/>
      </c>
      <c r="U11" s="206" t="str">
        <f>IF(AND($A11&gt;=SYear_O, $A11&lt;=EYear_O, U$3&gt;0), U$3 * VLOOKUP($A11, Data_All!$A$8:$CA$153, MATCH(U$2, Data_All!$B$2:$CA$2, 0)+1), "")</f>
        <v/>
      </c>
      <c r="V11" s="206" t="str">
        <f>IF(AND($A11&gt;=SYear_O, $A11&lt;=EYear_O, V$3&gt;0), V$3 * VLOOKUP($A11, Data_All!$A$8:$CA$153, MATCH(V$2, Data_All!$B$2:$CA$2, 0)+1), "")</f>
        <v/>
      </c>
      <c r="W11" s="206" t="str">
        <f>IF(AND($A11&gt;=SYear_O, $A11&lt;=EYear_O, W$3&gt;0), W$3 * VLOOKUP($A11, Data_All!$A$8:$CA$153, MATCH(W$2, Data_All!$B$2:$CA$2, 0)+1), "")</f>
        <v/>
      </c>
      <c r="X11" s="206" t="str">
        <f>IF(AND($A11&gt;=SYear_O, $A11&lt;=EYear_O, X$3&gt;0), X$3 * VLOOKUP($A11, Data_All!$A$8:$CA$153, MATCH(X$2, Data_All!$B$2:$CA$2, 0)+1), "")</f>
        <v/>
      </c>
      <c r="Y11" s="206" t="str">
        <f>IF(AND($A11&gt;=SYear_O, $A11&lt;=EYear_O, Y$3&gt;0), Y$3 * VLOOKUP($A11, Data_All!$A$8:$CA$153, MATCH(Y$2, Data_All!$B$2:$CA$2, 0)+1), "")</f>
        <v/>
      </c>
      <c r="Z11" s="206" t="str">
        <f>IF(AND($A11&gt;=SYear_O, $A11&lt;=EYear_O, Z$3&gt;0), Z$3 * VLOOKUP($A11, Data_All!$A$8:$CA$153, MATCH(Z$2, Data_All!$B$2:$CA$2, 0)+1), "")</f>
        <v/>
      </c>
      <c r="AA11" s="206" t="str">
        <f>IF(AND($A11&gt;=SYear_O, $A11&lt;=EYear_O, AA$3&gt;0), AA$3 * VLOOKUP($A11, Data_All!$A$8:$CA$153, MATCH(AA$2, Data_All!$B$2:$CA$2, 0)+1), "")</f>
        <v/>
      </c>
      <c r="AB11" s="206" t="str">
        <f>IF(AND($A11&gt;=SYear_O, $A11&lt;=EYear_O, AB$3&gt;0), AB$3 * VLOOKUP($A11, Data_All!$A$8:$CA$153, MATCH(AB$2, Data_All!$B$2:$CA$2, 0)+1), "")</f>
        <v/>
      </c>
      <c r="AC11" s="206" t="str">
        <f>IF(AND($A11&gt;=SYear_O, $A11&lt;=EYear_O, AC$3&gt;0), AC$3 * VLOOKUP($A11, Data_All!$A$8:$CA$153, MATCH(AC$2, Data_All!$B$2:$CA$2, 0)+1), "")</f>
        <v/>
      </c>
      <c r="AD11" s="206" t="str">
        <f>IF(AND($A11&gt;=SYear_O, $A11&lt;=EYear_O, AD$3&gt;0), AD$3 * VLOOKUP($A11, Data_All!$A$8:$CA$153, MATCH(AD$2, Data_All!$B$2:$CA$2, 0)+1), "")</f>
        <v/>
      </c>
      <c r="AE11" s="206" t="str">
        <f>IF(AND($A11&gt;=SYear_O, $A11&lt;=EYear_O, AE$3&gt;0), AE$3 * VLOOKUP($A11, Data_All!$A$8:$CA$153, MATCH(AE$2, Data_All!$B$2:$CA$2, 0)+1), "")</f>
        <v/>
      </c>
      <c r="AF11" s="206" t="str">
        <f>IF(AND($A11&gt;=SYear_O, $A11&lt;=EYear_O, AF$3&gt;0), AF$3 * VLOOKUP($A11, Data_All!$A$8:$CA$153, MATCH(AF$2, Data_All!$B$2:$CA$2, 0)+1), "")</f>
        <v/>
      </c>
      <c r="AG11" s="206" t="str">
        <f>IF(AND($A11&gt;=SYear_O, $A11&lt;=EYear_O, AG$3&gt;0), AG$3 * VLOOKUP($A11, Data_All!$A$8:$CA$153, MATCH(AG$2, Data_All!$B$2:$CA$2, 0)+1), "")</f>
        <v/>
      </c>
      <c r="AH11" s="206" t="str">
        <f>IF(AND($A11&gt;=SYear_O, $A11&lt;=EYear_O, AH$3&gt;0), AH$3 * VLOOKUP($A11, Data_All!$A$8:$CA$153, MATCH(AH$2, Data_All!$B$2:$CA$2, 0)+1), "")</f>
        <v/>
      </c>
      <c r="AI11" s="206" t="str">
        <f>IF(AND($A11&gt;=SYear_O, $A11&lt;=EYear_O, AI$3&gt;0), AI$3 * VLOOKUP($A11, Data_All!$A$8:$CA$153, MATCH(AI$2, Data_All!$B$2:$CA$2, 0)+1), "")</f>
        <v/>
      </c>
      <c r="AJ11" s="206" t="str">
        <f>IF(AND($A11&gt;=SYear_O, $A11&lt;=EYear_O, AJ$3&gt;0), AJ$3 * VLOOKUP($A11, Data_All!$A$8:$CA$153, MATCH(AJ$2, Data_All!$B$2:$CA$2, 0)+1), "")</f>
        <v/>
      </c>
      <c r="AK11" s="206" t="str">
        <f>IF(AND($A11&gt;=SYear_O, $A11&lt;=EYear_O, AK$3&gt;0), AK$3 * VLOOKUP($A11, Data_All!$A$8:$CA$153, MATCH(AK$2, Data_All!$B$2:$CA$2, 0)+1), "")</f>
        <v/>
      </c>
      <c r="AL11" s="206" t="str">
        <f>IF(AND($A11&gt;=SYear_O, $A11&lt;=EYear_O, AL$3&gt;0), AL$3 * VLOOKUP($A11, Data_All!$A$8:$CA$153, MATCH(AL$2, Data_All!$B$2:$CA$2, 0)+1), "")</f>
        <v/>
      </c>
      <c r="AM11" s="206" t="str">
        <f>IF(AND($A11&gt;=SYear_O, $A11&lt;=EYear_O, AM$3&gt;0), AM$3 * VLOOKUP($A11, Data_All!$A$8:$CA$153, MATCH(AM$2, Data_All!$B$2:$CA$2, 0)+1), "")</f>
        <v/>
      </c>
      <c r="AN11" s="206" t="str">
        <f>IF(AND($A11&gt;=SYear_O, $A11&lt;=EYear_O, AN$3&gt;0), AN$3 * VLOOKUP($A11, Data_All!$A$8:$CA$153, MATCH(AN$2, Data_All!$B$2:$CA$2, 0)+1), "")</f>
        <v/>
      </c>
      <c r="AO11" s="206" t="str">
        <f>IF(AND($A11&gt;=SYear_O, $A11&lt;=EYear_O, AO$3&gt;0), AO$3 * VLOOKUP($A11, Data_All!$A$8:$CA$153, MATCH(AO$2, Data_All!$B$2:$CA$2, 0)+1), "")</f>
        <v/>
      </c>
      <c r="AP11" s="206" t="str">
        <f>IF(AND($A11&gt;=SYear_O, $A11&lt;=EYear_O, AP$3&gt;0), AP$3 * VLOOKUP($A11, Data_All!$A$8:$CA$153, MATCH(AP$2, Data_All!$B$2:$CA$2, 0)+1), "")</f>
        <v/>
      </c>
      <c r="AQ11" s="206" t="str">
        <f>IF(AND($A11&gt;=SYear_O, $A11&lt;=EYear_O, AQ$3&gt;0), AQ$3 * VLOOKUP($A11, Data_All!$A$8:$CA$153, MATCH(AQ$2, Data_All!$B$2:$CA$2, 0)+1), "")</f>
        <v/>
      </c>
      <c r="AR11" s="206" t="str">
        <f>IF(AND($A11&gt;=SYear_O, $A11&lt;=EYear_O, AR$3&gt;0), AR$3 * VLOOKUP($A11, Data_All!$A$8:$CA$153, MATCH(AR$2, Data_All!$B$2:$CA$2, 0)+1), "")</f>
        <v/>
      </c>
      <c r="AS11" s="206" t="str">
        <f>IF(AND($A11&gt;=SYear_O, $A11&lt;=EYear_O, AS$3&gt;0), AS$3 * VLOOKUP($A11, Data_All!$A$8:$CA$153, MATCH(AS$2, Data_All!$B$2:$CA$2, 0)+1), "")</f>
        <v/>
      </c>
      <c r="AT11" s="206" t="str">
        <f>IF(AND($A11&gt;=SYear_O, $A11&lt;=EYear_O, AT$3&gt;0), AT$3 * VLOOKUP($A11, Data_All!$A$8:$CA$153, MATCH(AT$2, Data_All!$B$2:$CA$2, 0)+1), "")</f>
        <v/>
      </c>
      <c r="AU11" s="206" t="str">
        <f>IF(AND($A11&gt;=SYear_O, $A11&lt;=EYear_O, AU$3&gt;0), AU$3 * VLOOKUP($A11, Data_All!$A$8:$CA$153, MATCH(AU$2, Data_All!$B$2:$CA$2, 0)+1), "")</f>
        <v/>
      </c>
      <c r="AV11" s="206" t="str">
        <f>IF(AND($A11&gt;=SYear_O, $A11&lt;=EYear_O, AV$3&gt;0), AV$3 * VLOOKUP($A11, Data_All!$A$8:$CA$153, MATCH(AV$2, Data_All!$B$2:$CA$2, 0)+1), "")</f>
        <v/>
      </c>
      <c r="AW11" s="206" t="str">
        <f>IF(AND($A11&gt;=SYear_O, $A11&lt;=EYear_O, AW$3&gt;0), AW$3 * VLOOKUP($A11, Data_All!$A$8:$CA$153, MATCH(AW$2, Data_All!$B$2:$CA$2, 0)+1), "")</f>
        <v/>
      </c>
      <c r="AX11" s="206" t="str">
        <f>IF(AND($A11&gt;=SYear_O, $A11&lt;=EYear_O, AX$3&gt;0), AX$3 * VLOOKUP($A11, Data_All!$A$8:$CA$153, MATCH(AX$2, Data_All!$B$2:$CA$2, 0)+1), "")</f>
        <v/>
      </c>
      <c r="AY11" s="206" t="str">
        <f>IF(AND($A11&gt;=SYear_O, $A11&lt;=EYear_O, AY$3&gt;0), AY$3 * VLOOKUP($A11, Data_All!$A$8:$CA$153, MATCH(AY$2, Data_All!$B$2:$CA$2, 0)+1), "")</f>
        <v/>
      </c>
      <c r="AZ11" s="206" t="str">
        <f>IF(AND($A11&gt;=SYear_O, $A11&lt;=EYear_O, AZ$3&gt;0), AZ$3 * VLOOKUP($A11, Data_All!$A$8:$CA$153, MATCH(AZ$2, Data_All!$B$2:$CA$2, 0)+1), "")</f>
        <v/>
      </c>
      <c r="BA11" s="206" t="str">
        <f>IF(AND($A11&gt;=SYear_O, $A11&lt;=EYear_O, BA$3&gt;0), BA$3 * VLOOKUP($A11, Data_All!$A$8:$CA$153, MATCH(BA$2, Data_All!$B$2:$CA$2, 0)+1), "")</f>
        <v/>
      </c>
      <c r="BB11" s="206" t="str">
        <f>IF(AND($A11&gt;=SYear_O, $A11&lt;=EYear_O, BB$3&gt;0), BB$3 * VLOOKUP($A11, Data_All!$A$8:$CA$153, MATCH(BB$2, Data_All!$B$2:$CA$2, 0)+1), "")</f>
        <v/>
      </c>
      <c r="BC11" s="206" t="str">
        <f>IF(AND($A11&gt;=SYear_O, $A11&lt;=EYear_O, BC$3&gt;0), BC$3 * VLOOKUP($A11, Data_All!$A$8:$CA$153, MATCH(BC$2, Data_All!$B$2:$CA$2, 0)+1), "")</f>
        <v/>
      </c>
      <c r="BD11" s="206" t="str">
        <f>IF(AND($A11&gt;=SYear_O, $A11&lt;=EYear_O, BD$3&gt;0), BD$3 * VLOOKUP($A11, Data_All!$A$8:$CA$153, MATCH(BD$2, Data_All!$B$2:$CA$2, 0)+1), "")</f>
        <v/>
      </c>
      <c r="BE11" s="206" t="str">
        <f>IF(AND($A11&gt;=SYear_O, $A11&lt;=EYear_O, BE$3&gt;0), BE$3 * VLOOKUP($A11, Data_All!$A$8:$CA$153, MATCH(BE$2, Data_All!$B$2:$CA$2, 0)+1), "")</f>
        <v/>
      </c>
      <c r="BF11" s="206" t="str">
        <f>IF(AND($A11&gt;=SYear_O, $A11&lt;=EYear_O, BF$3&gt;0), BF$3 * VLOOKUP($A11, Data_All!$A$8:$CA$153, MATCH(BF$2, Data_All!$B$2:$CA$2, 0)+1), "")</f>
        <v/>
      </c>
      <c r="BG11" s="206" t="str">
        <f>IF(AND($A11&gt;=SYear_O, $A11&lt;=EYear_O, BG$3&gt;0), BG$3 * VLOOKUP($A11, Data_All!$A$8:$CA$153, MATCH(BG$2, Data_All!$B$2:$CA$2, 0)+1), "")</f>
        <v/>
      </c>
      <c r="BH11" s="206" t="str">
        <f>IF(AND($A11&gt;=SYear_O, $A11&lt;=EYear_O, BH$3&gt;0), BH$3 * VLOOKUP($A11, Data_All!$A$8:$CA$153, MATCH(BH$2, Data_All!$B$2:$CA$2, 0)+1), "")</f>
        <v/>
      </c>
      <c r="BI11" s="206" t="str">
        <f>IF(AND($A11&gt;=SYear_O, $A11&lt;=EYear_O, BI$3&gt;0), BI$3 * VLOOKUP($A11, Data_All!$A$8:$CA$153, MATCH(BI$2, Data_All!$B$2:$CA$2, 0)+1), "")</f>
        <v/>
      </c>
      <c r="BJ11" s="206" t="str">
        <f>IF(AND($A11&gt;=SYear_O, $A11&lt;=EYear_O, BJ$3&gt;0), BJ$3 * VLOOKUP($A11, Data_All!$A$8:$CA$153, MATCH(BJ$2, Data_All!$B$2:$CA$2, 0)+1), "")</f>
        <v/>
      </c>
      <c r="BK11" s="206" t="str">
        <f>IF(AND($A11&gt;=SYear_O, $A11&lt;=EYear_O, BK$3&gt;0), BK$3 * VLOOKUP($A11, Data_All!$A$8:$CA$153, MATCH(BK$2, Data_All!$B$2:$CA$2, 0)+1), "")</f>
        <v/>
      </c>
      <c r="BL11" s="206" t="str">
        <f>IF(AND($A11&gt;=SYear_O, $A11&lt;=EYear_O, BL$3&gt;0), BL$3 * VLOOKUP($A11, Data_All!$A$8:$CA$153, MATCH(BL$2, Data_All!$B$2:$CA$2, 0)+1), "")</f>
        <v/>
      </c>
      <c r="BM11" s="206" t="str">
        <f>IF(AND($A11&gt;=SYear_O, $A11&lt;=EYear_O, BM$3&gt;0), BM$3 * VLOOKUP($A11, Data_All!$A$8:$CA$153, MATCH(BM$2, Data_All!$B$2:$CA$2, 0)+1), "")</f>
        <v/>
      </c>
      <c r="BN11" s="206" t="str">
        <f>IF(AND($A11&gt;=SYear_O, $A11&lt;=EYear_O, BN$3&gt;0), BN$3 * VLOOKUP($A11, Data_All!$A$8:$CA$153, MATCH(BN$2, Data_All!$B$2:$CA$2, 0)+1), "")</f>
        <v/>
      </c>
      <c r="BO11" s="206" t="str">
        <f>IF(AND($A11&gt;=SYear_O, $A11&lt;=EYear_O, BO$3&gt;0), BO$3 * VLOOKUP($A11, Data_All!$A$8:$CA$153, MATCH(BO$2, Data_All!$B$2:$CA$2, 0)+1), "")</f>
        <v/>
      </c>
      <c r="BP11" s="206" t="str">
        <f>IF(AND($A11&gt;=SYear_O, $A11&lt;=EYear_O, BP$3&gt;0), BP$3 * VLOOKUP($A11, Data_All!$A$8:$CA$153, MATCH(BP$2, Data_All!$B$2:$CA$2, 0)+1), "")</f>
        <v/>
      </c>
      <c r="BQ11" s="206" t="str">
        <f>IF(AND($A11&gt;=SYear_O, $A11&lt;=EYear_O, BQ$3&gt;0), BQ$3 * VLOOKUP($A11, Data_All!$A$8:$CA$153, MATCH(BQ$2, Data_All!$B$2:$CA$2, 0)+1), "")</f>
        <v/>
      </c>
      <c r="BR11" s="206" t="str">
        <f>IF(AND($A11&gt;=SYear_O, $A11&lt;=EYear_O, BR$3&gt;0), BR$3 * VLOOKUP($A11, Data_All!$A$8:$CA$153, MATCH(BR$2, Data_All!$B$2:$CA$2, 0)+1), "")</f>
        <v/>
      </c>
      <c r="BS11" s="206" t="str">
        <f>IF(AND($A11&gt;=SYear_O, $A11&lt;=EYear_O, BS$3&gt;0), BS$3 * VLOOKUP($A11, Data_All!$A$8:$CA$153, MATCH(BS$2, Data_All!$B$2:$CA$2, 0)+1), "")</f>
        <v/>
      </c>
      <c r="BT11" s="206" t="str">
        <f>IF(AND($A11&gt;=SYear_O, $A11&lt;=EYear_O, BT$3&gt;0), BT$3 * VLOOKUP($A11, Data_All!$A$8:$CA$153, MATCH(BT$2, Data_All!$B$2:$CA$2, 0)+1), "")</f>
        <v/>
      </c>
      <c r="BU11" s="206" t="str">
        <f>IF(AND($A11&gt;=SYear_O, $A11&lt;=EYear_O, BU$3&gt;0), BU$3 * VLOOKUP($A11, Data_All!$A$8:$CA$153, MATCH(BU$2, Data_All!$B$2:$CA$2, 0)+1), "")</f>
        <v/>
      </c>
      <c r="BV11" s="206" t="str">
        <f>IF(AND($A11&gt;=SYear_O, $A11&lt;=EYear_O, BV$3&gt;0), BV$3 * VLOOKUP($A11, Data_All!$A$8:$CA$153, MATCH(BV$2, Data_All!$B$2:$CA$2, 0)+1), "")</f>
        <v/>
      </c>
      <c r="BW11" s="206" t="str">
        <f>IF(AND($A11&gt;=SYear_O, $A11&lt;=EYear_O, BW$3&gt;0), BW$3 * VLOOKUP($A11, Data_All!$A$8:$CA$153, MATCH(BW$2, Data_All!$B$2:$CA$2, 0)+1), "")</f>
        <v/>
      </c>
      <c r="BX11" s="206">
        <f>IF(AND($A11&gt;=SYear_O, $A11&lt;=EYear_O, BX$3&gt;0), BX$3 * VLOOKUP($A11, Data_All!$A$8:$CA$153, MATCH(BX$2, Data_All!$B$2:$CA$2, 0)+1), "")</f>
        <v>2.9074889867841369</v>
      </c>
      <c r="BY11" s="206">
        <f>IF(AND($A11&gt;=SYear_O, $A11&lt;=EYear_O, BY$3&gt;0), BY$3 * VLOOKUP($A11, Data_All!$A$8:$CA$153, MATCH(BY$2, Data_All!$B$2:$CA$2, 0)+1), "")</f>
        <v>2.2960492612517136</v>
      </c>
      <c r="BZ11" s="206" t="str">
        <f>IF(AND($A11&gt;=SYear_O, $A11&lt;=EYear_O, BZ$3&gt;0), BZ$3 * VLOOKUP($A11, Data_All!$A$8:$CA$153, MATCH(BZ$2, Data_All!$B$2:$CA$2, 0)+1), "")</f>
        <v/>
      </c>
      <c r="CA11" s="565">
        <f t="shared" si="2"/>
        <v>5.2035382480358505</v>
      </c>
      <c r="CB11" s="427">
        <f t="shared" si="3"/>
        <v>13639.905285828243</v>
      </c>
      <c r="CC11" s="565">
        <f>IF(AND($A11&gt;=SYear_O,$A11&lt;=EYear_O),(CA11-Data_All!CA12)/(1+Data_All!CA12%),"")</f>
        <v>11.663969484817857</v>
      </c>
      <c r="CD11" s="436">
        <f t="shared" si="4"/>
        <v>15673.944218961806</v>
      </c>
      <c r="CE11" s="438">
        <f t="shared" si="5"/>
        <v>1.2371290262741304</v>
      </c>
      <c r="CF11" s="438">
        <f>IF(AND($A11&gt;=SYear_O,$A11&lt;=EYear_O),MAX($CE$7:CE11),"")</f>
        <v>1.2371290262741304</v>
      </c>
      <c r="CG11" s="209">
        <f t="shared" si="6"/>
        <v>0</v>
      </c>
      <c r="CI11" s="143">
        <f>IF(AND($A11&gt;=SYear_O,$A11&lt;=EYear_O),Data_All!V12,"")</f>
        <v>4.8656209411529625</v>
      </c>
      <c r="CJ11" s="143">
        <f>IF(AND($A11&gt;=SYear_O,$A11&lt;=EYear_O),Data_All!CA12,"")</f>
        <v>-5.785600553686554</v>
      </c>
      <c r="CK11" s="143">
        <f t="shared" si="7"/>
        <v>11.305301055290325</v>
      </c>
      <c r="CN11" s="61">
        <f t="shared" si="8"/>
        <v>5.203538248035855E-2</v>
      </c>
      <c r="CO11" s="61">
        <f t="shared" si="9"/>
        <v>-3.462778939587019E-3</v>
      </c>
      <c r="CP11" s="61">
        <f t="shared" si="10"/>
        <v>7.5760812605626393E-2</v>
      </c>
      <c r="CQ11" s="61">
        <f t="shared" si="11"/>
        <v>5.252417005700627E-2</v>
      </c>
      <c r="CR11" s="61">
        <f t="shared" si="12"/>
        <v>5.8243422613393436E-2</v>
      </c>
      <c r="CU11" s="61">
        <f t="shared" si="13"/>
        <v>0.11663969484817849</v>
      </c>
      <c r="CV11" s="61">
        <f t="shared" si="14"/>
        <v>7.2751230817424295E-2</v>
      </c>
      <c r="CW11" s="61">
        <f t="shared" si="15"/>
        <v>0.10671250148247657</v>
      </c>
      <c r="CX11" s="61">
        <f t="shared" si="16"/>
        <v>8.7824290151861106E-2</v>
      </c>
      <c r="CY11" s="61">
        <f t="shared" si="17"/>
        <v>8.7840790034742655E-2</v>
      </c>
    </row>
    <row r="12" spans="1:103">
      <c r="A12" s="204">
        <f t="shared" si="18"/>
        <v>1876</v>
      </c>
      <c r="B12" s="206" t="str">
        <f>IF(AND($A12&gt;=SYear_O, $A12&lt;=EYear_O, B$3&gt;0), B$3 * VLOOKUP($A12, Data_All!$A$8:$CA$153, MATCH(B$2, Data_All!$B$2:$CA$2, 0)+1), "")</f>
        <v/>
      </c>
      <c r="C12" s="206" t="str">
        <f>IF(AND($A12&gt;=SYear_O, $A12&lt;=EYear_O, C$3&gt;0), C$3 * VLOOKUP($A12, Data_All!$A$8:$CA$153, MATCH(C$2, Data_All!$B$2:$CA$2, 0)+1), "")</f>
        <v/>
      </c>
      <c r="D12" s="206" t="str">
        <f>IF(AND($A12&gt;=SYear_O, $A12&lt;=EYear_O, D$3&gt;0), D$3 * VLOOKUP($A12, Data_All!$A$8:$CA$153, MATCH(D$2, Data_All!$B$2:$CA$2, 0)+1), "")</f>
        <v/>
      </c>
      <c r="E12" s="206" t="str">
        <f>IF(AND($A12&gt;=SYear_O, $A12&lt;=EYear_O, E$3&gt;0), E$3 * VLOOKUP($A12, Data_All!$A$8:$CA$153, MATCH(E$2, Data_All!$B$2:$CA$2, 0)+1), "")</f>
        <v/>
      </c>
      <c r="F12" s="206" t="str">
        <f>IF(AND($A12&gt;=SYear_O, $A12&lt;=EYear_O, F$3&gt;0), F$3 * VLOOKUP($A12, Data_All!$A$8:$CA$153, MATCH(F$2, Data_All!$B$2:$CA$2, 0)+1), "")</f>
        <v/>
      </c>
      <c r="G12" s="206" t="str">
        <f>IF(AND($A12&gt;=SYear_O, $A12&lt;=EYear_O, G$3&gt;0), G$3 * VLOOKUP($A12, Data_All!$A$8:$CA$153, MATCH(G$2, Data_All!$B$2:$CA$2, 0)+1), "")</f>
        <v/>
      </c>
      <c r="H12" s="206" t="str">
        <f>IF(AND($A12&gt;=SYear_O, $A12&lt;=EYear_O, H$3&gt;0), H$3 * VLOOKUP($A12, Data_All!$A$8:$CA$153, MATCH(H$2, Data_All!$B$2:$CA$2, 0)+1), "")</f>
        <v/>
      </c>
      <c r="I12" s="206" t="str">
        <f>IF(AND($A12&gt;=SYear_O, $A12&lt;=EYear_O, I$3&gt;0), I$3 * VLOOKUP($A12, Data_All!$A$8:$CA$153, MATCH(I$2, Data_All!$B$2:$CA$2, 0)+1), "")</f>
        <v/>
      </c>
      <c r="J12" s="206" t="str">
        <f>IF(AND($A12&gt;=SYear_O, $A12&lt;=EYear_O, J$3&gt;0), J$3 * VLOOKUP($A12, Data_All!$A$8:$CA$153, MATCH(J$2, Data_All!$B$2:$CA$2, 0)+1), "")</f>
        <v/>
      </c>
      <c r="K12" s="206" t="str">
        <f>IF(AND($A12&gt;=SYear_O, $A12&lt;=EYear_O, K$3&gt;0), K$3 * VLOOKUP($A12, Data_All!$A$8:$CA$153, MATCH(K$2, Data_All!$B$2:$CA$2, 0)+1), "")</f>
        <v/>
      </c>
      <c r="L12" s="206" t="str">
        <f>IF(AND($A12&gt;=SYear_O, $A12&lt;=EYear_O, L$3&gt;0), L$3 * VLOOKUP($A12, Data_All!$A$8:$CA$153, MATCH(L$2, Data_All!$B$2:$CA$2, 0)+1), "")</f>
        <v/>
      </c>
      <c r="M12" s="206" t="str">
        <f>IF(AND($A12&gt;=SYear_O, $A12&lt;=EYear_O, M$3&gt;0), M$3 * VLOOKUP($A12, Data_All!$A$8:$CA$153, MATCH(M$2, Data_All!$B$2:$CA$2, 0)+1), "")</f>
        <v/>
      </c>
      <c r="N12" s="206" t="str">
        <f>IF(AND($A12&gt;=SYear_O, $A12&lt;=EYear_O, N$3&gt;0), N$3 * VLOOKUP($A12, Data_All!$A$8:$CA$153, MATCH(N$2, Data_All!$B$2:$CA$2, 0)+1), "")</f>
        <v/>
      </c>
      <c r="O12" s="206" t="str">
        <f>IF(AND($A12&gt;=SYear_O, $A12&lt;=EYear_O, O$3&gt;0), O$3 * VLOOKUP($A12, Data_All!$A$8:$CA$153, MATCH(O$2, Data_All!$B$2:$CA$2, 0)+1), "")</f>
        <v/>
      </c>
      <c r="P12" s="206" t="str">
        <f>IF(AND($A12&gt;=SYear_O, $A12&lt;=EYear_O, P$3&gt;0), P$3 * VLOOKUP($A12, Data_All!$A$8:$CA$153, MATCH(P$2, Data_All!$B$2:$CA$2, 0)+1), "")</f>
        <v/>
      </c>
      <c r="Q12" s="206" t="str">
        <f>IF(AND($A12&gt;=SYear_O, $A12&lt;=EYear_O, Q$3&gt;0), Q$3 * VLOOKUP($A12, Data_All!$A$8:$CA$153, MATCH(Q$2, Data_All!$B$2:$CA$2, 0)+1), "")</f>
        <v/>
      </c>
      <c r="R12" s="206" t="str">
        <f>IF(AND($A12&gt;=SYear_O, $A12&lt;=EYear_O, R$3&gt;0), R$3 * VLOOKUP($A12, Data_All!$A$8:$CA$153, MATCH(R$2, Data_All!$B$2:$CA$2, 0)+1), "")</f>
        <v/>
      </c>
      <c r="S12" s="206" t="str">
        <f>IF(AND($A12&gt;=SYear_O, $A12&lt;=EYear_O, S$3&gt;0), S$3 * VLOOKUP($A12, Data_All!$A$8:$CA$153, MATCH(S$2, Data_All!$B$2:$CA$2, 0)+1), "")</f>
        <v/>
      </c>
      <c r="T12" s="206" t="str">
        <f>IF(AND($A12&gt;=SYear_O, $A12&lt;=EYear_O, T$3&gt;0), T$3 * VLOOKUP($A12, Data_All!$A$8:$CA$153, MATCH(T$2, Data_All!$B$2:$CA$2, 0)+1), "")</f>
        <v/>
      </c>
      <c r="U12" s="206" t="str">
        <f>IF(AND($A12&gt;=SYear_O, $A12&lt;=EYear_O, U$3&gt;0), U$3 * VLOOKUP($A12, Data_All!$A$8:$CA$153, MATCH(U$2, Data_All!$B$2:$CA$2, 0)+1), "")</f>
        <v/>
      </c>
      <c r="V12" s="206" t="str">
        <f>IF(AND($A12&gt;=SYear_O, $A12&lt;=EYear_O, V$3&gt;0), V$3 * VLOOKUP($A12, Data_All!$A$8:$CA$153, MATCH(V$2, Data_All!$B$2:$CA$2, 0)+1), "")</f>
        <v/>
      </c>
      <c r="W12" s="206" t="str">
        <f>IF(AND($A12&gt;=SYear_O, $A12&lt;=EYear_O, W$3&gt;0), W$3 * VLOOKUP($A12, Data_All!$A$8:$CA$153, MATCH(W$2, Data_All!$B$2:$CA$2, 0)+1), "")</f>
        <v/>
      </c>
      <c r="X12" s="206" t="str">
        <f>IF(AND($A12&gt;=SYear_O, $A12&lt;=EYear_O, X$3&gt;0), X$3 * VLOOKUP($A12, Data_All!$A$8:$CA$153, MATCH(X$2, Data_All!$B$2:$CA$2, 0)+1), "")</f>
        <v/>
      </c>
      <c r="Y12" s="206" t="str">
        <f>IF(AND($A12&gt;=SYear_O, $A12&lt;=EYear_O, Y$3&gt;0), Y$3 * VLOOKUP($A12, Data_All!$A$8:$CA$153, MATCH(Y$2, Data_All!$B$2:$CA$2, 0)+1), "")</f>
        <v/>
      </c>
      <c r="Z12" s="206" t="str">
        <f>IF(AND($A12&gt;=SYear_O, $A12&lt;=EYear_O, Z$3&gt;0), Z$3 * VLOOKUP($A12, Data_All!$A$8:$CA$153, MATCH(Z$2, Data_All!$B$2:$CA$2, 0)+1), "")</f>
        <v/>
      </c>
      <c r="AA12" s="206" t="str">
        <f>IF(AND($A12&gt;=SYear_O, $A12&lt;=EYear_O, AA$3&gt;0), AA$3 * VLOOKUP($A12, Data_All!$A$8:$CA$153, MATCH(AA$2, Data_All!$B$2:$CA$2, 0)+1), "")</f>
        <v/>
      </c>
      <c r="AB12" s="206" t="str">
        <f>IF(AND($A12&gt;=SYear_O, $A12&lt;=EYear_O, AB$3&gt;0), AB$3 * VLOOKUP($A12, Data_All!$A$8:$CA$153, MATCH(AB$2, Data_All!$B$2:$CA$2, 0)+1), "")</f>
        <v/>
      </c>
      <c r="AC12" s="206" t="str">
        <f>IF(AND($A12&gt;=SYear_O, $A12&lt;=EYear_O, AC$3&gt;0), AC$3 * VLOOKUP($A12, Data_All!$A$8:$CA$153, MATCH(AC$2, Data_All!$B$2:$CA$2, 0)+1), "")</f>
        <v/>
      </c>
      <c r="AD12" s="206" t="str">
        <f>IF(AND($A12&gt;=SYear_O, $A12&lt;=EYear_O, AD$3&gt;0), AD$3 * VLOOKUP($A12, Data_All!$A$8:$CA$153, MATCH(AD$2, Data_All!$B$2:$CA$2, 0)+1), "")</f>
        <v/>
      </c>
      <c r="AE12" s="206" t="str">
        <f>IF(AND($A12&gt;=SYear_O, $A12&lt;=EYear_O, AE$3&gt;0), AE$3 * VLOOKUP($A12, Data_All!$A$8:$CA$153, MATCH(AE$2, Data_All!$B$2:$CA$2, 0)+1), "")</f>
        <v/>
      </c>
      <c r="AF12" s="206" t="str">
        <f>IF(AND($A12&gt;=SYear_O, $A12&lt;=EYear_O, AF$3&gt;0), AF$3 * VLOOKUP($A12, Data_All!$A$8:$CA$153, MATCH(AF$2, Data_All!$B$2:$CA$2, 0)+1), "")</f>
        <v/>
      </c>
      <c r="AG12" s="206" t="str">
        <f>IF(AND($A12&gt;=SYear_O, $A12&lt;=EYear_O, AG$3&gt;0), AG$3 * VLOOKUP($A12, Data_All!$A$8:$CA$153, MATCH(AG$2, Data_All!$B$2:$CA$2, 0)+1), "")</f>
        <v/>
      </c>
      <c r="AH12" s="206" t="str">
        <f>IF(AND($A12&gt;=SYear_O, $A12&lt;=EYear_O, AH$3&gt;0), AH$3 * VLOOKUP($A12, Data_All!$A$8:$CA$153, MATCH(AH$2, Data_All!$B$2:$CA$2, 0)+1), "")</f>
        <v/>
      </c>
      <c r="AI12" s="206" t="str">
        <f>IF(AND($A12&gt;=SYear_O, $A12&lt;=EYear_O, AI$3&gt;0), AI$3 * VLOOKUP($A12, Data_All!$A$8:$CA$153, MATCH(AI$2, Data_All!$B$2:$CA$2, 0)+1), "")</f>
        <v/>
      </c>
      <c r="AJ12" s="206" t="str">
        <f>IF(AND($A12&gt;=SYear_O, $A12&lt;=EYear_O, AJ$3&gt;0), AJ$3 * VLOOKUP($A12, Data_All!$A$8:$CA$153, MATCH(AJ$2, Data_All!$B$2:$CA$2, 0)+1), "")</f>
        <v/>
      </c>
      <c r="AK12" s="206" t="str">
        <f>IF(AND($A12&gt;=SYear_O, $A12&lt;=EYear_O, AK$3&gt;0), AK$3 * VLOOKUP($A12, Data_All!$A$8:$CA$153, MATCH(AK$2, Data_All!$B$2:$CA$2, 0)+1), "")</f>
        <v/>
      </c>
      <c r="AL12" s="206" t="str">
        <f>IF(AND($A12&gt;=SYear_O, $A12&lt;=EYear_O, AL$3&gt;0), AL$3 * VLOOKUP($A12, Data_All!$A$8:$CA$153, MATCH(AL$2, Data_All!$B$2:$CA$2, 0)+1), "")</f>
        <v/>
      </c>
      <c r="AM12" s="206" t="str">
        <f>IF(AND($A12&gt;=SYear_O, $A12&lt;=EYear_O, AM$3&gt;0), AM$3 * VLOOKUP($A12, Data_All!$A$8:$CA$153, MATCH(AM$2, Data_All!$B$2:$CA$2, 0)+1), "")</f>
        <v/>
      </c>
      <c r="AN12" s="206" t="str">
        <f>IF(AND($A12&gt;=SYear_O, $A12&lt;=EYear_O, AN$3&gt;0), AN$3 * VLOOKUP($A12, Data_All!$A$8:$CA$153, MATCH(AN$2, Data_All!$B$2:$CA$2, 0)+1), "")</f>
        <v/>
      </c>
      <c r="AO12" s="206" t="str">
        <f>IF(AND($A12&gt;=SYear_O, $A12&lt;=EYear_O, AO$3&gt;0), AO$3 * VLOOKUP($A12, Data_All!$A$8:$CA$153, MATCH(AO$2, Data_All!$B$2:$CA$2, 0)+1), "")</f>
        <v/>
      </c>
      <c r="AP12" s="206" t="str">
        <f>IF(AND($A12&gt;=SYear_O, $A12&lt;=EYear_O, AP$3&gt;0), AP$3 * VLOOKUP($A12, Data_All!$A$8:$CA$153, MATCH(AP$2, Data_All!$B$2:$CA$2, 0)+1), "")</f>
        <v/>
      </c>
      <c r="AQ12" s="206" t="str">
        <f>IF(AND($A12&gt;=SYear_O, $A12&lt;=EYear_O, AQ$3&gt;0), AQ$3 * VLOOKUP($A12, Data_All!$A$8:$CA$153, MATCH(AQ$2, Data_All!$B$2:$CA$2, 0)+1), "")</f>
        <v/>
      </c>
      <c r="AR12" s="206" t="str">
        <f>IF(AND($A12&gt;=SYear_O, $A12&lt;=EYear_O, AR$3&gt;0), AR$3 * VLOOKUP($A12, Data_All!$A$8:$CA$153, MATCH(AR$2, Data_All!$B$2:$CA$2, 0)+1), "")</f>
        <v/>
      </c>
      <c r="AS12" s="206" t="str">
        <f>IF(AND($A12&gt;=SYear_O, $A12&lt;=EYear_O, AS$3&gt;0), AS$3 * VLOOKUP($A12, Data_All!$A$8:$CA$153, MATCH(AS$2, Data_All!$B$2:$CA$2, 0)+1), "")</f>
        <v/>
      </c>
      <c r="AT12" s="206" t="str">
        <f>IF(AND($A12&gt;=SYear_O, $A12&lt;=EYear_O, AT$3&gt;0), AT$3 * VLOOKUP($A12, Data_All!$A$8:$CA$153, MATCH(AT$2, Data_All!$B$2:$CA$2, 0)+1), "")</f>
        <v/>
      </c>
      <c r="AU12" s="206" t="str">
        <f>IF(AND($A12&gt;=SYear_O, $A12&lt;=EYear_O, AU$3&gt;0), AU$3 * VLOOKUP($A12, Data_All!$A$8:$CA$153, MATCH(AU$2, Data_All!$B$2:$CA$2, 0)+1), "")</f>
        <v/>
      </c>
      <c r="AV12" s="206" t="str">
        <f>IF(AND($A12&gt;=SYear_O, $A12&lt;=EYear_O, AV$3&gt;0), AV$3 * VLOOKUP($A12, Data_All!$A$8:$CA$153, MATCH(AV$2, Data_All!$B$2:$CA$2, 0)+1), "")</f>
        <v/>
      </c>
      <c r="AW12" s="206" t="str">
        <f>IF(AND($A12&gt;=SYear_O, $A12&lt;=EYear_O, AW$3&gt;0), AW$3 * VLOOKUP($A12, Data_All!$A$8:$CA$153, MATCH(AW$2, Data_All!$B$2:$CA$2, 0)+1), "")</f>
        <v/>
      </c>
      <c r="AX12" s="206" t="str">
        <f>IF(AND($A12&gt;=SYear_O, $A12&lt;=EYear_O, AX$3&gt;0), AX$3 * VLOOKUP($A12, Data_All!$A$8:$CA$153, MATCH(AX$2, Data_All!$B$2:$CA$2, 0)+1), "")</f>
        <v/>
      </c>
      <c r="AY12" s="206" t="str">
        <f>IF(AND($A12&gt;=SYear_O, $A12&lt;=EYear_O, AY$3&gt;0), AY$3 * VLOOKUP($A12, Data_All!$A$8:$CA$153, MATCH(AY$2, Data_All!$B$2:$CA$2, 0)+1), "")</f>
        <v/>
      </c>
      <c r="AZ12" s="206" t="str">
        <f>IF(AND($A12&gt;=SYear_O, $A12&lt;=EYear_O, AZ$3&gt;0), AZ$3 * VLOOKUP($A12, Data_All!$A$8:$CA$153, MATCH(AZ$2, Data_All!$B$2:$CA$2, 0)+1), "")</f>
        <v/>
      </c>
      <c r="BA12" s="206" t="str">
        <f>IF(AND($A12&gt;=SYear_O, $A12&lt;=EYear_O, BA$3&gt;0), BA$3 * VLOOKUP($A12, Data_All!$A$8:$CA$153, MATCH(BA$2, Data_All!$B$2:$CA$2, 0)+1), "")</f>
        <v/>
      </c>
      <c r="BB12" s="206" t="str">
        <f>IF(AND($A12&gt;=SYear_O, $A12&lt;=EYear_O, BB$3&gt;0), BB$3 * VLOOKUP($A12, Data_All!$A$8:$CA$153, MATCH(BB$2, Data_All!$B$2:$CA$2, 0)+1), "")</f>
        <v/>
      </c>
      <c r="BC12" s="206" t="str">
        <f>IF(AND($A12&gt;=SYear_O, $A12&lt;=EYear_O, BC$3&gt;0), BC$3 * VLOOKUP($A12, Data_All!$A$8:$CA$153, MATCH(BC$2, Data_All!$B$2:$CA$2, 0)+1), "")</f>
        <v/>
      </c>
      <c r="BD12" s="206" t="str">
        <f>IF(AND($A12&gt;=SYear_O, $A12&lt;=EYear_O, BD$3&gt;0), BD$3 * VLOOKUP($A12, Data_All!$A$8:$CA$153, MATCH(BD$2, Data_All!$B$2:$CA$2, 0)+1), "")</f>
        <v/>
      </c>
      <c r="BE12" s="206" t="str">
        <f>IF(AND($A12&gt;=SYear_O, $A12&lt;=EYear_O, BE$3&gt;0), BE$3 * VLOOKUP($A12, Data_All!$A$8:$CA$153, MATCH(BE$2, Data_All!$B$2:$CA$2, 0)+1), "")</f>
        <v/>
      </c>
      <c r="BF12" s="206" t="str">
        <f>IF(AND($A12&gt;=SYear_O, $A12&lt;=EYear_O, BF$3&gt;0), BF$3 * VLOOKUP($A12, Data_All!$A$8:$CA$153, MATCH(BF$2, Data_All!$B$2:$CA$2, 0)+1), "")</f>
        <v/>
      </c>
      <c r="BG12" s="206" t="str">
        <f>IF(AND($A12&gt;=SYear_O, $A12&lt;=EYear_O, BG$3&gt;0), BG$3 * VLOOKUP($A12, Data_All!$A$8:$CA$153, MATCH(BG$2, Data_All!$B$2:$CA$2, 0)+1), "")</f>
        <v/>
      </c>
      <c r="BH12" s="206" t="str">
        <f>IF(AND($A12&gt;=SYear_O, $A12&lt;=EYear_O, BH$3&gt;0), BH$3 * VLOOKUP($A12, Data_All!$A$8:$CA$153, MATCH(BH$2, Data_All!$B$2:$CA$2, 0)+1), "")</f>
        <v/>
      </c>
      <c r="BI12" s="206" t="str">
        <f>IF(AND($A12&gt;=SYear_O, $A12&lt;=EYear_O, BI$3&gt;0), BI$3 * VLOOKUP($A12, Data_All!$A$8:$CA$153, MATCH(BI$2, Data_All!$B$2:$CA$2, 0)+1), "")</f>
        <v/>
      </c>
      <c r="BJ12" s="206" t="str">
        <f>IF(AND($A12&gt;=SYear_O, $A12&lt;=EYear_O, BJ$3&gt;0), BJ$3 * VLOOKUP($A12, Data_All!$A$8:$CA$153, MATCH(BJ$2, Data_All!$B$2:$CA$2, 0)+1), "")</f>
        <v/>
      </c>
      <c r="BK12" s="206" t="str">
        <f>IF(AND($A12&gt;=SYear_O, $A12&lt;=EYear_O, BK$3&gt;0), BK$3 * VLOOKUP($A12, Data_All!$A$8:$CA$153, MATCH(BK$2, Data_All!$B$2:$CA$2, 0)+1), "")</f>
        <v/>
      </c>
      <c r="BL12" s="206" t="str">
        <f>IF(AND($A12&gt;=SYear_O, $A12&lt;=EYear_O, BL$3&gt;0), BL$3 * VLOOKUP($A12, Data_All!$A$8:$CA$153, MATCH(BL$2, Data_All!$B$2:$CA$2, 0)+1), "")</f>
        <v/>
      </c>
      <c r="BM12" s="206" t="str">
        <f>IF(AND($A12&gt;=SYear_O, $A12&lt;=EYear_O, BM$3&gt;0), BM$3 * VLOOKUP($A12, Data_All!$A$8:$CA$153, MATCH(BM$2, Data_All!$B$2:$CA$2, 0)+1), "")</f>
        <v/>
      </c>
      <c r="BN12" s="206" t="str">
        <f>IF(AND($A12&gt;=SYear_O, $A12&lt;=EYear_O, BN$3&gt;0), BN$3 * VLOOKUP($A12, Data_All!$A$8:$CA$153, MATCH(BN$2, Data_All!$B$2:$CA$2, 0)+1), "")</f>
        <v/>
      </c>
      <c r="BO12" s="206" t="str">
        <f>IF(AND($A12&gt;=SYear_O, $A12&lt;=EYear_O, BO$3&gt;0), BO$3 * VLOOKUP($A12, Data_All!$A$8:$CA$153, MATCH(BO$2, Data_All!$B$2:$CA$2, 0)+1), "")</f>
        <v/>
      </c>
      <c r="BP12" s="206" t="str">
        <f>IF(AND($A12&gt;=SYear_O, $A12&lt;=EYear_O, BP$3&gt;0), BP$3 * VLOOKUP($A12, Data_All!$A$8:$CA$153, MATCH(BP$2, Data_All!$B$2:$CA$2, 0)+1), "")</f>
        <v/>
      </c>
      <c r="BQ12" s="206" t="str">
        <f>IF(AND($A12&gt;=SYear_O, $A12&lt;=EYear_O, BQ$3&gt;0), BQ$3 * VLOOKUP($A12, Data_All!$A$8:$CA$153, MATCH(BQ$2, Data_All!$B$2:$CA$2, 0)+1), "")</f>
        <v/>
      </c>
      <c r="BR12" s="206" t="str">
        <f>IF(AND($A12&gt;=SYear_O, $A12&lt;=EYear_O, BR$3&gt;0), BR$3 * VLOOKUP($A12, Data_All!$A$8:$CA$153, MATCH(BR$2, Data_All!$B$2:$CA$2, 0)+1), "")</f>
        <v/>
      </c>
      <c r="BS12" s="206" t="str">
        <f>IF(AND($A12&gt;=SYear_O, $A12&lt;=EYear_O, BS$3&gt;0), BS$3 * VLOOKUP($A12, Data_All!$A$8:$CA$153, MATCH(BS$2, Data_All!$B$2:$CA$2, 0)+1), "")</f>
        <v/>
      </c>
      <c r="BT12" s="206" t="str">
        <f>IF(AND($A12&gt;=SYear_O, $A12&lt;=EYear_O, BT$3&gt;0), BT$3 * VLOOKUP($A12, Data_All!$A$8:$CA$153, MATCH(BT$2, Data_All!$B$2:$CA$2, 0)+1), "")</f>
        <v/>
      </c>
      <c r="BU12" s="206" t="str">
        <f>IF(AND($A12&gt;=SYear_O, $A12&lt;=EYear_O, BU$3&gt;0), BU$3 * VLOOKUP($A12, Data_All!$A$8:$CA$153, MATCH(BU$2, Data_All!$B$2:$CA$2, 0)+1), "")</f>
        <v/>
      </c>
      <c r="BV12" s="206" t="str">
        <f>IF(AND($A12&gt;=SYear_O, $A12&lt;=EYear_O, BV$3&gt;0), BV$3 * VLOOKUP($A12, Data_All!$A$8:$CA$153, MATCH(BV$2, Data_All!$B$2:$CA$2, 0)+1), "")</f>
        <v/>
      </c>
      <c r="BW12" s="206" t="str">
        <f>IF(AND($A12&gt;=SYear_O, $A12&lt;=EYear_O, BW$3&gt;0), BW$3 * VLOOKUP($A12, Data_All!$A$8:$CA$153, MATCH(BW$2, Data_All!$B$2:$CA$2, 0)+1), "")</f>
        <v/>
      </c>
      <c r="BX12" s="206">
        <f>IF(AND($A12&gt;=SYear_O, $A12&lt;=EYear_O, BX$3&gt;0), BX$3 * VLOOKUP($A12, Data_All!$A$8:$CA$153, MATCH(BX$2, Data_All!$B$2:$CA$2, 0)+1), "")</f>
        <v>-8.2062780269058333</v>
      </c>
      <c r="BY12" s="206">
        <f>IF(AND($A12&gt;=SYear_O, $A12&lt;=EYear_O, BY$3&gt;0), BY$3 * VLOOKUP($A12, Data_All!$A$8:$CA$153, MATCH(BY$2, Data_All!$B$2:$CA$2, 0)+1), "")</f>
        <v>2.171613079126864</v>
      </c>
      <c r="BZ12" s="206" t="str">
        <f>IF(AND($A12&gt;=SYear_O, $A12&lt;=EYear_O, BZ$3&gt;0), BZ$3 * VLOOKUP($A12, Data_All!$A$8:$CA$153, MATCH(BZ$2, Data_All!$B$2:$CA$2, 0)+1), "")</f>
        <v/>
      </c>
      <c r="CA12" s="565">
        <f t="shared" si="2"/>
        <v>-6.0346649477789693</v>
      </c>
      <c r="CB12" s="427">
        <f t="shared" si="3"/>
        <v>12816.782702634115</v>
      </c>
      <c r="CC12" s="565">
        <f>IF(AND($A12&gt;=SYear_O,$A12&lt;=EYear_O),(CA12-Data_All!CA13)/(1+Data_All!CA13%),"")</f>
        <v>-6.8519217195762048</v>
      </c>
      <c r="CD12" s="436">
        <f t="shared" si="4"/>
        <v>14599.977830708503</v>
      </c>
      <c r="CE12" s="438">
        <f t="shared" si="5"/>
        <v>1.1624724345667661</v>
      </c>
      <c r="CF12" s="438">
        <f>IF(AND($A12&gt;=SYear_O,$A12&lt;=EYear_O),MAX($CE$7:CE12),"")</f>
        <v>1.2371290262741304</v>
      </c>
      <c r="CG12" s="209">
        <f t="shared" si="6"/>
        <v>6.0346649477789782E-2</v>
      </c>
      <c r="CI12" s="143">
        <f>IF(AND($A12&gt;=SYear_O,$A12&lt;=EYear_O),Data_All!V13,"")</f>
        <v>5.2352882405834755</v>
      </c>
      <c r="CJ12" s="143">
        <f>IF(AND($A12&gt;=SYear_O,$A12&lt;=EYear_O),Data_All!CA13,"")</f>
        <v>0.87737373318306222</v>
      </c>
      <c r="CK12" s="143">
        <f t="shared" si="7"/>
        <v>4.3200118580871631</v>
      </c>
      <c r="CN12" s="61">
        <f t="shared" si="8"/>
        <v>-6.0346649477789782E-2</v>
      </c>
      <c r="CO12" s="61">
        <f t="shared" si="9"/>
        <v>1.671722561303346E-2</v>
      </c>
      <c r="CP12" s="61">
        <f t="shared" si="10"/>
        <v>0.10051521635420979</v>
      </c>
      <c r="CQ12" s="61">
        <f t="shared" si="11"/>
        <v>6.5126314497853111E-2</v>
      </c>
      <c r="CR12" s="61">
        <f t="shared" si="12"/>
        <v>5.2608600669193262E-2</v>
      </c>
      <c r="CU12" s="61">
        <f t="shared" si="13"/>
        <v>-6.8519217195762039E-2</v>
      </c>
      <c r="CV12" s="61">
        <f t="shared" si="14"/>
        <v>0.11257216573536533</v>
      </c>
      <c r="CW12" s="61">
        <f t="shared" si="15"/>
        <v>0.13200865122448158</v>
      </c>
      <c r="CX12" s="61">
        <f t="shared" si="16"/>
        <v>9.8154809314994207E-2</v>
      </c>
      <c r="CY12" s="61">
        <f t="shared" si="17"/>
        <v>7.5985060242975244E-2</v>
      </c>
    </row>
    <row r="13" spans="1:103">
      <c r="A13" s="204">
        <f t="shared" si="18"/>
        <v>1877</v>
      </c>
      <c r="B13" s="206" t="str">
        <f>IF(AND($A13&gt;=SYear_O, $A13&lt;=EYear_O, B$3&gt;0), B$3 * VLOOKUP($A13, Data_All!$A$8:$CA$153, MATCH(B$2, Data_All!$B$2:$CA$2, 0)+1), "")</f>
        <v/>
      </c>
      <c r="C13" s="206" t="str">
        <f>IF(AND($A13&gt;=SYear_O, $A13&lt;=EYear_O, C$3&gt;0), C$3 * VLOOKUP($A13, Data_All!$A$8:$CA$153, MATCH(C$2, Data_All!$B$2:$CA$2, 0)+1), "")</f>
        <v/>
      </c>
      <c r="D13" s="206" t="str">
        <f>IF(AND($A13&gt;=SYear_O, $A13&lt;=EYear_O, D$3&gt;0), D$3 * VLOOKUP($A13, Data_All!$A$8:$CA$153, MATCH(D$2, Data_All!$B$2:$CA$2, 0)+1), "")</f>
        <v/>
      </c>
      <c r="E13" s="206" t="str">
        <f>IF(AND($A13&gt;=SYear_O, $A13&lt;=EYear_O, E$3&gt;0), E$3 * VLOOKUP($A13, Data_All!$A$8:$CA$153, MATCH(E$2, Data_All!$B$2:$CA$2, 0)+1), "")</f>
        <v/>
      </c>
      <c r="F13" s="206" t="str">
        <f>IF(AND($A13&gt;=SYear_O, $A13&lt;=EYear_O, F$3&gt;0), F$3 * VLOOKUP($A13, Data_All!$A$8:$CA$153, MATCH(F$2, Data_All!$B$2:$CA$2, 0)+1), "")</f>
        <v/>
      </c>
      <c r="G13" s="206" t="str">
        <f>IF(AND($A13&gt;=SYear_O, $A13&lt;=EYear_O, G$3&gt;0), G$3 * VLOOKUP($A13, Data_All!$A$8:$CA$153, MATCH(G$2, Data_All!$B$2:$CA$2, 0)+1), "")</f>
        <v/>
      </c>
      <c r="H13" s="206" t="str">
        <f>IF(AND($A13&gt;=SYear_O, $A13&lt;=EYear_O, H$3&gt;0), H$3 * VLOOKUP($A13, Data_All!$A$8:$CA$153, MATCH(H$2, Data_All!$B$2:$CA$2, 0)+1), "")</f>
        <v/>
      </c>
      <c r="I13" s="206" t="str">
        <f>IF(AND($A13&gt;=SYear_O, $A13&lt;=EYear_O, I$3&gt;0), I$3 * VLOOKUP($A13, Data_All!$A$8:$CA$153, MATCH(I$2, Data_All!$B$2:$CA$2, 0)+1), "")</f>
        <v/>
      </c>
      <c r="J13" s="206" t="str">
        <f>IF(AND($A13&gt;=SYear_O, $A13&lt;=EYear_O, J$3&gt;0), J$3 * VLOOKUP($A13, Data_All!$A$8:$CA$153, MATCH(J$2, Data_All!$B$2:$CA$2, 0)+1), "")</f>
        <v/>
      </c>
      <c r="K13" s="206" t="str">
        <f>IF(AND($A13&gt;=SYear_O, $A13&lt;=EYear_O, K$3&gt;0), K$3 * VLOOKUP($A13, Data_All!$A$8:$CA$153, MATCH(K$2, Data_All!$B$2:$CA$2, 0)+1), "")</f>
        <v/>
      </c>
      <c r="L13" s="206" t="str">
        <f>IF(AND($A13&gt;=SYear_O, $A13&lt;=EYear_O, L$3&gt;0), L$3 * VLOOKUP($A13, Data_All!$A$8:$CA$153, MATCH(L$2, Data_All!$B$2:$CA$2, 0)+1), "")</f>
        <v/>
      </c>
      <c r="M13" s="206" t="str">
        <f>IF(AND($A13&gt;=SYear_O, $A13&lt;=EYear_O, M$3&gt;0), M$3 * VLOOKUP($A13, Data_All!$A$8:$CA$153, MATCH(M$2, Data_All!$B$2:$CA$2, 0)+1), "")</f>
        <v/>
      </c>
      <c r="N13" s="206" t="str">
        <f>IF(AND($A13&gt;=SYear_O, $A13&lt;=EYear_O, N$3&gt;0), N$3 * VLOOKUP($A13, Data_All!$A$8:$CA$153, MATCH(N$2, Data_All!$B$2:$CA$2, 0)+1), "")</f>
        <v/>
      </c>
      <c r="O13" s="206" t="str">
        <f>IF(AND($A13&gt;=SYear_O, $A13&lt;=EYear_O, O$3&gt;0), O$3 * VLOOKUP($A13, Data_All!$A$8:$CA$153, MATCH(O$2, Data_All!$B$2:$CA$2, 0)+1), "")</f>
        <v/>
      </c>
      <c r="P13" s="206" t="str">
        <f>IF(AND($A13&gt;=SYear_O, $A13&lt;=EYear_O, P$3&gt;0), P$3 * VLOOKUP($A13, Data_All!$A$8:$CA$153, MATCH(P$2, Data_All!$B$2:$CA$2, 0)+1), "")</f>
        <v/>
      </c>
      <c r="Q13" s="206" t="str">
        <f>IF(AND($A13&gt;=SYear_O, $A13&lt;=EYear_O, Q$3&gt;0), Q$3 * VLOOKUP($A13, Data_All!$A$8:$CA$153, MATCH(Q$2, Data_All!$B$2:$CA$2, 0)+1), "")</f>
        <v/>
      </c>
      <c r="R13" s="206" t="str">
        <f>IF(AND($A13&gt;=SYear_O, $A13&lt;=EYear_O, R$3&gt;0), R$3 * VLOOKUP($A13, Data_All!$A$8:$CA$153, MATCH(R$2, Data_All!$B$2:$CA$2, 0)+1), "")</f>
        <v/>
      </c>
      <c r="S13" s="206" t="str">
        <f>IF(AND($A13&gt;=SYear_O, $A13&lt;=EYear_O, S$3&gt;0), S$3 * VLOOKUP($A13, Data_All!$A$8:$CA$153, MATCH(S$2, Data_All!$B$2:$CA$2, 0)+1), "")</f>
        <v/>
      </c>
      <c r="T13" s="206" t="str">
        <f>IF(AND($A13&gt;=SYear_O, $A13&lt;=EYear_O, T$3&gt;0), T$3 * VLOOKUP($A13, Data_All!$A$8:$CA$153, MATCH(T$2, Data_All!$B$2:$CA$2, 0)+1), "")</f>
        <v/>
      </c>
      <c r="U13" s="206" t="str">
        <f>IF(AND($A13&gt;=SYear_O, $A13&lt;=EYear_O, U$3&gt;0), U$3 * VLOOKUP($A13, Data_All!$A$8:$CA$153, MATCH(U$2, Data_All!$B$2:$CA$2, 0)+1), "")</f>
        <v/>
      </c>
      <c r="V13" s="206" t="str">
        <f>IF(AND($A13&gt;=SYear_O, $A13&lt;=EYear_O, V$3&gt;0), V$3 * VLOOKUP($A13, Data_All!$A$8:$CA$153, MATCH(V$2, Data_All!$B$2:$CA$2, 0)+1), "")</f>
        <v/>
      </c>
      <c r="W13" s="206" t="str">
        <f>IF(AND($A13&gt;=SYear_O, $A13&lt;=EYear_O, W$3&gt;0), W$3 * VLOOKUP($A13, Data_All!$A$8:$CA$153, MATCH(W$2, Data_All!$B$2:$CA$2, 0)+1), "")</f>
        <v/>
      </c>
      <c r="X13" s="206" t="str">
        <f>IF(AND($A13&gt;=SYear_O, $A13&lt;=EYear_O, X$3&gt;0), X$3 * VLOOKUP($A13, Data_All!$A$8:$CA$153, MATCH(X$2, Data_All!$B$2:$CA$2, 0)+1), "")</f>
        <v/>
      </c>
      <c r="Y13" s="206" t="str">
        <f>IF(AND($A13&gt;=SYear_O, $A13&lt;=EYear_O, Y$3&gt;0), Y$3 * VLOOKUP($A13, Data_All!$A$8:$CA$153, MATCH(Y$2, Data_All!$B$2:$CA$2, 0)+1), "")</f>
        <v/>
      </c>
      <c r="Z13" s="206" t="str">
        <f>IF(AND($A13&gt;=SYear_O, $A13&lt;=EYear_O, Z$3&gt;0), Z$3 * VLOOKUP($A13, Data_All!$A$8:$CA$153, MATCH(Z$2, Data_All!$B$2:$CA$2, 0)+1), "")</f>
        <v/>
      </c>
      <c r="AA13" s="206" t="str">
        <f>IF(AND($A13&gt;=SYear_O, $A13&lt;=EYear_O, AA$3&gt;0), AA$3 * VLOOKUP($A13, Data_All!$A$8:$CA$153, MATCH(AA$2, Data_All!$B$2:$CA$2, 0)+1), "")</f>
        <v/>
      </c>
      <c r="AB13" s="206" t="str">
        <f>IF(AND($A13&gt;=SYear_O, $A13&lt;=EYear_O, AB$3&gt;0), AB$3 * VLOOKUP($A13, Data_All!$A$8:$CA$153, MATCH(AB$2, Data_All!$B$2:$CA$2, 0)+1), "")</f>
        <v/>
      </c>
      <c r="AC13" s="206" t="str">
        <f>IF(AND($A13&gt;=SYear_O, $A13&lt;=EYear_O, AC$3&gt;0), AC$3 * VLOOKUP($A13, Data_All!$A$8:$CA$153, MATCH(AC$2, Data_All!$B$2:$CA$2, 0)+1), "")</f>
        <v/>
      </c>
      <c r="AD13" s="206" t="str">
        <f>IF(AND($A13&gt;=SYear_O, $A13&lt;=EYear_O, AD$3&gt;0), AD$3 * VLOOKUP($A13, Data_All!$A$8:$CA$153, MATCH(AD$2, Data_All!$B$2:$CA$2, 0)+1), "")</f>
        <v/>
      </c>
      <c r="AE13" s="206" t="str">
        <f>IF(AND($A13&gt;=SYear_O, $A13&lt;=EYear_O, AE$3&gt;0), AE$3 * VLOOKUP($A13, Data_All!$A$8:$CA$153, MATCH(AE$2, Data_All!$B$2:$CA$2, 0)+1), "")</f>
        <v/>
      </c>
      <c r="AF13" s="206" t="str">
        <f>IF(AND($A13&gt;=SYear_O, $A13&lt;=EYear_O, AF$3&gt;0), AF$3 * VLOOKUP($A13, Data_All!$A$8:$CA$153, MATCH(AF$2, Data_All!$B$2:$CA$2, 0)+1), "")</f>
        <v/>
      </c>
      <c r="AG13" s="206" t="str">
        <f>IF(AND($A13&gt;=SYear_O, $A13&lt;=EYear_O, AG$3&gt;0), AG$3 * VLOOKUP($A13, Data_All!$A$8:$CA$153, MATCH(AG$2, Data_All!$B$2:$CA$2, 0)+1), "")</f>
        <v/>
      </c>
      <c r="AH13" s="206" t="str">
        <f>IF(AND($A13&gt;=SYear_O, $A13&lt;=EYear_O, AH$3&gt;0), AH$3 * VLOOKUP($A13, Data_All!$A$8:$CA$153, MATCH(AH$2, Data_All!$B$2:$CA$2, 0)+1), "")</f>
        <v/>
      </c>
      <c r="AI13" s="206" t="str">
        <f>IF(AND($A13&gt;=SYear_O, $A13&lt;=EYear_O, AI$3&gt;0), AI$3 * VLOOKUP($A13, Data_All!$A$8:$CA$153, MATCH(AI$2, Data_All!$B$2:$CA$2, 0)+1), "")</f>
        <v/>
      </c>
      <c r="AJ13" s="206" t="str">
        <f>IF(AND($A13&gt;=SYear_O, $A13&lt;=EYear_O, AJ$3&gt;0), AJ$3 * VLOOKUP($A13, Data_All!$A$8:$CA$153, MATCH(AJ$2, Data_All!$B$2:$CA$2, 0)+1), "")</f>
        <v/>
      </c>
      <c r="AK13" s="206" t="str">
        <f>IF(AND($A13&gt;=SYear_O, $A13&lt;=EYear_O, AK$3&gt;0), AK$3 * VLOOKUP($A13, Data_All!$A$8:$CA$153, MATCH(AK$2, Data_All!$B$2:$CA$2, 0)+1), "")</f>
        <v/>
      </c>
      <c r="AL13" s="206" t="str">
        <f>IF(AND($A13&gt;=SYear_O, $A13&lt;=EYear_O, AL$3&gt;0), AL$3 * VLOOKUP($A13, Data_All!$A$8:$CA$153, MATCH(AL$2, Data_All!$B$2:$CA$2, 0)+1), "")</f>
        <v/>
      </c>
      <c r="AM13" s="206" t="str">
        <f>IF(AND($A13&gt;=SYear_O, $A13&lt;=EYear_O, AM$3&gt;0), AM$3 * VLOOKUP($A13, Data_All!$A$8:$CA$153, MATCH(AM$2, Data_All!$B$2:$CA$2, 0)+1), "")</f>
        <v/>
      </c>
      <c r="AN13" s="206" t="str">
        <f>IF(AND($A13&gt;=SYear_O, $A13&lt;=EYear_O, AN$3&gt;0), AN$3 * VLOOKUP($A13, Data_All!$A$8:$CA$153, MATCH(AN$2, Data_All!$B$2:$CA$2, 0)+1), "")</f>
        <v/>
      </c>
      <c r="AO13" s="206" t="str">
        <f>IF(AND($A13&gt;=SYear_O, $A13&lt;=EYear_O, AO$3&gt;0), AO$3 * VLOOKUP($A13, Data_All!$A$8:$CA$153, MATCH(AO$2, Data_All!$B$2:$CA$2, 0)+1), "")</f>
        <v/>
      </c>
      <c r="AP13" s="206" t="str">
        <f>IF(AND($A13&gt;=SYear_O, $A13&lt;=EYear_O, AP$3&gt;0), AP$3 * VLOOKUP($A13, Data_All!$A$8:$CA$153, MATCH(AP$2, Data_All!$B$2:$CA$2, 0)+1), "")</f>
        <v/>
      </c>
      <c r="AQ13" s="206" t="str">
        <f>IF(AND($A13&gt;=SYear_O, $A13&lt;=EYear_O, AQ$3&gt;0), AQ$3 * VLOOKUP($A13, Data_All!$A$8:$CA$153, MATCH(AQ$2, Data_All!$B$2:$CA$2, 0)+1), "")</f>
        <v/>
      </c>
      <c r="AR13" s="206" t="str">
        <f>IF(AND($A13&gt;=SYear_O, $A13&lt;=EYear_O, AR$3&gt;0), AR$3 * VLOOKUP($A13, Data_All!$A$8:$CA$153, MATCH(AR$2, Data_All!$B$2:$CA$2, 0)+1), "")</f>
        <v/>
      </c>
      <c r="AS13" s="206" t="str">
        <f>IF(AND($A13&gt;=SYear_O, $A13&lt;=EYear_O, AS$3&gt;0), AS$3 * VLOOKUP($A13, Data_All!$A$8:$CA$153, MATCH(AS$2, Data_All!$B$2:$CA$2, 0)+1), "")</f>
        <v/>
      </c>
      <c r="AT13" s="206" t="str">
        <f>IF(AND($A13&gt;=SYear_O, $A13&lt;=EYear_O, AT$3&gt;0), AT$3 * VLOOKUP($A13, Data_All!$A$8:$CA$153, MATCH(AT$2, Data_All!$B$2:$CA$2, 0)+1), "")</f>
        <v/>
      </c>
      <c r="AU13" s="206" t="str">
        <f>IF(AND($A13&gt;=SYear_O, $A13&lt;=EYear_O, AU$3&gt;0), AU$3 * VLOOKUP($A13, Data_All!$A$8:$CA$153, MATCH(AU$2, Data_All!$B$2:$CA$2, 0)+1), "")</f>
        <v/>
      </c>
      <c r="AV13" s="206" t="str">
        <f>IF(AND($A13&gt;=SYear_O, $A13&lt;=EYear_O, AV$3&gt;0), AV$3 * VLOOKUP($A13, Data_All!$A$8:$CA$153, MATCH(AV$2, Data_All!$B$2:$CA$2, 0)+1), "")</f>
        <v/>
      </c>
      <c r="AW13" s="206" t="str">
        <f>IF(AND($A13&gt;=SYear_O, $A13&lt;=EYear_O, AW$3&gt;0), AW$3 * VLOOKUP($A13, Data_All!$A$8:$CA$153, MATCH(AW$2, Data_All!$B$2:$CA$2, 0)+1), "")</f>
        <v/>
      </c>
      <c r="AX13" s="206" t="str">
        <f>IF(AND($A13&gt;=SYear_O, $A13&lt;=EYear_O, AX$3&gt;0), AX$3 * VLOOKUP($A13, Data_All!$A$8:$CA$153, MATCH(AX$2, Data_All!$B$2:$CA$2, 0)+1), "")</f>
        <v/>
      </c>
      <c r="AY13" s="206" t="str">
        <f>IF(AND($A13&gt;=SYear_O, $A13&lt;=EYear_O, AY$3&gt;0), AY$3 * VLOOKUP($A13, Data_All!$A$8:$CA$153, MATCH(AY$2, Data_All!$B$2:$CA$2, 0)+1), "")</f>
        <v/>
      </c>
      <c r="AZ13" s="206" t="str">
        <f>IF(AND($A13&gt;=SYear_O, $A13&lt;=EYear_O, AZ$3&gt;0), AZ$3 * VLOOKUP($A13, Data_All!$A$8:$CA$153, MATCH(AZ$2, Data_All!$B$2:$CA$2, 0)+1), "")</f>
        <v/>
      </c>
      <c r="BA13" s="206" t="str">
        <f>IF(AND($A13&gt;=SYear_O, $A13&lt;=EYear_O, BA$3&gt;0), BA$3 * VLOOKUP($A13, Data_All!$A$8:$CA$153, MATCH(BA$2, Data_All!$B$2:$CA$2, 0)+1), "")</f>
        <v/>
      </c>
      <c r="BB13" s="206" t="str">
        <f>IF(AND($A13&gt;=SYear_O, $A13&lt;=EYear_O, BB$3&gt;0), BB$3 * VLOOKUP($A13, Data_All!$A$8:$CA$153, MATCH(BB$2, Data_All!$B$2:$CA$2, 0)+1), "")</f>
        <v/>
      </c>
      <c r="BC13" s="206" t="str">
        <f>IF(AND($A13&gt;=SYear_O, $A13&lt;=EYear_O, BC$3&gt;0), BC$3 * VLOOKUP($A13, Data_All!$A$8:$CA$153, MATCH(BC$2, Data_All!$B$2:$CA$2, 0)+1), "")</f>
        <v/>
      </c>
      <c r="BD13" s="206" t="str">
        <f>IF(AND($A13&gt;=SYear_O, $A13&lt;=EYear_O, BD$3&gt;0), BD$3 * VLOOKUP($A13, Data_All!$A$8:$CA$153, MATCH(BD$2, Data_All!$B$2:$CA$2, 0)+1), "")</f>
        <v/>
      </c>
      <c r="BE13" s="206" t="str">
        <f>IF(AND($A13&gt;=SYear_O, $A13&lt;=EYear_O, BE$3&gt;0), BE$3 * VLOOKUP($A13, Data_All!$A$8:$CA$153, MATCH(BE$2, Data_All!$B$2:$CA$2, 0)+1), "")</f>
        <v/>
      </c>
      <c r="BF13" s="206" t="str">
        <f>IF(AND($A13&gt;=SYear_O, $A13&lt;=EYear_O, BF$3&gt;0), BF$3 * VLOOKUP($A13, Data_All!$A$8:$CA$153, MATCH(BF$2, Data_All!$B$2:$CA$2, 0)+1), "")</f>
        <v/>
      </c>
      <c r="BG13" s="206" t="str">
        <f>IF(AND($A13&gt;=SYear_O, $A13&lt;=EYear_O, BG$3&gt;0), BG$3 * VLOOKUP($A13, Data_All!$A$8:$CA$153, MATCH(BG$2, Data_All!$B$2:$CA$2, 0)+1), "")</f>
        <v/>
      </c>
      <c r="BH13" s="206" t="str">
        <f>IF(AND($A13&gt;=SYear_O, $A13&lt;=EYear_O, BH$3&gt;0), BH$3 * VLOOKUP($A13, Data_All!$A$8:$CA$153, MATCH(BH$2, Data_All!$B$2:$CA$2, 0)+1), "")</f>
        <v/>
      </c>
      <c r="BI13" s="206" t="str">
        <f>IF(AND($A13&gt;=SYear_O, $A13&lt;=EYear_O, BI$3&gt;0), BI$3 * VLOOKUP($A13, Data_All!$A$8:$CA$153, MATCH(BI$2, Data_All!$B$2:$CA$2, 0)+1), "")</f>
        <v/>
      </c>
      <c r="BJ13" s="206" t="str">
        <f>IF(AND($A13&gt;=SYear_O, $A13&lt;=EYear_O, BJ$3&gt;0), BJ$3 * VLOOKUP($A13, Data_All!$A$8:$CA$153, MATCH(BJ$2, Data_All!$B$2:$CA$2, 0)+1), "")</f>
        <v/>
      </c>
      <c r="BK13" s="206" t="str">
        <f>IF(AND($A13&gt;=SYear_O, $A13&lt;=EYear_O, BK$3&gt;0), BK$3 * VLOOKUP($A13, Data_All!$A$8:$CA$153, MATCH(BK$2, Data_All!$B$2:$CA$2, 0)+1), "")</f>
        <v/>
      </c>
      <c r="BL13" s="206" t="str">
        <f>IF(AND($A13&gt;=SYear_O, $A13&lt;=EYear_O, BL$3&gt;0), BL$3 * VLOOKUP($A13, Data_All!$A$8:$CA$153, MATCH(BL$2, Data_All!$B$2:$CA$2, 0)+1), "")</f>
        <v/>
      </c>
      <c r="BM13" s="206" t="str">
        <f>IF(AND($A13&gt;=SYear_O, $A13&lt;=EYear_O, BM$3&gt;0), BM$3 * VLOOKUP($A13, Data_All!$A$8:$CA$153, MATCH(BM$2, Data_All!$B$2:$CA$2, 0)+1), "")</f>
        <v/>
      </c>
      <c r="BN13" s="206" t="str">
        <f>IF(AND($A13&gt;=SYear_O, $A13&lt;=EYear_O, BN$3&gt;0), BN$3 * VLOOKUP($A13, Data_All!$A$8:$CA$153, MATCH(BN$2, Data_All!$B$2:$CA$2, 0)+1), "")</f>
        <v/>
      </c>
      <c r="BO13" s="206" t="str">
        <f>IF(AND($A13&gt;=SYear_O, $A13&lt;=EYear_O, BO$3&gt;0), BO$3 * VLOOKUP($A13, Data_All!$A$8:$CA$153, MATCH(BO$2, Data_All!$B$2:$CA$2, 0)+1), "")</f>
        <v/>
      </c>
      <c r="BP13" s="206" t="str">
        <f>IF(AND($A13&gt;=SYear_O, $A13&lt;=EYear_O, BP$3&gt;0), BP$3 * VLOOKUP($A13, Data_All!$A$8:$CA$153, MATCH(BP$2, Data_All!$B$2:$CA$2, 0)+1), "")</f>
        <v/>
      </c>
      <c r="BQ13" s="206" t="str">
        <f>IF(AND($A13&gt;=SYear_O, $A13&lt;=EYear_O, BQ$3&gt;0), BQ$3 * VLOOKUP($A13, Data_All!$A$8:$CA$153, MATCH(BQ$2, Data_All!$B$2:$CA$2, 0)+1), "")</f>
        <v/>
      </c>
      <c r="BR13" s="206" t="str">
        <f>IF(AND($A13&gt;=SYear_O, $A13&lt;=EYear_O, BR$3&gt;0), BR$3 * VLOOKUP($A13, Data_All!$A$8:$CA$153, MATCH(BR$2, Data_All!$B$2:$CA$2, 0)+1), "")</f>
        <v/>
      </c>
      <c r="BS13" s="206" t="str">
        <f>IF(AND($A13&gt;=SYear_O, $A13&lt;=EYear_O, BS$3&gt;0), BS$3 * VLOOKUP($A13, Data_All!$A$8:$CA$153, MATCH(BS$2, Data_All!$B$2:$CA$2, 0)+1), "")</f>
        <v/>
      </c>
      <c r="BT13" s="206" t="str">
        <f>IF(AND($A13&gt;=SYear_O, $A13&lt;=EYear_O, BT$3&gt;0), BT$3 * VLOOKUP($A13, Data_All!$A$8:$CA$153, MATCH(BT$2, Data_All!$B$2:$CA$2, 0)+1), "")</f>
        <v/>
      </c>
      <c r="BU13" s="206" t="str">
        <f>IF(AND($A13&gt;=SYear_O, $A13&lt;=EYear_O, BU$3&gt;0), BU$3 * VLOOKUP($A13, Data_All!$A$8:$CA$153, MATCH(BU$2, Data_All!$B$2:$CA$2, 0)+1), "")</f>
        <v/>
      </c>
      <c r="BV13" s="206" t="str">
        <f>IF(AND($A13&gt;=SYear_O, $A13&lt;=EYear_O, BV$3&gt;0), BV$3 * VLOOKUP($A13, Data_All!$A$8:$CA$153, MATCH(BV$2, Data_All!$B$2:$CA$2, 0)+1), "")</f>
        <v/>
      </c>
      <c r="BW13" s="206" t="str">
        <f>IF(AND($A13&gt;=SYear_O, $A13&lt;=EYear_O, BW$3&gt;0), BW$3 * VLOOKUP($A13, Data_All!$A$8:$CA$153, MATCH(BW$2, Data_All!$B$2:$CA$2, 0)+1), "")</f>
        <v/>
      </c>
      <c r="BX13" s="206">
        <f>IF(AND($A13&gt;=SYear_O, $A13&lt;=EYear_O, BX$3&gt;0), BX$3 * VLOOKUP($A13, Data_All!$A$8:$CA$153, MATCH(BX$2, Data_All!$B$2:$CA$2, 0)+1), "")</f>
        <v>-1.8591549295774623</v>
      </c>
      <c r="BY13" s="206">
        <f>IF(AND($A13&gt;=SYear_O, $A13&lt;=EYear_O, BY$3&gt;0), BY$3 * VLOOKUP($A13, Data_All!$A$8:$CA$153, MATCH(BY$2, Data_All!$B$2:$CA$2, 0)+1), "")</f>
        <v>1.970330261685449</v>
      </c>
      <c r="BZ13" s="206" t="str">
        <f>IF(AND($A13&gt;=SYear_O, $A13&lt;=EYear_O, BZ$3&gt;0), BZ$3 * VLOOKUP($A13, Data_All!$A$8:$CA$153, MATCH(BZ$2, Data_All!$B$2:$CA$2, 0)+1), "")</f>
        <v/>
      </c>
      <c r="CA13" s="565">
        <f t="shared" si="2"/>
        <v>0.11117533210798669</v>
      </c>
      <c r="CB13" s="427">
        <f t="shared" si="3"/>
        <v>12831.031803369327</v>
      </c>
      <c r="CC13" s="565">
        <f>IF(AND($A13&gt;=SYear_O,$A13&lt;=EYear_O),(CA13-Data_All!CA14)/(1+Data_All!CA14%),"")</f>
        <v>18.688899410512704</v>
      </c>
      <c r="CD13" s="436">
        <f t="shared" si="4"/>
        <v>17328.553001446769</v>
      </c>
      <c r="CE13" s="438">
        <f t="shared" si="5"/>
        <v>1.1637648171565593</v>
      </c>
      <c r="CF13" s="438">
        <f>IF(AND($A13&gt;=SYear_O,$A13&lt;=EYear_O),MAX($CE$7:CE13),"")</f>
        <v>1.2371290262741304</v>
      </c>
      <c r="CG13" s="209">
        <f t="shared" si="6"/>
        <v>5.9301986744683011E-2</v>
      </c>
      <c r="CI13" s="143">
        <f>IF(AND($A13&gt;=SYear_O,$A13&lt;=EYear_O),Data_All!V14,"")</f>
        <v>4.935557997801979</v>
      </c>
      <c r="CJ13" s="143">
        <f>IF(AND($A13&gt;=SYear_O,$A13&lt;=EYear_O),Data_All!CA14,"")</f>
        <v>-15.652452900544144</v>
      </c>
      <c r="CK13" s="143">
        <f t="shared" si="7"/>
        <v>24.408547262281846</v>
      </c>
      <c r="CN13" s="61">
        <f t="shared" si="8"/>
        <v>1.1117533210798225E-3</v>
      </c>
      <c r="CO13" s="61">
        <f t="shared" si="9"/>
        <v>0.13377496269166667</v>
      </c>
      <c r="CP13" s="61">
        <f t="shared" si="10"/>
        <v>0.11801496315016924</v>
      </c>
      <c r="CQ13" s="61">
        <f t="shared" si="11"/>
        <v>7.8819446433469498E-2</v>
      </c>
      <c r="CR13" s="61">
        <f t="shared" si="12"/>
        <v>6.6211318657086515E-2</v>
      </c>
      <c r="CU13" s="61">
        <f t="shared" si="13"/>
        <v>0.18688899410512705</v>
      </c>
      <c r="CV13" s="61">
        <f t="shared" si="14"/>
        <v>0.16868025251570895</v>
      </c>
      <c r="CW13" s="61">
        <f t="shared" si="15"/>
        <v>0.13425418412692247</v>
      </c>
      <c r="CX13" s="61">
        <f t="shared" si="16"/>
        <v>0.11324459853654334</v>
      </c>
      <c r="CY13" s="61">
        <f t="shared" si="17"/>
        <v>9.5108323173731524E-2</v>
      </c>
    </row>
    <row r="14" spans="1:103">
      <c r="A14" s="204">
        <f t="shared" si="18"/>
        <v>1878</v>
      </c>
      <c r="B14" s="206" t="str">
        <f>IF(AND($A14&gt;=SYear_O, $A14&lt;=EYear_O, B$3&gt;0), B$3 * VLOOKUP($A14, Data_All!$A$8:$CA$153, MATCH(B$2, Data_All!$B$2:$CA$2, 0)+1), "")</f>
        <v/>
      </c>
      <c r="C14" s="206" t="str">
        <f>IF(AND($A14&gt;=SYear_O, $A14&lt;=EYear_O, C$3&gt;0), C$3 * VLOOKUP($A14, Data_All!$A$8:$CA$153, MATCH(C$2, Data_All!$B$2:$CA$2, 0)+1), "")</f>
        <v/>
      </c>
      <c r="D14" s="206" t="str">
        <f>IF(AND($A14&gt;=SYear_O, $A14&lt;=EYear_O, D$3&gt;0), D$3 * VLOOKUP($A14, Data_All!$A$8:$CA$153, MATCH(D$2, Data_All!$B$2:$CA$2, 0)+1), "")</f>
        <v/>
      </c>
      <c r="E14" s="206" t="str">
        <f>IF(AND($A14&gt;=SYear_O, $A14&lt;=EYear_O, E$3&gt;0), E$3 * VLOOKUP($A14, Data_All!$A$8:$CA$153, MATCH(E$2, Data_All!$B$2:$CA$2, 0)+1), "")</f>
        <v/>
      </c>
      <c r="F14" s="206" t="str">
        <f>IF(AND($A14&gt;=SYear_O, $A14&lt;=EYear_O, F$3&gt;0), F$3 * VLOOKUP($A14, Data_All!$A$8:$CA$153, MATCH(F$2, Data_All!$B$2:$CA$2, 0)+1), "")</f>
        <v/>
      </c>
      <c r="G14" s="206" t="str">
        <f>IF(AND($A14&gt;=SYear_O, $A14&lt;=EYear_O, G$3&gt;0), G$3 * VLOOKUP($A14, Data_All!$A$8:$CA$153, MATCH(G$2, Data_All!$B$2:$CA$2, 0)+1), "")</f>
        <v/>
      </c>
      <c r="H14" s="206" t="str">
        <f>IF(AND($A14&gt;=SYear_O, $A14&lt;=EYear_O, H$3&gt;0), H$3 * VLOOKUP($A14, Data_All!$A$8:$CA$153, MATCH(H$2, Data_All!$B$2:$CA$2, 0)+1), "")</f>
        <v/>
      </c>
      <c r="I14" s="206" t="str">
        <f>IF(AND($A14&gt;=SYear_O, $A14&lt;=EYear_O, I$3&gt;0), I$3 * VLOOKUP($A14, Data_All!$A$8:$CA$153, MATCH(I$2, Data_All!$B$2:$CA$2, 0)+1), "")</f>
        <v/>
      </c>
      <c r="J14" s="206" t="str">
        <f>IF(AND($A14&gt;=SYear_O, $A14&lt;=EYear_O, J$3&gt;0), J$3 * VLOOKUP($A14, Data_All!$A$8:$CA$153, MATCH(J$2, Data_All!$B$2:$CA$2, 0)+1), "")</f>
        <v/>
      </c>
      <c r="K14" s="206" t="str">
        <f>IF(AND($A14&gt;=SYear_O, $A14&lt;=EYear_O, K$3&gt;0), K$3 * VLOOKUP($A14, Data_All!$A$8:$CA$153, MATCH(K$2, Data_All!$B$2:$CA$2, 0)+1), "")</f>
        <v/>
      </c>
      <c r="L14" s="206" t="str">
        <f>IF(AND($A14&gt;=SYear_O, $A14&lt;=EYear_O, L$3&gt;0), L$3 * VLOOKUP($A14, Data_All!$A$8:$CA$153, MATCH(L$2, Data_All!$B$2:$CA$2, 0)+1), "")</f>
        <v/>
      </c>
      <c r="M14" s="206" t="str">
        <f>IF(AND($A14&gt;=SYear_O, $A14&lt;=EYear_O, M$3&gt;0), M$3 * VLOOKUP($A14, Data_All!$A$8:$CA$153, MATCH(M$2, Data_All!$B$2:$CA$2, 0)+1), "")</f>
        <v/>
      </c>
      <c r="N14" s="206" t="str">
        <f>IF(AND($A14&gt;=SYear_O, $A14&lt;=EYear_O, N$3&gt;0), N$3 * VLOOKUP($A14, Data_All!$A$8:$CA$153, MATCH(N$2, Data_All!$B$2:$CA$2, 0)+1), "")</f>
        <v/>
      </c>
      <c r="O14" s="206" t="str">
        <f>IF(AND($A14&gt;=SYear_O, $A14&lt;=EYear_O, O$3&gt;0), O$3 * VLOOKUP($A14, Data_All!$A$8:$CA$153, MATCH(O$2, Data_All!$B$2:$CA$2, 0)+1), "")</f>
        <v/>
      </c>
      <c r="P14" s="206" t="str">
        <f>IF(AND($A14&gt;=SYear_O, $A14&lt;=EYear_O, P$3&gt;0), P$3 * VLOOKUP($A14, Data_All!$A$8:$CA$153, MATCH(P$2, Data_All!$B$2:$CA$2, 0)+1), "")</f>
        <v/>
      </c>
      <c r="Q14" s="206" t="str">
        <f>IF(AND($A14&gt;=SYear_O, $A14&lt;=EYear_O, Q$3&gt;0), Q$3 * VLOOKUP($A14, Data_All!$A$8:$CA$153, MATCH(Q$2, Data_All!$B$2:$CA$2, 0)+1), "")</f>
        <v/>
      </c>
      <c r="R14" s="206" t="str">
        <f>IF(AND($A14&gt;=SYear_O, $A14&lt;=EYear_O, R$3&gt;0), R$3 * VLOOKUP($A14, Data_All!$A$8:$CA$153, MATCH(R$2, Data_All!$B$2:$CA$2, 0)+1), "")</f>
        <v/>
      </c>
      <c r="S14" s="206" t="str">
        <f>IF(AND($A14&gt;=SYear_O, $A14&lt;=EYear_O, S$3&gt;0), S$3 * VLOOKUP($A14, Data_All!$A$8:$CA$153, MATCH(S$2, Data_All!$B$2:$CA$2, 0)+1), "")</f>
        <v/>
      </c>
      <c r="T14" s="206" t="str">
        <f>IF(AND($A14&gt;=SYear_O, $A14&lt;=EYear_O, T$3&gt;0), T$3 * VLOOKUP($A14, Data_All!$A$8:$CA$153, MATCH(T$2, Data_All!$B$2:$CA$2, 0)+1), "")</f>
        <v/>
      </c>
      <c r="U14" s="206" t="str">
        <f>IF(AND($A14&gt;=SYear_O, $A14&lt;=EYear_O, U$3&gt;0), U$3 * VLOOKUP($A14, Data_All!$A$8:$CA$153, MATCH(U$2, Data_All!$B$2:$CA$2, 0)+1), "")</f>
        <v/>
      </c>
      <c r="V14" s="206" t="str">
        <f>IF(AND($A14&gt;=SYear_O, $A14&lt;=EYear_O, V$3&gt;0), V$3 * VLOOKUP($A14, Data_All!$A$8:$CA$153, MATCH(V$2, Data_All!$B$2:$CA$2, 0)+1), "")</f>
        <v/>
      </c>
      <c r="W14" s="206" t="str">
        <f>IF(AND($A14&gt;=SYear_O, $A14&lt;=EYear_O, W$3&gt;0), W$3 * VLOOKUP($A14, Data_All!$A$8:$CA$153, MATCH(W$2, Data_All!$B$2:$CA$2, 0)+1), "")</f>
        <v/>
      </c>
      <c r="X14" s="206" t="str">
        <f>IF(AND($A14&gt;=SYear_O, $A14&lt;=EYear_O, X$3&gt;0), X$3 * VLOOKUP($A14, Data_All!$A$8:$CA$153, MATCH(X$2, Data_All!$B$2:$CA$2, 0)+1), "")</f>
        <v/>
      </c>
      <c r="Y14" s="206" t="str">
        <f>IF(AND($A14&gt;=SYear_O, $A14&lt;=EYear_O, Y$3&gt;0), Y$3 * VLOOKUP($A14, Data_All!$A$8:$CA$153, MATCH(Y$2, Data_All!$B$2:$CA$2, 0)+1), "")</f>
        <v/>
      </c>
      <c r="Z14" s="206" t="str">
        <f>IF(AND($A14&gt;=SYear_O, $A14&lt;=EYear_O, Z$3&gt;0), Z$3 * VLOOKUP($A14, Data_All!$A$8:$CA$153, MATCH(Z$2, Data_All!$B$2:$CA$2, 0)+1), "")</f>
        <v/>
      </c>
      <c r="AA14" s="206" t="str">
        <f>IF(AND($A14&gt;=SYear_O, $A14&lt;=EYear_O, AA$3&gt;0), AA$3 * VLOOKUP($A14, Data_All!$A$8:$CA$153, MATCH(AA$2, Data_All!$B$2:$CA$2, 0)+1), "")</f>
        <v/>
      </c>
      <c r="AB14" s="206" t="str">
        <f>IF(AND($A14&gt;=SYear_O, $A14&lt;=EYear_O, AB$3&gt;0), AB$3 * VLOOKUP($A14, Data_All!$A$8:$CA$153, MATCH(AB$2, Data_All!$B$2:$CA$2, 0)+1), "")</f>
        <v/>
      </c>
      <c r="AC14" s="206" t="str">
        <f>IF(AND($A14&gt;=SYear_O, $A14&lt;=EYear_O, AC$3&gt;0), AC$3 * VLOOKUP($A14, Data_All!$A$8:$CA$153, MATCH(AC$2, Data_All!$B$2:$CA$2, 0)+1), "")</f>
        <v/>
      </c>
      <c r="AD14" s="206" t="str">
        <f>IF(AND($A14&gt;=SYear_O, $A14&lt;=EYear_O, AD$3&gt;0), AD$3 * VLOOKUP($A14, Data_All!$A$8:$CA$153, MATCH(AD$2, Data_All!$B$2:$CA$2, 0)+1), "")</f>
        <v/>
      </c>
      <c r="AE14" s="206" t="str">
        <f>IF(AND($A14&gt;=SYear_O, $A14&lt;=EYear_O, AE$3&gt;0), AE$3 * VLOOKUP($A14, Data_All!$A$8:$CA$153, MATCH(AE$2, Data_All!$B$2:$CA$2, 0)+1), "")</f>
        <v/>
      </c>
      <c r="AF14" s="206" t="str">
        <f>IF(AND($A14&gt;=SYear_O, $A14&lt;=EYear_O, AF$3&gt;0), AF$3 * VLOOKUP($A14, Data_All!$A$8:$CA$153, MATCH(AF$2, Data_All!$B$2:$CA$2, 0)+1), "")</f>
        <v/>
      </c>
      <c r="AG14" s="206" t="str">
        <f>IF(AND($A14&gt;=SYear_O, $A14&lt;=EYear_O, AG$3&gt;0), AG$3 * VLOOKUP($A14, Data_All!$A$8:$CA$153, MATCH(AG$2, Data_All!$B$2:$CA$2, 0)+1), "")</f>
        <v/>
      </c>
      <c r="AH14" s="206" t="str">
        <f>IF(AND($A14&gt;=SYear_O, $A14&lt;=EYear_O, AH$3&gt;0), AH$3 * VLOOKUP($A14, Data_All!$A$8:$CA$153, MATCH(AH$2, Data_All!$B$2:$CA$2, 0)+1), "")</f>
        <v/>
      </c>
      <c r="AI14" s="206" t="str">
        <f>IF(AND($A14&gt;=SYear_O, $A14&lt;=EYear_O, AI$3&gt;0), AI$3 * VLOOKUP($A14, Data_All!$A$8:$CA$153, MATCH(AI$2, Data_All!$B$2:$CA$2, 0)+1), "")</f>
        <v/>
      </c>
      <c r="AJ14" s="206" t="str">
        <f>IF(AND($A14&gt;=SYear_O, $A14&lt;=EYear_O, AJ$3&gt;0), AJ$3 * VLOOKUP($A14, Data_All!$A$8:$CA$153, MATCH(AJ$2, Data_All!$B$2:$CA$2, 0)+1), "")</f>
        <v/>
      </c>
      <c r="AK14" s="206" t="str">
        <f>IF(AND($A14&gt;=SYear_O, $A14&lt;=EYear_O, AK$3&gt;0), AK$3 * VLOOKUP($A14, Data_All!$A$8:$CA$153, MATCH(AK$2, Data_All!$B$2:$CA$2, 0)+1), "")</f>
        <v/>
      </c>
      <c r="AL14" s="206" t="str">
        <f>IF(AND($A14&gt;=SYear_O, $A14&lt;=EYear_O, AL$3&gt;0), AL$3 * VLOOKUP($A14, Data_All!$A$8:$CA$153, MATCH(AL$2, Data_All!$B$2:$CA$2, 0)+1), "")</f>
        <v/>
      </c>
      <c r="AM14" s="206" t="str">
        <f>IF(AND($A14&gt;=SYear_O, $A14&lt;=EYear_O, AM$3&gt;0), AM$3 * VLOOKUP($A14, Data_All!$A$8:$CA$153, MATCH(AM$2, Data_All!$B$2:$CA$2, 0)+1), "")</f>
        <v/>
      </c>
      <c r="AN14" s="206" t="str">
        <f>IF(AND($A14&gt;=SYear_O, $A14&lt;=EYear_O, AN$3&gt;0), AN$3 * VLOOKUP($A14, Data_All!$A$8:$CA$153, MATCH(AN$2, Data_All!$B$2:$CA$2, 0)+1), "")</f>
        <v/>
      </c>
      <c r="AO14" s="206" t="str">
        <f>IF(AND($A14&gt;=SYear_O, $A14&lt;=EYear_O, AO$3&gt;0), AO$3 * VLOOKUP($A14, Data_All!$A$8:$CA$153, MATCH(AO$2, Data_All!$B$2:$CA$2, 0)+1), "")</f>
        <v/>
      </c>
      <c r="AP14" s="206" t="str">
        <f>IF(AND($A14&gt;=SYear_O, $A14&lt;=EYear_O, AP$3&gt;0), AP$3 * VLOOKUP($A14, Data_All!$A$8:$CA$153, MATCH(AP$2, Data_All!$B$2:$CA$2, 0)+1), "")</f>
        <v/>
      </c>
      <c r="AQ14" s="206" t="str">
        <f>IF(AND($A14&gt;=SYear_O, $A14&lt;=EYear_O, AQ$3&gt;0), AQ$3 * VLOOKUP($A14, Data_All!$A$8:$CA$153, MATCH(AQ$2, Data_All!$B$2:$CA$2, 0)+1), "")</f>
        <v/>
      </c>
      <c r="AR14" s="206" t="str">
        <f>IF(AND($A14&gt;=SYear_O, $A14&lt;=EYear_O, AR$3&gt;0), AR$3 * VLOOKUP($A14, Data_All!$A$8:$CA$153, MATCH(AR$2, Data_All!$B$2:$CA$2, 0)+1), "")</f>
        <v/>
      </c>
      <c r="AS14" s="206" t="str">
        <f>IF(AND($A14&gt;=SYear_O, $A14&lt;=EYear_O, AS$3&gt;0), AS$3 * VLOOKUP($A14, Data_All!$A$8:$CA$153, MATCH(AS$2, Data_All!$B$2:$CA$2, 0)+1), "")</f>
        <v/>
      </c>
      <c r="AT14" s="206" t="str">
        <f>IF(AND($A14&gt;=SYear_O, $A14&lt;=EYear_O, AT$3&gt;0), AT$3 * VLOOKUP($A14, Data_All!$A$8:$CA$153, MATCH(AT$2, Data_All!$B$2:$CA$2, 0)+1), "")</f>
        <v/>
      </c>
      <c r="AU14" s="206" t="str">
        <f>IF(AND($A14&gt;=SYear_O, $A14&lt;=EYear_O, AU$3&gt;0), AU$3 * VLOOKUP($A14, Data_All!$A$8:$CA$153, MATCH(AU$2, Data_All!$B$2:$CA$2, 0)+1), "")</f>
        <v/>
      </c>
      <c r="AV14" s="206" t="str">
        <f>IF(AND($A14&gt;=SYear_O, $A14&lt;=EYear_O, AV$3&gt;0), AV$3 * VLOOKUP($A14, Data_All!$A$8:$CA$153, MATCH(AV$2, Data_All!$B$2:$CA$2, 0)+1), "")</f>
        <v/>
      </c>
      <c r="AW14" s="206" t="str">
        <f>IF(AND($A14&gt;=SYear_O, $A14&lt;=EYear_O, AW$3&gt;0), AW$3 * VLOOKUP($A14, Data_All!$A$8:$CA$153, MATCH(AW$2, Data_All!$B$2:$CA$2, 0)+1), "")</f>
        <v/>
      </c>
      <c r="AX14" s="206" t="str">
        <f>IF(AND($A14&gt;=SYear_O, $A14&lt;=EYear_O, AX$3&gt;0), AX$3 * VLOOKUP($A14, Data_All!$A$8:$CA$153, MATCH(AX$2, Data_All!$B$2:$CA$2, 0)+1), "")</f>
        <v/>
      </c>
      <c r="AY14" s="206" t="str">
        <f>IF(AND($A14&gt;=SYear_O, $A14&lt;=EYear_O, AY$3&gt;0), AY$3 * VLOOKUP($A14, Data_All!$A$8:$CA$153, MATCH(AY$2, Data_All!$B$2:$CA$2, 0)+1), "")</f>
        <v/>
      </c>
      <c r="AZ14" s="206" t="str">
        <f>IF(AND($A14&gt;=SYear_O, $A14&lt;=EYear_O, AZ$3&gt;0), AZ$3 * VLOOKUP($A14, Data_All!$A$8:$CA$153, MATCH(AZ$2, Data_All!$B$2:$CA$2, 0)+1), "")</f>
        <v/>
      </c>
      <c r="BA14" s="206" t="str">
        <f>IF(AND($A14&gt;=SYear_O, $A14&lt;=EYear_O, BA$3&gt;0), BA$3 * VLOOKUP($A14, Data_All!$A$8:$CA$153, MATCH(BA$2, Data_All!$B$2:$CA$2, 0)+1), "")</f>
        <v/>
      </c>
      <c r="BB14" s="206" t="str">
        <f>IF(AND($A14&gt;=SYear_O, $A14&lt;=EYear_O, BB$3&gt;0), BB$3 * VLOOKUP($A14, Data_All!$A$8:$CA$153, MATCH(BB$2, Data_All!$B$2:$CA$2, 0)+1), "")</f>
        <v/>
      </c>
      <c r="BC14" s="206" t="str">
        <f>IF(AND($A14&gt;=SYear_O, $A14&lt;=EYear_O, BC$3&gt;0), BC$3 * VLOOKUP($A14, Data_All!$A$8:$CA$153, MATCH(BC$2, Data_All!$B$2:$CA$2, 0)+1), "")</f>
        <v/>
      </c>
      <c r="BD14" s="206" t="str">
        <f>IF(AND($A14&gt;=SYear_O, $A14&lt;=EYear_O, BD$3&gt;0), BD$3 * VLOOKUP($A14, Data_All!$A$8:$CA$153, MATCH(BD$2, Data_All!$B$2:$CA$2, 0)+1), "")</f>
        <v/>
      </c>
      <c r="BE14" s="206" t="str">
        <f>IF(AND($A14&gt;=SYear_O, $A14&lt;=EYear_O, BE$3&gt;0), BE$3 * VLOOKUP($A14, Data_All!$A$8:$CA$153, MATCH(BE$2, Data_All!$B$2:$CA$2, 0)+1), "")</f>
        <v/>
      </c>
      <c r="BF14" s="206" t="str">
        <f>IF(AND($A14&gt;=SYear_O, $A14&lt;=EYear_O, BF$3&gt;0), BF$3 * VLOOKUP($A14, Data_All!$A$8:$CA$153, MATCH(BF$2, Data_All!$B$2:$CA$2, 0)+1), "")</f>
        <v/>
      </c>
      <c r="BG14" s="206" t="str">
        <f>IF(AND($A14&gt;=SYear_O, $A14&lt;=EYear_O, BG$3&gt;0), BG$3 * VLOOKUP($A14, Data_All!$A$8:$CA$153, MATCH(BG$2, Data_All!$B$2:$CA$2, 0)+1), "")</f>
        <v/>
      </c>
      <c r="BH14" s="206" t="str">
        <f>IF(AND($A14&gt;=SYear_O, $A14&lt;=EYear_O, BH$3&gt;0), BH$3 * VLOOKUP($A14, Data_All!$A$8:$CA$153, MATCH(BH$2, Data_All!$B$2:$CA$2, 0)+1), "")</f>
        <v/>
      </c>
      <c r="BI14" s="206" t="str">
        <f>IF(AND($A14&gt;=SYear_O, $A14&lt;=EYear_O, BI$3&gt;0), BI$3 * VLOOKUP($A14, Data_All!$A$8:$CA$153, MATCH(BI$2, Data_All!$B$2:$CA$2, 0)+1), "")</f>
        <v/>
      </c>
      <c r="BJ14" s="206" t="str">
        <f>IF(AND($A14&gt;=SYear_O, $A14&lt;=EYear_O, BJ$3&gt;0), BJ$3 * VLOOKUP($A14, Data_All!$A$8:$CA$153, MATCH(BJ$2, Data_All!$B$2:$CA$2, 0)+1), "")</f>
        <v/>
      </c>
      <c r="BK14" s="206" t="str">
        <f>IF(AND($A14&gt;=SYear_O, $A14&lt;=EYear_O, BK$3&gt;0), BK$3 * VLOOKUP($A14, Data_All!$A$8:$CA$153, MATCH(BK$2, Data_All!$B$2:$CA$2, 0)+1), "")</f>
        <v/>
      </c>
      <c r="BL14" s="206" t="str">
        <f>IF(AND($A14&gt;=SYear_O, $A14&lt;=EYear_O, BL$3&gt;0), BL$3 * VLOOKUP($A14, Data_All!$A$8:$CA$153, MATCH(BL$2, Data_All!$B$2:$CA$2, 0)+1), "")</f>
        <v/>
      </c>
      <c r="BM14" s="206" t="str">
        <f>IF(AND($A14&gt;=SYear_O, $A14&lt;=EYear_O, BM$3&gt;0), BM$3 * VLOOKUP($A14, Data_All!$A$8:$CA$153, MATCH(BM$2, Data_All!$B$2:$CA$2, 0)+1), "")</f>
        <v/>
      </c>
      <c r="BN14" s="206" t="str">
        <f>IF(AND($A14&gt;=SYear_O, $A14&lt;=EYear_O, BN$3&gt;0), BN$3 * VLOOKUP($A14, Data_All!$A$8:$CA$153, MATCH(BN$2, Data_All!$B$2:$CA$2, 0)+1), "")</f>
        <v/>
      </c>
      <c r="BO14" s="206" t="str">
        <f>IF(AND($A14&gt;=SYear_O, $A14&lt;=EYear_O, BO$3&gt;0), BO$3 * VLOOKUP($A14, Data_All!$A$8:$CA$153, MATCH(BO$2, Data_All!$B$2:$CA$2, 0)+1), "")</f>
        <v/>
      </c>
      <c r="BP14" s="206" t="str">
        <f>IF(AND($A14&gt;=SYear_O, $A14&lt;=EYear_O, BP$3&gt;0), BP$3 * VLOOKUP($A14, Data_All!$A$8:$CA$153, MATCH(BP$2, Data_All!$B$2:$CA$2, 0)+1), "")</f>
        <v/>
      </c>
      <c r="BQ14" s="206" t="str">
        <f>IF(AND($A14&gt;=SYear_O, $A14&lt;=EYear_O, BQ$3&gt;0), BQ$3 * VLOOKUP($A14, Data_All!$A$8:$CA$153, MATCH(BQ$2, Data_All!$B$2:$CA$2, 0)+1), "")</f>
        <v/>
      </c>
      <c r="BR14" s="206" t="str">
        <f>IF(AND($A14&gt;=SYear_O, $A14&lt;=EYear_O, BR$3&gt;0), BR$3 * VLOOKUP($A14, Data_All!$A$8:$CA$153, MATCH(BR$2, Data_All!$B$2:$CA$2, 0)+1), "")</f>
        <v/>
      </c>
      <c r="BS14" s="206" t="str">
        <f>IF(AND($A14&gt;=SYear_O, $A14&lt;=EYear_O, BS$3&gt;0), BS$3 * VLOOKUP($A14, Data_All!$A$8:$CA$153, MATCH(BS$2, Data_All!$B$2:$CA$2, 0)+1), "")</f>
        <v/>
      </c>
      <c r="BT14" s="206" t="str">
        <f>IF(AND($A14&gt;=SYear_O, $A14&lt;=EYear_O, BT$3&gt;0), BT$3 * VLOOKUP($A14, Data_All!$A$8:$CA$153, MATCH(BT$2, Data_All!$B$2:$CA$2, 0)+1), "")</f>
        <v/>
      </c>
      <c r="BU14" s="206" t="str">
        <f>IF(AND($A14&gt;=SYear_O, $A14&lt;=EYear_O, BU$3&gt;0), BU$3 * VLOOKUP($A14, Data_All!$A$8:$CA$153, MATCH(BU$2, Data_All!$B$2:$CA$2, 0)+1), "")</f>
        <v/>
      </c>
      <c r="BV14" s="206" t="str">
        <f>IF(AND($A14&gt;=SYear_O, $A14&lt;=EYear_O, BV$3&gt;0), BV$3 * VLOOKUP($A14, Data_All!$A$8:$CA$153, MATCH(BV$2, Data_All!$B$2:$CA$2, 0)+1), "")</f>
        <v/>
      </c>
      <c r="BW14" s="206" t="str">
        <f>IF(AND($A14&gt;=SYear_O, $A14&lt;=EYear_O, BW$3&gt;0), BW$3 * VLOOKUP($A14, Data_All!$A$8:$CA$153, MATCH(BW$2, Data_All!$B$2:$CA$2, 0)+1), "")</f>
        <v/>
      </c>
      <c r="BX14" s="206">
        <f>IF(AND($A14&gt;=SYear_O, $A14&lt;=EYear_O, BX$3&gt;0), BX$3 * VLOOKUP($A14, Data_All!$A$8:$CA$153, MATCH(BX$2, Data_All!$B$2:$CA$2, 0)+1), "")</f>
        <v>9.4153846153846157</v>
      </c>
      <c r="BY14" s="206">
        <f>IF(AND($A14&gt;=SYear_O, $A14&lt;=EYear_O, BY$3&gt;0), BY$3 * VLOOKUP($A14, Data_All!$A$8:$CA$153, MATCH(BY$2, Data_All!$B$2:$CA$2, 0)+1), "")</f>
        <v>2.3096037247855872</v>
      </c>
      <c r="BZ14" s="206" t="str">
        <f>IF(AND($A14&gt;=SYear_O, $A14&lt;=EYear_O, BZ$3&gt;0), BZ$3 * VLOOKUP($A14, Data_All!$A$8:$CA$153, MATCH(BZ$2, Data_All!$B$2:$CA$2, 0)+1), "")</f>
        <v/>
      </c>
      <c r="CA14" s="565">
        <f t="shared" si="2"/>
        <v>11.724988340170203</v>
      </c>
      <c r="CB14" s="427">
        <f t="shared" si="3"/>
        <v>14335.468786237911</v>
      </c>
      <c r="CC14" s="565">
        <f>IF(AND($A14&gt;=SYear_O,$A14&lt;=EYear_O),(CA14-Data_All!CA15)/(1+Data_All!CA15%),"")</f>
        <v>24.566301382670105</v>
      </c>
      <c r="CD14" s="436">
        <f t="shared" si="4"/>
        <v>21585.537557037911</v>
      </c>
      <c r="CE14" s="438">
        <f t="shared" si="5"/>
        <v>1.3002161062751689</v>
      </c>
      <c r="CF14" s="438">
        <f>IF(AND($A14&gt;=SYear_O,$A14&lt;=EYear_O),MAX($CE$7:CE14),"")</f>
        <v>1.3002161062751689</v>
      </c>
      <c r="CG14" s="209">
        <f t="shared" si="6"/>
        <v>0</v>
      </c>
      <c r="CI14" s="143">
        <f>IF(AND($A14&gt;=SYear_O,$A14&lt;=EYear_O),Data_All!V15,"")</f>
        <v>4.8056748925966639</v>
      </c>
      <c r="CJ14" s="143">
        <f>IF(AND($A14&gt;=SYear_O,$A14&lt;=EYear_O),Data_All!CA15,"")</f>
        <v>-10.308817794189086</v>
      </c>
      <c r="CK14" s="143">
        <f t="shared" si="7"/>
        <v>16.851704164299118</v>
      </c>
      <c r="CN14" s="61">
        <f t="shared" si="8"/>
        <v>0.11724988340170195</v>
      </c>
      <c r="CO14" s="61">
        <f t="shared" si="9"/>
        <v>0.19722748174952209</v>
      </c>
      <c r="CP14" s="61">
        <f t="shared" si="10"/>
        <v>0.1253548883190998</v>
      </c>
      <c r="CQ14" s="61">
        <f t="shared" si="11"/>
        <v>8.0539749296375085E-2</v>
      </c>
      <c r="CR14" s="61">
        <f t="shared" si="12"/>
        <v>6.7415368289781563E-2</v>
      </c>
      <c r="CU14" s="61">
        <f t="shared" si="13"/>
        <v>0.24566301382670108</v>
      </c>
      <c r="CV14" s="61">
        <f t="shared" si="14"/>
        <v>0.18910875252038606</v>
      </c>
      <c r="CW14" s="61">
        <f t="shared" si="15"/>
        <v>0.10765700752335139</v>
      </c>
      <c r="CX14" s="61">
        <f t="shared" si="16"/>
        <v>9.111199318424279E-2</v>
      </c>
      <c r="CY14" s="61">
        <f t="shared" si="17"/>
        <v>7.856477215289015E-2</v>
      </c>
    </row>
    <row r="15" spans="1:103">
      <c r="A15" s="204">
        <f t="shared" si="18"/>
        <v>1879</v>
      </c>
      <c r="B15" s="206" t="str">
        <f>IF(AND($A15&gt;=SYear_O, $A15&lt;=EYear_O, B$3&gt;0), B$3 * VLOOKUP($A15, Data_All!$A$8:$CA$153, MATCH(B$2, Data_All!$B$2:$CA$2, 0)+1), "")</f>
        <v/>
      </c>
      <c r="C15" s="206" t="str">
        <f>IF(AND($A15&gt;=SYear_O, $A15&lt;=EYear_O, C$3&gt;0), C$3 * VLOOKUP($A15, Data_All!$A$8:$CA$153, MATCH(C$2, Data_All!$B$2:$CA$2, 0)+1), "")</f>
        <v/>
      </c>
      <c r="D15" s="206" t="str">
        <f>IF(AND($A15&gt;=SYear_O, $A15&lt;=EYear_O, D$3&gt;0), D$3 * VLOOKUP($A15, Data_All!$A$8:$CA$153, MATCH(D$2, Data_All!$B$2:$CA$2, 0)+1), "")</f>
        <v/>
      </c>
      <c r="E15" s="206" t="str">
        <f>IF(AND($A15&gt;=SYear_O, $A15&lt;=EYear_O, E$3&gt;0), E$3 * VLOOKUP($A15, Data_All!$A$8:$CA$153, MATCH(E$2, Data_All!$B$2:$CA$2, 0)+1), "")</f>
        <v/>
      </c>
      <c r="F15" s="206" t="str">
        <f>IF(AND($A15&gt;=SYear_O, $A15&lt;=EYear_O, F$3&gt;0), F$3 * VLOOKUP($A15, Data_All!$A$8:$CA$153, MATCH(F$2, Data_All!$B$2:$CA$2, 0)+1), "")</f>
        <v/>
      </c>
      <c r="G15" s="206" t="str">
        <f>IF(AND($A15&gt;=SYear_O, $A15&lt;=EYear_O, G$3&gt;0), G$3 * VLOOKUP($A15, Data_All!$A$8:$CA$153, MATCH(G$2, Data_All!$B$2:$CA$2, 0)+1), "")</f>
        <v/>
      </c>
      <c r="H15" s="206" t="str">
        <f>IF(AND($A15&gt;=SYear_O, $A15&lt;=EYear_O, H$3&gt;0), H$3 * VLOOKUP($A15, Data_All!$A$8:$CA$153, MATCH(H$2, Data_All!$B$2:$CA$2, 0)+1), "")</f>
        <v/>
      </c>
      <c r="I15" s="206" t="str">
        <f>IF(AND($A15&gt;=SYear_O, $A15&lt;=EYear_O, I$3&gt;0), I$3 * VLOOKUP($A15, Data_All!$A$8:$CA$153, MATCH(I$2, Data_All!$B$2:$CA$2, 0)+1), "")</f>
        <v/>
      </c>
      <c r="J15" s="206" t="str">
        <f>IF(AND($A15&gt;=SYear_O, $A15&lt;=EYear_O, J$3&gt;0), J$3 * VLOOKUP($A15, Data_All!$A$8:$CA$153, MATCH(J$2, Data_All!$B$2:$CA$2, 0)+1), "")</f>
        <v/>
      </c>
      <c r="K15" s="206" t="str">
        <f>IF(AND($A15&gt;=SYear_O, $A15&lt;=EYear_O, K$3&gt;0), K$3 * VLOOKUP($A15, Data_All!$A$8:$CA$153, MATCH(K$2, Data_All!$B$2:$CA$2, 0)+1), "")</f>
        <v/>
      </c>
      <c r="L15" s="206" t="str">
        <f>IF(AND($A15&gt;=SYear_O, $A15&lt;=EYear_O, L$3&gt;0), L$3 * VLOOKUP($A15, Data_All!$A$8:$CA$153, MATCH(L$2, Data_All!$B$2:$CA$2, 0)+1), "")</f>
        <v/>
      </c>
      <c r="M15" s="206" t="str">
        <f>IF(AND($A15&gt;=SYear_O, $A15&lt;=EYear_O, M$3&gt;0), M$3 * VLOOKUP($A15, Data_All!$A$8:$CA$153, MATCH(M$2, Data_All!$B$2:$CA$2, 0)+1), "")</f>
        <v/>
      </c>
      <c r="N15" s="206" t="str">
        <f>IF(AND($A15&gt;=SYear_O, $A15&lt;=EYear_O, N$3&gt;0), N$3 * VLOOKUP($A15, Data_All!$A$8:$CA$153, MATCH(N$2, Data_All!$B$2:$CA$2, 0)+1), "")</f>
        <v/>
      </c>
      <c r="O15" s="206" t="str">
        <f>IF(AND($A15&gt;=SYear_O, $A15&lt;=EYear_O, O$3&gt;0), O$3 * VLOOKUP($A15, Data_All!$A$8:$CA$153, MATCH(O$2, Data_All!$B$2:$CA$2, 0)+1), "")</f>
        <v/>
      </c>
      <c r="P15" s="206" t="str">
        <f>IF(AND($A15&gt;=SYear_O, $A15&lt;=EYear_O, P$3&gt;0), P$3 * VLOOKUP($A15, Data_All!$A$8:$CA$153, MATCH(P$2, Data_All!$B$2:$CA$2, 0)+1), "")</f>
        <v/>
      </c>
      <c r="Q15" s="206" t="str">
        <f>IF(AND($A15&gt;=SYear_O, $A15&lt;=EYear_O, Q$3&gt;0), Q$3 * VLOOKUP($A15, Data_All!$A$8:$CA$153, MATCH(Q$2, Data_All!$B$2:$CA$2, 0)+1), "")</f>
        <v/>
      </c>
      <c r="R15" s="206" t="str">
        <f>IF(AND($A15&gt;=SYear_O, $A15&lt;=EYear_O, R$3&gt;0), R$3 * VLOOKUP($A15, Data_All!$A$8:$CA$153, MATCH(R$2, Data_All!$B$2:$CA$2, 0)+1), "")</f>
        <v/>
      </c>
      <c r="S15" s="206" t="str">
        <f>IF(AND($A15&gt;=SYear_O, $A15&lt;=EYear_O, S$3&gt;0), S$3 * VLOOKUP($A15, Data_All!$A$8:$CA$153, MATCH(S$2, Data_All!$B$2:$CA$2, 0)+1), "")</f>
        <v/>
      </c>
      <c r="T15" s="206" t="str">
        <f>IF(AND($A15&gt;=SYear_O, $A15&lt;=EYear_O, T$3&gt;0), T$3 * VLOOKUP($A15, Data_All!$A$8:$CA$153, MATCH(T$2, Data_All!$B$2:$CA$2, 0)+1), "")</f>
        <v/>
      </c>
      <c r="U15" s="206" t="str">
        <f>IF(AND($A15&gt;=SYear_O, $A15&lt;=EYear_O, U$3&gt;0), U$3 * VLOOKUP($A15, Data_All!$A$8:$CA$153, MATCH(U$2, Data_All!$B$2:$CA$2, 0)+1), "")</f>
        <v/>
      </c>
      <c r="V15" s="206" t="str">
        <f>IF(AND($A15&gt;=SYear_O, $A15&lt;=EYear_O, V$3&gt;0), V$3 * VLOOKUP($A15, Data_All!$A$8:$CA$153, MATCH(V$2, Data_All!$B$2:$CA$2, 0)+1), "")</f>
        <v/>
      </c>
      <c r="W15" s="206" t="str">
        <f>IF(AND($A15&gt;=SYear_O, $A15&lt;=EYear_O, W$3&gt;0), W$3 * VLOOKUP($A15, Data_All!$A$8:$CA$153, MATCH(W$2, Data_All!$B$2:$CA$2, 0)+1), "")</f>
        <v/>
      </c>
      <c r="X15" s="206" t="str">
        <f>IF(AND($A15&gt;=SYear_O, $A15&lt;=EYear_O, X$3&gt;0), X$3 * VLOOKUP($A15, Data_All!$A$8:$CA$153, MATCH(X$2, Data_All!$B$2:$CA$2, 0)+1), "")</f>
        <v/>
      </c>
      <c r="Y15" s="206" t="str">
        <f>IF(AND($A15&gt;=SYear_O, $A15&lt;=EYear_O, Y$3&gt;0), Y$3 * VLOOKUP($A15, Data_All!$A$8:$CA$153, MATCH(Y$2, Data_All!$B$2:$CA$2, 0)+1), "")</f>
        <v/>
      </c>
      <c r="Z15" s="206" t="str">
        <f>IF(AND($A15&gt;=SYear_O, $A15&lt;=EYear_O, Z$3&gt;0), Z$3 * VLOOKUP($A15, Data_All!$A$8:$CA$153, MATCH(Z$2, Data_All!$B$2:$CA$2, 0)+1), "")</f>
        <v/>
      </c>
      <c r="AA15" s="206" t="str">
        <f>IF(AND($A15&gt;=SYear_O, $A15&lt;=EYear_O, AA$3&gt;0), AA$3 * VLOOKUP($A15, Data_All!$A$8:$CA$153, MATCH(AA$2, Data_All!$B$2:$CA$2, 0)+1), "")</f>
        <v/>
      </c>
      <c r="AB15" s="206" t="str">
        <f>IF(AND($A15&gt;=SYear_O, $A15&lt;=EYear_O, AB$3&gt;0), AB$3 * VLOOKUP($A15, Data_All!$A$8:$CA$153, MATCH(AB$2, Data_All!$B$2:$CA$2, 0)+1), "")</f>
        <v/>
      </c>
      <c r="AC15" s="206" t="str">
        <f>IF(AND($A15&gt;=SYear_O, $A15&lt;=EYear_O, AC$3&gt;0), AC$3 * VLOOKUP($A15, Data_All!$A$8:$CA$153, MATCH(AC$2, Data_All!$B$2:$CA$2, 0)+1), "")</f>
        <v/>
      </c>
      <c r="AD15" s="206" t="str">
        <f>IF(AND($A15&gt;=SYear_O, $A15&lt;=EYear_O, AD$3&gt;0), AD$3 * VLOOKUP($A15, Data_All!$A$8:$CA$153, MATCH(AD$2, Data_All!$B$2:$CA$2, 0)+1), "")</f>
        <v/>
      </c>
      <c r="AE15" s="206" t="str">
        <f>IF(AND($A15&gt;=SYear_O, $A15&lt;=EYear_O, AE$3&gt;0), AE$3 * VLOOKUP($A15, Data_All!$A$8:$CA$153, MATCH(AE$2, Data_All!$B$2:$CA$2, 0)+1), "")</f>
        <v/>
      </c>
      <c r="AF15" s="206" t="str">
        <f>IF(AND($A15&gt;=SYear_O, $A15&lt;=EYear_O, AF$3&gt;0), AF$3 * VLOOKUP($A15, Data_All!$A$8:$CA$153, MATCH(AF$2, Data_All!$B$2:$CA$2, 0)+1), "")</f>
        <v/>
      </c>
      <c r="AG15" s="206" t="str">
        <f>IF(AND($A15&gt;=SYear_O, $A15&lt;=EYear_O, AG$3&gt;0), AG$3 * VLOOKUP($A15, Data_All!$A$8:$CA$153, MATCH(AG$2, Data_All!$B$2:$CA$2, 0)+1), "")</f>
        <v/>
      </c>
      <c r="AH15" s="206" t="str">
        <f>IF(AND($A15&gt;=SYear_O, $A15&lt;=EYear_O, AH$3&gt;0), AH$3 * VLOOKUP($A15, Data_All!$A$8:$CA$153, MATCH(AH$2, Data_All!$B$2:$CA$2, 0)+1), "")</f>
        <v/>
      </c>
      <c r="AI15" s="206" t="str">
        <f>IF(AND($A15&gt;=SYear_O, $A15&lt;=EYear_O, AI$3&gt;0), AI$3 * VLOOKUP($A15, Data_All!$A$8:$CA$153, MATCH(AI$2, Data_All!$B$2:$CA$2, 0)+1), "")</f>
        <v/>
      </c>
      <c r="AJ15" s="206" t="str">
        <f>IF(AND($A15&gt;=SYear_O, $A15&lt;=EYear_O, AJ$3&gt;0), AJ$3 * VLOOKUP($A15, Data_All!$A$8:$CA$153, MATCH(AJ$2, Data_All!$B$2:$CA$2, 0)+1), "")</f>
        <v/>
      </c>
      <c r="AK15" s="206" t="str">
        <f>IF(AND($A15&gt;=SYear_O, $A15&lt;=EYear_O, AK$3&gt;0), AK$3 * VLOOKUP($A15, Data_All!$A$8:$CA$153, MATCH(AK$2, Data_All!$B$2:$CA$2, 0)+1), "")</f>
        <v/>
      </c>
      <c r="AL15" s="206" t="str">
        <f>IF(AND($A15&gt;=SYear_O, $A15&lt;=EYear_O, AL$3&gt;0), AL$3 * VLOOKUP($A15, Data_All!$A$8:$CA$153, MATCH(AL$2, Data_All!$B$2:$CA$2, 0)+1), "")</f>
        <v/>
      </c>
      <c r="AM15" s="206" t="str">
        <f>IF(AND($A15&gt;=SYear_O, $A15&lt;=EYear_O, AM$3&gt;0), AM$3 * VLOOKUP($A15, Data_All!$A$8:$CA$153, MATCH(AM$2, Data_All!$B$2:$CA$2, 0)+1), "")</f>
        <v/>
      </c>
      <c r="AN15" s="206" t="str">
        <f>IF(AND($A15&gt;=SYear_O, $A15&lt;=EYear_O, AN$3&gt;0), AN$3 * VLOOKUP($A15, Data_All!$A$8:$CA$153, MATCH(AN$2, Data_All!$B$2:$CA$2, 0)+1), "")</f>
        <v/>
      </c>
      <c r="AO15" s="206" t="str">
        <f>IF(AND($A15&gt;=SYear_O, $A15&lt;=EYear_O, AO$3&gt;0), AO$3 * VLOOKUP($A15, Data_All!$A$8:$CA$153, MATCH(AO$2, Data_All!$B$2:$CA$2, 0)+1), "")</f>
        <v/>
      </c>
      <c r="AP15" s="206" t="str">
        <f>IF(AND($A15&gt;=SYear_O, $A15&lt;=EYear_O, AP$3&gt;0), AP$3 * VLOOKUP($A15, Data_All!$A$8:$CA$153, MATCH(AP$2, Data_All!$B$2:$CA$2, 0)+1), "")</f>
        <v/>
      </c>
      <c r="AQ15" s="206" t="str">
        <f>IF(AND($A15&gt;=SYear_O, $A15&lt;=EYear_O, AQ$3&gt;0), AQ$3 * VLOOKUP($A15, Data_All!$A$8:$CA$153, MATCH(AQ$2, Data_All!$B$2:$CA$2, 0)+1), "")</f>
        <v/>
      </c>
      <c r="AR15" s="206" t="str">
        <f>IF(AND($A15&gt;=SYear_O, $A15&lt;=EYear_O, AR$3&gt;0), AR$3 * VLOOKUP($A15, Data_All!$A$8:$CA$153, MATCH(AR$2, Data_All!$B$2:$CA$2, 0)+1), "")</f>
        <v/>
      </c>
      <c r="AS15" s="206" t="str">
        <f>IF(AND($A15&gt;=SYear_O, $A15&lt;=EYear_O, AS$3&gt;0), AS$3 * VLOOKUP($A15, Data_All!$A$8:$CA$153, MATCH(AS$2, Data_All!$B$2:$CA$2, 0)+1), "")</f>
        <v/>
      </c>
      <c r="AT15" s="206" t="str">
        <f>IF(AND($A15&gt;=SYear_O, $A15&lt;=EYear_O, AT$3&gt;0), AT$3 * VLOOKUP($A15, Data_All!$A$8:$CA$153, MATCH(AT$2, Data_All!$B$2:$CA$2, 0)+1), "")</f>
        <v/>
      </c>
      <c r="AU15" s="206" t="str">
        <f>IF(AND($A15&gt;=SYear_O, $A15&lt;=EYear_O, AU$3&gt;0), AU$3 * VLOOKUP($A15, Data_All!$A$8:$CA$153, MATCH(AU$2, Data_All!$B$2:$CA$2, 0)+1), "")</f>
        <v/>
      </c>
      <c r="AV15" s="206" t="str">
        <f>IF(AND($A15&gt;=SYear_O, $A15&lt;=EYear_O, AV$3&gt;0), AV$3 * VLOOKUP($A15, Data_All!$A$8:$CA$153, MATCH(AV$2, Data_All!$B$2:$CA$2, 0)+1), "")</f>
        <v/>
      </c>
      <c r="AW15" s="206" t="str">
        <f>IF(AND($A15&gt;=SYear_O, $A15&lt;=EYear_O, AW$3&gt;0), AW$3 * VLOOKUP($A15, Data_All!$A$8:$CA$153, MATCH(AW$2, Data_All!$B$2:$CA$2, 0)+1), "")</f>
        <v/>
      </c>
      <c r="AX15" s="206" t="str">
        <f>IF(AND($A15&gt;=SYear_O, $A15&lt;=EYear_O, AX$3&gt;0), AX$3 * VLOOKUP($A15, Data_All!$A$8:$CA$153, MATCH(AX$2, Data_All!$B$2:$CA$2, 0)+1), "")</f>
        <v/>
      </c>
      <c r="AY15" s="206" t="str">
        <f>IF(AND($A15&gt;=SYear_O, $A15&lt;=EYear_O, AY$3&gt;0), AY$3 * VLOOKUP($A15, Data_All!$A$8:$CA$153, MATCH(AY$2, Data_All!$B$2:$CA$2, 0)+1), "")</f>
        <v/>
      </c>
      <c r="AZ15" s="206" t="str">
        <f>IF(AND($A15&gt;=SYear_O, $A15&lt;=EYear_O, AZ$3&gt;0), AZ$3 * VLOOKUP($A15, Data_All!$A$8:$CA$153, MATCH(AZ$2, Data_All!$B$2:$CA$2, 0)+1), "")</f>
        <v/>
      </c>
      <c r="BA15" s="206" t="str">
        <f>IF(AND($A15&gt;=SYear_O, $A15&lt;=EYear_O, BA$3&gt;0), BA$3 * VLOOKUP($A15, Data_All!$A$8:$CA$153, MATCH(BA$2, Data_All!$B$2:$CA$2, 0)+1), "")</f>
        <v/>
      </c>
      <c r="BB15" s="206" t="str">
        <f>IF(AND($A15&gt;=SYear_O, $A15&lt;=EYear_O, BB$3&gt;0), BB$3 * VLOOKUP($A15, Data_All!$A$8:$CA$153, MATCH(BB$2, Data_All!$B$2:$CA$2, 0)+1), "")</f>
        <v/>
      </c>
      <c r="BC15" s="206" t="str">
        <f>IF(AND($A15&gt;=SYear_O, $A15&lt;=EYear_O, BC$3&gt;0), BC$3 * VLOOKUP($A15, Data_All!$A$8:$CA$153, MATCH(BC$2, Data_All!$B$2:$CA$2, 0)+1), "")</f>
        <v/>
      </c>
      <c r="BD15" s="206" t="str">
        <f>IF(AND($A15&gt;=SYear_O, $A15&lt;=EYear_O, BD$3&gt;0), BD$3 * VLOOKUP($A15, Data_All!$A$8:$CA$153, MATCH(BD$2, Data_All!$B$2:$CA$2, 0)+1), "")</f>
        <v/>
      </c>
      <c r="BE15" s="206" t="str">
        <f>IF(AND($A15&gt;=SYear_O, $A15&lt;=EYear_O, BE$3&gt;0), BE$3 * VLOOKUP($A15, Data_All!$A$8:$CA$153, MATCH(BE$2, Data_All!$B$2:$CA$2, 0)+1), "")</f>
        <v/>
      </c>
      <c r="BF15" s="206" t="str">
        <f>IF(AND($A15&gt;=SYear_O, $A15&lt;=EYear_O, BF$3&gt;0), BF$3 * VLOOKUP($A15, Data_All!$A$8:$CA$153, MATCH(BF$2, Data_All!$B$2:$CA$2, 0)+1), "")</f>
        <v/>
      </c>
      <c r="BG15" s="206" t="str">
        <f>IF(AND($A15&gt;=SYear_O, $A15&lt;=EYear_O, BG$3&gt;0), BG$3 * VLOOKUP($A15, Data_All!$A$8:$CA$153, MATCH(BG$2, Data_All!$B$2:$CA$2, 0)+1), "")</f>
        <v/>
      </c>
      <c r="BH15" s="206" t="str">
        <f>IF(AND($A15&gt;=SYear_O, $A15&lt;=EYear_O, BH$3&gt;0), BH$3 * VLOOKUP($A15, Data_All!$A$8:$CA$153, MATCH(BH$2, Data_All!$B$2:$CA$2, 0)+1), "")</f>
        <v/>
      </c>
      <c r="BI15" s="206" t="str">
        <f>IF(AND($A15&gt;=SYear_O, $A15&lt;=EYear_O, BI$3&gt;0), BI$3 * VLOOKUP($A15, Data_All!$A$8:$CA$153, MATCH(BI$2, Data_All!$B$2:$CA$2, 0)+1), "")</f>
        <v/>
      </c>
      <c r="BJ15" s="206" t="str">
        <f>IF(AND($A15&gt;=SYear_O, $A15&lt;=EYear_O, BJ$3&gt;0), BJ$3 * VLOOKUP($A15, Data_All!$A$8:$CA$153, MATCH(BJ$2, Data_All!$B$2:$CA$2, 0)+1), "")</f>
        <v/>
      </c>
      <c r="BK15" s="206" t="str">
        <f>IF(AND($A15&gt;=SYear_O, $A15&lt;=EYear_O, BK$3&gt;0), BK$3 * VLOOKUP($A15, Data_All!$A$8:$CA$153, MATCH(BK$2, Data_All!$B$2:$CA$2, 0)+1), "")</f>
        <v/>
      </c>
      <c r="BL15" s="206" t="str">
        <f>IF(AND($A15&gt;=SYear_O, $A15&lt;=EYear_O, BL$3&gt;0), BL$3 * VLOOKUP($A15, Data_All!$A$8:$CA$153, MATCH(BL$2, Data_All!$B$2:$CA$2, 0)+1), "")</f>
        <v/>
      </c>
      <c r="BM15" s="206" t="str">
        <f>IF(AND($A15&gt;=SYear_O, $A15&lt;=EYear_O, BM$3&gt;0), BM$3 * VLOOKUP($A15, Data_All!$A$8:$CA$153, MATCH(BM$2, Data_All!$B$2:$CA$2, 0)+1), "")</f>
        <v/>
      </c>
      <c r="BN15" s="206" t="str">
        <f>IF(AND($A15&gt;=SYear_O, $A15&lt;=EYear_O, BN$3&gt;0), BN$3 * VLOOKUP($A15, Data_All!$A$8:$CA$153, MATCH(BN$2, Data_All!$B$2:$CA$2, 0)+1), "")</f>
        <v/>
      </c>
      <c r="BO15" s="206" t="str">
        <f>IF(AND($A15&gt;=SYear_O, $A15&lt;=EYear_O, BO$3&gt;0), BO$3 * VLOOKUP($A15, Data_All!$A$8:$CA$153, MATCH(BO$2, Data_All!$B$2:$CA$2, 0)+1), "")</f>
        <v/>
      </c>
      <c r="BP15" s="206" t="str">
        <f>IF(AND($A15&gt;=SYear_O, $A15&lt;=EYear_O, BP$3&gt;0), BP$3 * VLOOKUP($A15, Data_All!$A$8:$CA$153, MATCH(BP$2, Data_All!$B$2:$CA$2, 0)+1), "")</f>
        <v/>
      </c>
      <c r="BQ15" s="206" t="str">
        <f>IF(AND($A15&gt;=SYear_O, $A15&lt;=EYear_O, BQ$3&gt;0), BQ$3 * VLOOKUP($A15, Data_All!$A$8:$CA$153, MATCH(BQ$2, Data_All!$B$2:$CA$2, 0)+1), "")</f>
        <v/>
      </c>
      <c r="BR15" s="206" t="str">
        <f>IF(AND($A15&gt;=SYear_O, $A15&lt;=EYear_O, BR$3&gt;0), BR$3 * VLOOKUP($A15, Data_All!$A$8:$CA$153, MATCH(BR$2, Data_All!$B$2:$CA$2, 0)+1), "")</f>
        <v/>
      </c>
      <c r="BS15" s="206" t="str">
        <f>IF(AND($A15&gt;=SYear_O, $A15&lt;=EYear_O, BS$3&gt;0), BS$3 * VLOOKUP($A15, Data_All!$A$8:$CA$153, MATCH(BS$2, Data_All!$B$2:$CA$2, 0)+1), "")</f>
        <v/>
      </c>
      <c r="BT15" s="206" t="str">
        <f>IF(AND($A15&gt;=SYear_O, $A15&lt;=EYear_O, BT$3&gt;0), BT$3 * VLOOKUP($A15, Data_All!$A$8:$CA$153, MATCH(BT$2, Data_All!$B$2:$CA$2, 0)+1), "")</f>
        <v/>
      </c>
      <c r="BU15" s="206" t="str">
        <f>IF(AND($A15&gt;=SYear_O, $A15&lt;=EYear_O, BU$3&gt;0), BU$3 * VLOOKUP($A15, Data_All!$A$8:$CA$153, MATCH(BU$2, Data_All!$B$2:$CA$2, 0)+1), "")</f>
        <v/>
      </c>
      <c r="BV15" s="206" t="str">
        <f>IF(AND($A15&gt;=SYear_O, $A15&lt;=EYear_O, BV$3&gt;0), BV$3 * VLOOKUP($A15, Data_All!$A$8:$CA$153, MATCH(BV$2, Data_All!$B$2:$CA$2, 0)+1), "")</f>
        <v/>
      </c>
      <c r="BW15" s="206" t="str">
        <f>IF(AND($A15&gt;=SYear_O, $A15&lt;=EYear_O, BW$3&gt;0), BW$3 * VLOOKUP($A15, Data_All!$A$8:$CA$153, MATCH(BW$2, Data_All!$B$2:$CA$2, 0)+1), "")</f>
        <v/>
      </c>
      <c r="BX15" s="206">
        <f>IF(AND($A15&gt;=SYear_O, $A15&lt;=EYear_O, BX$3&gt;0), BX$3 * VLOOKUP($A15, Data_All!$A$8:$CA$153, MATCH(BX$2, Data_All!$B$2:$CA$2, 0)+1), "")</f>
        <v>28.994413407821231</v>
      </c>
      <c r="BY15" s="206">
        <f>IF(AND($A15&gt;=SYear_O, $A15&lt;=EYear_O, BY$3&gt;0), BY$3 * VLOOKUP($A15, Data_All!$A$8:$CA$153, MATCH(BY$2, Data_All!$B$2:$CA$2, 0)+1), "")</f>
        <v>1.3065744849286087</v>
      </c>
      <c r="BZ15" s="206" t="str">
        <f>IF(AND($A15&gt;=SYear_O, $A15&lt;=EYear_O, BZ$3&gt;0), BZ$3 * VLOOKUP($A15, Data_All!$A$8:$CA$153, MATCH(BZ$2, Data_All!$B$2:$CA$2, 0)+1), "")</f>
        <v/>
      </c>
      <c r="CA15" s="565">
        <f t="shared" si="2"/>
        <v>30.300987892749838</v>
      </c>
      <c r="CB15" s="427">
        <f t="shared" si="3"/>
        <v>18679.257447524793</v>
      </c>
      <c r="CC15" s="565">
        <f>IF(AND($A15&gt;=SYear_O,$A15&lt;=EYear_O),(CA15-Data_All!CA16)/(1+Data_All!CA16%),"")</f>
        <v>7.9633731289498932</v>
      </c>
      <c r="CD15" s="436">
        <f t="shared" si="4"/>
        <v>23304.474454594456</v>
      </c>
      <c r="CE15" s="438">
        <f t="shared" si="5"/>
        <v>1.6941944312171913</v>
      </c>
      <c r="CF15" s="438">
        <f>IF(AND($A15&gt;=SYear_O,$A15&lt;=EYear_O),MAX($CE$7:CE15),"")</f>
        <v>1.6941944312171913</v>
      </c>
      <c r="CG15" s="209">
        <f t="shared" si="6"/>
        <v>0</v>
      </c>
      <c r="CI15" s="143">
        <f>IF(AND($A15&gt;=SYear_O,$A15&lt;=EYear_O),Data_All!V16,"")</f>
        <v>4.1562593665700875</v>
      </c>
      <c r="CJ15" s="143">
        <f>IF(AND($A15&gt;=SYear_O,$A15&lt;=EYear_O),Data_All!CA16,"")</f>
        <v>20.689993389813989</v>
      </c>
      <c r="CK15" s="143">
        <f t="shared" si="7"/>
        <v>-13.699341228598756</v>
      </c>
      <c r="CN15" s="61">
        <f t="shared" si="8"/>
        <v>0.30300987892749842</v>
      </c>
      <c r="CO15" s="61">
        <f t="shared" si="9"/>
        <v>0.16020589386690776</v>
      </c>
      <c r="CP15" s="61">
        <f t="shared" si="10"/>
        <v>9.6436214254189689E-2</v>
      </c>
      <c r="CQ15" s="61">
        <f t="shared" si="11"/>
        <v>7.253440774225739E-2</v>
      </c>
      <c r="CR15" s="61">
        <f t="shared" si="12"/>
        <v>5.5312570495979374E-2</v>
      </c>
      <c r="CU15" s="61">
        <f t="shared" si="13"/>
        <v>7.9633731289499021E-2</v>
      </c>
      <c r="CV15" s="61">
        <f t="shared" si="14"/>
        <v>8.2880232440464052E-2</v>
      </c>
      <c r="CW15" s="61">
        <f t="shared" si="15"/>
        <v>7.2835957724819878E-2</v>
      </c>
      <c r="CX15" s="61">
        <f t="shared" si="16"/>
        <v>7.6304818299231414E-2</v>
      </c>
      <c r="CY15" s="61">
        <f t="shared" si="17"/>
        <v>6.8710975274816066E-2</v>
      </c>
    </row>
    <row r="16" spans="1:103">
      <c r="A16" s="204">
        <f t="shared" si="18"/>
        <v>1880</v>
      </c>
      <c r="B16" s="206" t="str">
        <f>IF(AND($A16&gt;=SYear_O, $A16&lt;=EYear_O, B$3&gt;0), B$3 * VLOOKUP($A16, Data_All!$A$8:$CA$153, MATCH(B$2, Data_All!$B$2:$CA$2, 0)+1), "")</f>
        <v/>
      </c>
      <c r="C16" s="206" t="str">
        <f>IF(AND($A16&gt;=SYear_O, $A16&lt;=EYear_O, C$3&gt;0), C$3 * VLOOKUP($A16, Data_All!$A$8:$CA$153, MATCH(C$2, Data_All!$B$2:$CA$2, 0)+1), "")</f>
        <v/>
      </c>
      <c r="D16" s="206" t="str">
        <f>IF(AND($A16&gt;=SYear_O, $A16&lt;=EYear_O, D$3&gt;0), D$3 * VLOOKUP($A16, Data_All!$A$8:$CA$153, MATCH(D$2, Data_All!$B$2:$CA$2, 0)+1), "")</f>
        <v/>
      </c>
      <c r="E16" s="206" t="str">
        <f>IF(AND($A16&gt;=SYear_O, $A16&lt;=EYear_O, E$3&gt;0), E$3 * VLOOKUP($A16, Data_All!$A$8:$CA$153, MATCH(E$2, Data_All!$B$2:$CA$2, 0)+1), "")</f>
        <v/>
      </c>
      <c r="F16" s="206" t="str">
        <f>IF(AND($A16&gt;=SYear_O, $A16&lt;=EYear_O, F$3&gt;0), F$3 * VLOOKUP($A16, Data_All!$A$8:$CA$153, MATCH(F$2, Data_All!$B$2:$CA$2, 0)+1), "")</f>
        <v/>
      </c>
      <c r="G16" s="206" t="str">
        <f>IF(AND($A16&gt;=SYear_O, $A16&lt;=EYear_O, G$3&gt;0), G$3 * VLOOKUP($A16, Data_All!$A$8:$CA$153, MATCH(G$2, Data_All!$B$2:$CA$2, 0)+1), "")</f>
        <v/>
      </c>
      <c r="H16" s="206" t="str">
        <f>IF(AND($A16&gt;=SYear_O, $A16&lt;=EYear_O, H$3&gt;0), H$3 * VLOOKUP($A16, Data_All!$A$8:$CA$153, MATCH(H$2, Data_All!$B$2:$CA$2, 0)+1), "")</f>
        <v/>
      </c>
      <c r="I16" s="206" t="str">
        <f>IF(AND($A16&gt;=SYear_O, $A16&lt;=EYear_O, I$3&gt;0), I$3 * VLOOKUP($A16, Data_All!$A$8:$CA$153, MATCH(I$2, Data_All!$B$2:$CA$2, 0)+1), "")</f>
        <v/>
      </c>
      <c r="J16" s="206" t="str">
        <f>IF(AND($A16&gt;=SYear_O, $A16&lt;=EYear_O, J$3&gt;0), J$3 * VLOOKUP($A16, Data_All!$A$8:$CA$153, MATCH(J$2, Data_All!$B$2:$CA$2, 0)+1), "")</f>
        <v/>
      </c>
      <c r="K16" s="206" t="str">
        <f>IF(AND($A16&gt;=SYear_O, $A16&lt;=EYear_O, K$3&gt;0), K$3 * VLOOKUP($A16, Data_All!$A$8:$CA$153, MATCH(K$2, Data_All!$B$2:$CA$2, 0)+1), "")</f>
        <v/>
      </c>
      <c r="L16" s="206" t="str">
        <f>IF(AND($A16&gt;=SYear_O, $A16&lt;=EYear_O, L$3&gt;0), L$3 * VLOOKUP($A16, Data_All!$A$8:$CA$153, MATCH(L$2, Data_All!$B$2:$CA$2, 0)+1), "")</f>
        <v/>
      </c>
      <c r="M16" s="206" t="str">
        <f>IF(AND($A16&gt;=SYear_O, $A16&lt;=EYear_O, M$3&gt;0), M$3 * VLOOKUP($A16, Data_All!$A$8:$CA$153, MATCH(M$2, Data_All!$B$2:$CA$2, 0)+1), "")</f>
        <v/>
      </c>
      <c r="N16" s="206" t="str">
        <f>IF(AND($A16&gt;=SYear_O, $A16&lt;=EYear_O, N$3&gt;0), N$3 * VLOOKUP($A16, Data_All!$A$8:$CA$153, MATCH(N$2, Data_All!$B$2:$CA$2, 0)+1), "")</f>
        <v/>
      </c>
      <c r="O16" s="206" t="str">
        <f>IF(AND($A16&gt;=SYear_O, $A16&lt;=EYear_O, O$3&gt;0), O$3 * VLOOKUP($A16, Data_All!$A$8:$CA$153, MATCH(O$2, Data_All!$B$2:$CA$2, 0)+1), "")</f>
        <v/>
      </c>
      <c r="P16" s="206" t="str">
        <f>IF(AND($A16&gt;=SYear_O, $A16&lt;=EYear_O, P$3&gt;0), P$3 * VLOOKUP($A16, Data_All!$A$8:$CA$153, MATCH(P$2, Data_All!$B$2:$CA$2, 0)+1), "")</f>
        <v/>
      </c>
      <c r="Q16" s="206" t="str">
        <f>IF(AND($A16&gt;=SYear_O, $A16&lt;=EYear_O, Q$3&gt;0), Q$3 * VLOOKUP($A16, Data_All!$A$8:$CA$153, MATCH(Q$2, Data_All!$B$2:$CA$2, 0)+1), "")</f>
        <v/>
      </c>
      <c r="R16" s="206" t="str">
        <f>IF(AND($A16&gt;=SYear_O, $A16&lt;=EYear_O, R$3&gt;0), R$3 * VLOOKUP($A16, Data_All!$A$8:$CA$153, MATCH(R$2, Data_All!$B$2:$CA$2, 0)+1), "")</f>
        <v/>
      </c>
      <c r="S16" s="206" t="str">
        <f>IF(AND($A16&gt;=SYear_O, $A16&lt;=EYear_O, S$3&gt;0), S$3 * VLOOKUP($A16, Data_All!$A$8:$CA$153, MATCH(S$2, Data_All!$B$2:$CA$2, 0)+1), "")</f>
        <v/>
      </c>
      <c r="T16" s="206" t="str">
        <f>IF(AND($A16&gt;=SYear_O, $A16&lt;=EYear_O, T$3&gt;0), T$3 * VLOOKUP($A16, Data_All!$A$8:$CA$153, MATCH(T$2, Data_All!$B$2:$CA$2, 0)+1), "")</f>
        <v/>
      </c>
      <c r="U16" s="206" t="str">
        <f>IF(AND($A16&gt;=SYear_O, $A16&lt;=EYear_O, U$3&gt;0), U$3 * VLOOKUP($A16, Data_All!$A$8:$CA$153, MATCH(U$2, Data_All!$B$2:$CA$2, 0)+1), "")</f>
        <v/>
      </c>
      <c r="V16" s="206" t="str">
        <f>IF(AND($A16&gt;=SYear_O, $A16&lt;=EYear_O, V$3&gt;0), V$3 * VLOOKUP($A16, Data_All!$A$8:$CA$153, MATCH(V$2, Data_All!$B$2:$CA$2, 0)+1), "")</f>
        <v/>
      </c>
      <c r="W16" s="206" t="str">
        <f>IF(AND($A16&gt;=SYear_O, $A16&lt;=EYear_O, W$3&gt;0), W$3 * VLOOKUP($A16, Data_All!$A$8:$CA$153, MATCH(W$2, Data_All!$B$2:$CA$2, 0)+1), "")</f>
        <v/>
      </c>
      <c r="X16" s="206" t="str">
        <f>IF(AND($A16&gt;=SYear_O, $A16&lt;=EYear_O, X$3&gt;0), X$3 * VLOOKUP($A16, Data_All!$A$8:$CA$153, MATCH(X$2, Data_All!$B$2:$CA$2, 0)+1), "")</f>
        <v/>
      </c>
      <c r="Y16" s="206" t="str">
        <f>IF(AND($A16&gt;=SYear_O, $A16&lt;=EYear_O, Y$3&gt;0), Y$3 * VLOOKUP($A16, Data_All!$A$8:$CA$153, MATCH(Y$2, Data_All!$B$2:$CA$2, 0)+1), "")</f>
        <v/>
      </c>
      <c r="Z16" s="206" t="str">
        <f>IF(AND($A16&gt;=SYear_O, $A16&lt;=EYear_O, Z$3&gt;0), Z$3 * VLOOKUP($A16, Data_All!$A$8:$CA$153, MATCH(Z$2, Data_All!$B$2:$CA$2, 0)+1), "")</f>
        <v/>
      </c>
      <c r="AA16" s="206" t="str">
        <f>IF(AND($A16&gt;=SYear_O, $A16&lt;=EYear_O, AA$3&gt;0), AA$3 * VLOOKUP($A16, Data_All!$A$8:$CA$153, MATCH(AA$2, Data_All!$B$2:$CA$2, 0)+1), "")</f>
        <v/>
      </c>
      <c r="AB16" s="206" t="str">
        <f>IF(AND($A16&gt;=SYear_O, $A16&lt;=EYear_O, AB$3&gt;0), AB$3 * VLOOKUP($A16, Data_All!$A$8:$CA$153, MATCH(AB$2, Data_All!$B$2:$CA$2, 0)+1), "")</f>
        <v/>
      </c>
      <c r="AC16" s="206" t="str">
        <f>IF(AND($A16&gt;=SYear_O, $A16&lt;=EYear_O, AC$3&gt;0), AC$3 * VLOOKUP($A16, Data_All!$A$8:$CA$153, MATCH(AC$2, Data_All!$B$2:$CA$2, 0)+1), "")</f>
        <v/>
      </c>
      <c r="AD16" s="206" t="str">
        <f>IF(AND($A16&gt;=SYear_O, $A16&lt;=EYear_O, AD$3&gt;0), AD$3 * VLOOKUP($A16, Data_All!$A$8:$CA$153, MATCH(AD$2, Data_All!$B$2:$CA$2, 0)+1), "")</f>
        <v/>
      </c>
      <c r="AE16" s="206" t="str">
        <f>IF(AND($A16&gt;=SYear_O, $A16&lt;=EYear_O, AE$3&gt;0), AE$3 * VLOOKUP($A16, Data_All!$A$8:$CA$153, MATCH(AE$2, Data_All!$B$2:$CA$2, 0)+1), "")</f>
        <v/>
      </c>
      <c r="AF16" s="206" t="str">
        <f>IF(AND($A16&gt;=SYear_O, $A16&lt;=EYear_O, AF$3&gt;0), AF$3 * VLOOKUP($A16, Data_All!$A$8:$CA$153, MATCH(AF$2, Data_All!$B$2:$CA$2, 0)+1), "")</f>
        <v/>
      </c>
      <c r="AG16" s="206" t="str">
        <f>IF(AND($A16&gt;=SYear_O, $A16&lt;=EYear_O, AG$3&gt;0), AG$3 * VLOOKUP($A16, Data_All!$A$8:$CA$153, MATCH(AG$2, Data_All!$B$2:$CA$2, 0)+1), "")</f>
        <v/>
      </c>
      <c r="AH16" s="206" t="str">
        <f>IF(AND($A16&gt;=SYear_O, $A16&lt;=EYear_O, AH$3&gt;0), AH$3 * VLOOKUP($A16, Data_All!$A$8:$CA$153, MATCH(AH$2, Data_All!$B$2:$CA$2, 0)+1), "")</f>
        <v/>
      </c>
      <c r="AI16" s="206" t="str">
        <f>IF(AND($A16&gt;=SYear_O, $A16&lt;=EYear_O, AI$3&gt;0), AI$3 * VLOOKUP($A16, Data_All!$A$8:$CA$153, MATCH(AI$2, Data_All!$B$2:$CA$2, 0)+1), "")</f>
        <v/>
      </c>
      <c r="AJ16" s="206" t="str">
        <f>IF(AND($A16&gt;=SYear_O, $A16&lt;=EYear_O, AJ$3&gt;0), AJ$3 * VLOOKUP($A16, Data_All!$A$8:$CA$153, MATCH(AJ$2, Data_All!$B$2:$CA$2, 0)+1), "")</f>
        <v/>
      </c>
      <c r="AK16" s="206" t="str">
        <f>IF(AND($A16&gt;=SYear_O, $A16&lt;=EYear_O, AK$3&gt;0), AK$3 * VLOOKUP($A16, Data_All!$A$8:$CA$153, MATCH(AK$2, Data_All!$B$2:$CA$2, 0)+1), "")</f>
        <v/>
      </c>
      <c r="AL16" s="206" t="str">
        <f>IF(AND($A16&gt;=SYear_O, $A16&lt;=EYear_O, AL$3&gt;0), AL$3 * VLOOKUP($A16, Data_All!$A$8:$CA$153, MATCH(AL$2, Data_All!$B$2:$CA$2, 0)+1), "")</f>
        <v/>
      </c>
      <c r="AM16" s="206" t="str">
        <f>IF(AND($A16&gt;=SYear_O, $A16&lt;=EYear_O, AM$3&gt;0), AM$3 * VLOOKUP($A16, Data_All!$A$8:$CA$153, MATCH(AM$2, Data_All!$B$2:$CA$2, 0)+1), "")</f>
        <v/>
      </c>
      <c r="AN16" s="206" t="str">
        <f>IF(AND($A16&gt;=SYear_O, $A16&lt;=EYear_O, AN$3&gt;0), AN$3 * VLOOKUP($A16, Data_All!$A$8:$CA$153, MATCH(AN$2, Data_All!$B$2:$CA$2, 0)+1), "")</f>
        <v/>
      </c>
      <c r="AO16" s="206" t="str">
        <f>IF(AND($A16&gt;=SYear_O, $A16&lt;=EYear_O, AO$3&gt;0), AO$3 * VLOOKUP($A16, Data_All!$A$8:$CA$153, MATCH(AO$2, Data_All!$B$2:$CA$2, 0)+1), "")</f>
        <v/>
      </c>
      <c r="AP16" s="206" t="str">
        <f>IF(AND($A16&gt;=SYear_O, $A16&lt;=EYear_O, AP$3&gt;0), AP$3 * VLOOKUP($A16, Data_All!$A$8:$CA$153, MATCH(AP$2, Data_All!$B$2:$CA$2, 0)+1), "")</f>
        <v/>
      </c>
      <c r="AQ16" s="206" t="str">
        <f>IF(AND($A16&gt;=SYear_O, $A16&lt;=EYear_O, AQ$3&gt;0), AQ$3 * VLOOKUP($A16, Data_All!$A$8:$CA$153, MATCH(AQ$2, Data_All!$B$2:$CA$2, 0)+1), "")</f>
        <v/>
      </c>
      <c r="AR16" s="206" t="str">
        <f>IF(AND($A16&gt;=SYear_O, $A16&lt;=EYear_O, AR$3&gt;0), AR$3 * VLOOKUP($A16, Data_All!$A$8:$CA$153, MATCH(AR$2, Data_All!$B$2:$CA$2, 0)+1), "")</f>
        <v/>
      </c>
      <c r="AS16" s="206" t="str">
        <f>IF(AND($A16&gt;=SYear_O, $A16&lt;=EYear_O, AS$3&gt;0), AS$3 * VLOOKUP($A16, Data_All!$A$8:$CA$153, MATCH(AS$2, Data_All!$B$2:$CA$2, 0)+1), "")</f>
        <v/>
      </c>
      <c r="AT16" s="206" t="str">
        <f>IF(AND($A16&gt;=SYear_O, $A16&lt;=EYear_O, AT$3&gt;0), AT$3 * VLOOKUP($A16, Data_All!$A$8:$CA$153, MATCH(AT$2, Data_All!$B$2:$CA$2, 0)+1), "")</f>
        <v/>
      </c>
      <c r="AU16" s="206" t="str">
        <f>IF(AND($A16&gt;=SYear_O, $A16&lt;=EYear_O, AU$3&gt;0), AU$3 * VLOOKUP($A16, Data_All!$A$8:$CA$153, MATCH(AU$2, Data_All!$B$2:$CA$2, 0)+1), "")</f>
        <v/>
      </c>
      <c r="AV16" s="206" t="str">
        <f>IF(AND($A16&gt;=SYear_O, $A16&lt;=EYear_O, AV$3&gt;0), AV$3 * VLOOKUP($A16, Data_All!$A$8:$CA$153, MATCH(AV$2, Data_All!$B$2:$CA$2, 0)+1), "")</f>
        <v/>
      </c>
      <c r="AW16" s="206" t="str">
        <f>IF(AND($A16&gt;=SYear_O, $A16&lt;=EYear_O, AW$3&gt;0), AW$3 * VLOOKUP($A16, Data_All!$A$8:$CA$153, MATCH(AW$2, Data_All!$B$2:$CA$2, 0)+1), "")</f>
        <v/>
      </c>
      <c r="AX16" s="206" t="str">
        <f>IF(AND($A16&gt;=SYear_O, $A16&lt;=EYear_O, AX$3&gt;0), AX$3 * VLOOKUP($A16, Data_All!$A$8:$CA$153, MATCH(AX$2, Data_All!$B$2:$CA$2, 0)+1), "")</f>
        <v/>
      </c>
      <c r="AY16" s="206" t="str">
        <f>IF(AND($A16&gt;=SYear_O, $A16&lt;=EYear_O, AY$3&gt;0), AY$3 * VLOOKUP($A16, Data_All!$A$8:$CA$153, MATCH(AY$2, Data_All!$B$2:$CA$2, 0)+1), "")</f>
        <v/>
      </c>
      <c r="AZ16" s="206" t="str">
        <f>IF(AND($A16&gt;=SYear_O, $A16&lt;=EYear_O, AZ$3&gt;0), AZ$3 * VLOOKUP($A16, Data_All!$A$8:$CA$153, MATCH(AZ$2, Data_All!$B$2:$CA$2, 0)+1), "")</f>
        <v/>
      </c>
      <c r="BA16" s="206" t="str">
        <f>IF(AND($A16&gt;=SYear_O, $A16&lt;=EYear_O, BA$3&gt;0), BA$3 * VLOOKUP($A16, Data_All!$A$8:$CA$153, MATCH(BA$2, Data_All!$B$2:$CA$2, 0)+1), "")</f>
        <v/>
      </c>
      <c r="BB16" s="206" t="str">
        <f>IF(AND($A16&gt;=SYear_O, $A16&lt;=EYear_O, BB$3&gt;0), BB$3 * VLOOKUP($A16, Data_All!$A$8:$CA$153, MATCH(BB$2, Data_All!$B$2:$CA$2, 0)+1), "")</f>
        <v/>
      </c>
      <c r="BC16" s="206" t="str">
        <f>IF(AND($A16&gt;=SYear_O, $A16&lt;=EYear_O, BC$3&gt;0), BC$3 * VLOOKUP($A16, Data_All!$A$8:$CA$153, MATCH(BC$2, Data_All!$B$2:$CA$2, 0)+1), "")</f>
        <v/>
      </c>
      <c r="BD16" s="206" t="str">
        <f>IF(AND($A16&gt;=SYear_O, $A16&lt;=EYear_O, BD$3&gt;0), BD$3 * VLOOKUP($A16, Data_All!$A$8:$CA$153, MATCH(BD$2, Data_All!$B$2:$CA$2, 0)+1), "")</f>
        <v/>
      </c>
      <c r="BE16" s="206" t="str">
        <f>IF(AND($A16&gt;=SYear_O, $A16&lt;=EYear_O, BE$3&gt;0), BE$3 * VLOOKUP($A16, Data_All!$A$8:$CA$153, MATCH(BE$2, Data_All!$B$2:$CA$2, 0)+1), "")</f>
        <v/>
      </c>
      <c r="BF16" s="206" t="str">
        <f>IF(AND($A16&gt;=SYear_O, $A16&lt;=EYear_O, BF$3&gt;0), BF$3 * VLOOKUP($A16, Data_All!$A$8:$CA$153, MATCH(BF$2, Data_All!$B$2:$CA$2, 0)+1), "")</f>
        <v/>
      </c>
      <c r="BG16" s="206" t="str">
        <f>IF(AND($A16&gt;=SYear_O, $A16&lt;=EYear_O, BG$3&gt;0), BG$3 * VLOOKUP($A16, Data_All!$A$8:$CA$153, MATCH(BG$2, Data_All!$B$2:$CA$2, 0)+1), "")</f>
        <v/>
      </c>
      <c r="BH16" s="206" t="str">
        <f>IF(AND($A16&gt;=SYear_O, $A16&lt;=EYear_O, BH$3&gt;0), BH$3 * VLOOKUP($A16, Data_All!$A$8:$CA$153, MATCH(BH$2, Data_All!$B$2:$CA$2, 0)+1), "")</f>
        <v/>
      </c>
      <c r="BI16" s="206" t="str">
        <f>IF(AND($A16&gt;=SYear_O, $A16&lt;=EYear_O, BI$3&gt;0), BI$3 * VLOOKUP($A16, Data_All!$A$8:$CA$153, MATCH(BI$2, Data_All!$B$2:$CA$2, 0)+1), "")</f>
        <v/>
      </c>
      <c r="BJ16" s="206" t="str">
        <f>IF(AND($A16&gt;=SYear_O, $A16&lt;=EYear_O, BJ$3&gt;0), BJ$3 * VLOOKUP($A16, Data_All!$A$8:$CA$153, MATCH(BJ$2, Data_All!$B$2:$CA$2, 0)+1), "")</f>
        <v/>
      </c>
      <c r="BK16" s="206" t="str">
        <f>IF(AND($A16&gt;=SYear_O, $A16&lt;=EYear_O, BK$3&gt;0), BK$3 * VLOOKUP($A16, Data_All!$A$8:$CA$153, MATCH(BK$2, Data_All!$B$2:$CA$2, 0)+1), "")</f>
        <v/>
      </c>
      <c r="BL16" s="206" t="str">
        <f>IF(AND($A16&gt;=SYear_O, $A16&lt;=EYear_O, BL$3&gt;0), BL$3 * VLOOKUP($A16, Data_All!$A$8:$CA$153, MATCH(BL$2, Data_All!$B$2:$CA$2, 0)+1), "")</f>
        <v/>
      </c>
      <c r="BM16" s="206" t="str">
        <f>IF(AND($A16&gt;=SYear_O, $A16&lt;=EYear_O, BM$3&gt;0), BM$3 * VLOOKUP($A16, Data_All!$A$8:$CA$153, MATCH(BM$2, Data_All!$B$2:$CA$2, 0)+1), "")</f>
        <v/>
      </c>
      <c r="BN16" s="206" t="str">
        <f>IF(AND($A16&gt;=SYear_O, $A16&lt;=EYear_O, BN$3&gt;0), BN$3 * VLOOKUP($A16, Data_All!$A$8:$CA$153, MATCH(BN$2, Data_All!$B$2:$CA$2, 0)+1), "")</f>
        <v/>
      </c>
      <c r="BO16" s="206" t="str">
        <f>IF(AND($A16&gt;=SYear_O, $A16&lt;=EYear_O, BO$3&gt;0), BO$3 * VLOOKUP($A16, Data_All!$A$8:$CA$153, MATCH(BO$2, Data_All!$B$2:$CA$2, 0)+1), "")</f>
        <v/>
      </c>
      <c r="BP16" s="206" t="str">
        <f>IF(AND($A16&gt;=SYear_O, $A16&lt;=EYear_O, BP$3&gt;0), BP$3 * VLOOKUP($A16, Data_All!$A$8:$CA$153, MATCH(BP$2, Data_All!$B$2:$CA$2, 0)+1), "")</f>
        <v/>
      </c>
      <c r="BQ16" s="206" t="str">
        <f>IF(AND($A16&gt;=SYear_O, $A16&lt;=EYear_O, BQ$3&gt;0), BQ$3 * VLOOKUP($A16, Data_All!$A$8:$CA$153, MATCH(BQ$2, Data_All!$B$2:$CA$2, 0)+1), "")</f>
        <v/>
      </c>
      <c r="BR16" s="206" t="str">
        <f>IF(AND($A16&gt;=SYear_O, $A16&lt;=EYear_O, BR$3&gt;0), BR$3 * VLOOKUP($A16, Data_All!$A$8:$CA$153, MATCH(BR$2, Data_All!$B$2:$CA$2, 0)+1), "")</f>
        <v/>
      </c>
      <c r="BS16" s="206" t="str">
        <f>IF(AND($A16&gt;=SYear_O, $A16&lt;=EYear_O, BS$3&gt;0), BS$3 * VLOOKUP($A16, Data_All!$A$8:$CA$153, MATCH(BS$2, Data_All!$B$2:$CA$2, 0)+1), "")</f>
        <v/>
      </c>
      <c r="BT16" s="206" t="str">
        <f>IF(AND($A16&gt;=SYear_O, $A16&lt;=EYear_O, BT$3&gt;0), BT$3 * VLOOKUP($A16, Data_All!$A$8:$CA$153, MATCH(BT$2, Data_All!$B$2:$CA$2, 0)+1), "")</f>
        <v/>
      </c>
      <c r="BU16" s="206" t="str">
        <f>IF(AND($A16&gt;=SYear_O, $A16&lt;=EYear_O, BU$3&gt;0), BU$3 * VLOOKUP($A16, Data_All!$A$8:$CA$153, MATCH(BU$2, Data_All!$B$2:$CA$2, 0)+1), "")</f>
        <v/>
      </c>
      <c r="BV16" s="206" t="str">
        <f>IF(AND($A16&gt;=SYear_O, $A16&lt;=EYear_O, BV$3&gt;0), BV$3 * VLOOKUP($A16, Data_All!$A$8:$CA$153, MATCH(BV$2, Data_All!$B$2:$CA$2, 0)+1), "")</f>
        <v/>
      </c>
      <c r="BW16" s="206" t="str">
        <f>IF(AND($A16&gt;=SYear_O, $A16&lt;=EYear_O, BW$3&gt;0), BW$3 * VLOOKUP($A16, Data_All!$A$8:$CA$153, MATCH(BW$2, Data_All!$B$2:$CA$2, 0)+1), "")</f>
        <v/>
      </c>
      <c r="BX16" s="206">
        <f>IF(AND($A16&gt;=SYear_O, $A16&lt;=EYear_O, BX$3&gt;0), BX$3 * VLOOKUP($A16, Data_All!$A$8:$CA$153, MATCH(BX$2, Data_All!$B$2:$CA$2, 0)+1), "")</f>
        <v>15.733855185909972</v>
      </c>
      <c r="BY16" s="206">
        <f>IF(AND($A16&gt;=SYear_O, $A16&lt;=EYear_O, BY$3&gt;0), BY$3 * VLOOKUP($A16, Data_All!$A$8:$CA$153, MATCH(BY$2, Data_All!$B$2:$CA$2, 0)+1), "")</f>
        <v>2.1439403742655916</v>
      </c>
      <c r="BZ16" s="206" t="str">
        <f>IF(AND($A16&gt;=SYear_O, $A16&lt;=EYear_O, BZ$3&gt;0), BZ$3 * VLOOKUP($A16, Data_All!$A$8:$CA$153, MATCH(BZ$2, Data_All!$B$2:$CA$2, 0)+1), "")</f>
        <v/>
      </c>
      <c r="CA16" s="565">
        <f t="shared" si="2"/>
        <v>17.877795560175564</v>
      </c>
      <c r="CB16" s="427">
        <f t="shared" si="3"/>
        <v>22018.696906152145</v>
      </c>
      <c r="CC16" s="565">
        <f>IF(AND($A16&gt;=SYear_O,$A16&lt;=EYear_O),(CA16-Data_All!CA17)/(1+Data_All!CA17%),"")</f>
        <v>25.022365819746788</v>
      </c>
      <c r="CD16" s="436">
        <f t="shared" si="4"/>
        <v>29135.805304992522</v>
      </c>
      <c r="CE16" s="438">
        <f t="shared" si="5"/>
        <v>1.9970790480220799</v>
      </c>
      <c r="CF16" s="438">
        <f>IF(AND($A16&gt;=SYear_O,$A16&lt;=EYear_O),MAX($CE$7:CE16),"")</f>
        <v>1.9970790480220799</v>
      </c>
      <c r="CG16" s="209">
        <f t="shared" si="6"/>
        <v>0</v>
      </c>
      <c r="CI16" s="143">
        <f>IF(AND($A16&gt;=SYear_O,$A16&lt;=EYear_O),Data_All!V17,"")</f>
        <v>5.0054950544509946</v>
      </c>
      <c r="CJ16" s="143">
        <f>IF(AND($A16&gt;=SYear_O,$A16&lt;=EYear_O),Data_All!CA17,"")</f>
        <v>-5.714633707917538</v>
      </c>
      <c r="CK16" s="143">
        <f t="shared" si="7"/>
        <v>11.369875500254324</v>
      </c>
      <c r="CN16" s="61">
        <f t="shared" si="8"/>
        <v>0.17877795560175569</v>
      </c>
      <c r="CO16" s="61">
        <f t="shared" si="9"/>
        <v>7.4277535417721419E-2</v>
      </c>
      <c r="CP16" s="61">
        <f t="shared" si="10"/>
        <v>2.9789443501798019E-2</v>
      </c>
      <c r="CQ16" s="61">
        <f t="shared" si="11"/>
        <v>4.9591987826769879E-2</v>
      </c>
      <c r="CR16" s="61">
        <f t="shared" si="12"/>
        <v>3.9486193684477033E-2</v>
      </c>
      <c r="CU16" s="61">
        <f t="shared" si="13"/>
        <v>0.25022365819746795</v>
      </c>
      <c r="CV16" s="61">
        <f t="shared" si="14"/>
        <v>7.4277535417721419E-2</v>
      </c>
      <c r="CW16" s="61">
        <f t="shared" si="15"/>
        <v>6.9258443054767804E-2</v>
      </c>
      <c r="CX16" s="61">
        <f t="shared" si="16"/>
        <v>7.852595496120629E-2</v>
      </c>
      <c r="CY16" s="61">
        <f t="shared" si="17"/>
        <v>6.8992938437513418E-2</v>
      </c>
    </row>
    <row r="17" spans="1:103">
      <c r="A17" s="204">
        <f t="shared" si="18"/>
        <v>1881</v>
      </c>
      <c r="B17" s="206" t="str">
        <f>IF(AND($A17&gt;=SYear_O, $A17&lt;=EYear_O, B$3&gt;0), B$3 * VLOOKUP($A17, Data_All!$A$8:$CA$153, MATCH(B$2, Data_All!$B$2:$CA$2, 0)+1), "")</f>
        <v/>
      </c>
      <c r="C17" s="206" t="str">
        <f>IF(AND($A17&gt;=SYear_O, $A17&lt;=EYear_O, C$3&gt;0), C$3 * VLOOKUP($A17, Data_All!$A$8:$CA$153, MATCH(C$2, Data_All!$B$2:$CA$2, 0)+1), "")</f>
        <v/>
      </c>
      <c r="D17" s="206" t="str">
        <f>IF(AND($A17&gt;=SYear_O, $A17&lt;=EYear_O, D$3&gt;0), D$3 * VLOOKUP($A17, Data_All!$A$8:$CA$153, MATCH(D$2, Data_All!$B$2:$CA$2, 0)+1), "")</f>
        <v/>
      </c>
      <c r="E17" s="206" t="str">
        <f>IF(AND($A17&gt;=SYear_O, $A17&lt;=EYear_O, E$3&gt;0), E$3 * VLOOKUP($A17, Data_All!$A$8:$CA$153, MATCH(E$2, Data_All!$B$2:$CA$2, 0)+1), "")</f>
        <v/>
      </c>
      <c r="F17" s="206" t="str">
        <f>IF(AND($A17&gt;=SYear_O, $A17&lt;=EYear_O, F$3&gt;0), F$3 * VLOOKUP($A17, Data_All!$A$8:$CA$153, MATCH(F$2, Data_All!$B$2:$CA$2, 0)+1), "")</f>
        <v/>
      </c>
      <c r="G17" s="206" t="str">
        <f>IF(AND($A17&gt;=SYear_O, $A17&lt;=EYear_O, G$3&gt;0), G$3 * VLOOKUP($A17, Data_All!$A$8:$CA$153, MATCH(G$2, Data_All!$B$2:$CA$2, 0)+1), "")</f>
        <v/>
      </c>
      <c r="H17" s="206" t="str">
        <f>IF(AND($A17&gt;=SYear_O, $A17&lt;=EYear_O, H$3&gt;0), H$3 * VLOOKUP($A17, Data_All!$A$8:$CA$153, MATCH(H$2, Data_All!$B$2:$CA$2, 0)+1), "")</f>
        <v/>
      </c>
      <c r="I17" s="206" t="str">
        <f>IF(AND($A17&gt;=SYear_O, $A17&lt;=EYear_O, I$3&gt;0), I$3 * VLOOKUP($A17, Data_All!$A$8:$CA$153, MATCH(I$2, Data_All!$B$2:$CA$2, 0)+1), "")</f>
        <v/>
      </c>
      <c r="J17" s="206" t="str">
        <f>IF(AND($A17&gt;=SYear_O, $A17&lt;=EYear_O, J$3&gt;0), J$3 * VLOOKUP($A17, Data_All!$A$8:$CA$153, MATCH(J$2, Data_All!$B$2:$CA$2, 0)+1), "")</f>
        <v/>
      </c>
      <c r="K17" s="206" t="str">
        <f>IF(AND($A17&gt;=SYear_O, $A17&lt;=EYear_O, K$3&gt;0), K$3 * VLOOKUP($A17, Data_All!$A$8:$CA$153, MATCH(K$2, Data_All!$B$2:$CA$2, 0)+1), "")</f>
        <v/>
      </c>
      <c r="L17" s="206" t="str">
        <f>IF(AND($A17&gt;=SYear_O, $A17&lt;=EYear_O, L$3&gt;0), L$3 * VLOOKUP($A17, Data_All!$A$8:$CA$153, MATCH(L$2, Data_All!$B$2:$CA$2, 0)+1), "")</f>
        <v/>
      </c>
      <c r="M17" s="206" t="str">
        <f>IF(AND($A17&gt;=SYear_O, $A17&lt;=EYear_O, M$3&gt;0), M$3 * VLOOKUP($A17, Data_All!$A$8:$CA$153, MATCH(M$2, Data_All!$B$2:$CA$2, 0)+1), "")</f>
        <v/>
      </c>
      <c r="N17" s="206" t="str">
        <f>IF(AND($A17&gt;=SYear_O, $A17&lt;=EYear_O, N$3&gt;0), N$3 * VLOOKUP($A17, Data_All!$A$8:$CA$153, MATCH(N$2, Data_All!$B$2:$CA$2, 0)+1), "")</f>
        <v/>
      </c>
      <c r="O17" s="206" t="str">
        <f>IF(AND($A17&gt;=SYear_O, $A17&lt;=EYear_O, O$3&gt;0), O$3 * VLOOKUP($A17, Data_All!$A$8:$CA$153, MATCH(O$2, Data_All!$B$2:$CA$2, 0)+1), "")</f>
        <v/>
      </c>
      <c r="P17" s="206" t="str">
        <f>IF(AND($A17&gt;=SYear_O, $A17&lt;=EYear_O, P$3&gt;0), P$3 * VLOOKUP($A17, Data_All!$A$8:$CA$153, MATCH(P$2, Data_All!$B$2:$CA$2, 0)+1), "")</f>
        <v/>
      </c>
      <c r="Q17" s="206" t="str">
        <f>IF(AND($A17&gt;=SYear_O, $A17&lt;=EYear_O, Q$3&gt;0), Q$3 * VLOOKUP($A17, Data_All!$A$8:$CA$153, MATCH(Q$2, Data_All!$B$2:$CA$2, 0)+1), "")</f>
        <v/>
      </c>
      <c r="R17" s="206" t="str">
        <f>IF(AND($A17&gt;=SYear_O, $A17&lt;=EYear_O, R$3&gt;0), R$3 * VLOOKUP($A17, Data_All!$A$8:$CA$153, MATCH(R$2, Data_All!$B$2:$CA$2, 0)+1), "")</f>
        <v/>
      </c>
      <c r="S17" s="206" t="str">
        <f>IF(AND($A17&gt;=SYear_O, $A17&lt;=EYear_O, S$3&gt;0), S$3 * VLOOKUP($A17, Data_All!$A$8:$CA$153, MATCH(S$2, Data_All!$B$2:$CA$2, 0)+1), "")</f>
        <v/>
      </c>
      <c r="T17" s="206" t="str">
        <f>IF(AND($A17&gt;=SYear_O, $A17&lt;=EYear_O, T$3&gt;0), T$3 * VLOOKUP($A17, Data_All!$A$8:$CA$153, MATCH(T$2, Data_All!$B$2:$CA$2, 0)+1), "")</f>
        <v/>
      </c>
      <c r="U17" s="206" t="str">
        <f>IF(AND($A17&gt;=SYear_O, $A17&lt;=EYear_O, U$3&gt;0), U$3 * VLOOKUP($A17, Data_All!$A$8:$CA$153, MATCH(U$2, Data_All!$B$2:$CA$2, 0)+1), "")</f>
        <v/>
      </c>
      <c r="V17" s="206" t="str">
        <f>IF(AND($A17&gt;=SYear_O, $A17&lt;=EYear_O, V$3&gt;0), V$3 * VLOOKUP($A17, Data_All!$A$8:$CA$153, MATCH(V$2, Data_All!$B$2:$CA$2, 0)+1), "")</f>
        <v/>
      </c>
      <c r="W17" s="206" t="str">
        <f>IF(AND($A17&gt;=SYear_O, $A17&lt;=EYear_O, W$3&gt;0), W$3 * VLOOKUP($A17, Data_All!$A$8:$CA$153, MATCH(W$2, Data_All!$B$2:$CA$2, 0)+1), "")</f>
        <v/>
      </c>
      <c r="X17" s="206" t="str">
        <f>IF(AND($A17&gt;=SYear_O, $A17&lt;=EYear_O, X$3&gt;0), X$3 * VLOOKUP($A17, Data_All!$A$8:$CA$153, MATCH(X$2, Data_All!$B$2:$CA$2, 0)+1), "")</f>
        <v/>
      </c>
      <c r="Y17" s="206" t="str">
        <f>IF(AND($A17&gt;=SYear_O, $A17&lt;=EYear_O, Y$3&gt;0), Y$3 * VLOOKUP($A17, Data_All!$A$8:$CA$153, MATCH(Y$2, Data_All!$B$2:$CA$2, 0)+1), "")</f>
        <v/>
      </c>
      <c r="Z17" s="206" t="str">
        <f>IF(AND($A17&gt;=SYear_O, $A17&lt;=EYear_O, Z$3&gt;0), Z$3 * VLOOKUP($A17, Data_All!$A$8:$CA$153, MATCH(Z$2, Data_All!$B$2:$CA$2, 0)+1), "")</f>
        <v/>
      </c>
      <c r="AA17" s="206" t="str">
        <f>IF(AND($A17&gt;=SYear_O, $A17&lt;=EYear_O, AA$3&gt;0), AA$3 * VLOOKUP($A17, Data_All!$A$8:$CA$153, MATCH(AA$2, Data_All!$B$2:$CA$2, 0)+1), "")</f>
        <v/>
      </c>
      <c r="AB17" s="206" t="str">
        <f>IF(AND($A17&gt;=SYear_O, $A17&lt;=EYear_O, AB$3&gt;0), AB$3 * VLOOKUP($A17, Data_All!$A$8:$CA$153, MATCH(AB$2, Data_All!$B$2:$CA$2, 0)+1), "")</f>
        <v/>
      </c>
      <c r="AC17" s="206" t="str">
        <f>IF(AND($A17&gt;=SYear_O, $A17&lt;=EYear_O, AC$3&gt;0), AC$3 * VLOOKUP($A17, Data_All!$A$8:$CA$153, MATCH(AC$2, Data_All!$B$2:$CA$2, 0)+1), "")</f>
        <v/>
      </c>
      <c r="AD17" s="206" t="str">
        <f>IF(AND($A17&gt;=SYear_O, $A17&lt;=EYear_O, AD$3&gt;0), AD$3 * VLOOKUP($A17, Data_All!$A$8:$CA$153, MATCH(AD$2, Data_All!$B$2:$CA$2, 0)+1), "")</f>
        <v/>
      </c>
      <c r="AE17" s="206" t="str">
        <f>IF(AND($A17&gt;=SYear_O, $A17&lt;=EYear_O, AE$3&gt;0), AE$3 * VLOOKUP($A17, Data_All!$A$8:$CA$153, MATCH(AE$2, Data_All!$B$2:$CA$2, 0)+1), "")</f>
        <v/>
      </c>
      <c r="AF17" s="206" t="str">
        <f>IF(AND($A17&gt;=SYear_O, $A17&lt;=EYear_O, AF$3&gt;0), AF$3 * VLOOKUP($A17, Data_All!$A$8:$CA$153, MATCH(AF$2, Data_All!$B$2:$CA$2, 0)+1), "")</f>
        <v/>
      </c>
      <c r="AG17" s="206" t="str">
        <f>IF(AND($A17&gt;=SYear_O, $A17&lt;=EYear_O, AG$3&gt;0), AG$3 * VLOOKUP($A17, Data_All!$A$8:$CA$153, MATCH(AG$2, Data_All!$B$2:$CA$2, 0)+1), "")</f>
        <v/>
      </c>
      <c r="AH17" s="206" t="str">
        <f>IF(AND($A17&gt;=SYear_O, $A17&lt;=EYear_O, AH$3&gt;0), AH$3 * VLOOKUP($A17, Data_All!$A$8:$CA$153, MATCH(AH$2, Data_All!$B$2:$CA$2, 0)+1), "")</f>
        <v/>
      </c>
      <c r="AI17" s="206" t="str">
        <f>IF(AND($A17&gt;=SYear_O, $A17&lt;=EYear_O, AI$3&gt;0), AI$3 * VLOOKUP($A17, Data_All!$A$8:$CA$153, MATCH(AI$2, Data_All!$B$2:$CA$2, 0)+1), "")</f>
        <v/>
      </c>
      <c r="AJ17" s="206" t="str">
        <f>IF(AND($A17&gt;=SYear_O, $A17&lt;=EYear_O, AJ$3&gt;0), AJ$3 * VLOOKUP($A17, Data_All!$A$8:$CA$153, MATCH(AJ$2, Data_All!$B$2:$CA$2, 0)+1), "")</f>
        <v/>
      </c>
      <c r="AK17" s="206" t="str">
        <f>IF(AND($A17&gt;=SYear_O, $A17&lt;=EYear_O, AK$3&gt;0), AK$3 * VLOOKUP($A17, Data_All!$A$8:$CA$153, MATCH(AK$2, Data_All!$B$2:$CA$2, 0)+1), "")</f>
        <v/>
      </c>
      <c r="AL17" s="206" t="str">
        <f>IF(AND($A17&gt;=SYear_O, $A17&lt;=EYear_O, AL$3&gt;0), AL$3 * VLOOKUP($A17, Data_All!$A$8:$CA$153, MATCH(AL$2, Data_All!$B$2:$CA$2, 0)+1), "")</f>
        <v/>
      </c>
      <c r="AM17" s="206" t="str">
        <f>IF(AND($A17&gt;=SYear_O, $A17&lt;=EYear_O, AM$3&gt;0), AM$3 * VLOOKUP($A17, Data_All!$A$8:$CA$153, MATCH(AM$2, Data_All!$B$2:$CA$2, 0)+1), "")</f>
        <v/>
      </c>
      <c r="AN17" s="206" t="str">
        <f>IF(AND($A17&gt;=SYear_O, $A17&lt;=EYear_O, AN$3&gt;0), AN$3 * VLOOKUP($A17, Data_All!$A$8:$CA$153, MATCH(AN$2, Data_All!$B$2:$CA$2, 0)+1), "")</f>
        <v/>
      </c>
      <c r="AO17" s="206" t="str">
        <f>IF(AND($A17&gt;=SYear_O, $A17&lt;=EYear_O, AO$3&gt;0), AO$3 * VLOOKUP($A17, Data_All!$A$8:$CA$153, MATCH(AO$2, Data_All!$B$2:$CA$2, 0)+1), "")</f>
        <v/>
      </c>
      <c r="AP17" s="206" t="str">
        <f>IF(AND($A17&gt;=SYear_O, $A17&lt;=EYear_O, AP$3&gt;0), AP$3 * VLOOKUP($A17, Data_All!$A$8:$CA$153, MATCH(AP$2, Data_All!$B$2:$CA$2, 0)+1), "")</f>
        <v/>
      </c>
      <c r="AQ17" s="206" t="str">
        <f>IF(AND($A17&gt;=SYear_O, $A17&lt;=EYear_O, AQ$3&gt;0), AQ$3 * VLOOKUP($A17, Data_All!$A$8:$CA$153, MATCH(AQ$2, Data_All!$B$2:$CA$2, 0)+1), "")</f>
        <v/>
      </c>
      <c r="AR17" s="206" t="str">
        <f>IF(AND($A17&gt;=SYear_O, $A17&lt;=EYear_O, AR$3&gt;0), AR$3 * VLOOKUP($A17, Data_All!$A$8:$CA$153, MATCH(AR$2, Data_All!$B$2:$CA$2, 0)+1), "")</f>
        <v/>
      </c>
      <c r="AS17" s="206" t="str">
        <f>IF(AND($A17&gt;=SYear_O, $A17&lt;=EYear_O, AS$3&gt;0), AS$3 * VLOOKUP($A17, Data_All!$A$8:$CA$153, MATCH(AS$2, Data_All!$B$2:$CA$2, 0)+1), "")</f>
        <v/>
      </c>
      <c r="AT17" s="206" t="str">
        <f>IF(AND($A17&gt;=SYear_O, $A17&lt;=EYear_O, AT$3&gt;0), AT$3 * VLOOKUP($A17, Data_All!$A$8:$CA$153, MATCH(AT$2, Data_All!$B$2:$CA$2, 0)+1), "")</f>
        <v/>
      </c>
      <c r="AU17" s="206" t="str">
        <f>IF(AND($A17&gt;=SYear_O, $A17&lt;=EYear_O, AU$3&gt;0), AU$3 * VLOOKUP($A17, Data_All!$A$8:$CA$153, MATCH(AU$2, Data_All!$B$2:$CA$2, 0)+1), "")</f>
        <v/>
      </c>
      <c r="AV17" s="206" t="str">
        <f>IF(AND($A17&gt;=SYear_O, $A17&lt;=EYear_O, AV$3&gt;0), AV$3 * VLOOKUP($A17, Data_All!$A$8:$CA$153, MATCH(AV$2, Data_All!$B$2:$CA$2, 0)+1), "")</f>
        <v/>
      </c>
      <c r="AW17" s="206" t="str">
        <f>IF(AND($A17&gt;=SYear_O, $A17&lt;=EYear_O, AW$3&gt;0), AW$3 * VLOOKUP($A17, Data_All!$A$8:$CA$153, MATCH(AW$2, Data_All!$B$2:$CA$2, 0)+1), "")</f>
        <v/>
      </c>
      <c r="AX17" s="206" t="str">
        <f>IF(AND($A17&gt;=SYear_O, $A17&lt;=EYear_O, AX$3&gt;0), AX$3 * VLOOKUP($A17, Data_All!$A$8:$CA$153, MATCH(AX$2, Data_All!$B$2:$CA$2, 0)+1), "")</f>
        <v/>
      </c>
      <c r="AY17" s="206" t="str">
        <f>IF(AND($A17&gt;=SYear_O, $A17&lt;=EYear_O, AY$3&gt;0), AY$3 * VLOOKUP($A17, Data_All!$A$8:$CA$153, MATCH(AY$2, Data_All!$B$2:$CA$2, 0)+1), "")</f>
        <v/>
      </c>
      <c r="AZ17" s="206" t="str">
        <f>IF(AND($A17&gt;=SYear_O, $A17&lt;=EYear_O, AZ$3&gt;0), AZ$3 * VLOOKUP($A17, Data_All!$A$8:$CA$153, MATCH(AZ$2, Data_All!$B$2:$CA$2, 0)+1), "")</f>
        <v/>
      </c>
      <c r="BA17" s="206" t="str">
        <f>IF(AND($A17&gt;=SYear_O, $A17&lt;=EYear_O, BA$3&gt;0), BA$3 * VLOOKUP($A17, Data_All!$A$8:$CA$153, MATCH(BA$2, Data_All!$B$2:$CA$2, 0)+1), "")</f>
        <v/>
      </c>
      <c r="BB17" s="206" t="str">
        <f>IF(AND($A17&gt;=SYear_O, $A17&lt;=EYear_O, BB$3&gt;0), BB$3 * VLOOKUP($A17, Data_All!$A$8:$CA$153, MATCH(BB$2, Data_All!$B$2:$CA$2, 0)+1), "")</f>
        <v/>
      </c>
      <c r="BC17" s="206" t="str">
        <f>IF(AND($A17&gt;=SYear_O, $A17&lt;=EYear_O, BC$3&gt;0), BC$3 * VLOOKUP($A17, Data_All!$A$8:$CA$153, MATCH(BC$2, Data_All!$B$2:$CA$2, 0)+1), "")</f>
        <v/>
      </c>
      <c r="BD17" s="206" t="str">
        <f>IF(AND($A17&gt;=SYear_O, $A17&lt;=EYear_O, BD$3&gt;0), BD$3 * VLOOKUP($A17, Data_All!$A$8:$CA$153, MATCH(BD$2, Data_All!$B$2:$CA$2, 0)+1), "")</f>
        <v/>
      </c>
      <c r="BE17" s="206" t="str">
        <f>IF(AND($A17&gt;=SYear_O, $A17&lt;=EYear_O, BE$3&gt;0), BE$3 * VLOOKUP($A17, Data_All!$A$8:$CA$153, MATCH(BE$2, Data_All!$B$2:$CA$2, 0)+1), "")</f>
        <v/>
      </c>
      <c r="BF17" s="206" t="str">
        <f>IF(AND($A17&gt;=SYear_O, $A17&lt;=EYear_O, BF$3&gt;0), BF$3 * VLOOKUP($A17, Data_All!$A$8:$CA$153, MATCH(BF$2, Data_All!$B$2:$CA$2, 0)+1), "")</f>
        <v/>
      </c>
      <c r="BG17" s="206" t="str">
        <f>IF(AND($A17&gt;=SYear_O, $A17&lt;=EYear_O, BG$3&gt;0), BG$3 * VLOOKUP($A17, Data_All!$A$8:$CA$153, MATCH(BG$2, Data_All!$B$2:$CA$2, 0)+1), "")</f>
        <v/>
      </c>
      <c r="BH17" s="206" t="str">
        <f>IF(AND($A17&gt;=SYear_O, $A17&lt;=EYear_O, BH$3&gt;0), BH$3 * VLOOKUP($A17, Data_All!$A$8:$CA$153, MATCH(BH$2, Data_All!$B$2:$CA$2, 0)+1), "")</f>
        <v/>
      </c>
      <c r="BI17" s="206" t="str">
        <f>IF(AND($A17&gt;=SYear_O, $A17&lt;=EYear_O, BI$3&gt;0), BI$3 * VLOOKUP($A17, Data_All!$A$8:$CA$153, MATCH(BI$2, Data_All!$B$2:$CA$2, 0)+1), "")</f>
        <v/>
      </c>
      <c r="BJ17" s="206" t="str">
        <f>IF(AND($A17&gt;=SYear_O, $A17&lt;=EYear_O, BJ$3&gt;0), BJ$3 * VLOOKUP($A17, Data_All!$A$8:$CA$153, MATCH(BJ$2, Data_All!$B$2:$CA$2, 0)+1), "")</f>
        <v/>
      </c>
      <c r="BK17" s="206" t="str">
        <f>IF(AND($A17&gt;=SYear_O, $A17&lt;=EYear_O, BK$3&gt;0), BK$3 * VLOOKUP($A17, Data_All!$A$8:$CA$153, MATCH(BK$2, Data_All!$B$2:$CA$2, 0)+1), "")</f>
        <v/>
      </c>
      <c r="BL17" s="206" t="str">
        <f>IF(AND($A17&gt;=SYear_O, $A17&lt;=EYear_O, BL$3&gt;0), BL$3 * VLOOKUP($A17, Data_All!$A$8:$CA$153, MATCH(BL$2, Data_All!$B$2:$CA$2, 0)+1), "")</f>
        <v/>
      </c>
      <c r="BM17" s="206" t="str">
        <f>IF(AND($A17&gt;=SYear_O, $A17&lt;=EYear_O, BM$3&gt;0), BM$3 * VLOOKUP($A17, Data_All!$A$8:$CA$153, MATCH(BM$2, Data_All!$B$2:$CA$2, 0)+1), "")</f>
        <v/>
      </c>
      <c r="BN17" s="206" t="str">
        <f>IF(AND($A17&gt;=SYear_O, $A17&lt;=EYear_O, BN$3&gt;0), BN$3 * VLOOKUP($A17, Data_All!$A$8:$CA$153, MATCH(BN$2, Data_All!$B$2:$CA$2, 0)+1), "")</f>
        <v/>
      </c>
      <c r="BO17" s="206" t="str">
        <f>IF(AND($A17&gt;=SYear_O, $A17&lt;=EYear_O, BO$3&gt;0), BO$3 * VLOOKUP($A17, Data_All!$A$8:$CA$153, MATCH(BO$2, Data_All!$B$2:$CA$2, 0)+1), "")</f>
        <v/>
      </c>
      <c r="BP17" s="206" t="str">
        <f>IF(AND($A17&gt;=SYear_O, $A17&lt;=EYear_O, BP$3&gt;0), BP$3 * VLOOKUP($A17, Data_All!$A$8:$CA$153, MATCH(BP$2, Data_All!$B$2:$CA$2, 0)+1), "")</f>
        <v/>
      </c>
      <c r="BQ17" s="206" t="str">
        <f>IF(AND($A17&gt;=SYear_O, $A17&lt;=EYear_O, BQ$3&gt;0), BQ$3 * VLOOKUP($A17, Data_All!$A$8:$CA$153, MATCH(BQ$2, Data_All!$B$2:$CA$2, 0)+1), "")</f>
        <v/>
      </c>
      <c r="BR17" s="206" t="str">
        <f>IF(AND($A17&gt;=SYear_O, $A17&lt;=EYear_O, BR$3&gt;0), BR$3 * VLOOKUP($A17, Data_All!$A$8:$CA$153, MATCH(BR$2, Data_All!$B$2:$CA$2, 0)+1), "")</f>
        <v/>
      </c>
      <c r="BS17" s="206" t="str">
        <f>IF(AND($A17&gt;=SYear_O, $A17&lt;=EYear_O, BS$3&gt;0), BS$3 * VLOOKUP($A17, Data_All!$A$8:$CA$153, MATCH(BS$2, Data_All!$B$2:$CA$2, 0)+1), "")</f>
        <v/>
      </c>
      <c r="BT17" s="206" t="str">
        <f>IF(AND($A17&gt;=SYear_O, $A17&lt;=EYear_O, BT$3&gt;0), BT$3 * VLOOKUP($A17, Data_All!$A$8:$CA$153, MATCH(BT$2, Data_All!$B$2:$CA$2, 0)+1), "")</f>
        <v/>
      </c>
      <c r="BU17" s="206" t="str">
        <f>IF(AND($A17&gt;=SYear_O, $A17&lt;=EYear_O, BU$3&gt;0), BU$3 * VLOOKUP($A17, Data_All!$A$8:$CA$153, MATCH(BU$2, Data_All!$B$2:$CA$2, 0)+1), "")</f>
        <v/>
      </c>
      <c r="BV17" s="206" t="str">
        <f>IF(AND($A17&gt;=SYear_O, $A17&lt;=EYear_O, BV$3&gt;0), BV$3 * VLOOKUP($A17, Data_All!$A$8:$CA$153, MATCH(BV$2, Data_All!$B$2:$CA$2, 0)+1), "")</f>
        <v/>
      </c>
      <c r="BW17" s="206" t="str">
        <f>IF(AND($A17&gt;=SYear_O, $A17&lt;=EYear_O, BW$3&gt;0), BW$3 * VLOOKUP($A17, Data_All!$A$8:$CA$153, MATCH(BW$2, Data_All!$B$2:$CA$2, 0)+1), "")</f>
        <v/>
      </c>
      <c r="BX17" s="206">
        <f>IF(AND($A17&gt;=SYear_O, $A17&lt;=EYear_O, BX$3&gt;0), BX$3 * VLOOKUP($A17, Data_All!$A$8:$CA$153, MATCH(BX$2, Data_All!$B$2:$CA$2, 0)+1), "")</f>
        <v>0.48465266558965325</v>
      </c>
      <c r="BY17" s="206">
        <f>IF(AND($A17&gt;=SYear_O, $A17&lt;=EYear_O, BY$3&gt;0), BY$3 * VLOOKUP($A17, Data_All!$A$8:$CA$153, MATCH(BY$2, Data_All!$B$2:$CA$2, 0)+1), "")</f>
        <v>1.1929945434813938</v>
      </c>
      <c r="BZ17" s="206" t="str">
        <f>IF(AND($A17&gt;=SYear_O, $A17&lt;=EYear_O, BZ$3&gt;0), BZ$3 * VLOOKUP($A17, Data_All!$A$8:$CA$153, MATCH(BZ$2, Data_All!$B$2:$CA$2, 0)+1), "")</f>
        <v/>
      </c>
      <c r="CA17" s="565">
        <f t="shared" si="2"/>
        <v>1.677647209071047</v>
      </c>
      <c r="CB17" s="427">
        <f t="shared" si="3"/>
        <v>22388.092960272017</v>
      </c>
      <c r="CC17" s="565">
        <f>IF(AND($A17&gt;=SYear_O,$A17&lt;=EYear_O),(CA17-Data_All!CA18)/(1+Data_All!CA18%),"")</f>
        <v>-5.924373332507737</v>
      </c>
      <c r="CD17" s="436">
        <f t="shared" si="4"/>
        <v>27409.691425292171</v>
      </c>
      <c r="CE17" s="438">
        <f t="shared" si="5"/>
        <v>2.0305829889341647</v>
      </c>
      <c r="CF17" s="438">
        <f>IF(AND($A17&gt;=SYear_O,$A17&lt;=EYear_O),MAX($CE$7:CE17),"")</f>
        <v>2.0305829889341647</v>
      </c>
      <c r="CG17" s="209">
        <f t="shared" si="6"/>
        <v>0</v>
      </c>
      <c r="CI17" s="143">
        <f>IF(AND($A17&gt;=SYear_O,$A17&lt;=EYear_O),Data_All!V18,"")</f>
        <v>4.695773803576782</v>
      </c>
      <c r="CJ17" s="143">
        <f>IF(AND($A17&gt;=SYear_O,$A17&lt;=EYear_O),Data_All!CA18,"")</f>
        <v>8.0807546129327612</v>
      </c>
      <c r="CK17" s="143">
        <f t="shared" si="7"/>
        <v>-3.1318996813804056</v>
      </c>
      <c r="CN17" s="61">
        <f t="shared" si="8"/>
        <v>1.6776472090710426E-2</v>
      </c>
      <c r="CO17" s="61">
        <f t="shared" si="9"/>
        <v>1.0444306436831141E-2</v>
      </c>
      <c r="CP17" s="61">
        <f t="shared" si="10"/>
        <v>3.0875401790567691E-2</v>
      </c>
      <c r="CQ17" s="61">
        <f t="shared" si="11"/>
        <v>2.9443096336186914E-2</v>
      </c>
      <c r="CR17" s="61">
        <f t="shared" si="12"/>
        <v>2.9726893696458534E-2</v>
      </c>
      <c r="CU17" s="61">
        <f t="shared" si="13"/>
        <v>-5.9243733325077375E-2</v>
      </c>
      <c r="CV17" s="61">
        <f t="shared" si="14"/>
        <v>1.7343190754766979E-2</v>
      </c>
      <c r="CW17" s="61">
        <f t="shared" si="15"/>
        <v>6.531340013805953E-2</v>
      </c>
      <c r="CX17" s="61">
        <f t="shared" si="16"/>
        <v>4.9021740922007506E-2</v>
      </c>
      <c r="CY17" s="61">
        <f t="shared" si="17"/>
        <v>5.3799228565511115E-2</v>
      </c>
    </row>
    <row r="18" spans="1:103">
      <c r="A18" s="204">
        <f t="shared" si="18"/>
        <v>1882</v>
      </c>
      <c r="B18" s="206" t="str">
        <f>IF(AND($A18&gt;=SYear_O, $A18&lt;=EYear_O, B$3&gt;0), B$3 * VLOOKUP($A18, Data_All!$A$8:$CA$153, MATCH(B$2, Data_All!$B$2:$CA$2, 0)+1), "")</f>
        <v/>
      </c>
      <c r="C18" s="206" t="str">
        <f>IF(AND($A18&gt;=SYear_O, $A18&lt;=EYear_O, C$3&gt;0), C$3 * VLOOKUP($A18, Data_All!$A$8:$CA$153, MATCH(C$2, Data_All!$B$2:$CA$2, 0)+1), "")</f>
        <v/>
      </c>
      <c r="D18" s="206" t="str">
        <f>IF(AND($A18&gt;=SYear_O, $A18&lt;=EYear_O, D$3&gt;0), D$3 * VLOOKUP($A18, Data_All!$A$8:$CA$153, MATCH(D$2, Data_All!$B$2:$CA$2, 0)+1), "")</f>
        <v/>
      </c>
      <c r="E18" s="206" t="str">
        <f>IF(AND($A18&gt;=SYear_O, $A18&lt;=EYear_O, E$3&gt;0), E$3 * VLOOKUP($A18, Data_All!$A$8:$CA$153, MATCH(E$2, Data_All!$B$2:$CA$2, 0)+1), "")</f>
        <v/>
      </c>
      <c r="F18" s="206" t="str">
        <f>IF(AND($A18&gt;=SYear_O, $A18&lt;=EYear_O, F$3&gt;0), F$3 * VLOOKUP($A18, Data_All!$A$8:$CA$153, MATCH(F$2, Data_All!$B$2:$CA$2, 0)+1), "")</f>
        <v/>
      </c>
      <c r="G18" s="206" t="str">
        <f>IF(AND($A18&gt;=SYear_O, $A18&lt;=EYear_O, G$3&gt;0), G$3 * VLOOKUP($A18, Data_All!$A$8:$CA$153, MATCH(G$2, Data_All!$B$2:$CA$2, 0)+1), "")</f>
        <v/>
      </c>
      <c r="H18" s="206" t="str">
        <f>IF(AND($A18&gt;=SYear_O, $A18&lt;=EYear_O, H$3&gt;0), H$3 * VLOOKUP($A18, Data_All!$A$8:$CA$153, MATCH(H$2, Data_All!$B$2:$CA$2, 0)+1), "")</f>
        <v/>
      </c>
      <c r="I18" s="206" t="str">
        <f>IF(AND($A18&gt;=SYear_O, $A18&lt;=EYear_O, I$3&gt;0), I$3 * VLOOKUP($A18, Data_All!$A$8:$CA$153, MATCH(I$2, Data_All!$B$2:$CA$2, 0)+1), "")</f>
        <v/>
      </c>
      <c r="J18" s="206" t="str">
        <f>IF(AND($A18&gt;=SYear_O, $A18&lt;=EYear_O, J$3&gt;0), J$3 * VLOOKUP($A18, Data_All!$A$8:$CA$153, MATCH(J$2, Data_All!$B$2:$CA$2, 0)+1), "")</f>
        <v/>
      </c>
      <c r="K18" s="206" t="str">
        <f>IF(AND($A18&gt;=SYear_O, $A18&lt;=EYear_O, K$3&gt;0), K$3 * VLOOKUP($A18, Data_All!$A$8:$CA$153, MATCH(K$2, Data_All!$B$2:$CA$2, 0)+1), "")</f>
        <v/>
      </c>
      <c r="L18" s="206" t="str">
        <f>IF(AND($A18&gt;=SYear_O, $A18&lt;=EYear_O, L$3&gt;0), L$3 * VLOOKUP($A18, Data_All!$A$8:$CA$153, MATCH(L$2, Data_All!$B$2:$CA$2, 0)+1), "")</f>
        <v/>
      </c>
      <c r="M18" s="206" t="str">
        <f>IF(AND($A18&gt;=SYear_O, $A18&lt;=EYear_O, M$3&gt;0), M$3 * VLOOKUP($A18, Data_All!$A$8:$CA$153, MATCH(M$2, Data_All!$B$2:$CA$2, 0)+1), "")</f>
        <v/>
      </c>
      <c r="N18" s="206" t="str">
        <f>IF(AND($A18&gt;=SYear_O, $A18&lt;=EYear_O, N$3&gt;0), N$3 * VLOOKUP($A18, Data_All!$A$8:$CA$153, MATCH(N$2, Data_All!$B$2:$CA$2, 0)+1), "")</f>
        <v/>
      </c>
      <c r="O18" s="206" t="str">
        <f>IF(AND($A18&gt;=SYear_O, $A18&lt;=EYear_O, O$3&gt;0), O$3 * VLOOKUP($A18, Data_All!$A$8:$CA$153, MATCH(O$2, Data_All!$B$2:$CA$2, 0)+1), "")</f>
        <v/>
      </c>
      <c r="P18" s="206" t="str">
        <f>IF(AND($A18&gt;=SYear_O, $A18&lt;=EYear_O, P$3&gt;0), P$3 * VLOOKUP($A18, Data_All!$A$8:$CA$153, MATCH(P$2, Data_All!$B$2:$CA$2, 0)+1), "")</f>
        <v/>
      </c>
      <c r="Q18" s="206" t="str">
        <f>IF(AND($A18&gt;=SYear_O, $A18&lt;=EYear_O, Q$3&gt;0), Q$3 * VLOOKUP($A18, Data_All!$A$8:$CA$153, MATCH(Q$2, Data_All!$B$2:$CA$2, 0)+1), "")</f>
        <v/>
      </c>
      <c r="R18" s="206" t="str">
        <f>IF(AND($A18&gt;=SYear_O, $A18&lt;=EYear_O, R$3&gt;0), R$3 * VLOOKUP($A18, Data_All!$A$8:$CA$153, MATCH(R$2, Data_All!$B$2:$CA$2, 0)+1), "")</f>
        <v/>
      </c>
      <c r="S18" s="206" t="str">
        <f>IF(AND($A18&gt;=SYear_O, $A18&lt;=EYear_O, S$3&gt;0), S$3 * VLOOKUP($A18, Data_All!$A$8:$CA$153, MATCH(S$2, Data_All!$B$2:$CA$2, 0)+1), "")</f>
        <v/>
      </c>
      <c r="T18" s="206" t="str">
        <f>IF(AND($A18&gt;=SYear_O, $A18&lt;=EYear_O, T$3&gt;0), T$3 * VLOOKUP($A18, Data_All!$A$8:$CA$153, MATCH(T$2, Data_All!$B$2:$CA$2, 0)+1), "")</f>
        <v/>
      </c>
      <c r="U18" s="206" t="str">
        <f>IF(AND($A18&gt;=SYear_O, $A18&lt;=EYear_O, U$3&gt;0), U$3 * VLOOKUP($A18, Data_All!$A$8:$CA$153, MATCH(U$2, Data_All!$B$2:$CA$2, 0)+1), "")</f>
        <v/>
      </c>
      <c r="V18" s="206" t="str">
        <f>IF(AND($A18&gt;=SYear_O, $A18&lt;=EYear_O, V$3&gt;0), V$3 * VLOOKUP($A18, Data_All!$A$8:$CA$153, MATCH(V$2, Data_All!$B$2:$CA$2, 0)+1), "")</f>
        <v/>
      </c>
      <c r="W18" s="206" t="str">
        <f>IF(AND($A18&gt;=SYear_O, $A18&lt;=EYear_O, W$3&gt;0), W$3 * VLOOKUP($A18, Data_All!$A$8:$CA$153, MATCH(W$2, Data_All!$B$2:$CA$2, 0)+1), "")</f>
        <v/>
      </c>
      <c r="X18" s="206" t="str">
        <f>IF(AND($A18&gt;=SYear_O, $A18&lt;=EYear_O, X$3&gt;0), X$3 * VLOOKUP($A18, Data_All!$A$8:$CA$153, MATCH(X$2, Data_All!$B$2:$CA$2, 0)+1), "")</f>
        <v/>
      </c>
      <c r="Y18" s="206" t="str">
        <f>IF(AND($A18&gt;=SYear_O, $A18&lt;=EYear_O, Y$3&gt;0), Y$3 * VLOOKUP($A18, Data_All!$A$8:$CA$153, MATCH(Y$2, Data_All!$B$2:$CA$2, 0)+1), "")</f>
        <v/>
      </c>
      <c r="Z18" s="206" t="str">
        <f>IF(AND($A18&gt;=SYear_O, $A18&lt;=EYear_O, Z$3&gt;0), Z$3 * VLOOKUP($A18, Data_All!$A$8:$CA$153, MATCH(Z$2, Data_All!$B$2:$CA$2, 0)+1), "")</f>
        <v/>
      </c>
      <c r="AA18" s="206" t="str">
        <f>IF(AND($A18&gt;=SYear_O, $A18&lt;=EYear_O, AA$3&gt;0), AA$3 * VLOOKUP($A18, Data_All!$A$8:$CA$153, MATCH(AA$2, Data_All!$B$2:$CA$2, 0)+1), "")</f>
        <v/>
      </c>
      <c r="AB18" s="206" t="str">
        <f>IF(AND($A18&gt;=SYear_O, $A18&lt;=EYear_O, AB$3&gt;0), AB$3 * VLOOKUP($A18, Data_All!$A$8:$CA$153, MATCH(AB$2, Data_All!$B$2:$CA$2, 0)+1), "")</f>
        <v/>
      </c>
      <c r="AC18" s="206" t="str">
        <f>IF(AND($A18&gt;=SYear_O, $A18&lt;=EYear_O, AC$3&gt;0), AC$3 * VLOOKUP($A18, Data_All!$A$8:$CA$153, MATCH(AC$2, Data_All!$B$2:$CA$2, 0)+1), "")</f>
        <v/>
      </c>
      <c r="AD18" s="206" t="str">
        <f>IF(AND($A18&gt;=SYear_O, $A18&lt;=EYear_O, AD$3&gt;0), AD$3 * VLOOKUP($A18, Data_All!$A$8:$CA$153, MATCH(AD$2, Data_All!$B$2:$CA$2, 0)+1), "")</f>
        <v/>
      </c>
      <c r="AE18" s="206" t="str">
        <f>IF(AND($A18&gt;=SYear_O, $A18&lt;=EYear_O, AE$3&gt;0), AE$3 * VLOOKUP($A18, Data_All!$A$8:$CA$153, MATCH(AE$2, Data_All!$B$2:$CA$2, 0)+1), "")</f>
        <v/>
      </c>
      <c r="AF18" s="206" t="str">
        <f>IF(AND($A18&gt;=SYear_O, $A18&lt;=EYear_O, AF$3&gt;0), AF$3 * VLOOKUP($A18, Data_All!$A$8:$CA$153, MATCH(AF$2, Data_All!$B$2:$CA$2, 0)+1), "")</f>
        <v/>
      </c>
      <c r="AG18" s="206" t="str">
        <f>IF(AND($A18&gt;=SYear_O, $A18&lt;=EYear_O, AG$3&gt;0), AG$3 * VLOOKUP($A18, Data_All!$A$8:$CA$153, MATCH(AG$2, Data_All!$B$2:$CA$2, 0)+1), "")</f>
        <v/>
      </c>
      <c r="AH18" s="206" t="str">
        <f>IF(AND($A18&gt;=SYear_O, $A18&lt;=EYear_O, AH$3&gt;0), AH$3 * VLOOKUP($A18, Data_All!$A$8:$CA$153, MATCH(AH$2, Data_All!$B$2:$CA$2, 0)+1), "")</f>
        <v/>
      </c>
      <c r="AI18" s="206" t="str">
        <f>IF(AND($A18&gt;=SYear_O, $A18&lt;=EYear_O, AI$3&gt;0), AI$3 * VLOOKUP($A18, Data_All!$A$8:$CA$153, MATCH(AI$2, Data_All!$B$2:$CA$2, 0)+1), "")</f>
        <v/>
      </c>
      <c r="AJ18" s="206" t="str">
        <f>IF(AND($A18&gt;=SYear_O, $A18&lt;=EYear_O, AJ$3&gt;0), AJ$3 * VLOOKUP($A18, Data_All!$A$8:$CA$153, MATCH(AJ$2, Data_All!$B$2:$CA$2, 0)+1), "")</f>
        <v/>
      </c>
      <c r="AK18" s="206" t="str">
        <f>IF(AND($A18&gt;=SYear_O, $A18&lt;=EYear_O, AK$3&gt;0), AK$3 * VLOOKUP($A18, Data_All!$A$8:$CA$153, MATCH(AK$2, Data_All!$B$2:$CA$2, 0)+1), "")</f>
        <v/>
      </c>
      <c r="AL18" s="206" t="str">
        <f>IF(AND($A18&gt;=SYear_O, $A18&lt;=EYear_O, AL$3&gt;0), AL$3 * VLOOKUP($A18, Data_All!$A$8:$CA$153, MATCH(AL$2, Data_All!$B$2:$CA$2, 0)+1), "")</f>
        <v/>
      </c>
      <c r="AM18" s="206" t="str">
        <f>IF(AND($A18&gt;=SYear_O, $A18&lt;=EYear_O, AM$3&gt;0), AM$3 * VLOOKUP($A18, Data_All!$A$8:$CA$153, MATCH(AM$2, Data_All!$B$2:$CA$2, 0)+1), "")</f>
        <v/>
      </c>
      <c r="AN18" s="206" t="str">
        <f>IF(AND($A18&gt;=SYear_O, $A18&lt;=EYear_O, AN$3&gt;0), AN$3 * VLOOKUP($A18, Data_All!$A$8:$CA$153, MATCH(AN$2, Data_All!$B$2:$CA$2, 0)+1), "")</f>
        <v/>
      </c>
      <c r="AO18" s="206" t="str">
        <f>IF(AND($A18&gt;=SYear_O, $A18&lt;=EYear_O, AO$3&gt;0), AO$3 * VLOOKUP($A18, Data_All!$A$8:$CA$153, MATCH(AO$2, Data_All!$B$2:$CA$2, 0)+1), "")</f>
        <v/>
      </c>
      <c r="AP18" s="206" t="str">
        <f>IF(AND($A18&gt;=SYear_O, $A18&lt;=EYear_O, AP$3&gt;0), AP$3 * VLOOKUP($A18, Data_All!$A$8:$CA$153, MATCH(AP$2, Data_All!$B$2:$CA$2, 0)+1), "")</f>
        <v/>
      </c>
      <c r="AQ18" s="206" t="str">
        <f>IF(AND($A18&gt;=SYear_O, $A18&lt;=EYear_O, AQ$3&gt;0), AQ$3 * VLOOKUP($A18, Data_All!$A$8:$CA$153, MATCH(AQ$2, Data_All!$B$2:$CA$2, 0)+1), "")</f>
        <v/>
      </c>
      <c r="AR18" s="206" t="str">
        <f>IF(AND($A18&gt;=SYear_O, $A18&lt;=EYear_O, AR$3&gt;0), AR$3 * VLOOKUP($A18, Data_All!$A$8:$CA$153, MATCH(AR$2, Data_All!$B$2:$CA$2, 0)+1), "")</f>
        <v/>
      </c>
      <c r="AS18" s="206" t="str">
        <f>IF(AND($A18&gt;=SYear_O, $A18&lt;=EYear_O, AS$3&gt;0), AS$3 * VLOOKUP($A18, Data_All!$A$8:$CA$153, MATCH(AS$2, Data_All!$B$2:$CA$2, 0)+1), "")</f>
        <v/>
      </c>
      <c r="AT18" s="206" t="str">
        <f>IF(AND($A18&gt;=SYear_O, $A18&lt;=EYear_O, AT$3&gt;0), AT$3 * VLOOKUP($A18, Data_All!$A$8:$CA$153, MATCH(AT$2, Data_All!$B$2:$CA$2, 0)+1), "")</f>
        <v/>
      </c>
      <c r="AU18" s="206" t="str">
        <f>IF(AND($A18&gt;=SYear_O, $A18&lt;=EYear_O, AU$3&gt;0), AU$3 * VLOOKUP($A18, Data_All!$A$8:$CA$153, MATCH(AU$2, Data_All!$B$2:$CA$2, 0)+1), "")</f>
        <v/>
      </c>
      <c r="AV18" s="206" t="str">
        <f>IF(AND($A18&gt;=SYear_O, $A18&lt;=EYear_O, AV$3&gt;0), AV$3 * VLOOKUP($A18, Data_All!$A$8:$CA$153, MATCH(AV$2, Data_All!$B$2:$CA$2, 0)+1), "")</f>
        <v/>
      </c>
      <c r="AW18" s="206" t="str">
        <f>IF(AND($A18&gt;=SYear_O, $A18&lt;=EYear_O, AW$3&gt;0), AW$3 * VLOOKUP($A18, Data_All!$A$8:$CA$153, MATCH(AW$2, Data_All!$B$2:$CA$2, 0)+1), "")</f>
        <v/>
      </c>
      <c r="AX18" s="206" t="str">
        <f>IF(AND($A18&gt;=SYear_O, $A18&lt;=EYear_O, AX$3&gt;0), AX$3 * VLOOKUP($A18, Data_All!$A$8:$CA$153, MATCH(AX$2, Data_All!$B$2:$CA$2, 0)+1), "")</f>
        <v/>
      </c>
      <c r="AY18" s="206" t="str">
        <f>IF(AND($A18&gt;=SYear_O, $A18&lt;=EYear_O, AY$3&gt;0), AY$3 * VLOOKUP($A18, Data_All!$A$8:$CA$153, MATCH(AY$2, Data_All!$B$2:$CA$2, 0)+1), "")</f>
        <v/>
      </c>
      <c r="AZ18" s="206" t="str">
        <f>IF(AND($A18&gt;=SYear_O, $A18&lt;=EYear_O, AZ$3&gt;0), AZ$3 * VLOOKUP($A18, Data_All!$A$8:$CA$153, MATCH(AZ$2, Data_All!$B$2:$CA$2, 0)+1), "")</f>
        <v/>
      </c>
      <c r="BA18" s="206" t="str">
        <f>IF(AND($A18&gt;=SYear_O, $A18&lt;=EYear_O, BA$3&gt;0), BA$3 * VLOOKUP($A18, Data_All!$A$8:$CA$153, MATCH(BA$2, Data_All!$B$2:$CA$2, 0)+1), "")</f>
        <v/>
      </c>
      <c r="BB18" s="206" t="str">
        <f>IF(AND($A18&gt;=SYear_O, $A18&lt;=EYear_O, BB$3&gt;0), BB$3 * VLOOKUP($A18, Data_All!$A$8:$CA$153, MATCH(BB$2, Data_All!$B$2:$CA$2, 0)+1), "")</f>
        <v/>
      </c>
      <c r="BC18" s="206" t="str">
        <f>IF(AND($A18&gt;=SYear_O, $A18&lt;=EYear_O, BC$3&gt;0), BC$3 * VLOOKUP($A18, Data_All!$A$8:$CA$153, MATCH(BC$2, Data_All!$B$2:$CA$2, 0)+1), "")</f>
        <v/>
      </c>
      <c r="BD18" s="206" t="str">
        <f>IF(AND($A18&gt;=SYear_O, $A18&lt;=EYear_O, BD$3&gt;0), BD$3 * VLOOKUP($A18, Data_All!$A$8:$CA$153, MATCH(BD$2, Data_All!$B$2:$CA$2, 0)+1), "")</f>
        <v/>
      </c>
      <c r="BE18" s="206" t="str">
        <f>IF(AND($A18&gt;=SYear_O, $A18&lt;=EYear_O, BE$3&gt;0), BE$3 * VLOOKUP($A18, Data_All!$A$8:$CA$153, MATCH(BE$2, Data_All!$B$2:$CA$2, 0)+1), "")</f>
        <v/>
      </c>
      <c r="BF18" s="206" t="str">
        <f>IF(AND($A18&gt;=SYear_O, $A18&lt;=EYear_O, BF$3&gt;0), BF$3 * VLOOKUP($A18, Data_All!$A$8:$CA$153, MATCH(BF$2, Data_All!$B$2:$CA$2, 0)+1), "")</f>
        <v/>
      </c>
      <c r="BG18" s="206" t="str">
        <f>IF(AND($A18&gt;=SYear_O, $A18&lt;=EYear_O, BG$3&gt;0), BG$3 * VLOOKUP($A18, Data_All!$A$8:$CA$153, MATCH(BG$2, Data_All!$B$2:$CA$2, 0)+1), "")</f>
        <v/>
      </c>
      <c r="BH18" s="206" t="str">
        <f>IF(AND($A18&gt;=SYear_O, $A18&lt;=EYear_O, BH$3&gt;0), BH$3 * VLOOKUP($A18, Data_All!$A$8:$CA$153, MATCH(BH$2, Data_All!$B$2:$CA$2, 0)+1), "")</f>
        <v/>
      </c>
      <c r="BI18" s="206" t="str">
        <f>IF(AND($A18&gt;=SYear_O, $A18&lt;=EYear_O, BI$3&gt;0), BI$3 * VLOOKUP($A18, Data_All!$A$8:$CA$153, MATCH(BI$2, Data_All!$B$2:$CA$2, 0)+1), "")</f>
        <v/>
      </c>
      <c r="BJ18" s="206" t="str">
        <f>IF(AND($A18&gt;=SYear_O, $A18&lt;=EYear_O, BJ$3&gt;0), BJ$3 * VLOOKUP($A18, Data_All!$A$8:$CA$153, MATCH(BJ$2, Data_All!$B$2:$CA$2, 0)+1), "")</f>
        <v/>
      </c>
      <c r="BK18" s="206" t="str">
        <f>IF(AND($A18&gt;=SYear_O, $A18&lt;=EYear_O, BK$3&gt;0), BK$3 * VLOOKUP($A18, Data_All!$A$8:$CA$153, MATCH(BK$2, Data_All!$B$2:$CA$2, 0)+1), "")</f>
        <v/>
      </c>
      <c r="BL18" s="206" t="str">
        <f>IF(AND($A18&gt;=SYear_O, $A18&lt;=EYear_O, BL$3&gt;0), BL$3 * VLOOKUP($A18, Data_All!$A$8:$CA$153, MATCH(BL$2, Data_All!$B$2:$CA$2, 0)+1), "")</f>
        <v/>
      </c>
      <c r="BM18" s="206" t="str">
        <f>IF(AND($A18&gt;=SYear_O, $A18&lt;=EYear_O, BM$3&gt;0), BM$3 * VLOOKUP($A18, Data_All!$A$8:$CA$153, MATCH(BM$2, Data_All!$B$2:$CA$2, 0)+1), "")</f>
        <v/>
      </c>
      <c r="BN18" s="206" t="str">
        <f>IF(AND($A18&gt;=SYear_O, $A18&lt;=EYear_O, BN$3&gt;0), BN$3 * VLOOKUP($A18, Data_All!$A$8:$CA$153, MATCH(BN$2, Data_All!$B$2:$CA$2, 0)+1), "")</f>
        <v/>
      </c>
      <c r="BO18" s="206" t="str">
        <f>IF(AND($A18&gt;=SYear_O, $A18&lt;=EYear_O, BO$3&gt;0), BO$3 * VLOOKUP($A18, Data_All!$A$8:$CA$153, MATCH(BO$2, Data_All!$B$2:$CA$2, 0)+1), "")</f>
        <v/>
      </c>
      <c r="BP18" s="206" t="str">
        <f>IF(AND($A18&gt;=SYear_O, $A18&lt;=EYear_O, BP$3&gt;0), BP$3 * VLOOKUP($A18, Data_All!$A$8:$CA$153, MATCH(BP$2, Data_All!$B$2:$CA$2, 0)+1), "")</f>
        <v/>
      </c>
      <c r="BQ18" s="206" t="str">
        <f>IF(AND($A18&gt;=SYear_O, $A18&lt;=EYear_O, BQ$3&gt;0), BQ$3 * VLOOKUP($A18, Data_All!$A$8:$CA$153, MATCH(BQ$2, Data_All!$B$2:$CA$2, 0)+1), "")</f>
        <v/>
      </c>
      <c r="BR18" s="206" t="str">
        <f>IF(AND($A18&gt;=SYear_O, $A18&lt;=EYear_O, BR$3&gt;0), BR$3 * VLOOKUP($A18, Data_All!$A$8:$CA$153, MATCH(BR$2, Data_All!$B$2:$CA$2, 0)+1), "")</f>
        <v/>
      </c>
      <c r="BS18" s="206" t="str">
        <f>IF(AND($A18&gt;=SYear_O, $A18&lt;=EYear_O, BS$3&gt;0), BS$3 * VLOOKUP($A18, Data_All!$A$8:$CA$153, MATCH(BS$2, Data_All!$B$2:$CA$2, 0)+1), "")</f>
        <v/>
      </c>
      <c r="BT18" s="206" t="str">
        <f>IF(AND($A18&gt;=SYear_O, $A18&lt;=EYear_O, BT$3&gt;0), BT$3 * VLOOKUP($A18, Data_All!$A$8:$CA$153, MATCH(BT$2, Data_All!$B$2:$CA$2, 0)+1), "")</f>
        <v/>
      </c>
      <c r="BU18" s="206" t="str">
        <f>IF(AND($A18&gt;=SYear_O, $A18&lt;=EYear_O, BU$3&gt;0), BU$3 * VLOOKUP($A18, Data_All!$A$8:$CA$153, MATCH(BU$2, Data_All!$B$2:$CA$2, 0)+1), "")</f>
        <v/>
      </c>
      <c r="BV18" s="206" t="str">
        <f>IF(AND($A18&gt;=SYear_O, $A18&lt;=EYear_O, BV$3&gt;0), BV$3 * VLOOKUP($A18, Data_All!$A$8:$CA$153, MATCH(BV$2, Data_All!$B$2:$CA$2, 0)+1), "")</f>
        <v/>
      </c>
      <c r="BW18" s="206" t="str">
        <f>IF(AND($A18&gt;=SYear_O, $A18&lt;=EYear_O, BW$3&gt;0), BW$3 * VLOOKUP($A18, Data_All!$A$8:$CA$153, MATCH(BW$2, Data_All!$B$2:$CA$2, 0)+1), "")</f>
        <v/>
      </c>
      <c r="BX18" s="206">
        <f>IF(AND($A18&gt;=SYear_O, $A18&lt;=EYear_O, BX$3&gt;0), BX$3 * VLOOKUP($A18, Data_All!$A$8:$CA$153, MATCH(BX$2, Data_All!$B$2:$CA$2, 0)+1), "")</f>
        <v>2.1283783783783816</v>
      </c>
      <c r="BY18" s="206">
        <f>IF(AND($A18&gt;=SYear_O, $A18&lt;=EYear_O, BY$3&gt;0), BY$3 * VLOOKUP($A18, Data_All!$A$8:$CA$153, MATCH(BY$2, Data_All!$B$2:$CA$2, 0)+1), "")</f>
        <v>1.312449743162345</v>
      </c>
      <c r="BZ18" s="206" t="str">
        <f>IF(AND($A18&gt;=SYear_O, $A18&lt;=EYear_O, BZ$3&gt;0), BZ$3 * VLOOKUP($A18, Data_All!$A$8:$CA$153, MATCH(BZ$2, Data_All!$B$2:$CA$2, 0)+1), "")</f>
        <v/>
      </c>
      <c r="CA18" s="565">
        <f t="shared" si="2"/>
        <v>3.4408281215407266</v>
      </c>
      <c r="CB18" s="427">
        <f t="shared" si="3"/>
        <v>23158.428758725735</v>
      </c>
      <c r="CC18" s="565">
        <f>IF(AND($A18&gt;=SYear_O,$A18&lt;=EYear_O),(CA18-Data_All!CA19)/(1+Data_All!CA19%),"")</f>
        <v>5.4106884068075969</v>
      </c>
      <c r="CD18" s="436">
        <f t="shared" si="4"/>
        <v>28892.744421582192</v>
      </c>
      <c r="CE18" s="438">
        <f t="shared" si="5"/>
        <v>2.1004518594486337</v>
      </c>
      <c r="CF18" s="438">
        <f>IF(AND($A18&gt;=SYear_O,$A18&lt;=EYear_O),MAX($CE$7:CE18),"")</f>
        <v>2.1004518594486337</v>
      </c>
      <c r="CG18" s="209">
        <f t="shared" si="6"/>
        <v>0</v>
      </c>
      <c r="CI18" s="143">
        <f>IF(AND($A18&gt;=SYear_O,$A18&lt;=EYear_O),Data_All!V19,"")</f>
        <v>5.165351183934459</v>
      </c>
      <c r="CJ18" s="143">
        <f>IF(AND($A18&gt;=SYear_O,$A18&lt;=EYear_O),Data_All!CA19,"")</f>
        <v>-1.8687481459799038</v>
      </c>
      <c r="CK18" s="143">
        <f t="shared" si="7"/>
        <v>7.1680521719811328</v>
      </c>
      <c r="CN18" s="61">
        <f t="shared" si="8"/>
        <v>3.4408281215407177E-2</v>
      </c>
      <c r="CO18" s="61">
        <f t="shared" si="9"/>
        <v>-1.1382650024631347E-2</v>
      </c>
      <c r="CP18" s="61">
        <f t="shared" si="10"/>
        <v>4.0998051335286112E-2</v>
      </c>
      <c r="CQ18" s="61">
        <f t="shared" si="11"/>
        <v>4.1216699384606592E-2</v>
      </c>
      <c r="CR18" s="61">
        <f t="shared" si="12"/>
        <v>3.2021839400595553E-2</v>
      </c>
      <c r="CU18" s="61">
        <f t="shared" si="13"/>
        <v>5.4106884068076067E-2</v>
      </c>
      <c r="CV18" s="61">
        <f t="shared" si="14"/>
        <v>5.9211944090564517E-2</v>
      </c>
      <c r="CW18" s="61">
        <f t="shared" si="15"/>
        <v>9.2624169709133897E-2</v>
      </c>
      <c r="CX18" s="61">
        <f t="shared" si="16"/>
        <v>7.6044977211764619E-2</v>
      </c>
      <c r="CY18" s="61">
        <f t="shared" si="17"/>
        <v>6.3687045135468745E-2</v>
      </c>
    </row>
    <row r="19" spans="1:103">
      <c r="A19" s="204">
        <f t="shared" si="18"/>
        <v>1883</v>
      </c>
      <c r="B19" s="206" t="str">
        <f>IF(AND($A19&gt;=SYear_O, $A19&lt;=EYear_O, B$3&gt;0), B$3 * VLOOKUP($A19, Data_All!$A$8:$CA$153, MATCH(B$2, Data_All!$B$2:$CA$2, 0)+1), "")</f>
        <v/>
      </c>
      <c r="C19" s="206" t="str">
        <f>IF(AND($A19&gt;=SYear_O, $A19&lt;=EYear_O, C$3&gt;0), C$3 * VLOOKUP($A19, Data_All!$A$8:$CA$153, MATCH(C$2, Data_All!$B$2:$CA$2, 0)+1), "")</f>
        <v/>
      </c>
      <c r="D19" s="206" t="str">
        <f>IF(AND($A19&gt;=SYear_O, $A19&lt;=EYear_O, D$3&gt;0), D$3 * VLOOKUP($A19, Data_All!$A$8:$CA$153, MATCH(D$2, Data_All!$B$2:$CA$2, 0)+1), "")</f>
        <v/>
      </c>
      <c r="E19" s="206" t="str">
        <f>IF(AND($A19&gt;=SYear_O, $A19&lt;=EYear_O, E$3&gt;0), E$3 * VLOOKUP($A19, Data_All!$A$8:$CA$153, MATCH(E$2, Data_All!$B$2:$CA$2, 0)+1), "")</f>
        <v/>
      </c>
      <c r="F19" s="206" t="str">
        <f>IF(AND($A19&gt;=SYear_O, $A19&lt;=EYear_O, F$3&gt;0), F$3 * VLOOKUP($A19, Data_All!$A$8:$CA$153, MATCH(F$2, Data_All!$B$2:$CA$2, 0)+1), "")</f>
        <v/>
      </c>
      <c r="G19" s="206" t="str">
        <f>IF(AND($A19&gt;=SYear_O, $A19&lt;=EYear_O, G$3&gt;0), G$3 * VLOOKUP($A19, Data_All!$A$8:$CA$153, MATCH(G$2, Data_All!$B$2:$CA$2, 0)+1), "")</f>
        <v/>
      </c>
      <c r="H19" s="206" t="str">
        <f>IF(AND($A19&gt;=SYear_O, $A19&lt;=EYear_O, H$3&gt;0), H$3 * VLOOKUP($A19, Data_All!$A$8:$CA$153, MATCH(H$2, Data_All!$B$2:$CA$2, 0)+1), "")</f>
        <v/>
      </c>
      <c r="I19" s="206" t="str">
        <f>IF(AND($A19&gt;=SYear_O, $A19&lt;=EYear_O, I$3&gt;0), I$3 * VLOOKUP($A19, Data_All!$A$8:$CA$153, MATCH(I$2, Data_All!$B$2:$CA$2, 0)+1), "")</f>
        <v/>
      </c>
      <c r="J19" s="206" t="str">
        <f>IF(AND($A19&gt;=SYear_O, $A19&lt;=EYear_O, J$3&gt;0), J$3 * VLOOKUP($A19, Data_All!$A$8:$CA$153, MATCH(J$2, Data_All!$B$2:$CA$2, 0)+1), "")</f>
        <v/>
      </c>
      <c r="K19" s="206" t="str">
        <f>IF(AND($A19&gt;=SYear_O, $A19&lt;=EYear_O, K$3&gt;0), K$3 * VLOOKUP($A19, Data_All!$A$8:$CA$153, MATCH(K$2, Data_All!$B$2:$CA$2, 0)+1), "")</f>
        <v/>
      </c>
      <c r="L19" s="206" t="str">
        <f>IF(AND($A19&gt;=SYear_O, $A19&lt;=EYear_O, L$3&gt;0), L$3 * VLOOKUP($A19, Data_All!$A$8:$CA$153, MATCH(L$2, Data_All!$B$2:$CA$2, 0)+1), "")</f>
        <v/>
      </c>
      <c r="M19" s="206" t="str">
        <f>IF(AND($A19&gt;=SYear_O, $A19&lt;=EYear_O, M$3&gt;0), M$3 * VLOOKUP($A19, Data_All!$A$8:$CA$153, MATCH(M$2, Data_All!$B$2:$CA$2, 0)+1), "")</f>
        <v/>
      </c>
      <c r="N19" s="206" t="str">
        <f>IF(AND($A19&gt;=SYear_O, $A19&lt;=EYear_O, N$3&gt;0), N$3 * VLOOKUP($A19, Data_All!$A$8:$CA$153, MATCH(N$2, Data_All!$B$2:$CA$2, 0)+1), "")</f>
        <v/>
      </c>
      <c r="O19" s="206" t="str">
        <f>IF(AND($A19&gt;=SYear_O, $A19&lt;=EYear_O, O$3&gt;0), O$3 * VLOOKUP($A19, Data_All!$A$8:$CA$153, MATCH(O$2, Data_All!$B$2:$CA$2, 0)+1), "")</f>
        <v/>
      </c>
      <c r="P19" s="206" t="str">
        <f>IF(AND($A19&gt;=SYear_O, $A19&lt;=EYear_O, P$3&gt;0), P$3 * VLOOKUP($A19, Data_All!$A$8:$CA$153, MATCH(P$2, Data_All!$B$2:$CA$2, 0)+1), "")</f>
        <v/>
      </c>
      <c r="Q19" s="206" t="str">
        <f>IF(AND($A19&gt;=SYear_O, $A19&lt;=EYear_O, Q$3&gt;0), Q$3 * VLOOKUP($A19, Data_All!$A$8:$CA$153, MATCH(Q$2, Data_All!$B$2:$CA$2, 0)+1), "")</f>
        <v/>
      </c>
      <c r="R19" s="206" t="str">
        <f>IF(AND($A19&gt;=SYear_O, $A19&lt;=EYear_O, R$3&gt;0), R$3 * VLOOKUP($A19, Data_All!$A$8:$CA$153, MATCH(R$2, Data_All!$B$2:$CA$2, 0)+1), "")</f>
        <v/>
      </c>
      <c r="S19" s="206" t="str">
        <f>IF(AND($A19&gt;=SYear_O, $A19&lt;=EYear_O, S$3&gt;0), S$3 * VLOOKUP($A19, Data_All!$A$8:$CA$153, MATCH(S$2, Data_All!$B$2:$CA$2, 0)+1), "")</f>
        <v/>
      </c>
      <c r="T19" s="206" t="str">
        <f>IF(AND($A19&gt;=SYear_O, $A19&lt;=EYear_O, T$3&gt;0), T$3 * VLOOKUP($A19, Data_All!$A$8:$CA$153, MATCH(T$2, Data_All!$B$2:$CA$2, 0)+1), "")</f>
        <v/>
      </c>
      <c r="U19" s="206" t="str">
        <f>IF(AND($A19&gt;=SYear_O, $A19&lt;=EYear_O, U$3&gt;0), U$3 * VLOOKUP($A19, Data_All!$A$8:$CA$153, MATCH(U$2, Data_All!$B$2:$CA$2, 0)+1), "")</f>
        <v/>
      </c>
      <c r="V19" s="206" t="str">
        <f>IF(AND($A19&gt;=SYear_O, $A19&lt;=EYear_O, V$3&gt;0), V$3 * VLOOKUP($A19, Data_All!$A$8:$CA$153, MATCH(V$2, Data_All!$B$2:$CA$2, 0)+1), "")</f>
        <v/>
      </c>
      <c r="W19" s="206" t="str">
        <f>IF(AND($A19&gt;=SYear_O, $A19&lt;=EYear_O, W$3&gt;0), W$3 * VLOOKUP($A19, Data_All!$A$8:$CA$153, MATCH(W$2, Data_All!$B$2:$CA$2, 0)+1), "")</f>
        <v/>
      </c>
      <c r="X19" s="206" t="str">
        <f>IF(AND($A19&gt;=SYear_O, $A19&lt;=EYear_O, X$3&gt;0), X$3 * VLOOKUP($A19, Data_All!$A$8:$CA$153, MATCH(X$2, Data_All!$B$2:$CA$2, 0)+1), "")</f>
        <v/>
      </c>
      <c r="Y19" s="206" t="str">
        <f>IF(AND($A19&gt;=SYear_O, $A19&lt;=EYear_O, Y$3&gt;0), Y$3 * VLOOKUP($A19, Data_All!$A$8:$CA$153, MATCH(Y$2, Data_All!$B$2:$CA$2, 0)+1), "")</f>
        <v/>
      </c>
      <c r="Z19" s="206" t="str">
        <f>IF(AND($A19&gt;=SYear_O, $A19&lt;=EYear_O, Z$3&gt;0), Z$3 * VLOOKUP($A19, Data_All!$A$8:$CA$153, MATCH(Z$2, Data_All!$B$2:$CA$2, 0)+1), "")</f>
        <v/>
      </c>
      <c r="AA19" s="206" t="str">
        <f>IF(AND($A19&gt;=SYear_O, $A19&lt;=EYear_O, AA$3&gt;0), AA$3 * VLOOKUP($A19, Data_All!$A$8:$CA$153, MATCH(AA$2, Data_All!$B$2:$CA$2, 0)+1), "")</f>
        <v/>
      </c>
      <c r="AB19" s="206" t="str">
        <f>IF(AND($A19&gt;=SYear_O, $A19&lt;=EYear_O, AB$3&gt;0), AB$3 * VLOOKUP($A19, Data_All!$A$8:$CA$153, MATCH(AB$2, Data_All!$B$2:$CA$2, 0)+1), "")</f>
        <v/>
      </c>
      <c r="AC19" s="206" t="str">
        <f>IF(AND($A19&gt;=SYear_O, $A19&lt;=EYear_O, AC$3&gt;0), AC$3 * VLOOKUP($A19, Data_All!$A$8:$CA$153, MATCH(AC$2, Data_All!$B$2:$CA$2, 0)+1), "")</f>
        <v/>
      </c>
      <c r="AD19" s="206" t="str">
        <f>IF(AND($A19&gt;=SYear_O, $A19&lt;=EYear_O, AD$3&gt;0), AD$3 * VLOOKUP($A19, Data_All!$A$8:$CA$153, MATCH(AD$2, Data_All!$B$2:$CA$2, 0)+1), "")</f>
        <v/>
      </c>
      <c r="AE19" s="206" t="str">
        <f>IF(AND($A19&gt;=SYear_O, $A19&lt;=EYear_O, AE$3&gt;0), AE$3 * VLOOKUP($A19, Data_All!$A$8:$CA$153, MATCH(AE$2, Data_All!$B$2:$CA$2, 0)+1), "")</f>
        <v/>
      </c>
      <c r="AF19" s="206" t="str">
        <f>IF(AND($A19&gt;=SYear_O, $A19&lt;=EYear_O, AF$3&gt;0), AF$3 * VLOOKUP($A19, Data_All!$A$8:$CA$153, MATCH(AF$2, Data_All!$B$2:$CA$2, 0)+1), "")</f>
        <v/>
      </c>
      <c r="AG19" s="206" t="str">
        <f>IF(AND($A19&gt;=SYear_O, $A19&lt;=EYear_O, AG$3&gt;0), AG$3 * VLOOKUP($A19, Data_All!$A$8:$CA$153, MATCH(AG$2, Data_All!$B$2:$CA$2, 0)+1), "")</f>
        <v/>
      </c>
      <c r="AH19" s="206" t="str">
        <f>IF(AND($A19&gt;=SYear_O, $A19&lt;=EYear_O, AH$3&gt;0), AH$3 * VLOOKUP($A19, Data_All!$A$8:$CA$153, MATCH(AH$2, Data_All!$B$2:$CA$2, 0)+1), "")</f>
        <v/>
      </c>
      <c r="AI19" s="206" t="str">
        <f>IF(AND($A19&gt;=SYear_O, $A19&lt;=EYear_O, AI$3&gt;0), AI$3 * VLOOKUP($A19, Data_All!$A$8:$CA$153, MATCH(AI$2, Data_All!$B$2:$CA$2, 0)+1), "")</f>
        <v/>
      </c>
      <c r="AJ19" s="206" t="str">
        <f>IF(AND($A19&gt;=SYear_O, $A19&lt;=EYear_O, AJ$3&gt;0), AJ$3 * VLOOKUP($A19, Data_All!$A$8:$CA$153, MATCH(AJ$2, Data_All!$B$2:$CA$2, 0)+1), "")</f>
        <v/>
      </c>
      <c r="AK19" s="206" t="str">
        <f>IF(AND($A19&gt;=SYear_O, $A19&lt;=EYear_O, AK$3&gt;0), AK$3 * VLOOKUP($A19, Data_All!$A$8:$CA$153, MATCH(AK$2, Data_All!$B$2:$CA$2, 0)+1), "")</f>
        <v/>
      </c>
      <c r="AL19" s="206" t="str">
        <f>IF(AND($A19&gt;=SYear_O, $A19&lt;=EYear_O, AL$3&gt;0), AL$3 * VLOOKUP($A19, Data_All!$A$8:$CA$153, MATCH(AL$2, Data_All!$B$2:$CA$2, 0)+1), "")</f>
        <v/>
      </c>
      <c r="AM19" s="206" t="str">
        <f>IF(AND($A19&gt;=SYear_O, $A19&lt;=EYear_O, AM$3&gt;0), AM$3 * VLOOKUP($A19, Data_All!$A$8:$CA$153, MATCH(AM$2, Data_All!$B$2:$CA$2, 0)+1), "")</f>
        <v/>
      </c>
      <c r="AN19" s="206" t="str">
        <f>IF(AND($A19&gt;=SYear_O, $A19&lt;=EYear_O, AN$3&gt;0), AN$3 * VLOOKUP($A19, Data_All!$A$8:$CA$153, MATCH(AN$2, Data_All!$B$2:$CA$2, 0)+1), "")</f>
        <v/>
      </c>
      <c r="AO19" s="206" t="str">
        <f>IF(AND($A19&gt;=SYear_O, $A19&lt;=EYear_O, AO$3&gt;0), AO$3 * VLOOKUP($A19, Data_All!$A$8:$CA$153, MATCH(AO$2, Data_All!$B$2:$CA$2, 0)+1), "")</f>
        <v/>
      </c>
      <c r="AP19" s="206" t="str">
        <f>IF(AND($A19&gt;=SYear_O, $A19&lt;=EYear_O, AP$3&gt;0), AP$3 * VLOOKUP($A19, Data_All!$A$8:$CA$153, MATCH(AP$2, Data_All!$B$2:$CA$2, 0)+1), "")</f>
        <v/>
      </c>
      <c r="AQ19" s="206" t="str">
        <f>IF(AND($A19&gt;=SYear_O, $A19&lt;=EYear_O, AQ$3&gt;0), AQ$3 * VLOOKUP($A19, Data_All!$A$8:$CA$153, MATCH(AQ$2, Data_All!$B$2:$CA$2, 0)+1), "")</f>
        <v/>
      </c>
      <c r="AR19" s="206" t="str">
        <f>IF(AND($A19&gt;=SYear_O, $A19&lt;=EYear_O, AR$3&gt;0), AR$3 * VLOOKUP($A19, Data_All!$A$8:$CA$153, MATCH(AR$2, Data_All!$B$2:$CA$2, 0)+1), "")</f>
        <v/>
      </c>
      <c r="AS19" s="206" t="str">
        <f>IF(AND($A19&gt;=SYear_O, $A19&lt;=EYear_O, AS$3&gt;0), AS$3 * VLOOKUP($A19, Data_All!$A$8:$CA$153, MATCH(AS$2, Data_All!$B$2:$CA$2, 0)+1), "")</f>
        <v/>
      </c>
      <c r="AT19" s="206" t="str">
        <f>IF(AND($A19&gt;=SYear_O, $A19&lt;=EYear_O, AT$3&gt;0), AT$3 * VLOOKUP($A19, Data_All!$A$8:$CA$153, MATCH(AT$2, Data_All!$B$2:$CA$2, 0)+1), "")</f>
        <v/>
      </c>
      <c r="AU19" s="206" t="str">
        <f>IF(AND($A19&gt;=SYear_O, $A19&lt;=EYear_O, AU$3&gt;0), AU$3 * VLOOKUP($A19, Data_All!$A$8:$CA$153, MATCH(AU$2, Data_All!$B$2:$CA$2, 0)+1), "")</f>
        <v/>
      </c>
      <c r="AV19" s="206" t="str">
        <f>IF(AND($A19&gt;=SYear_O, $A19&lt;=EYear_O, AV$3&gt;0), AV$3 * VLOOKUP($A19, Data_All!$A$8:$CA$153, MATCH(AV$2, Data_All!$B$2:$CA$2, 0)+1), "")</f>
        <v/>
      </c>
      <c r="AW19" s="206" t="str">
        <f>IF(AND($A19&gt;=SYear_O, $A19&lt;=EYear_O, AW$3&gt;0), AW$3 * VLOOKUP($A19, Data_All!$A$8:$CA$153, MATCH(AW$2, Data_All!$B$2:$CA$2, 0)+1), "")</f>
        <v/>
      </c>
      <c r="AX19" s="206" t="str">
        <f>IF(AND($A19&gt;=SYear_O, $A19&lt;=EYear_O, AX$3&gt;0), AX$3 * VLOOKUP($A19, Data_All!$A$8:$CA$153, MATCH(AX$2, Data_All!$B$2:$CA$2, 0)+1), "")</f>
        <v/>
      </c>
      <c r="AY19" s="206" t="str">
        <f>IF(AND($A19&gt;=SYear_O, $A19&lt;=EYear_O, AY$3&gt;0), AY$3 * VLOOKUP($A19, Data_All!$A$8:$CA$153, MATCH(AY$2, Data_All!$B$2:$CA$2, 0)+1), "")</f>
        <v/>
      </c>
      <c r="AZ19" s="206" t="str">
        <f>IF(AND($A19&gt;=SYear_O, $A19&lt;=EYear_O, AZ$3&gt;0), AZ$3 * VLOOKUP($A19, Data_All!$A$8:$CA$153, MATCH(AZ$2, Data_All!$B$2:$CA$2, 0)+1), "")</f>
        <v/>
      </c>
      <c r="BA19" s="206" t="str">
        <f>IF(AND($A19&gt;=SYear_O, $A19&lt;=EYear_O, BA$3&gt;0), BA$3 * VLOOKUP($A19, Data_All!$A$8:$CA$153, MATCH(BA$2, Data_All!$B$2:$CA$2, 0)+1), "")</f>
        <v/>
      </c>
      <c r="BB19" s="206" t="str">
        <f>IF(AND($A19&gt;=SYear_O, $A19&lt;=EYear_O, BB$3&gt;0), BB$3 * VLOOKUP($A19, Data_All!$A$8:$CA$153, MATCH(BB$2, Data_All!$B$2:$CA$2, 0)+1), "")</f>
        <v/>
      </c>
      <c r="BC19" s="206" t="str">
        <f>IF(AND($A19&gt;=SYear_O, $A19&lt;=EYear_O, BC$3&gt;0), BC$3 * VLOOKUP($A19, Data_All!$A$8:$CA$153, MATCH(BC$2, Data_All!$B$2:$CA$2, 0)+1), "")</f>
        <v/>
      </c>
      <c r="BD19" s="206" t="str">
        <f>IF(AND($A19&gt;=SYear_O, $A19&lt;=EYear_O, BD$3&gt;0), BD$3 * VLOOKUP($A19, Data_All!$A$8:$CA$153, MATCH(BD$2, Data_All!$B$2:$CA$2, 0)+1), "")</f>
        <v/>
      </c>
      <c r="BE19" s="206" t="str">
        <f>IF(AND($A19&gt;=SYear_O, $A19&lt;=EYear_O, BE$3&gt;0), BE$3 * VLOOKUP($A19, Data_All!$A$8:$CA$153, MATCH(BE$2, Data_All!$B$2:$CA$2, 0)+1), "")</f>
        <v/>
      </c>
      <c r="BF19" s="206" t="str">
        <f>IF(AND($A19&gt;=SYear_O, $A19&lt;=EYear_O, BF$3&gt;0), BF$3 * VLOOKUP($A19, Data_All!$A$8:$CA$153, MATCH(BF$2, Data_All!$B$2:$CA$2, 0)+1), "")</f>
        <v/>
      </c>
      <c r="BG19" s="206" t="str">
        <f>IF(AND($A19&gt;=SYear_O, $A19&lt;=EYear_O, BG$3&gt;0), BG$3 * VLOOKUP($A19, Data_All!$A$8:$CA$153, MATCH(BG$2, Data_All!$B$2:$CA$2, 0)+1), "")</f>
        <v/>
      </c>
      <c r="BH19" s="206" t="str">
        <f>IF(AND($A19&gt;=SYear_O, $A19&lt;=EYear_O, BH$3&gt;0), BH$3 * VLOOKUP($A19, Data_All!$A$8:$CA$153, MATCH(BH$2, Data_All!$B$2:$CA$2, 0)+1), "")</f>
        <v/>
      </c>
      <c r="BI19" s="206" t="str">
        <f>IF(AND($A19&gt;=SYear_O, $A19&lt;=EYear_O, BI$3&gt;0), BI$3 * VLOOKUP($A19, Data_All!$A$8:$CA$153, MATCH(BI$2, Data_All!$B$2:$CA$2, 0)+1), "")</f>
        <v/>
      </c>
      <c r="BJ19" s="206" t="str">
        <f>IF(AND($A19&gt;=SYear_O, $A19&lt;=EYear_O, BJ$3&gt;0), BJ$3 * VLOOKUP($A19, Data_All!$A$8:$CA$153, MATCH(BJ$2, Data_All!$B$2:$CA$2, 0)+1), "")</f>
        <v/>
      </c>
      <c r="BK19" s="206" t="str">
        <f>IF(AND($A19&gt;=SYear_O, $A19&lt;=EYear_O, BK$3&gt;0), BK$3 * VLOOKUP($A19, Data_All!$A$8:$CA$153, MATCH(BK$2, Data_All!$B$2:$CA$2, 0)+1), "")</f>
        <v/>
      </c>
      <c r="BL19" s="206" t="str">
        <f>IF(AND($A19&gt;=SYear_O, $A19&lt;=EYear_O, BL$3&gt;0), BL$3 * VLOOKUP($A19, Data_All!$A$8:$CA$153, MATCH(BL$2, Data_All!$B$2:$CA$2, 0)+1), "")</f>
        <v/>
      </c>
      <c r="BM19" s="206" t="str">
        <f>IF(AND($A19&gt;=SYear_O, $A19&lt;=EYear_O, BM$3&gt;0), BM$3 * VLOOKUP($A19, Data_All!$A$8:$CA$153, MATCH(BM$2, Data_All!$B$2:$CA$2, 0)+1), "")</f>
        <v/>
      </c>
      <c r="BN19" s="206" t="str">
        <f>IF(AND($A19&gt;=SYear_O, $A19&lt;=EYear_O, BN$3&gt;0), BN$3 * VLOOKUP($A19, Data_All!$A$8:$CA$153, MATCH(BN$2, Data_All!$B$2:$CA$2, 0)+1), "")</f>
        <v/>
      </c>
      <c r="BO19" s="206" t="str">
        <f>IF(AND($A19&gt;=SYear_O, $A19&lt;=EYear_O, BO$3&gt;0), BO$3 * VLOOKUP($A19, Data_All!$A$8:$CA$153, MATCH(BO$2, Data_All!$B$2:$CA$2, 0)+1), "")</f>
        <v/>
      </c>
      <c r="BP19" s="206" t="str">
        <f>IF(AND($A19&gt;=SYear_O, $A19&lt;=EYear_O, BP$3&gt;0), BP$3 * VLOOKUP($A19, Data_All!$A$8:$CA$153, MATCH(BP$2, Data_All!$B$2:$CA$2, 0)+1), "")</f>
        <v/>
      </c>
      <c r="BQ19" s="206" t="str">
        <f>IF(AND($A19&gt;=SYear_O, $A19&lt;=EYear_O, BQ$3&gt;0), BQ$3 * VLOOKUP($A19, Data_All!$A$8:$CA$153, MATCH(BQ$2, Data_All!$B$2:$CA$2, 0)+1), "")</f>
        <v/>
      </c>
      <c r="BR19" s="206" t="str">
        <f>IF(AND($A19&gt;=SYear_O, $A19&lt;=EYear_O, BR$3&gt;0), BR$3 * VLOOKUP($A19, Data_All!$A$8:$CA$153, MATCH(BR$2, Data_All!$B$2:$CA$2, 0)+1), "")</f>
        <v/>
      </c>
      <c r="BS19" s="206" t="str">
        <f>IF(AND($A19&gt;=SYear_O, $A19&lt;=EYear_O, BS$3&gt;0), BS$3 * VLOOKUP($A19, Data_All!$A$8:$CA$153, MATCH(BS$2, Data_All!$B$2:$CA$2, 0)+1), "")</f>
        <v/>
      </c>
      <c r="BT19" s="206" t="str">
        <f>IF(AND($A19&gt;=SYear_O, $A19&lt;=EYear_O, BT$3&gt;0), BT$3 * VLOOKUP($A19, Data_All!$A$8:$CA$153, MATCH(BT$2, Data_All!$B$2:$CA$2, 0)+1), "")</f>
        <v/>
      </c>
      <c r="BU19" s="206" t="str">
        <f>IF(AND($A19&gt;=SYear_O, $A19&lt;=EYear_O, BU$3&gt;0), BU$3 * VLOOKUP($A19, Data_All!$A$8:$CA$153, MATCH(BU$2, Data_All!$B$2:$CA$2, 0)+1), "")</f>
        <v/>
      </c>
      <c r="BV19" s="206" t="str">
        <f>IF(AND($A19&gt;=SYear_O, $A19&lt;=EYear_O, BV$3&gt;0), BV$3 * VLOOKUP($A19, Data_All!$A$8:$CA$153, MATCH(BV$2, Data_All!$B$2:$CA$2, 0)+1), "")</f>
        <v/>
      </c>
      <c r="BW19" s="206" t="str">
        <f>IF(AND($A19&gt;=SYear_O, $A19&lt;=EYear_O, BW$3&gt;0), BW$3 * VLOOKUP($A19, Data_All!$A$8:$CA$153, MATCH(BW$2, Data_All!$B$2:$CA$2, 0)+1), "")</f>
        <v/>
      </c>
      <c r="BX19" s="206">
        <f>IF(AND($A19&gt;=SYear_O, $A19&lt;=EYear_O, BX$3&gt;0), BX$3 * VLOOKUP($A19, Data_All!$A$8:$CA$153, MATCH(BX$2, Data_All!$B$2:$CA$2, 0)+1), "")</f>
        <v>-3.098106712564543</v>
      </c>
      <c r="BY19" s="206">
        <f>IF(AND($A19&gt;=SYear_O, $A19&lt;=EYear_O, BY$3&gt;0), BY$3 * VLOOKUP($A19, Data_All!$A$8:$CA$153, MATCH(BY$2, Data_All!$B$2:$CA$2, 0)+1), "")</f>
        <v>1.1869620241806444</v>
      </c>
      <c r="BZ19" s="206" t="str">
        <f>IF(AND($A19&gt;=SYear_O, $A19&lt;=EYear_O, BZ$3&gt;0), BZ$3 * VLOOKUP($A19, Data_All!$A$8:$CA$153, MATCH(BZ$2, Data_All!$B$2:$CA$2, 0)+1), "")</f>
        <v/>
      </c>
      <c r="CA19" s="565">
        <f t="shared" si="2"/>
        <v>-1.9111446883838985</v>
      </c>
      <c r="CB19" s="427">
        <f t="shared" si="3"/>
        <v>22715.837677590178</v>
      </c>
      <c r="CC19" s="565">
        <f>IF(AND($A19&gt;=SYear_O,$A19&lt;=EYear_O),(CA19-Data_All!CA20)/(1+Data_All!CA20%),"")</f>
        <v>6.1795005861099339</v>
      </c>
      <c r="CD19" s="436">
        <f t="shared" si="4"/>
        <v>30678.171732457111</v>
      </c>
      <c r="CE19" s="438">
        <f t="shared" si="5"/>
        <v>2.0603091853047202</v>
      </c>
      <c r="CF19" s="438">
        <f>IF(AND($A19&gt;=SYear_O,$A19&lt;=EYear_O),MAX($CE$7:CE19),"")</f>
        <v>2.1004518594486337</v>
      </c>
      <c r="CG19" s="209">
        <f t="shared" si="6"/>
        <v>1.9111446883839034E-2</v>
      </c>
      <c r="CI19" s="143">
        <f>IF(AND($A19&gt;=SYear_O,$A19&lt;=EYear_O),Data_All!V20,"")</f>
        <v>5.2552702567689087</v>
      </c>
      <c r="CJ19" s="143">
        <f>IF(AND($A19&gt;=SYear_O,$A19&lt;=EYear_O),Data_All!CA20,"")</f>
        <v>-7.619780870915327</v>
      </c>
      <c r="CK19" s="143">
        <f t="shared" si="7"/>
        <v>13.937021636302548</v>
      </c>
      <c r="CN19" s="61">
        <f t="shared" si="8"/>
        <v>-1.9111446883839034E-2</v>
      </c>
      <c r="CO19" s="61">
        <f t="shared" si="9"/>
        <v>3.4438007485435351E-2</v>
      </c>
      <c r="CP19" s="61">
        <f t="shared" si="10"/>
        <v>3.7509288783934336E-2</v>
      </c>
      <c r="CQ19" s="61">
        <f t="shared" si="11"/>
        <v>3.9574040626907392E-2</v>
      </c>
      <c r="CR19" s="61">
        <f t="shared" si="12"/>
        <v>3.8290405980999198E-2</v>
      </c>
      <c r="CU19" s="61">
        <f t="shared" si="13"/>
        <v>6.1795005861099428E-2</v>
      </c>
      <c r="CV19" s="61">
        <f t="shared" si="14"/>
        <v>0.11431606886227286</v>
      </c>
      <c r="CW19" s="61">
        <f t="shared" si="15"/>
        <v>7.4814110852264637E-2</v>
      </c>
      <c r="CX19" s="61">
        <f t="shared" si="16"/>
        <v>6.4306457917320481E-2</v>
      </c>
      <c r="CY19" s="61">
        <f t="shared" si="17"/>
        <v>6.6739497412983351E-2</v>
      </c>
    </row>
    <row r="20" spans="1:103">
      <c r="A20" s="204">
        <f t="shared" si="18"/>
        <v>1884</v>
      </c>
      <c r="B20" s="206" t="str">
        <f>IF(AND($A20&gt;=SYear_O, $A20&lt;=EYear_O, B$3&gt;0), B$3 * VLOOKUP($A20, Data_All!$A$8:$CA$153, MATCH(B$2, Data_All!$B$2:$CA$2, 0)+1), "")</f>
        <v/>
      </c>
      <c r="C20" s="206" t="str">
        <f>IF(AND($A20&gt;=SYear_O, $A20&lt;=EYear_O, C$3&gt;0), C$3 * VLOOKUP($A20, Data_All!$A$8:$CA$153, MATCH(C$2, Data_All!$B$2:$CA$2, 0)+1), "")</f>
        <v/>
      </c>
      <c r="D20" s="206" t="str">
        <f>IF(AND($A20&gt;=SYear_O, $A20&lt;=EYear_O, D$3&gt;0), D$3 * VLOOKUP($A20, Data_All!$A$8:$CA$153, MATCH(D$2, Data_All!$B$2:$CA$2, 0)+1), "")</f>
        <v/>
      </c>
      <c r="E20" s="206" t="str">
        <f>IF(AND($A20&gt;=SYear_O, $A20&lt;=EYear_O, E$3&gt;0), E$3 * VLOOKUP($A20, Data_All!$A$8:$CA$153, MATCH(E$2, Data_All!$B$2:$CA$2, 0)+1), "")</f>
        <v/>
      </c>
      <c r="F20" s="206" t="str">
        <f>IF(AND($A20&gt;=SYear_O, $A20&lt;=EYear_O, F$3&gt;0), F$3 * VLOOKUP($A20, Data_All!$A$8:$CA$153, MATCH(F$2, Data_All!$B$2:$CA$2, 0)+1), "")</f>
        <v/>
      </c>
      <c r="G20" s="206" t="str">
        <f>IF(AND($A20&gt;=SYear_O, $A20&lt;=EYear_O, G$3&gt;0), G$3 * VLOOKUP($A20, Data_All!$A$8:$CA$153, MATCH(G$2, Data_All!$B$2:$CA$2, 0)+1), "")</f>
        <v/>
      </c>
      <c r="H20" s="206" t="str">
        <f>IF(AND($A20&gt;=SYear_O, $A20&lt;=EYear_O, H$3&gt;0), H$3 * VLOOKUP($A20, Data_All!$A$8:$CA$153, MATCH(H$2, Data_All!$B$2:$CA$2, 0)+1), "")</f>
        <v/>
      </c>
      <c r="I20" s="206" t="str">
        <f>IF(AND($A20&gt;=SYear_O, $A20&lt;=EYear_O, I$3&gt;0), I$3 * VLOOKUP($A20, Data_All!$A$8:$CA$153, MATCH(I$2, Data_All!$B$2:$CA$2, 0)+1), "")</f>
        <v/>
      </c>
      <c r="J20" s="206" t="str">
        <f>IF(AND($A20&gt;=SYear_O, $A20&lt;=EYear_O, J$3&gt;0), J$3 * VLOOKUP($A20, Data_All!$A$8:$CA$153, MATCH(J$2, Data_All!$B$2:$CA$2, 0)+1), "")</f>
        <v/>
      </c>
      <c r="K20" s="206" t="str">
        <f>IF(AND($A20&gt;=SYear_O, $A20&lt;=EYear_O, K$3&gt;0), K$3 * VLOOKUP($A20, Data_All!$A$8:$CA$153, MATCH(K$2, Data_All!$B$2:$CA$2, 0)+1), "")</f>
        <v/>
      </c>
      <c r="L20" s="206" t="str">
        <f>IF(AND($A20&gt;=SYear_O, $A20&lt;=EYear_O, L$3&gt;0), L$3 * VLOOKUP($A20, Data_All!$A$8:$CA$153, MATCH(L$2, Data_All!$B$2:$CA$2, 0)+1), "")</f>
        <v/>
      </c>
      <c r="M20" s="206" t="str">
        <f>IF(AND($A20&gt;=SYear_O, $A20&lt;=EYear_O, M$3&gt;0), M$3 * VLOOKUP($A20, Data_All!$A$8:$CA$153, MATCH(M$2, Data_All!$B$2:$CA$2, 0)+1), "")</f>
        <v/>
      </c>
      <c r="N20" s="206" t="str">
        <f>IF(AND($A20&gt;=SYear_O, $A20&lt;=EYear_O, N$3&gt;0), N$3 * VLOOKUP($A20, Data_All!$A$8:$CA$153, MATCH(N$2, Data_All!$B$2:$CA$2, 0)+1), "")</f>
        <v/>
      </c>
      <c r="O20" s="206" t="str">
        <f>IF(AND($A20&gt;=SYear_O, $A20&lt;=EYear_O, O$3&gt;0), O$3 * VLOOKUP($A20, Data_All!$A$8:$CA$153, MATCH(O$2, Data_All!$B$2:$CA$2, 0)+1), "")</f>
        <v/>
      </c>
      <c r="P20" s="206" t="str">
        <f>IF(AND($A20&gt;=SYear_O, $A20&lt;=EYear_O, P$3&gt;0), P$3 * VLOOKUP($A20, Data_All!$A$8:$CA$153, MATCH(P$2, Data_All!$B$2:$CA$2, 0)+1), "")</f>
        <v/>
      </c>
      <c r="Q20" s="206" t="str">
        <f>IF(AND($A20&gt;=SYear_O, $A20&lt;=EYear_O, Q$3&gt;0), Q$3 * VLOOKUP($A20, Data_All!$A$8:$CA$153, MATCH(Q$2, Data_All!$B$2:$CA$2, 0)+1), "")</f>
        <v/>
      </c>
      <c r="R20" s="206" t="str">
        <f>IF(AND($A20&gt;=SYear_O, $A20&lt;=EYear_O, R$3&gt;0), R$3 * VLOOKUP($A20, Data_All!$A$8:$CA$153, MATCH(R$2, Data_All!$B$2:$CA$2, 0)+1), "")</f>
        <v/>
      </c>
      <c r="S20" s="206" t="str">
        <f>IF(AND($A20&gt;=SYear_O, $A20&lt;=EYear_O, S$3&gt;0), S$3 * VLOOKUP($A20, Data_All!$A$8:$CA$153, MATCH(S$2, Data_All!$B$2:$CA$2, 0)+1), "")</f>
        <v/>
      </c>
      <c r="T20" s="206" t="str">
        <f>IF(AND($A20&gt;=SYear_O, $A20&lt;=EYear_O, T$3&gt;0), T$3 * VLOOKUP($A20, Data_All!$A$8:$CA$153, MATCH(T$2, Data_All!$B$2:$CA$2, 0)+1), "")</f>
        <v/>
      </c>
      <c r="U20" s="206" t="str">
        <f>IF(AND($A20&gt;=SYear_O, $A20&lt;=EYear_O, U$3&gt;0), U$3 * VLOOKUP($A20, Data_All!$A$8:$CA$153, MATCH(U$2, Data_All!$B$2:$CA$2, 0)+1), "")</f>
        <v/>
      </c>
      <c r="V20" s="206" t="str">
        <f>IF(AND($A20&gt;=SYear_O, $A20&lt;=EYear_O, V$3&gt;0), V$3 * VLOOKUP($A20, Data_All!$A$8:$CA$153, MATCH(V$2, Data_All!$B$2:$CA$2, 0)+1), "")</f>
        <v/>
      </c>
      <c r="W20" s="206" t="str">
        <f>IF(AND($A20&gt;=SYear_O, $A20&lt;=EYear_O, W$3&gt;0), W$3 * VLOOKUP($A20, Data_All!$A$8:$CA$153, MATCH(W$2, Data_All!$B$2:$CA$2, 0)+1), "")</f>
        <v/>
      </c>
      <c r="X20" s="206" t="str">
        <f>IF(AND($A20&gt;=SYear_O, $A20&lt;=EYear_O, X$3&gt;0), X$3 * VLOOKUP($A20, Data_All!$A$8:$CA$153, MATCH(X$2, Data_All!$B$2:$CA$2, 0)+1), "")</f>
        <v/>
      </c>
      <c r="Y20" s="206" t="str">
        <f>IF(AND($A20&gt;=SYear_O, $A20&lt;=EYear_O, Y$3&gt;0), Y$3 * VLOOKUP($A20, Data_All!$A$8:$CA$153, MATCH(Y$2, Data_All!$B$2:$CA$2, 0)+1), "")</f>
        <v/>
      </c>
      <c r="Z20" s="206" t="str">
        <f>IF(AND($A20&gt;=SYear_O, $A20&lt;=EYear_O, Z$3&gt;0), Z$3 * VLOOKUP($A20, Data_All!$A$8:$CA$153, MATCH(Z$2, Data_All!$B$2:$CA$2, 0)+1), "")</f>
        <v/>
      </c>
      <c r="AA20" s="206" t="str">
        <f>IF(AND($A20&gt;=SYear_O, $A20&lt;=EYear_O, AA$3&gt;0), AA$3 * VLOOKUP($A20, Data_All!$A$8:$CA$153, MATCH(AA$2, Data_All!$B$2:$CA$2, 0)+1), "")</f>
        <v/>
      </c>
      <c r="AB20" s="206" t="str">
        <f>IF(AND($A20&gt;=SYear_O, $A20&lt;=EYear_O, AB$3&gt;0), AB$3 * VLOOKUP($A20, Data_All!$A$8:$CA$153, MATCH(AB$2, Data_All!$B$2:$CA$2, 0)+1), "")</f>
        <v/>
      </c>
      <c r="AC20" s="206" t="str">
        <f>IF(AND($A20&gt;=SYear_O, $A20&lt;=EYear_O, AC$3&gt;0), AC$3 * VLOOKUP($A20, Data_All!$A$8:$CA$153, MATCH(AC$2, Data_All!$B$2:$CA$2, 0)+1), "")</f>
        <v/>
      </c>
      <c r="AD20" s="206" t="str">
        <f>IF(AND($A20&gt;=SYear_O, $A20&lt;=EYear_O, AD$3&gt;0), AD$3 * VLOOKUP($A20, Data_All!$A$8:$CA$153, MATCH(AD$2, Data_All!$B$2:$CA$2, 0)+1), "")</f>
        <v/>
      </c>
      <c r="AE20" s="206" t="str">
        <f>IF(AND($A20&gt;=SYear_O, $A20&lt;=EYear_O, AE$3&gt;0), AE$3 * VLOOKUP($A20, Data_All!$A$8:$CA$153, MATCH(AE$2, Data_All!$B$2:$CA$2, 0)+1), "")</f>
        <v/>
      </c>
      <c r="AF20" s="206" t="str">
        <f>IF(AND($A20&gt;=SYear_O, $A20&lt;=EYear_O, AF$3&gt;0), AF$3 * VLOOKUP($A20, Data_All!$A$8:$CA$153, MATCH(AF$2, Data_All!$B$2:$CA$2, 0)+1), "")</f>
        <v/>
      </c>
      <c r="AG20" s="206" t="str">
        <f>IF(AND($A20&gt;=SYear_O, $A20&lt;=EYear_O, AG$3&gt;0), AG$3 * VLOOKUP($A20, Data_All!$A$8:$CA$153, MATCH(AG$2, Data_All!$B$2:$CA$2, 0)+1), "")</f>
        <v/>
      </c>
      <c r="AH20" s="206" t="str">
        <f>IF(AND($A20&gt;=SYear_O, $A20&lt;=EYear_O, AH$3&gt;0), AH$3 * VLOOKUP($A20, Data_All!$A$8:$CA$153, MATCH(AH$2, Data_All!$B$2:$CA$2, 0)+1), "")</f>
        <v/>
      </c>
      <c r="AI20" s="206" t="str">
        <f>IF(AND($A20&gt;=SYear_O, $A20&lt;=EYear_O, AI$3&gt;0), AI$3 * VLOOKUP($A20, Data_All!$A$8:$CA$153, MATCH(AI$2, Data_All!$B$2:$CA$2, 0)+1), "")</f>
        <v/>
      </c>
      <c r="AJ20" s="206" t="str">
        <f>IF(AND($A20&gt;=SYear_O, $A20&lt;=EYear_O, AJ$3&gt;0), AJ$3 * VLOOKUP($A20, Data_All!$A$8:$CA$153, MATCH(AJ$2, Data_All!$B$2:$CA$2, 0)+1), "")</f>
        <v/>
      </c>
      <c r="AK20" s="206" t="str">
        <f>IF(AND($A20&gt;=SYear_O, $A20&lt;=EYear_O, AK$3&gt;0), AK$3 * VLOOKUP($A20, Data_All!$A$8:$CA$153, MATCH(AK$2, Data_All!$B$2:$CA$2, 0)+1), "")</f>
        <v/>
      </c>
      <c r="AL20" s="206" t="str">
        <f>IF(AND($A20&gt;=SYear_O, $A20&lt;=EYear_O, AL$3&gt;0), AL$3 * VLOOKUP($A20, Data_All!$A$8:$CA$153, MATCH(AL$2, Data_All!$B$2:$CA$2, 0)+1), "")</f>
        <v/>
      </c>
      <c r="AM20" s="206" t="str">
        <f>IF(AND($A20&gt;=SYear_O, $A20&lt;=EYear_O, AM$3&gt;0), AM$3 * VLOOKUP($A20, Data_All!$A$8:$CA$153, MATCH(AM$2, Data_All!$B$2:$CA$2, 0)+1), "")</f>
        <v/>
      </c>
      <c r="AN20" s="206" t="str">
        <f>IF(AND($A20&gt;=SYear_O, $A20&lt;=EYear_O, AN$3&gt;0), AN$3 * VLOOKUP($A20, Data_All!$A$8:$CA$153, MATCH(AN$2, Data_All!$B$2:$CA$2, 0)+1), "")</f>
        <v/>
      </c>
      <c r="AO20" s="206" t="str">
        <f>IF(AND($A20&gt;=SYear_O, $A20&lt;=EYear_O, AO$3&gt;0), AO$3 * VLOOKUP($A20, Data_All!$A$8:$CA$153, MATCH(AO$2, Data_All!$B$2:$CA$2, 0)+1), "")</f>
        <v/>
      </c>
      <c r="AP20" s="206" t="str">
        <f>IF(AND($A20&gt;=SYear_O, $A20&lt;=EYear_O, AP$3&gt;0), AP$3 * VLOOKUP($A20, Data_All!$A$8:$CA$153, MATCH(AP$2, Data_All!$B$2:$CA$2, 0)+1), "")</f>
        <v/>
      </c>
      <c r="AQ20" s="206" t="str">
        <f>IF(AND($A20&gt;=SYear_O, $A20&lt;=EYear_O, AQ$3&gt;0), AQ$3 * VLOOKUP($A20, Data_All!$A$8:$CA$153, MATCH(AQ$2, Data_All!$B$2:$CA$2, 0)+1), "")</f>
        <v/>
      </c>
      <c r="AR20" s="206" t="str">
        <f>IF(AND($A20&gt;=SYear_O, $A20&lt;=EYear_O, AR$3&gt;0), AR$3 * VLOOKUP($A20, Data_All!$A$8:$CA$153, MATCH(AR$2, Data_All!$B$2:$CA$2, 0)+1), "")</f>
        <v/>
      </c>
      <c r="AS20" s="206" t="str">
        <f>IF(AND($A20&gt;=SYear_O, $A20&lt;=EYear_O, AS$3&gt;0), AS$3 * VLOOKUP($A20, Data_All!$A$8:$CA$153, MATCH(AS$2, Data_All!$B$2:$CA$2, 0)+1), "")</f>
        <v/>
      </c>
      <c r="AT20" s="206" t="str">
        <f>IF(AND($A20&gt;=SYear_O, $A20&lt;=EYear_O, AT$3&gt;0), AT$3 * VLOOKUP($A20, Data_All!$A$8:$CA$153, MATCH(AT$2, Data_All!$B$2:$CA$2, 0)+1), "")</f>
        <v/>
      </c>
      <c r="AU20" s="206" t="str">
        <f>IF(AND($A20&gt;=SYear_O, $A20&lt;=EYear_O, AU$3&gt;0), AU$3 * VLOOKUP($A20, Data_All!$A$8:$CA$153, MATCH(AU$2, Data_All!$B$2:$CA$2, 0)+1), "")</f>
        <v/>
      </c>
      <c r="AV20" s="206" t="str">
        <f>IF(AND($A20&gt;=SYear_O, $A20&lt;=EYear_O, AV$3&gt;0), AV$3 * VLOOKUP($A20, Data_All!$A$8:$CA$153, MATCH(AV$2, Data_All!$B$2:$CA$2, 0)+1), "")</f>
        <v/>
      </c>
      <c r="AW20" s="206" t="str">
        <f>IF(AND($A20&gt;=SYear_O, $A20&lt;=EYear_O, AW$3&gt;0), AW$3 * VLOOKUP($A20, Data_All!$A$8:$CA$153, MATCH(AW$2, Data_All!$B$2:$CA$2, 0)+1), "")</f>
        <v/>
      </c>
      <c r="AX20" s="206" t="str">
        <f>IF(AND($A20&gt;=SYear_O, $A20&lt;=EYear_O, AX$3&gt;0), AX$3 * VLOOKUP($A20, Data_All!$A$8:$CA$153, MATCH(AX$2, Data_All!$B$2:$CA$2, 0)+1), "")</f>
        <v/>
      </c>
      <c r="AY20" s="206" t="str">
        <f>IF(AND($A20&gt;=SYear_O, $A20&lt;=EYear_O, AY$3&gt;0), AY$3 * VLOOKUP($A20, Data_All!$A$8:$CA$153, MATCH(AY$2, Data_All!$B$2:$CA$2, 0)+1), "")</f>
        <v/>
      </c>
      <c r="AZ20" s="206" t="str">
        <f>IF(AND($A20&gt;=SYear_O, $A20&lt;=EYear_O, AZ$3&gt;0), AZ$3 * VLOOKUP($A20, Data_All!$A$8:$CA$153, MATCH(AZ$2, Data_All!$B$2:$CA$2, 0)+1), "")</f>
        <v/>
      </c>
      <c r="BA20" s="206" t="str">
        <f>IF(AND($A20&gt;=SYear_O, $A20&lt;=EYear_O, BA$3&gt;0), BA$3 * VLOOKUP($A20, Data_All!$A$8:$CA$153, MATCH(BA$2, Data_All!$B$2:$CA$2, 0)+1), "")</f>
        <v/>
      </c>
      <c r="BB20" s="206" t="str">
        <f>IF(AND($A20&gt;=SYear_O, $A20&lt;=EYear_O, BB$3&gt;0), BB$3 * VLOOKUP($A20, Data_All!$A$8:$CA$153, MATCH(BB$2, Data_All!$B$2:$CA$2, 0)+1), "")</f>
        <v/>
      </c>
      <c r="BC20" s="206" t="str">
        <f>IF(AND($A20&gt;=SYear_O, $A20&lt;=EYear_O, BC$3&gt;0), BC$3 * VLOOKUP($A20, Data_All!$A$8:$CA$153, MATCH(BC$2, Data_All!$B$2:$CA$2, 0)+1), "")</f>
        <v/>
      </c>
      <c r="BD20" s="206" t="str">
        <f>IF(AND($A20&gt;=SYear_O, $A20&lt;=EYear_O, BD$3&gt;0), BD$3 * VLOOKUP($A20, Data_All!$A$8:$CA$153, MATCH(BD$2, Data_All!$B$2:$CA$2, 0)+1), "")</f>
        <v/>
      </c>
      <c r="BE20" s="206" t="str">
        <f>IF(AND($A20&gt;=SYear_O, $A20&lt;=EYear_O, BE$3&gt;0), BE$3 * VLOOKUP($A20, Data_All!$A$8:$CA$153, MATCH(BE$2, Data_All!$B$2:$CA$2, 0)+1), "")</f>
        <v/>
      </c>
      <c r="BF20" s="206" t="str">
        <f>IF(AND($A20&gt;=SYear_O, $A20&lt;=EYear_O, BF$3&gt;0), BF$3 * VLOOKUP($A20, Data_All!$A$8:$CA$153, MATCH(BF$2, Data_All!$B$2:$CA$2, 0)+1), "")</f>
        <v/>
      </c>
      <c r="BG20" s="206" t="str">
        <f>IF(AND($A20&gt;=SYear_O, $A20&lt;=EYear_O, BG$3&gt;0), BG$3 * VLOOKUP($A20, Data_All!$A$8:$CA$153, MATCH(BG$2, Data_All!$B$2:$CA$2, 0)+1), "")</f>
        <v/>
      </c>
      <c r="BH20" s="206" t="str">
        <f>IF(AND($A20&gt;=SYear_O, $A20&lt;=EYear_O, BH$3&gt;0), BH$3 * VLOOKUP($A20, Data_All!$A$8:$CA$153, MATCH(BH$2, Data_All!$B$2:$CA$2, 0)+1), "")</f>
        <v/>
      </c>
      <c r="BI20" s="206" t="str">
        <f>IF(AND($A20&gt;=SYear_O, $A20&lt;=EYear_O, BI$3&gt;0), BI$3 * VLOOKUP($A20, Data_All!$A$8:$CA$153, MATCH(BI$2, Data_All!$B$2:$CA$2, 0)+1), "")</f>
        <v/>
      </c>
      <c r="BJ20" s="206" t="str">
        <f>IF(AND($A20&gt;=SYear_O, $A20&lt;=EYear_O, BJ$3&gt;0), BJ$3 * VLOOKUP($A20, Data_All!$A$8:$CA$153, MATCH(BJ$2, Data_All!$B$2:$CA$2, 0)+1), "")</f>
        <v/>
      </c>
      <c r="BK20" s="206" t="str">
        <f>IF(AND($A20&gt;=SYear_O, $A20&lt;=EYear_O, BK$3&gt;0), BK$3 * VLOOKUP($A20, Data_All!$A$8:$CA$153, MATCH(BK$2, Data_All!$B$2:$CA$2, 0)+1), "")</f>
        <v/>
      </c>
      <c r="BL20" s="206" t="str">
        <f>IF(AND($A20&gt;=SYear_O, $A20&lt;=EYear_O, BL$3&gt;0), BL$3 * VLOOKUP($A20, Data_All!$A$8:$CA$153, MATCH(BL$2, Data_All!$B$2:$CA$2, 0)+1), "")</f>
        <v/>
      </c>
      <c r="BM20" s="206" t="str">
        <f>IF(AND($A20&gt;=SYear_O, $A20&lt;=EYear_O, BM$3&gt;0), BM$3 * VLOOKUP($A20, Data_All!$A$8:$CA$153, MATCH(BM$2, Data_All!$B$2:$CA$2, 0)+1), "")</f>
        <v/>
      </c>
      <c r="BN20" s="206" t="str">
        <f>IF(AND($A20&gt;=SYear_O, $A20&lt;=EYear_O, BN$3&gt;0), BN$3 * VLOOKUP($A20, Data_All!$A$8:$CA$153, MATCH(BN$2, Data_All!$B$2:$CA$2, 0)+1), "")</f>
        <v/>
      </c>
      <c r="BO20" s="206" t="str">
        <f>IF(AND($A20&gt;=SYear_O, $A20&lt;=EYear_O, BO$3&gt;0), BO$3 * VLOOKUP($A20, Data_All!$A$8:$CA$153, MATCH(BO$2, Data_All!$B$2:$CA$2, 0)+1), "")</f>
        <v/>
      </c>
      <c r="BP20" s="206" t="str">
        <f>IF(AND($A20&gt;=SYear_O, $A20&lt;=EYear_O, BP$3&gt;0), BP$3 * VLOOKUP($A20, Data_All!$A$8:$CA$153, MATCH(BP$2, Data_All!$B$2:$CA$2, 0)+1), "")</f>
        <v/>
      </c>
      <c r="BQ20" s="206" t="str">
        <f>IF(AND($A20&gt;=SYear_O, $A20&lt;=EYear_O, BQ$3&gt;0), BQ$3 * VLOOKUP($A20, Data_All!$A$8:$CA$153, MATCH(BQ$2, Data_All!$B$2:$CA$2, 0)+1), "")</f>
        <v/>
      </c>
      <c r="BR20" s="206" t="str">
        <f>IF(AND($A20&gt;=SYear_O, $A20&lt;=EYear_O, BR$3&gt;0), BR$3 * VLOOKUP($A20, Data_All!$A$8:$CA$153, MATCH(BR$2, Data_All!$B$2:$CA$2, 0)+1), "")</f>
        <v/>
      </c>
      <c r="BS20" s="206" t="str">
        <f>IF(AND($A20&gt;=SYear_O, $A20&lt;=EYear_O, BS$3&gt;0), BS$3 * VLOOKUP($A20, Data_All!$A$8:$CA$153, MATCH(BS$2, Data_All!$B$2:$CA$2, 0)+1), "")</f>
        <v/>
      </c>
      <c r="BT20" s="206" t="str">
        <f>IF(AND($A20&gt;=SYear_O, $A20&lt;=EYear_O, BT$3&gt;0), BT$3 * VLOOKUP($A20, Data_All!$A$8:$CA$153, MATCH(BT$2, Data_All!$B$2:$CA$2, 0)+1), "")</f>
        <v/>
      </c>
      <c r="BU20" s="206" t="str">
        <f>IF(AND($A20&gt;=SYear_O, $A20&lt;=EYear_O, BU$3&gt;0), BU$3 * VLOOKUP($A20, Data_All!$A$8:$CA$153, MATCH(BU$2, Data_All!$B$2:$CA$2, 0)+1), "")</f>
        <v/>
      </c>
      <c r="BV20" s="206" t="str">
        <f>IF(AND($A20&gt;=SYear_O, $A20&lt;=EYear_O, BV$3&gt;0), BV$3 * VLOOKUP($A20, Data_All!$A$8:$CA$153, MATCH(BV$2, Data_All!$B$2:$CA$2, 0)+1), "")</f>
        <v/>
      </c>
      <c r="BW20" s="206" t="str">
        <f>IF(AND($A20&gt;=SYear_O, $A20&lt;=EYear_O, BW$3&gt;0), BW$3 * VLOOKUP($A20, Data_All!$A$8:$CA$153, MATCH(BW$2, Data_All!$B$2:$CA$2, 0)+1), "")</f>
        <v/>
      </c>
      <c r="BX20" s="206">
        <f>IF(AND($A20&gt;=SYear_O, $A20&lt;=EYear_O, BX$3&gt;0), BX$3 * VLOOKUP($A20, Data_All!$A$8:$CA$153, MATCH(BX$2, Data_All!$B$2:$CA$2, 0)+1), "")</f>
        <v>-7.2972972972972956</v>
      </c>
      <c r="BY20" s="206">
        <f>IF(AND($A20&gt;=SYear_O, $A20&lt;=EYear_O, BY$3&gt;0), BY$3 * VLOOKUP($A20, Data_All!$A$8:$CA$153, MATCH(BY$2, Data_All!$B$2:$CA$2, 0)+1), "")</f>
        <v>2.52713160940087</v>
      </c>
      <c r="BZ20" s="206" t="str">
        <f>IF(AND($A20&gt;=SYear_O, $A20&lt;=EYear_O, BZ$3&gt;0), BZ$3 * VLOOKUP($A20, Data_All!$A$8:$CA$153, MATCH(BZ$2, Data_All!$B$2:$CA$2, 0)+1), "")</f>
        <v/>
      </c>
      <c r="CA20" s="565">
        <f t="shared" si="2"/>
        <v>-4.7701656878964256</v>
      </c>
      <c r="CB20" s="427">
        <f t="shared" si="3"/>
        <v>21632.254582975525</v>
      </c>
      <c r="CC20" s="565">
        <f>IF(AND($A20&gt;=SYear_O,$A20&lt;=EYear_O),(CA20-Data_All!CA21)/(1+Data_All!CA21%),"")</f>
        <v>6.175247075663834</v>
      </c>
      <c r="CD20" s="436">
        <f t="shared" si="4"/>
        <v>32572.624635232798</v>
      </c>
      <c r="CE20" s="438">
        <f t="shared" si="5"/>
        <v>1.9620290234827362</v>
      </c>
      <c r="CF20" s="438">
        <f>IF(AND($A20&gt;=SYear_O,$A20&lt;=EYear_O),MAX($CE$7:CE20),"")</f>
        <v>2.1004518594486337</v>
      </c>
      <c r="CG20" s="209">
        <f t="shared" si="6"/>
        <v>6.5901456081089771E-2</v>
      </c>
      <c r="CI20" s="143">
        <f>IF(AND($A20&gt;=SYear_O,$A20&lt;=EYear_O),Data_All!V21,"")</f>
        <v>5.5550004995504061</v>
      </c>
      <c r="CJ20" s="143">
        <f>IF(AND($A20&gt;=SYear_O,$A20&lt;=EYear_O),Data_All!CA21,"")</f>
        <v>-10.308817794189086</v>
      </c>
      <c r="CK20" s="143">
        <f t="shared" si="7"/>
        <v>17.687154861374662</v>
      </c>
      <c r="CN20" s="61">
        <f t="shared" si="8"/>
        <v>-4.7701656878964105E-2</v>
      </c>
      <c r="CO20" s="61">
        <f t="shared" si="9"/>
        <v>6.4092321189727519E-2</v>
      </c>
      <c r="CP20" s="61">
        <f t="shared" si="10"/>
        <v>4.9153649648013831E-2</v>
      </c>
      <c r="CQ20" s="61">
        <f t="shared" si="11"/>
        <v>3.5332819824004824E-2</v>
      </c>
      <c r="CR20" s="61">
        <f t="shared" si="12"/>
        <v>5.1734131168723829E-2</v>
      </c>
      <c r="CU20" s="61">
        <f t="shared" si="13"/>
        <v>6.1752470756638367E-2</v>
      </c>
      <c r="CV20" s="61">
        <f t="shared" si="14"/>
        <v>0.11637361282989511</v>
      </c>
      <c r="CW20" s="61">
        <f t="shared" si="15"/>
        <v>7.9784894934773476E-2</v>
      </c>
      <c r="CX20" s="61">
        <f t="shared" si="16"/>
        <v>6.6654435472212281E-2</v>
      </c>
      <c r="CY20" s="61">
        <f t="shared" si="17"/>
        <v>7.3841209518259676E-2</v>
      </c>
    </row>
    <row r="21" spans="1:103">
      <c r="A21" s="204">
        <f t="shared" si="18"/>
        <v>1885</v>
      </c>
      <c r="B21" s="206" t="str">
        <f>IF(AND($A21&gt;=SYear_O, $A21&lt;=EYear_O, B$3&gt;0), B$3 * VLOOKUP($A21, Data_All!$A$8:$CA$153, MATCH(B$2, Data_All!$B$2:$CA$2, 0)+1), "")</f>
        <v/>
      </c>
      <c r="C21" s="206" t="str">
        <f>IF(AND($A21&gt;=SYear_O, $A21&lt;=EYear_O, C$3&gt;0), C$3 * VLOOKUP($A21, Data_All!$A$8:$CA$153, MATCH(C$2, Data_All!$B$2:$CA$2, 0)+1), "")</f>
        <v/>
      </c>
      <c r="D21" s="206" t="str">
        <f>IF(AND($A21&gt;=SYear_O, $A21&lt;=EYear_O, D$3&gt;0), D$3 * VLOOKUP($A21, Data_All!$A$8:$CA$153, MATCH(D$2, Data_All!$B$2:$CA$2, 0)+1), "")</f>
        <v/>
      </c>
      <c r="E21" s="206" t="str">
        <f>IF(AND($A21&gt;=SYear_O, $A21&lt;=EYear_O, E$3&gt;0), E$3 * VLOOKUP($A21, Data_All!$A$8:$CA$153, MATCH(E$2, Data_All!$B$2:$CA$2, 0)+1), "")</f>
        <v/>
      </c>
      <c r="F21" s="206" t="str">
        <f>IF(AND($A21&gt;=SYear_O, $A21&lt;=EYear_O, F$3&gt;0), F$3 * VLOOKUP($A21, Data_All!$A$8:$CA$153, MATCH(F$2, Data_All!$B$2:$CA$2, 0)+1), "")</f>
        <v/>
      </c>
      <c r="G21" s="206" t="str">
        <f>IF(AND($A21&gt;=SYear_O, $A21&lt;=EYear_O, G$3&gt;0), G$3 * VLOOKUP($A21, Data_All!$A$8:$CA$153, MATCH(G$2, Data_All!$B$2:$CA$2, 0)+1), "")</f>
        <v/>
      </c>
      <c r="H21" s="206" t="str">
        <f>IF(AND($A21&gt;=SYear_O, $A21&lt;=EYear_O, H$3&gt;0), H$3 * VLOOKUP($A21, Data_All!$A$8:$CA$153, MATCH(H$2, Data_All!$B$2:$CA$2, 0)+1), "")</f>
        <v/>
      </c>
      <c r="I21" s="206" t="str">
        <f>IF(AND($A21&gt;=SYear_O, $A21&lt;=EYear_O, I$3&gt;0), I$3 * VLOOKUP($A21, Data_All!$A$8:$CA$153, MATCH(I$2, Data_All!$B$2:$CA$2, 0)+1), "")</f>
        <v/>
      </c>
      <c r="J21" s="206" t="str">
        <f>IF(AND($A21&gt;=SYear_O, $A21&lt;=EYear_O, J$3&gt;0), J$3 * VLOOKUP($A21, Data_All!$A$8:$CA$153, MATCH(J$2, Data_All!$B$2:$CA$2, 0)+1), "")</f>
        <v/>
      </c>
      <c r="K21" s="206" t="str">
        <f>IF(AND($A21&gt;=SYear_O, $A21&lt;=EYear_O, K$3&gt;0), K$3 * VLOOKUP($A21, Data_All!$A$8:$CA$153, MATCH(K$2, Data_All!$B$2:$CA$2, 0)+1), "")</f>
        <v/>
      </c>
      <c r="L21" s="206" t="str">
        <f>IF(AND($A21&gt;=SYear_O, $A21&lt;=EYear_O, L$3&gt;0), L$3 * VLOOKUP($A21, Data_All!$A$8:$CA$153, MATCH(L$2, Data_All!$B$2:$CA$2, 0)+1), "")</f>
        <v/>
      </c>
      <c r="M21" s="206" t="str">
        <f>IF(AND($A21&gt;=SYear_O, $A21&lt;=EYear_O, M$3&gt;0), M$3 * VLOOKUP($A21, Data_All!$A$8:$CA$153, MATCH(M$2, Data_All!$B$2:$CA$2, 0)+1), "")</f>
        <v/>
      </c>
      <c r="N21" s="206" t="str">
        <f>IF(AND($A21&gt;=SYear_O, $A21&lt;=EYear_O, N$3&gt;0), N$3 * VLOOKUP($A21, Data_All!$A$8:$CA$153, MATCH(N$2, Data_All!$B$2:$CA$2, 0)+1), "")</f>
        <v/>
      </c>
      <c r="O21" s="206" t="str">
        <f>IF(AND($A21&gt;=SYear_O, $A21&lt;=EYear_O, O$3&gt;0), O$3 * VLOOKUP($A21, Data_All!$A$8:$CA$153, MATCH(O$2, Data_All!$B$2:$CA$2, 0)+1), "")</f>
        <v/>
      </c>
      <c r="P21" s="206" t="str">
        <f>IF(AND($A21&gt;=SYear_O, $A21&lt;=EYear_O, P$3&gt;0), P$3 * VLOOKUP($A21, Data_All!$A$8:$CA$153, MATCH(P$2, Data_All!$B$2:$CA$2, 0)+1), "")</f>
        <v/>
      </c>
      <c r="Q21" s="206" t="str">
        <f>IF(AND($A21&gt;=SYear_O, $A21&lt;=EYear_O, Q$3&gt;0), Q$3 * VLOOKUP($A21, Data_All!$A$8:$CA$153, MATCH(Q$2, Data_All!$B$2:$CA$2, 0)+1), "")</f>
        <v/>
      </c>
      <c r="R21" s="206" t="str">
        <f>IF(AND($A21&gt;=SYear_O, $A21&lt;=EYear_O, R$3&gt;0), R$3 * VLOOKUP($A21, Data_All!$A$8:$CA$153, MATCH(R$2, Data_All!$B$2:$CA$2, 0)+1), "")</f>
        <v/>
      </c>
      <c r="S21" s="206" t="str">
        <f>IF(AND($A21&gt;=SYear_O, $A21&lt;=EYear_O, S$3&gt;0), S$3 * VLOOKUP($A21, Data_All!$A$8:$CA$153, MATCH(S$2, Data_All!$B$2:$CA$2, 0)+1), "")</f>
        <v/>
      </c>
      <c r="T21" s="206" t="str">
        <f>IF(AND($A21&gt;=SYear_O, $A21&lt;=EYear_O, T$3&gt;0), T$3 * VLOOKUP($A21, Data_All!$A$8:$CA$153, MATCH(T$2, Data_All!$B$2:$CA$2, 0)+1), "")</f>
        <v/>
      </c>
      <c r="U21" s="206" t="str">
        <f>IF(AND($A21&gt;=SYear_O, $A21&lt;=EYear_O, U$3&gt;0), U$3 * VLOOKUP($A21, Data_All!$A$8:$CA$153, MATCH(U$2, Data_All!$B$2:$CA$2, 0)+1), "")</f>
        <v/>
      </c>
      <c r="V21" s="206" t="str">
        <f>IF(AND($A21&gt;=SYear_O, $A21&lt;=EYear_O, V$3&gt;0), V$3 * VLOOKUP($A21, Data_All!$A$8:$CA$153, MATCH(V$2, Data_All!$B$2:$CA$2, 0)+1), "")</f>
        <v/>
      </c>
      <c r="W21" s="206" t="str">
        <f>IF(AND($A21&gt;=SYear_O, $A21&lt;=EYear_O, W$3&gt;0), W$3 * VLOOKUP($A21, Data_All!$A$8:$CA$153, MATCH(W$2, Data_All!$B$2:$CA$2, 0)+1), "")</f>
        <v/>
      </c>
      <c r="X21" s="206" t="str">
        <f>IF(AND($A21&gt;=SYear_O, $A21&lt;=EYear_O, X$3&gt;0), X$3 * VLOOKUP($A21, Data_All!$A$8:$CA$153, MATCH(X$2, Data_All!$B$2:$CA$2, 0)+1), "")</f>
        <v/>
      </c>
      <c r="Y21" s="206" t="str">
        <f>IF(AND($A21&gt;=SYear_O, $A21&lt;=EYear_O, Y$3&gt;0), Y$3 * VLOOKUP($A21, Data_All!$A$8:$CA$153, MATCH(Y$2, Data_All!$B$2:$CA$2, 0)+1), "")</f>
        <v/>
      </c>
      <c r="Z21" s="206" t="str">
        <f>IF(AND($A21&gt;=SYear_O, $A21&lt;=EYear_O, Z$3&gt;0), Z$3 * VLOOKUP($A21, Data_All!$A$8:$CA$153, MATCH(Z$2, Data_All!$B$2:$CA$2, 0)+1), "")</f>
        <v/>
      </c>
      <c r="AA21" s="206" t="str">
        <f>IF(AND($A21&gt;=SYear_O, $A21&lt;=EYear_O, AA$3&gt;0), AA$3 * VLOOKUP($A21, Data_All!$A$8:$CA$153, MATCH(AA$2, Data_All!$B$2:$CA$2, 0)+1), "")</f>
        <v/>
      </c>
      <c r="AB21" s="206" t="str">
        <f>IF(AND($A21&gt;=SYear_O, $A21&lt;=EYear_O, AB$3&gt;0), AB$3 * VLOOKUP($A21, Data_All!$A$8:$CA$153, MATCH(AB$2, Data_All!$B$2:$CA$2, 0)+1), "")</f>
        <v/>
      </c>
      <c r="AC21" s="206" t="str">
        <f>IF(AND($A21&gt;=SYear_O, $A21&lt;=EYear_O, AC$3&gt;0), AC$3 * VLOOKUP($A21, Data_All!$A$8:$CA$153, MATCH(AC$2, Data_All!$B$2:$CA$2, 0)+1), "")</f>
        <v/>
      </c>
      <c r="AD21" s="206" t="str">
        <f>IF(AND($A21&gt;=SYear_O, $A21&lt;=EYear_O, AD$3&gt;0), AD$3 * VLOOKUP($A21, Data_All!$A$8:$CA$153, MATCH(AD$2, Data_All!$B$2:$CA$2, 0)+1), "")</f>
        <v/>
      </c>
      <c r="AE21" s="206" t="str">
        <f>IF(AND($A21&gt;=SYear_O, $A21&lt;=EYear_O, AE$3&gt;0), AE$3 * VLOOKUP($A21, Data_All!$A$8:$CA$153, MATCH(AE$2, Data_All!$B$2:$CA$2, 0)+1), "")</f>
        <v/>
      </c>
      <c r="AF21" s="206" t="str">
        <f>IF(AND($A21&gt;=SYear_O, $A21&lt;=EYear_O, AF$3&gt;0), AF$3 * VLOOKUP($A21, Data_All!$A$8:$CA$153, MATCH(AF$2, Data_All!$B$2:$CA$2, 0)+1), "")</f>
        <v/>
      </c>
      <c r="AG21" s="206" t="str">
        <f>IF(AND($A21&gt;=SYear_O, $A21&lt;=EYear_O, AG$3&gt;0), AG$3 * VLOOKUP($A21, Data_All!$A$8:$CA$153, MATCH(AG$2, Data_All!$B$2:$CA$2, 0)+1), "")</f>
        <v/>
      </c>
      <c r="AH21" s="206" t="str">
        <f>IF(AND($A21&gt;=SYear_O, $A21&lt;=EYear_O, AH$3&gt;0), AH$3 * VLOOKUP($A21, Data_All!$A$8:$CA$153, MATCH(AH$2, Data_All!$B$2:$CA$2, 0)+1), "")</f>
        <v/>
      </c>
      <c r="AI21" s="206" t="str">
        <f>IF(AND($A21&gt;=SYear_O, $A21&lt;=EYear_O, AI$3&gt;0), AI$3 * VLOOKUP($A21, Data_All!$A$8:$CA$153, MATCH(AI$2, Data_All!$B$2:$CA$2, 0)+1), "")</f>
        <v/>
      </c>
      <c r="AJ21" s="206" t="str">
        <f>IF(AND($A21&gt;=SYear_O, $A21&lt;=EYear_O, AJ$3&gt;0), AJ$3 * VLOOKUP($A21, Data_All!$A$8:$CA$153, MATCH(AJ$2, Data_All!$B$2:$CA$2, 0)+1), "")</f>
        <v/>
      </c>
      <c r="AK21" s="206" t="str">
        <f>IF(AND($A21&gt;=SYear_O, $A21&lt;=EYear_O, AK$3&gt;0), AK$3 * VLOOKUP($A21, Data_All!$A$8:$CA$153, MATCH(AK$2, Data_All!$B$2:$CA$2, 0)+1), "")</f>
        <v/>
      </c>
      <c r="AL21" s="206" t="str">
        <f>IF(AND($A21&gt;=SYear_O, $A21&lt;=EYear_O, AL$3&gt;0), AL$3 * VLOOKUP($A21, Data_All!$A$8:$CA$153, MATCH(AL$2, Data_All!$B$2:$CA$2, 0)+1), "")</f>
        <v/>
      </c>
      <c r="AM21" s="206" t="str">
        <f>IF(AND($A21&gt;=SYear_O, $A21&lt;=EYear_O, AM$3&gt;0), AM$3 * VLOOKUP($A21, Data_All!$A$8:$CA$153, MATCH(AM$2, Data_All!$B$2:$CA$2, 0)+1), "")</f>
        <v/>
      </c>
      <c r="AN21" s="206" t="str">
        <f>IF(AND($A21&gt;=SYear_O, $A21&lt;=EYear_O, AN$3&gt;0), AN$3 * VLOOKUP($A21, Data_All!$A$8:$CA$153, MATCH(AN$2, Data_All!$B$2:$CA$2, 0)+1), "")</f>
        <v/>
      </c>
      <c r="AO21" s="206" t="str">
        <f>IF(AND($A21&gt;=SYear_O, $A21&lt;=EYear_O, AO$3&gt;0), AO$3 * VLOOKUP($A21, Data_All!$A$8:$CA$153, MATCH(AO$2, Data_All!$B$2:$CA$2, 0)+1), "")</f>
        <v/>
      </c>
      <c r="AP21" s="206" t="str">
        <f>IF(AND($A21&gt;=SYear_O, $A21&lt;=EYear_O, AP$3&gt;0), AP$3 * VLOOKUP($A21, Data_All!$A$8:$CA$153, MATCH(AP$2, Data_All!$B$2:$CA$2, 0)+1), "")</f>
        <v/>
      </c>
      <c r="AQ21" s="206" t="str">
        <f>IF(AND($A21&gt;=SYear_O, $A21&lt;=EYear_O, AQ$3&gt;0), AQ$3 * VLOOKUP($A21, Data_All!$A$8:$CA$153, MATCH(AQ$2, Data_All!$B$2:$CA$2, 0)+1), "")</f>
        <v/>
      </c>
      <c r="AR21" s="206" t="str">
        <f>IF(AND($A21&gt;=SYear_O, $A21&lt;=EYear_O, AR$3&gt;0), AR$3 * VLOOKUP($A21, Data_All!$A$8:$CA$153, MATCH(AR$2, Data_All!$B$2:$CA$2, 0)+1), "")</f>
        <v/>
      </c>
      <c r="AS21" s="206" t="str">
        <f>IF(AND($A21&gt;=SYear_O, $A21&lt;=EYear_O, AS$3&gt;0), AS$3 * VLOOKUP($A21, Data_All!$A$8:$CA$153, MATCH(AS$2, Data_All!$B$2:$CA$2, 0)+1), "")</f>
        <v/>
      </c>
      <c r="AT21" s="206" t="str">
        <f>IF(AND($A21&gt;=SYear_O, $A21&lt;=EYear_O, AT$3&gt;0), AT$3 * VLOOKUP($A21, Data_All!$A$8:$CA$153, MATCH(AT$2, Data_All!$B$2:$CA$2, 0)+1), "")</f>
        <v/>
      </c>
      <c r="AU21" s="206" t="str">
        <f>IF(AND($A21&gt;=SYear_O, $A21&lt;=EYear_O, AU$3&gt;0), AU$3 * VLOOKUP($A21, Data_All!$A$8:$CA$153, MATCH(AU$2, Data_All!$B$2:$CA$2, 0)+1), "")</f>
        <v/>
      </c>
      <c r="AV21" s="206" t="str">
        <f>IF(AND($A21&gt;=SYear_O, $A21&lt;=EYear_O, AV$3&gt;0), AV$3 * VLOOKUP($A21, Data_All!$A$8:$CA$153, MATCH(AV$2, Data_All!$B$2:$CA$2, 0)+1), "")</f>
        <v/>
      </c>
      <c r="AW21" s="206" t="str">
        <f>IF(AND($A21&gt;=SYear_O, $A21&lt;=EYear_O, AW$3&gt;0), AW$3 * VLOOKUP($A21, Data_All!$A$8:$CA$153, MATCH(AW$2, Data_All!$B$2:$CA$2, 0)+1), "")</f>
        <v/>
      </c>
      <c r="AX21" s="206" t="str">
        <f>IF(AND($A21&gt;=SYear_O, $A21&lt;=EYear_O, AX$3&gt;0), AX$3 * VLOOKUP($A21, Data_All!$A$8:$CA$153, MATCH(AX$2, Data_All!$B$2:$CA$2, 0)+1), "")</f>
        <v/>
      </c>
      <c r="AY21" s="206" t="str">
        <f>IF(AND($A21&gt;=SYear_O, $A21&lt;=EYear_O, AY$3&gt;0), AY$3 * VLOOKUP($A21, Data_All!$A$8:$CA$153, MATCH(AY$2, Data_All!$B$2:$CA$2, 0)+1), "")</f>
        <v/>
      </c>
      <c r="AZ21" s="206" t="str">
        <f>IF(AND($A21&gt;=SYear_O, $A21&lt;=EYear_O, AZ$3&gt;0), AZ$3 * VLOOKUP($A21, Data_All!$A$8:$CA$153, MATCH(AZ$2, Data_All!$B$2:$CA$2, 0)+1), "")</f>
        <v/>
      </c>
      <c r="BA21" s="206" t="str">
        <f>IF(AND($A21&gt;=SYear_O, $A21&lt;=EYear_O, BA$3&gt;0), BA$3 * VLOOKUP($A21, Data_All!$A$8:$CA$153, MATCH(BA$2, Data_All!$B$2:$CA$2, 0)+1), "")</f>
        <v/>
      </c>
      <c r="BB21" s="206" t="str">
        <f>IF(AND($A21&gt;=SYear_O, $A21&lt;=EYear_O, BB$3&gt;0), BB$3 * VLOOKUP($A21, Data_All!$A$8:$CA$153, MATCH(BB$2, Data_All!$B$2:$CA$2, 0)+1), "")</f>
        <v/>
      </c>
      <c r="BC21" s="206" t="str">
        <f>IF(AND($A21&gt;=SYear_O, $A21&lt;=EYear_O, BC$3&gt;0), BC$3 * VLOOKUP($A21, Data_All!$A$8:$CA$153, MATCH(BC$2, Data_All!$B$2:$CA$2, 0)+1), "")</f>
        <v/>
      </c>
      <c r="BD21" s="206" t="str">
        <f>IF(AND($A21&gt;=SYear_O, $A21&lt;=EYear_O, BD$3&gt;0), BD$3 * VLOOKUP($A21, Data_All!$A$8:$CA$153, MATCH(BD$2, Data_All!$B$2:$CA$2, 0)+1), "")</f>
        <v/>
      </c>
      <c r="BE21" s="206" t="str">
        <f>IF(AND($A21&gt;=SYear_O, $A21&lt;=EYear_O, BE$3&gt;0), BE$3 * VLOOKUP($A21, Data_All!$A$8:$CA$153, MATCH(BE$2, Data_All!$B$2:$CA$2, 0)+1), "")</f>
        <v/>
      </c>
      <c r="BF21" s="206" t="str">
        <f>IF(AND($A21&gt;=SYear_O, $A21&lt;=EYear_O, BF$3&gt;0), BF$3 * VLOOKUP($A21, Data_All!$A$8:$CA$153, MATCH(BF$2, Data_All!$B$2:$CA$2, 0)+1), "")</f>
        <v/>
      </c>
      <c r="BG21" s="206" t="str">
        <f>IF(AND($A21&gt;=SYear_O, $A21&lt;=EYear_O, BG$3&gt;0), BG$3 * VLOOKUP($A21, Data_All!$A$8:$CA$153, MATCH(BG$2, Data_All!$B$2:$CA$2, 0)+1), "")</f>
        <v/>
      </c>
      <c r="BH21" s="206" t="str">
        <f>IF(AND($A21&gt;=SYear_O, $A21&lt;=EYear_O, BH$3&gt;0), BH$3 * VLOOKUP($A21, Data_All!$A$8:$CA$153, MATCH(BH$2, Data_All!$B$2:$CA$2, 0)+1), "")</f>
        <v/>
      </c>
      <c r="BI21" s="206" t="str">
        <f>IF(AND($A21&gt;=SYear_O, $A21&lt;=EYear_O, BI$3&gt;0), BI$3 * VLOOKUP($A21, Data_All!$A$8:$CA$153, MATCH(BI$2, Data_All!$B$2:$CA$2, 0)+1), "")</f>
        <v/>
      </c>
      <c r="BJ21" s="206" t="str">
        <f>IF(AND($A21&gt;=SYear_O, $A21&lt;=EYear_O, BJ$3&gt;0), BJ$3 * VLOOKUP($A21, Data_All!$A$8:$CA$153, MATCH(BJ$2, Data_All!$B$2:$CA$2, 0)+1), "")</f>
        <v/>
      </c>
      <c r="BK21" s="206" t="str">
        <f>IF(AND($A21&gt;=SYear_O, $A21&lt;=EYear_O, BK$3&gt;0), BK$3 * VLOOKUP($A21, Data_All!$A$8:$CA$153, MATCH(BK$2, Data_All!$B$2:$CA$2, 0)+1), "")</f>
        <v/>
      </c>
      <c r="BL21" s="206" t="str">
        <f>IF(AND($A21&gt;=SYear_O, $A21&lt;=EYear_O, BL$3&gt;0), BL$3 * VLOOKUP($A21, Data_All!$A$8:$CA$153, MATCH(BL$2, Data_All!$B$2:$CA$2, 0)+1), "")</f>
        <v/>
      </c>
      <c r="BM21" s="206" t="str">
        <f>IF(AND($A21&gt;=SYear_O, $A21&lt;=EYear_O, BM$3&gt;0), BM$3 * VLOOKUP($A21, Data_All!$A$8:$CA$153, MATCH(BM$2, Data_All!$B$2:$CA$2, 0)+1), "")</f>
        <v/>
      </c>
      <c r="BN21" s="206" t="str">
        <f>IF(AND($A21&gt;=SYear_O, $A21&lt;=EYear_O, BN$3&gt;0), BN$3 * VLOOKUP($A21, Data_All!$A$8:$CA$153, MATCH(BN$2, Data_All!$B$2:$CA$2, 0)+1), "")</f>
        <v/>
      </c>
      <c r="BO21" s="206" t="str">
        <f>IF(AND($A21&gt;=SYear_O, $A21&lt;=EYear_O, BO$3&gt;0), BO$3 * VLOOKUP($A21, Data_All!$A$8:$CA$153, MATCH(BO$2, Data_All!$B$2:$CA$2, 0)+1), "")</f>
        <v/>
      </c>
      <c r="BP21" s="206" t="str">
        <f>IF(AND($A21&gt;=SYear_O, $A21&lt;=EYear_O, BP$3&gt;0), BP$3 * VLOOKUP($A21, Data_All!$A$8:$CA$153, MATCH(BP$2, Data_All!$B$2:$CA$2, 0)+1), "")</f>
        <v/>
      </c>
      <c r="BQ21" s="206" t="str">
        <f>IF(AND($A21&gt;=SYear_O, $A21&lt;=EYear_O, BQ$3&gt;0), BQ$3 * VLOOKUP($A21, Data_All!$A$8:$CA$153, MATCH(BQ$2, Data_All!$B$2:$CA$2, 0)+1), "")</f>
        <v/>
      </c>
      <c r="BR21" s="206" t="str">
        <f>IF(AND($A21&gt;=SYear_O, $A21&lt;=EYear_O, BR$3&gt;0), BR$3 * VLOOKUP($A21, Data_All!$A$8:$CA$153, MATCH(BR$2, Data_All!$B$2:$CA$2, 0)+1), "")</f>
        <v/>
      </c>
      <c r="BS21" s="206" t="str">
        <f>IF(AND($A21&gt;=SYear_O, $A21&lt;=EYear_O, BS$3&gt;0), BS$3 * VLOOKUP($A21, Data_All!$A$8:$CA$153, MATCH(BS$2, Data_All!$B$2:$CA$2, 0)+1), "")</f>
        <v/>
      </c>
      <c r="BT21" s="206" t="str">
        <f>IF(AND($A21&gt;=SYear_O, $A21&lt;=EYear_O, BT$3&gt;0), BT$3 * VLOOKUP($A21, Data_All!$A$8:$CA$153, MATCH(BT$2, Data_All!$B$2:$CA$2, 0)+1), "")</f>
        <v/>
      </c>
      <c r="BU21" s="206" t="str">
        <f>IF(AND($A21&gt;=SYear_O, $A21&lt;=EYear_O, BU$3&gt;0), BU$3 * VLOOKUP($A21, Data_All!$A$8:$CA$153, MATCH(BU$2, Data_All!$B$2:$CA$2, 0)+1), "")</f>
        <v/>
      </c>
      <c r="BV21" s="206" t="str">
        <f>IF(AND($A21&gt;=SYear_O, $A21&lt;=EYear_O, BV$3&gt;0), BV$3 * VLOOKUP($A21, Data_All!$A$8:$CA$153, MATCH(BV$2, Data_All!$B$2:$CA$2, 0)+1), "")</f>
        <v/>
      </c>
      <c r="BW21" s="206" t="str">
        <f>IF(AND($A21&gt;=SYear_O, $A21&lt;=EYear_O, BW$3&gt;0), BW$3 * VLOOKUP($A21, Data_All!$A$8:$CA$153, MATCH(BW$2, Data_All!$B$2:$CA$2, 0)+1), "")</f>
        <v/>
      </c>
      <c r="BX21" s="206">
        <f>IF(AND($A21&gt;=SYear_O, $A21&lt;=EYear_O, BX$3&gt;0), BX$3 * VLOOKUP($A21, Data_All!$A$8:$CA$153, MATCH(BX$2, Data_All!$B$2:$CA$2, 0)+1), "")</f>
        <v>16.981132075471692</v>
      </c>
      <c r="BY21" s="206">
        <f>IF(AND($A21&gt;=SYear_O, $A21&lt;=EYear_O, BY$3&gt;0), BY$3 * VLOOKUP($A21, Data_All!$A$8:$CA$153, MATCH(BY$2, Data_All!$B$2:$CA$2, 0)+1), "")</f>
        <v>1.5195123590888215</v>
      </c>
      <c r="BZ21" s="206" t="str">
        <f>IF(AND($A21&gt;=SYear_O, $A21&lt;=EYear_O, BZ$3&gt;0), BZ$3 * VLOOKUP($A21, Data_All!$A$8:$CA$153, MATCH(BZ$2, Data_All!$B$2:$CA$2, 0)+1), "")</f>
        <v/>
      </c>
      <c r="CA21" s="565">
        <f t="shared" si="2"/>
        <v>18.500644434560513</v>
      </c>
      <c r="CB21" s="427">
        <f t="shared" si="3"/>
        <v>25634.361086550751</v>
      </c>
      <c r="CC21" s="565">
        <f>IF(AND($A21&gt;=SYear_O,$A21&lt;=EYear_O),(CA21-Data_All!CA22)/(1+Data_All!CA22%),"")</f>
        <v>22.732963607578615</v>
      </c>
      <c r="CD21" s="436">
        <f t="shared" si="4"/>
        <v>39977.347539593458</v>
      </c>
      <c r="CE21" s="438">
        <f t="shared" si="5"/>
        <v>2.325017036820157</v>
      </c>
      <c r="CF21" s="438">
        <f>IF(AND($A21&gt;=SYear_O,$A21&lt;=EYear_O),MAX($CE$7:CE21),"")</f>
        <v>2.325017036820157</v>
      </c>
      <c r="CG21" s="209">
        <f t="shared" si="6"/>
        <v>0</v>
      </c>
      <c r="CI21" s="143">
        <f>IF(AND($A21&gt;=SYear_O,$A21&lt;=EYear_O),Data_All!V22,"")</f>
        <v>4.1262863422919374</v>
      </c>
      <c r="CJ21" s="143">
        <f>IF(AND($A21&gt;=SYear_O,$A21&lt;=EYear_O),Data_All!CA22,"")</f>
        <v>-3.4483964605876771</v>
      </c>
      <c r="CK21" s="143">
        <f t="shared" si="7"/>
        <v>7.8452169878127735</v>
      </c>
      <c r="CN21" s="61">
        <f t="shared" si="8"/>
        <v>0.1850064443456052</v>
      </c>
      <c r="CO21" s="61">
        <f t="shared" si="9"/>
        <v>8.773330015335068E-2</v>
      </c>
      <c r="CP21" s="61">
        <f t="shared" si="10"/>
        <v>6.9775329181869683E-2</v>
      </c>
      <c r="CQ21" s="61">
        <f t="shared" si="11"/>
        <v>4.4368755346608779E-2</v>
      </c>
      <c r="CR21" s="61">
        <f t="shared" si="12"/>
        <v>5.691824279775104E-2</v>
      </c>
      <c r="CU21" s="61">
        <f t="shared" si="13"/>
        <v>0.22732963607578616</v>
      </c>
      <c r="CV21" s="61">
        <f t="shared" si="14"/>
        <v>8.3596548306690277E-2</v>
      </c>
      <c r="CW21" s="61">
        <f t="shared" si="15"/>
        <v>8.7873790551309616E-2</v>
      </c>
      <c r="CX21" s="61">
        <f t="shared" si="16"/>
        <v>6.8860210852429438E-2</v>
      </c>
      <c r="CY21" s="61">
        <f t="shared" si="17"/>
        <v>6.0239932445443678E-2</v>
      </c>
    </row>
    <row r="22" spans="1:103">
      <c r="A22" s="204">
        <f t="shared" si="18"/>
        <v>1886</v>
      </c>
      <c r="B22" s="206" t="str">
        <f>IF(AND($A22&gt;=SYear_O, $A22&lt;=EYear_O, B$3&gt;0), B$3 * VLOOKUP($A22, Data_All!$A$8:$CA$153, MATCH(B$2, Data_All!$B$2:$CA$2, 0)+1), "")</f>
        <v/>
      </c>
      <c r="C22" s="206" t="str">
        <f>IF(AND($A22&gt;=SYear_O, $A22&lt;=EYear_O, C$3&gt;0), C$3 * VLOOKUP($A22, Data_All!$A$8:$CA$153, MATCH(C$2, Data_All!$B$2:$CA$2, 0)+1), "")</f>
        <v/>
      </c>
      <c r="D22" s="206" t="str">
        <f>IF(AND($A22&gt;=SYear_O, $A22&lt;=EYear_O, D$3&gt;0), D$3 * VLOOKUP($A22, Data_All!$A$8:$CA$153, MATCH(D$2, Data_All!$B$2:$CA$2, 0)+1), "")</f>
        <v/>
      </c>
      <c r="E22" s="206" t="str">
        <f>IF(AND($A22&gt;=SYear_O, $A22&lt;=EYear_O, E$3&gt;0), E$3 * VLOOKUP($A22, Data_All!$A$8:$CA$153, MATCH(E$2, Data_All!$B$2:$CA$2, 0)+1), "")</f>
        <v/>
      </c>
      <c r="F22" s="206" t="str">
        <f>IF(AND($A22&gt;=SYear_O, $A22&lt;=EYear_O, F$3&gt;0), F$3 * VLOOKUP($A22, Data_All!$A$8:$CA$153, MATCH(F$2, Data_All!$B$2:$CA$2, 0)+1), "")</f>
        <v/>
      </c>
      <c r="G22" s="206" t="str">
        <f>IF(AND($A22&gt;=SYear_O, $A22&lt;=EYear_O, G$3&gt;0), G$3 * VLOOKUP($A22, Data_All!$A$8:$CA$153, MATCH(G$2, Data_All!$B$2:$CA$2, 0)+1), "")</f>
        <v/>
      </c>
      <c r="H22" s="206" t="str">
        <f>IF(AND($A22&gt;=SYear_O, $A22&lt;=EYear_O, H$3&gt;0), H$3 * VLOOKUP($A22, Data_All!$A$8:$CA$153, MATCH(H$2, Data_All!$B$2:$CA$2, 0)+1), "")</f>
        <v/>
      </c>
      <c r="I22" s="206" t="str">
        <f>IF(AND($A22&gt;=SYear_O, $A22&lt;=EYear_O, I$3&gt;0), I$3 * VLOOKUP($A22, Data_All!$A$8:$CA$153, MATCH(I$2, Data_All!$B$2:$CA$2, 0)+1), "")</f>
        <v/>
      </c>
      <c r="J22" s="206" t="str">
        <f>IF(AND($A22&gt;=SYear_O, $A22&lt;=EYear_O, J$3&gt;0), J$3 * VLOOKUP($A22, Data_All!$A$8:$CA$153, MATCH(J$2, Data_All!$B$2:$CA$2, 0)+1), "")</f>
        <v/>
      </c>
      <c r="K22" s="206" t="str">
        <f>IF(AND($A22&gt;=SYear_O, $A22&lt;=EYear_O, K$3&gt;0), K$3 * VLOOKUP($A22, Data_All!$A$8:$CA$153, MATCH(K$2, Data_All!$B$2:$CA$2, 0)+1), "")</f>
        <v/>
      </c>
      <c r="L22" s="206" t="str">
        <f>IF(AND($A22&gt;=SYear_O, $A22&lt;=EYear_O, L$3&gt;0), L$3 * VLOOKUP($A22, Data_All!$A$8:$CA$153, MATCH(L$2, Data_All!$B$2:$CA$2, 0)+1), "")</f>
        <v/>
      </c>
      <c r="M22" s="206" t="str">
        <f>IF(AND($A22&gt;=SYear_O, $A22&lt;=EYear_O, M$3&gt;0), M$3 * VLOOKUP($A22, Data_All!$A$8:$CA$153, MATCH(M$2, Data_All!$B$2:$CA$2, 0)+1), "")</f>
        <v/>
      </c>
      <c r="N22" s="206" t="str">
        <f>IF(AND($A22&gt;=SYear_O, $A22&lt;=EYear_O, N$3&gt;0), N$3 * VLOOKUP($A22, Data_All!$A$8:$CA$153, MATCH(N$2, Data_All!$B$2:$CA$2, 0)+1), "")</f>
        <v/>
      </c>
      <c r="O22" s="206" t="str">
        <f>IF(AND($A22&gt;=SYear_O, $A22&lt;=EYear_O, O$3&gt;0), O$3 * VLOOKUP($A22, Data_All!$A$8:$CA$153, MATCH(O$2, Data_All!$B$2:$CA$2, 0)+1), "")</f>
        <v/>
      </c>
      <c r="P22" s="206" t="str">
        <f>IF(AND($A22&gt;=SYear_O, $A22&lt;=EYear_O, P$3&gt;0), P$3 * VLOOKUP($A22, Data_All!$A$8:$CA$153, MATCH(P$2, Data_All!$B$2:$CA$2, 0)+1), "")</f>
        <v/>
      </c>
      <c r="Q22" s="206" t="str">
        <f>IF(AND($A22&gt;=SYear_O, $A22&lt;=EYear_O, Q$3&gt;0), Q$3 * VLOOKUP($A22, Data_All!$A$8:$CA$153, MATCH(Q$2, Data_All!$B$2:$CA$2, 0)+1), "")</f>
        <v/>
      </c>
      <c r="R22" s="206" t="str">
        <f>IF(AND($A22&gt;=SYear_O, $A22&lt;=EYear_O, R$3&gt;0), R$3 * VLOOKUP($A22, Data_All!$A$8:$CA$153, MATCH(R$2, Data_All!$B$2:$CA$2, 0)+1), "")</f>
        <v/>
      </c>
      <c r="S22" s="206" t="str">
        <f>IF(AND($A22&gt;=SYear_O, $A22&lt;=EYear_O, S$3&gt;0), S$3 * VLOOKUP($A22, Data_All!$A$8:$CA$153, MATCH(S$2, Data_All!$B$2:$CA$2, 0)+1), "")</f>
        <v/>
      </c>
      <c r="T22" s="206" t="str">
        <f>IF(AND($A22&gt;=SYear_O, $A22&lt;=EYear_O, T$3&gt;0), T$3 * VLOOKUP($A22, Data_All!$A$8:$CA$153, MATCH(T$2, Data_All!$B$2:$CA$2, 0)+1), "")</f>
        <v/>
      </c>
      <c r="U22" s="206" t="str">
        <f>IF(AND($A22&gt;=SYear_O, $A22&lt;=EYear_O, U$3&gt;0), U$3 * VLOOKUP($A22, Data_All!$A$8:$CA$153, MATCH(U$2, Data_All!$B$2:$CA$2, 0)+1), "")</f>
        <v/>
      </c>
      <c r="V22" s="206" t="str">
        <f>IF(AND($A22&gt;=SYear_O, $A22&lt;=EYear_O, V$3&gt;0), V$3 * VLOOKUP($A22, Data_All!$A$8:$CA$153, MATCH(V$2, Data_All!$B$2:$CA$2, 0)+1), "")</f>
        <v/>
      </c>
      <c r="W22" s="206" t="str">
        <f>IF(AND($A22&gt;=SYear_O, $A22&lt;=EYear_O, W$3&gt;0), W$3 * VLOOKUP($A22, Data_All!$A$8:$CA$153, MATCH(W$2, Data_All!$B$2:$CA$2, 0)+1), "")</f>
        <v/>
      </c>
      <c r="X22" s="206" t="str">
        <f>IF(AND($A22&gt;=SYear_O, $A22&lt;=EYear_O, X$3&gt;0), X$3 * VLOOKUP($A22, Data_All!$A$8:$CA$153, MATCH(X$2, Data_All!$B$2:$CA$2, 0)+1), "")</f>
        <v/>
      </c>
      <c r="Y22" s="206" t="str">
        <f>IF(AND($A22&gt;=SYear_O, $A22&lt;=EYear_O, Y$3&gt;0), Y$3 * VLOOKUP($A22, Data_All!$A$8:$CA$153, MATCH(Y$2, Data_All!$B$2:$CA$2, 0)+1), "")</f>
        <v/>
      </c>
      <c r="Z22" s="206" t="str">
        <f>IF(AND($A22&gt;=SYear_O, $A22&lt;=EYear_O, Z$3&gt;0), Z$3 * VLOOKUP($A22, Data_All!$A$8:$CA$153, MATCH(Z$2, Data_All!$B$2:$CA$2, 0)+1), "")</f>
        <v/>
      </c>
      <c r="AA22" s="206" t="str">
        <f>IF(AND($A22&gt;=SYear_O, $A22&lt;=EYear_O, AA$3&gt;0), AA$3 * VLOOKUP($A22, Data_All!$A$8:$CA$153, MATCH(AA$2, Data_All!$B$2:$CA$2, 0)+1), "")</f>
        <v/>
      </c>
      <c r="AB22" s="206" t="str">
        <f>IF(AND($A22&gt;=SYear_O, $A22&lt;=EYear_O, AB$3&gt;0), AB$3 * VLOOKUP($A22, Data_All!$A$8:$CA$153, MATCH(AB$2, Data_All!$B$2:$CA$2, 0)+1), "")</f>
        <v/>
      </c>
      <c r="AC22" s="206" t="str">
        <f>IF(AND($A22&gt;=SYear_O, $A22&lt;=EYear_O, AC$3&gt;0), AC$3 * VLOOKUP($A22, Data_All!$A$8:$CA$153, MATCH(AC$2, Data_All!$B$2:$CA$2, 0)+1), "")</f>
        <v/>
      </c>
      <c r="AD22" s="206" t="str">
        <f>IF(AND($A22&gt;=SYear_O, $A22&lt;=EYear_O, AD$3&gt;0), AD$3 * VLOOKUP($A22, Data_All!$A$8:$CA$153, MATCH(AD$2, Data_All!$B$2:$CA$2, 0)+1), "")</f>
        <v/>
      </c>
      <c r="AE22" s="206" t="str">
        <f>IF(AND($A22&gt;=SYear_O, $A22&lt;=EYear_O, AE$3&gt;0), AE$3 * VLOOKUP($A22, Data_All!$A$8:$CA$153, MATCH(AE$2, Data_All!$B$2:$CA$2, 0)+1), "")</f>
        <v/>
      </c>
      <c r="AF22" s="206" t="str">
        <f>IF(AND($A22&gt;=SYear_O, $A22&lt;=EYear_O, AF$3&gt;0), AF$3 * VLOOKUP($A22, Data_All!$A$8:$CA$153, MATCH(AF$2, Data_All!$B$2:$CA$2, 0)+1), "")</f>
        <v/>
      </c>
      <c r="AG22" s="206" t="str">
        <f>IF(AND($A22&gt;=SYear_O, $A22&lt;=EYear_O, AG$3&gt;0), AG$3 * VLOOKUP($A22, Data_All!$A$8:$CA$153, MATCH(AG$2, Data_All!$B$2:$CA$2, 0)+1), "")</f>
        <v/>
      </c>
      <c r="AH22" s="206" t="str">
        <f>IF(AND($A22&gt;=SYear_O, $A22&lt;=EYear_O, AH$3&gt;0), AH$3 * VLOOKUP($A22, Data_All!$A$8:$CA$153, MATCH(AH$2, Data_All!$B$2:$CA$2, 0)+1), "")</f>
        <v/>
      </c>
      <c r="AI22" s="206" t="str">
        <f>IF(AND($A22&gt;=SYear_O, $A22&lt;=EYear_O, AI$3&gt;0), AI$3 * VLOOKUP($A22, Data_All!$A$8:$CA$153, MATCH(AI$2, Data_All!$B$2:$CA$2, 0)+1), "")</f>
        <v/>
      </c>
      <c r="AJ22" s="206" t="str">
        <f>IF(AND($A22&gt;=SYear_O, $A22&lt;=EYear_O, AJ$3&gt;0), AJ$3 * VLOOKUP($A22, Data_All!$A$8:$CA$153, MATCH(AJ$2, Data_All!$B$2:$CA$2, 0)+1), "")</f>
        <v/>
      </c>
      <c r="AK22" s="206" t="str">
        <f>IF(AND($A22&gt;=SYear_O, $A22&lt;=EYear_O, AK$3&gt;0), AK$3 * VLOOKUP($A22, Data_All!$A$8:$CA$153, MATCH(AK$2, Data_All!$B$2:$CA$2, 0)+1), "")</f>
        <v/>
      </c>
      <c r="AL22" s="206" t="str">
        <f>IF(AND($A22&gt;=SYear_O, $A22&lt;=EYear_O, AL$3&gt;0), AL$3 * VLOOKUP($A22, Data_All!$A$8:$CA$153, MATCH(AL$2, Data_All!$B$2:$CA$2, 0)+1), "")</f>
        <v/>
      </c>
      <c r="AM22" s="206" t="str">
        <f>IF(AND($A22&gt;=SYear_O, $A22&lt;=EYear_O, AM$3&gt;0), AM$3 * VLOOKUP($A22, Data_All!$A$8:$CA$153, MATCH(AM$2, Data_All!$B$2:$CA$2, 0)+1), "")</f>
        <v/>
      </c>
      <c r="AN22" s="206" t="str">
        <f>IF(AND($A22&gt;=SYear_O, $A22&lt;=EYear_O, AN$3&gt;0), AN$3 * VLOOKUP($A22, Data_All!$A$8:$CA$153, MATCH(AN$2, Data_All!$B$2:$CA$2, 0)+1), "")</f>
        <v/>
      </c>
      <c r="AO22" s="206" t="str">
        <f>IF(AND($A22&gt;=SYear_O, $A22&lt;=EYear_O, AO$3&gt;0), AO$3 * VLOOKUP($A22, Data_All!$A$8:$CA$153, MATCH(AO$2, Data_All!$B$2:$CA$2, 0)+1), "")</f>
        <v/>
      </c>
      <c r="AP22" s="206" t="str">
        <f>IF(AND($A22&gt;=SYear_O, $A22&lt;=EYear_O, AP$3&gt;0), AP$3 * VLOOKUP($A22, Data_All!$A$8:$CA$153, MATCH(AP$2, Data_All!$B$2:$CA$2, 0)+1), "")</f>
        <v/>
      </c>
      <c r="AQ22" s="206" t="str">
        <f>IF(AND($A22&gt;=SYear_O, $A22&lt;=EYear_O, AQ$3&gt;0), AQ$3 * VLOOKUP($A22, Data_All!$A$8:$CA$153, MATCH(AQ$2, Data_All!$B$2:$CA$2, 0)+1), "")</f>
        <v/>
      </c>
      <c r="AR22" s="206" t="str">
        <f>IF(AND($A22&gt;=SYear_O, $A22&lt;=EYear_O, AR$3&gt;0), AR$3 * VLOOKUP($A22, Data_All!$A$8:$CA$153, MATCH(AR$2, Data_All!$B$2:$CA$2, 0)+1), "")</f>
        <v/>
      </c>
      <c r="AS22" s="206" t="str">
        <f>IF(AND($A22&gt;=SYear_O, $A22&lt;=EYear_O, AS$3&gt;0), AS$3 * VLOOKUP($A22, Data_All!$A$8:$CA$153, MATCH(AS$2, Data_All!$B$2:$CA$2, 0)+1), "")</f>
        <v/>
      </c>
      <c r="AT22" s="206" t="str">
        <f>IF(AND($A22&gt;=SYear_O, $A22&lt;=EYear_O, AT$3&gt;0), AT$3 * VLOOKUP($A22, Data_All!$A$8:$CA$153, MATCH(AT$2, Data_All!$B$2:$CA$2, 0)+1), "")</f>
        <v/>
      </c>
      <c r="AU22" s="206" t="str">
        <f>IF(AND($A22&gt;=SYear_O, $A22&lt;=EYear_O, AU$3&gt;0), AU$3 * VLOOKUP($A22, Data_All!$A$8:$CA$153, MATCH(AU$2, Data_All!$B$2:$CA$2, 0)+1), "")</f>
        <v/>
      </c>
      <c r="AV22" s="206" t="str">
        <f>IF(AND($A22&gt;=SYear_O, $A22&lt;=EYear_O, AV$3&gt;0), AV$3 * VLOOKUP($A22, Data_All!$A$8:$CA$153, MATCH(AV$2, Data_All!$B$2:$CA$2, 0)+1), "")</f>
        <v/>
      </c>
      <c r="AW22" s="206" t="str">
        <f>IF(AND($A22&gt;=SYear_O, $A22&lt;=EYear_O, AW$3&gt;0), AW$3 * VLOOKUP($A22, Data_All!$A$8:$CA$153, MATCH(AW$2, Data_All!$B$2:$CA$2, 0)+1), "")</f>
        <v/>
      </c>
      <c r="AX22" s="206" t="str">
        <f>IF(AND($A22&gt;=SYear_O, $A22&lt;=EYear_O, AX$3&gt;0), AX$3 * VLOOKUP($A22, Data_All!$A$8:$CA$153, MATCH(AX$2, Data_All!$B$2:$CA$2, 0)+1), "")</f>
        <v/>
      </c>
      <c r="AY22" s="206" t="str">
        <f>IF(AND($A22&gt;=SYear_O, $A22&lt;=EYear_O, AY$3&gt;0), AY$3 * VLOOKUP($A22, Data_All!$A$8:$CA$153, MATCH(AY$2, Data_All!$B$2:$CA$2, 0)+1), "")</f>
        <v/>
      </c>
      <c r="AZ22" s="206" t="str">
        <f>IF(AND($A22&gt;=SYear_O, $A22&lt;=EYear_O, AZ$3&gt;0), AZ$3 * VLOOKUP($A22, Data_All!$A$8:$CA$153, MATCH(AZ$2, Data_All!$B$2:$CA$2, 0)+1), "")</f>
        <v/>
      </c>
      <c r="BA22" s="206" t="str">
        <f>IF(AND($A22&gt;=SYear_O, $A22&lt;=EYear_O, BA$3&gt;0), BA$3 * VLOOKUP($A22, Data_All!$A$8:$CA$153, MATCH(BA$2, Data_All!$B$2:$CA$2, 0)+1), "")</f>
        <v/>
      </c>
      <c r="BB22" s="206" t="str">
        <f>IF(AND($A22&gt;=SYear_O, $A22&lt;=EYear_O, BB$3&gt;0), BB$3 * VLOOKUP($A22, Data_All!$A$8:$CA$153, MATCH(BB$2, Data_All!$B$2:$CA$2, 0)+1), "")</f>
        <v/>
      </c>
      <c r="BC22" s="206" t="str">
        <f>IF(AND($A22&gt;=SYear_O, $A22&lt;=EYear_O, BC$3&gt;0), BC$3 * VLOOKUP($A22, Data_All!$A$8:$CA$153, MATCH(BC$2, Data_All!$B$2:$CA$2, 0)+1), "")</f>
        <v/>
      </c>
      <c r="BD22" s="206" t="str">
        <f>IF(AND($A22&gt;=SYear_O, $A22&lt;=EYear_O, BD$3&gt;0), BD$3 * VLOOKUP($A22, Data_All!$A$8:$CA$153, MATCH(BD$2, Data_All!$B$2:$CA$2, 0)+1), "")</f>
        <v/>
      </c>
      <c r="BE22" s="206" t="str">
        <f>IF(AND($A22&gt;=SYear_O, $A22&lt;=EYear_O, BE$3&gt;0), BE$3 * VLOOKUP($A22, Data_All!$A$8:$CA$153, MATCH(BE$2, Data_All!$B$2:$CA$2, 0)+1), "")</f>
        <v/>
      </c>
      <c r="BF22" s="206" t="str">
        <f>IF(AND($A22&gt;=SYear_O, $A22&lt;=EYear_O, BF$3&gt;0), BF$3 * VLOOKUP($A22, Data_All!$A$8:$CA$153, MATCH(BF$2, Data_All!$B$2:$CA$2, 0)+1), "")</f>
        <v/>
      </c>
      <c r="BG22" s="206" t="str">
        <f>IF(AND($A22&gt;=SYear_O, $A22&lt;=EYear_O, BG$3&gt;0), BG$3 * VLOOKUP($A22, Data_All!$A$8:$CA$153, MATCH(BG$2, Data_All!$B$2:$CA$2, 0)+1), "")</f>
        <v/>
      </c>
      <c r="BH22" s="206" t="str">
        <f>IF(AND($A22&gt;=SYear_O, $A22&lt;=EYear_O, BH$3&gt;0), BH$3 * VLOOKUP($A22, Data_All!$A$8:$CA$153, MATCH(BH$2, Data_All!$B$2:$CA$2, 0)+1), "")</f>
        <v/>
      </c>
      <c r="BI22" s="206" t="str">
        <f>IF(AND($A22&gt;=SYear_O, $A22&lt;=EYear_O, BI$3&gt;0), BI$3 * VLOOKUP($A22, Data_All!$A$8:$CA$153, MATCH(BI$2, Data_All!$B$2:$CA$2, 0)+1), "")</f>
        <v/>
      </c>
      <c r="BJ22" s="206" t="str">
        <f>IF(AND($A22&gt;=SYear_O, $A22&lt;=EYear_O, BJ$3&gt;0), BJ$3 * VLOOKUP($A22, Data_All!$A$8:$CA$153, MATCH(BJ$2, Data_All!$B$2:$CA$2, 0)+1), "")</f>
        <v/>
      </c>
      <c r="BK22" s="206" t="str">
        <f>IF(AND($A22&gt;=SYear_O, $A22&lt;=EYear_O, BK$3&gt;0), BK$3 * VLOOKUP($A22, Data_All!$A$8:$CA$153, MATCH(BK$2, Data_All!$B$2:$CA$2, 0)+1), "")</f>
        <v/>
      </c>
      <c r="BL22" s="206" t="str">
        <f>IF(AND($A22&gt;=SYear_O, $A22&lt;=EYear_O, BL$3&gt;0), BL$3 * VLOOKUP($A22, Data_All!$A$8:$CA$153, MATCH(BL$2, Data_All!$B$2:$CA$2, 0)+1), "")</f>
        <v/>
      </c>
      <c r="BM22" s="206" t="str">
        <f>IF(AND($A22&gt;=SYear_O, $A22&lt;=EYear_O, BM$3&gt;0), BM$3 * VLOOKUP($A22, Data_All!$A$8:$CA$153, MATCH(BM$2, Data_All!$B$2:$CA$2, 0)+1), "")</f>
        <v/>
      </c>
      <c r="BN22" s="206" t="str">
        <f>IF(AND($A22&gt;=SYear_O, $A22&lt;=EYear_O, BN$3&gt;0), BN$3 * VLOOKUP($A22, Data_All!$A$8:$CA$153, MATCH(BN$2, Data_All!$B$2:$CA$2, 0)+1), "")</f>
        <v/>
      </c>
      <c r="BO22" s="206" t="str">
        <f>IF(AND($A22&gt;=SYear_O, $A22&lt;=EYear_O, BO$3&gt;0), BO$3 * VLOOKUP($A22, Data_All!$A$8:$CA$153, MATCH(BO$2, Data_All!$B$2:$CA$2, 0)+1), "")</f>
        <v/>
      </c>
      <c r="BP22" s="206" t="str">
        <f>IF(AND($A22&gt;=SYear_O, $A22&lt;=EYear_O, BP$3&gt;0), BP$3 * VLOOKUP($A22, Data_All!$A$8:$CA$153, MATCH(BP$2, Data_All!$B$2:$CA$2, 0)+1), "")</f>
        <v/>
      </c>
      <c r="BQ22" s="206" t="str">
        <f>IF(AND($A22&gt;=SYear_O, $A22&lt;=EYear_O, BQ$3&gt;0), BQ$3 * VLOOKUP($A22, Data_All!$A$8:$CA$153, MATCH(BQ$2, Data_All!$B$2:$CA$2, 0)+1), "")</f>
        <v/>
      </c>
      <c r="BR22" s="206" t="str">
        <f>IF(AND($A22&gt;=SYear_O, $A22&lt;=EYear_O, BR$3&gt;0), BR$3 * VLOOKUP($A22, Data_All!$A$8:$CA$153, MATCH(BR$2, Data_All!$B$2:$CA$2, 0)+1), "")</f>
        <v/>
      </c>
      <c r="BS22" s="206" t="str">
        <f>IF(AND($A22&gt;=SYear_O, $A22&lt;=EYear_O, BS$3&gt;0), BS$3 * VLOOKUP($A22, Data_All!$A$8:$CA$153, MATCH(BS$2, Data_All!$B$2:$CA$2, 0)+1), "")</f>
        <v/>
      </c>
      <c r="BT22" s="206" t="str">
        <f>IF(AND($A22&gt;=SYear_O, $A22&lt;=EYear_O, BT$3&gt;0), BT$3 * VLOOKUP($A22, Data_All!$A$8:$CA$153, MATCH(BT$2, Data_All!$B$2:$CA$2, 0)+1), "")</f>
        <v/>
      </c>
      <c r="BU22" s="206" t="str">
        <f>IF(AND($A22&gt;=SYear_O, $A22&lt;=EYear_O, BU$3&gt;0), BU$3 * VLOOKUP($A22, Data_All!$A$8:$CA$153, MATCH(BU$2, Data_All!$B$2:$CA$2, 0)+1), "")</f>
        <v/>
      </c>
      <c r="BV22" s="206" t="str">
        <f>IF(AND($A22&gt;=SYear_O, $A22&lt;=EYear_O, BV$3&gt;0), BV$3 * VLOOKUP($A22, Data_All!$A$8:$CA$153, MATCH(BV$2, Data_All!$B$2:$CA$2, 0)+1), "")</f>
        <v/>
      </c>
      <c r="BW22" s="206" t="str">
        <f>IF(AND($A22&gt;=SYear_O, $A22&lt;=EYear_O, BW$3&gt;0), BW$3 * VLOOKUP($A22, Data_All!$A$8:$CA$153, MATCH(BW$2, Data_All!$B$2:$CA$2, 0)+1), "")</f>
        <v/>
      </c>
      <c r="BX22" s="206">
        <f>IF(AND($A22&gt;=SYear_O, $A22&lt;=EYear_O, BX$3&gt;0), BX$3 * VLOOKUP($A22, Data_All!$A$8:$CA$153, MATCH(BX$2, Data_All!$B$2:$CA$2, 0)+1), "")</f>
        <v>6.9230769230769251</v>
      </c>
      <c r="BY22" s="206">
        <f>IF(AND($A22&gt;=SYear_O, $A22&lt;=EYear_O, BY$3&gt;0), BY$3 * VLOOKUP($A22, Data_All!$A$8:$CA$153, MATCH(BY$2, Data_All!$B$2:$CA$2, 0)+1), "")</f>
        <v>-0.1543199123181882</v>
      </c>
      <c r="BZ22" s="206" t="str">
        <f>IF(AND($A22&gt;=SYear_O, $A22&lt;=EYear_O, BZ$3&gt;0), BZ$3 * VLOOKUP($A22, Data_All!$A$8:$CA$153, MATCH(BZ$2, Data_All!$B$2:$CA$2, 0)+1), "")</f>
        <v/>
      </c>
      <c r="CA22" s="565">
        <f t="shared" si="2"/>
        <v>6.7687570107587369</v>
      </c>
      <c r="CB22" s="427">
        <f t="shared" si="3"/>
        <v>27369.488699759866</v>
      </c>
      <c r="CC22" s="565">
        <f>IF(AND($A22&gt;=SYear_O,$A22&lt;=EYear_O),(CA22-Data_All!CA23)/(1+Data_All!CA23%),"")</f>
        <v>6.7687570107587369</v>
      </c>
      <c r="CD22" s="436">
        <f t="shared" si="4"/>
        <v>42683.31705389508</v>
      </c>
      <c r="CE22" s="438">
        <f t="shared" si="5"/>
        <v>2.4823917905012567</v>
      </c>
      <c r="CF22" s="438">
        <f>IF(AND($A22&gt;=SYear_O,$A22&lt;=EYear_O),MAX($CE$7:CE22),"")</f>
        <v>2.4823917905012567</v>
      </c>
      <c r="CG22" s="209">
        <f t="shared" si="6"/>
        <v>0</v>
      </c>
      <c r="CI22" s="143">
        <f>IF(AND($A22&gt;=SYear_O,$A22&lt;=EYear_O),Data_All!V23,"")</f>
        <v>4.1662503746628037</v>
      </c>
      <c r="CJ22" s="143">
        <f>IF(AND($A22&gt;=SYear_O,$A22&lt;=EYear_O),Data_All!CA23,"")</f>
        <v>0</v>
      </c>
      <c r="CK22" s="143">
        <f t="shared" si="7"/>
        <v>4.1662503746628037</v>
      </c>
      <c r="CN22" s="61">
        <f t="shared" si="8"/>
        <v>6.7687570107587414E-2</v>
      </c>
      <c r="CO22" s="61">
        <f t="shared" si="9"/>
        <v>4.0480421505078468E-2</v>
      </c>
      <c r="CP22" s="61">
        <f t="shared" si="10"/>
        <v>2.8012780936968129E-2</v>
      </c>
      <c r="CQ22" s="61">
        <f t="shared" si="11"/>
        <v>2.9153119574963249E-2</v>
      </c>
      <c r="CR22" s="61">
        <f t="shared" si="12"/>
        <v>5.4193662213200877E-2</v>
      </c>
      <c r="CU22" s="61">
        <f t="shared" si="13"/>
        <v>6.7687570107587414E-2</v>
      </c>
      <c r="CV22" s="61">
        <f t="shared" si="14"/>
        <v>4.0480421505078468E-2</v>
      </c>
      <c r="CW22" s="61">
        <f t="shared" si="15"/>
        <v>3.2979227318859161E-2</v>
      </c>
      <c r="CX22" s="61">
        <f t="shared" si="16"/>
        <v>4.8088895197183179E-2</v>
      </c>
      <c r="CY22" s="61">
        <f t="shared" si="17"/>
        <v>5.6752687174482785E-2</v>
      </c>
    </row>
    <row r="23" spans="1:103">
      <c r="A23" s="204">
        <f t="shared" si="18"/>
        <v>1887</v>
      </c>
      <c r="B23" s="206" t="str">
        <f>IF(AND($A23&gt;=SYear_O, $A23&lt;=EYear_O, B$3&gt;0), B$3 * VLOOKUP($A23, Data_All!$A$8:$CA$153, MATCH(B$2, Data_All!$B$2:$CA$2, 0)+1), "")</f>
        <v/>
      </c>
      <c r="C23" s="206" t="str">
        <f>IF(AND($A23&gt;=SYear_O, $A23&lt;=EYear_O, C$3&gt;0), C$3 * VLOOKUP($A23, Data_All!$A$8:$CA$153, MATCH(C$2, Data_All!$B$2:$CA$2, 0)+1), "")</f>
        <v/>
      </c>
      <c r="D23" s="206" t="str">
        <f>IF(AND($A23&gt;=SYear_O, $A23&lt;=EYear_O, D$3&gt;0), D$3 * VLOOKUP($A23, Data_All!$A$8:$CA$153, MATCH(D$2, Data_All!$B$2:$CA$2, 0)+1), "")</f>
        <v/>
      </c>
      <c r="E23" s="206" t="str">
        <f>IF(AND($A23&gt;=SYear_O, $A23&lt;=EYear_O, E$3&gt;0), E$3 * VLOOKUP($A23, Data_All!$A$8:$CA$153, MATCH(E$2, Data_All!$B$2:$CA$2, 0)+1), "")</f>
        <v/>
      </c>
      <c r="F23" s="206" t="str">
        <f>IF(AND($A23&gt;=SYear_O, $A23&lt;=EYear_O, F$3&gt;0), F$3 * VLOOKUP($A23, Data_All!$A$8:$CA$153, MATCH(F$2, Data_All!$B$2:$CA$2, 0)+1), "")</f>
        <v/>
      </c>
      <c r="G23" s="206" t="str">
        <f>IF(AND($A23&gt;=SYear_O, $A23&lt;=EYear_O, G$3&gt;0), G$3 * VLOOKUP($A23, Data_All!$A$8:$CA$153, MATCH(G$2, Data_All!$B$2:$CA$2, 0)+1), "")</f>
        <v/>
      </c>
      <c r="H23" s="206" t="str">
        <f>IF(AND($A23&gt;=SYear_O, $A23&lt;=EYear_O, H$3&gt;0), H$3 * VLOOKUP($A23, Data_All!$A$8:$CA$153, MATCH(H$2, Data_All!$B$2:$CA$2, 0)+1), "")</f>
        <v/>
      </c>
      <c r="I23" s="206" t="str">
        <f>IF(AND($A23&gt;=SYear_O, $A23&lt;=EYear_O, I$3&gt;0), I$3 * VLOOKUP($A23, Data_All!$A$8:$CA$153, MATCH(I$2, Data_All!$B$2:$CA$2, 0)+1), "")</f>
        <v/>
      </c>
      <c r="J23" s="206" t="str">
        <f>IF(AND($A23&gt;=SYear_O, $A23&lt;=EYear_O, J$3&gt;0), J$3 * VLOOKUP($A23, Data_All!$A$8:$CA$153, MATCH(J$2, Data_All!$B$2:$CA$2, 0)+1), "")</f>
        <v/>
      </c>
      <c r="K23" s="206" t="str">
        <f>IF(AND($A23&gt;=SYear_O, $A23&lt;=EYear_O, K$3&gt;0), K$3 * VLOOKUP($A23, Data_All!$A$8:$CA$153, MATCH(K$2, Data_All!$B$2:$CA$2, 0)+1), "")</f>
        <v/>
      </c>
      <c r="L23" s="206" t="str">
        <f>IF(AND($A23&gt;=SYear_O, $A23&lt;=EYear_O, L$3&gt;0), L$3 * VLOOKUP($A23, Data_All!$A$8:$CA$153, MATCH(L$2, Data_All!$B$2:$CA$2, 0)+1), "")</f>
        <v/>
      </c>
      <c r="M23" s="206" t="str">
        <f>IF(AND($A23&gt;=SYear_O, $A23&lt;=EYear_O, M$3&gt;0), M$3 * VLOOKUP($A23, Data_All!$A$8:$CA$153, MATCH(M$2, Data_All!$B$2:$CA$2, 0)+1), "")</f>
        <v/>
      </c>
      <c r="N23" s="206" t="str">
        <f>IF(AND($A23&gt;=SYear_O, $A23&lt;=EYear_O, N$3&gt;0), N$3 * VLOOKUP($A23, Data_All!$A$8:$CA$153, MATCH(N$2, Data_All!$B$2:$CA$2, 0)+1), "")</f>
        <v/>
      </c>
      <c r="O23" s="206" t="str">
        <f>IF(AND($A23&gt;=SYear_O, $A23&lt;=EYear_O, O$3&gt;0), O$3 * VLOOKUP($A23, Data_All!$A$8:$CA$153, MATCH(O$2, Data_All!$B$2:$CA$2, 0)+1), "")</f>
        <v/>
      </c>
      <c r="P23" s="206" t="str">
        <f>IF(AND($A23&gt;=SYear_O, $A23&lt;=EYear_O, P$3&gt;0), P$3 * VLOOKUP($A23, Data_All!$A$8:$CA$153, MATCH(P$2, Data_All!$B$2:$CA$2, 0)+1), "")</f>
        <v/>
      </c>
      <c r="Q23" s="206" t="str">
        <f>IF(AND($A23&gt;=SYear_O, $A23&lt;=EYear_O, Q$3&gt;0), Q$3 * VLOOKUP($A23, Data_All!$A$8:$CA$153, MATCH(Q$2, Data_All!$B$2:$CA$2, 0)+1), "")</f>
        <v/>
      </c>
      <c r="R23" s="206" t="str">
        <f>IF(AND($A23&gt;=SYear_O, $A23&lt;=EYear_O, R$3&gt;0), R$3 * VLOOKUP($A23, Data_All!$A$8:$CA$153, MATCH(R$2, Data_All!$B$2:$CA$2, 0)+1), "")</f>
        <v/>
      </c>
      <c r="S23" s="206" t="str">
        <f>IF(AND($A23&gt;=SYear_O, $A23&lt;=EYear_O, S$3&gt;0), S$3 * VLOOKUP($A23, Data_All!$A$8:$CA$153, MATCH(S$2, Data_All!$B$2:$CA$2, 0)+1), "")</f>
        <v/>
      </c>
      <c r="T23" s="206" t="str">
        <f>IF(AND($A23&gt;=SYear_O, $A23&lt;=EYear_O, T$3&gt;0), T$3 * VLOOKUP($A23, Data_All!$A$8:$CA$153, MATCH(T$2, Data_All!$B$2:$CA$2, 0)+1), "")</f>
        <v/>
      </c>
      <c r="U23" s="206" t="str">
        <f>IF(AND($A23&gt;=SYear_O, $A23&lt;=EYear_O, U$3&gt;0), U$3 * VLOOKUP($A23, Data_All!$A$8:$CA$153, MATCH(U$2, Data_All!$B$2:$CA$2, 0)+1), "")</f>
        <v/>
      </c>
      <c r="V23" s="206" t="str">
        <f>IF(AND($A23&gt;=SYear_O, $A23&lt;=EYear_O, V$3&gt;0), V$3 * VLOOKUP($A23, Data_All!$A$8:$CA$153, MATCH(V$2, Data_All!$B$2:$CA$2, 0)+1), "")</f>
        <v/>
      </c>
      <c r="W23" s="206" t="str">
        <f>IF(AND($A23&gt;=SYear_O, $A23&lt;=EYear_O, W$3&gt;0), W$3 * VLOOKUP($A23, Data_All!$A$8:$CA$153, MATCH(W$2, Data_All!$B$2:$CA$2, 0)+1), "")</f>
        <v/>
      </c>
      <c r="X23" s="206" t="str">
        <f>IF(AND($A23&gt;=SYear_O, $A23&lt;=EYear_O, X$3&gt;0), X$3 * VLOOKUP($A23, Data_All!$A$8:$CA$153, MATCH(X$2, Data_All!$B$2:$CA$2, 0)+1), "")</f>
        <v/>
      </c>
      <c r="Y23" s="206" t="str">
        <f>IF(AND($A23&gt;=SYear_O, $A23&lt;=EYear_O, Y$3&gt;0), Y$3 * VLOOKUP($A23, Data_All!$A$8:$CA$153, MATCH(Y$2, Data_All!$B$2:$CA$2, 0)+1), "")</f>
        <v/>
      </c>
      <c r="Z23" s="206" t="str">
        <f>IF(AND($A23&gt;=SYear_O, $A23&lt;=EYear_O, Z$3&gt;0), Z$3 * VLOOKUP($A23, Data_All!$A$8:$CA$153, MATCH(Z$2, Data_All!$B$2:$CA$2, 0)+1), "")</f>
        <v/>
      </c>
      <c r="AA23" s="206" t="str">
        <f>IF(AND($A23&gt;=SYear_O, $A23&lt;=EYear_O, AA$3&gt;0), AA$3 * VLOOKUP($A23, Data_All!$A$8:$CA$153, MATCH(AA$2, Data_All!$B$2:$CA$2, 0)+1), "")</f>
        <v/>
      </c>
      <c r="AB23" s="206" t="str">
        <f>IF(AND($A23&gt;=SYear_O, $A23&lt;=EYear_O, AB$3&gt;0), AB$3 * VLOOKUP($A23, Data_All!$A$8:$CA$153, MATCH(AB$2, Data_All!$B$2:$CA$2, 0)+1), "")</f>
        <v/>
      </c>
      <c r="AC23" s="206" t="str">
        <f>IF(AND($A23&gt;=SYear_O, $A23&lt;=EYear_O, AC$3&gt;0), AC$3 * VLOOKUP($A23, Data_All!$A$8:$CA$153, MATCH(AC$2, Data_All!$B$2:$CA$2, 0)+1), "")</f>
        <v/>
      </c>
      <c r="AD23" s="206" t="str">
        <f>IF(AND($A23&gt;=SYear_O, $A23&lt;=EYear_O, AD$3&gt;0), AD$3 * VLOOKUP($A23, Data_All!$A$8:$CA$153, MATCH(AD$2, Data_All!$B$2:$CA$2, 0)+1), "")</f>
        <v/>
      </c>
      <c r="AE23" s="206" t="str">
        <f>IF(AND($A23&gt;=SYear_O, $A23&lt;=EYear_O, AE$3&gt;0), AE$3 * VLOOKUP($A23, Data_All!$A$8:$CA$153, MATCH(AE$2, Data_All!$B$2:$CA$2, 0)+1), "")</f>
        <v/>
      </c>
      <c r="AF23" s="206" t="str">
        <f>IF(AND($A23&gt;=SYear_O, $A23&lt;=EYear_O, AF$3&gt;0), AF$3 * VLOOKUP($A23, Data_All!$A$8:$CA$153, MATCH(AF$2, Data_All!$B$2:$CA$2, 0)+1), "")</f>
        <v/>
      </c>
      <c r="AG23" s="206" t="str">
        <f>IF(AND($A23&gt;=SYear_O, $A23&lt;=EYear_O, AG$3&gt;0), AG$3 * VLOOKUP($A23, Data_All!$A$8:$CA$153, MATCH(AG$2, Data_All!$B$2:$CA$2, 0)+1), "")</f>
        <v/>
      </c>
      <c r="AH23" s="206" t="str">
        <f>IF(AND($A23&gt;=SYear_O, $A23&lt;=EYear_O, AH$3&gt;0), AH$3 * VLOOKUP($A23, Data_All!$A$8:$CA$153, MATCH(AH$2, Data_All!$B$2:$CA$2, 0)+1), "")</f>
        <v/>
      </c>
      <c r="AI23" s="206" t="str">
        <f>IF(AND($A23&gt;=SYear_O, $A23&lt;=EYear_O, AI$3&gt;0), AI$3 * VLOOKUP($A23, Data_All!$A$8:$CA$153, MATCH(AI$2, Data_All!$B$2:$CA$2, 0)+1), "")</f>
        <v/>
      </c>
      <c r="AJ23" s="206" t="str">
        <f>IF(AND($A23&gt;=SYear_O, $A23&lt;=EYear_O, AJ$3&gt;0), AJ$3 * VLOOKUP($A23, Data_All!$A$8:$CA$153, MATCH(AJ$2, Data_All!$B$2:$CA$2, 0)+1), "")</f>
        <v/>
      </c>
      <c r="AK23" s="206" t="str">
        <f>IF(AND($A23&gt;=SYear_O, $A23&lt;=EYear_O, AK$3&gt;0), AK$3 * VLOOKUP($A23, Data_All!$A$8:$CA$153, MATCH(AK$2, Data_All!$B$2:$CA$2, 0)+1), "")</f>
        <v/>
      </c>
      <c r="AL23" s="206" t="str">
        <f>IF(AND($A23&gt;=SYear_O, $A23&lt;=EYear_O, AL$3&gt;0), AL$3 * VLOOKUP($A23, Data_All!$A$8:$CA$153, MATCH(AL$2, Data_All!$B$2:$CA$2, 0)+1), "")</f>
        <v/>
      </c>
      <c r="AM23" s="206" t="str">
        <f>IF(AND($A23&gt;=SYear_O, $A23&lt;=EYear_O, AM$3&gt;0), AM$3 * VLOOKUP($A23, Data_All!$A$8:$CA$153, MATCH(AM$2, Data_All!$B$2:$CA$2, 0)+1), "")</f>
        <v/>
      </c>
      <c r="AN23" s="206" t="str">
        <f>IF(AND($A23&gt;=SYear_O, $A23&lt;=EYear_O, AN$3&gt;0), AN$3 * VLOOKUP($A23, Data_All!$A$8:$CA$153, MATCH(AN$2, Data_All!$B$2:$CA$2, 0)+1), "")</f>
        <v/>
      </c>
      <c r="AO23" s="206" t="str">
        <f>IF(AND($A23&gt;=SYear_O, $A23&lt;=EYear_O, AO$3&gt;0), AO$3 * VLOOKUP($A23, Data_All!$A$8:$CA$153, MATCH(AO$2, Data_All!$B$2:$CA$2, 0)+1), "")</f>
        <v/>
      </c>
      <c r="AP23" s="206" t="str">
        <f>IF(AND($A23&gt;=SYear_O, $A23&lt;=EYear_O, AP$3&gt;0), AP$3 * VLOOKUP($A23, Data_All!$A$8:$CA$153, MATCH(AP$2, Data_All!$B$2:$CA$2, 0)+1), "")</f>
        <v/>
      </c>
      <c r="AQ23" s="206" t="str">
        <f>IF(AND($A23&gt;=SYear_O, $A23&lt;=EYear_O, AQ$3&gt;0), AQ$3 * VLOOKUP($A23, Data_All!$A$8:$CA$153, MATCH(AQ$2, Data_All!$B$2:$CA$2, 0)+1), "")</f>
        <v/>
      </c>
      <c r="AR23" s="206" t="str">
        <f>IF(AND($A23&gt;=SYear_O, $A23&lt;=EYear_O, AR$3&gt;0), AR$3 * VLOOKUP($A23, Data_All!$A$8:$CA$153, MATCH(AR$2, Data_All!$B$2:$CA$2, 0)+1), "")</f>
        <v/>
      </c>
      <c r="AS23" s="206" t="str">
        <f>IF(AND($A23&gt;=SYear_O, $A23&lt;=EYear_O, AS$3&gt;0), AS$3 * VLOOKUP($A23, Data_All!$A$8:$CA$153, MATCH(AS$2, Data_All!$B$2:$CA$2, 0)+1), "")</f>
        <v/>
      </c>
      <c r="AT23" s="206" t="str">
        <f>IF(AND($A23&gt;=SYear_O, $A23&lt;=EYear_O, AT$3&gt;0), AT$3 * VLOOKUP($A23, Data_All!$A$8:$CA$153, MATCH(AT$2, Data_All!$B$2:$CA$2, 0)+1), "")</f>
        <v/>
      </c>
      <c r="AU23" s="206" t="str">
        <f>IF(AND($A23&gt;=SYear_O, $A23&lt;=EYear_O, AU$3&gt;0), AU$3 * VLOOKUP($A23, Data_All!$A$8:$CA$153, MATCH(AU$2, Data_All!$B$2:$CA$2, 0)+1), "")</f>
        <v/>
      </c>
      <c r="AV23" s="206" t="str">
        <f>IF(AND($A23&gt;=SYear_O, $A23&lt;=EYear_O, AV$3&gt;0), AV$3 * VLOOKUP($A23, Data_All!$A$8:$CA$153, MATCH(AV$2, Data_All!$B$2:$CA$2, 0)+1), "")</f>
        <v/>
      </c>
      <c r="AW23" s="206" t="str">
        <f>IF(AND($A23&gt;=SYear_O, $A23&lt;=EYear_O, AW$3&gt;0), AW$3 * VLOOKUP($A23, Data_All!$A$8:$CA$153, MATCH(AW$2, Data_All!$B$2:$CA$2, 0)+1), "")</f>
        <v/>
      </c>
      <c r="AX23" s="206" t="str">
        <f>IF(AND($A23&gt;=SYear_O, $A23&lt;=EYear_O, AX$3&gt;0), AX$3 * VLOOKUP($A23, Data_All!$A$8:$CA$153, MATCH(AX$2, Data_All!$B$2:$CA$2, 0)+1), "")</f>
        <v/>
      </c>
      <c r="AY23" s="206" t="str">
        <f>IF(AND($A23&gt;=SYear_O, $A23&lt;=EYear_O, AY$3&gt;0), AY$3 * VLOOKUP($A23, Data_All!$A$8:$CA$153, MATCH(AY$2, Data_All!$B$2:$CA$2, 0)+1), "")</f>
        <v/>
      </c>
      <c r="AZ23" s="206" t="str">
        <f>IF(AND($A23&gt;=SYear_O, $A23&lt;=EYear_O, AZ$3&gt;0), AZ$3 * VLOOKUP($A23, Data_All!$A$8:$CA$153, MATCH(AZ$2, Data_All!$B$2:$CA$2, 0)+1), "")</f>
        <v/>
      </c>
      <c r="BA23" s="206" t="str">
        <f>IF(AND($A23&gt;=SYear_O, $A23&lt;=EYear_O, BA$3&gt;0), BA$3 * VLOOKUP($A23, Data_All!$A$8:$CA$153, MATCH(BA$2, Data_All!$B$2:$CA$2, 0)+1), "")</f>
        <v/>
      </c>
      <c r="BB23" s="206" t="str">
        <f>IF(AND($A23&gt;=SYear_O, $A23&lt;=EYear_O, BB$3&gt;0), BB$3 * VLOOKUP($A23, Data_All!$A$8:$CA$153, MATCH(BB$2, Data_All!$B$2:$CA$2, 0)+1), "")</f>
        <v/>
      </c>
      <c r="BC23" s="206" t="str">
        <f>IF(AND($A23&gt;=SYear_O, $A23&lt;=EYear_O, BC$3&gt;0), BC$3 * VLOOKUP($A23, Data_All!$A$8:$CA$153, MATCH(BC$2, Data_All!$B$2:$CA$2, 0)+1), "")</f>
        <v/>
      </c>
      <c r="BD23" s="206" t="str">
        <f>IF(AND($A23&gt;=SYear_O, $A23&lt;=EYear_O, BD$3&gt;0), BD$3 * VLOOKUP($A23, Data_All!$A$8:$CA$153, MATCH(BD$2, Data_All!$B$2:$CA$2, 0)+1), "")</f>
        <v/>
      </c>
      <c r="BE23" s="206" t="str">
        <f>IF(AND($A23&gt;=SYear_O, $A23&lt;=EYear_O, BE$3&gt;0), BE$3 * VLOOKUP($A23, Data_All!$A$8:$CA$153, MATCH(BE$2, Data_All!$B$2:$CA$2, 0)+1), "")</f>
        <v/>
      </c>
      <c r="BF23" s="206" t="str">
        <f>IF(AND($A23&gt;=SYear_O, $A23&lt;=EYear_O, BF$3&gt;0), BF$3 * VLOOKUP($A23, Data_All!$A$8:$CA$153, MATCH(BF$2, Data_All!$B$2:$CA$2, 0)+1), "")</f>
        <v/>
      </c>
      <c r="BG23" s="206" t="str">
        <f>IF(AND($A23&gt;=SYear_O, $A23&lt;=EYear_O, BG$3&gt;0), BG$3 * VLOOKUP($A23, Data_All!$A$8:$CA$153, MATCH(BG$2, Data_All!$B$2:$CA$2, 0)+1), "")</f>
        <v/>
      </c>
      <c r="BH23" s="206" t="str">
        <f>IF(AND($A23&gt;=SYear_O, $A23&lt;=EYear_O, BH$3&gt;0), BH$3 * VLOOKUP($A23, Data_All!$A$8:$CA$153, MATCH(BH$2, Data_All!$B$2:$CA$2, 0)+1), "")</f>
        <v/>
      </c>
      <c r="BI23" s="206" t="str">
        <f>IF(AND($A23&gt;=SYear_O, $A23&lt;=EYear_O, BI$3&gt;0), BI$3 * VLOOKUP($A23, Data_All!$A$8:$CA$153, MATCH(BI$2, Data_All!$B$2:$CA$2, 0)+1), "")</f>
        <v/>
      </c>
      <c r="BJ23" s="206" t="str">
        <f>IF(AND($A23&gt;=SYear_O, $A23&lt;=EYear_O, BJ$3&gt;0), BJ$3 * VLOOKUP($A23, Data_All!$A$8:$CA$153, MATCH(BJ$2, Data_All!$B$2:$CA$2, 0)+1), "")</f>
        <v/>
      </c>
      <c r="BK23" s="206" t="str">
        <f>IF(AND($A23&gt;=SYear_O, $A23&lt;=EYear_O, BK$3&gt;0), BK$3 * VLOOKUP($A23, Data_All!$A$8:$CA$153, MATCH(BK$2, Data_All!$B$2:$CA$2, 0)+1), "")</f>
        <v/>
      </c>
      <c r="BL23" s="206" t="str">
        <f>IF(AND($A23&gt;=SYear_O, $A23&lt;=EYear_O, BL$3&gt;0), BL$3 * VLOOKUP($A23, Data_All!$A$8:$CA$153, MATCH(BL$2, Data_All!$B$2:$CA$2, 0)+1), "")</f>
        <v/>
      </c>
      <c r="BM23" s="206" t="str">
        <f>IF(AND($A23&gt;=SYear_O, $A23&lt;=EYear_O, BM$3&gt;0), BM$3 * VLOOKUP($A23, Data_All!$A$8:$CA$153, MATCH(BM$2, Data_All!$B$2:$CA$2, 0)+1), "")</f>
        <v/>
      </c>
      <c r="BN23" s="206" t="str">
        <f>IF(AND($A23&gt;=SYear_O, $A23&lt;=EYear_O, BN$3&gt;0), BN$3 * VLOOKUP($A23, Data_All!$A$8:$CA$153, MATCH(BN$2, Data_All!$B$2:$CA$2, 0)+1), "")</f>
        <v/>
      </c>
      <c r="BO23" s="206" t="str">
        <f>IF(AND($A23&gt;=SYear_O, $A23&lt;=EYear_O, BO$3&gt;0), BO$3 * VLOOKUP($A23, Data_All!$A$8:$CA$153, MATCH(BO$2, Data_All!$B$2:$CA$2, 0)+1), "")</f>
        <v/>
      </c>
      <c r="BP23" s="206" t="str">
        <f>IF(AND($A23&gt;=SYear_O, $A23&lt;=EYear_O, BP$3&gt;0), BP$3 * VLOOKUP($A23, Data_All!$A$8:$CA$153, MATCH(BP$2, Data_All!$B$2:$CA$2, 0)+1), "")</f>
        <v/>
      </c>
      <c r="BQ23" s="206" t="str">
        <f>IF(AND($A23&gt;=SYear_O, $A23&lt;=EYear_O, BQ$3&gt;0), BQ$3 * VLOOKUP($A23, Data_All!$A$8:$CA$153, MATCH(BQ$2, Data_All!$B$2:$CA$2, 0)+1), "")</f>
        <v/>
      </c>
      <c r="BR23" s="206" t="str">
        <f>IF(AND($A23&gt;=SYear_O, $A23&lt;=EYear_O, BR$3&gt;0), BR$3 * VLOOKUP($A23, Data_All!$A$8:$CA$153, MATCH(BR$2, Data_All!$B$2:$CA$2, 0)+1), "")</f>
        <v/>
      </c>
      <c r="BS23" s="206" t="str">
        <f>IF(AND($A23&gt;=SYear_O, $A23&lt;=EYear_O, BS$3&gt;0), BS$3 * VLOOKUP($A23, Data_All!$A$8:$CA$153, MATCH(BS$2, Data_All!$B$2:$CA$2, 0)+1), "")</f>
        <v/>
      </c>
      <c r="BT23" s="206" t="str">
        <f>IF(AND($A23&gt;=SYear_O, $A23&lt;=EYear_O, BT$3&gt;0), BT$3 * VLOOKUP($A23, Data_All!$A$8:$CA$153, MATCH(BT$2, Data_All!$B$2:$CA$2, 0)+1), "")</f>
        <v/>
      </c>
      <c r="BU23" s="206" t="str">
        <f>IF(AND($A23&gt;=SYear_O, $A23&lt;=EYear_O, BU$3&gt;0), BU$3 * VLOOKUP($A23, Data_All!$A$8:$CA$153, MATCH(BU$2, Data_All!$B$2:$CA$2, 0)+1), "")</f>
        <v/>
      </c>
      <c r="BV23" s="206" t="str">
        <f>IF(AND($A23&gt;=SYear_O, $A23&lt;=EYear_O, BV$3&gt;0), BV$3 * VLOOKUP($A23, Data_All!$A$8:$CA$153, MATCH(BV$2, Data_All!$B$2:$CA$2, 0)+1), "")</f>
        <v/>
      </c>
      <c r="BW23" s="206" t="str">
        <f>IF(AND($A23&gt;=SYear_O, $A23&lt;=EYear_O, BW$3&gt;0), BW$3 * VLOOKUP($A23, Data_All!$A$8:$CA$153, MATCH(BW$2, Data_All!$B$2:$CA$2, 0)+1), "")</f>
        <v/>
      </c>
      <c r="BX23" s="206">
        <f>IF(AND($A23&gt;=SYear_O, $A23&lt;=EYear_O, BX$3&gt;0), BX$3 * VLOOKUP($A23, Data_All!$A$8:$CA$153, MATCH(BX$2, Data_All!$B$2:$CA$2, 0)+1), "")</f>
        <v>-0.21505376344086224</v>
      </c>
      <c r="BY23" s="206">
        <f>IF(AND($A23&gt;=SYear_O, $A23&lt;=EYear_O, BY$3&gt;0), BY$3 * VLOOKUP($A23, Data_All!$A$8:$CA$153, MATCH(BY$2, Data_All!$B$2:$CA$2, 0)+1), "")</f>
        <v>1.9341221910583606</v>
      </c>
      <c r="BZ23" s="206" t="str">
        <f>IF(AND($A23&gt;=SYear_O, $A23&lt;=EYear_O, BZ$3&gt;0), BZ$3 * VLOOKUP($A23, Data_All!$A$8:$CA$153, MATCH(BZ$2, Data_All!$B$2:$CA$2, 0)+1), "")</f>
        <v/>
      </c>
      <c r="CA23" s="565">
        <f t="shared" si="2"/>
        <v>1.7190684276174983</v>
      </c>
      <c r="CB23" s="427">
        <f t="shared" si="3"/>
        <v>27839.988938797778</v>
      </c>
      <c r="CC23" s="565">
        <f>IF(AND($A23&gt;=SYear_O,$A23&lt;=EYear_O),(CA23-Data_All!CA24)/(1+Data_All!CA24%),"")</f>
        <v>-2.904873706923802</v>
      </c>
      <c r="CD23" s="436">
        <f t="shared" si="4"/>
        <v>41443.420599553559</v>
      </c>
      <c r="CE23" s="438">
        <f t="shared" si="5"/>
        <v>2.5250658040215326</v>
      </c>
      <c r="CF23" s="438">
        <f>IF(AND($A23&gt;=SYear_O,$A23&lt;=EYear_O),MAX($CE$7:CE23),"")</f>
        <v>2.5250658040215326</v>
      </c>
      <c r="CG23" s="209">
        <f t="shared" si="6"/>
        <v>0</v>
      </c>
      <c r="CI23" s="143">
        <f>IF(AND($A23&gt;=SYear_O,$A23&lt;=EYear_O),Data_All!V24,"")</f>
        <v>6.014586871815367</v>
      </c>
      <c r="CJ23" s="143">
        <f>IF(AND($A23&gt;=SYear_O,$A23&lt;=EYear_O),Data_All!CA24,"")</f>
        <v>4.7622803647056289</v>
      </c>
      <c r="CK23" s="143">
        <f t="shared" si="7"/>
        <v>1.195379198266898</v>
      </c>
      <c r="CN23" s="61">
        <f t="shared" si="8"/>
        <v>1.7190684276175094E-2</v>
      </c>
      <c r="CO23" s="61">
        <f t="shared" si="9"/>
        <v>3.4584570610547427E-2</v>
      </c>
      <c r="CP23" s="61">
        <f t="shared" si="10"/>
        <v>4.1435393358095096E-2</v>
      </c>
      <c r="CQ23" s="61">
        <f t="shared" si="11"/>
        <v>2.7562799967710605E-2</v>
      </c>
      <c r="CR23" s="61">
        <f t="shared" si="12"/>
        <v>5.7829186397438059E-2</v>
      </c>
      <c r="CU23" s="61">
        <f t="shared" si="13"/>
        <v>-2.9048737069238051E-2</v>
      </c>
      <c r="CV23" s="61">
        <f t="shared" si="14"/>
        <v>5.1547883347724088E-2</v>
      </c>
      <c r="CW23" s="61">
        <f t="shared" si="15"/>
        <v>5.971735303174075E-2</v>
      </c>
      <c r="CX23" s="61">
        <f t="shared" si="16"/>
        <v>4.9507153866514164E-2</v>
      </c>
      <c r="CY23" s="61">
        <f t="shared" si="17"/>
        <v>5.8674066653790602E-2</v>
      </c>
    </row>
    <row r="24" spans="1:103">
      <c r="A24" s="204">
        <f t="shared" si="18"/>
        <v>1888</v>
      </c>
      <c r="B24" s="206" t="str">
        <f>IF(AND($A24&gt;=SYear_O, $A24&lt;=EYear_O, B$3&gt;0), B$3 * VLOOKUP($A24, Data_All!$A$8:$CA$153, MATCH(B$2, Data_All!$B$2:$CA$2, 0)+1), "")</f>
        <v/>
      </c>
      <c r="C24" s="206" t="str">
        <f>IF(AND($A24&gt;=SYear_O, $A24&lt;=EYear_O, C$3&gt;0), C$3 * VLOOKUP($A24, Data_All!$A$8:$CA$153, MATCH(C$2, Data_All!$B$2:$CA$2, 0)+1), "")</f>
        <v/>
      </c>
      <c r="D24" s="206" t="str">
        <f>IF(AND($A24&gt;=SYear_O, $A24&lt;=EYear_O, D$3&gt;0), D$3 * VLOOKUP($A24, Data_All!$A$8:$CA$153, MATCH(D$2, Data_All!$B$2:$CA$2, 0)+1), "")</f>
        <v/>
      </c>
      <c r="E24" s="206" t="str">
        <f>IF(AND($A24&gt;=SYear_O, $A24&lt;=EYear_O, E$3&gt;0), E$3 * VLOOKUP($A24, Data_All!$A$8:$CA$153, MATCH(E$2, Data_All!$B$2:$CA$2, 0)+1), "")</f>
        <v/>
      </c>
      <c r="F24" s="206" t="str">
        <f>IF(AND($A24&gt;=SYear_O, $A24&lt;=EYear_O, F$3&gt;0), F$3 * VLOOKUP($A24, Data_All!$A$8:$CA$153, MATCH(F$2, Data_All!$B$2:$CA$2, 0)+1), "")</f>
        <v/>
      </c>
      <c r="G24" s="206" t="str">
        <f>IF(AND($A24&gt;=SYear_O, $A24&lt;=EYear_O, G$3&gt;0), G$3 * VLOOKUP($A24, Data_All!$A$8:$CA$153, MATCH(G$2, Data_All!$B$2:$CA$2, 0)+1), "")</f>
        <v/>
      </c>
      <c r="H24" s="206" t="str">
        <f>IF(AND($A24&gt;=SYear_O, $A24&lt;=EYear_O, H$3&gt;0), H$3 * VLOOKUP($A24, Data_All!$A$8:$CA$153, MATCH(H$2, Data_All!$B$2:$CA$2, 0)+1), "")</f>
        <v/>
      </c>
      <c r="I24" s="206" t="str">
        <f>IF(AND($A24&gt;=SYear_O, $A24&lt;=EYear_O, I$3&gt;0), I$3 * VLOOKUP($A24, Data_All!$A$8:$CA$153, MATCH(I$2, Data_All!$B$2:$CA$2, 0)+1), "")</f>
        <v/>
      </c>
      <c r="J24" s="206" t="str">
        <f>IF(AND($A24&gt;=SYear_O, $A24&lt;=EYear_O, J$3&gt;0), J$3 * VLOOKUP($A24, Data_All!$A$8:$CA$153, MATCH(J$2, Data_All!$B$2:$CA$2, 0)+1), "")</f>
        <v/>
      </c>
      <c r="K24" s="206" t="str">
        <f>IF(AND($A24&gt;=SYear_O, $A24&lt;=EYear_O, K$3&gt;0), K$3 * VLOOKUP($A24, Data_All!$A$8:$CA$153, MATCH(K$2, Data_All!$B$2:$CA$2, 0)+1), "")</f>
        <v/>
      </c>
      <c r="L24" s="206" t="str">
        <f>IF(AND($A24&gt;=SYear_O, $A24&lt;=EYear_O, L$3&gt;0), L$3 * VLOOKUP($A24, Data_All!$A$8:$CA$153, MATCH(L$2, Data_All!$B$2:$CA$2, 0)+1), "")</f>
        <v/>
      </c>
      <c r="M24" s="206" t="str">
        <f>IF(AND($A24&gt;=SYear_O, $A24&lt;=EYear_O, M$3&gt;0), M$3 * VLOOKUP($A24, Data_All!$A$8:$CA$153, MATCH(M$2, Data_All!$B$2:$CA$2, 0)+1), "")</f>
        <v/>
      </c>
      <c r="N24" s="206" t="str">
        <f>IF(AND($A24&gt;=SYear_O, $A24&lt;=EYear_O, N$3&gt;0), N$3 * VLOOKUP($A24, Data_All!$A$8:$CA$153, MATCH(N$2, Data_All!$B$2:$CA$2, 0)+1), "")</f>
        <v/>
      </c>
      <c r="O24" s="206" t="str">
        <f>IF(AND($A24&gt;=SYear_O, $A24&lt;=EYear_O, O$3&gt;0), O$3 * VLOOKUP($A24, Data_All!$A$8:$CA$153, MATCH(O$2, Data_All!$B$2:$CA$2, 0)+1), "")</f>
        <v/>
      </c>
      <c r="P24" s="206" t="str">
        <f>IF(AND($A24&gt;=SYear_O, $A24&lt;=EYear_O, P$3&gt;0), P$3 * VLOOKUP($A24, Data_All!$A$8:$CA$153, MATCH(P$2, Data_All!$B$2:$CA$2, 0)+1), "")</f>
        <v/>
      </c>
      <c r="Q24" s="206" t="str">
        <f>IF(AND($A24&gt;=SYear_O, $A24&lt;=EYear_O, Q$3&gt;0), Q$3 * VLOOKUP($A24, Data_All!$A$8:$CA$153, MATCH(Q$2, Data_All!$B$2:$CA$2, 0)+1), "")</f>
        <v/>
      </c>
      <c r="R24" s="206" t="str">
        <f>IF(AND($A24&gt;=SYear_O, $A24&lt;=EYear_O, R$3&gt;0), R$3 * VLOOKUP($A24, Data_All!$A$8:$CA$153, MATCH(R$2, Data_All!$B$2:$CA$2, 0)+1), "")</f>
        <v/>
      </c>
      <c r="S24" s="206" t="str">
        <f>IF(AND($A24&gt;=SYear_O, $A24&lt;=EYear_O, S$3&gt;0), S$3 * VLOOKUP($A24, Data_All!$A$8:$CA$153, MATCH(S$2, Data_All!$B$2:$CA$2, 0)+1), "")</f>
        <v/>
      </c>
      <c r="T24" s="206" t="str">
        <f>IF(AND($A24&gt;=SYear_O, $A24&lt;=EYear_O, T$3&gt;0), T$3 * VLOOKUP($A24, Data_All!$A$8:$CA$153, MATCH(T$2, Data_All!$B$2:$CA$2, 0)+1), "")</f>
        <v/>
      </c>
      <c r="U24" s="206" t="str">
        <f>IF(AND($A24&gt;=SYear_O, $A24&lt;=EYear_O, U$3&gt;0), U$3 * VLOOKUP($A24, Data_All!$A$8:$CA$153, MATCH(U$2, Data_All!$B$2:$CA$2, 0)+1), "")</f>
        <v/>
      </c>
      <c r="V24" s="206" t="str">
        <f>IF(AND($A24&gt;=SYear_O, $A24&lt;=EYear_O, V$3&gt;0), V$3 * VLOOKUP($A24, Data_All!$A$8:$CA$153, MATCH(V$2, Data_All!$B$2:$CA$2, 0)+1), "")</f>
        <v/>
      </c>
      <c r="W24" s="206" t="str">
        <f>IF(AND($A24&gt;=SYear_O, $A24&lt;=EYear_O, W$3&gt;0), W$3 * VLOOKUP($A24, Data_All!$A$8:$CA$153, MATCH(W$2, Data_All!$B$2:$CA$2, 0)+1), "")</f>
        <v/>
      </c>
      <c r="X24" s="206" t="str">
        <f>IF(AND($A24&gt;=SYear_O, $A24&lt;=EYear_O, X$3&gt;0), X$3 * VLOOKUP($A24, Data_All!$A$8:$CA$153, MATCH(X$2, Data_All!$B$2:$CA$2, 0)+1), "")</f>
        <v/>
      </c>
      <c r="Y24" s="206" t="str">
        <f>IF(AND($A24&gt;=SYear_O, $A24&lt;=EYear_O, Y$3&gt;0), Y$3 * VLOOKUP($A24, Data_All!$A$8:$CA$153, MATCH(Y$2, Data_All!$B$2:$CA$2, 0)+1), "")</f>
        <v/>
      </c>
      <c r="Z24" s="206" t="str">
        <f>IF(AND($A24&gt;=SYear_O, $A24&lt;=EYear_O, Z$3&gt;0), Z$3 * VLOOKUP($A24, Data_All!$A$8:$CA$153, MATCH(Z$2, Data_All!$B$2:$CA$2, 0)+1), "")</f>
        <v/>
      </c>
      <c r="AA24" s="206" t="str">
        <f>IF(AND($A24&gt;=SYear_O, $A24&lt;=EYear_O, AA$3&gt;0), AA$3 * VLOOKUP($A24, Data_All!$A$8:$CA$153, MATCH(AA$2, Data_All!$B$2:$CA$2, 0)+1), "")</f>
        <v/>
      </c>
      <c r="AB24" s="206" t="str">
        <f>IF(AND($A24&gt;=SYear_O, $A24&lt;=EYear_O, AB$3&gt;0), AB$3 * VLOOKUP($A24, Data_All!$A$8:$CA$153, MATCH(AB$2, Data_All!$B$2:$CA$2, 0)+1), "")</f>
        <v/>
      </c>
      <c r="AC24" s="206" t="str">
        <f>IF(AND($A24&gt;=SYear_O, $A24&lt;=EYear_O, AC$3&gt;0), AC$3 * VLOOKUP($A24, Data_All!$A$8:$CA$153, MATCH(AC$2, Data_All!$B$2:$CA$2, 0)+1), "")</f>
        <v/>
      </c>
      <c r="AD24" s="206" t="str">
        <f>IF(AND($A24&gt;=SYear_O, $A24&lt;=EYear_O, AD$3&gt;0), AD$3 * VLOOKUP($A24, Data_All!$A$8:$CA$153, MATCH(AD$2, Data_All!$B$2:$CA$2, 0)+1), "")</f>
        <v/>
      </c>
      <c r="AE24" s="206" t="str">
        <f>IF(AND($A24&gt;=SYear_O, $A24&lt;=EYear_O, AE$3&gt;0), AE$3 * VLOOKUP($A24, Data_All!$A$8:$CA$153, MATCH(AE$2, Data_All!$B$2:$CA$2, 0)+1), "")</f>
        <v/>
      </c>
      <c r="AF24" s="206" t="str">
        <f>IF(AND($A24&gt;=SYear_O, $A24&lt;=EYear_O, AF$3&gt;0), AF$3 * VLOOKUP($A24, Data_All!$A$8:$CA$153, MATCH(AF$2, Data_All!$B$2:$CA$2, 0)+1), "")</f>
        <v/>
      </c>
      <c r="AG24" s="206" t="str">
        <f>IF(AND($A24&gt;=SYear_O, $A24&lt;=EYear_O, AG$3&gt;0), AG$3 * VLOOKUP($A24, Data_All!$A$8:$CA$153, MATCH(AG$2, Data_All!$B$2:$CA$2, 0)+1), "")</f>
        <v/>
      </c>
      <c r="AH24" s="206" t="str">
        <f>IF(AND($A24&gt;=SYear_O, $A24&lt;=EYear_O, AH$3&gt;0), AH$3 * VLOOKUP($A24, Data_All!$A$8:$CA$153, MATCH(AH$2, Data_All!$B$2:$CA$2, 0)+1), "")</f>
        <v/>
      </c>
      <c r="AI24" s="206" t="str">
        <f>IF(AND($A24&gt;=SYear_O, $A24&lt;=EYear_O, AI$3&gt;0), AI$3 * VLOOKUP($A24, Data_All!$A$8:$CA$153, MATCH(AI$2, Data_All!$B$2:$CA$2, 0)+1), "")</f>
        <v/>
      </c>
      <c r="AJ24" s="206" t="str">
        <f>IF(AND($A24&gt;=SYear_O, $A24&lt;=EYear_O, AJ$3&gt;0), AJ$3 * VLOOKUP($A24, Data_All!$A$8:$CA$153, MATCH(AJ$2, Data_All!$B$2:$CA$2, 0)+1), "")</f>
        <v/>
      </c>
      <c r="AK24" s="206" t="str">
        <f>IF(AND($A24&gt;=SYear_O, $A24&lt;=EYear_O, AK$3&gt;0), AK$3 * VLOOKUP($A24, Data_All!$A$8:$CA$153, MATCH(AK$2, Data_All!$B$2:$CA$2, 0)+1), "")</f>
        <v/>
      </c>
      <c r="AL24" s="206" t="str">
        <f>IF(AND($A24&gt;=SYear_O, $A24&lt;=EYear_O, AL$3&gt;0), AL$3 * VLOOKUP($A24, Data_All!$A$8:$CA$153, MATCH(AL$2, Data_All!$B$2:$CA$2, 0)+1), "")</f>
        <v/>
      </c>
      <c r="AM24" s="206" t="str">
        <f>IF(AND($A24&gt;=SYear_O, $A24&lt;=EYear_O, AM$3&gt;0), AM$3 * VLOOKUP($A24, Data_All!$A$8:$CA$153, MATCH(AM$2, Data_All!$B$2:$CA$2, 0)+1), "")</f>
        <v/>
      </c>
      <c r="AN24" s="206" t="str">
        <f>IF(AND($A24&gt;=SYear_O, $A24&lt;=EYear_O, AN$3&gt;0), AN$3 * VLOOKUP($A24, Data_All!$A$8:$CA$153, MATCH(AN$2, Data_All!$B$2:$CA$2, 0)+1), "")</f>
        <v/>
      </c>
      <c r="AO24" s="206" t="str">
        <f>IF(AND($A24&gt;=SYear_O, $A24&lt;=EYear_O, AO$3&gt;0), AO$3 * VLOOKUP($A24, Data_All!$A$8:$CA$153, MATCH(AO$2, Data_All!$B$2:$CA$2, 0)+1), "")</f>
        <v/>
      </c>
      <c r="AP24" s="206" t="str">
        <f>IF(AND($A24&gt;=SYear_O, $A24&lt;=EYear_O, AP$3&gt;0), AP$3 * VLOOKUP($A24, Data_All!$A$8:$CA$153, MATCH(AP$2, Data_All!$B$2:$CA$2, 0)+1), "")</f>
        <v/>
      </c>
      <c r="AQ24" s="206" t="str">
        <f>IF(AND($A24&gt;=SYear_O, $A24&lt;=EYear_O, AQ$3&gt;0), AQ$3 * VLOOKUP($A24, Data_All!$A$8:$CA$153, MATCH(AQ$2, Data_All!$B$2:$CA$2, 0)+1), "")</f>
        <v/>
      </c>
      <c r="AR24" s="206" t="str">
        <f>IF(AND($A24&gt;=SYear_O, $A24&lt;=EYear_O, AR$3&gt;0), AR$3 * VLOOKUP($A24, Data_All!$A$8:$CA$153, MATCH(AR$2, Data_All!$B$2:$CA$2, 0)+1), "")</f>
        <v/>
      </c>
      <c r="AS24" s="206" t="str">
        <f>IF(AND($A24&gt;=SYear_O, $A24&lt;=EYear_O, AS$3&gt;0), AS$3 * VLOOKUP($A24, Data_All!$A$8:$CA$153, MATCH(AS$2, Data_All!$B$2:$CA$2, 0)+1), "")</f>
        <v/>
      </c>
      <c r="AT24" s="206" t="str">
        <f>IF(AND($A24&gt;=SYear_O, $A24&lt;=EYear_O, AT$3&gt;0), AT$3 * VLOOKUP($A24, Data_All!$A$8:$CA$153, MATCH(AT$2, Data_All!$B$2:$CA$2, 0)+1), "")</f>
        <v/>
      </c>
      <c r="AU24" s="206" t="str">
        <f>IF(AND($A24&gt;=SYear_O, $A24&lt;=EYear_O, AU$3&gt;0), AU$3 * VLOOKUP($A24, Data_All!$A$8:$CA$153, MATCH(AU$2, Data_All!$B$2:$CA$2, 0)+1), "")</f>
        <v/>
      </c>
      <c r="AV24" s="206" t="str">
        <f>IF(AND($A24&gt;=SYear_O, $A24&lt;=EYear_O, AV$3&gt;0), AV$3 * VLOOKUP($A24, Data_All!$A$8:$CA$153, MATCH(AV$2, Data_All!$B$2:$CA$2, 0)+1), "")</f>
        <v/>
      </c>
      <c r="AW24" s="206" t="str">
        <f>IF(AND($A24&gt;=SYear_O, $A24&lt;=EYear_O, AW$3&gt;0), AW$3 * VLOOKUP($A24, Data_All!$A$8:$CA$153, MATCH(AW$2, Data_All!$B$2:$CA$2, 0)+1), "")</f>
        <v/>
      </c>
      <c r="AX24" s="206" t="str">
        <f>IF(AND($A24&gt;=SYear_O, $A24&lt;=EYear_O, AX$3&gt;0), AX$3 * VLOOKUP($A24, Data_All!$A$8:$CA$153, MATCH(AX$2, Data_All!$B$2:$CA$2, 0)+1), "")</f>
        <v/>
      </c>
      <c r="AY24" s="206" t="str">
        <f>IF(AND($A24&gt;=SYear_O, $A24&lt;=EYear_O, AY$3&gt;0), AY$3 * VLOOKUP($A24, Data_All!$A$8:$CA$153, MATCH(AY$2, Data_All!$B$2:$CA$2, 0)+1), "")</f>
        <v/>
      </c>
      <c r="AZ24" s="206" t="str">
        <f>IF(AND($A24&gt;=SYear_O, $A24&lt;=EYear_O, AZ$3&gt;0), AZ$3 * VLOOKUP($A24, Data_All!$A$8:$CA$153, MATCH(AZ$2, Data_All!$B$2:$CA$2, 0)+1), "")</f>
        <v/>
      </c>
      <c r="BA24" s="206" t="str">
        <f>IF(AND($A24&gt;=SYear_O, $A24&lt;=EYear_O, BA$3&gt;0), BA$3 * VLOOKUP($A24, Data_All!$A$8:$CA$153, MATCH(BA$2, Data_All!$B$2:$CA$2, 0)+1), "")</f>
        <v/>
      </c>
      <c r="BB24" s="206" t="str">
        <f>IF(AND($A24&gt;=SYear_O, $A24&lt;=EYear_O, BB$3&gt;0), BB$3 * VLOOKUP($A24, Data_All!$A$8:$CA$153, MATCH(BB$2, Data_All!$B$2:$CA$2, 0)+1), "")</f>
        <v/>
      </c>
      <c r="BC24" s="206" t="str">
        <f>IF(AND($A24&gt;=SYear_O, $A24&lt;=EYear_O, BC$3&gt;0), BC$3 * VLOOKUP($A24, Data_All!$A$8:$CA$153, MATCH(BC$2, Data_All!$B$2:$CA$2, 0)+1), "")</f>
        <v/>
      </c>
      <c r="BD24" s="206" t="str">
        <f>IF(AND($A24&gt;=SYear_O, $A24&lt;=EYear_O, BD$3&gt;0), BD$3 * VLOOKUP($A24, Data_All!$A$8:$CA$153, MATCH(BD$2, Data_All!$B$2:$CA$2, 0)+1), "")</f>
        <v/>
      </c>
      <c r="BE24" s="206" t="str">
        <f>IF(AND($A24&gt;=SYear_O, $A24&lt;=EYear_O, BE$3&gt;0), BE$3 * VLOOKUP($A24, Data_All!$A$8:$CA$153, MATCH(BE$2, Data_All!$B$2:$CA$2, 0)+1), "")</f>
        <v/>
      </c>
      <c r="BF24" s="206" t="str">
        <f>IF(AND($A24&gt;=SYear_O, $A24&lt;=EYear_O, BF$3&gt;0), BF$3 * VLOOKUP($A24, Data_All!$A$8:$CA$153, MATCH(BF$2, Data_All!$B$2:$CA$2, 0)+1), "")</f>
        <v/>
      </c>
      <c r="BG24" s="206" t="str">
        <f>IF(AND($A24&gt;=SYear_O, $A24&lt;=EYear_O, BG$3&gt;0), BG$3 * VLOOKUP($A24, Data_All!$A$8:$CA$153, MATCH(BG$2, Data_All!$B$2:$CA$2, 0)+1), "")</f>
        <v/>
      </c>
      <c r="BH24" s="206" t="str">
        <f>IF(AND($A24&gt;=SYear_O, $A24&lt;=EYear_O, BH$3&gt;0), BH$3 * VLOOKUP($A24, Data_All!$A$8:$CA$153, MATCH(BH$2, Data_All!$B$2:$CA$2, 0)+1), "")</f>
        <v/>
      </c>
      <c r="BI24" s="206" t="str">
        <f>IF(AND($A24&gt;=SYear_O, $A24&lt;=EYear_O, BI$3&gt;0), BI$3 * VLOOKUP($A24, Data_All!$A$8:$CA$153, MATCH(BI$2, Data_All!$B$2:$CA$2, 0)+1), "")</f>
        <v/>
      </c>
      <c r="BJ24" s="206" t="str">
        <f>IF(AND($A24&gt;=SYear_O, $A24&lt;=EYear_O, BJ$3&gt;0), BJ$3 * VLOOKUP($A24, Data_All!$A$8:$CA$153, MATCH(BJ$2, Data_All!$B$2:$CA$2, 0)+1), "")</f>
        <v/>
      </c>
      <c r="BK24" s="206" t="str">
        <f>IF(AND($A24&gt;=SYear_O, $A24&lt;=EYear_O, BK$3&gt;0), BK$3 * VLOOKUP($A24, Data_All!$A$8:$CA$153, MATCH(BK$2, Data_All!$B$2:$CA$2, 0)+1), "")</f>
        <v/>
      </c>
      <c r="BL24" s="206" t="str">
        <f>IF(AND($A24&gt;=SYear_O, $A24&lt;=EYear_O, BL$3&gt;0), BL$3 * VLOOKUP($A24, Data_All!$A$8:$CA$153, MATCH(BL$2, Data_All!$B$2:$CA$2, 0)+1), "")</f>
        <v/>
      </c>
      <c r="BM24" s="206" t="str">
        <f>IF(AND($A24&gt;=SYear_O, $A24&lt;=EYear_O, BM$3&gt;0), BM$3 * VLOOKUP($A24, Data_All!$A$8:$CA$153, MATCH(BM$2, Data_All!$B$2:$CA$2, 0)+1), "")</f>
        <v/>
      </c>
      <c r="BN24" s="206" t="str">
        <f>IF(AND($A24&gt;=SYear_O, $A24&lt;=EYear_O, BN$3&gt;0), BN$3 * VLOOKUP($A24, Data_All!$A$8:$CA$153, MATCH(BN$2, Data_All!$B$2:$CA$2, 0)+1), "")</f>
        <v/>
      </c>
      <c r="BO24" s="206" t="str">
        <f>IF(AND($A24&gt;=SYear_O, $A24&lt;=EYear_O, BO$3&gt;0), BO$3 * VLOOKUP($A24, Data_All!$A$8:$CA$153, MATCH(BO$2, Data_All!$B$2:$CA$2, 0)+1), "")</f>
        <v/>
      </c>
      <c r="BP24" s="206" t="str">
        <f>IF(AND($A24&gt;=SYear_O, $A24&lt;=EYear_O, BP$3&gt;0), BP$3 * VLOOKUP($A24, Data_All!$A$8:$CA$153, MATCH(BP$2, Data_All!$B$2:$CA$2, 0)+1), "")</f>
        <v/>
      </c>
      <c r="BQ24" s="206" t="str">
        <f>IF(AND($A24&gt;=SYear_O, $A24&lt;=EYear_O, BQ$3&gt;0), BQ$3 * VLOOKUP($A24, Data_All!$A$8:$CA$153, MATCH(BQ$2, Data_All!$B$2:$CA$2, 0)+1), "")</f>
        <v/>
      </c>
      <c r="BR24" s="206" t="str">
        <f>IF(AND($A24&gt;=SYear_O, $A24&lt;=EYear_O, BR$3&gt;0), BR$3 * VLOOKUP($A24, Data_All!$A$8:$CA$153, MATCH(BR$2, Data_All!$B$2:$CA$2, 0)+1), "")</f>
        <v/>
      </c>
      <c r="BS24" s="206" t="str">
        <f>IF(AND($A24&gt;=SYear_O, $A24&lt;=EYear_O, BS$3&gt;0), BS$3 * VLOOKUP($A24, Data_All!$A$8:$CA$153, MATCH(BS$2, Data_All!$B$2:$CA$2, 0)+1), "")</f>
        <v/>
      </c>
      <c r="BT24" s="206" t="str">
        <f>IF(AND($A24&gt;=SYear_O, $A24&lt;=EYear_O, BT$3&gt;0), BT$3 * VLOOKUP($A24, Data_All!$A$8:$CA$153, MATCH(BT$2, Data_All!$B$2:$CA$2, 0)+1), "")</f>
        <v/>
      </c>
      <c r="BU24" s="206" t="str">
        <f>IF(AND($A24&gt;=SYear_O, $A24&lt;=EYear_O, BU$3&gt;0), BU$3 * VLOOKUP($A24, Data_All!$A$8:$CA$153, MATCH(BU$2, Data_All!$B$2:$CA$2, 0)+1), "")</f>
        <v/>
      </c>
      <c r="BV24" s="206" t="str">
        <f>IF(AND($A24&gt;=SYear_O, $A24&lt;=EYear_O, BV$3&gt;0), BV$3 * VLOOKUP($A24, Data_All!$A$8:$CA$153, MATCH(BV$2, Data_All!$B$2:$CA$2, 0)+1), "")</f>
        <v/>
      </c>
      <c r="BW24" s="206" t="str">
        <f>IF(AND($A24&gt;=SYear_O, $A24&lt;=EYear_O, BW$3&gt;0), BW$3 * VLOOKUP($A24, Data_All!$A$8:$CA$153, MATCH(BW$2, Data_All!$B$2:$CA$2, 0)+1), "")</f>
        <v/>
      </c>
      <c r="BX24" s="206">
        <f>IF(AND($A24&gt;=SYear_O, $A24&lt;=EYear_O, BX$3&gt;0), BX$3 * VLOOKUP($A24, Data_All!$A$8:$CA$153, MATCH(BX$2, Data_All!$B$2:$CA$2, 0)+1), "")</f>
        <v>1.8079096045197796</v>
      </c>
      <c r="BY24" s="206">
        <f>IF(AND($A24&gt;=SYear_O, $A24&lt;=EYear_O, BY$3&gt;0), BY$3 * VLOOKUP($A24, Data_All!$A$8:$CA$153, MATCH(BY$2, Data_All!$B$2:$CA$2, 0)+1), "")</f>
        <v>1.9103395485451635</v>
      </c>
      <c r="BZ24" s="206" t="str">
        <f>IF(AND($A24&gt;=SYear_O, $A24&lt;=EYear_O, BZ$3&gt;0), BZ$3 * VLOOKUP($A24, Data_All!$A$8:$CA$153, MATCH(BZ$2, Data_All!$B$2:$CA$2, 0)+1), "")</f>
        <v/>
      </c>
      <c r="CA24" s="565">
        <f t="shared" si="2"/>
        <v>3.7182491530649431</v>
      </c>
      <c r="CB24" s="427">
        <f t="shared" si="3"/>
        <v>28875.149091727999</v>
      </c>
      <c r="CC24" s="565">
        <f>IF(AND($A24&gt;=SYear_O,$A24&lt;=EYear_O),(CA24-Data_All!CA25)/(1+Data_All!CA25%),"")</f>
        <v>8.6576029670978247</v>
      </c>
      <c r="CD24" s="436">
        <f t="shared" si="4"/>
        <v>45031.427411047342</v>
      </c>
      <c r="CE24" s="438">
        <f t="shared" si="5"/>
        <v>2.6189540418938955</v>
      </c>
      <c r="CF24" s="438">
        <f>IF(AND($A24&gt;=SYear_O,$A24&lt;=EYear_O),MAX($CE$7:CE24),"")</f>
        <v>2.6189540418938955</v>
      </c>
      <c r="CG24" s="209">
        <f t="shared" si="6"/>
        <v>0</v>
      </c>
      <c r="CI24" s="143">
        <f>IF(AND($A24&gt;=SYear_O,$A24&lt;=EYear_O),Data_All!V25,"")</f>
        <v>4.925566989709262</v>
      </c>
      <c r="CJ24" s="143">
        <f>IF(AND($A24&gt;=SYear_O,$A24&lt;=EYear_O),Data_All!CA25,"")</f>
        <v>-4.545796777358091</v>
      </c>
      <c r="CK24" s="143">
        <f t="shared" si="7"/>
        <v>9.9224166640162448</v>
      </c>
      <c r="CN24" s="61">
        <f t="shared" si="8"/>
        <v>3.7182491530649342E-2</v>
      </c>
      <c r="CO24" s="61">
        <f t="shared" si="9"/>
        <v>1.8705544567530152E-2</v>
      </c>
      <c r="CP24" s="61">
        <f t="shared" si="10"/>
        <v>4.1642901541692146E-2</v>
      </c>
      <c r="CQ24" s="61">
        <f t="shared" si="11"/>
        <v>3.8681185083895953E-2</v>
      </c>
      <c r="CR24" s="61">
        <f t="shared" si="12"/>
        <v>6.0388934014372397E-2</v>
      </c>
      <c r="CU24" s="61">
        <f t="shared" si="13"/>
        <v>8.6576029670978327E-2</v>
      </c>
      <c r="CV24" s="61">
        <f t="shared" si="14"/>
        <v>4.2970699215104435E-2</v>
      </c>
      <c r="CW24" s="61">
        <f t="shared" si="15"/>
        <v>5.3901530438886791E-2</v>
      </c>
      <c r="CX24" s="61">
        <f t="shared" si="16"/>
        <v>6.2724967160517231E-2</v>
      </c>
      <c r="CY24" s="61">
        <f t="shared" si="17"/>
        <v>5.802196124745751E-2</v>
      </c>
    </row>
    <row r="25" spans="1:103">
      <c r="A25" s="204">
        <f t="shared" si="18"/>
        <v>1889</v>
      </c>
      <c r="B25" s="206" t="str">
        <f>IF(AND($A25&gt;=SYear_O, $A25&lt;=EYear_O, B$3&gt;0), B$3 * VLOOKUP($A25, Data_All!$A$8:$CA$153, MATCH(B$2, Data_All!$B$2:$CA$2, 0)+1), "")</f>
        <v/>
      </c>
      <c r="C25" s="206" t="str">
        <f>IF(AND($A25&gt;=SYear_O, $A25&lt;=EYear_O, C$3&gt;0), C$3 * VLOOKUP($A25, Data_All!$A$8:$CA$153, MATCH(C$2, Data_All!$B$2:$CA$2, 0)+1), "")</f>
        <v/>
      </c>
      <c r="D25" s="206" t="str">
        <f>IF(AND($A25&gt;=SYear_O, $A25&lt;=EYear_O, D$3&gt;0), D$3 * VLOOKUP($A25, Data_All!$A$8:$CA$153, MATCH(D$2, Data_All!$B$2:$CA$2, 0)+1), "")</f>
        <v/>
      </c>
      <c r="E25" s="206" t="str">
        <f>IF(AND($A25&gt;=SYear_O, $A25&lt;=EYear_O, E$3&gt;0), E$3 * VLOOKUP($A25, Data_All!$A$8:$CA$153, MATCH(E$2, Data_All!$B$2:$CA$2, 0)+1), "")</f>
        <v/>
      </c>
      <c r="F25" s="206" t="str">
        <f>IF(AND($A25&gt;=SYear_O, $A25&lt;=EYear_O, F$3&gt;0), F$3 * VLOOKUP($A25, Data_All!$A$8:$CA$153, MATCH(F$2, Data_All!$B$2:$CA$2, 0)+1), "")</f>
        <v/>
      </c>
      <c r="G25" s="206" t="str">
        <f>IF(AND($A25&gt;=SYear_O, $A25&lt;=EYear_O, G$3&gt;0), G$3 * VLOOKUP($A25, Data_All!$A$8:$CA$153, MATCH(G$2, Data_All!$B$2:$CA$2, 0)+1), "")</f>
        <v/>
      </c>
      <c r="H25" s="206" t="str">
        <f>IF(AND($A25&gt;=SYear_O, $A25&lt;=EYear_O, H$3&gt;0), H$3 * VLOOKUP($A25, Data_All!$A$8:$CA$153, MATCH(H$2, Data_All!$B$2:$CA$2, 0)+1), "")</f>
        <v/>
      </c>
      <c r="I25" s="206" t="str">
        <f>IF(AND($A25&gt;=SYear_O, $A25&lt;=EYear_O, I$3&gt;0), I$3 * VLOOKUP($A25, Data_All!$A$8:$CA$153, MATCH(I$2, Data_All!$B$2:$CA$2, 0)+1), "")</f>
        <v/>
      </c>
      <c r="J25" s="206" t="str">
        <f>IF(AND($A25&gt;=SYear_O, $A25&lt;=EYear_O, J$3&gt;0), J$3 * VLOOKUP($A25, Data_All!$A$8:$CA$153, MATCH(J$2, Data_All!$B$2:$CA$2, 0)+1), "")</f>
        <v/>
      </c>
      <c r="K25" s="206" t="str">
        <f>IF(AND($A25&gt;=SYear_O, $A25&lt;=EYear_O, K$3&gt;0), K$3 * VLOOKUP($A25, Data_All!$A$8:$CA$153, MATCH(K$2, Data_All!$B$2:$CA$2, 0)+1), "")</f>
        <v/>
      </c>
      <c r="L25" s="206" t="str">
        <f>IF(AND($A25&gt;=SYear_O, $A25&lt;=EYear_O, L$3&gt;0), L$3 * VLOOKUP($A25, Data_All!$A$8:$CA$153, MATCH(L$2, Data_All!$B$2:$CA$2, 0)+1), "")</f>
        <v/>
      </c>
      <c r="M25" s="206" t="str">
        <f>IF(AND($A25&gt;=SYear_O, $A25&lt;=EYear_O, M$3&gt;0), M$3 * VLOOKUP($A25, Data_All!$A$8:$CA$153, MATCH(M$2, Data_All!$B$2:$CA$2, 0)+1), "")</f>
        <v/>
      </c>
      <c r="N25" s="206" t="str">
        <f>IF(AND($A25&gt;=SYear_O, $A25&lt;=EYear_O, N$3&gt;0), N$3 * VLOOKUP($A25, Data_All!$A$8:$CA$153, MATCH(N$2, Data_All!$B$2:$CA$2, 0)+1), "")</f>
        <v/>
      </c>
      <c r="O25" s="206" t="str">
        <f>IF(AND($A25&gt;=SYear_O, $A25&lt;=EYear_O, O$3&gt;0), O$3 * VLOOKUP($A25, Data_All!$A$8:$CA$153, MATCH(O$2, Data_All!$B$2:$CA$2, 0)+1), "")</f>
        <v/>
      </c>
      <c r="P25" s="206" t="str">
        <f>IF(AND($A25&gt;=SYear_O, $A25&lt;=EYear_O, P$3&gt;0), P$3 * VLOOKUP($A25, Data_All!$A$8:$CA$153, MATCH(P$2, Data_All!$B$2:$CA$2, 0)+1), "")</f>
        <v/>
      </c>
      <c r="Q25" s="206" t="str">
        <f>IF(AND($A25&gt;=SYear_O, $A25&lt;=EYear_O, Q$3&gt;0), Q$3 * VLOOKUP($A25, Data_All!$A$8:$CA$153, MATCH(Q$2, Data_All!$B$2:$CA$2, 0)+1), "")</f>
        <v/>
      </c>
      <c r="R25" s="206" t="str">
        <f>IF(AND($A25&gt;=SYear_O, $A25&lt;=EYear_O, R$3&gt;0), R$3 * VLOOKUP($A25, Data_All!$A$8:$CA$153, MATCH(R$2, Data_All!$B$2:$CA$2, 0)+1), "")</f>
        <v/>
      </c>
      <c r="S25" s="206" t="str">
        <f>IF(AND($A25&gt;=SYear_O, $A25&lt;=EYear_O, S$3&gt;0), S$3 * VLOOKUP($A25, Data_All!$A$8:$CA$153, MATCH(S$2, Data_All!$B$2:$CA$2, 0)+1), "")</f>
        <v/>
      </c>
      <c r="T25" s="206" t="str">
        <f>IF(AND($A25&gt;=SYear_O, $A25&lt;=EYear_O, T$3&gt;0), T$3 * VLOOKUP($A25, Data_All!$A$8:$CA$153, MATCH(T$2, Data_All!$B$2:$CA$2, 0)+1), "")</f>
        <v/>
      </c>
      <c r="U25" s="206" t="str">
        <f>IF(AND($A25&gt;=SYear_O, $A25&lt;=EYear_O, U$3&gt;0), U$3 * VLOOKUP($A25, Data_All!$A$8:$CA$153, MATCH(U$2, Data_All!$B$2:$CA$2, 0)+1), "")</f>
        <v/>
      </c>
      <c r="V25" s="206" t="str">
        <f>IF(AND($A25&gt;=SYear_O, $A25&lt;=EYear_O, V$3&gt;0), V$3 * VLOOKUP($A25, Data_All!$A$8:$CA$153, MATCH(V$2, Data_All!$B$2:$CA$2, 0)+1), "")</f>
        <v/>
      </c>
      <c r="W25" s="206" t="str">
        <f>IF(AND($A25&gt;=SYear_O, $A25&lt;=EYear_O, W$3&gt;0), W$3 * VLOOKUP($A25, Data_All!$A$8:$CA$153, MATCH(W$2, Data_All!$B$2:$CA$2, 0)+1), "")</f>
        <v/>
      </c>
      <c r="X25" s="206" t="str">
        <f>IF(AND($A25&gt;=SYear_O, $A25&lt;=EYear_O, X$3&gt;0), X$3 * VLOOKUP($A25, Data_All!$A$8:$CA$153, MATCH(X$2, Data_All!$B$2:$CA$2, 0)+1), "")</f>
        <v/>
      </c>
      <c r="Y25" s="206" t="str">
        <f>IF(AND($A25&gt;=SYear_O, $A25&lt;=EYear_O, Y$3&gt;0), Y$3 * VLOOKUP($A25, Data_All!$A$8:$CA$153, MATCH(Y$2, Data_All!$B$2:$CA$2, 0)+1), "")</f>
        <v/>
      </c>
      <c r="Z25" s="206" t="str">
        <f>IF(AND($A25&gt;=SYear_O, $A25&lt;=EYear_O, Z$3&gt;0), Z$3 * VLOOKUP($A25, Data_All!$A$8:$CA$153, MATCH(Z$2, Data_All!$B$2:$CA$2, 0)+1), "")</f>
        <v/>
      </c>
      <c r="AA25" s="206" t="str">
        <f>IF(AND($A25&gt;=SYear_O, $A25&lt;=EYear_O, AA$3&gt;0), AA$3 * VLOOKUP($A25, Data_All!$A$8:$CA$153, MATCH(AA$2, Data_All!$B$2:$CA$2, 0)+1), "")</f>
        <v/>
      </c>
      <c r="AB25" s="206" t="str">
        <f>IF(AND($A25&gt;=SYear_O, $A25&lt;=EYear_O, AB$3&gt;0), AB$3 * VLOOKUP($A25, Data_All!$A$8:$CA$153, MATCH(AB$2, Data_All!$B$2:$CA$2, 0)+1), "")</f>
        <v/>
      </c>
      <c r="AC25" s="206" t="str">
        <f>IF(AND($A25&gt;=SYear_O, $A25&lt;=EYear_O, AC$3&gt;0), AC$3 * VLOOKUP($A25, Data_All!$A$8:$CA$153, MATCH(AC$2, Data_All!$B$2:$CA$2, 0)+1), "")</f>
        <v/>
      </c>
      <c r="AD25" s="206" t="str">
        <f>IF(AND($A25&gt;=SYear_O, $A25&lt;=EYear_O, AD$3&gt;0), AD$3 * VLOOKUP($A25, Data_All!$A$8:$CA$153, MATCH(AD$2, Data_All!$B$2:$CA$2, 0)+1), "")</f>
        <v/>
      </c>
      <c r="AE25" s="206" t="str">
        <f>IF(AND($A25&gt;=SYear_O, $A25&lt;=EYear_O, AE$3&gt;0), AE$3 * VLOOKUP($A25, Data_All!$A$8:$CA$153, MATCH(AE$2, Data_All!$B$2:$CA$2, 0)+1), "")</f>
        <v/>
      </c>
      <c r="AF25" s="206" t="str">
        <f>IF(AND($A25&gt;=SYear_O, $A25&lt;=EYear_O, AF$3&gt;0), AF$3 * VLOOKUP($A25, Data_All!$A$8:$CA$153, MATCH(AF$2, Data_All!$B$2:$CA$2, 0)+1), "")</f>
        <v/>
      </c>
      <c r="AG25" s="206" t="str">
        <f>IF(AND($A25&gt;=SYear_O, $A25&lt;=EYear_O, AG$3&gt;0), AG$3 * VLOOKUP($A25, Data_All!$A$8:$CA$153, MATCH(AG$2, Data_All!$B$2:$CA$2, 0)+1), "")</f>
        <v/>
      </c>
      <c r="AH25" s="206" t="str">
        <f>IF(AND($A25&gt;=SYear_O, $A25&lt;=EYear_O, AH$3&gt;0), AH$3 * VLOOKUP($A25, Data_All!$A$8:$CA$153, MATCH(AH$2, Data_All!$B$2:$CA$2, 0)+1), "")</f>
        <v/>
      </c>
      <c r="AI25" s="206" t="str">
        <f>IF(AND($A25&gt;=SYear_O, $A25&lt;=EYear_O, AI$3&gt;0), AI$3 * VLOOKUP($A25, Data_All!$A$8:$CA$153, MATCH(AI$2, Data_All!$B$2:$CA$2, 0)+1), "")</f>
        <v/>
      </c>
      <c r="AJ25" s="206" t="str">
        <f>IF(AND($A25&gt;=SYear_O, $A25&lt;=EYear_O, AJ$3&gt;0), AJ$3 * VLOOKUP($A25, Data_All!$A$8:$CA$153, MATCH(AJ$2, Data_All!$B$2:$CA$2, 0)+1), "")</f>
        <v/>
      </c>
      <c r="AK25" s="206" t="str">
        <f>IF(AND($A25&gt;=SYear_O, $A25&lt;=EYear_O, AK$3&gt;0), AK$3 * VLOOKUP($A25, Data_All!$A$8:$CA$153, MATCH(AK$2, Data_All!$B$2:$CA$2, 0)+1), "")</f>
        <v/>
      </c>
      <c r="AL25" s="206" t="str">
        <f>IF(AND($A25&gt;=SYear_O, $A25&lt;=EYear_O, AL$3&gt;0), AL$3 * VLOOKUP($A25, Data_All!$A$8:$CA$153, MATCH(AL$2, Data_All!$B$2:$CA$2, 0)+1), "")</f>
        <v/>
      </c>
      <c r="AM25" s="206" t="str">
        <f>IF(AND($A25&gt;=SYear_O, $A25&lt;=EYear_O, AM$3&gt;0), AM$3 * VLOOKUP($A25, Data_All!$A$8:$CA$153, MATCH(AM$2, Data_All!$B$2:$CA$2, 0)+1), "")</f>
        <v/>
      </c>
      <c r="AN25" s="206" t="str">
        <f>IF(AND($A25&gt;=SYear_O, $A25&lt;=EYear_O, AN$3&gt;0), AN$3 * VLOOKUP($A25, Data_All!$A$8:$CA$153, MATCH(AN$2, Data_All!$B$2:$CA$2, 0)+1), "")</f>
        <v/>
      </c>
      <c r="AO25" s="206" t="str">
        <f>IF(AND($A25&gt;=SYear_O, $A25&lt;=EYear_O, AO$3&gt;0), AO$3 * VLOOKUP($A25, Data_All!$A$8:$CA$153, MATCH(AO$2, Data_All!$B$2:$CA$2, 0)+1), "")</f>
        <v/>
      </c>
      <c r="AP25" s="206" t="str">
        <f>IF(AND($A25&gt;=SYear_O, $A25&lt;=EYear_O, AP$3&gt;0), AP$3 * VLOOKUP($A25, Data_All!$A$8:$CA$153, MATCH(AP$2, Data_All!$B$2:$CA$2, 0)+1), "")</f>
        <v/>
      </c>
      <c r="AQ25" s="206" t="str">
        <f>IF(AND($A25&gt;=SYear_O, $A25&lt;=EYear_O, AQ$3&gt;0), AQ$3 * VLOOKUP($A25, Data_All!$A$8:$CA$153, MATCH(AQ$2, Data_All!$B$2:$CA$2, 0)+1), "")</f>
        <v/>
      </c>
      <c r="AR25" s="206" t="str">
        <f>IF(AND($A25&gt;=SYear_O, $A25&lt;=EYear_O, AR$3&gt;0), AR$3 * VLOOKUP($A25, Data_All!$A$8:$CA$153, MATCH(AR$2, Data_All!$B$2:$CA$2, 0)+1), "")</f>
        <v/>
      </c>
      <c r="AS25" s="206" t="str">
        <f>IF(AND($A25&gt;=SYear_O, $A25&lt;=EYear_O, AS$3&gt;0), AS$3 * VLOOKUP($A25, Data_All!$A$8:$CA$153, MATCH(AS$2, Data_All!$B$2:$CA$2, 0)+1), "")</f>
        <v/>
      </c>
      <c r="AT25" s="206" t="str">
        <f>IF(AND($A25&gt;=SYear_O, $A25&lt;=EYear_O, AT$3&gt;0), AT$3 * VLOOKUP($A25, Data_All!$A$8:$CA$153, MATCH(AT$2, Data_All!$B$2:$CA$2, 0)+1), "")</f>
        <v/>
      </c>
      <c r="AU25" s="206" t="str">
        <f>IF(AND($A25&gt;=SYear_O, $A25&lt;=EYear_O, AU$3&gt;0), AU$3 * VLOOKUP($A25, Data_All!$A$8:$CA$153, MATCH(AU$2, Data_All!$B$2:$CA$2, 0)+1), "")</f>
        <v/>
      </c>
      <c r="AV25" s="206" t="str">
        <f>IF(AND($A25&gt;=SYear_O, $A25&lt;=EYear_O, AV$3&gt;0), AV$3 * VLOOKUP($A25, Data_All!$A$8:$CA$153, MATCH(AV$2, Data_All!$B$2:$CA$2, 0)+1), "")</f>
        <v/>
      </c>
      <c r="AW25" s="206" t="str">
        <f>IF(AND($A25&gt;=SYear_O, $A25&lt;=EYear_O, AW$3&gt;0), AW$3 * VLOOKUP($A25, Data_All!$A$8:$CA$153, MATCH(AW$2, Data_All!$B$2:$CA$2, 0)+1), "")</f>
        <v/>
      </c>
      <c r="AX25" s="206" t="str">
        <f>IF(AND($A25&gt;=SYear_O, $A25&lt;=EYear_O, AX$3&gt;0), AX$3 * VLOOKUP($A25, Data_All!$A$8:$CA$153, MATCH(AX$2, Data_All!$B$2:$CA$2, 0)+1), "")</f>
        <v/>
      </c>
      <c r="AY25" s="206" t="str">
        <f>IF(AND($A25&gt;=SYear_O, $A25&lt;=EYear_O, AY$3&gt;0), AY$3 * VLOOKUP($A25, Data_All!$A$8:$CA$153, MATCH(AY$2, Data_All!$B$2:$CA$2, 0)+1), "")</f>
        <v/>
      </c>
      <c r="AZ25" s="206" t="str">
        <f>IF(AND($A25&gt;=SYear_O, $A25&lt;=EYear_O, AZ$3&gt;0), AZ$3 * VLOOKUP($A25, Data_All!$A$8:$CA$153, MATCH(AZ$2, Data_All!$B$2:$CA$2, 0)+1), "")</f>
        <v/>
      </c>
      <c r="BA25" s="206" t="str">
        <f>IF(AND($A25&gt;=SYear_O, $A25&lt;=EYear_O, BA$3&gt;0), BA$3 * VLOOKUP($A25, Data_All!$A$8:$CA$153, MATCH(BA$2, Data_All!$B$2:$CA$2, 0)+1), "")</f>
        <v/>
      </c>
      <c r="BB25" s="206" t="str">
        <f>IF(AND($A25&gt;=SYear_O, $A25&lt;=EYear_O, BB$3&gt;0), BB$3 * VLOOKUP($A25, Data_All!$A$8:$CA$153, MATCH(BB$2, Data_All!$B$2:$CA$2, 0)+1), "")</f>
        <v/>
      </c>
      <c r="BC25" s="206" t="str">
        <f>IF(AND($A25&gt;=SYear_O, $A25&lt;=EYear_O, BC$3&gt;0), BC$3 * VLOOKUP($A25, Data_All!$A$8:$CA$153, MATCH(BC$2, Data_All!$B$2:$CA$2, 0)+1), "")</f>
        <v/>
      </c>
      <c r="BD25" s="206" t="str">
        <f>IF(AND($A25&gt;=SYear_O, $A25&lt;=EYear_O, BD$3&gt;0), BD$3 * VLOOKUP($A25, Data_All!$A$8:$CA$153, MATCH(BD$2, Data_All!$B$2:$CA$2, 0)+1), "")</f>
        <v/>
      </c>
      <c r="BE25" s="206" t="str">
        <f>IF(AND($A25&gt;=SYear_O, $A25&lt;=EYear_O, BE$3&gt;0), BE$3 * VLOOKUP($A25, Data_All!$A$8:$CA$153, MATCH(BE$2, Data_All!$B$2:$CA$2, 0)+1), "")</f>
        <v/>
      </c>
      <c r="BF25" s="206" t="str">
        <f>IF(AND($A25&gt;=SYear_O, $A25&lt;=EYear_O, BF$3&gt;0), BF$3 * VLOOKUP($A25, Data_All!$A$8:$CA$153, MATCH(BF$2, Data_All!$B$2:$CA$2, 0)+1), "")</f>
        <v/>
      </c>
      <c r="BG25" s="206" t="str">
        <f>IF(AND($A25&gt;=SYear_O, $A25&lt;=EYear_O, BG$3&gt;0), BG$3 * VLOOKUP($A25, Data_All!$A$8:$CA$153, MATCH(BG$2, Data_All!$B$2:$CA$2, 0)+1), "")</f>
        <v/>
      </c>
      <c r="BH25" s="206" t="str">
        <f>IF(AND($A25&gt;=SYear_O, $A25&lt;=EYear_O, BH$3&gt;0), BH$3 * VLOOKUP($A25, Data_All!$A$8:$CA$153, MATCH(BH$2, Data_All!$B$2:$CA$2, 0)+1), "")</f>
        <v/>
      </c>
      <c r="BI25" s="206" t="str">
        <f>IF(AND($A25&gt;=SYear_O, $A25&lt;=EYear_O, BI$3&gt;0), BI$3 * VLOOKUP($A25, Data_All!$A$8:$CA$153, MATCH(BI$2, Data_All!$B$2:$CA$2, 0)+1), "")</f>
        <v/>
      </c>
      <c r="BJ25" s="206" t="str">
        <f>IF(AND($A25&gt;=SYear_O, $A25&lt;=EYear_O, BJ$3&gt;0), BJ$3 * VLOOKUP($A25, Data_All!$A$8:$CA$153, MATCH(BJ$2, Data_All!$B$2:$CA$2, 0)+1), "")</f>
        <v/>
      </c>
      <c r="BK25" s="206" t="str">
        <f>IF(AND($A25&gt;=SYear_O, $A25&lt;=EYear_O, BK$3&gt;0), BK$3 * VLOOKUP($A25, Data_All!$A$8:$CA$153, MATCH(BK$2, Data_All!$B$2:$CA$2, 0)+1), "")</f>
        <v/>
      </c>
      <c r="BL25" s="206" t="str">
        <f>IF(AND($A25&gt;=SYear_O, $A25&lt;=EYear_O, BL$3&gt;0), BL$3 * VLOOKUP($A25, Data_All!$A$8:$CA$153, MATCH(BL$2, Data_All!$B$2:$CA$2, 0)+1), "")</f>
        <v/>
      </c>
      <c r="BM25" s="206" t="str">
        <f>IF(AND($A25&gt;=SYear_O, $A25&lt;=EYear_O, BM$3&gt;0), BM$3 * VLOOKUP($A25, Data_All!$A$8:$CA$153, MATCH(BM$2, Data_All!$B$2:$CA$2, 0)+1), "")</f>
        <v/>
      </c>
      <c r="BN25" s="206" t="str">
        <f>IF(AND($A25&gt;=SYear_O, $A25&lt;=EYear_O, BN$3&gt;0), BN$3 * VLOOKUP($A25, Data_All!$A$8:$CA$153, MATCH(BN$2, Data_All!$B$2:$CA$2, 0)+1), "")</f>
        <v/>
      </c>
      <c r="BO25" s="206" t="str">
        <f>IF(AND($A25&gt;=SYear_O, $A25&lt;=EYear_O, BO$3&gt;0), BO$3 * VLOOKUP($A25, Data_All!$A$8:$CA$153, MATCH(BO$2, Data_All!$B$2:$CA$2, 0)+1), "")</f>
        <v/>
      </c>
      <c r="BP25" s="206" t="str">
        <f>IF(AND($A25&gt;=SYear_O, $A25&lt;=EYear_O, BP$3&gt;0), BP$3 * VLOOKUP($A25, Data_All!$A$8:$CA$153, MATCH(BP$2, Data_All!$B$2:$CA$2, 0)+1), "")</f>
        <v/>
      </c>
      <c r="BQ25" s="206" t="str">
        <f>IF(AND($A25&gt;=SYear_O, $A25&lt;=EYear_O, BQ$3&gt;0), BQ$3 * VLOOKUP($A25, Data_All!$A$8:$CA$153, MATCH(BQ$2, Data_All!$B$2:$CA$2, 0)+1), "")</f>
        <v/>
      </c>
      <c r="BR25" s="206" t="str">
        <f>IF(AND($A25&gt;=SYear_O, $A25&lt;=EYear_O, BR$3&gt;0), BR$3 * VLOOKUP($A25, Data_All!$A$8:$CA$153, MATCH(BR$2, Data_All!$B$2:$CA$2, 0)+1), "")</f>
        <v/>
      </c>
      <c r="BS25" s="206" t="str">
        <f>IF(AND($A25&gt;=SYear_O, $A25&lt;=EYear_O, BS$3&gt;0), BS$3 * VLOOKUP($A25, Data_All!$A$8:$CA$153, MATCH(BS$2, Data_All!$B$2:$CA$2, 0)+1), "")</f>
        <v/>
      </c>
      <c r="BT25" s="206" t="str">
        <f>IF(AND($A25&gt;=SYear_O, $A25&lt;=EYear_O, BT$3&gt;0), BT$3 * VLOOKUP($A25, Data_All!$A$8:$CA$153, MATCH(BT$2, Data_All!$B$2:$CA$2, 0)+1), "")</f>
        <v/>
      </c>
      <c r="BU25" s="206" t="str">
        <f>IF(AND($A25&gt;=SYear_O, $A25&lt;=EYear_O, BU$3&gt;0), BU$3 * VLOOKUP($A25, Data_All!$A$8:$CA$153, MATCH(BU$2, Data_All!$B$2:$CA$2, 0)+1), "")</f>
        <v/>
      </c>
      <c r="BV25" s="206" t="str">
        <f>IF(AND($A25&gt;=SYear_O, $A25&lt;=EYear_O, BV$3&gt;0), BV$3 * VLOOKUP($A25, Data_All!$A$8:$CA$153, MATCH(BV$2, Data_All!$B$2:$CA$2, 0)+1), "")</f>
        <v/>
      </c>
      <c r="BW25" s="206" t="str">
        <f>IF(AND($A25&gt;=SYear_O, $A25&lt;=EYear_O, BW$3&gt;0), BW$3 * VLOOKUP($A25, Data_All!$A$8:$CA$153, MATCH(BW$2, Data_All!$B$2:$CA$2, 0)+1), "")</f>
        <v/>
      </c>
      <c r="BX25" s="206">
        <f>IF(AND($A25&gt;=SYear_O, $A25&lt;=EYear_O, BX$3&gt;0), BX$3 * VLOOKUP($A25, Data_All!$A$8:$CA$153, MATCH(BX$2, Data_All!$B$2:$CA$2, 0)+1), "")</f>
        <v>4.1221374045801396</v>
      </c>
      <c r="BY25" s="206">
        <f>IF(AND($A25&gt;=SYear_O, $A25&lt;=EYear_O, BY$3&gt;0), BY$3 * VLOOKUP($A25, Data_All!$A$8:$CA$153, MATCH(BY$2, Data_All!$B$2:$CA$2, 0)+1), "")</f>
        <v>0.84187904169516159</v>
      </c>
      <c r="BZ25" s="206" t="str">
        <f>IF(AND($A25&gt;=SYear_O, $A25&lt;=EYear_O, BZ$3&gt;0), BZ$3 * VLOOKUP($A25, Data_All!$A$8:$CA$153, MATCH(BZ$2, Data_All!$B$2:$CA$2, 0)+1), "")</f>
        <v/>
      </c>
      <c r="CA25" s="565">
        <f t="shared" si="2"/>
        <v>4.9640164462753011</v>
      </c>
      <c r="CB25" s="427">
        <f t="shared" si="3"/>
        <v>30308.516241527894</v>
      </c>
      <c r="CC25" s="565">
        <f>IF(AND($A25&gt;=SYear_O,$A25&lt;=EYear_O),(CA25-Data_All!CA26)/(1+Data_All!CA26%),"")</f>
        <v>10.212184241747757</v>
      </c>
      <c r="CD25" s="436">
        <f t="shared" si="4"/>
        <v>49630.11974495239</v>
      </c>
      <c r="CE25" s="438">
        <f t="shared" si="5"/>
        <v>2.7489593512539003</v>
      </c>
      <c r="CF25" s="438">
        <f>IF(AND($A25&gt;=SYear_O,$A25&lt;=EYear_O),MAX($CE$7:CE25),"")</f>
        <v>2.7489593512539003</v>
      </c>
      <c r="CG25" s="209">
        <f t="shared" si="6"/>
        <v>0</v>
      </c>
      <c r="CI25" s="143">
        <f>IF(AND($A25&gt;=SYear_O,$A25&lt;=EYear_O),Data_All!V26,"")</f>
        <v>4.5858727145568992</v>
      </c>
      <c r="CJ25" s="143">
        <f>IF(AND($A25&gt;=SYear_O,$A25&lt;=EYear_O),Data_All!CA26,"")</f>
        <v>-4.7618762222883859</v>
      </c>
      <c r="CK25" s="143">
        <f t="shared" si="7"/>
        <v>9.8151334424260472</v>
      </c>
      <c r="CN25" s="61">
        <f t="shared" si="8"/>
        <v>4.96401644627531E-2</v>
      </c>
      <c r="CO25" s="61">
        <f t="shared" si="9"/>
        <v>5.1077416510773466E-2</v>
      </c>
      <c r="CP25" s="61">
        <f t="shared" si="10"/>
        <v>2.1694056122616212E-2</v>
      </c>
      <c r="CQ25" s="61">
        <f t="shared" si="11"/>
        <v>5.302675104594412E-2</v>
      </c>
      <c r="CR25" s="61">
        <f t="shared" si="12"/>
        <v>5.1824388357656126E-2</v>
      </c>
      <c r="CU25" s="61">
        <f t="shared" si="13"/>
        <v>0.10212184241747746</v>
      </c>
      <c r="CV25" s="61">
        <f t="shared" si="14"/>
        <v>8.2009049452776317E-2</v>
      </c>
      <c r="CW25" s="61">
        <f t="shared" si="15"/>
        <v>5.3683645742490294E-2</v>
      </c>
      <c r="CX25" s="61">
        <f t="shared" si="16"/>
        <v>7.0881646989685354E-2</v>
      </c>
      <c r="CY25" s="61">
        <f t="shared" si="17"/>
        <v>4.9366516594137266E-2</v>
      </c>
    </row>
    <row r="26" spans="1:103">
      <c r="A26" s="204">
        <f t="shared" si="18"/>
        <v>1890</v>
      </c>
      <c r="B26" s="206" t="str">
        <f>IF(AND($A26&gt;=SYear_O, $A26&lt;=EYear_O, B$3&gt;0), B$3 * VLOOKUP($A26, Data_All!$A$8:$CA$153, MATCH(B$2, Data_All!$B$2:$CA$2, 0)+1), "")</f>
        <v/>
      </c>
      <c r="C26" s="206" t="str">
        <f>IF(AND($A26&gt;=SYear_O, $A26&lt;=EYear_O, C$3&gt;0), C$3 * VLOOKUP($A26, Data_All!$A$8:$CA$153, MATCH(C$2, Data_All!$B$2:$CA$2, 0)+1), "")</f>
        <v/>
      </c>
      <c r="D26" s="206" t="str">
        <f>IF(AND($A26&gt;=SYear_O, $A26&lt;=EYear_O, D$3&gt;0), D$3 * VLOOKUP($A26, Data_All!$A$8:$CA$153, MATCH(D$2, Data_All!$B$2:$CA$2, 0)+1), "")</f>
        <v/>
      </c>
      <c r="E26" s="206" t="str">
        <f>IF(AND($A26&gt;=SYear_O, $A26&lt;=EYear_O, E$3&gt;0), E$3 * VLOOKUP($A26, Data_All!$A$8:$CA$153, MATCH(E$2, Data_All!$B$2:$CA$2, 0)+1), "")</f>
        <v/>
      </c>
      <c r="F26" s="206" t="str">
        <f>IF(AND($A26&gt;=SYear_O, $A26&lt;=EYear_O, F$3&gt;0), F$3 * VLOOKUP($A26, Data_All!$A$8:$CA$153, MATCH(F$2, Data_All!$B$2:$CA$2, 0)+1), "")</f>
        <v/>
      </c>
      <c r="G26" s="206" t="str">
        <f>IF(AND($A26&gt;=SYear_O, $A26&lt;=EYear_O, G$3&gt;0), G$3 * VLOOKUP($A26, Data_All!$A$8:$CA$153, MATCH(G$2, Data_All!$B$2:$CA$2, 0)+1), "")</f>
        <v/>
      </c>
      <c r="H26" s="206" t="str">
        <f>IF(AND($A26&gt;=SYear_O, $A26&lt;=EYear_O, H$3&gt;0), H$3 * VLOOKUP($A26, Data_All!$A$8:$CA$153, MATCH(H$2, Data_All!$B$2:$CA$2, 0)+1), "")</f>
        <v/>
      </c>
      <c r="I26" s="206" t="str">
        <f>IF(AND($A26&gt;=SYear_O, $A26&lt;=EYear_O, I$3&gt;0), I$3 * VLOOKUP($A26, Data_All!$A$8:$CA$153, MATCH(I$2, Data_All!$B$2:$CA$2, 0)+1), "")</f>
        <v/>
      </c>
      <c r="J26" s="206" t="str">
        <f>IF(AND($A26&gt;=SYear_O, $A26&lt;=EYear_O, J$3&gt;0), J$3 * VLOOKUP($A26, Data_All!$A$8:$CA$153, MATCH(J$2, Data_All!$B$2:$CA$2, 0)+1), "")</f>
        <v/>
      </c>
      <c r="K26" s="206" t="str">
        <f>IF(AND($A26&gt;=SYear_O, $A26&lt;=EYear_O, K$3&gt;0), K$3 * VLOOKUP($A26, Data_All!$A$8:$CA$153, MATCH(K$2, Data_All!$B$2:$CA$2, 0)+1), "")</f>
        <v/>
      </c>
      <c r="L26" s="206" t="str">
        <f>IF(AND($A26&gt;=SYear_O, $A26&lt;=EYear_O, L$3&gt;0), L$3 * VLOOKUP($A26, Data_All!$A$8:$CA$153, MATCH(L$2, Data_All!$B$2:$CA$2, 0)+1), "")</f>
        <v/>
      </c>
      <c r="M26" s="206" t="str">
        <f>IF(AND($A26&gt;=SYear_O, $A26&lt;=EYear_O, M$3&gt;0), M$3 * VLOOKUP($A26, Data_All!$A$8:$CA$153, MATCH(M$2, Data_All!$B$2:$CA$2, 0)+1), "")</f>
        <v/>
      </c>
      <c r="N26" s="206" t="str">
        <f>IF(AND($A26&gt;=SYear_O, $A26&lt;=EYear_O, N$3&gt;0), N$3 * VLOOKUP($A26, Data_All!$A$8:$CA$153, MATCH(N$2, Data_All!$B$2:$CA$2, 0)+1), "")</f>
        <v/>
      </c>
      <c r="O26" s="206" t="str">
        <f>IF(AND($A26&gt;=SYear_O, $A26&lt;=EYear_O, O$3&gt;0), O$3 * VLOOKUP($A26, Data_All!$A$8:$CA$153, MATCH(O$2, Data_All!$B$2:$CA$2, 0)+1), "")</f>
        <v/>
      </c>
      <c r="P26" s="206" t="str">
        <f>IF(AND($A26&gt;=SYear_O, $A26&lt;=EYear_O, P$3&gt;0), P$3 * VLOOKUP($A26, Data_All!$A$8:$CA$153, MATCH(P$2, Data_All!$B$2:$CA$2, 0)+1), "")</f>
        <v/>
      </c>
      <c r="Q26" s="206" t="str">
        <f>IF(AND($A26&gt;=SYear_O, $A26&lt;=EYear_O, Q$3&gt;0), Q$3 * VLOOKUP($A26, Data_All!$A$8:$CA$153, MATCH(Q$2, Data_All!$B$2:$CA$2, 0)+1), "")</f>
        <v/>
      </c>
      <c r="R26" s="206" t="str">
        <f>IF(AND($A26&gt;=SYear_O, $A26&lt;=EYear_O, R$3&gt;0), R$3 * VLOOKUP($A26, Data_All!$A$8:$CA$153, MATCH(R$2, Data_All!$B$2:$CA$2, 0)+1), "")</f>
        <v/>
      </c>
      <c r="S26" s="206" t="str">
        <f>IF(AND($A26&gt;=SYear_O, $A26&lt;=EYear_O, S$3&gt;0), S$3 * VLOOKUP($A26, Data_All!$A$8:$CA$153, MATCH(S$2, Data_All!$B$2:$CA$2, 0)+1), "")</f>
        <v/>
      </c>
      <c r="T26" s="206" t="str">
        <f>IF(AND($A26&gt;=SYear_O, $A26&lt;=EYear_O, T$3&gt;0), T$3 * VLOOKUP($A26, Data_All!$A$8:$CA$153, MATCH(T$2, Data_All!$B$2:$CA$2, 0)+1), "")</f>
        <v/>
      </c>
      <c r="U26" s="206" t="str">
        <f>IF(AND($A26&gt;=SYear_O, $A26&lt;=EYear_O, U$3&gt;0), U$3 * VLOOKUP($A26, Data_All!$A$8:$CA$153, MATCH(U$2, Data_All!$B$2:$CA$2, 0)+1), "")</f>
        <v/>
      </c>
      <c r="V26" s="206" t="str">
        <f>IF(AND($A26&gt;=SYear_O, $A26&lt;=EYear_O, V$3&gt;0), V$3 * VLOOKUP($A26, Data_All!$A$8:$CA$153, MATCH(V$2, Data_All!$B$2:$CA$2, 0)+1), "")</f>
        <v/>
      </c>
      <c r="W26" s="206" t="str">
        <f>IF(AND($A26&gt;=SYear_O, $A26&lt;=EYear_O, W$3&gt;0), W$3 * VLOOKUP($A26, Data_All!$A$8:$CA$153, MATCH(W$2, Data_All!$B$2:$CA$2, 0)+1), "")</f>
        <v/>
      </c>
      <c r="X26" s="206" t="str">
        <f>IF(AND($A26&gt;=SYear_O, $A26&lt;=EYear_O, X$3&gt;0), X$3 * VLOOKUP($A26, Data_All!$A$8:$CA$153, MATCH(X$2, Data_All!$B$2:$CA$2, 0)+1), "")</f>
        <v/>
      </c>
      <c r="Y26" s="206" t="str">
        <f>IF(AND($A26&gt;=SYear_O, $A26&lt;=EYear_O, Y$3&gt;0), Y$3 * VLOOKUP($A26, Data_All!$A$8:$CA$153, MATCH(Y$2, Data_All!$B$2:$CA$2, 0)+1), "")</f>
        <v/>
      </c>
      <c r="Z26" s="206" t="str">
        <f>IF(AND($A26&gt;=SYear_O, $A26&lt;=EYear_O, Z$3&gt;0), Z$3 * VLOOKUP($A26, Data_All!$A$8:$CA$153, MATCH(Z$2, Data_All!$B$2:$CA$2, 0)+1), "")</f>
        <v/>
      </c>
      <c r="AA26" s="206" t="str">
        <f>IF(AND($A26&gt;=SYear_O, $A26&lt;=EYear_O, AA$3&gt;0), AA$3 * VLOOKUP($A26, Data_All!$A$8:$CA$153, MATCH(AA$2, Data_All!$B$2:$CA$2, 0)+1), "")</f>
        <v/>
      </c>
      <c r="AB26" s="206" t="str">
        <f>IF(AND($A26&gt;=SYear_O, $A26&lt;=EYear_O, AB$3&gt;0), AB$3 * VLOOKUP($A26, Data_All!$A$8:$CA$153, MATCH(AB$2, Data_All!$B$2:$CA$2, 0)+1), "")</f>
        <v/>
      </c>
      <c r="AC26" s="206" t="str">
        <f>IF(AND($A26&gt;=SYear_O, $A26&lt;=EYear_O, AC$3&gt;0), AC$3 * VLOOKUP($A26, Data_All!$A$8:$CA$153, MATCH(AC$2, Data_All!$B$2:$CA$2, 0)+1), "")</f>
        <v/>
      </c>
      <c r="AD26" s="206" t="str">
        <f>IF(AND($A26&gt;=SYear_O, $A26&lt;=EYear_O, AD$3&gt;0), AD$3 * VLOOKUP($A26, Data_All!$A$8:$CA$153, MATCH(AD$2, Data_All!$B$2:$CA$2, 0)+1), "")</f>
        <v/>
      </c>
      <c r="AE26" s="206" t="str">
        <f>IF(AND($A26&gt;=SYear_O, $A26&lt;=EYear_O, AE$3&gt;0), AE$3 * VLOOKUP($A26, Data_All!$A$8:$CA$153, MATCH(AE$2, Data_All!$B$2:$CA$2, 0)+1), "")</f>
        <v/>
      </c>
      <c r="AF26" s="206" t="str">
        <f>IF(AND($A26&gt;=SYear_O, $A26&lt;=EYear_O, AF$3&gt;0), AF$3 * VLOOKUP($A26, Data_All!$A$8:$CA$153, MATCH(AF$2, Data_All!$B$2:$CA$2, 0)+1), "")</f>
        <v/>
      </c>
      <c r="AG26" s="206" t="str">
        <f>IF(AND($A26&gt;=SYear_O, $A26&lt;=EYear_O, AG$3&gt;0), AG$3 * VLOOKUP($A26, Data_All!$A$8:$CA$153, MATCH(AG$2, Data_All!$B$2:$CA$2, 0)+1), "")</f>
        <v/>
      </c>
      <c r="AH26" s="206" t="str">
        <f>IF(AND($A26&gt;=SYear_O, $A26&lt;=EYear_O, AH$3&gt;0), AH$3 * VLOOKUP($A26, Data_All!$A$8:$CA$153, MATCH(AH$2, Data_All!$B$2:$CA$2, 0)+1), "")</f>
        <v/>
      </c>
      <c r="AI26" s="206" t="str">
        <f>IF(AND($A26&gt;=SYear_O, $A26&lt;=EYear_O, AI$3&gt;0), AI$3 * VLOOKUP($A26, Data_All!$A$8:$CA$153, MATCH(AI$2, Data_All!$B$2:$CA$2, 0)+1), "")</f>
        <v/>
      </c>
      <c r="AJ26" s="206" t="str">
        <f>IF(AND($A26&gt;=SYear_O, $A26&lt;=EYear_O, AJ$3&gt;0), AJ$3 * VLOOKUP($A26, Data_All!$A$8:$CA$153, MATCH(AJ$2, Data_All!$B$2:$CA$2, 0)+1), "")</f>
        <v/>
      </c>
      <c r="AK26" s="206" t="str">
        <f>IF(AND($A26&gt;=SYear_O, $A26&lt;=EYear_O, AK$3&gt;0), AK$3 * VLOOKUP($A26, Data_All!$A$8:$CA$153, MATCH(AK$2, Data_All!$B$2:$CA$2, 0)+1), "")</f>
        <v/>
      </c>
      <c r="AL26" s="206" t="str">
        <f>IF(AND($A26&gt;=SYear_O, $A26&lt;=EYear_O, AL$3&gt;0), AL$3 * VLOOKUP($A26, Data_All!$A$8:$CA$153, MATCH(AL$2, Data_All!$B$2:$CA$2, 0)+1), "")</f>
        <v/>
      </c>
      <c r="AM26" s="206" t="str">
        <f>IF(AND($A26&gt;=SYear_O, $A26&lt;=EYear_O, AM$3&gt;0), AM$3 * VLOOKUP($A26, Data_All!$A$8:$CA$153, MATCH(AM$2, Data_All!$B$2:$CA$2, 0)+1), "")</f>
        <v/>
      </c>
      <c r="AN26" s="206" t="str">
        <f>IF(AND($A26&gt;=SYear_O, $A26&lt;=EYear_O, AN$3&gt;0), AN$3 * VLOOKUP($A26, Data_All!$A$8:$CA$153, MATCH(AN$2, Data_All!$B$2:$CA$2, 0)+1), "")</f>
        <v/>
      </c>
      <c r="AO26" s="206" t="str">
        <f>IF(AND($A26&gt;=SYear_O, $A26&lt;=EYear_O, AO$3&gt;0), AO$3 * VLOOKUP($A26, Data_All!$A$8:$CA$153, MATCH(AO$2, Data_All!$B$2:$CA$2, 0)+1), "")</f>
        <v/>
      </c>
      <c r="AP26" s="206" t="str">
        <f>IF(AND($A26&gt;=SYear_O, $A26&lt;=EYear_O, AP$3&gt;0), AP$3 * VLOOKUP($A26, Data_All!$A$8:$CA$153, MATCH(AP$2, Data_All!$B$2:$CA$2, 0)+1), "")</f>
        <v/>
      </c>
      <c r="AQ26" s="206" t="str">
        <f>IF(AND($A26&gt;=SYear_O, $A26&lt;=EYear_O, AQ$3&gt;0), AQ$3 * VLOOKUP($A26, Data_All!$A$8:$CA$153, MATCH(AQ$2, Data_All!$B$2:$CA$2, 0)+1), "")</f>
        <v/>
      </c>
      <c r="AR26" s="206" t="str">
        <f>IF(AND($A26&gt;=SYear_O, $A26&lt;=EYear_O, AR$3&gt;0), AR$3 * VLOOKUP($A26, Data_All!$A$8:$CA$153, MATCH(AR$2, Data_All!$B$2:$CA$2, 0)+1), "")</f>
        <v/>
      </c>
      <c r="AS26" s="206" t="str">
        <f>IF(AND($A26&gt;=SYear_O, $A26&lt;=EYear_O, AS$3&gt;0), AS$3 * VLOOKUP($A26, Data_All!$A$8:$CA$153, MATCH(AS$2, Data_All!$B$2:$CA$2, 0)+1), "")</f>
        <v/>
      </c>
      <c r="AT26" s="206" t="str">
        <f>IF(AND($A26&gt;=SYear_O, $A26&lt;=EYear_O, AT$3&gt;0), AT$3 * VLOOKUP($A26, Data_All!$A$8:$CA$153, MATCH(AT$2, Data_All!$B$2:$CA$2, 0)+1), "")</f>
        <v/>
      </c>
      <c r="AU26" s="206" t="str">
        <f>IF(AND($A26&gt;=SYear_O, $A26&lt;=EYear_O, AU$3&gt;0), AU$3 * VLOOKUP($A26, Data_All!$A$8:$CA$153, MATCH(AU$2, Data_All!$B$2:$CA$2, 0)+1), "")</f>
        <v/>
      </c>
      <c r="AV26" s="206" t="str">
        <f>IF(AND($A26&gt;=SYear_O, $A26&lt;=EYear_O, AV$3&gt;0), AV$3 * VLOOKUP($A26, Data_All!$A$8:$CA$153, MATCH(AV$2, Data_All!$B$2:$CA$2, 0)+1), "")</f>
        <v/>
      </c>
      <c r="AW26" s="206" t="str">
        <f>IF(AND($A26&gt;=SYear_O, $A26&lt;=EYear_O, AW$3&gt;0), AW$3 * VLOOKUP($A26, Data_All!$A$8:$CA$153, MATCH(AW$2, Data_All!$B$2:$CA$2, 0)+1), "")</f>
        <v/>
      </c>
      <c r="AX26" s="206" t="str">
        <f>IF(AND($A26&gt;=SYear_O, $A26&lt;=EYear_O, AX$3&gt;0), AX$3 * VLOOKUP($A26, Data_All!$A$8:$CA$153, MATCH(AX$2, Data_All!$B$2:$CA$2, 0)+1), "")</f>
        <v/>
      </c>
      <c r="AY26" s="206" t="str">
        <f>IF(AND($A26&gt;=SYear_O, $A26&lt;=EYear_O, AY$3&gt;0), AY$3 * VLOOKUP($A26, Data_All!$A$8:$CA$153, MATCH(AY$2, Data_All!$B$2:$CA$2, 0)+1), "")</f>
        <v/>
      </c>
      <c r="AZ26" s="206" t="str">
        <f>IF(AND($A26&gt;=SYear_O, $A26&lt;=EYear_O, AZ$3&gt;0), AZ$3 * VLOOKUP($A26, Data_All!$A$8:$CA$153, MATCH(AZ$2, Data_All!$B$2:$CA$2, 0)+1), "")</f>
        <v/>
      </c>
      <c r="BA26" s="206" t="str">
        <f>IF(AND($A26&gt;=SYear_O, $A26&lt;=EYear_O, BA$3&gt;0), BA$3 * VLOOKUP($A26, Data_All!$A$8:$CA$153, MATCH(BA$2, Data_All!$B$2:$CA$2, 0)+1), "")</f>
        <v/>
      </c>
      <c r="BB26" s="206" t="str">
        <f>IF(AND($A26&gt;=SYear_O, $A26&lt;=EYear_O, BB$3&gt;0), BB$3 * VLOOKUP($A26, Data_All!$A$8:$CA$153, MATCH(BB$2, Data_All!$B$2:$CA$2, 0)+1), "")</f>
        <v/>
      </c>
      <c r="BC26" s="206" t="str">
        <f>IF(AND($A26&gt;=SYear_O, $A26&lt;=EYear_O, BC$3&gt;0), BC$3 * VLOOKUP($A26, Data_All!$A$8:$CA$153, MATCH(BC$2, Data_All!$B$2:$CA$2, 0)+1), "")</f>
        <v/>
      </c>
      <c r="BD26" s="206" t="str">
        <f>IF(AND($A26&gt;=SYear_O, $A26&lt;=EYear_O, BD$3&gt;0), BD$3 * VLOOKUP($A26, Data_All!$A$8:$CA$153, MATCH(BD$2, Data_All!$B$2:$CA$2, 0)+1), "")</f>
        <v/>
      </c>
      <c r="BE26" s="206" t="str">
        <f>IF(AND($A26&gt;=SYear_O, $A26&lt;=EYear_O, BE$3&gt;0), BE$3 * VLOOKUP($A26, Data_All!$A$8:$CA$153, MATCH(BE$2, Data_All!$B$2:$CA$2, 0)+1), "")</f>
        <v/>
      </c>
      <c r="BF26" s="206" t="str">
        <f>IF(AND($A26&gt;=SYear_O, $A26&lt;=EYear_O, BF$3&gt;0), BF$3 * VLOOKUP($A26, Data_All!$A$8:$CA$153, MATCH(BF$2, Data_All!$B$2:$CA$2, 0)+1), "")</f>
        <v/>
      </c>
      <c r="BG26" s="206" t="str">
        <f>IF(AND($A26&gt;=SYear_O, $A26&lt;=EYear_O, BG$3&gt;0), BG$3 * VLOOKUP($A26, Data_All!$A$8:$CA$153, MATCH(BG$2, Data_All!$B$2:$CA$2, 0)+1), "")</f>
        <v/>
      </c>
      <c r="BH26" s="206" t="str">
        <f>IF(AND($A26&gt;=SYear_O, $A26&lt;=EYear_O, BH$3&gt;0), BH$3 * VLOOKUP($A26, Data_All!$A$8:$CA$153, MATCH(BH$2, Data_All!$B$2:$CA$2, 0)+1), "")</f>
        <v/>
      </c>
      <c r="BI26" s="206" t="str">
        <f>IF(AND($A26&gt;=SYear_O, $A26&lt;=EYear_O, BI$3&gt;0), BI$3 * VLOOKUP($A26, Data_All!$A$8:$CA$153, MATCH(BI$2, Data_All!$B$2:$CA$2, 0)+1), "")</f>
        <v/>
      </c>
      <c r="BJ26" s="206" t="str">
        <f>IF(AND($A26&gt;=SYear_O, $A26&lt;=EYear_O, BJ$3&gt;0), BJ$3 * VLOOKUP($A26, Data_All!$A$8:$CA$153, MATCH(BJ$2, Data_All!$B$2:$CA$2, 0)+1), "")</f>
        <v/>
      </c>
      <c r="BK26" s="206" t="str">
        <f>IF(AND($A26&gt;=SYear_O, $A26&lt;=EYear_O, BK$3&gt;0), BK$3 * VLOOKUP($A26, Data_All!$A$8:$CA$153, MATCH(BK$2, Data_All!$B$2:$CA$2, 0)+1), "")</f>
        <v/>
      </c>
      <c r="BL26" s="206" t="str">
        <f>IF(AND($A26&gt;=SYear_O, $A26&lt;=EYear_O, BL$3&gt;0), BL$3 * VLOOKUP($A26, Data_All!$A$8:$CA$153, MATCH(BL$2, Data_All!$B$2:$CA$2, 0)+1), "")</f>
        <v/>
      </c>
      <c r="BM26" s="206" t="str">
        <f>IF(AND($A26&gt;=SYear_O, $A26&lt;=EYear_O, BM$3&gt;0), BM$3 * VLOOKUP($A26, Data_All!$A$8:$CA$153, MATCH(BM$2, Data_All!$B$2:$CA$2, 0)+1), "")</f>
        <v/>
      </c>
      <c r="BN26" s="206" t="str">
        <f>IF(AND($A26&gt;=SYear_O, $A26&lt;=EYear_O, BN$3&gt;0), BN$3 * VLOOKUP($A26, Data_All!$A$8:$CA$153, MATCH(BN$2, Data_All!$B$2:$CA$2, 0)+1), "")</f>
        <v/>
      </c>
      <c r="BO26" s="206" t="str">
        <f>IF(AND($A26&gt;=SYear_O, $A26&lt;=EYear_O, BO$3&gt;0), BO$3 * VLOOKUP($A26, Data_All!$A$8:$CA$153, MATCH(BO$2, Data_All!$B$2:$CA$2, 0)+1), "")</f>
        <v/>
      </c>
      <c r="BP26" s="206" t="str">
        <f>IF(AND($A26&gt;=SYear_O, $A26&lt;=EYear_O, BP$3&gt;0), BP$3 * VLOOKUP($A26, Data_All!$A$8:$CA$153, MATCH(BP$2, Data_All!$B$2:$CA$2, 0)+1), "")</f>
        <v/>
      </c>
      <c r="BQ26" s="206" t="str">
        <f>IF(AND($A26&gt;=SYear_O, $A26&lt;=EYear_O, BQ$3&gt;0), BQ$3 * VLOOKUP($A26, Data_All!$A$8:$CA$153, MATCH(BQ$2, Data_All!$B$2:$CA$2, 0)+1), "")</f>
        <v/>
      </c>
      <c r="BR26" s="206" t="str">
        <f>IF(AND($A26&gt;=SYear_O, $A26&lt;=EYear_O, BR$3&gt;0), BR$3 * VLOOKUP($A26, Data_All!$A$8:$CA$153, MATCH(BR$2, Data_All!$B$2:$CA$2, 0)+1), "")</f>
        <v/>
      </c>
      <c r="BS26" s="206" t="str">
        <f>IF(AND($A26&gt;=SYear_O, $A26&lt;=EYear_O, BS$3&gt;0), BS$3 * VLOOKUP($A26, Data_All!$A$8:$CA$153, MATCH(BS$2, Data_All!$B$2:$CA$2, 0)+1), "")</f>
        <v/>
      </c>
      <c r="BT26" s="206" t="str">
        <f>IF(AND($A26&gt;=SYear_O, $A26&lt;=EYear_O, BT$3&gt;0), BT$3 * VLOOKUP($A26, Data_All!$A$8:$CA$153, MATCH(BT$2, Data_All!$B$2:$CA$2, 0)+1), "")</f>
        <v/>
      </c>
      <c r="BU26" s="206" t="str">
        <f>IF(AND($A26&gt;=SYear_O, $A26&lt;=EYear_O, BU$3&gt;0), BU$3 * VLOOKUP($A26, Data_All!$A$8:$CA$153, MATCH(BU$2, Data_All!$B$2:$CA$2, 0)+1), "")</f>
        <v/>
      </c>
      <c r="BV26" s="206" t="str">
        <f>IF(AND($A26&gt;=SYear_O, $A26&lt;=EYear_O, BV$3&gt;0), BV$3 * VLOOKUP($A26, Data_All!$A$8:$CA$153, MATCH(BV$2, Data_All!$B$2:$CA$2, 0)+1), "")</f>
        <v/>
      </c>
      <c r="BW26" s="206" t="str">
        <f>IF(AND($A26&gt;=SYear_O, $A26&lt;=EYear_O, BW$3&gt;0), BW$3 * VLOOKUP($A26, Data_All!$A$8:$CA$153, MATCH(BW$2, Data_All!$B$2:$CA$2, 0)+1), "")</f>
        <v/>
      </c>
      <c r="BX26" s="206">
        <f>IF(AND($A26&gt;=SYear_O, $A26&lt;=EYear_O, BX$3&gt;0), BX$3 * VLOOKUP($A26, Data_All!$A$8:$CA$153, MATCH(BX$2, Data_All!$B$2:$CA$2, 0)+1), "")</f>
        <v>-3.5687732342007483</v>
      </c>
      <c r="BY26" s="206">
        <f>IF(AND($A26&gt;=SYear_O, $A26&lt;=EYear_O, BY$3&gt;0), BY$3 * VLOOKUP($A26, Data_All!$A$8:$CA$153, MATCH(BY$2, Data_All!$B$2:$CA$2, 0)+1), "")</f>
        <v>0.67574078806067917</v>
      </c>
      <c r="BZ26" s="206" t="str">
        <f>IF(AND($A26&gt;=SYear_O, $A26&lt;=EYear_O, BZ$3&gt;0), BZ$3 * VLOOKUP($A26, Data_All!$A$8:$CA$153, MATCH(BZ$2, Data_All!$B$2:$CA$2, 0)+1), "")</f>
        <v/>
      </c>
      <c r="CA26" s="565">
        <f t="shared" si="2"/>
        <v>-2.8930324461400692</v>
      </c>
      <c r="CB26" s="427">
        <f t="shared" si="3"/>
        <v>29431.68103271686</v>
      </c>
      <c r="CC26" s="565">
        <f>IF(AND($A26&gt;=SYear_O,$A26&lt;=EYear_O),(CA26-Data_All!CA27)/(1+Data_All!CA27%),"")</f>
        <v>-5.2614805282356238</v>
      </c>
      <c r="CD26" s="436">
        <f t="shared" si="4"/>
        <v>47018.840658431691</v>
      </c>
      <c r="CE26" s="438">
        <f t="shared" si="5"/>
        <v>2.6694310652909237</v>
      </c>
      <c r="CF26" s="438">
        <f>IF(AND($A26&gt;=SYear_O,$A26&lt;=EYear_O),MAX($CE$7:CE26),"")</f>
        <v>2.7489593512539003</v>
      </c>
      <c r="CG26" s="209">
        <f t="shared" si="6"/>
        <v>2.8930324461400647E-2</v>
      </c>
      <c r="CI26" s="143">
        <f>IF(AND($A26&gt;=SYear_O,$A26&lt;=EYear_O),Data_All!V27,"")</f>
        <v>5.3152163053252082</v>
      </c>
      <c r="CJ26" s="143">
        <f>IF(AND($A26&gt;=SYear_O,$A26&lt;=EYear_O),Data_All!CA27,"")</f>
        <v>2.4999842675411887</v>
      </c>
      <c r="CK26" s="143">
        <f t="shared" si="7"/>
        <v>2.7465682633041366</v>
      </c>
      <c r="CN26" s="61">
        <f t="shared" si="8"/>
        <v>-2.8930324461400647E-2</v>
      </c>
      <c r="CO26" s="61">
        <f t="shared" si="9"/>
        <v>4.0477976038008512E-2</v>
      </c>
      <c r="CP26" s="61">
        <f t="shared" si="10"/>
        <v>1.9565573622231769E-2</v>
      </c>
      <c r="CQ26" s="61">
        <f t="shared" si="11"/>
        <v>5.0547762249528727E-2</v>
      </c>
      <c r="CR26" s="61">
        <f t="shared" si="12"/>
        <v>6.117378752563285E-2</v>
      </c>
      <c r="CU26" s="61">
        <f t="shared" si="13"/>
        <v>-5.2614805282356292E-2</v>
      </c>
      <c r="CV26" s="61">
        <f t="shared" si="14"/>
        <v>2.7787856447307746E-2</v>
      </c>
      <c r="CW26" s="61">
        <f t="shared" si="15"/>
        <v>5.0178945633506E-2</v>
      </c>
      <c r="CX26" s="61">
        <f t="shared" si="16"/>
        <v>4.6687358814065938E-2</v>
      </c>
      <c r="CY26" s="61">
        <f t="shared" si="17"/>
        <v>5.3658709786216452E-2</v>
      </c>
    </row>
    <row r="27" spans="1:103">
      <c r="A27" s="204">
        <f t="shared" si="18"/>
        <v>1891</v>
      </c>
      <c r="B27" s="206" t="str">
        <f>IF(AND($A27&gt;=SYear_O, $A27&lt;=EYear_O, B$3&gt;0), B$3 * VLOOKUP($A27, Data_All!$A$8:$CA$153, MATCH(B$2, Data_All!$B$2:$CA$2, 0)+1), "")</f>
        <v/>
      </c>
      <c r="C27" s="206" t="str">
        <f>IF(AND($A27&gt;=SYear_O, $A27&lt;=EYear_O, C$3&gt;0), C$3 * VLOOKUP($A27, Data_All!$A$8:$CA$153, MATCH(C$2, Data_All!$B$2:$CA$2, 0)+1), "")</f>
        <v/>
      </c>
      <c r="D27" s="206" t="str">
        <f>IF(AND($A27&gt;=SYear_O, $A27&lt;=EYear_O, D$3&gt;0), D$3 * VLOOKUP($A27, Data_All!$A$8:$CA$153, MATCH(D$2, Data_All!$B$2:$CA$2, 0)+1), "")</f>
        <v/>
      </c>
      <c r="E27" s="206" t="str">
        <f>IF(AND($A27&gt;=SYear_O, $A27&lt;=EYear_O, E$3&gt;0), E$3 * VLOOKUP($A27, Data_All!$A$8:$CA$153, MATCH(E$2, Data_All!$B$2:$CA$2, 0)+1), "")</f>
        <v/>
      </c>
      <c r="F27" s="206" t="str">
        <f>IF(AND($A27&gt;=SYear_O, $A27&lt;=EYear_O, F$3&gt;0), F$3 * VLOOKUP($A27, Data_All!$A$8:$CA$153, MATCH(F$2, Data_All!$B$2:$CA$2, 0)+1), "")</f>
        <v/>
      </c>
      <c r="G27" s="206" t="str">
        <f>IF(AND($A27&gt;=SYear_O, $A27&lt;=EYear_O, G$3&gt;0), G$3 * VLOOKUP($A27, Data_All!$A$8:$CA$153, MATCH(G$2, Data_All!$B$2:$CA$2, 0)+1), "")</f>
        <v/>
      </c>
      <c r="H27" s="206" t="str">
        <f>IF(AND($A27&gt;=SYear_O, $A27&lt;=EYear_O, H$3&gt;0), H$3 * VLOOKUP($A27, Data_All!$A$8:$CA$153, MATCH(H$2, Data_All!$B$2:$CA$2, 0)+1), "")</f>
        <v/>
      </c>
      <c r="I27" s="206" t="str">
        <f>IF(AND($A27&gt;=SYear_O, $A27&lt;=EYear_O, I$3&gt;0), I$3 * VLOOKUP($A27, Data_All!$A$8:$CA$153, MATCH(I$2, Data_All!$B$2:$CA$2, 0)+1), "")</f>
        <v/>
      </c>
      <c r="J27" s="206" t="str">
        <f>IF(AND($A27&gt;=SYear_O, $A27&lt;=EYear_O, J$3&gt;0), J$3 * VLOOKUP($A27, Data_All!$A$8:$CA$153, MATCH(J$2, Data_All!$B$2:$CA$2, 0)+1), "")</f>
        <v/>
      </c>
      <c r="K27" s="206" t="str">
        <f>IF(AND($A27&gt;=SYear_O, $A27&lt;=EYear_O, K$3&gt;0), K$3 * VLOOKUP($A27, Data_All!$A$8:$CA$153, MATCH(K$2, Data_All!$B$2:$CA$2, 0)+1), "")</f>
        <v/>
      </c>
      <c r="L27" s="206" t="str">
        <f>IF(AND($A27&gt;=SYear_O, $A27&lt;=EYear_O, L$3&gt;0), L$3 * VLOOKUP($A27, Data_All!$A$8:$CA$153, MATCH(L$2, Data_All!$B$2:$CA$2, 0)+1), "")</f>
        <v/>
      </c>
      <c r="M27" s="206" t="str">
        <f>IF(AND($A27&gt;=SYear_O, $A27&lt;=EYear_O, M$3&gt;0), M$3 * VLOOKUP($A27, Data_All!$A$8:$CA$153, MATCH(M$2, Data_All!$B$2:$CA$2, 0)+1), "")</f>
        <v/>
      </c>
      <c r="N27" s="206" t="str">
        <f>IF(AND($A27&gt;=SYear_O, $A27&lt;=EYear_O, N$3&gt;0), N$3 * VLOOKUP($A27, Data_All!$A$8:$CA$153, MATCH(N$2, Data_All!$B$2:$CA$2, 0)+1), "")</f>
        <v/>
      </c>
      <c r="O27" s="206" t="str">
        <f>IF(AND($A27&gt;=SYear_O, $A27&lt;=EYear_O, O$3&gt;0), O$3 * VLOOKUP($A27, Data_All!$A$8:$CA$153, MATCH(O$2, Data_All!$B$2:$CA$2, 0)+1), "")</f>
        <v/>
      </c>
      <c r="P27" s="206" t="str">
        <f>IF(AND($A27&gt;=SYear_O, $A27&lt;=EYear_O, P$3&gt;0), P$3 * VLOOKUP($A27, Data_All!$A$8:$CA$153, MATCH(P$2, Data_All!$B$2:$CA$2, 0)+1), "")</f>
        <v/>
      </c>
      <c r="Q27" s="206" t="str">
        <f>IF(AND($A27&gt;=SYear_O, $A27&lt;=EYear_O, Q$3&gt;0), Q$3 * VLOOKUP($A27, Data_All!$A$8:$CA$153, MATCH(Q$2, Data_All!$B$2:$CA$2, 0)+1), "")</f>
        <v/>
      </c>
      <c r="R27" s="206" t="str">
        <f>IF(AND($A27&gt;=SYear_O, $A27&lt;=EYear_O, R$3&gt;0), R$3 * VLOOKUP($A27, Data_All!$A$8:$CA$153, MATCH(R$2, Data_All!$B$2:$CA$2, 0)+1), "")</f>
        <v/>
      </c>
      <c r="S27" s="206" t="str">
        <f>IF(AND($A27&gt;=SYear_O, $A27&lt;=EYear_O, S$3&gt;0), S$3 * VLOOKUP($A27, Data_All!$A$8:$CA$153, MATCH(S$2, Data_All!$B$2:$CA$2, 0)+1), "")</f>
        <v/>
      </c>
      <c r="T27" s="206" t="str">
        <f>IF(AND($A27&gt;=SYear_O, $A27&lt;=EYear_O, T$3&gt;0), T$3 * VLOOKUP($A27, Data_All!$A$8:$CA$153, MATCH(T$2, Data_All!$B$2:$CA$2, 0)+1), "")</f>
        <v/>
      </c>
      <c r="U27" s="206" t="str">
        <f>IF(AND($A27&gt;=SYear_O, $A27&lt;=EYear_O, U$3&gt;0), U$3 * VLOOKUP($A27, Data_All!$A$8:$CA$153, MATCH(U$2, Data_All!$B$2:$CA$2, 0)+1), "")</f>
        <v/>
      </c>
      <c r="V27" s="206" t="str">
        <f>IF(AND($A27&gt;=SYear_O, $A27&lt;=EYear_O, V$3&gt;0), V$3 * VLOOKUP($A27, Data_All!$A$8:$CA$153, MATCH(V$2, Data_All!$B$2:$CA$2, 0)+1), "")</f>
        <v/>
      </c>
      <c r="W27" s="206" t="str">
        <f>IF(AND($A27&gt;=SYear_O, $A27&lt;=EYear_O, W$3&gt;0), W$3 * VLOOKUP($A27, Data_All!$A$8:$CA$153, MATCH(W$2, Data_All!$B$2:$CA$2, 0)+1), "")</f>
        <v/>
      </c>
      <c r="X27" s="206" t="str">
        <f>IF(AND($A27&gt;=SYear_O, $A27&lt;=EYear_O, X$3&gt;0), X$3 * VLOOKUP($A27, Data_All!$A$8:$CA$153, MATCH(X$2, Data_All!$B$2:$CA$2, 0)+1), "")</f>
        <v/>
      </c>
      <c r="Y27" s="206" t="str">
        <f>IF(AND($A27&gt;=SYear_O, $A27&lt;=EYear_O, Y$3&gt;0), Y$3 * VLOOKUP($A27, Data_All!$A$8:$CA$153, MATCH(Y$2, Data_All!$B$2:$CA$2, 0)+1), "")</f>
        <v/>
      </c>
      <c r="Z27" s="206" t="str">
        <f>IF(AND($A27&gt;=SYear_O, $A27&lt;=EYear_O, Z$3&gt;0), Z$3 * VLOOKUP($A27, Data_All!$A$8:$CA$153, MATCH(Z$2, Data_All!$B$2:$CA$2, 0)+1), "")</f>
        <v/>
      </c>
      <c r="AA27" s="206" t="str">
        <f>IF(AND($A27&gt;=SYear_O, $A27&lt;=EYear_O, AA$3&gt;0), AA$3 * VLOOKUP($A27, Data_All!$A$8:$CA$153, MATCH(AA$2, Data_All!$B$2:$CA$2, 0)+1), "")</f>
        <v/>
      </c>
      <c r="AB27" s="206" t="str">
        <f>IF(AND($A27&gt;=SYear_O, $A27&lt;=EYear_O, AB$3&gt;0), AB$3 * VLOOKUP($A27, Data_All!$A$8:$CA$153, MATCH(AB$2, Data_All!$B$2:$CA$2, 0)+1), "")</f>
        <v/>
      </c>
      <c r="AC27" s="206" t="str">
        <f>IF(AND($A27&gt;=SYear_O, $A27&lt;=EYear_O, AC$3&gt;0), AC$3 * VLOOKUP($A27, Data_All!$A$8:$CA$153, MATCH(AC$2, Data_All!$B$2:$CA$2, 0)+1), "")</f>
        <v/>
      </c>
      <c r="AD27" s="206" t="str">
        <f>IF(AND($A27&gt;=SYear_O, $A27&lt;=EYear_O, AD$3&gt;0), AD$3 * VLOOKUP($A27, Data_All!$A$8:$CA$153, MATCH(AD$2, Data_All!$B$2:$CA$2, 0)+1), "")</f>
        <v/>
      </c>
      <c r="AE27" s="206" t="str">
        <f>IF(AND($A27&gt;=SYear_O, $A27&lt;=EYear_O, AE$3&gt;0), AE$3 * VLOOKUP($A27, Data_All!$A$8:$CA$153, MATCH(AE$2, Data_All!$B$2:$CA$2, 0)+1), "")</f>
        <v/>
      </c>
      <c r="AF27" s="206" t="str">
        <f>IF(AND($A27&gt;=SYear_O, $A27&lt;=EYear_O, AF$3&gt;0), AF$3 * VLOOKUP($A27, Data_All!$A$8:$CA$153, MATCH(AF$2, Data_All!$B$2:$CA$2, 0)+1), "")</f>
        <v/>
      </c>
      <c r="AG27" s="206" t="str">
        <f>IF(AND($A27&gt;=SYear_O, $A27&lt;=EYear_O, AG$3&gt;0), AG$3 * VLOOKUP($A27, Data_All!$A$8:$CA$153, MATCH(AG$2, Data_All!$B$2:$CA$2, 0)+1), "")</f>
        <v/>
      </c>
      <c r="AH27" s="206" t="str">
        <f>IF(AND($A27&gt;=SYear_O, $A27&lt;=EYear_O, AH$3&gt;0), AH$3 * VLOOKUP($A27, Data_All!$A$8:$CA$153, MATCH(AH$2, Data_All!$B$2:$CA$2, 0)+1), "")</f>
        <v/>
      </c>
      <c r="AI27" s="206" t="str">
        <f>IF(AND($A27&gt;=SYear_O, $A27&lt;=EYear_O, AI$3&gt;0), AI$3 * VLOOKUP($A27, Data_All!$A$8:$CA$153, MATCH(AI$2, Data_All!$B$2:$CA$2, 0)+1), "")</f>
        <v/>
      </c>
      <c r="AJ27" s="206" t="str">
        <f>IF(AND($A27&gt;=SYear_O, $A27&lt;=EYear_O, AJ$3&gt;0), AJ$3 * VLOOKUP($A27, Data_All!$A$8:$CA$153, MATCH(AJ$2, Data_All!$B$2:$CA$2, 0)+1), "")</f>
        <v/>
      </c>
      <c r="AK27" s="206" t="str">
        <f>IF(AND($A27&gt;=SYear_O, $A27&lt;=EYear_O, AK$3&gt;0), AK$3 * VLOOKUP($A27, Data_All!$A$8:$CA$153, MATCH(AK$2, Data_All!$B$2:$CA$2, 0)+1), "")</f>
        <v/>
      </c>
      <c r="AL27" s="206" t="str">
        <f>IF(AND($A27&gt;=SYear_O, $A27&lt;=EYear_O, AL$3&gt;0), AL$3 * VLOOKUP($A27, Data_All!$A$8:$CA$153, MATCH(AL$2, Data_All!$B$2:$CA$2, 0)+1), "")</f>
        <v/>
      </c>
      <c r="AM27" s="206" t="str">
        <f>IF(AND($A27&gt;=SYear_O, $A27&lt;=EYear_O, AM$3&gt;0), AM$3 * VLOOKUP($A27, Data_All!$A$8:$CA$153, MATCH(AM$2, Data_All!$B$2:$CA$2, 0)+1), "")</f>
        <v/>
      </c>
      <c r="AN27" s="206" t="str">
        <f>IF(AND($A27&gt;=SYear_O, $A27&lt;=EYear_O, AN$3&gt;0), AN$3 * VLOOKUP($A27, Data_All!$A$8:$CA$153, MATCH(AN$2, Data_All!$B$2:$CA$2, 0)+1), "")</f>
        <v/>
      </c>
      <c r="AO27" s="206" t="str">
        <f>IF(AND($A27&gt;=SYear_O, $A27&lt;=EYear_O, AO$3&gt;0), AO$3 * VLOOKUP($A27, Data_All!$A$8:$CA$153, MATCH(AO$2, Data_All!$B$2:$CA$2, 0)+1), "")</f>
        <v/>
      </c>
      <c r="AP27" s="206" t="str">
        <f>IF(AND($A27&gt;=SYear_O, $A27&lt;=EYear_O, AP$3&gt;0), AP$3 * VLOOKUP($A27, Data_All!$A$8:$CA$153, MATCH(AP$2, Data_All!$B$2:$CA$2, 0)+1), "")</f>
        <v/>
      </c>
      <c r="AQ27" s="206" t="str">
        <f>IF(AND($A27&gt;=SYear_O, $A27&lt;=EYear_O, AQ$3&gt;0), AQ$3 * VLOOKUP($A27, Data_All!$A$8:$CA$153, MATCH(AQ$2, Data_All!$B$2:$CA$2, 0)+1), "")</f>
        <v/>
      </c>
      <c r="AR27" s="206" t="str">
        <f>IF(AND($A27&gt;=SYear_O, $A27&lt;=EYear_O, AR$3&gt;0), AR$3 * VLOOKUP($A27, Data_All!$A$8:$CA$153, MATCH(AR$2, Data_All!$B$2:$CA$2, 0)+1), "")</f>
        <v/>
      </c>
      <c r="AS27" s="206" t="str">
        <f>IF(AND($A27&gt;=SYear_O, $A27&lt;=EYear_O, AS$3&gt;0), AS$3 * VLOOKUP($A27, Data_All!$A$8:$CA$153, MATCH(AS$2, Data_All!$B$2:$CA$2, 0)+1), "")</f>
        <v/>
      </c>
      <c r="AT27" s="206" t="str">
        <f>IF(AND($A27&gt;=SYear_O, $A27&lt;=EYear_O, AT$3&gt;0), AT$3 * VLOOKUP($A27, Data_All!$A$8:$CA$153, MATCH(AT$2, Data_All!$B$2:$CA$2, 0)+1), "")</f>
        <v/>
      </c>
      <c r="AU27" s="206" t="str">
        <f>IF(AND($A27&gt;=SYear_O, $A27&lt;=EYear_O, AU$3&gt;0), AU$3 * VLOOKUP($A27, Data_All!$A$8:$CA$153, MATCH(AU$2, Data_All!$B$2:$CA$2, 0)+1), "")</f>
        <v/>
      </c>
      <c r="AV27" s="206" t="str">
        <f>IF(AND($A27&gt;=SYear_O, $A27&lt;=EYear_O, AV$3&gt;0), AV$3 * VLOOKUP($A27, Data_All!$A$8:$CA$153, MATCH(AV$2, Data_All!$B$2:$CA$2, 0)+1), "")</f>
        <v/>
      </c>
      <c r="AW27" s="206" t="str">
        <f>IF(AND($A27&gt;=SYear_O, $A27&lt;=EYear_O, AW$3&gt;0), AW$3 * VLOOKUP($A27, Data_All!$A$8:$CA$153, MATCH(AW$2, Data_All!$B$2:$CA$2, 0)+1), "")</f>
        <v/>
      </c>
      <c r="AX27" s="206" t="str">
        <f>IF(AND($A27&gt;=SYear_O, $A27&lt;=EYear_O, AX$3&gt;0), AX$3 * VLOOKUP($A27, Data_All!$A$8:$CA$153, MATCH(AX$2, Data_All!$B$2:$CA$2, 0)+1), "")</f>
        <v/>
      </c>
      <c r="AY27" s="206" t="str">
        <f>IF(AND($A27&gt;=SYear_O, $A27&lt;=EYear_O, AY$3&gt;0), AY$3 * VLOOKUP($A27, Data_All!$A$8:$CA$153, MATCH(AY$2, Data_All!$B$2:$CA$2, 0)+1), "")</f>
        <v/>
      </c>
      <c r="AZ27" s="206" t="str">
        <f>IF(AND($A27&gt;=SYear_O, $A27&lt;=EYear_O, AZ$3&gt;0), AZ$3 * VLOOKUP($A27, Data_All!$A$8:$CA$153, MATCH(AZ$2, Data_All!$B$2:$CA$2, 0)+1), "")</f>
        <v/>
      </c>
      <c r="BA27" s="206" t="str">
        <f>IF(AND($A27&gt;=SYear_O, $A27&lt;=EYear_O, BA$3&gt;0), BA$3 * VLOOKUP($A27, Data_All!$A$8:$CA$153, MATCH(BA$2, Data_All!$B$2:$CA$2, 0)+1), "")</f>
        <v/>
      </c>
      <c r="BB27" s="206" t="str">
        <f>IF(AND($A27&gt;=SYear_O, $A27&lt;=EYear_O, BB$3&gt;0), BB$3 * VLOOKUP($A27, Data_All!$A$8:$CA$153, MATCH(BB$2, Data_All!$B$2:$CA$2, 0)+1), "")</f>
        <v/>
      </c>
      <c r="BC27" s="206" t="str">
        <f>IF(AND($A27&gt;=SYear_O, $A27&lt;=EYear_O, BC$3&gt;0), BC$3 * VLOOKUP($A27, Data_All!$A$8:$CA$153, MATCH(BC$2, Data_All!$B$2:$CA$2, 0)+1), "")</f>
        <v/>
      </c>
      <c r="BD27" s="206" t="str">
        <f>IF(AND($A27&gt;=SYear_O, $A27&lt;=EYear_O, BD$3&gt;0), BD$3 * VLOOKUP($A27, Data_All!$A$8:$CA$153, MATCH(BD$2, Data_All!$B$2:$CA$2, 0)+1), "")</f>
        <v/>
      </c>
      <c r="BE27" s="206" t="str">
        <f>IF(AND($A27&gt;=SYear_O, $A27&lt;=EYear_O, BE$3&gt;0), BE$3 * VLOOKUP($A27, Data_All!$A$8:$CA$153, MATCH(BE$2, Data_All!$B$2:$CA$2, 0)+1), "")</f>
        <v/>
      </c>
      <c r="BF27" s="206" t="str">
        <f>IF(AND($A27&gt;=SYear_O, $A27&lt;=EYear_O, BF$3&gt;0), BF$3 * VLOOKUP($A27, Data_All!$A$8:$CA$153, MATCH(BF$2, Data_All!$B$2:$CA$2, 0)+1), "")</f>
        <v/>
      </c>
      <c r="BG27" s="206" t="str">
        <f>IF(AND($A27&gt;=SYear_O, $A27&lt;=EYear_O, BG$3&gt;0), BG$3 * VLOOKUP($A27, Data_All!$A$8:$CA$153, MATCH(BG$2, Data_All!$B$2:$CA$2, 0)+1), "")</f>
        <v/>
      </c>
      <c r="BH27" s="206" t="str">
        <f>IF(AND($A27&gt;=SYear_O, $A27&lt;=EYear_O, BH$3&gt;0), BH$3 * VLOOKUP($A27, Data_All!$A$8:$CA$153, MATCH(BH$2, Data_All!$B$2:$CA$2, 0)+1), "")</f>
        <v/>
      </c>
      <c r="BI27" s="206" t="str">
        <f>IF(AND($A27&gt;=SYear_O, $A27&lt;=EYear_O, BI$3&gt;0), BI$3 * VLOOKUP($A27, Data_All!$A$8:$CA$153, MATCH(BI$2, Data_All!$B$2:$CA$2, 0)+1), "")</f>
        <v/>
      </c>
      <c r="BJ27" s="206" t="str">
        <f>IF(AND($A27&gt;=SYear_O, $A27&lt;=EYear_O, BJ$3&gt;0), BJ$3 * VLOOKUP($A27, Data_All!$A$8:$CA$153, MATCH(BJ$2, Data_All!$B$2:$CA$2, 0)+1), "")</f>
        <v/>
      </c>
      <c r="BK27" s="206" t="str">
        <f>IF(AND($A27&gt;=SYear_O, $A27&lt;=EYear_O, BK$3&gt;0), BK$3 * VLOOKUP($A27, Data_All!$A$8:$CA$153, MATCH(BK$2, Data_All!$B$2:$CA$2, 0)+1), "")</f>
        <v/>
      </c>
      <c r="BL27" s="206" t="str">
        <f>IF(AND($A27&gt;=SYear_O, $A27&lt;=EYear_O, BL$3&gt;0), BL$3 * VLOOKUP($A27, Data_All!$A$8:$CA$153, MATCH(BL$2, Data_All!$B$2:$CA$2, 0)+1), "")</f>
        <v/>
      </c>
      <c r="BM27" s="206" t="str">
        <f>IF(AND($A27&gt;=SYear_O, $A27&lt;=EYear_O, BM$3&gt;0), BM$3 * VLOOKUP($A27, Data_All!$A$8:$CA$153, MATCH(BM$2, Data_All!$B$2:$CA$2, 0)+1), "")</f>
        <v/>
      </c>
      <c r="BN27" s="206" t="str">
        <f>IF(AND($A27&gt;=SYear_O, $A27&lt;=EYear_O, BN$3&gt;0), BN$3 * VLOOKUP($A27, Data_All!$A$8:$CA$153, MATCH(BN$2, Data_All!$B$2:$CA$2, 0)+1), "")</f>
        <v/>
      </c>
      <c r="BO27" s="206" t="str">
        <f>IF(AND($A27&gt;=SYear_O, $A27&lt;=EYear_O, BO$3&gt;0), BO$3 * VLOOKUP($A27, Data_All!$A$8:$CA$153, MATCH(BO$2, Data_All!$B$2:$CA$2, 0)+1), "")</f>
        <v/>
      </c>
      <c r="BP27" s="206" t="str">
        <f>IF(AND($A27&gt;=SYear_O, $A27&lt;=EYear_O, BP$3&gt;0), BP$3 * VLOOKUP($A27, Data_All!$A$8:$CA$153, MATCH(BP$2, Data_All!$B$2:$CA$2, 0)+1), "")</f>
        <v/>
      </c>
      <c r="BQ27" s="206" t="str">
        <f>IF(AND($A27&gt;=SYear_O, $A27&lt;=EYear_O, BQ$3&gt;0), BQ$3 * VLOOKUP($A27, Data_All!$A$8:$CA$153, MATCH(BQ$2, Data_All!$B$2:$CA$2, 0)+1), "")</f>
        <v/>
      </c>
      <c r="BR27" s="206" t="str">
        <f>IF(AND($A27&gt;=SYear_O, $A27&lt;=EYear_O, BR$3&gt;0), BR$3 * VLOOKUP($A27, Data_All!$A$8:$CA$153, MATCH(BR$2, Data_All!$B$2:$CA$2, 0)+1), "")</f>
        <v/>
      </c>
      <c r="BS27" s="206" t="str">
        <f>IF(AND($A27&gt;=SYear_O, $A27&lt;=EYear_O, BS$3&gt;0), BS$3 * VLOOKUP($A27, Data_All!$A$8:$CA$153, MATCH(BS$2, Data_All!$B$2:$CA$2, 0)+1), "")</f>
        <v/>
      </c>
      <c r="BT27" s="206" t="str">
        <f>IF(AND($A27&gt;=SYear_O, $A27&lt;=EYear_O, BT$3&gt;0), BT$3 * VLOOKUP($A27, Data_All!$A$8:$CA$153, MATCH(BT$2, Data_All!$B$2:$CA$2, 0)+1), "")</f>
        <v/>
      </c>
      <c r="BU27" s="206" t="str">
        <f>IF(AND($A27&gt;=SYear_O, $A27&lt;=EYear_O, BU$3&gt;0), BU$3 * VLOOKUP($A27, Data_All!$A$8:$CA$153, MATCH(BU$2, Data_All!$B$2:$CA$2, 0)+1), "")</f>
        <v/>
      </c>
      <c r="BV27" s="206" t="str">
        <f>IF(AND($A27&gt;=SYear_O, $A27&lt;=EYear_O, BV$3&gt;0), BV$3 * VLOOKUP($A27, Data_All!$A$8:$CA$153, MATCH(BV$2, Data_All!$B$2:$CA$2, 0)+1), "")</f>
        <v/>
      </c>
      <c r="BW27" s="206" t="str">
        <f>IF(AND($A27&gt;=SYear_O, $A27&lt;=EYear_O, BW$3&gt;0), BW$3 * VLOOKUP($A27, Data_All!$A$8:$CA$153, MATCH(BW$2, Data_All!$B$2:$CA$2, 0)+1), "")</f>
        <v/>
      </c>
      <c r="BX27" s="206">
        <f>IF(AND($A27&gt;=SYear_O, $A27&lt;=EYear_O, BX$3&gt;0), BX$3 * VLOOKUP($A27, Data_All!$A$8:$CA$153, MATCH(BX$2, Data_All!$B$2:$CA$2, 0)+1), "")</f>
        <v>11.03305785123967</v>
      </c>
      <c r="BY27" s="206">
        <f>IF(AND($A27&gt;=SYear_O, $A27&lt;=EYear_O, BY$3&gt;0), BY$3 * VLOOKUP($A27, Data_All!$A$8:$CA$153, MATCH(BY$2, Data_All!$B$2:$CA$2, 0)+1), "")</f>
        <v>2.8904324046827323</v>
      </c>
      <c r="BZ27" s="206" t="str">
        <f>IF(AND($A27&gt;=SYear_O, $A27&lt;=EYear_O, BZ$3&gt;0), BZ$3 * VLOOKUP($A27, Data_All!$A$8:$CA$153, MATCH(BZ$2, Data_All!$B$2:$CA$2, 0)+1), "")</f>
        <v/>
      </c>
      <c r="CA27" s="565">
        <f t="shared" si="2"/>
        <v>13.923490255922403</v>
      </c>
      <c r="CB27" s="427">
        <f t="shared" si="3"/>
        <v>33529.598273461357</v>
      </c>
      <c r="CC27" s="565">
        <f>IF(AND($A27&gt;=SYear_O,$A27&lt;=EYear_O),(CA27-Data_All!CA28)/(1+Data_All!CA28%),"")</f>
        <v>21.321138193854484</v>
      </c>
      <c r="CD27" s="436">
        <f t="shared" si="4"/>
        <v>57043.792652364151</v>
      </c>
      <c r="CE27" s="438">
        <f t="shared" si="5"/>
        <v>3.0411090395552711</v>
      </c>
      <c r="CF27" s="438">
        <f>IF(AND($A27&gt;=SYear_O,$A27&lt;=EYear_O),MAX($CE$7:CE27),"")</f>
        <v>3.0411090395552711</v>
      </c>
      <c r="CG27" s="209">
        <f t="shared" si="6"/>
        <v>0</v>
      </c>
      <c r="CI27" s="143">
        <f>IF(AND($A27&gt;=SYear_O,$A27&lt;=EYear_O),Data_All!V28,"")</f>
        <v>5.8747127585173349</v>
      </c>
      <c r="CJ27" s="143">
        <f>IF(AND($A27&gt;=SYear_O,$A27&lt;=EYear_O),Data_All!CA28,"")</f>
        <v>-6.0975754498046815</v>
      </c>
      <c r="CK27" s="143">
        <f t="shared" si="7"/>
        <v>12.749711485801155</v>
      </c>
      <c r="CN27" s="61">
        <f t="shared" si="8"/>
        <v>0.13923490255922411</v>
      </c>
      <c r="CO27" s="61">
        <f t="shared" si="9"/>
        <v>2.984334546695333E-2</v>
      </c>
      <c r="CP27" s="61">
        <f t="shared" si="10"/>
        <v>3.0294723150742442E-2</v>
      </c>
      <c r="CQ27" s="61">
        <f t="shared" si="11"/>
        <v>6.753308683654069E-2</v>
      </c>
      <c r="CR27" s="61">
        <f t="shared" si="12"/>
        <v>7.2004429635868172E-2</v>
      </c>
      <c r="CU27" s="61">
        <f t="shared" si="13"/>
        <v>0.21321138193854483</v>
      </c>
      <c r="CV27" s="61">
        <f t="shared" si="14"/>
        <v>7.5470076725314916E-2</v>
      </c>
      <c r="CW27" s="61">
        <f t="shared" si="15"/>
        <v>6.3419576293735735E-2</v>
      </c>
      <c r="CX27" s="61">
        <f t="shared" si="16"/>
        <v>6.8843811827896007E-2</v>
      </c>
      <c r="CY27" s="61">
        <f t="shared" si="17"/>
        <v>6.616629158864562E-2</v>
      </c>
    </row>
    <row r="28" spans="1:103">
      <c r="A28" s="204">
        <f t="shared" si="18"/>
        <v>1892</v>
      </c>
      <c r="B28" s="206" t="str">
        <f>IF(AND($A28&gt;=SYear_O, $A28&lt;=EYear_O, B$3&gt;0), B$3 * VLOOKUP($A28, Data_All!$A$8:$CA$153, MATCH(B$2, Data_All!$B$2:$CA$2, 0)+1), "")</f>
        <v/>
      </c>
      <c r="C28" s="206" t="str">
        <f>IF(AND($A28&gt;=SYear_O, $A28&lt;=EYear_O, C$3&gt;0), C$3 * VLOOKUP($A28, Data_All!$A$8:$CA$153, MATCH(C$2, Data_All!$B$2:$CA$2, 0)+1), "")</f>
        <v/>
      </c>
      <c r="D28" s="206" t="str">
        <f>IF(AND($A28&gt;=SYear_O, $A28&lt;=EYear_O, D$3&gt;0), D$3 * VLOOKUP($A28, Data_All!$A$8:$CA$153, MATCH(D$2, Data_All!$B$2:$CA$2, 0)+1), "")</f>
        <v/>
      </c>
      <c r="E28" s="206" t="str">
        <f>IF(AND($A28&gt;=SYear_O, $A28&lt;=EYear_O, E$3&gt;0), E$3 * VLOOKUP($A28, Data_All!$A$8:$CA$153, MATCH(E$2, Data_All!$B$2:$CA$2, 0)+1), "")</f>
        <v/>
      </c>
      <c r="F28" s="206" t="str">
        <f>IF(AND($A28&gt;=SYear_O, $A28&lt;=EYear_O, F$3&gt;0), F$3 * VLOOKUP($A28, Data_All!$A$8:$CA$153, MATCH(F$2, Data_All!$B$2:$CA$2, 0)+1), "")</f>
        <v/>
      </c>
      <c r="G28" s="206" t="str">
        <f>IF(AND($A28&gt;=SYear_O, $A28&lt;=EYear_O, G$3&gt;0), G$3 * VLOOKUP($A28, Data_All!$A$8:$CA$153, MATCH(G$2, Data_All!$B$2:$CA$2, 0)+1), "")</f>
        <v/>
      </c>
      <c r="H28" s="206" t="str">
        <f>IF(AND($A28&gt;=SYear_O, $A28&lt;=EYear_O, H$3&gt;0), H$3 * VLOOKUP($A28, Data_All!$A$8:$CA$153, MATCH(H$2, Data_All!$B$2:$CA$2, 0)+1), "")</f>
        <v/>
      </c>
      <c r="I28" s="206" t="str">
        <f>IF(AND($A28&gt;=SYear_O, $A28&lt;=EYear_O, I$3&gt;0), I$3 * VLOOKUP($A28, Data_All!$A$8:$CA$153, MATCH(I$2, Data_All!$B$2:$CA$2, 0)+1), "")</f>
        <v/>
      </c>
      <c r="J28" s="206" t="str">
        <f>IF(AND($A28&gt;=SYear_O, $A28&lt;=EYear_O, J$3&gt;0), J$3 * VLOOKUP($A28, Data_All!$A$8:$CA$153, MATCH(J$2, Data_All!$B$2:$CA$2, 0)+1), "")</f>
        <v/>
      </c>
      <c r="K28" s="206" t="str">
        <f>IF(AND($A28&gt;=SYear_O, $A28&lt;=EYear_O, K$3&gt;0), K$3 * VLOOKUP($A28, Data_All!$A$8:$CA$153, MATCH(K$2, Data_All!$B$2:$CA$2, 0)+1), "")</f>
        <v/>
      </c>
      <c r="L28" s="206" t="str">
        <f>IF(AND($A28&gt;=SYear_O, $A28&lt;=EYear_O, L$3&gt;0), L$3 * VLOOKUP($A28, Data_All!$A$8:$CA$153, MATCH(L$2, Data_All!$B$2:$CA$2, 0)+1), "")</f>
        <v/>
      </c>
      <c r="M28" s="206" t="str">
        <f>IF(AND($A28&gt;=SYear_O, $A28&lt;=EYear_O, M$3&gt;0), M$3 * VLOOKUP($A28, Data_All!$A$8:$CA$153, MATCH(M$2, Data_All!$B$2:$CA$2, 0)+1), "")</f>
        <v/>
      </c>
      <c r="N28" s="206" t="str">
        <f>IF(AND($A28&gt;=SYear_O, $A28&lt;=EYear_O, N$3&gt;0), N$3 * VLOOKUP($A28, Data_All!$A$8:$CA$153, MATCH(N$2, Data_All!$B$2:$CA$2, 0)+1), "")</f>
        <v/>
      </c>
      <c r="O28" s="206" t="str">
        <f>IF(AND($A28&gt;=SYear_O, $A28&lt;=EYear_O, O$3&gt;0), O$3 * VLOOKUP($A28, Data_All!$A$8:$CA$153, MATCH(O$2, Data_All!$B$2:$CA$2, 0)+1), "")</f>
        <v/>
      </c>
      <c r="P28" s="206" t="str">
        <f>IF(AND($A28&gt;=SYear_O, $A28&lt;=EYear_O, P$3&gt;0), P$3 * VLOOKUP($A28, Data_All!$A$8:$CA$153, MATCH(P$2, Data_All!$B$2:$CA$2, 0)+1), "")</f>
        <v/>
      </c>
      <c r="Q28" s="206" t="str">
        <f>IF(AND($A28&gt;=SYear_O, $A28&lt;=EYear_O, Q$3&gt;0), Q$3 * VLOOKUP($A28, Data_All!$A$8:$CA$153, MATCH(Q$2, Data_All!$B$2:$CA$2, 0)+1), "")</f>
        <v/>
      </c>
      <c r="R28" s="206" t="str">
        <f>IF(AND($A28&gt;=SYear_O, $A28&lt;=EYear_O, R$3&gt;0), R$3 * VLOOKUP($A28, Data_All!$A$8:$CA$153, MATCH(R$2, Data_All!$B$2:$CA$2, 0)+1), "")</f>
        <v/>
      </c>
      <c r="S28" s="206" t="str">
        <f>IF(AND($A28&gt;=SYear_O, $A28&lt;=EYear_O, S$3&gt;0), S$3 * VLOOKUP($A28, Data_All!$A$8:$CA$153, MATCH(S$2, Data_All!$B$2:$CA$2, 0)+1), "")</f>
        <v/>
      </c>
      <c r="T28" s="206" t="str">
        <f>IF(AND($A28&gt;=SYear_O, $A28&lt;=EYear_O, T$3&gt;0), T$3 * VLOOKUP($A28, Data_All!$A$8:$CA$153, MATCH(T$2, Data_All!$B$2:$CA$2, 0)+1), "")</f>
        <v/>
      </c>
      <c r="U28" s="206" t="str">
        <f>IF(AND($A28&gt;=SYear_O, $A28&lt;=EYear_O, U$3&gt;0), U$3 * VLOOKUP($A28, Data_All!$A$8:$CA$153, MATCH(U$2, Data_All!$B$2:$CA$2, 0)+1), "")</f>
        <v/>
      </c>
      <c r="V28" s="206" t="str">
        <f>IF(AND($A28&gt;=SYear_O, $A28&lt;=EYear_O, V$3&gt;0), V$3 * VLOOKUP($A28, Data_All!$A$8:$CA$153, MATCH(V$2, Data_All!$B$2:$CA$2, 0)+1), "")</f>
        <v/>
      </c>
      <c r="W28" s="206" t="str">
        <f>IF(AND($A28&gt;=SYear_O, $A28&lt;=EYear_O, W$3&gt;0), W$3 * VLOOKUP($A28, Data_All!$A$8:$CA$153, MATCH(W$2, Data_All!$B$2:$CA$2, 0)+1), "")</f>
        <v/>
      </c>
      <c r="X28" s="206" t="str">
        <f>IF(AND($A28&gt;=SYear_O, $A28&lt;=EYear_O, X$3&gt;0), X$3 * VLOOKUP($A28, Data_All!$A$8:$CA$153, MATCH(X$2, Data_All!$B$2:$CA$2, 0)+1), "")</f>
        <v/>
      </c>
      <c r="Y28" s="206" t="str">
        <f>IF(AND($A28&gt;=SYear_O, $A28&lt;=EYear_O, Y$3&gt;0), Y$3 * VLOOKUP($A28, Data_All!$A$8:$CA$153, MATCH(Y$2, Data_All!$B$2:$CA$2, 0)+1), "")</f>
        <v/>
      </c>
      <c r="Z28" s="206" t="str">
        <f>IF(AND($A28&gt;=SYear_O, $A28&lt;=EYear_O, Z$3&gt;0), Z$3 * VLOOKUP($A28, Data_All!$A$8:$CA$153, MATCH(Z$2, Data_All!$B$2:$CA$2, 0)+1), "")</f>
        <v/>
      </c>
      <c r="AA28" s="206" t="str">
        <f>IF(AND($A28&gt;=SYear_O, $A28&lt;=EYear_O, AA$3&gt;0), AA$3 * VLOOKUP($A28, Data_All!$A$8:$CA$153, MATCH(AA$2, Data_All!$B$2:$CA$2, 0)+1), "")</f>
        <v/>
      </c>
      <c r="AB28" s="206" t="str">
        <f>IF(AND($A28&gt;=SYear_O, $A28&lt;=EYear_O, AB$3&gt;0), AB$3 * VLOOKUP($A28, Data_All!$A$8:$CA$153, MATCH(AB$2, Data_All!$B$2:$CA$2, 0)+1), "")</f>
        <v/>
      </c>
      <c r="AC28" s="206" t="str">
        <f>IF(AND($A28&gt;=SYear_O, $A28&lt;=EYear_O, AC$3&gt;0), AC$3 * VLOOKUP($A28, Data_All!$A$8:$CA$153, MATCH(AC$2, Data_All!$B$2:$CA$2, 0)+1), "")</f>
        <v/>
      </c>
      <c r="AD28" s="206" t="str">
        <f>IF(AND($A28&gt;=SYear_O, $A28&lt;=EYear_O, AD$3&gt;0), AD$3 * VLOOKUP($A28, Data_All!$A$8:$CA$153, MATCH(AD$2, Data_All!$B$2:$CA$2, 0)+1), "")</f>
        <v/>
      </c>
      <c r="AE28" s="206" t="str">
        <f>IF(AND($A28&gt;=SYear_O, $A28&lt;=EYear_O, AE$3&gt;0), AE$3 * VLOOKUP($A28, Data_All!$A$8:$CA$153, MATCH(AE$2, Data_All!$B$2:$CA$2, 0)+1), "")</f>
        <v/>
      </c>
      <c r="AF28" s="206" t="str">
        <f>IF(AND($A28&gt;=SYear_O, $A28&lt;=EYear_O, AF$3&gt;0), AF$3 * VLOOKUP($A28, Data_All!$A$8:$CA$153, MATCH(AF$2, Data_All!$B$2:$CA$2, 0)+1), "")</f>
        <v/>
      </c>
      <c r="AG28" s="206" t="str">
        <f>IF(AND($A28&gt;=SYear_O, $A28&lt;=EYear_O, AG$3&gt;0), AG$3 * VLOOKUP($A28, Data_All!$A$8:$CA$153, MATCH(AG$2, Data_All!$B$2:$CA$2, 0)+1), "")</f>
        <v/>
      </c>
      <c r="AH28" s="206" t="str">
        <f>IF(AND($A28&gt;=SYear_O, $A28&lt;=EYear_O, AH$3&gt;0), AH$3 * VLOOKUP($A28, Data_All!$A$8:$CA$153, MATCH(AH$2, Data_All!$B$2:$CA$2, 0)+1), "")</f>
        <v/>
      </c>
      <c r="AI28" s="206" t="str">
        <f>IF(AND($A28&gt;=SYear_O, $A28&lt;=EYear_O, AI$3&gt;0), AI$3 * VLOOKUP($A28, Data_All!$A$8:$CA$153, MATCH(AI$2, Data_All!$B$2:$CA$2, 0)+1), "")</f>
        <v/>
      </c>
      <c r="AJ28" s="206" t="str">
        <f>IF(AND($A28&gt;=SYear_O, $A28&lt;=EYear_O, AJ$3&gt;0), AJ$3 * VLOOKUP($A28, Data_All!$A$8:$CA$153, MATCH(AJ$2, Data_All!$B$2:$CA$2, 0)+1), "")</f>
        <v/>
      </c>
      <c r="AK28" s="206" t="str">
        <f>IF(AND($A28&gt;=SYear_O, $A28&lt;=EYear_O, AK$3&gt;0), AK$3 * VLOOKUP($A28, Data_All!$A$8:$CA$153, MATCH(AK$2, Data_All!$B$2:$CA$2, 0)+1), "")</f>
        <v/>
      </c>
      <c r="AL28" s="206" t="str">
        <f>IF(AND($A28&gt;=SYear_O, $A28&lt;=EYear_O, AL$3&gt;0), AL$3 * VLOOKUP($A28, Data_All!$A$8:$CA$153, MATCH(AL$2, Data_All!$B$2:$CA$2, 0)+1), "")</f>
        <v/>
      </c>
      <c r="AM28" s="206" t="str">
        <f>IF(AND($A28&gt;=SYear_O, $A28&lt;=EYear_O, AM$3&gt;0), AM$3 * VLOOKUP($A28, Data_All!$A$8:$CA$153, MATCH(AM$2, Data_All!$B$2:$CA$2, 0)+1), "")</f>
        <v/>
      </c>
      <c r="AN28" s="206" t="str">
        <f>IF(AND($A28&gt;=SYear_O, $A28&lt;=EYear_O, AN$3&gt;0), AN$3 * VLOOKUP($A28, Data_All!$A$8:$CA$153, MATCH(AN$2, Data_All!$B$2:$CA$2, 0)+1), "")</f>
        <v/>
      </c>
      <c r="AO28" s="206" t="str">
        <f>IF(AND($A28&gt;=SYear_O, $A28&lt;=EYear_O, AO$3&gt;0), AO$3 * VLOOKUP($A28, Data_All!$A$8:$CA$153, MATCH(AO$2, Data_All!$B$2:$CA$2, 0)+1), "")</f>
        <v/>
      </c>
      <c r="AP28" s="206" t="str">
        <f>IF(AND($A28&gt;=SYear_O, $A28&lt;=EYear_O, AP$3&gt;0), AP$3 * VLOOKUP($A28, Data_All!$A$8:$CA$153, MATCH(AP$2, Data_All!$B$2:$CA$2, 0)+1), "")</f>
        <v/>
      </c>
      <c r="AQ28" s="206" t="str">
        <f>IF(AND($A28&gt;=SYear_O, $A28&lt;=EYear_O, AQ$3&gt;0), AQ$3 * VLOOKUP($A28, Data_All!$A$8:$CA$153, MATCH(AQ$2, Data_All!$B$2:$CA$2, 0)+1), "")</f>
        <v/>
      </c>
      <c r="AR28" s="206" t="str">
        <f>IF(AND($A28&gt;=SYear_O, $A28&lt;=EYear_O, AR$3&gt;0), AR$3 * VLOOKUP($A28, Data_All!$A$8:$CA$153, MATCH(AR$2, Data_All!$B$2:$CA$2, 0)+1), "")</f>
        <v/>
      </c>
      <c r="AS28" s="206" t="str">
        <f>IF(AND($A28&gt;=SYear_O, $A28&lt;=EYear_O, AS$3&gt;0), AS$3 * VLOOKUP($A28, Data_All!$A$8:$CA$153, MATCH(AS$2, Data_All!$B$2:$CA$2, 0)+1), "")</f>
        <v/>
      </c>
      <c r="AT28" s="206" t="str">
        <f>IF(AND($A28&gt;=SYear_O, $A28&lt;=EYear_O, AT$3&gt;0), AT$3 * VLOOKUP($A28, Data_All!$A$8:$CA$153, MATCH(AT$2, Data_All!$B$2:$CA$2, 0)+1), "")</f>
        <v/>
      </c>
      <c r="AU28" s="206" t="str">
        <f>IF(AND($A28&gt;=SYear_O, $A28&lt;=EYear_O, AU$3&gt;0), AU$3 * VLOOKUP($A28, Data_All!$A$8:$CA$153, MATCH(AU$2, Data_All!$B$2:$CA$2, 0)+1), "")</f>
        <v/>
      </c>
      <c r="AV28" s="206" t="str">
        <f>IF(AND($A28&gt;=SYear_O, $A28&lt;=EYear_O, AV$3&gt;0), AV$3 * VLOOKUP($A28, Data_All!$A$8:$CA$153, MATCH(AV$2, Data_All!$B$2:$CA$2, 0)+1), "")</f>
        <v/>
      </c>
      <c r="AW28" s="206" t="str">
        <f>IF(AND($A28&gt;=SYear_O, $A28&lt;=EYear_O, AW$3&gt;0), AW$3 * VLOOKUP($A28, Data_All!$A$8:$CA$153, MATCH(AW$2, Data_All!$B$2:$CA$2, 0)+1), "")</f>
        <v/>
      </c>
      <c r="AX28" s="206" t="str">
        <f>IF(AND($A28&gt;=SYear_O, $A28&lt;=EYear_O, AX$3&gt;0), AX$3 * VLOOKUP($A28, Data_All!$A$8:$CA$153, MATCH(AX$2, Data_All!$B$2:$CA$2, 0)+1), "")</f>
        <v/>
      </c>
      <c r="AY28" s="206" t="str">
        <f>IF(AND($A28&gt;=SYear_O, $A28&lt;=EYear_O, AY$3&gt;0), AY$3 * VLOOKUP($A28, Data_All!$A$8:$CA$153, MATCH(AY$2, Data_All!$B$2:$CA$2, 0)+1), "")</f>
        <v/>
      </c>
      <c r="AZ28" s="206" t="str">
        <f>IF(AND($A28&gt;=SYear_O, $A28&lt;=EYear_O, AZ$3&gt;0), AZ$3 * VLOOKUP($A28, Data_All!$A$8:$CA$153, MATCH(AZ$2, Data_All!$B$2:$CA$2, 0)+1), "")</f>
        <v/>
      </c>
      <c r="BA28" s="206" t="str">
        <f>IF(AND($A28&gt;=SYear_O, $A28&lt;=EYear_O, BA$3&gt;0), BA$3 * VLOOKUP($A28, Data_All!$A$8:$CA$153, MATCH(BA$2, Data_All!$B$2:$CA$2, 0)+1), "")</f>
        <v/>
      </c>
      <c r="BB28" s="206" t="str">
        <f>IF(AND($A28&gt;=SYear_O, $A28&lt;=EYear_O, BB$3&gt;0), BB$3 * VLOOKUP($A28, Data_All!$A$8:$CA$153, MATCH(BB$2, Data_All!$B$2:$CA$2, 0)+1), "")</f>
        <v/>
      </c>
      <c r="BC28" s="206" t="str">
        <f>IF(AND($A28&gt;=SYear_O, $A28&lt;=EYear_O, BC$3&gt;0), BC$3 * VLOOKUP($A28, Data_All!$A$8:$CA$153, MATCH(BC$2, Data_All!$B$2:$CA$2, 0)+1), "")</f>
        <v/>
      </c>
      <c r="BD28" s="206" t="str">
        <f>IF(AND($A28&gt;=SYear_O, $A28&lt;=EYear_O, BD$3&gt;0), BD$3 * VLOOKUP($A28, Data_All!$A$8:$CA$153, MATCH(BD$2, Data_All!$B$2:$CA$2, 0)+1), "")</f>
        <v/>
      </c>
      <c r="BE28" s="206" t="str">
        <f>IF(AND($A28&gt;=SYear_O, $A28&lt;=EYear_O, BE$3&gt;0), BE$3 * VLOOKUP($A28, Data_All!$A$8:$CA$153, MATCH(BE$2, Data_All!$B$2:$CA$2, 0)+1), "")</f>
        <v/>
      </c>
      <c r="BF28" s="206" t="str">
        <f>IF(AND($A28&gt;=SYear_O, $A28&lt;=EYear_O, BF$3&gt;0), BF$3 * VLOOKUP($A28, Data_All!$A$8:$CA$153, MATCH(BF$2, Data_All!$B$2:$CA$2, 0)+1), "")</f>
        <v/>
      </c>
      <c r="BG28" s="206" t="str">
        <f>IF(AND($A28&gt;=SYear_O, $A28&lt;=EYear_O, BG$3&gt;0), BG$3 * VLOOKUP($A28, Data_All!$A$8:$CA$153, MATCH(BG$2, Data_All!$B$2:$CA$2, 0)+1), "")</f>
        <v/>
      </c>
      <c r="BH28" s="206" t="str">
        <f>IF(AND($A28&gt;=SYear_O, $A28&lt;=EYear_O, BH$3&gt;0), BH$3 * VLOOKUP($A28, Data_All!$A$8:$CA$153, MATCH(BH$2, Data_All!$B$2:$CA$2, 0)+1), "")</f>
        <v/>
      </c>
      <c r="BI28" s="206" t="str">
        <f>IF(AND($A28&gt;=SYear_O, $A28&lt;=EYear_O, BI$3&gt;0), BI$3 * VLOOKUP($A28, Data_All!$A$8:$CA$153, MATCH(BI$2, Data_All!$B$2:$CA$2, 0)+1), "")</f>
        <v/>
      </c>
      <c r="BJ28" s="206" t="str">
        <f>IF(AND($A28&gt;=SYear_O, $A28&lt;=EYear_O, BJ$3&gt;0), BJ$3 * VLOOKUP($A28, Data_All!$A$8:$CA$153, MATCH(BJ$2, Data_All!$B$2:$CA$2, 0)+1), "")</f>
        <v/>
      </c>
      <c r="BK28" s="206" t="str">
        <f>IF(AND($A28&gt;=SYear_O, $A28&lt;=EYear_O, BK$3&gt;0), BK$3 * VLOOKUP($A28, Data_All!$A$8:$CA$153, MATCH(BK$2, Data_All!$B$2:$CA$2, 0)+1), "")</f>
        <v/>
      </c>
      <c r="BL28" s="206" t="str">
        <f>IF(AND($A28&gt;=SYear_O, $A28&lt;=EYear_O, BL$3&gt;0), BL$3 * VLOOKUP($A28, Data_All!$A$8:$CA$153, MATCH(BL$2, Data_All!$B$2:$CA$2, 0)+1), "")</f>
        <v/>
      </c>
      <c r="BM28" s="206" t="str">
        <f>IF(AND($A28&gt;=SYear_O, $A28&lt;=EYear_O, BM$3&gt;0), BM$3 * VLOOKUP($A28, Data_All!$A$8:$CA$153, MATCH(BM$2, Data_All!$B$2:$CA$2, 0)+1), "")</f>
        <v/>
      </c>
      <c r="BN28" s="206" t="str">
        <f>IF(AND($A28&gt;=SYear_O, $A28&lt;=EYear_O, BN$3&gt;0), BN$3 * VLOOKUP($A28, Data_All!$A$8:$CA$153, MATCH(BN$2, Data_All!$B$2:$CA$2, 0)+1), "")</f>
        <v/>
      </c>
      <c r="BO28" s="206" t="str">
        <f>IF(AND($A28&gt;=SYear_O, $A28&lt;=EYear_O, BO$3&gt;0), BO$3 * VLOOKUP($A28, Data_All!$A$8:$CA$153, MATCH(BO$2, Data_All!$B$2:$CA$2, 0)+1), "")</f>
        <v/>
      </c>
      <c r="BP28" s="206" t="str">
        <f>IF(AND($A28&gt;=SYear_O, $A28&lt;=EYear_O, BP$3&gt;0), BP$3 * VLOOKUP($A28, Data_All!$A$8:$CA$153, MATCH(BP$2, Data_All!$B$2:$CA$2, 0)+1), "")</f>
        <v/>
      </c>
      <c r="BQ28" s="206" t="str">
        <f>IF(AND($A28&gt;=SYear_O, $A28&lt;=EYear_O, BQ$3&gt;0), BQ$3 * VLOOKUP($A28, Data_All!$A$8:$CA$153, MATCH(BQ$2, Data_All!$B$2:$CA$2, 0)+1), "")</f>
        <v/>
      </c>
      <c r="BR28" s="206" t="str">
        <f>IF(AND($A28&gt;=SYear_O, $A28&lt;=EYear_O, BR$3&gt;0), BR$3 * VLOOKUP($A28, Data_All!$A$8:$CA$153, MATCH(BR$2, Data_All!$B$2:$CA$2, 0)+1), "")</f>
        <v/>
      </c>
      <c r="BS28" s="206" t="str">
        <f>IF(AND($A28&gt;=SYear_O, $A28&lt;=EYear_O, BS$3&gt;0), BS$3 * VLOOKUP($A28, Data_All!$A$8:$CA$153, MATCH(BS$2, Data_All!$B$2:$CA$2, 0)+1), "")</f>
        <v/>
      </c>
      <c r="BT28" s="206" t="str">
        <f>IF(AND($A28&gt;=SYear_O, $A28&lt;=EYear_O, BT$3&gt;0), BT$3 * VLOOKUP($A28, Data_All!$A$8:$CA$153, MATCH(BT$2, Data_All!$B$2:$CA$2, 0)+1), "")</f>
        <v/>
      </c>
      <c r="BU28" s="206" t="str">
        <f>IF(AND($A28&gt;=SYear_O, $A28&lt;=EYear_O, BU$3&gt;0), BU$3 * VLOOKUP($A28, Data_All!$A$8:$CA$153, MATCH(BU$2, Data_All!$B$2:$CA$2, 0)+1), "")</f>
        <v/>
      </c>
      <c r="BV28" s="206" t="str">
        <f>IF(AND($A28&gt;=SYear_O, $A28&lt;=EYear_O, BV$3&gt;0), BV$3 * VLOOKUP($A28, Data_All!$A$8:$CA$153, MATCH(BV$2, Data_All!$B$2:$CA$2, 0)+1), "")</f>
        <v/>
      </c>
      <c r="BW28" s="206" t="str">
        <f>IF(AND($A28&gt;=SYear_O, $A28&lt;=EYear_O, BW$3&gt;0), BW$3 * VLOOKUP($A28, Data_All!$A$8:$CA$153, MATCH(BW$2, Data_All!$B$2:$CA$2, 0)+1), "")</f>
        <v/>
      </c>
      <c r="BX28" s="206">
        <f>IF(AND($A28&gt;=SYear_O, $A28&lt;=EYear_O, BX$3&gt;0), BX$3 * VLOOKUP($A28, Data_All!$A$8:$CA$153, MATCH(BX$2, Data_All!$B$2:$CA$2, 0)+1), "")</f>
        <v>3.7023593466424742</v>
      </c>
      <c r="BY28" s="206">
        <f>IF(AND($A28&gt;=SYear_O, $A28&lt;=EYear_O, BY$3&gt;0), BY$3 * VLOOKUP($A28, Data_All!$A$8:$CA$153, MATCH(BY$2, Data_All!$B$2:$CA$2, 0)+1), "")</f>
        <v>-1.8819118398224035</v>
      </c>
      <c r="BZ28" s="206" t="str">
        <f>IF(AND($A28&gt;=SYear_O, $A28&lt;=EYear_O, BZ$3&gt;0), BZ$3 * VLOOKUP($A28, Data_All!$A$8:$CA$153, MATCH(BZ$2, Data_All!$B$2:$CA$2, 0)+1), "")</f>
        <v/>
      </c>
      <c r="CA28" s="565">
        <f t="shared" si="2"/>
        <v>1.8204475068200707</v>
      </c>
      <c r="CB28" s="427">
        <f t="shared" si="3"/>
        <v>34139.987009277371</v>
      </c>
      <c r="CC28" s="565">
        <f>IF(AND($A28&gt;=SYear_O,$A28&lt;=EYear_O),(CA28-Data_All!CA29)/(1+Data_All!CA29%),"")</f>
        <v>-5.5401227872186309</v>
      </c>
      <c r="CD28" s="436">
        <f t="shared" si="4"/>
        <v>53883.496496936779</v>
      </c>
      <c r="CE28" s="438">
        <f t="shared" si="5"/>
        <v>3.0964708332455348</v>
      </c>
      <c r="CF28" s="438">
        <f>IF(AND($A28&gt;=SYear_O,$A28&lt;=EYear_O),MAX($CE$7:CE28),"")</f>
        <v>3.0964708332455348</v>
      </c>
      <c r="CG28" s="209">
        <f t="shared" si="6"/>
        <v>0</v>
      </c>
      <c r="CI28" s="143">
        <f>IF(AND($A28&gt;=SYear_O,$A28&lt;=EYear_O),Data_All!V29,"")</f>
        <v>3.8365471076031579</v>
      </c>
      <c r="CJ28" s="143">
        <f>IF(AND($A28&gt;=SYear_O,$A28&lt;=EYear_O),Data_All!CA29,"")</f>
        <v>7.792271714961263</v>
      </c>
      <c r="CK28" s="143">
        <f t="shared" si="7"/>
        <v>-3.6697664354067618</v>
      </c>
      <c r="CN28" s="61">
        <f t="shared" si="8"/>
        <v>1.8204475068200665E-2</v>
      </c>
      <c r="CO28" s="61">
        <f t="shared" si="9"/>
        <v>-1.3712923873668847E-3</v>
      </c>
      <c r="CP28" s="61">
        <f t="shared" si="10"/>
        <v>1.3874998498747626E-2</v>
      </c>
      <c r="CQ28" s="61">
        <f t="shared" si="11"/>
        <v>6.6122604317473854E-2</v>
      </c>
      <c r="CR28" s="61">
        <f t="shared" si="12"/>
        <v>6.3461938444834942E-2</v>
      </c>
      <c r="CU28" s="61">
        <f t="shared" si="13"/>
        <v>-5.5401227872186265E-2</v>
      </c>
      <c r="CV28" s="61">
        <f t="shared" si="14"/>
        <v>3.5820468521555959E-2</v>
      </c>
      <c r="CW28" s="61">
        <f t="shared" si="15"/>
        <v>3.9395328259760554E-2</v>
      </c>
      <c r="CX28" s="61">
        <f t="shared" si="16"/>
        <v>5.8152808694350355E-2</v>
      </c>
      <c r="CY28" s="61">
        <f t="shared" si="17"/>
        <v>5.0161064455789495E-2</v>
      </c>
    </row>
    <row r="29" spans="1:103">
      <c r="A29" s="204">
        <f t="shared" si="18"/>
        <v>1893</v>
      </c>
      <c r="B29" s="206" t="str">
        <f>IF(AND($A29&gt;=SYear_O, $A29&lt;=EYear_O, B$3&gt;0), B$3 * VLOOKUP($A29, Data_All!$A$8:$CA$153, MATCH(B$2, Data_All!$B$2:$CA$2, 0)+1), "")</f>
        <v/>
      </c>
      <c r="C29" s="206" t="str">
        <f>IF(AND($A29&gt;=SYear_O, $A29&lt;=EYear_O, C$3&gt;0), C$3 * VLOOKUP($A29, Data_All!$A$8:$CA$153, MATCH(C$2, Data_All!$B$2:$CA$2, 0)+1), "")</f>
        <v/>
      </c>
      <c r="D29" s="206" t="str">
        <f>IF(AND($A29&gt;=SYear_O, $A29&lt;=EYear_O, D$3&gt;0), D$3 * VLOOKUP($A29, Data_All!$A$8:$CA$153, MATCH(D$2, Data_All!$B$2:$CA$2, 0)+1), "")</f>
        <v/>
      </c>
      <c r="E29" s="206" t="str">
        <f>IF(AND($A29&gt;=SYear_O, $A29&lt;=EYear_O, E$3&gt;0), E$3 * VLOOKUP($A29, Data_All!$A$8:$CA$153, MATCH(E$2, Data_All!$B$2:$CA$2, 0)+1), "")</f>
        <v/>
      </c>
      <c r="F29" s="206" t="str">
        <f>IF(AND($A29&gt;=SYear_O, $A29&lt;=EYear_O, F$3&gt;0), F$3 * VLOOKUP($A29, Data_All!$A$8:$CA$153, MATCH(F$2, Data_All!$B$2:$CA$2, 0)+1), "")</f>
        <v/>
      </c>
      <c r="G29" s="206" t="str">
        <f>IF(AND($A29&gt;=SYear_O, $A29&lt;=EYear_O, G$3&gt;0), G$3 * VLOOKUP($A29, Data_All!$A$8:$CA$153, MATCH(G$2, Data_All!$B$2:$CA$2, 0)+1), "")</f>
        <v/>
      </c>
      <c r="H29" s="206" t="str">
        <f>IF(AND($A29&gt;=SYear_O, $A29&lt;=EYear_O, H$3&gt;0), H$3 * VLOOKUP($A29, Data_All!$A$8:$CA$153, MATCH(H$2, Data_All!$B$2:$CA$2, 0)+1), "")</f>
        <v/>
      </c>
      <c r="I29" s="206" t="str">
        <f>IF(AND($A29&gt;=SYear_O, $A29&lt;=EYear_O, I$3&gt;0), I$3 * VLOOKUP($A29, Data_All!$A$8:$CA$153, MATCH(I$2, Data_All!$B$2:$CA$2, 0)+1), "")</f>
        <v/>
      </c>
      <c r="J29" s="206" t="str">
        <f>IF(AND($A29&gt;=SYear_O, $A29&lt;=EYear_O, J$3&gt;0), J$3 * VLOOKUP($A29, Data_All!$A$8:$CA$153, MATCH(J$2, Data_All!$B$2:$CA$2, 0)+1), "")</f>
        <v/>
      </c>
      <c r="K29" s="206" t="str">
        <f>IF(AND($A29&gt;=SYear_O, $A29&lt;=EYear_O, K$3&gt;0), K$3 * VLOOKUP($A29, Data_All!$A$8:$CA$153, MATCH(K$2, Data_All!$B$2:$CA$2, 0)+1), "")</f>
        <v/>
      </c>
      <c r="L29" s="206" t="str">
        <f>IF(AND($A29&gt;=SYear_O, $A29&lt;=EYear_O, L$3&gt;0), L$3 * VLOOKUP($A29, Data_All!$A$8:$CA$153, MATCH(L$2, Data_All!$B$2:$CA$2, 0)+1), "")</f>
        <v/>
      </c>
      <c r="M29" s="206" t="str">
        <f>IF(AND($A29&gt;=SYear_O, $A29&lt;=EYear_O, M$3&gt;0), M$3 * VLOOKUP($A29, Data_All!$A$8:$CA$153, MATCH(M$2, Data_All!$B$2:$CA$2, 0)+1), "")</f>
        <v/>
      </c>
      <c r="N29" s="206" t="str">
        <f>IF(AND($A29&gt;=SYear_O, $A29&lt;=EYear_O, N$3&gt;0), N$3 * VLOOKUP($A29, Data_All!$A$8:$CA$153, MATCH(N$2, Data_All!$B$2:$CA$2, 0)+1), "")</f>
        <v/>
      </c>
      <c r="O29" s="206" t="str">
        <f>IF(AND($A29&gt;=SYear_O, $A29&lt;=EYear_O, O$3&gt;0), O$3 * VLOOKUP($A29, Data_All!$A$8:$CA$153, MATCH(O$2, Data_All!$B$2:$CA$2, 0)+1), "")</f>
        <v/>
      </c>
      <c r="P29" s="206" t="str">
        <f>IF(AND($A29&gt;=SYear_O, $A29&lt;=EYear_O, P$3&gt;0), P$3 * VLOOKUP($A29, Data_All!$A$8:$CA$153, MATCH(P$2, Data_All!$B$2:$CA$2, 0)+1), "")</f>
        <v/>
      </c>
      <c r="Q29" s="206" t="str">
        <f>IF(AND($A29&gt;=SYear_O, $A29&lt;=EYear_O, Q$3&gt;0), Q$3 * VLOOKUP($A29, Data_All!$A$8:$CA$153, MATCH(Q$2, Data_All!$B$2:$CA$2, 0)+1), "")</f>
        <v/>
      </c>
      <c r="R29" s="206" t="str">
        <f>IF(AND($A29&gt;=SYear_O, $A29&lt;=EYear_O, R$3&gt;0), R$3 * VLOOKUP($A29, Data_All!$A$8:$CA$153, MATCH(R$2, Data_All!$B$2:$CA$2, 0)+1), "")</f>
        <v/>
      </c>
      <c r="S29" s="206" t="str">
        <f>IF(AND($A29&gt;=SYear_O, $A29&lt;=EYear_O, S$3&gt;0), S$3 * VLOOKUP($A29, Data_All!$A$8:$CA$153, MATCH(S$2, Data_All!$B$2:$CA$2, 0)+1), "")</f>
        <v/>
      </c>
      <c r="T29" s="206" t="str">
        <f>IF(AND($A29&gt;=SYear_O, $A29&lt;=EYear_O, T$3&gt;0), T$3 * VLOOKUP($A29, Data_All!$A$8:$CA$153, MATCH(T$2, Data_All!$B$2:$CA$2, 0)+1), "")</f>
        <v/>
      </c>
      <c r="U29" s="206" t="str">
        <f>IF(AND($A29&gt;=SYear_O, $A29&lt;=EYear_O, U$3&gt;0), U$3 * VLOOKUP($A29, Data_All!$A$8:$CA$153, MATCH(U$2, Data_All!$B$2:$CA$2, 0)+1), "")</f>
        <v/>
      </c>
      <c r="V29" s="206" t="str">
        <f>IF(AND($A29&gt;=SYear_O, $A29&lt;=EYear_O, V$3&gt;0), V$3 * VLOOKUP($A29, Data_All!$A$8:$CA$153, MATCH(V$2, Data_All!$B$2:$CA$2, 0)+1), "")</f>
        <v/>
      </c>
      <c r="W29" s="206" t="str">
        <f>IF(AND($A29&gt;=SYear_O, $A29&lt;=EYear_O, W$3&gt;0), W$3 * VLOOKUP($A29, Data_All!$A$8:$CA$153, MATCH(W$2, Data_All!$B$2:$CA$2, 0)+1), "")</f>
        <v/>
      </c>
      <c r="X29" s="206" t="str">
        <f>IF(AND($A29&gt;=SYear_O, $A29&lt;=EYear_O, X$3&gt;0), X$3 * VLOOKUP($A29, Data_All!$A$8:$CA$153, MATCH(X$2, Data_All!$B$2:$CA$2, 0)+1), "")</f>
        <v/>
      </c>
      <c r="Y29" s="206" t="str">
        <f>IF(AND($A29&gt;=SYear_O, $A29&lt;=EYear_O, Y$3&gt;0), Y$3 * VLOOKUP($A29, Data_All!$A$8:$CA$153, MATCH(Y$2, Data_All!$B$2:$CA$2, 0)+1), "")</f>
        <v/>
      </c>
      <c r="Z29" s="206" t="str">
        <f>IF(AND($A29&gt;=SYear_O, $A29&lt;=EYear_O, Z$3&gt;0), Z$3 * VLOOKUP($A29, Data_All!$A$8:$CA$153, MATCH(Z$2, Data_All!$B$2:$CA$2, 0)+1), "")</f>
        <v/>
      </c>
      <c r="AA29" s="206" t="str">
        <f>IF(AND($A29&gt;=SYear_O, $A29&lt;=EYear_O, AA$3&gt;0), AA$3 * VLOOKUP($A29, Data_All!$A$8:$CA$153, MATCH(AA$2, Data_All!$B$2:$CA$2, 0)+1), "")</f>
        <v/>
      </c>
      <c r="AB29" s="206" t="str">
        <f>IF(AND($A29&gt;=SYear_O, $A29&lt;=EYear_O, AB$3&gt;0), AB$3 * VLOOKUP($A29, Data_All!$A$8:$CA$153, MATCH(AB$2, Data_All!$B$2:$CA$2, 0)+1), "")</f>
        <v/>
      </c>
      <c r="AC29" s="206" t="str">
        <f>IF(AND($A29&gt;=SYear_O, $A29&lt;=EYear_O, AC$3&gt;0), AC$3 * VLOOKUP($A29, Data_All!$A$8:$CA$153, MATCH(AC$2, Data_All!$B$2:$CA$2, 0)+1), "")</f>
        <v/>
      </c>
      <c r="AD29" s="206" t="str">
        <f>IF(AND($A29&gt;=SYear_O, $A29&lt;=EYear_O, AD$3&gt;0), AD$3 * VLOOKUP($A29, Data_All!$A$8:$CA$153, MATCH(AD$2, Data_All!$B$2:$CA$2, 0)+1), "")</f>
        <v/>
      </c>
      <c r="AE29" s="206" t="str">
        <f>IF(AND($A29&gt;=SYear_O, $A29&lt;=EYear_O, AE$3&gt;0), AE$3 * VLOOKUP($A29, Data_All!$A$8:$CA$153, MATCH(AE$2, Data_All!$B$2:$CA$2, 0)+1), "")</f>
        <v/>
      </c>
      <c r="AF29" s="206" t="str">
        <f>IF(AND($A29&gt;=SYear_O, $A29&lt;=EYear_O, AF$3&gt;0), AF$3 * VLOOKUP($A29, Data_All!$A$8:$CA$153, MATCH(AF$2, Data_All!$B$2:$CA$2, 0)+1), "")</f>
        <v/>
      </c>
      <c r="AG29" s="206" t="str">
        <f>IF(AND($A29&gt;=SYear_O, $A29&lt;=EYear_O, AG$3&gt;0), AG$3 * VLOOKUP($A29, Data_All!$A$8:$CA$153, MATCH(AG$2, Data_All!$B$2:$CA$2, 0)+1), "")</f>
        <v/>
      </c>
      <c r="AH29" s="206" t="str">
        <f>IF(AND($A29&gt;=SYear_O, $A29&lt;=EYear_O, AH$3&gt;0), AH$3 * VLOOKUP($A29, Data_All!$A$8:$CA$153, MATCH(AH$2, Data_All!$B$2:$CA$2, 0)+1), "")</f>
        <v/>
      </c>
      <c r="AI29" s="206" t="str">
        <f>IF(AND($A29&gt;=SYear_O, $A29&lt;=EYear_O, AI$3&gt;0), AI$3 * VLOOKUP($A29, Data_All!$A$8:$CA$153, MATCH(AI$2, Data_All!$B$2:$CA$2, 0)+1), "")</f>
        <v/>
      </c>
      <c r="AJ29" s="206" t="str">
        <f>IF(AND($A29&gt;=SYear_O, $A29&lt;=EYear_O, AJ$3&gt;0), AJ$3 * VLOOKUP($A29, Data_All!$A$8:$CA$153, MATCH(AJ$2, Data_All!$B$2:$CA$2, 0)+1), "")</f>
        <v/>
      </c>
      <c r="AK29" s="206" t="str">
        <f>IF(AND($A29&gt;=SYear_O, $A29&lt;=EYear_O, AK$3&gt;0), AK$3 * VLOOKUP($A29, Data_All!$A$8:$CA$153, MATCH(AK$2, Data_All!$B$2:$CA$2, 0)+1), "")</f>
        <v/>
      </c>
      <c r="AL29" s="206" t="str">
        <f>IF(AND($A29&gt;=SYear_O, $A29&lt;=EYear_O, AL$3&gt;0), AL$3 * VLOOKUP($A29, Data_All!$A$8:$CA$153, MATCH(AL$2, Data_All!$B$2:$CA$2, 0)+1), "")</f>
        <v/>
      </c>
      <c r="AM29" s="206" t="str">
        <f>IF(AND($A29&gt;=SYear_O, $A29&lt;=EYear_O, AM$3&gt;0), AM$3 * VLOOKUP($A29, Data_All!$A$8:$CA$153, MATCH(AM$2, Data_All!$B$2:$CA$2, 0)+1), "")</f>
        <v/>
      </c>
      <c r="AN29" s="206" t="str">
        <f>IF(AND($A29&gt;=SYear_O, $A29&lt;=EYear_O, AN$3&gt;0), AN$3 * VLOOKUP($A29, Data_All!$A$8:$CA$153, MATCH(AN$2, Data_All!$B$2:$CA$2, 0)+1), "")</f>
        <v/>
      </c>
      <c r="AO29" s="206" t="str">
        <f>IF(AND($A29&gt;=SYear_O, $A29&lt;=EYear_O, AO$3&gt;0), AO$3 * VLOOKUP($A29, Data_All!$A$8:$CA$153, MATCH(AO$2, Data_All!$B$2:$CA$2, 0)+1), "")</f>
        <v/>
      </c>
      <c r="AP29" s="206" t="str">
        <f>IF(AND($A29&gt;=SYear_O, $A29&lt;=EYear_O, AP$3&gt;0), AP$3 * VLOOKUP($A29, Data_All!$A$8:$CA$153, MATCH(AP$2, Data_All!$B$2:$CA$2, 0)+1), "")</f>
        <v/>
      </c>
      <c r="AQ29" s="206" t="str">
        <f>IF(AND($A29&gt;=SYear_O, $A29&lt;=EYear_O, AQ$3&gt;0), AQ$3 * VLOOKUP($A29, Data_All!$A$8:$CA$153, MATCH(AQ$2, Data_All!$B$2:$CA$2, 0)+1), "")</f>
        <v/>
      </c>
      <c r="AR29" s="206" t="str">
        <f>IF(AND($A29&gt;=SYear_O, $A29&lt;=EYear_O, AR$3&gt;0), AR$3 * VLOOKUP($A29, Data_All!$A$8:$CA$153, MATCH(AR$2, Data_All!$B$2:$CA$2, 0)+1), "")</f>
        <v/>
      </c>
      <c r="AS29" s="206" t="str">
        <f>IF(AND($A29&gt;=SYear_O, $A29&lt;=EYear_O, AS$3&gt;0), AS$3 * VLOOKUP($A29, Data_All!$A$8:$CA$153, MATCH(AS$2, Data_All!$B$2:$CA$2, 0)+1), "")</f>
        <v/>
      </c>
      <c r="AT29" s="206" t="str">
        <f>IF(AND($A29&gt;=SYear_O, $A29&lt;=EYear_O, AT$3&gt;0), AT$3 * VLOOKUP($A29, Data_All!$A$8:$CA$153, MATCH(AT$2, Data_All!$B$2:$CA$2, 0)+1), "")</f>
        <v/>
      </c>
      <c r="AU29" s="206" t="str">
        <f>IF(AND($A29&gt;=SYear_O, $A29&lt;=EYear_O, AU$3&gt;0), AU$3 * VLOOKUP($A29, Data_All!$A$8:$CA$153, MATCH(AU$2, Data_All!$B$2:$CA$2, 0)+1), "")</f>
        <v/>
      </c>
      <c r="AV29" s="206" t="str">
        <f>IF(AND($A29&gt;=SYear_O, $A29&lt;=EYear_O, AV$3&gt;0), AV$3 * VLOOKUP($A29, Data_All!$A$8:$CA$153, MATCH(AV$2, Data_All!$B$2:$CA$2, 0)+1), "")</f>
        <v/>
      </c>
      <c r="AW29" s="206" t="str">
        <f>IF(AND($A29&gt;=SYear_O, $A29&lt;=EYear_O, AW$3&gt;0), AW$3 * VLOOKUP($A29, Data_All!$A$8:$CA$153, MATCH(AW$2, Data_All!$B$2:$CA$2, 0)+1), "")</f>
        <v/>
      </c>
      <c r="AX29" s="206" t="str">
        <f>IF(AND($A29&gt;=SYear_O, $A29&lt;=EYear_O, AX$3&gt;0), AX$3 * VLOOKUP($A29, Data_All!$A$8:$CA$153, MATCH(AX$2, Data_All!$B$2:$CA$2, 0)+1), "")</f>
        <v/>
      </c>
      <c r="AY29" s="206" t="str">
        <f>IF(AND($A29&gt;=SYear_O, $A29&lt;=EYear_O, AY$3&gt;0), AY$3 * VLOOKUP($A29, Data_All!$A$8:$CA$153, MATCH(AY$2, Data_All!$B$2:$CA$2, 0)+1), "")</f>
        <v/>
      </c>
      <c r="AZ29" s="206" t="str">
        <f>IF(AND($A29&gt;=SYear_O, $A29&lt;=EYear_O, AZ$3&gt;0), AZ$3 * VLOOKUP($A29, Data_All!$A$8:$CA$153, MATCH(AZ$2, Data_All!$B$2:$CA$2, 0)+1), "")</f>
        <v/>
      </c>
      <c r="BA29" s="206" t="str">
        <f>IF(AND($A29&gt;=SYear_O, $A29&lt;=EYear_O, BA$3&gt;0), BA$3 * VLOOKUP($A29, Data_All!$A$8:$CA$153, MATCH(BA$2, Data_All!$B$2:$CA$2, 0)+1), "")</f>
        <v/>
      </c>
      <c r="BB29" s="206" t="str">
        <f>IF(AND($A29&gt;=SYear_O, $A29&lt;=EYear_O, BB$3&gt;0), BB$3 * VLOOKUP($A29, Data_All!$A$8:$CA$153, MATCH(BB$2, Data_All!$B$2:$CA$2, 0)+1), "")</f>
        <v/>
      </c>
      <c r="BC29" s="206" t="str">
        <f>IF(AND($A29&gt;=SYear_O, $A29&lt;=EYear_O, BC$3&gt;0), BC$3 * VLOOKUP($A29, Data_All!$A$8:$CA$153, MATCH(BC$2, Data_All!$B$2:$CA$2, 0)+1), "")</f>
        <v/>
      </c>
      <c r="BD29" s="206" t="str">
        <f>IF(AND($A29&gt;=SYear_O, $A29&lt;=EYear_O, BD$3&gt;0), BD$3 * VLOOKUP($A29, Data_All!$A$8:$CA$153, MATCH(BD$2, Data_All!$B$2:$CA$2, 0)+1), "")</f>
        <v/>
      </c>
      <c r="BE29" s="206" t="str">
        <f>IF(AND($A29&gt;=SYear_O, $A29&lt;=EYear_O, BE$3&gt;0), BE$3 * VLOOKUP($A29, Data_All!$A$8:$CA$153, MATCH(BE$2, Data_All!$B$2:$CA$2, 0)+1), "")</f>
        <v/>
      </c>
      <c r="BF29" s="206" t="str">
        <f>IF(AND($A29&gt;=SYear_O, $A29&lt;=EYear_O, BF$3&gt;0), BF$3 * VLOOKUP($A29, Data_All!$A$8:$CA$153, MATCH(BF$2, Data_All!$B$2:$CA$2, 0)+1), "")</f>
        <v/>
      </c>
      <c r="BG29" s="206" t="str">
        <f>IF(AND($A29&gt;=SYear_O, $A29&lt;=EYear_O, BG$3&gt;0), BG$3 * VLOOKUP($A29, Data_All!$A$8:$CA$153, MATCH(BG$2, Data_All!$B$2:$CA$2, 0)+1), "")</f>
        <v/>
      </c>
      <c r="BH29" s="206" t="str">
        <f>IF(AND($A29&gt;=SYear_O, $A29&lt;=EYear_O, BH$3&gt;0), BH$3 * VLOOKUP($A29, Data_All!$A$8:$CA$153, MATCH(BH$2, Data_All!$B$2:$CA$2, 0)+1), "")</f>
        <v/>
      </c>
      <c r="BI29" s="206" t="str">
        <f>IF(AND($A29&gt;=SYear_O, $A29&lt;=EYear_O, BI$3&gt;0), BI$3 * VLOOKUP($A29, Data_All!$A$8:$CA$153, MATCH(BI$2, Data_All!$B$2:$CA$2, 0)+1), "")</f>
        <v/>
      </c>
      <c r="BJ29" s="206" t="str">
        <f>IF(AND($A29&gt;=SYear_O, $A29&lt;=EYear_O, BJ$3&gt;0), BJ$3 * VLOOKUP($A29, Data_All!$A$8:$CA$153, MATCH(BJ$2, Data_All!$B$2:$CA$2, 0)+1), "")</f>
        <v/>
      </c>
      <c r="BK29" s="206" t="str">
        <f>IF(AND($A29&gt;=SYear_O, $A29&lt;=EYear_O, BK$3&gt;0), BK$3 * VLOOKUP($A29, Data_All!$A$8:$CA$153, MATCH(BK$2, Data_All!$B$2:$CA$2, 0)+1), "")</f>
        <v/>
      </c>
      <c r="BL29" s="206" t="str">
        <f>IF(AND($A29&gt;=SYear_O, $A29&lt;=EYear_O, BL$3&gt;0), BL$3 * VLOOKUP($A29, Data_All!$A$8:$CA$153, MATCH(BL$2, Data_All!$B$2:$CA$2, 0)+1), "")</f>
        <v/>
      </c>
      <c r="BM29" s="206" t="str">
        <f>IF(AND($A29&gt;=SYear_O, $A29&lt;=EYear_O, BM$3&gt;0), BM$3 * VLOOKUP($A29, Data_All!$A$8:$CA$153, MATCH(BM$2, Data_All!$B$2:$CA$2, 0)+1), "")</f>
        <v/>
      </c>
      <c r="BN29" s="206" t="str">
        <f>IF(AND($A29&gt;=SYear_O, $A29&lt;=EYear_O, BN$3&gt;0), BN$3 * VLOOKUP($A29, Data_All!$A$8:$CA$153, MATCH(BN$2, Data_All!$B$2:$CA$2, 0)+1), "")</f>
        <v/>
      </c>
      <c r="BO29" s="206" t="str">
        <f>IF(AND($A29&gt;=SYear_O, $A29&lt;=EYear_O, BO$3&gt;0), BO$3 * VLOOKUP($A29, Data_All!$A$8:$CA$153, MATCH(BO$2, Data_All!$B$2:$CA$2, 0)+1), "")</f>
        <v/>
      </c>
      <c r="BP29" s="206" t="str">
        <f>IF(AND($A29&gt;=SYear_O, $A29&lt;=EYear_O, BP$3&gt;0), BP$3 * VLOOKUP($A29, Data_All!$A$8:$CA$153, MATCH(BP$2, Data_All!$B$2:$CA$2, 0)+1), "")</f>
        <v/>
      </c>
      <c r="BQ29" s="206" t="str">
        <f>IF(AND($A29&gt;=SYear_O, $A29&lt;=EYear_O, BQ$3&gt;0), BQ$3 * VLOOKUP($A29, Data_All!$A$8:$CA$153, MATCH(BQ$2, Data_All!$B$2:$CA$2, 0)+1), "")</f>
        <v/>
      </c>
      <c r="BR29" s="206" t="str">
        <f>IF(AND($A29&gt;=SYear_O, $A29&lt;=EYear_O, BR$3&gt;0), BR$3 * VLOOKUP($A29, Data_All!$A$8:$CA$153, MATCH(BR$2, Data_All!$B$2:$CA$2, 0)+1), "")</f>
        <v/>
      </c>
      <c r="BS29" s="206" t="str">
        <f>IF(AND($A29&gt;=SYear_O, $A29&lt;=EYear_O, BS$3&gt;0), BS$3 * VLOOKUP($A29, Data_All!$A$8:$CA$153, MATCH(BS$2, Data_All!$B$2:$CA$2, 0)+1), "")</f>
        <v/>
      </c>
      <c r="BT29" s="206" t="str">
        <f>IF(AND($A29&gt;=SYear_O, $A29&lt;=EYear_O, BT$3&gt;0), BT$3 * VLOOKUP($A29, Data_All!$A$8:$CA$153, MATCH(BT$2, Data_All!$B$2:$CA$2, 0)+1), "")</f>
        <v/>
      </c>
      <c r="BU29" s="206" t="str">
        <f>IF(AND($A29&gt;=SYear_O, $A29&lt;=EYear_O, BU$3&gt;0), BU$3 * VLOOKUP($A29, Data_All!$A$8:$CA$153, MATCH(BU$2, Data_All!$B$2:$CA$2, 0)+1), "")</f>
        <v/>
      </c>
      <c r="BV29" s="206" t="str">
        <f>IF(AND($A29&gt;=SYear_O, $A29&lt;=EYear_O, BV$3&gt;0), BV$3 * VLOOKUP($A29, Data_All!$A$8:$CA$153, MATCH(BV$2, Data_All!$B$2:$CA$2, 0)+1), "")</f>
        <v/>
      </c>
      <c r="BW29" s="206" t="str">
        <f>IF(AND($A29&gt;=SYear_O, $A29&lt;=EYear_O, BW$3&gt;0), BW$3 * VLOOKUP($A29, Data_All!$A$8:$CA$153, MATCH(BW$2, Data_All!$B$2:$CA$2, 0)+1), "")</f>
        <v/>
      </c>
      <c r="BX29" s="206">
        <f>IF(AND($A29&gt;=SYear_O, $A29&lt;=EYear_O, BX$3&gt;0), BX$3 * VLOOKUP($A29, Data_All!$A$8:$CA$153, MATCH(BX$2, Data_All!$B$2:$CA$2, 0)+1), "")</f>
        <v>-11.122994652406419</v>
      </c>
      <c r="BY29" s="206">
        <f>IF(AND($A29&gt;=SYear_O, $A29&lt;=EYear_O, BY$3&gt;0), BY$3 * VLOOKUP($A29, Data_All!$A$8:$CA$153, MATCH(BY$2, Data_All!$B$2:$CA$2, 0)+1), "")</f>
        <v>5.2827275377820548</v>
      </c>
      <c r="BZ29" s="206" t="str">
        <f>IF(AND($A29&gt;=SYear_O, $A29&lt;=EYear_O, BZ$3&gt;0), BZ$3 * VLOOKUP($A29, Data_All!$A$8:$CA$153, MATCH(BZ$2, Data_All!$B$2:$CA$2, 0)+1), "")</f>
        <v/>
      </c>
      <c r="CA29" s="565">
        <f t="shared" si="2"/>
        <v>-5.8402671146243641</v>
      </c>
      <c r="CB29" s="427">
        <f t="shared" si="3"/>
        <v>32146.120575037516</v>
      </c>
      <c r="CC29" s="565">
        <f>IF(AND($A29&gt;=SYear_O,$A29&lt;=EYear_O),(CA29-Data_All!CA30)/(1+Data_All!CA30%),"")</f>
        <v>8.5453294716317796</v>
      </c>
      <c r="CD29" s="436">
        <f t="shared" si="4"/>
        <v>58488.018803435196</v>
      </c>
      <c r="CE29" s="438">
        <f t="shared" si="5"/>
        <v>2.9156286654575609</v>
      </c>
      <c r="CF29" s="438">
        <f>IF(AND($A29&gt;=SYear_O,$A29&lt;=EYear_O),MAX($CE$7:CE29),"")</f>
        <v>3.0964708332455348</v>
      </c>
      <c r="CG29" s="209">
        <f t="shared" si="6"/>
        <v>5.8402671146243645E-2</v>
      </c>
      <c r="CI29" s="143">
        <f>IF(AND($A29&gt;=SYear_O,$A29&lt;=EYear_O),Data_All!V30,"")</f>
        <v>8.422419822160057</v>
      </c>
      <c r="CJ29" s="143">
        <f>IF(AND($A29&gt;=SYear_O,$A29&lt;=EYear_O),Data_All!CA30,"")</f>
        <v>-13.253077452785112</v>
      </c>
      <c r="CK29" s="143">
        <f t="shared" si="7"/>
        <v>24.987050420316134</v>
      </c>
      <c r="CN29" s="61">
        <f t="shared" si="8"/>
        <v>-5.8402671146243645E-2</v>
      </c>
      <c r="CO29" s="61">
        <f t="shared" si="9"/>
        <v>2.7565295989528948E-4</v>
      </c>
      <c r="CP29" s="61">
        <f t="shared" si="10"/>
        <v>3.5727889712024341E-2</v>
      </c>
      <c r="CQ29" s="61">
        <f t="shared" si="11"/>
        <v>6.9888085155321855E-2</v>
      </c>
      <c r="CR29" s="61">
        <f t="shared" si="12"/>
        <v>5.2822049998290765E-2</v>
      </c>
      <c r="CU29" s="61">
        <f t="shared" si="13"/>
        <v>8.5453294716317796E-2</v>
      </c>
      <c r="CV29" s="61">
        <f t="shared" si="14"/>
        <v>5.8716790101515093E-2</v>
      </c>
      <c r="CW29" s="61">
        <f t="shared" si="15"/>
        <v>7.1622275143676584E-2</v>
      </c>
      <c r="CX29" s="61">
        <f t="shared" si="16"/>
        <v>6.008821382741325E-2</v>
      </c>
      <c r="CY29" s="61">
        <f t="shared" si="17"/>
        <v>4.6383160948111568E-2</v>
      </c>
    </row>
    <row r="30" spans="1:103">
      <c r="A30" s="204">
        <f t="shared" si="18"/>
        <v>1894</v>
      </c>
      <c r="B30" s="206" t="str">
        <f>IF(AND($A30&gt;=SYear_O, $A30&lt;=EYear_O, B$3&gt;0), B$3 * VLOOKUP($A30, Data_All!$A$8:$CA$153, MATCH(B$2, Data_All!$B$2:$CA$2, 0)+1), "")</f>
        <v/>
      </c>
      <c r="C30" s="206" t="str">
        <f>IF(AND($A30&gt;=SYear_O, $A30&lt;=EYear_O, C$3&gt;0), C$3 * VLOOKUP($A30, Data_All!$A$8:$CA$153, MATCH(C$2, Data_All!$B$2:$CA$2, 0)+1), "")</f>
        <v/>
      </c>
      <c r="D30" s="206" t="str">
        <f>IF(AND($A30&gt;=SYear_O, $A30&lt;=EYear_O, D$3&gt;0), D$3 * VLOOKUP($A30, Data_All!$A$8:$CA$153, MATCH(D$2, Data_All!$B$2:$CA$2, 0)+1), "")</f>
        <v/>
      </c>
      <c r="E30" s="206" t="str">
        <f>IF(AND($A30&gt;=SYear_O, $A30&lt;=EYear_O, E$3&gt;0), E$3 * VLOOKUP($A30, Data_All!$A$8:$CA$153, MATCH(E$2, Data_All!$B$2:$CA$2, 0)+1), "")</f>
        <v/>
      </c>
      <c r="F30" s="206" t="str">
        <f>IF(AND($A30&gt;=SYear_O, $A30&lt;=EYear_O, F$3&gt;0), F$3 * VLOOKUP($A30, Data_All!$A$8:$CA$153, MATCH(F$2, Data_All!$B$2:$CA$2, 0)+1), "")</f>
        <v/>
      </c>
      <c r="G30" s="206" t="str">
        <f>IF(AND($A30&gt;=SYear_O, $A30&lt;=EYear_O, G$3&gt;0), G$3 * VLOOKUP($A30, Data_All!$A$8:$CA$153, MATCH(G$2, Data_All!$B$2:$CA$2, 0)+1), "")</f>
        <v/>
      </c>
      <c r="H30" s="206" t="str">
        <f>IF(AND($A30&gt;=SYear_O, $A30&lt;=EYear_O, H$3&gt;0), H$3 * VLOOKUP($A30, Data_All!$A$8:$CA$153, MATCH(H$2, Data_All!$B$2:$CA$2, 0)+1), "")</f>
        <v/>
      </c>
      <c r="I30" s="206" t="str">
        <f>IF(AND($A30&gt;=SYear_O, $A30&lt;=EYear_O, I$3&gt;0), I$3 * VLOOKUP($A30, Data_All!$A$8:$CA$153, MATCH(I$2, Data_All!$B$2:$CA$2, 0)+1), "")</f>
        <v/>
      </c>
      <c r="J30" s="206" t="str">
        <f>IF(AND($A30&gt;=SYear_O, $A30&lt;=EYear_O, J$3&gt;0), J$3 * VLOOKUP($A30, Data_All!$A$8:$CA$153, MATCH(J$2, Data_All!$B$2:$CA$2, 0)+1), "")</f>
        <v/>
      </c>
      <c r="K30" s="206" t="str">
        <f>IF(AND($A30&gt;=SYear_O, $A30&lt;=EYear_O, K$3&gt;0), K$3 * VLOOKUP($A30, Data_All!$A$8:$CA$153, MATCH(K$2, Data_All!$B$2:$CA$2, 0)+1), "")</f>
        <v/>
      </c>
      <c r="L30" s="206" t="str">
        <f>IF(AND($A30&gt;=SYear_O, $A30&lt;=EYear_O, L$3&gt;0), L$3 * VLOOKUP($A30, Data_All!$A$8:$CA$153, MATCH(L$2, Data_All!$B$2:$CA$2, 0)+1), "")</f>
        <v/>
      </c>
      <c r="M30" s="206" t="str">
        <f>IF(AND($A30&gt;=SYear_O, $A30&lt;=EYear_O, M$3&gt;0), M$3 * VLOOKUP($A30, Data_All!$A$8:$CA$153, MATCH(M$2, Data_All!$B$2:$CA$2, 0)+1), "")</f>
        <v/>
      </c>
      <c r="N30" s="206" t="str">
        <f>IF(AND($A30&gt;=SYear_O, $A30&lt;=EYear_O, N$3&gt;0), N$3 * VLOOKUP($A30, Data_All!$A$8:$CA$153, MATCH(N$2, Data_All!$B$2:$CA$2, 0)+1), "")</f>
        <v/>
      </c>
      <c r="O30" s="206" t="str">
        <f>IF(AND($A30&gt;=SYear_O, $A30&lt;=EYear_O, O$3&gt;0), O$3 * VLOOKUP($A30, Data_All!$A$8:$CA$153, MATCH(O$2, Data_All!$B$2:$CA$2, 0)+1), "")</f>
        <v/>
      </c>
      <c r="P30" s="206" t="str">
        <f>IF(AND($A30&gt;=SYear_O, $A30&lt;=EYear_O, P$3&gt;0), P$3 * VLOOKUP($A30, Data_All!$A$8:$CA$153, MATCH(P$2, Data_All!$B$2:$CA$2, 0)+1), "")</f>
        <v/>
      </c>
      <c r="Q30" s="206" t="str">
        <f>IF(AND($A30&gt;=SYear_O, $A30&lt;=EYear_O, Q$3&gt;0), Q$3 * VLOOKUP($A30, Data_All!$A$8:$CA$153, MATCH(Q$2, Data_All!$B$2:$CA$2, 0)+1), "")</f>
        <v/>
      </c>
      <c r="R30" s="206" t="str">
        <f>IF(AND($A30&gt;=SYear_O, $A30&lt;=EYear_O, R$3&gt;0), R$3 * VLOOKUP($A30, Data_All!$A$8:$CA$153, MATCH(R$2, Data_All!$B$2:$CA$2, 0)+1), "")</f>
        <v/>
      </c>
      <c r="S30" s="206" t="str">
        <f>IF(AND($A30&gt;=SYear_O, $A30&lt;=EYear_O, S$3&gt;0), S$3 * VLOOKUP($A30, Data_All!$A$8:$CA$153, MATCH(S$2, Data_All!$B$2:$CA$2, 0)+1), "")</f>
        <v/>
      </c>
      <c r="T30" s="206" t="str">
        <f>IF(AND($A30&gt;=SYear_O, $A30&lt;=EYear_O, T$3&gt;0), T$3 * VLOOKUP($A30, Data_All!$A$8:$CA$153, MATCH(T$2, Data_All!$B$2:$CA$2, 0)+1), "")</f>
        <v/>
      </c>
      <c r="U30" s="206" t="str">
        <f>IF(AND($A30&gt;=SYear_O, $A30&lt;=EYear_O, U$3&gt;0), U$3 * VLOOKUP($A30, Data_All!$A$8:$CA$153, MATCH(U$2, Data_All!$B$2:$CA$2, 0)+1), "")</f>
        <v/>
      </c>
      <c r="V30" s="206" t="str">
        <f>IF(AND($A30&gt;=SYear_O, $A30&lt;=EYear_O, V$3&gt;0), V$3 * VLOOKUP($A30, Data_All!$A$8:$CA$153, MATCH(V$2, Data_All!$B$2:$CA$2, 0)+1), "")</f>
        <v/>
      </c>
      <c r="W30" s="206" t="str">
        <f>IF(AND($A30&gt;=SYear_O, $A30&lt;=EYear_O, W$3&gt;0), W$3 * VLOOKUP($A30, Data_All!$A$8:$CA$153, MATCH(W$2, Data_All!$B$2:$CA$2, 0)+1), "")</f>
        <v/>
      </c>
      <c r="X30" s="206" t="str">
        <f>IF(AND($A30&gt;=SYear_O, $A30&lt;=EYear_O, X$3&gt;0), X$3 * VLOOKUP($A30, Data_All!$A$8:$CA$153, MATCH(X$2, Data_All!$B$2:$CA$2, 0)+1), "")</f>
        <v/>
      </c>
      <c r="Y30" s="206" t="str">
        <f>IF(AND($A30&gt;=SYear_O, $A30&lt;=EYear_O, Y$3&gt;0), Y$3 * VLOOKUP($A30, Data_All!$A$8:$CA$153, MATCH(Y$2, Data_All!$B$2:$CA$2, 0)+1), "")</f>
        <v/>
      </c>
      <c r="Z30" s="206" t="str">
        <f>IF(AND($A30&gt;=SYear_O, $A30&lt;=EYear_O, Z$3&gt;0), Z$3 * VLOOKUP($A30, Data_All!$A$8:$CA$153, MATCH(Z$2, Data_All!$B$2:$CA$2, 0)+1), "")</f>
        <v/>
      </c>
      <c r="AA30" s="206" t="str">
        <f>IF(AND($A30&gt;=SYear_O, $A30&lt;=EYear_O, AA$3&gt;0), AA$3 * VLOOKUP($A30, Data_All!$A$8:$CA$153, MATCH(AA$2, Data_All!$B$2:$CA$2, 0)+1), "")</f>
        <v/>
      </c>
      <c r="AB30" s="206" t="str">
        <f>IF(AND($A30&gt;=SYear_O, $A30&lt;=EYear_O, AB$3&gt;0), AB$3 * VLOOKUP($A30, Data_All!$A$8:$CA$153, MATCH(AB$2, Data_All!$B$2:$CA$2, 0)+1), "")</f>
        <v/>
      </c>
      <c r="AC30" s="206" t="str">
        <f>IF(AND($A30&gt;=SYear_O, $A30&lt;=EYear_O, AC$3&gt;0), AC$3 * VLOOKUP($A30, Data_All!$A$8:$CA$153, MATCH(AC$2, Data_All!$B$2:$CA$2, 0)+1), "")</f>
        <v/>
      </c>
      <c r="AD30" s="206" t="str">
        <f>IF(AND($A30&gt;=SYear_O, $A30&lt;=EYear_O, AD$3&gt;0), AD$3 * VLOOKUP($A30, Data_All!$A$8:$CA$153, MATCH(AD$2, Data_All!$B$2:$CA$2, 0)+1), "")</f>
        <v/>
      </c>
      <c r="AE30" s="206" t="str">
        <f>IF(AND($A30&gt;=SYear_O, $A30&lt;=EYear_O, AE$3&gt;0), AE$3 * VLOOKUP($A30, Data_All!$A$8:$CA$153, MATCH(AE$2, Data_All!$B$2:$CA$2, 0)+1), "")</f>
        <v/>
      </c>
      <c r="AF30" s="206" t="str">
        <f>IF(AND($A30&gt;=SYear_O, $A30&lt;=EYear_O, AF$3&gt;0), AF$3 * VLOOKUP($A30, Data_All!$A$8:$CA$153, MATCH(AF$2, Data_All!$B$2:$CA$2, 0)+1), "")</f>
        <v/>
      </c>
      <c r="AG30" s="206" t="str">
        <f>IF(AND($A30&gt;=SYear_O, $A30&lt;=EYear_O, AG$3&gt;0), AG$3 * VLOOKUP($A30, Data_All!$A$8:$CA$153, MATCH(AG$2, Data_All!$B$2:$CA$2, 0)+1), "")</f>
        <v/>
      </c>
      <c r="AH30" s="206" t="str">
        <f>IF(AND($A30&gt;=SYear_O, $A30&lt;=EYear_O, AH$3&gt;0), AH$3 * VLOOKUP($A30, Data_All!$A$8:$CA$153, MATCH(AH$2, Data_All!$B$2:$CA$2, 0)+1), "")</f>
        <v/>
      </c>
      <c r="AI30" s="206" t="str">
        <f>IF(AND($A30&gt;=SYear_O, $A30&lt;=EYear_O, AI$3&gt;0), AI$3 * VLOOKUP($A30, Data_All!$A$8:$CA$153, MATCH(AI$2, Data_All!$B$2:$CA$2, 0)+1), "")</f>
        <v/>
      </c>
      <c r="AJ30" s="206" t="str">
        <f>IF(AND($A30&gt;=SYear_O, $A30&lt;=EYear_O, AJ$3&gt;0), AJ$3 * VLOOKUP($A30, Data_All!$A$8:$CA$153, MATCH(AJ$2, Data_All!$B$2:$CA$2, 0)+1), "")</f>
        <v/>
      </c>
      <c r="AK30" s="206" t="str">
        <f>IF(AND($A30&gt;=SYear_O, $A30&lt;=EYear_O, AK$3&gt;0), AK$3 * VLOOKUP($A30, Data_All!$A$8:$CA$153, MATCH(AK$2, Data_All!$B$2:$CA$2, 0)+1), "")</f>
        <v/>
      </c>
      <c r="AL30" s="206" t="str">
        <f>IF(AND($A30&gt;=SYear_O, $A30&lt;=EYear_O, AL$3&gt;0), AL$3 * VLOOKUP($A30, Data_All!$A$8:$CA$153, MATCH(AL$2, Data_All!$B$2:$CA$2, 0)+1), "")</f>
        <v/>
      </c>
      <c r="AM30" s="206" t="str">
        <f>IF(AND($A30&gt;=SYear_O, $A30&lt;=EYear_O, AM$3&gt;0), AM$3 * VLOOKUP($A30, Data_All!$A$8:$CA$153, MATCH(AM$2, Data_All!$B$2:$CA$2, 0)+1), "")</f>
        <v/>
      </c>
      <c r="AN30" s="206" t="str">
        <f>IF(AND($A30&gt;=SYear_O, $A30&lt;=EYear_O, AN$3&gt;0), AN$3 * VLOOKUP($A30, Data_All!$A$8:$CA$153, MATCH(AN$2, Data_All!$B$2:$CA$2, 0)+1), "")</f>
        <v/>
      </c>
      <c r="AO30" s="206" t="str">
        <f>IF(AND($A30&gt;=SYear_O, $A30&lt;=EYear_O, AO$3&gt;0), AO$3 * VLOOKUP($A30, Data_All!$A$8:$CA$153, MATCH(AO$2, Data_All!$B$2:$CA$2, 0)+1), "")</f>
        <v/>
      </c>
      <c r="AP30" s="206" t="str">
        <f>IF(AND($A30&gt;=SYear_O, $A30&lt;=EYear_O, AP$3&gt;0), AP$3 * VLOOKUP($A30, Data_All!$A$8:$CA$153, MATCH(AP$2, Data_All!$B$2:$CA$2, 0)+1), "")</f>
        <v/>
      </c>
      <c r="AQ30" s="206" t="str">
        <f>IF(AND($A30&gt;=SYear_O, $A30&lt;=EYear_O, AQ$3&gt;0), AQ$3 * VLOOKUP($A30, Data_All!$A$8:$CA$153, MATCH(AQ$2, Data_All!$B$2:$CA$2, 0)+1), "")</f>
        <v/>
      </c>
      <c r="AR30" s="206" t="str">
        <f>IF(AND($A30&gt;=SYear_O, $A30&lt;=EYear_O, AR$3&gt;0), AR$3 * VLOOKUP($A30, Data_All!$A$8:$CA$153, MATCH(AR$2, Data_All!$B$2:$CA$2, 0)+1), "")</f>
        <v/>
      </c>
      <c r="AS30" s="206" t="str">
        <f>IF(AND($A30&gt;=SYear_O, $A30&lt;=EYear_O, AS$3&gt;0), AS$3 * VLOOKUP($A30, Data_All!$A$8:$CA$153, MATCH(AS$2, Data_All!$B$2:$CA$2, 0)+1), "")</f>
        <v/>
      </c>
      <c r="AT30" s="206" t="str">
        <f>IF(AND($A30&gt;=SYear_O, $A30&lt;=EYear_O, AT$3&gt;0), AT$3 * VLOOKUP($A30, Data_All!$A$8:$CA$153, MATCH(AT$2, Data_All!$B$2:$CA$2, 0)+1), "")</f>
        <v/>
      </c>
      <c r="AU30" s="206" t="str">
        <f>IF(AND($A30&gt;=SYear_O, $A30&lt;=EYear_O, AU$3&gt;0), AU$3 * VLOOKUP($A30, Data_All!$A$8:$CA$153, MATCH(AU$2, Data_All!$B$2:$CA$2, 0)+1), "")</f>
        <v/>
      </c>
      <c r="AV30" s="206" t="str">
        <f>IF(AND($A30&gt;=SYear_O, $A30&lt;=EYear_O, AV$3&gt;0), AV$3 * VLOOKUP($A30, Data_All!$A$8:$CA$153, MATCH(AV$2, Data_All!$B$2:$CA$2, 0)+1), "")</f>
        <v/>
      </c>
      <c r="AW30" s="206" t="str">
        <f>IF(AND($A30&gt;=SYear_O, $A30&lt;=EYear_O, AW$3&gt;0), AW$3 * VLOOKUP($A30, Data_All!$A$8:$CA$153, MATCH(AW$2, Data_All!$B$2:$CA$2, 0)+1), "")</f>
        <v/>
      </c>
      <c r="AX30" s="206" t="str">
        <f>IF(AND($A30&gt;=SYear_O, $A30&lt;=EYear_O, AX$3&gt;0), AX$3 * VLOOKUP($A30, Data_All!$A$8:$CA$153, MATCH(AX$2, Data_All!$B$2:$CA$2, 0)+1), "")</f>
        <v/>
      </c>
      <c r="AY30" s="206" t="str">
        <f>IF(AND($A30&gt;=SYear_O, $A30&lt;=EYear_O, AY$3&gt;0), AY$3 * VLOOKUP($A30, Data_All!$A$8:$CA$153, MATCH(AY$2, Data_All!$B$2:$CA$2, 0)+1), "")</f>
        <v/>
      </c>
      <c r="AZ30" s="206" t="str">
        <f>IF(AND($A30&gt;=SYear_O, $A30&lt;=EYear_O, AZ$3&gt;0), AZ$3 * VLOOKUP($A30, Data_All!$A$8:$CA$153, MATCH(AZ$2, Data_All!$B$2:$CA$2, 0)+1), "")</f>
        <v/>
      </c>
      <c r="BA30" s="206" t="str">
        <f>IF(AND($A30&gt;=SYear_O, $A30&lt;=EYear_O, BA$3&gt;0), BA$3 * VLOOKUP($A30, Data_All!$A$8:$CA$153, MATCH(BA$2, Data_All!$B$2:$CA$2, 0)+1), "")</f>
        <v/>
      </c>
      <c r="BB30" s="206" t="str">
        <f>IF(AND($A30&gt;=SYear_O, $A30&lt;=EYear_O, BB$3&gt;0), BB$3 * VLOOKUP($A30, Data_All!$A$8:$CA$153, MATCH(BB$2, Data_All!$B$2:$CA$2, 0)+1), "")</f>
        <v/>
      </c>
      <c r="BC30" s="206" t="str">
        <f>IF(AND($A30&gt;=SYear_O, $A30&lt;=EYear_O, BC$3&gt;0), BC$3 * VLOOKUP($A30, Data_All!$A$8:$CA$153, MATCH(BC$2, Data_All!$B$2:$CA$2, 0)+1), "")</f>
        <v/>
      </c>
      <c r="BD30" s="206" t="str">
        <f>IF(AND($A30&gt;=SYear_O, $A30&lt;=EYear_O, BD$3&gt;0), BD$3 * VLOOKUP($A30, Data_All!$A$8:$CA$153, MATCH(BD$2, Data_All!$B$2:$CA$2, 0)+1), "")</f>
        <v/>
      </c>
      <c r="BE30" s="206" t="str">
        <f>IF(AND($A30&gt;=SYear_O, $A30&lt;=EYear_O, BE$3&gt;0), BE$3 * VLOOKUP($A30, Data_All!$A$8:$CA$153, MATCH(BE$2, Data_All!$B$2:$CA$2, 0)+1), "")</f>
        <v/>
      </c>
      <c r="BF30" s="206" t="str">
        <f>IF(AND($A30&gt;=SYear_O, $A30&lt;=EYear_O, BF$3&gt;0), BF$3 * VLOOKUP($A30, Data_All!$A$8:$CA$153, MATCH(BF$2, Data_All!$B$2:$CA$2, 0)+1), "")</f>
        <v/>
      </c>
      <c r="BG30" s="206" t="str">
        <f>IF(AND($A30&gt;=SYear_O, $A30&lt;=EYear_O, BG$3&gt;0), BG$3 * VLOOKUP($A30, Data_All!$A$8:$CA$153, MATCH(BG$2, Data_All!$B$2:$CA$2, 0)+1), "")</f>
        <v/>
      </c>
      <c r="BH30" s="206" t="str">
        <f>IF(AND($A30&gt;=SYear_O, $A30&lt;=EYear_O, BH$3&gt;0), BH$3 * VLOOKUP($A30, Data_All!$A$8:$CA$153, MATCH(BH$2, Data_All!$B$2:$CA$2, 0)+1), "")</f>
        <v/>
      </c>
      <c r="BI30" s="206" t="str">
        <f>IF(AND($A30&gt;=SYear_O, $A30&lt;=EYear_O, BI$3&gt;0), BI$3 * VLOOKUP($A30, Data_All!$A$8:$CA$153, MATCH(BI$2, Data_All!$B$2:$CA$2, 0)+1), "")</f>
        <v/>
      </c>
      <c r="BJ30" s="206" t="str">
        <f>IF(AND($A30&gt;=SYear_O, $A30&lt;=EYear_O, BJ$3&gt;0), BJ$3 * VLOOKUP($A30, Data_All!$A$8:$CA$153, MATCH(BJ$2, Data_All!$B$2:$CA$2, 0)+1), "")</f>
        <v/>
      </c>
      <c r="BK30" s="206" t="str">
        <f>IF(AND($A30&gt;=SYear_O, $A30&lt;=EYear_O, BK$3&gt;0), BK$3 * VLOOKUP($A30, Data_All!$A$8:$CA$153, MATCH(BK$2, Data_All!$B$2:$CA$2, 0)+1), "")</f>
        <v/>
      </c>
      <c r="BL30" s="206" t="str">
        <f>IF(AND($A30&gt;=SYear_O, $A30&lt;=EYear_O, BL$3&gt;0), BL$3 * VLOOKUP($A30, Data_All!$A$8:$CA$153, MATCH(BL$2, Data_All!$B$2:$CA$2, 0)+1), "")</f>
        <v/>
      </c>
      <c r="BM30" s="206" t="str">
        <f>IF(AND($A30&gt;=SYear_O, $A30&lt;=EYear_O, BM$3&gt;0), BM$3 * VLOOKUP($A30, Data_All!$A$8:$CA$153, MATCH(BM$2, Data_All!$B$2:$CA$2, 0)+1), "")</f>
        <v/>
      </c>
      <c r="BN30" s="206" t="str">
        <f>IF(AND($A30&gt;=SYear_O, $A30&lt;=EYear_O, BN$3&gt;0), BN$3 * VLOOKUP($A30, Data_All!$A$8:$CA$153, MATCH(BN$2, Data_All!$B$2:$CA$2, 0)+1), "")</f>
        <v/>
      </c>
      <c r="BO30" s="206" t="str">
        <f>IF(AND($A30&gt;=SYear_O, $A30&lt;=EYear_O, BO$3&gt;0), BO$3 * VLOOKUP($A30, Data_All!$A$8:$CA$153, MATCH(BO$2, Data_All!$B$2:$CA$2, 0)+1), "")</f>
        <v/>
      </c>
      <c r="BP30" s="206" t="str">
        <f>IF(AND($A30&gt;=SYear_O, $A30&lt;=EYear_O, BP$3&gt;0), BP$3 * VLOOKUP($A30, Data_All!$A$8:$CA$153, MATCH(BP$2, Data_All!$B$2:$CA$2, 0)+1), "")</f>
        <v/>
      </c>
      <c r="BQ30" s="206" t="str">
        <f>IF(AND($A30&gt;=SYear_O, $A30&lt;=EYear_O, BQ$3&gt;0), BQ$3 * VLOOKUP($A30, Data_All!$A$8:$CA$153, MATCH(BQ$2, Data_All!$B$2:$CA$2, 0)+1), "")</f>
        <v/>
      </c>
      <c r="BR30" s="206" t="str">
        <f>IF(AND($A30&gt;=SYear_O, $A30&lt;=EYear_O, BR$3&gt;0), BR$3 * VLOOKUP($A30, Data_All!$A$8:$CA$153, MATCH(BR$2, Data_All!$B$2:$CA$2, 0)+1), "")</f>
        <v/>
      </c>
      <c r="BS30" s="206" t="str">
        <f>IF(AND($A30&gt;=SYear_O, $A30&lt;=EYear_O, BS$3&gt;0), BS$3 * VLOOKUP($A30, Data_All!$A$8:$CA$153, MATCH(BS$2, Data_All!$B$2:$CA$2, 0)+1), "")</f>
        <v/>
      </c>
      <c r="BT30" s="206" t="str">
        <f>IF(AND($A30&gt;=SYear_O, $A30&lt;=EYear_O, BT$3&gt;0), BT$3 * VLOOKUP($A30, Data_All!$A$8:$CA$153, MATCH(BT$2, Data_All!$B$2:$CA$2, 0)+1), "")</f>
        <v/>
      </c>
      <c r="BU30" s="206" t="str">
        <f>IF(AND($A30&gt;=SYear_O, $A30&lt;=EYear_O, BU$3&gt;0), BU$3 * VLOOKUP($A30, Data_All!$A$8:$CA$153, MATCH(BU$2, Data_All!$B$2:$CA$2, 0)+1), "")</f>
        <v/>
      </c>
      <c r="BV30" s="206" t="str">
        <f>IF(AND($A30&gt;=SYear_O, $A30&lt;=EYear_O, BV$3&gt;0), BV$3 * VLOOKUP($A30, Data_All!$A$8:$CA$153, MATCH(BV$2, Data_All!$B$2:$CA$2, 0)+1), "")</f>
        <v/>
      </c>
      <c r="BW30" s="206" t="str">
        <f>IF(AND($A30&gt;=SYear_O, $A30&lt;=EYear_O, BW$3&gt;0), BW$3 * VLOOKUP($A30, Data_All!$A$8:$CA$153, MATCH(BW$2, Data_All!$B$2:$CA$2, 0)+1), "")</f>
        <v/>
      </c>
      <c r="BX30" s="206">
        <f>IF(AND($A30&gt;=SYear_O, $A30&lt;=EYear_O, BX$3&gt;0), BX$3 * VLOOKUP($A30, Data_All!$A$8:$CA$153, MATCH(BX$2, Data_All!$B$2:$CA$2, 0)+1), "")</f>
        <v>1.9444444444444464</v>
      </c>
      <c r="BY30" s="206">
        <f>IF(AND($A30&gt;=SYear_O, $A30&lt;=EYear_O, BY$3&gt;0), BY$3 * VLOOKUP($A30, Data_All!$A$8:$CA$153, MATCH(BY$2, Data_All!$B$2:$CA$2, 0)+1), "")</f>
        <v>1.9307669109658399</v>
      </c>
      <c r="BZ30" s="206" t="str">
        <f>IF(AND($A30&gt;=SYear_O, $A30&lt;=EYear_O, BZ$3&gt;0), BZ$3 * VLOOKUP($A30, Data_All!$A$8:$CA$153, MATCH(BZ$2, Data_All!$B$2:$CA$2, 0)+1), "")</f>
        <v/>
      </c>
      <c r="CA30" s="565">
        <f t="shared" si="2"/>
        <v>3.8752113554102863</v>
      </c>
      <c r="CB30" s="427">
        <f t="shared" si="3"/>
        <v>33391.85068988525</v>
      </c>
      <c r="CC30" s="565">
        <f>IF(AND($A30&gt;=SYear_O,$A30&lt;=EYear_O),(CA30-Data_All!CA31)/(1+Data_All!CA31%),"")</f>
        <v>8.3914305770431934</v>
      </c>
      <c r="CD30" s="436">
        <f t="shared" si="4"/>
        <v>63396.000297213424</v>
      </c>
      <c r="CE30" s="438">
        <f t="shared" si="5"/>
        <v>3.0286154385829698</v>
      </c>
      <c r="CF30" s="438">
        <f>IF(AND($A30&gt;=SYear_O,$A30&lt;=EYear_O),MAX($CE$7:CE30),"")</f>
        <v>3.0964708332455348</v>
      </c>
      <c r="CG30" s="209">
        <f t="shared" si="6"/>
        <v>2.1913784536262915E-2</v>
      </c>
      <c r="CI30" s="143">
        <f>IF(AND($A30&gt;=SYear_O,$A30&lt;=EYear_O),Data_All!V31,"")</f>
        <v>3.2270956139474478</v>
      </c>
      <c r="CJ30" s="143">
        <f>IF(AND($A30&gt;=SYear_O,$A30&lt;=EYear_O),Data_All!CA31,"")</f>
        <v>-4.1665832783919559</v>
      </c>
      <c r="CK30" s="143">
        <f t="shared" si="7"/>
        <v>7.7151364787689065</v>
      </c>
      <c r="CN30" s="61">
        <f t="shared" si="8"/>
        <v>3.8752113554102907E-2</v>
      </c>
      <c r="CO30" s="61">
        <f t="shared" si="9"/>
        <v>3.7705096867425292E-2</v>
      </c>
      <c r="CP30" s="61">
        <f t="shared" si="10"/>
        <v>8.5320338092775172E-2</v>
      </c>
      <c r="CQ30" s="61">
        <f t="shared" si="11"/>
        <v>6.7221144730542415E-2</v>
      </c>
      <c r="CR30" s="61">
        <f t="shared" si="12"/>
        <v>7.3304863972859291E-2</v>
      </c>
      <c r="CU30" s="61">
        <f t="shared" si="13"/>
        <v>8.3914305770431907E-2</v>
      </c>
      <c r="CV30" s="61">
        <f t="shared" si="14"/>
        <v>5.7665718775480546E-2</v>
      </c>
      <c r="CW30" s="61">
        <f t="shared" si="15"/>
        <v>8.8360350369910412E-2</v>
      </c>
      <c r="CX30" s="61">
        <f t="shared" si="16"/>
        <v>4.7214589573372434E-2</v>
      </c>
      <c r="CY30" s="61">
        <f t="shared" si="17"/>
        <v>5.4395265409467042E-2</v>
      </c>
    </row>
    <row r="31" spans="1:103">
      <c r="A31" s="204">
        <f t="shared" si="18"/>
        <v>1895</v>
      </c>
      <c r="B31" s="206" t="str">
        <f>IF(AND($A31&gt;=SYear_O, $A31&lt;=EYear_O, B$3&gt;0), B$3 * VLOOKUP($A31, Data_All!$A$8:$CA$153, MATCH(B$2, Data_All!$B$2:$CA$2, 0)+1), "")</f>
        <v/>
      </c>
      <c r="C31" s="206" t="str">
        <f>IF(AND($A31&gt;=SYear_O, $A31&lt;=EYear_O, C$3&gt;0), C$3 * VLOOKUP($A31, Data_All!$A$8:$CA$153, MATCH(C$2, Data_All!$B$2:$CA$2, 0)+1), "")</f>
        <v/>
      </c>
      <c r="D31" s="206" t="str">
        <f>IF(AND($A31&gt;=SYear_O, $A31&lt;=EYear_O, D$3&gt;0), D$3 * VLOOKUP($A31, Data_All!$A$8:$CA$153, MATCH(D$2, Data_All!$B$2:$CA$2, 0)+1), "")</f>
        <v/>
      </c>
      <c r="E31" s="206" t="str">
        <f>IF(AND($A31&gt;=SYear_O, $A31&lt;=EYear_O, E$3&gt;0), E$3 * VLOOKUP($A31, Data_All!$A$8:$CA$153, MATCH(E$2, Data_All!$B$2:$CA$2, 0)+1), "")</f>
        <v/>
      </c>
      <c r="F31" s="206" t="str">
        <f>IF(AND($A31&gt;=SYear_O, $A31&lt;=EYear_O, F$3&gt;0), F$3 * VLOOKUP($A31, Data_All!$A$8:$CA$153, MATCH(F$2, Data_All!$B$2:$CA$2, 0)+1), "")</f>
        <v/>
      </c>
      <c r="G31" s="206" t="str">
        <f>IF(AND($A31&gt;=SYear_O, $A31&lt;=EYear_O, G$3&gt;0), G$3 * VLOOKUP($A31, Data_All!$A$8:$CA$153, MATCH(G$2, Data_All!$B$2:$CA$2, 0)+1), "")</f>
        <v/>
      </c>
      <c r="H31" s="206" t="str">
        <f>IF(AND($A31&gt;=SYear_O, $A31&lt;=EYear_O, H$3&gt;0), H$3 * VLOOKUP($A31, Data_All!$A$8:$CA$153, MATCH(H$2, Data_All!$B$2:$CA$2, 0)+1), "")</f>
        <v/>
      </c>
      <c r="I31" s="206" t="str">
        <f>IF(AND($A31&gt;=SYear_O, $A31&lt;=EYear_O, I$3&gt;0), I$3 * VLOOKUP($A31, Data_All!$A$8:$CA$153, MATCH(I$2, Data_All!$B$2:$CA$2, 0)+1), "")</f>
        <v/>
      </c>
      <c r="J31" s="206" t="str">
        <f>IF(AND($A31&gt;=SYear_O, $A31&lt;=EYear_O, J$3&gt;0), J$3 * VLOOKUP($A31, Data_All!$A$8:$CA$153, MATCH(J$2, Data_All!$B$2:$CA$2, 0)+1), "")</f>
        <v/>
      </c>
      <c r="K31" s="206" t="str">
        <f>IF(AND($A31&gt;=SYear_O, $A31&lt;=EYear_O, K$3&gt;0), K$3 * VLOOKUP($A31, Data_All!$A$8:$CA$153, MATCH(K$2, Data_All!$B$2:$CA$2, 0)+1), "")</f>
        <v/>
      </c>
      <c r="L31" s="206" t="str">
        <f>IF(AND($A31&gt;=SYear_O, $A31&lt;=EYear_O, L$3&gt;0), L$3 * VLOOKUP($A31, Data_All!$A$8:$CA$153, MATCH(L$2, Data_All!$B$2:$CA$2, 0)+1), "")</f>
        <v/>
      </c>
      <c r="M31" s="206" t="str">
        <f>IF(AND($A31&gt;=SYear_O, $A31&lt;=EYear_O, M$3&gt;0), M$3 * VLOOKUP($A31, Data_All!$A$8:$CA$153, MATCH(M$2, Data_All!$B$2:$CA$2, 0)+1), "")</f>
        <v/>
      </c>
      <c r="N31" s="206" t="str">
        <f>IF(AND($A31&gt;=SYear_O, $A31&lt;=EYear_O, N$3&gt;0), N$3 * VLOOKUP($A31, Data_All!$A$8:$CA$153, MATCH(N$2, Data_All!$B$2:$CA$2, 0)+1), "")</f>
        <v/>
      </c>
      <c r="O31" s="206" t="str">
        <f>IF(AND($A31&gt;=SYear_O, $A31&lt;=EYear_O, O$3&gt;0), O$3 * VLOOKUP($A31, Data_All!$A$8:$CA$153, MATCH(O$2, Data_All!$B$2:$CA$2, 0)+1), "")</f>
        <v/>
      </c>
      <c r="P31" s="206" t="str">
        <f>IF(AND($A31&gt;=SYear_O, $A31&lt;=EYear_O, P$3&gt;0), P$3 * VLOOKUP($A31, Data_All!$A$8:$CA$153, MATCH(P$2, Data_All!$B$2:$CA$2, 0)+1), "")</f>
        <v/>
      </c>
      <c r="Q31" s="206" t="str">
        <f>IF(AND($A31&gt;=SYear_O, $A31&lt;=EYear_O, Q$3&gt;0), Q$3 * VLOOKUP($A31, Data_All!$A$8:$CA$153, MATCH(Q$2, Data_All!$B$2:$CA$2, 0)+1), "")</f>
        <v/>
      </c>
      <c r="R31" s="206" t="str">
        <f>IF(AND($A31&gt;=SYear_O, $A31&lt;=EYear_O, R$3&gt;0), R$3 * VLOOKUP($A31, Data_All!$A$8:$CA$153, MATCH(R$2, Data_All!$B$2:$CA$2, 0)+1), "")</f>
        <v/>
      </c>
      <c r="S31" s="206" t="str">
        <f>IF(AND($A31&gt;=SYear_O, $A31&lt;=EYear_O, S$3&gt;0), S$3 * VLOOKUP($A31, Data_All!$A$8:$CA$153, MATCH(S$2, Data_All!$B$2:$CA$2, 0)+1), "")</f>
        <v/>
      </c>
      <c r="T31" s="206" t="str">
        <f>IF(AND($A31&gt;=SYear_O, $A31&lt;=EYear_O, T$3&gt;0), T$3 * VLOOKUP($A31, Data_All!$A$8:$CA$153, MATCH(T$2, Data_All!$B$2:$CA$2, 0)+1), "")</f>
        <v/>
      </c>
      <c r="U31" s="206" t="str">
        <f>IF(AND($A31&gt;=SYear_O, $A31&lt;=EYear_O, U$3&gt;0), U$3 * VLOOKUP($A31, Data_All!$A$8:$CA$153, MATCH(U$2, Data_All!$B$2:$CA$2, 0)+1), "")</f>
        <v/>
      </c>
      <c r="V31" s="206" t="str">
        <f>IF(AND($A31&gt;=SYear_O, $A31&lt;=EYear_O, V$3&gt;0), V$3 * VLOOKUP($A31, Data_All!$A$8:$CA$153, MATCH(V$2, Data_All!$B$2:$CA$2, 0)+1), "")</f>
        <v/>
      </c>
      <c r="W31" s="206" t="str">
        <f>IF(AND($A31&gt;=SYear_O, $A31&lt;=EYear_O, W$3&gt;0), W$3 * VLOOKUP($A31, Data_All!$A$8:$CA$153, MATCH(W$2, Data_All!$B$2:$CA$2, 0)+1), "")</f>
        <v/>
      </c>
      <c r="X31" s="206" t="str">
        <f>IF(AND($A31&gt;=SYear_O, $A31&lt;=EYear_O, X$3&gt;0), X$3 * VLOOKUP($A31, Data_All!$A$8:$CA$153, MATCH(X$2, Data_All!$B$2:$CA$2, 0)+1), "")</f>
        <v/>
      </c>
      <c r="Y31" s="206" t="str">
        <f>IF(AND($A31&gt;=SYear_O, $A31&lt;=EYear_O, Y$3&gt;0), Y$3 * VLOOKUP($A31, Data_All!$A$8:$CA$153, MATCH(Y$2, Data_All!$B$2:$CA$2, 0)+1), "")</f>
        <v/>
      </c>
      <c r="Z31" s="206" t="str">
        <f>IF(AND($A31&gt;=SYear_O, $A31&lt;=EYear_O, Z$3&gt;0), Z$3 * VLOOKUP($A31, Data_All!$A$8:$CA$153, MATCH(Z$2, Data_All!$B$2:$CA$2, 0)+1), "")</f>
        <v/>
      </c>
      <c r="AA31" s="206" t="str">
        <f>IF(AND($A31&gt;=SYear_O, $A31&lt;=EYear_O, AA$3&gt;0), AA$3 * VLOOKUP($A31, Data_All!$A$8:$CA$153, MATCH(AA$2, Data_All!$B$2:$CA$2, 0)+1), "")</f>
        <v/>
      </c>
      <c r="AB31" s="206" t="str">
        <f>IF(AND($A31&gt;=SYear_O, $A31&lt;=EYear_O, AB$3&gt;0), AB$3 * VLOOKUP($A31, Data_All!$A$8:$CA$153, MATCH(AB$2, Data_All!$B$2:$CA$2, 0)+1), "")</f>
        <v/>
      </c>
      <c r="AC31" s="206" t="str">
        <f>IF(AND($A31&gt;=SYear_O, $A31&lt;=EYear_O, AC$3&gt;0), AC$3 * VLOOKUP($A31, Data_All!$A$8:$CA$153, MATCH(AC$2, Data_All!$B$2:$CA$2, 0)+1), "")</f>
        <v/>
      </c>
      <c r="AD31" s="206" t="str">
        <f>IF(AND($A31&gt;=SYear_O, $A31&lt;=EYear_O, AD$3&gt;0), AD$3 * VLOOKUP($A31, Data_All!$A$8:$CA$153, MATCH(AD$2, Data_All!$B$2:$CA$2, 0)+1), "")</f>
        <v/>
      </c>
      <c r="AE31" s="206" t="str">
        <f>IF(AND($A31&gt;=SYear_O, $A31&lt;=EYear_O, AE$3&gt;0), AE$3 * VLOOKUP($A31, Data_All!$A$8:$CA$153, MATCH(AE$2, Data_All!$B$2:$CA$2, 0)+1), "")</f>
        <v/>
      </c>
      <c r="AF31" s="206" t="str">
        <f>IF(AND($A31&gt;=SYear_O, $A31&lt;=EYear_O, AF$3&gt;0), AF$3 * VLOOKUP($A31, Data_All!$A$8:$CA$153, MATCH(AF$2, Data_All!$B$2:$CA$2, 0)+1), "")</f>
        <v/>
      </c>
      <c r="AG31" s="206" t="str">
        <f>IF(AND($A31&gt;=SYear_O, $A31&lt;=EYear_O, AG$3&gt;0), AG$3 * VLOOKUP($A31, Data_All!$A$8:$CA$153, MATCH(AG$2, Data_All!$B$2:$CA$2, 0)+1), "")</f>
        <v/>
      </c>
      <c r="AH31" s="206" t="str">
        <f>IF(AND($A31&gt;=SYear_O, $A31&lt;=EYear_O, AH$3&gt;0), AH$3 * VLOOKUP($A31, Data_All!$A$8:$CA$153, MATCH(AH$2, Data_All!$B$2:$CA$2, 0)+1), "")</f>
        <v/>
      </c>
      <c r="AI31" s="206" t="str">
        <f>IF(AND($A31&gt;=SYear_O, $A31&lt;=EYear_O, AI$3&gt;0), AI$3 * VLOOKUP($A31, Data_All!$A$8:$CA$153, MATCH(AI$2, Data_All!$B$2:$CA$2, 0)+1), "")</f>
        <v/>
      </c>
      <c r="AJ31" s="206" t="str">
        <f>IF(AND($A31&gt;=SYear_O, $A31&lt;=EYear_O, AJ$3&gt;0), AJ$3 * VLOOKUP($A31, Data_All!$A$8:$CA$153, MATCH(AJ$2, Data_All!$B$2:$CA$2, 0)+1), "")</f>
        <v/>
      </c>
      <c r="AK31" s="206" t="str">
        <f>IF(AND($A31&gt;=SYear_O, $A31&lt;=EYear_O, AK$3&gt;0), AK$3 * VLOOKUP($A31, Data_All!$A$8:$CA$153, MATCH(AK$2, Data_All!$B$2:$CA$2, 0)+1), "")</f>
        <v/>
      </c>
      <c r="AL31" s="206" t="str">
        <f>IF(AND($A31&gt;=SYear_O, $A31&lt;=EYear_O, AL$3&gt;0), AL$3 * VLOOKUP($A31, Data_All!$A$8:$CA$153, MATCH(AL$2, Data_All!$B$2:$CA$2, 0)+1), "")</f>
        <v/>
      </c>
      <c r="AM31" s="206" t="str">
        <f>IF(AND($A31&gt;=SYear_O, $A31&lt;=EYear_O, AM$3&gt;0), AM$3 * VLOOKUP($A31, Data_All!$A$8:$CA$153, MATCH(AM$2, Data_All!$B$2:$CA$2, 0)+1), "")</f>
        <v/>
      </c>
      <c r="AN31" s="206" t="str">
        <f>IF(AND($A31&gt;=SYear_O, $A31&lt;=EYear_O, AN$3&gt;0), AN$3 * VLOOKUP($A31, Data_All!$A$8:$CA$153, MATCH(AN$2, Data_All!$B$2:$CA$2, 0)+1), "")</f>
        <v/>
      </c>
      <c r="AO31" s="206" t="str">
        <f>IF(AND($A31&gt;=SYear_O, $A31&lt;=EYear_O, AO$3&gt;0), AO$3 * VLOOKUP($A31, Data_All!$A$8:$CA$153, MATCH(AO$2, Data_All!$B$2:$CA$2, 0)+1), "")</f>
        <v/>
      </c>
      <c r="AP31" s="206" t="str">
        <f>IF(AND($A31&gt;=SYear_O, $A31&lt;=EYear_O, AP$3&gt;0), AP$3 * VLOOKUP($A31, Data_All!$A$8:$CA$153, MATCH(AP$2, Data_All!$B$2:$CA$2, 0)+1), "")</f>
        <v/>
      </c>
      <c r="AQ31" s="206" t="str">
        <f>IF(AND($A31&gt;=SYear_O, $A31&lt;=EYear_O, AQ$3&gt;0), AQ$3 * VLOOKUP($A31, Data_All!$A$8:$CA$153, MATCH(AQ$2, Data_All!$B$2:$CA$2, 0)+1), "")</f>
        <v/>
      </c>
      <c r="AR31" s="206" t="str">
        <f>IF(AND($A31&gt;=SYear_O, $A31&lt;=EYear_O, AR$3&gt;0), AR$3 * VLOOKUP($A31, Data_All!$A$8:$CA$153, MATCH(AR$2, Data_All!$B$2:$CA$2, 0)+1), "")</f>
        <v/>
      </c>
      <c r="AS31" s="206" t="str">
        <f>IF(AND($A31&gt;=SYear_O, $A31&lt;=EYear_O, AS$3&gt;0), AS$3 * VLOOKUP($A31, Data_All!$A$8:$CA$153, MATCH(AS$2, Data_All!$B$2:$CA$2, 0)+1), "")</f>
        <v/>
      </c>
      <c r="AT31" s="206" t="str">
        <f>IF(AND($A31&gt;=SYear_O, $A31&lt;=EYear_O, AT$3&gt;0), AT$3 * VLOOKUP($A31, Data_All!$A$8:$CA$153, MATCH(AT$2, Data_All!$B$2:$CA$2, 0)+1), "")</f>
        <v/>
      </c>
      <c r="AU31" s="206" t="str">
        <f>IF(AND($A31&gt;=SYear_O, $A31&lt;=EYear_O, AU$3&gt;0), AU$3 * VLOOKUP($A31, Data_All!$A$8:$CA$153, MATCH(AU$2, Data_All!$B$2:$CA$2, 0)+1), "")</f>
        <v/>
      </c>
      <c r="AV31" s="206" t="str">
        <f>IF(AND($A31&gt;=SYear_O, $A31&lt;=EYear_O, AV$3&gt;0), AV$3 * VLOOKUP($A31, Data_All!$A$8:$CA$153, MATCH(AV$2, Data_All!$B$2:$CA$2, 0)+1), "")</f>
        <v/>
      </c>
      <c r="AW31" s="206" t="str">
        <f>IF(AND($A31&gt;=SYear_O, $A31&lt;=EYear_O, AW$3&gt;0), AW$3 * VLOOKUP($A31, Data_All!$A$8:$CA$153, MATCH(AW$2, Data_All!$B$2:$CA$2, 0)+1), "")</f>
        <v/>
      </c>
      <c r="AX31" s="206" t="str">
        <f>IF(AND($A31&gt;=SYear_O, $A31&lt;=EYear_O, AX$3&gt;0), AX$3 * VLOOKUP($A31, Data_All!$A$8:$CA$153, MATCH(AX$2, Data_All!$B$2:$CA$2, 0)+1), "")</f>
        <v/>
      </c>
      <c r="AY31" s="206" t="str">
        <f>IF(AND($A31&gt;=SYear_O, $A31&lt;=EYear_O, AY$3&gt;0), AY$3 * VLOOKUP($A31, Data_All!$A$8:$CA$153, MATCH(AY$2, Data_All!$B$2:$CA$2, 0)+1), "")</f>
        <v/>
      </c>
      <c r="AZ31" s="206" t="str">
        <f>IF(AND($A31&gt;=SYear_O, $A31&lt;=EYear_O, AZ$3&gt;0), AZ$3 * VLOOKUP($A31, Data_All!$A$8:$CA$153, MATCH(AZ$2, Data_All!$B$2:$CA$2, 0)+1), "")</f>
        <v/>
      </c>
      <c r="BA31" s="206" t="str">
        <f>IF(AND($A31&gt;=SYear_O, $A31&lt;=EYear_O, BA$3&gt;0), BA$3 * VLOOKUP($A31, Data_All!$A$8:$CA$153, MATCH(BA$2, Data_All!$B$2:$CA$2, 0)+1), "")</f>
        <v/>
      </c>
      <c r="BB31" s="206" t="str">
        <f>IF(AND($A31&gt;=SYear_O, $A31&lt;=EYear_O, BB$3&gt;0), BB$3 * VLOOKUP($A31, Data_All!$A$8:$CA$153, MATCH(BB$2, Data_All!$B$2:$CA$2, 0)+1), "")</f>
        <v/>
      </c>
      <c r="BC31" s="206" t="str">
        <f>IF(AND($A31&gt;=SYear_O, $A31&lt;=EYear_O, BC$3&gt;0), BC$3 * VLOOKUP($A31, Data_All!$A$8:$CA$153, MATCH(BC$2, Data_All!$B$2:$CA$2, 0)+1), "")</f>
        <v/>
      </c>
      <c r="BD31" s="206" t="str">
        <f>IF(AND($A31&gt;=SYear_O, $A31&lt;=EYear_O, BD$3&gt;0), BD$3 * VLOOKUP($A31, Data_All!$A$8:$CA$153, MATCH(BD$2, Data_All!$B$2:$CA$2, 0)+1), "")</f>
        <v/>
      </c>
      <c r="BE31" s="206" t="str">
        <f>IF(AND($A31&gt;=SYear_O, $A31&lt;=EYear_O, BE$3&gt;0), BE$3 * VLOOKUP($A31, Data_All!$A$8:$CA$153, MATCH(BE$2, Data_All!$B$2:$CA$2, 0)+1), "")</f>
        <v/>
      </c>
      <c r="BF31" s="206" t="str">
        <f>IF(AND($A31&gt;=SYear_O, $A31&lt;=EYear_O, BF$3&gt;0), BF$3 * VLOOKUP($A31, Data_All!$A$8:$CA$153, MATCH(BF$2, Data_All!$B$2:$CA$2, 0)+1), "")</f>
        <v/>
      </c>
      <c r="BG31" s="206" t="str">
        <f>IF(AND($A31&gt;=SYear_O, $A31&lt;=EYear_O, BG$3&gt;0), BG$3 * VLOOKUP($A31, Data_All!$A$8:$CA$153, MATCH(BG$2, Data_All!$B$2:$CA$2, 0)+1), "")</f>
        <v/>
      </c>
      <c r="BH31" s="206" t="str">
        <f>IF(AND($A31&gt;=SYear_O, $A31&lt;=EYear_O, BH$3&gt;0), BH$3 * VLOOKUP($A31, Data_All!$A$8:$CA$153, MATCH(BH$2, Data_All!$B$2:$CA$2, 0)+1), "")</f>
        <v/>
      </c>
      <c r="BI31" s="206" t="str">
        <f>IF(AND($A31&gt;=SYear_O, $A31&lt;=EYear_O, BI$3&gt;0), BI$3 * VLOOKUP($A31, Data_All!$A$8:$CA$153, MATCH(BI$2, Data_All!$B$2:$CA$2, 0)+1), "")</f>
        <v/>
      </c>
      <c r="BJ31" s="206" t="str">
        <f>IF(AND($A31&gt;=SYear_O, $A31&lt;=EYear_O, BJ$3&gt;0), BJ$3 * VLOOKUP($A31, Data_All!$A$8:$CA$153, MATCH(BJ$2, Data_All!$B$2:$CA$2, 0)+1), "")</f>
        <v/>
      </c>
      <c r="BK31" s="206" t="str">
        <f>IF(AND($A31&gt;=SYear_O, $A31&lt;=EYear_O, BK$3&gt;0), BK$3 * VLOOKUP($A31, Data_All!$A$8:$CA$153, MATCH(BK$2, Data_All!$B$2:$CA$2, 0)+1), "")</f>
        <v/>
      </c>
      <c r="BL31" s="206" t="str">
        <f>IF(AND($A31&gt;=SYear_O, $A31&lt;=EYear_O, BL$3&gt;0), BL$3 * VLOOKUP($A31, Data_All!$A$8:$CA$153, MATCH(BL$2, Data_All!$B$2:$CA$2, 0)+1), "")</f>
        <v/>
      </c>
      <c r="BM31" s="206" t="str">
        <f>IF(AND($A31&gt;=SYear_O, $A31&lt;=EYear_O, BM$3&gt;0), BM$3 * VLOOKUP($A31, Data_All!$A$8:$CA$153, MATCH(BM$2, Data_All!$B$2:$CA$2, 0)+1), "")</f>
        <v/>
      </c>
      <c r="BN31" s="206" t="str">
        <f>IF(AND($A31&gt;=SYear_O, $A31&lt;=EYear_O, BN$3&gt;0), BN$3 * VLOOKUP($A31, Data_All!$A$8:$CA$153, MATCH(BN$2, Data_All!$B$2:$CA$2, 0)+1), "")</f>
        <v/>
      </c>
      <c r="BO31" s="206" t="str">
        <f>IF(AND($A31&gt;=SYear_O, $A31&lt;=EYear_O, BO$3&gt;0), BO$3 * VLOOKUP($A31, Data_All!$A$8:$CA$153, MATCH(BO$2, Data_All!$B$2:$CA$2, 0)+1), "")</f>
        <v/>
      </c>
      <c r="BP31" s="206" t="str">
        <f>IF(AND($A31&gt;=SYear_O, $A31&lt;=EYear_O, BP$3&gt;0), BP$3 * VLOOKUP($A31, Data_All!$A$8:$CA$153, MATCH(BP$2, Data_All!$B$2:$CA$2, 0)+1), "")</f>
        <v/>
      </c>
      <c r="BQ31" s="206" t="str">
        <f>IF(AND($A31&gt;=SYear_O, $A31&lt;=EYear_O, BQ$3&gt;0), BQ$3 * VLOOKUP($A31, Data_All!$A$8:$CA$153, MATCH(BQ$2, Data_All!$B$2:$CA$2, 0)+1), "")</f>
        <v/>
      </c>
      <c r="BR31" s="206" t="str">
        <f>IF(AND($A31&gt;=SYear_O, $A31&lt;=EYear_O, BR$3&gt;0), BR$3 * VLOOKUP($A31, Data_All!$A$8:$CA$153, MATCH(BR$2, Data_All!$B$2:$CA$2, 0)+1), "")</f>
        <v/>
      </c>
      <c r="BS31" s="206" t="str">
        <f>IF(AND($A31&gt;=SYear_O, $A31&lt;=EYear_O, BS$3&gt;0), BS$3 * VLOOKUP($A31, Data_All!$A$8:$CA$153, MATCH(BS$2, Data_All!$B$2:$CA$2, 0)+1), "")</f>
        <v/>
      </c>
      <c r="BT31" s="206" t="str">
        <f>IF(AND($A31&gt;=SYear_O, $A31&lt;=EYear_O, BT$3&gt;0), BT$3 * VLOOKUP($A31, Data_All!$A$8:$CA$153, MATCH(BT$2, Data_All!$B$2:$CA$2, 0)+1), "")</f>
        <v/>
      </c>
      <c r="BU31" s="206" t="str">
        <f>IF(AND($A31&gt;=SYear_O, $A31&lt;=EYear_O, BU$3&gt;0), BU$3 * VLOOKUP($A31, Data_All!$A$8:$CA$153, MATCH(BU$2, Data_All!$B$2:$CA$2, 0)+1), "")</f>
        <v/>
      </c>
      <c r="BV31" s="206" t="str">
        <f>IF(AND($A31&gt;=SYear_O, $A31&lt;=EYear_O, BV$3&gt;0), BV$3 * VLOOKUP($A31, Data_All!$A$8:$CA$153, MATCH(BV$2, Data_All!$B$2:$CA$2, 0)+1), "")</f>
        <v/>
      </c>
      <c r="BW31" s="206" t="str">
        <f>IF(AND($A31&gt;=SYear_O, $A31&lt;=EYear_O, BW$3&gt;0), BW$3 * VLOOKUP($A31, Data_All!$A$8:$CA$153, MATCH(BW$2, Data_All!$B$2:$CA$2, 0)+1), "")</f>
        <v/>
      </c>
      <c r="BX31" s="206">
        <f>IF(AND($A31&gt;=SYear_O, $A31&lt;=EYear_O, BX$3&gt;0), BX$3 * VLOOKUP($A31, Data_All!$A$8:$CA$153, MATCH(BX$2, Data_All!$B$2:$CA$2, 0)+1), "")</f>
        <v>2.964705882352936</v>
      </c>
      <c r="BY31" s="206">
        <f>IF(AND($A31&gt;=SYear_O, $A31&lt;=EYear_O, BY$3&gt;0), BY$3 * VLOOKUP($A31, Data_All!$A$8:$CA$153, MATCH(BY$2, Data_All!$B$2:$CA$2, 0)+1), "")</f>
        <v>-0.63965814821482336</v>
      </c>
      <c r="BZ31" s="206" t="str">
        <f>IF(AND($A31&gt;=SYear_O, $A31&lt;=EYear_O, BZ$3&gt;0), BZ$3 * VLOOKUP($A31, Data_All!$A$8:$CA$153, MATCH(BZ$2, Data_All!$B$2:$CA$2, 0)+1), "")</f>
        <v/>
      </c>
      <c r="CA31" s="565">
        <f t="shared" si="2"/>
        <v>2.3250477341381126</v>
      </c>
      <c r="CB31" s="427">
        <f t="shared" si="3"/>
        <v>34168.227157737208</v>
      </c>
      <c r="CC31" s="565">
        <f>IF(AND($A31&gt;=SYear_O,$A31&lt;=EYear_O),(CA31-Data_All!CA32)/(1+Data_All!CA32%),"")</f>
        <v>0.86333231811525502</v>
      </c>
      <c r="CD31" s="436">
        <f t="shared" si="4"/>
        <v>63943.318456171713</v>
      </c>
      <c r="CE31" s="438">
        <f t="shared" si="5"/>
        <v>3.0990321932135001</v>
      </c>
      <c r="CF31" s="438">
        <f>IF(AND($A31&gt;=SYear_O,$A31&lt;=EYear_O),MAX($CE$7:CE31),"")</f>
        <v>3.0990321932135001</v>
      </c>
      <c r="CG31" s="209">
        <f t="shared" si="6"/>
        <v>0</v>
      </c>
      <c r="CI31" s="143">
        <f>IF(AND($A31&gt;=SYear_O,$A31&lt;=EYear_O),Data_All!V32,"")</f>
        <v>2.9973024278149669</v>
      </c>
      <c r="CJ31" s="143">
        <f>IF(AND($A31&gt;=SYear_O,$A31&lt;=EYear_O),Data_All!CA32,"")</f>
        <v>1.4492039697961978</v>
      </c>
      <c r="CK31" s="143">
        <f t="shared" si="7"/>
        <v>1.5259838396363112</v>
      </c>
      <c r="CN31" s="61">
        <f t="shared" si="8"/>
        <v>2.3250477341381082E-2</v>
      </c>
      <c r="CO31" s="61">
        <f t="shared" si="9"/>
        <v>6.8112683306433386E-2</v>
      </c>
      <c r="CP31" s="61">
        <f t="shared" si="10"/>
        <v>8.2471426380679169E-2</v>
      </c>
      <c r="CQ31" s="61">
        <f t="shared" si="11"/>
        <v>8.2610386216988241E-2</v>
      </c>
      <c r="CR31" s="61">
        <f t="shared" si="12"/>
        <v>7.7322922108973069E-2</v>
      </c>
      <c r="CU31" s="61">
        <f t="shared" si="13"/>
        <v>8.633323181152619E-3</v>
      </c>
      <c r="CV31" s="61">
        <f t="shared" si="14"/>
        <v>6.3002267471322426E-2</v>
      </c>
      <c r="CW31" s="61">
        <f t="shared" si="15"/>
        <v>4.3207380662432904E-2</v>
      </c>
      <c r="CX31" s="61">
        <f t="shared" si="16"/>
        <v>5.5402913297450729E-2</v>
      </c>
      <c r="CY31" s="61">
        <f t="shared" si="17"/>
        <v>4.8254921195329592E-2</v>
      </c>
    </row>
    <row r="32" spans="1:103">
      <c r="A32" s="204">
        <f t="shared" si="18"/>
        <v>1896</v>
      </c>
      <c r="B32" s="206" t="str">
        <f>IF(AND($A32&gt;=SYear_O, $A32&lt;=EYear_O, B$3&gt;0), B$3 * VLOOKUP($A32, Data_All!$A$8:$CA$153, MATCH(B$2, Data_All!$B$2:$CA$2, 0)+1), "")</f>
        <v/>
      </c>
      <c r="C32" s="206" t="str">
        <f>IF(AND($A32&gt;=SYear_O, $A32&lt;=EYear_O, C$3&gt;0), C$3 * VLOOKUP($A32, Data_All!$A$8:$CA$153, MATCH(C$2, Data_All!$B$2:$CA$2, 0)+1), "")</f>
        <v/>
      </c>
      <c r="D32" s="206" t="str">
        <f>IF(AND($A32&gt;=SYear_O, $A32&lt;=EYear_O, D$3&gt;0), D$3 * VLOOKUP($A32, Data_All!$A$8:$CA$153, MATCH(D$2, Data_All!$B$2:$CA$2, 0)+1), "")</f>
        <v/>
      </c>
      <c r="E32" s="206" t="str">
        <f>IF(AND($A32&gt;=SYear_O, $A32&lt;=EYear_O, E$3&gt;0), E$3 * VLOOKUP($A32, Data_All!$A$8:$CA$153, MATCH(E$2, Data_All!$B$2:$CA$2, 0)+1), "")</f>
        <v/>
      </c>
      <c r="F32" s="206" t="str">
        <f>IF(AND($A32&gt;=SYear_O, $A32&lt;=EYear_O, F$3&gt;0), F$3 * VLOOKUP($A32, Data_All!$A$8:$CA$153, MATCH(F$2, Data_All!$B$2:$CA$2, 0)+1), "")</f>
        <v/>
      </c>
      <c r="G32" s="206" t="str">
        <f>IF(AND($A32&gt;=SYear_O, $A32&lt;=EYear_O, G$3&gt;0), G$3 * VLOOKUP($A32, Data_All!$A$8:$CA$153, MATCH(G$2, Data_All!$B$2:$CA$2, 0)+1), "")</f>
        <v/>
      </c>
      <c r="H32" s="206" t="str">
        <f>IF(AND($A32&gt;=SYear_O, $A32&lt;=EYear_O, H$3&gt;0), H$3 * VLOOKUP($A32, Data_All!$A$8:$CA$153, MATCH(H$2, Data_All!$B$2:$CA$2, 0)+1), "")</f>
        <v/>
      </c>
      <c r="I32" s="206" t="str">
        <f>IF(AND($A32&gt;=SYear_O, $A32&lt;=EYear_O, I$3&gt;0), I$3 * VLOOKUP($A32, Data_All!$A$8:$CA$153, MATCH(I$2, Data_All!$B$2:$CA$2, 0)+1), "")</f>
        <v/>
      </c>
      <c r="J32" s="206" t="str">
        <f>IF(AND($A32&gt;=SYear_O, $A32&lt;=EYear_O, J$3&gt;0), J$3 * VLOOKUP($A32, Data_All!$A$8:$CA$153, MATCH(J$2, Data_All!$B$2:$CA$2, 0)+1), "")</f>
        <v/>
      </c>
      <c r="K32" s="206" t="str">
        <f>IF(AND($A32&gt;=SYear_O, $A32&lt;=EYear_O, K$3&gt;0), K$3 * VLOOKUP($A32, Data_All!$A$8:$CA$153, MATCH(K$2, Data_All!$B$2:$CA$2, 0)+1), "")</f>
        <v/>
      </c>
      <c r="L32" s="206" t="str">
        <f>IF(AND($A32&gt;=SYear_O, $A32&lt;=EYear_O, L$3&gt;0), L$3 * VLOOKUP($A32, Data_All!$A$8:$CA$153, MATCH(L$2, Data_All!$B$2:$CA$2, 0)+1), "")</f>
        <v/>
      </c>
      <c r="M32" s="206" t="str">
        <f>IF(AND($A32&gt;=SYear_O, $A32&lt;=EYear_O, M$3&gt;0), M$3 * VLOOKUP($A32, Data_All!$A$8:$CA$153, MATCH(M$2, Data_All!$B$2:$CA$2, 0)+1), "")</f>
        <v/>
      </c>
      <c r="N32" s="206" t="str">
        <f>IF(AND($A32&gt;=SYear_O, $A32&lt;=EYear_O, N$3&gt;0), N$3 * VLOOKUP($A32, Data_All!$A$8:$CA$153, MATCH(N$2, Data_All!$B$2:$CA$2, 0)+1), "")</f>
        <v/>
      </c>
      <c r="O32" s="206" t="str">
        <f>IF(AND($A32&gt;=SYear_O, $A32&lt;=EYear_O, O$3&gt;0), O$3 * VLOOKUP($A32, Data_All!$A$8:$CA$153, MATCH(O$2, Data_All!$B$2:$CA$2, 0)+1), "")</f>
        <v/>
      </c>
      <c r="P32" s="206" t="str">
        <f>IF(AND($A32&gt;=SYear_O, $A32&lt;=EYear_O, P$3&gt;0), P$3 * VLOOKUP($A32, Data_All!$A$8:$CA$153, MATCH(P$2, Data_All!$B$2:$CA$2, 0)+1), "")</f>
        <v/>
      </c>
      <c r="Q32" s="206" t="str">
        <f>IF(AND($A32&gt;=SYear_O, $A32&lt;=EYear_O, Q$3&gt;0), Q$3 * VLOOKUP($A32, Data_All!$A$8:$CA$153, MATCH(Q$2, Data_All!$B$2:$CA$2, 0)+1), "")</f>
        <v/>
      </c>
      <c r="R32" s="206" t="str">
        <f>IF(AND($A32&gt;=SYear_O, $A32&lt;=EYear_O, R$3&gt;0), R$3 * VLOOKUP($A32, Data_All!$A$8:$CA$153, MATCH(R$2, Data_All!$B$2:$CA$2, 0)+1), "")</f>
        <v/>
      </c>
      <c r="S32" s="206" t="str">
        <f>IF(AND($A32&gt;=SYear_O, $A32&lt;=EYear_O, S$3&gt;0), S$3 * VLOOKUP($A32, Data_All!$A$8:$CA$153, MATCH(S$2, Data_All!$B$2:$CA$2, 0)+1), "")</f>
        <v/>
      </c>
      <c r="T32" s="206" t="str">
        <f>IF(AND($A32&gt;=SYear_O, $A32&lt;=EYear_O, T$3&gt;0), T$3 * VLOOKUP($A32, Data_All!$A$8:$CA$153, MATCH(T$2, Data_All!$B$2:$CA$2, 0)+1), "")</f>
        <v/>
      </c>
      <c r="U32" s="206" t="str">
        <f>IF(AND($A32&gt;=SYear_O, $A32&lt;=EYear_O, U$3&gt;0), U$3 * VLOOKUP($A32, Data_All!$A$8:$CA$153, MATCH(U$2, Data_All!$B$2:$CA$2, 0)+1), "")</f>
        <v/>
      </c>
      <c r="V32" s="206" t="str">
        <f>IF(AND($A32&gt;=SYear_O, $A32&lt;=EYear_O, V$3&gt;0), V$3 * VLOOKUP($A32, Data_All!$A$8:$CA$153, MATCH(V$2, Data_All!$B$2:$CA$2, 0)+1), "")</f>
        <v/>
      </c>
      <c r="W32" s="206" t="str">
        <f>IF(AND($A32&gt;=SYear_O, $A32&lt;=EYear_O, W$3&gt;0), W$3 * VLOOKUP($A32, Data_All!$A$8:$CA$153, MATCH(W$2, Data_All!$B$2:$CA$2, 0)+1), "")</f>
        <v/>
      </c>
      <c r="X32" s="206" t="str">
        <f>IF(AND($A32&gt;=SYear_O, $A32&lt;=EYear_O, X$3&gt;0), X$3 * VLOOKUP($A32, Data_All!$A$8:$CA$153, MATCH(X$2, Data_All!$B$2:$CA$2, 0)+1), "")</f>
        <v/>
      </c>
      <c r="Y32" s="206" t="str">
        <f>IF(AND($A32&gt;=SYear_O, $A32&lt;=EYear_O, Y$3&gt;0), Y$3 * VLOOKUP($A32, Data_All!$A$8:$CA$153, MATCH(Y$2, Data_All!$B$2:$CA$2, 0)+1), "")</f>
        <v/>
      </c>
      <c r="Z32" s="206" t="str">
        <f>IF(AND($A32&gt;=SYear_O, $A32&lt;=EYear_O, Z$3&gt;0), Z$3 * VLOOKUP($A32, Data_All!$A$8:$CA$153, MATCH(Z$2, Data_All!$B$2:$CA$2, 0)+1), "")</f>
        <v/>
      </c>
      <c r="AA32" s="206" t="str">
        <f>IF(AND($A32&gt;=SYear_O, $A32&lt;=EYear_O, AA$3&gt;0), AA$3 * VLOOKUP($A32, Data_All!$A$8:$CA$153, MATCH(AA$2, Data_All!$B$2:$CA$2, 0)+1), "")</f>
        <v/>
      </c>
      <c r="AB32" s="206" t="str">
        <f>IF(AND($A32&gt;=SYear_O, $A32&lt;=EYear_O, AB$3&gt;0), AB$3 * VLOOKUP($A32, Data_All!$A$8:$CA$153, MATCH(AB$2, Data_All!$B$2:$CA$2, 0)+1), "")</f>
        <v/>
      </c>
      <c r="AC32" s="206" t="str">
        <f>IF(AND($A32&gt;=SYear_O, $A32&lt;=EYear_O, AC$3&gt;0), AC$3 * VLOOKUP($A32, Data_All!$A$8:$CA$153, MATCH(AC$2, Data_All!$B$2:$CA$2, 0)+1), "")</f>
        <v/>
      </c>
      <c r="AD32" s="206" t="str">
        <f>IF(AND($A32&gt;=SYear_O, $A32&lt;=EYear_O, AD$3&gt;0), AD$3 * VLOOKUP($A32, Data_All!$A$8:$CA$153, MATCH(AD$2, Data_All!$B$2:$CA$2, 0)+1), "")</f>
        <v/>
      </c>
      <c r="AE32" s="206" t="str">
        <f>IF(AND($A32&gt;=SYear_O, $A32&lt;=EYear_O, AE$3&gt;0), AE$3 * VLOOKUP($A32, Data_All!$A$8:$CA$153, MATCH(AE$2, Data_All!$B$2:$CA$2, 0)+1), "")</f>
        <v/>
      </c>
      <c r="AF32" s="206" t="str">
        <f>IF(AND($A32&gt;=SYear_O, $A32&lt;=EYear_O, AF$3&gt;0), AF$3 * VLOOKUP($A32, Data_All!$A$8:$CA$153, MATCH(AF$2, Data_All!$B$2:$CA$2, 0)+1), "")</f>
        <v/>
      </c>
      <c r="AG32" s="206" t="str">
        <f>IF(AND($A32&gt;=SYear_O, $A32&lt;=EYear_O, AG$3&gt;0), AG$3 * VLOOKUP($A32, Data_All!$A$8:$CA$153, MATCH(AG$2, Data_All!$B$2:$CA$2, 0)+1), "")</f>
        <v/>
      </c>
      <c r="AH32" s="206" t="str">
        <f>IF(AND($A32&gt;=SYear_O, $A32&lt;=EYear_O, AH$3&gt;0), AH$3 * VLOOKUP($A32, Data_All!$A$8:$CA$153, MATCH(AH$2, Data_All!$B$2:$CA$2, 0)+1), "")</f>
        <v/>
      </c>
      <c r="AI32" s="206" t="str">
        <f>IF(AND($A32&gt;=SYear_O, $A32&lt;=EYear_O, AI$3&gt;0), AI$3 * VLOOKUP($A32, Data_All!$A$8:$CA$153, MATCH(AI$2, Data_All!$B$2:$CA$2, 0)+1), "")</f>
        <v/>
      </c>
      <c r="AJ32" s="206" t="str">
        <f>IF(AND($A32&gt;=SYear_O, $A32&lt;=EYear_O, AJ$3&gt;0), AJ$3 * VLOOKUP($A32, Data_All!$A$8:$CA$153, MATCH(AJ$2, Data_All!$B$2:$CA$2, 0)+1), "")</f>
        <v/>
      </c>
      <c r="AK32" s="206" t="str">
        <f>IF(AND($A32&gt;=SYear_O, $A32&lt;=EYear_O, AK$3&gt;0), AK$3 * VLOOKUP($A32, Data_All!$A$8:$CA$153, MATCH(AK$2, Data_All!$B$2:$CA$2, 0)+1), "")</f>
        <v/>
      </c>
      <c r="AL32" s="206" t="str">
        <f>IF(AND($A32&gt;=SYear_O, $A32&lt;=EYear_O, AL$3&gt;0), AL$3 * VLOOKUP($A32, Data_All!$A$8:$CA$153, MATCH(AL$2, Data_All!$B$2:$CA$2, 0)+1), "")</f>
        <v/>
      </c>
      <c r="AM32" s="206" t="str">
        <f>IF(AND($A32&gt;=SYear_O, $A32&lt;=EYear_O, AM$3&gt;0), AM$3 * VLOOKUP($A32, Data_All!$A$8:$CA$153, MATCH(AM$2, Data_All!$B$2:$CA$2, 0)+1), "")</f>
        <v/>
      </c>
      <c r="AN32" s="206" t="str">
        <f>IF(AND($A32&gt;=SYear_O, $A32&lt;=EYear_O, AN$3&gt;0), AN$3 * VLOOKUP($A32, Data_All!$A$8:$CA$153, MATCH(AN$2, Data_All!$B$2:$CA$2, 0)+1), "")</f>
        <v/>
      </c>
      <c r="AO32" s="206" t="str">
        <f>IF(AND($A32&gt;=SYear_O, $A32&lt;=EYear_O, AO$3&gt;0), AO$3 * VLOOKUP($A32, Data_All!$A$8:$CA$153, MATCH(AO$2, Data_All!$B$2:$CA$2, 0)+1), "")</f>
        <v/>
      </c>
      <c r="AP32" s="206" t="str">
        <f>IF(AND($A32&gt;=SYear_O, $A32&lt;=EYear_O, AP$3&gt;0), AP$3 * VLOOKUP($A32, Data_All!$A$8:$CA$153, MATCH(AP$2, Data_All!$B$2:$CA$2, 0)+1), "")</f>
        <v/>
      </c>
      <c r="AQ32" s="206" t="str">
        <f>IF(AND($A32&gt;=SYear_O, $A32&lt;=EYear_O, AQ$3&gt;0), AQ$3 * VLOOKUP($A32, Data_All!$A$8:$CA$153, MATCH(AQ$2, Data_All!$B$2:$CA$2, 0)+1), "")</f>
        <v/>
      </c>
      <c r="AR32" s="206" t="str">
        <f>IF(AND($A32&gt;=SYear_O, $A32&lt;=EYear_O, AR$3&gt;0), AR$3 * VLOOKUP($A32, Data_All!$A$8:$CA$153, MATCH(AR$2, Data_All!$B$2:$CA$2, 0)+1), "")</f>
        <v/>
      </c>
      <c r="AS32" s="206" t="str">
        <f>IF(AND($A32&gt;=SYear_O, $A32&lt;=EYear_O, AS$3&gt;0), AS$3 * VLOOKUP($A32, Data_All!$A$8:$CA$153, MATCH(AS$2, Data_All!$B$2:$CA$2, 0)+1), "")</f>
        <v/>
      </c>
      <c r="AT32" s="206" t="str">
        <f>IF(AND($A32&gt;=SYear_O, $A32&lt;=EYear_O, AT$3&gt;0), AT$3 * VLOOKUP($A32, Data_All!$A$8:$CA$153, MATCH(AT$2, Data_All!$B$2:$CA$2, 0)+1), "")</f>
        <v/>
      </c>
      <c r="AU32" s="206" t="str">
        <f>IF(AND($A32&gt;=SYear_O, $A32&lt;=EYear_O, AU$3&gt;0), AU$3 * VLOOKUP($A32, Data_All!$A$8:$CA$153, MATCH(AU$2, Data_All!$B$2:$CA$2, 0)+1), "")</f>
        <v/>
      </c>
      <c r="AV32" s="206" t="str">
        <f>IF(AND($A32&gt;=SYear_O, $A32&lt;=EYear_O, AV$3&gt;0), AV$3 * VLOOKUP($A32, Data_All!$A$8:$CA$153, MATCH(AV$2, Data_All!$B$2:$CA$2, 0)+1), "")</f>
        <v/>
      </c>
      <c r="AW32" s="206" t="str">
        <f>IF(AND($A32&gt;=SYear_O, $A32&lt;=EYear_O, AW$3&gt;0), AW$3 * VLOOKUP($A32, Data_All!$A$8:$CA$153, MATCH(AW$2, Data_All!$B$2:$CA$2, 0)+1), "")</f>
        <v/>
      </c>
      <c r="AX32" s="206" t="str">
        <f>IF(AND($A32&gt;=SYear_O, $A32&lt;=EYear_O, AX$3&gt;0), AX$3 * VLOOKUP($A32, Data_All!$A$8:$CA$153, MATCH(AX$2, Data_All!$B$2:$CA$2, 0)+1), "")</f>
        <v/>
      </c>
      <c r="AY32" s="206" t="str">
        <f>IF(AND($A32&gt;=SYear_O, $A32&lt;=EYear_O, AY$3&gt;0), AY$3 * VLOOKUP($A32, Data_All!$A$8:$CA$153, MATCH(AY$2, Data_All!$B$2:$CA$2, 0)+1), "")</f>
        <v/>
      </c>
      <c r="AZ32" s="206" t="str">
        <f>IF(AND($A32&gt;=SYear_O, $A32&lt;=EYear_O, AZ$3&gt;0), AZ$3 * VLOOKUP($A32, Data_All!$A$8:$CA$153, MATCH(AZ$2, Data_All!$B$2:$CA$2, 0)+1), "")</f>
        <v/>
      </c>
      <c r="BA32" s="206" t="str">
        <f>IF(AND($A32&gt;=SYear_O, $A32&lt;=EYear_O, BA$3&gt;0), BA$3 * VLOOKUP($A32, Data_All!$A$8:$CA$153, MATCH(BA$2, Data_All!$B$2:$CA$2, 0)+1), "")</f>
        <v/>
      </c>
      <c r="BB32" s="206" t="str">
        <f>IF(AND($A32&gt;=SYear_O, $A32&lt;=EYear_O, BB$3&gt;0), BB$3 * VLOOKUP($A32, Data_All!$A$8:$CA$153, MATCH(BB$2, Data_All!$B$2:$CA$2, 0)+1), "")</f>
        <v/>
      </c>
      <c r="BC32" s="206" t="str">
        <f>IF(AND($A32&gt;=SYear_O, $A32&lt;=EYear_O, BC$3&gt;0), BC$3 * VLOOKUP($A32, Data_All!$A$8:$CA$153, MATCH(BC$2, Data_All!$B$2:$CA$2, 0)+1), "")</f>
        <v/>
      </c>
      <c r="BD32" s="206" t="str">
        <f>IF(AND($A32&gt;=SYear_O, $A32&lt;=EYear_O, BD$3&gt;0), BD$3 * VLOOKUP($A32, Data_All!$A$8:$CA$153, MATCH(BD$2, Data_All!$B$2:$CA$2, 0)+1), "")</f>
        <v/>
      </c>
      <c r="BE32" s="206" t="str">
        <f>IF(AND($A32&gt;=SYear_O, $A32&lt;=EYear_O, BE$3&gt;0), BE$3 * VLOOKUP($A32, Data_All!$A$8:$CA$153, MATCH(BE$2, Data_All!$B$2:$CA$2, 0)+1), "")</f>
        <v/>
      </c>
      <c r="BF32" s="206" t="str">
        <f>IF(AND($A32&gt;=SYear_O, $A32&lt;=EYear_O, BF$3&gt;0), BF$3 * VLOOKUP($A32, Data_All!$A$8:$CA$153, MATCH(BF$2, Data_All!$B$2:$CA$2, 0)+1), "")</f>
        <v/>
      </c>
      <c r="BG32" s="206" t="str">
        <f>IF(AND($A32&gt;=SYear_O, $A32&lt;=EYear_O, BG$3&gt;0), BG$3 * VLOOKUP($A32, Data_All!$A$8:$CA$153, MATCH(BG$2, Data_All!$B$2:$CA$2, 0)+1), "")</f>
        <v/>
      </c>
      <c r="BH32" s="206" t="str">
        <f>IF(AND($A32&gt;=SYear_O, $A32&lt;=EYear_O, BH$3&gt;0), BH$3 * VLOOKUP($A32, Data_All!$A$8:$CA$153, MATCH(BH$2, Data_All!$B$2:$CA$2, 0)+1), "")</f>
        <v/>
      </c>
      <c r="BI32" s="206" t="str">
        <f>IF(AND($A32&gt;=SYear_O, $A32&lt;=EYear_O, BI$3&gt;0), BI$3 * VLOOKUP($A32, Data_All!$A$8:$CA$153, MATCH(BI$2, Data_All!$B$2:$CA$2, 0)+1), "")</f>
        <v/>
      </c>
      <c r="BJ32" s="206" t="str">
        <f>IF(AND($A32&gt;=SYear_O, $A32&lt;=EYear_O, BJ$3&gt;0), BJ$3 * VLOOKUP($A32, Data_All!$A$8:$CA$153, MATCH(BJ$2, Data_All!$B$2:$CA$2, 0)+1), "")</f>
        <v/>
      </c>
      <c r="BK32" s="206" t="str">
        <f>IF(AND($A32&gt;=SYear_O, $A32&lt;=EYear_O, BK$3&gt;0), BK$3 * VLOOKUP($A32, Data_All!$A$8:$CA$153, MATCH(BK$2, Data_All!$B$2:$CA$2, 0)+1), "")</f>
        <v/>
      </c>
      <c r="BL32" s="206" t="str">
        <f>IF(AND($A32&gt;=SYear_O, $A32&lt;=EYear_O, BL$3&gt;0), BL$3 * VLOOKUP($A32, Data_All!$A$8:$CA$153, MATCH(BL$2, Data_All!$B$2:$CA$2, 0)+1), "")</f>
        <v/>
      </c>
      <c r="BM32" s="206" t="str">
        <f>IF(AND($A32&gt;=SYear_O, $A32&lt;=EYear_O, BM$3&gt;0), BM$3 * VLOOKUP($A32, Data_All!$A$8:$CA$153, MATCH(BM$2, Data_All!$B$2:$CA$2, 0)+1), "")</f>
        <v/>
      </c>
      <c r="BN32" s="206" t="str">
        <f>IF(AND($A32&gt;=SYear_O, $A32&lt;=EYear_O, BN$3&gt;0), BN$3 * VLOOKUP($A32, Data_All!$A$8:$CA$153, MATCH(BN$2, Data_All!$B$2:$CA$2, 0)+1), "")</f>
        <v/>
      </c>
      <c r="BO32" s="206" t="str">
        <f>IF(AND($A32&gt;=SYear_O, $A32&lt;=EYear_O, BO$3&gt;0), BO$3 * VLOOKUP($A32, Data_All!$A$8:$CA$153, MATCH(BO$2, Data_All!$B$2:$CA$2, 0)+1), "")</f>
        <v/>
      </c>
      <c r="BP32" s="206" t="str">
        <f>IF(AND($A32&gt;=SYear_O, $A32&lt;=EYear_O, BP$3&gt;0), BP$3 * VLOOKUP($A32, Data_All!$A$8:$CA$153, MATCH(BP$2, Data_All!$B$2:$CA$2, 0)+1), "")</f>
        <v/>
      </c>
      <c r="BQ32" s="206" t="str">
        <f>IF(AND($A32&gt;=SYear_O, $A32&lt;=EYear_O, BQ$3&gt;0), BQ$3 * VLOOKUP($A32, Data_All!$A$8:$CA$153, MATCH(BQ$2, Data_All!$B$2:$CA$2, 0)+1), "")</f>
        <v/>
      </c>
      <c r="BR32" s="206" t="str">
        <f>IF(AND($A32&gt;=SYear_O, $A32&lt;=EYear_O, BR$3&gt;0), BR$3 * VLOOKUP($A32, Data_All!$A$8:$CA$153, MATCH(BR$2, Data_All!$B$2:$CA$2, 0)+1), "")</f>
        <v/>
      </c>
      <c r="BS32" s="206" t="str">
        <f>IF(AND($A32&gt;=SYear_O, $A32&lt;=EYear_O, BS$3&gt;0), BS$3 * VLOOKUP($A32, Data_All!$A$8:$CA$153, MATCH(BS$2, Data_All!$B$2:$CA$2, 0)+1), "")</f>
        <v/>
      </c>
      <c r="BT32" s="206" t="str">
        <f>IF(AND($A32&gt;=SYear_O, $A32&lt;=EYear_O, BT$3&gt;0), BT$3 * VLOOKUP($A32, Data_All!$A$8:$CA$153, MATCH(BT$2, Data_All!$B$2:$CA$2, 0)+1), "")</f>
        <v/>
      </c>
      <c r="BU32" s="206" t="str">
        <f>IF(AND($A32&gt;=SYear_O, $A32&lt;=EYear_O, BU$3&gt;0), BU$3 * VLOOKUP($A32, Data_All!$A$8:$CA$153, MATCH(BU$2, Data_All!$B$2:$CA$2, 0)+1), "")</f>
        <v/>
      </c>
      <c r="BV32" s="206" t="str">
        <f>IF(AND($A32&gt;=SYear_O, $A32&lt;=EYear_O, BV$3&gt;0), BV$3 * VLOOKUP($A32, Data_All!$A$8:$CA$153, MATCH(BV$2, Data_All!$B$2:$CA$2, 0)+1), "")</f>
        <v/>
      </c>
      <c r="BW32" s="206" t="str">
        <f>IF(AND($A32&gt;=SYear_O, $A32&lt;=EYear_O, BW$3&gt;0), BW$3 * VLOOKUP($A32, Data_All!$A$8:$CA$153, MATCH(BW$2, Data_All!$B$2:$CA$2, 0)+1), "")</f>
        <v/>
      </c>
      <c r="BX32" s="206">
        <f>IF(AND($A32&gt;=SYear_O, $A32&lt;=EYear_O, BX$3&gt;0), BX$3 * VLOOKUP($A32, Data_All!$A$8:$CA$153, MATCH(BX$2, Data_All!$B$2:$CA$2, 0)+1), "")</f>
        <v>1.8266978922716648</v>
      </c>
      <c r="BY32" s="206">
        <f>IF(AND($A32&gt;=SYear_O, $A32&lt;=EYear_O, BY$3&gt;0), BY$3 * VLOOKUP($A32, Data_All!$A$8:$CA$153, MATCH(BY$2, Data_All!$B$2:$CA$2, 0)+1), "")</f>
        <v>3.3036189238370373</v>
      </c>
      <c r="BZ32" s="206" t="str">
        <f>IF(AND($A32&gt;=SYear_O, $A32&lt;=EYear_O, BZ$3&gt;0), BZ$3 * VLOOKUP($A32, Data_All!$A$8:$CA$153, MATCH(BZ$2, Data_All!$B$2:$CA$2, 0)+1), "")</f>
        <v/>
      </c>
      <c r="CA32" s="565">
        <f t="shared" si="2"/>
        <v>5.130316816108702</v>
      </c>
      <c r="CB32" s="427">
        <f t="shared" si="3"/>
        <v>35921.165461376819</v>
      </c>
      <c r="CC32" s="565">
        <f>IF(AND($A32&gt;=SYear_O,$A32&lt;=EYear_O),(CA32-Data_All!CA33)/(1+Data_All!CA33%),"")</f>
        <v>8.2223658889238926</v>
      </c>
      <c r="CD32" s="436">
        <f t="shared" si="4"/>
        <v>69200.972061157954</v>
      </c>
      <c r="CE32" s="438">
        <f t="shared" si="5"/>
        <v>3.2580223629585543</v>
      </c>
      <c r="CF32" s="438">
        <f>IF(AND($A32&gt;=SYear_O,$A32&lt;=EYear_O),MAX($CE$7:CE32),"")</f>
        <v>3.2580223629585543</v>
      </c>
      <c r="CG32" s="209">
        <f t="shared" si="6"/>
        <v>0</v>
      </c>
      <c r="CI32" s="143">
        <f>IF(AND($A32&gt;=SYear_O,$A32&lt;=EYear_O),Data_All!V33,"")</f>
        <v>5.6649015885702871</v>
      </c>
      <c r="CJ32" s="143">
        <f>IF(AND($A32&gt;=SYear_O,$A32&lt;=EYear_O),Data_All!CA33,"")</f>
        <v>-2.8571257405227812</v>
      </c>
      <c r="CK32" s="143">
        <f t="shared" si="7"/>
        <v>8.7726736459639643</v>
      </c>
      <c r="CN32" s="61">
        <f t="shared" si="8"/>
        <v>5.1303168161086932E-2</v>
      </c>
      <c r="CO32" s="61">
        <f t="shared" si="9"/>
        <v>0.12313495431840638</v>
      </c>
      <c r="CP32" s="61">
        <f t="shared" si="10"/>
        <v>0.10611737193573312</v>
      </c>
      <c r="CQ32" s="61">
        <f t="shared" si="11"/>
        <v>9.3488278687050563E-2</v>
      </c>
      <c r="CR32" s="61">
        <f t="shared" si="12"/>
        <v>7.5913261241974173E-2</v>
      </c>
      <c r="CU32" s="61">
        <f t="shared" si="13"/>
        <v>8.2223658889238882E-2</v>
      </c>
      <c r="CV32" s="61">
        <f t="shared" si="14"/>
        <v>0.11783687720784441</v>
      </c>
      <c r="CW32" s="61">
        <f t="shared" si="15"/>
        <v>7.4295715021920561E-2</v>
      </c>
      <c r="CX32" s="61">
        <f t="shared" si="16"/>
        <v>6.7542308534621842E-2</v>
      </c>
      <c r="CY32" s="61">
        <f t="shared" si="17"/>
        <v>5.276747719434538E-2</v>
      </c>
    </row>
    <row r="33" spans="1:103">
      <c r="A33" s="204">
        <f t="shared" si="18"/>
        <v>1897</v>
      </c>
      <c r="B33" s="206" t="str">
        <f>IF(AND($A33&gt;=SYear_O, $A33&lt;=EYear_O, B$3&gt;0), B$3 * VLOOKUP($A33, Data_All!$A$8:$CA$153, MATCH(B$2, Data_All!$B$2:$CA$2, 0)+1), "")</f>
        <v/>
      </c>
      <c r="C33" s="206" t="str">
        <f>IF(AND($A33&gt;=SYear_O, $A33&lt;=EYear_O, C$3&gt;0), C$3 * VLOOKUP($A33, Data_All!$A$8:$CA$153, MATCH(C$2, Data_All!$B$2:$CA$2, 0)+1), "")</f>
        <v/>
      </c>
      <c r="D33" s="206" t="str">
        <f>IF(AND($A33&gt;=SYear_O, $A33&lt;=EYear_O, D$3&gt;0), D$3 * VLOOKUP($A33, Data_All!$A$8:$CA$153, MATCH(D$2, Data_All!$B$2:$CA$2, 0)+1), "")</f>
        <v/>
      </c>
      <c r="E33" s="206" t="str">
        <f>IF(AND($A33&gt;=SYear_O, $A33&lt;=EYear_O, E$3&gt;0), E$3 * VLOOKUP($A33, Data_All!$A$8:$CA$153, MATCH(E$2, Data_All!$B$2:$CA$2, 0)+1), "")</f>
        <v/>
      </c>
      <c r="F33" s="206" t="str">
        <f>IF(AND($A33&gt;=SYear_O, $A33&lt;=EYear_O, F$3&gt;0), F$3 * VLOOKUP($A33, Data_All!$A$8:$CA$153, MATCH(F$2, Data_All!$B$2:$CA$2, 0)+1), "")</f>
        <v/>
      </c>
      <c r="G33" s="206" t="str">
        <f>IF(AND($A33&gt;=SYear_O, $A33&lt;=EYear_O, G$3&gt;0), G$3 * VLOOKUP($A33, Data_All!$A$8:$CA$153, MATCH(G$2, Data_All!$B$2:$CA$2, 0)+1), "")</f>
        <v/>
      </c>
      <c r="H33" s="206" t="str">
        <f>IF(AND($A33&gt;=SYear_O, $A33&lt;=EYear_O, H$3&gt;0), H$3 * VLOOKUP($A33, Data_All!$A$8:$CA$153, MATCH(H$2, Data_All!$B$2:$CA$2, 0)+1), "")</f>
        <v/>
      </c>
      <c r="I33" s="206" t="str">
        <f>IF(AND($A33&gt;=SYear_O, $A33&lt;=EYear_O, I$3&gt;0), I$3 * VLOOKUP($A33, Data_All!$A$8:$CA$153, MATCH(I$2, Data_All!$B$2:$CA$2, 0)+1), "")</f>
        <v/>
      </c>
      <c r="J33" s="206" t="str">
        <f>IF(AND($A33&gt;=SYear_O, $A33&lt;=EYear_O, J$3&gt;0), J$3 * VLOOKUP($A33, Data_All!$A$8:$CA$153, MATCH(J$2, Data_All!$B$2:$CA$2, 0)+1), "")</f>
        <v/>
      </c>
      <c r="K33" s="206" t="str">
        <f>IF(AND($A33&gt;=SYear_O, $A33&lt;=EYear_O, K$3&gt;0), K$3 * VLOOKUP($A33, Data_All!$A$8:$CA$153, MATCH(K$2, Data_All!$B$2:$CA$2, 0)+1), "")</f>
        <v/>
      </c>
      <c r="L33" s="206" t="str">
        <f>IF(AND($A33&gt;=SYear_O, $A33&lt;=EYear_O, L$3&gt;0), L$3 * VLOOKUP($A33, Data_All!$A$8:$CA$153, MATCH(L$2, Data_All!$B$2:$CA$2, 0)+1), "")</f>
        <v/>
      </c>
      <c r="M33" s="206" t="str">
        <f>IF(AND($A33&gt;=SYear_O, $A33&lt;=EYear_O, M$3&gt;0), M$3 * VLOOKUP($A33, Data_All!$A$8:$CA$153, MATCH(M$2, Data_All!$B$2:$CA$2, 0)+1), "")</f>
        <v/>
      </c>
      <c r="N33" s="206" t="str">
        <f>IF(AND($A33&gt;=SYear_O, $A33&lt;=EYear_O, N$3&gt;0), N$3 * VLOOKUP($A33, Data_All!$A$8:$CA$153, MATCH(N$2, Data_All!$B$2:$CA$2, 0)+1), "")</f>
        <v/>
      </c>
      <c r="O33" s="206" t="str">
        <f>IF(AND($A33&gt;=SYear_O, $A33&lt;=EYear_O, O$3&gt;0), O$3 * VLOOKUP($A33, Data_All!$A$8:$CA$153, MATCH(O$2, Data_All!$B$2:$CA$2, 0)+1), "")</f>
        <v/>
      </c>
      <c r="P33" s="206" t="str">
        <f>IF(AND($A33&gt;=SYear_O, $A33&lt;=EYear_O, P$3&gt;0), P$3 * VLOOKUP($A33, Data_All!$A$8:$CA$153, MATCH(P$2, Data_All!$B$2:$CA$2, 0)+1), "")</f>
        <v/>
      </c>
      <c r="Q33" s="206" t="str">
        <f>IF(AND($A33&gt;=SYear_O, $A33&lt;=EYear_O, Q$3&gt;0), Q$3 * VLOOKUP($A33, Data_All!$A$8:$CA$153, MATCH(Q$2, Data_All!$B$2:$CA$2, 0)+1), "")</f>
        <v/>
      </c>
      <c r="R33" s="206" t="str">
        <f>IF(AND($A33&gt;=SYear_O, $A33&lt;=EYear_O, R$3&gt;0), R$3 * VLOOKUP($A33, Data_All!$A$8:$CA$153, MATCH(R$2, Data_All!$B$2:$CA$2, 0)+1), "")</f>
        <v/>
      </c>
      <c r="S33" s="206" t="str">
        <f>IF(AND($A33&gt;=SYear_O, $A33&lt;=EYear_O, S$3&gt;0), S$3 * VLOOKUP($A33, Data_All!$A$8:$CA$153, MATCH(S$2, Data_All!$B$2:$CA$2, 0)+1), "")</f>
        <v/>
      </c>
      <c r="T33" s="206" t="str">
        <f>IF(AND($A33&gt;=SYear_O, $A33&lt;=EYear_O, T$3&gt;0), T$3 * VLOOKUP($A33, Data_All!$A$8:$CA$153, MATCH(T$2, Data_All!$B$2:$CA$2, 0)+1), "")</f>
        <v/>
      </c>
      <c r="U33" s="206" t="str">
        <f>IF(AND($A33&gt;=SYear_O, $A33&lt;=EYear_O, U$3&gt;0), U$3 * VLOOKUP($A33, Data_All!$A$8:$CA$153, MATCH(U$2, Data_All!$B$2:$CA$2, 0)+1), "")</f>
        <v/>
      </c>
      <c r="V33" s="206" t="str">
        <f>IF(AND($A33&gt;=SYear_O, $A33&lt;=EYear_O, V$3&gt;0), V$3 * VLOOKUP($A33, Data_All!$A$8:$CA$153, MATCH(V$2, Data_All!$B$2:$CA$2, 0)+1), "")</f>
        <v/>
      </c>
      <c r="W33" s="206" t="str">
        <f>IF(AND($A33&gt;=SYear_O, $A33&lt;=EYear_O, W$3&gt;0), W$3 * VLOOKUP($A33, Data_All!$A$8:$CA$153, MATCH(W$2, Data_All!$B$2:$CA$2, 0)+1), "")</f>
        <v/>
      </c>
      <c r="X33" s="206" t="str">
        <f>IF(AND($A33&gt;=SYear_O, $A33&lt;=EYear_O, X$3&gt;0), X$3 * VLOOKUP($A33, Data_All!$A$8:$CA$153, MATCH(X$2, Data_All!$B$2:$CA$2, 0)+1), "")</f>
        <v/>
      </c>
      <c r="Y33" s="206" t="str">
        <f>IF(AND($A33&gt;=SYear_O, $A33&lt;=EYear_O, Y$3&gt;0), Y$3 * VLOOKUP($A33, Data_All!$A$8:$CA$153, MATCH(Y$2, Data_All!$B$2:$CA$2, 0)+1), "")</f>
        <v/>
      </c>
      <c r="Z33" s="206" t="str">
        <f>IF(AND($A33&gt;=SYear_O, $A33&lt;=EYear_O, Z$3&gt;0), Z$3 * VLOOKUP($A33, Data_All!$A$8:$CA$153, MATCH(Z$2, Data_All!$B$2:$CA$2, 0)+1), "")</f>
        <v/>
      </c>
      <c r="AA33" s="206" t="str">
        <f>IF(AND($A33&gt;=SYear_O, $A33&lt;=EYear_O, AA$3&gt;0), AA$3 * VLOOKUP($A33, Data_All!$A$8:$CA$153, MATCH(AA$2, Data_All!$B$2:$CA$2, 0)+1), "")</f>
        <v/>
      </c>
      <c r="AB33" s="206" t="str">
        <f>IF(AND($A33&gt;=SYear_O, $A33&lt;=EYear_O, AB$3&gt;0), AB$3 * VLOOKUP($A33, Data_All!$A$8:$CA$153, MATCH(AB$2, Data_All!$B$2:$CA$2, 0)+1), "")</f>
        <v/>
      </c>
      <c r="AC33" s="206" t="str">
        <f>IF(AND($A33&gt;=SYear_O, $A33&lt;=EYear_O, AC$3&gt;0), AC$3 * VLOOKUP($A33, Data_All!$A$8:$CA$153, MATCH(AC$2, Data_All!$B$2:$CA$2, 0)+1), "")</f>
        <v/>
      </c>
      <c r="AD33" s="206" t="str">
        <f>IF(AND($A33&gt;=SYear_O, $A33&lt;=EYear_O, AD$3&gt;0), AD$3 * VLOOKUP($A33, Data_All!$A$8:$CA$153, MATCH(AD$2, Data_All!$B$2:$CA$2, 0)+1), "")</f>
        <v/>
      </c>
      <c r="AE33" s="206" t="str">
        <f>IF(AND($A33&gt;=SYear_O, $A33&lt;=EYear_O, AE$3&gt;0), AE$3 * VLOOKUP($A33, Data_All!$A$8:$CA$153, MATCH(AE$2, Data_All!$B$2:$CA$2, 0)+1), "")</f>
        <v/>
      </c>
      <c r="AF33" s="206" t="str">
        <f>IF(AND($A33&gt;=SYear_O, $A33&lt;=EYear_O, AF$3&gt;0), AF$3 * VLOOKUP($A33, Data_All!$A$8:$CA$153, MATCH(AF$2, Data_All!$B$2:$CA$2, 0)+1), "")</f>
        <v/>
      </c>
      <c r="AG33" s="206" t="str">
        <f>IF(AND($A33&gt;=SYear_O, $A33&lt;=EYear_O, AG$3&gt;0), AG$3 * VLOOKUP($A33, Data_All!$A$8:$CA$153, MATCH(AG$2, Data_All!$B$2:$CA$2, 0)+1), "")</f>
        <v/>
      </c>
      <c r="AH33" s="206" t="str">
        <f>IF(AND($A33&gt;=SYear_O, $A33&lt;=EYear_O, AH$3&gt;0), AH$3 * VLOOKUP($A33, Data_All!$A$8:$CA$153, MATCH(AH$2, Data_All!$B$2:$CA$2, 0)+1), "")</f>
        <v/>
      </c>
      <c r="AI33" s="206" t="str">
        <f>IF(AND($A33&gt;=SYear_O, $A33&lt;=EYear_O, AI$3&gt;0), AI$3 * VLOOKUP($A33, Data_All!$A$8:$CA$153, MATCH(AI$2, Data_All!$B$2:$CA$2, 0)+1), "")</f>
        <v/>
      </c>
      <c r="AJ33" s="206" t="str">
        <f>IF(AND($A33&gt;=SYear_O, $A33&lt;=EYear_O, AJ$3&gt;0), AJ$3 * VLOOKUP($A33, Data_All!$A$8:$CA$153, MATCH(AJ$2, Data_All!$B$2:$CA$2, 0)+1), "")</f>
        <v/>
      </c>
      <c r="AK33" s="206" t="str">
        <f>IF(AND($A33&gt;=SYear_O, $A33&lt;=EYear_O, AK$3&gt;0), AK$3 * VLOOKUP($A33, Data_All!$A$8:$CA$153, MATCH(AK$2, Data_All!$B$2:$CA$2, 0)+1), "")</f>
        <v/>
      </c>
      <c r="AL33" s="206" t="str">
        <f>IF(AND($A33&gt;=SYear_O, $A33&lt;=EYear_O, AL$3&gt;0), AL$3 * VLOOKUP($A33, Data_All!$A$8:$CA$153, MATCH(AL$2, Data_All!$B$2:$CA$2, 0)+1), "")</f>
        <v/>
      </c>
      <c r="AM33" s="206" t="str">
        <f>IF(AND($A33&gt;=SYear_O, $A33&lt;=EYear_O, AM$3&gt;0), AM$3 * VLOOKUP($A33, Data_All!$A$8:$CA$153, MATCH(AM$2, Data_All!$B$2:$CA$2, 0)+1), "")</f>
        <v/>
      </c>
      <c r="AN33" s="206" t="str">
        <f>IF(AND($A33&gt;=SYear_O, $A33&lt;=EYear_O, AN$3&gt;0), AN$3 * VLOOKUP($A33, Data_All!$A$8:$CA$153, MATCH(AN$2, Data_All!$B$2:$CA$2, 0)+1), "")</f>
        <v/>
      </c>
      <c r="AO33" s="206" t="str">
        <f>IF(AND($A33&gt;=SYear_O, $A33&lt;=EYear_O, AO$3&gt;0), AO$3 * VLOOKUP($A33, Data_All!$A$8:$CA$153, MATCH(AO$2, Data_All!$B$2:$CA$2, 0)+1), "")</f>
        <v/>
      </c>
      <c r="AP33" s="206" t="str">
        <f>IF(AND($A33&gt;=SYear_O, $A33&lt;=EYear_O, AP$3&gt;0), AP$3 * VLOOKUP($A33, Data_All!$A$8:$CA$153, MATCH(AP$2, Data_All!$B$2:$CA$2, 0)+1), "")</f>
        <v/>
      </c>
      <c r="AQ33" s="206" t="str">
        <f>IF(AND($A33&gt;=SYear_O, $A33&lt;=EYear_O, AQ$3&gt;0), AQ$3 * VLOOKUP($A33, Data_All!$A$8:$CA$153, MATCH(AQ$2, Data_All!$B$2:$CA$2, 0)+1), "")</f>
        <v/>
      </c>
      <c r="AR33" s="206" t="str">
        <f>IF(AND($A33&gt;=SYear_O, $A33&lt;=EYear_O, AR$3&gt;0), AR$3 * VLOOKUP($A33, Data_All!$A$8:$CA$153, MATCH(AR$2, Data_All!$B$2:$CA$2, 0)+1), "")</f>
        <v/>
      </c>
      <c r="AS33" s="206" t="str">
        <f>IF(AND($A33&gt;=SYear_O, $A33&lt;=EYear_O, AS$3&gt;0), AS$3 * VLOOKUP($A33, Data_All!$A$8:$CA$153, MATCH(AS$2, Data_All!$B$2:$CA$2, 0)+1), "")</f>
        <v/>
      </c>
      <c r="AT33" s="206" t="str">
        <f>IF(AND($A33&gt;=SYear_O, $A33&lt;=EYear_O, AT$3&gt;0), AT$3 * VLOOKUP($A33, Data_All!$A$8:$CA$153, MATCH(AT$2, Data_All!$B$2:$CA$2, 0)+1), "")</f>
        <v/>
      </c>
      <c r="AU33" s="206" t="str">
        <f>IF(AND($A33&gt;=SYear_O, $A33&lt;=EYear_O, AU$3&gt;0), AU$3 * VLOOKUP($A33, Data_All!$A$8:$CA$153, MATCH(AU$2, Data_All!$B$2:$CA$2, 0)+1), "")</f>
        <v/>
      </c>
      <c r="AV33" s="206" t="str">
        <f>IF(AND($A33&gt;=SYear_O, $A33&lt;=EYear_O, AV$3&gt;0), AV$3 * VLOOKUP($A33, Data_All!$A$8:$CA$153, MATCH(AV$2, Data_All!$B$2:$CA$2, 0)+1), "")</f>
        <v/>
      </c>
      <c r="AW33" s="206" t="str">
        <f>IF(AND($A33&gt;=SYear_O, $A33&lt;=EYear_O, AW$3&gt;0), AW$3 * VLOOKUP($A33, Data_All!$A$8:$CA$153, MATCH(AW$2, Data_All!$B$2:$CA$2, 0)+1), "")</f>
        <v/>
      </c>
      <c r="AX33" s="206" t="str">
        <f>IF(AND($A33&gt;=SYear_O, $A33&lt;=EYear_O, AX$3&gt;0), AX$3 * VLOOKUP($A33, Data_All!$A$8:$CA$153, MATCH(AX$2, Data_All!$B$2:$CA$2, 0)+1), "")</f>
        <v/>
      </c>
      <c r="AY33" s="206" t="str">
        <f>IF(AND($A33&gt;=SYear_O, $A33&lt;=EYear_O, AY$3&gt;0), AY$3 * VLOOKUP($A33, Data_All!$A$8:$CA$153, MATCH(AY$2, Data_All!$B$2:$CA$2, 0)+1), "")</f>
        <v/>
      </c>
      <c r="AZ33" s="206" t="str">
        <f>IF(AND($A33&gt;=SYear_O, $A33&lt;=EYear_O, AZ$3&gt;0), AZ$3 * VLOOKUP($A33, Data_All!$A$8:$CA$153, MATCH(AZ$2, Data_All!$B$2:$CA$2, 0)+1), "")</f>
        <v/>
      </c>
      <c r="BA33" s="206" t="str">
        <f>IF(AND($A33&gt;=SYear_O, $A33&lt;=EYear_O, BA$3&gt;0), BA$3 * VLOOKUP($A33, Data_All!$A$8:$CA$153, MATCH(BA$2, Data_All!$B$2:$CA$2, 0)+1), "")</f>
        <v/>
      </c>
      <c r="BB33" s="206" t="str">
        <f>IF(AND($A33&gt;=SYear_O, $A33&lt;=EYear_O, BB$3&gt;0), BB$3 * VLOOKUP($A33, Data_All!$A$8:$CA$153, MATCH(BB$2, Data_All!$B$2:$CA$2, 0)+1), "")</f>
        <v/>
      </c>
      <c r="BC33" s="206" t="str">
        <f>IF(AND($A33&gt;=SYear_O, $A33&lt;=EYear_O, BC$3&gt;0), BC$3 * VLOOKUP($A33, Data_All!$A$8:$CA$153, MATCH(BC$2, Data_All!$B$2:$CA$2, 0)+1), "")</f>
        <v/>
      </c>
      <c r="BD33" s="206" t="str">
        <f>IF(AND($A33&gt;=SYear_O, $A33&lt;=EYear_O, BD$3&gt;0), BD$3 * VLOOKUP($A33, Data_All!$A$8:$CA$153, MATCH(BD$2, Data_All!$B$2:$CA$2, 0)+1), "")</f>
        <v/>
      </c>
      <c r="BE33" s="206" t="str">
        <f>IF(AND($A33&gt;=SYear_O, $A33&lt;=EYear_O, BE$3&gt;0), BE$3 * VLOOKUP($A33, Data_All!$A$8:$CA$153, MATCH(BE$2, Data_All!$B$2:$CA$2, 0)+1), "")</f>
        <v/>
      </c>
      <c r="BF33" s="206" t="str">
        <f>IF(AND($A33&gt;=SYear_O, $A33&lt;=EYear_O, BF$3&gt;0), BF$3 * VLOOKUP($A33, Data_All!$A$8:$CA$153, MATCH(BF$2, Data_All!$B$2:$CA$2, 0)+1), "")</f>
        <v/>
      </c>
      <c r="BG33" s="206" t="str">
        <f>IF(AND($A33&gt;=SYear_O, $A33&lt;=EYear_O, BG$3&gt;0), BG$3 * VLOOKUP($A33, Data_All!$A$8:$CA$153, MATCH(BG$2, Data_All!$B$2:$CA$2, 0)+1), "")</f>
        <v/>
      </c>
      <c r="BH33" s="206" t="str">
        <f>IF(AND($A33&gt;=SYear_O, $A33&lt;=EYear_O, BH$3&gt;0), BH$3 * VLOOKUP($A33, Data_All!$A$8:$CA$153, MATCH(BH$2, Data_All!$B$2:$CA$2, 0)+1), "")</f>
        <v/>
      </c>
      <c r="BI33" s="206" t="str">
        <f>IF(AND($A33&gt;=SYear_O, $A33&lt;=EYear_O, BI$3&gt;0), BI$3 * VLOOKUP($A33, Data_All!$A$8:$CA$153, MATCH(BI$2, Data_All!$B$2:$CA$2, 0)+1), "")</f>
        <v/>
      </c>
      <c r="BJ33" s="206" t="str">
        <f>IF(AND($A33&gt;=SYear_O, $A33&lt;=EYear_O, BJ$3&gt;0), BJ$3 * VLOOKUP($A33, Data_All!$A$8:$CA$153, MATCH(BJ$2, Data_All!$B$2:$CA$2, 0)+1), "")</f>
        <v/>
      </c>
      <c r="BK33" s="206" t="str">
        <f>IF(AND($A33&gt;=SYear_O, $A33&lt;=EYear_O, BK$3&gt;0), BK$3 * VLOOKUP($A33, Data_All!$A$8:$CA$153, MATCH(BK$2, Data_All!$B$2:$CA$2, 0)+1), "")</f>
        <v/>
      </c>
      <c r="BL33" s="206" t="str">
        <f>IF(AND($A33&gt;=SYear_O, $A33&lt;=EYear_O, BL$3&gt;0), BL$3 * VLOOKUP($A33, Data_All!$A$8:$CA$153, MATCH(BL$2, Data_All!$B$2:$CA$2, 0)+1), "")</f>
        <v/>
      </c>
      <c r="BM33" s="206" t="str">
        <f>IF(AND($A33&gt;=SYear_O, $A33&lt;=EYear_O, BM$3&gt;0), BM$3 * VLOOKUP($A33, Data_All!$A$8:$CA$153, MATCH(BM$2, Data_All!$B$2:$CA$2, 0)+1), "")</f>
        <v/>
      </c>
      <c r="BN33" s="206" t="str">
        <f>IF(AND($A33&gt;=SYear_O, $A33&lt;=EYear_O, BN$3&gt;0), BN$3 * VLOOKUP($A33, Data_All!$A$8:$CA$153, MATCH(BN$2, Data_All!$B$2:$CA$2, 0)+1), "")</f>
        <v/>
      </c>
      <c r="BO33" s="206" t="str">
        <f>IF(AND($A33&gt;=SYear_O, $A33&lt;=EYear_O, BO$3&gt;0), BO$3 * VLOOKUP($A33, Data_All!$A$8:$CA$153, MATCH(BO$2, Data_All!$B$2:$CA$2, 0)+1), "")</f>
        <v/>
      </c>
      <c r="BP33" s="206" t="str">
        <f>IF(AND($A33&gt;=SYear_O, $A33&lt;=EYear_O, BP$3&gt;0), BP$3 * VLOOKUP($A33, Data_All!$A$8:$CA$153, MATCH(BP$2, Data_All!$B$2:$CA$2, 0)+1), "")</f>
        <v/>
      </c>
      <c r="BQ33" s="206" t="str">
        <f>IF(AND($A33&gt;=SYear_O, $A33&lt;=EYear_O, BQ$3&gt;0), BQ$3 * VLOOKUP($A33, Data_All!$A$8:$CA$153, MATCH(BQ$2, Data_All!$B$2:$CA$2, 0)+1), "")</f>
        <v/>
      </c>
      <c r="BR33" s="206" t="str">
        <f>IF(AND($A33&gt;=SYear_O, $A33&lt;=EYear_O, BR$3&gt;0), BR$3 * VLOOKUP($A33, Data_All!$A$8:$CA$153, MATCH(BR$2, Data_All!$B$2:$CA$2, 0)+1), "")</f>
        <v/>
      </c>
      <c r="BS33" s="206" t="str">
        <f>IF(AND($A33&gt;=SYear_O, $A33&lt;=EYear_O, BS$3&gt;0), BS$3 * VLOOKUP($A33, Data_All!$A$8:$CA$153, MATCH(BS$2, Data_All!$B$2:$CA$2, 0)+1), "")</f>
        <v/>
      </c>
      <c r="BT33" s="206" t="str">
        <f>IF(AND($A33&gt;=SYear_O, $A33&lt;=EYear_O, BT$3&gt;0), BT$3 * VLOOKUP($A33, Data_All!$A$8:$CA$153, MATCH(BT$2, Data_All!$B$2:$CA$2, 0)+1), "")</f>
        <v/>
      </c>
      <c r="BU33" s="206" t="str">
        <f>IF(AND($A33&gt;=SYear_O, $A33&lt;=EYear_O, BU$3&gt;0), BU$3 * VLOOKUP($A33, Data_All!$A$8:$CA$153, MATCH(BU$2, Data_All!$B$2:$CA$2, 0)+1), "")</f>
        <v/>
      </c>
      <c r="BV33" s="206" t="str">
        <f>IF(AND($A33&gt;=SYear_O, $A33&lt;=EYear_O, BV$3&gt;0), BV$3 * VLOOKUP($A33, Data_All!$A$8:$CA$153, MATCH(BV$2, Data_All!$B$2:$CA$2, 0)+1), "")</f>
        <v/>
      </c>
      <c r="BW33" s="206" t="str">
        <f>IF(AND($A33&gt;=SYear_O, $A33&lt;=EYear_O, BW$3&gt;0), BW$3 * VLOOKUP($A33, Data_All!$A$8:$CA$153, MATCH(BW$2, Data_All!$B$2:$CA$2, 0)+1), "")</f>
        <v/>
      </c>
      <c r="BX33" s="206">
        <f>IF(AND($A33&gt;=SYear_O, $A33&lt;=EYear_O, BX$3&gt;0), BX$3 * VLOOKUP($A33, Data_All!$A$8:$CA$153, MATCH(BX$2, Data_All!$B$2:$CA$2, 0)+1), "")</f>
        <v>11.94312796208531</v>
      </c>
      <c r="BY33" s="206">
        <f>IF(AND($A33&gt;=SYear_O, $A33&lt;=EYear_O, BY$3&gt;0), BY$3 * VLOOKUP($A33, Data_All!$A$8:$CA$153, MATCH(BY$2, Data_All!$B$2:$CA$2, 0)+1), "")</f>
        <v>1.3337542816632819</v>
      </c>
      <c r="BZ33" s="206" t="str">
        <f>IF(AND($A33&gt;=SYear_O, $A33&lt;=EYear_O, BZ$3&gt;0), BZ$3 * VLOOKUP($A33, Data_All!$A$8:$CA$153, MATCH(BZ$2, Data_All!$B$2:$CA$2, 0)+1), "")</f>
        <v/>
      </c>
      <c r="CA33" s="565">
        <f t="shared" si="2"/>
        <v>13.276882243748592</v>
      </c>
      <c r="CB33" s="427">
        <f t="shared" si="3"/>
        <v>40690.376300265911</v>
      </c>
      <c r="CC33" s="565">
        <f>IF(AND($A33&gt;=SYear_O,$A33&lt;=EYear_O),(CA33-Data_All!CA34)/(1+Data_All!CA34%),"")</f>
        <v>10.040419283100762</v>
      </c>
      <c r="CD33" s="436">
        <f t="shared" si="4"/>
        <v>76149.039804079628</v>
      </c>
      <c r="CE33" s="438">
        <f t="shared" si="5"/>
        <v>3.6905861555635568</v>
      </c>
      <c r="CF33" s="438">
        <f>IF(AND($A33&gt;=SYear_O,$A33&lt;=EYear_O),MAX($CE$7:CE33),"")</f>
        <v>3.6905861555635568</v>
      </c>
      <c r="CG33" s="209">
        <f t="shared" si="6"/>
        <v>0</v>
      </c>
      <c r="CI33" s="143">
        <f>IF(AND($A33&gt;=SYear_O,$A33&lt;=EYear_O),Data_All!V34,"")</f>
        <v>3.3469877110600463</v>
      </c>
      <c r="CJ33" s="143">
        <f>IF(AND($A33&gt;=SYear_O,$A33&lt;=EYear_O),Data_All!CA34,"")</f>
        <v>2.9411583323045942</v>
      </c>
      <c r="CK33" s="143">
        <f t="shared" si="7"/>
        <v>0.39423432311242634</v>
      </c>
      <c r="CN33" s="61">
        <f t="shared" si="8"/>
        <v>0.13276882243748589</v>
      </c>
      <c r="CO33" s="61">
        <f t="shared" si="9"/>
        <v>0.1137578012929652</v>
      </c>
      <c r="CP33" s="61">
        <f t="shared" si="10"/>
        <v>0.12106266464768445</v>
      </c>
      <c r="CQ33" s="61">
        <f t="shared" si="11"/>
        <v>8.9157583359468662E-2</v>
      </c>
      <c r="CR33" s="61">
        <f t="shared" si="12"/>
        <v>7.4707442291355175E-2</v>
      </c>
      <c r="CU33" s="61">
        <f t="shared" si="13"/>
        <v>0.10040419283100754</v>
      </c>
      <c r="CV33" s="61">
        <f t="shared" si="14"/>
        <v>4.2159774795842653E-2</v>
      </c>
      <c r="CW33" s="61">
        <f t="shared" si="15"/>
        <v>7.7248796588698543E-2</v>
      </c>
      <c r="CX33" s="61">
        <f t="shared" si="16"/>
        <v>5.5585676212795088E-2</v>
      </c>
      <c r="CY33" s="61">
        <f t="shared" si="17"/>
        <v>5.0282250301192599E-2</v>
      </c>
    </row>
    <row r="34" spans="1:103">
      <c r="A34" s="204">
        <f t="shared" si="18"/>
        <v>1898</v>
      </c>
      <c r="B34" s="206" t="str">
        <f>IF(AND($A34&gt;=SYear_O, $A34&lt;=EYear_O, B$3&gt;0), B$3 * VLOOKUP($A34, Data_All!$A$8:$CA$153, MATCH(B$2, Data_All!$B$2:$CA$2, 0)+1), "")</f>
        <v/>
      </c>
      <c r="C34" s="206" t="str">
        <f>IF(AND($A34&gt;=SYear_O, $A34&lt;=EYear_O, C$3&gt;0), C$3 * VLOOKUP($A34, Data_All!$A$8:$CA$153, MATCH(C$2, Data_All!$B$2:$CA$2, 0)+1), "")</f>
        <v/>
      </c>
      <c r="D34" s="206" t="str">
        <f>IF(AND($A34&gt;=SYear_O, $A34&lt;=EYear_O, D$3&gt;0), D$3 * VLOOKUP($A34, Data_All!$A$8:$CA$153, MATCH(D$2, Data_All!$B$2:$CA$2, 0)+1), "")</f>
        <v/>
      </c>
      <c r="E34" s="206" t="str">
        <f>IF(AND($A34&gt;=SYear_O, $A34&lt;=EYear_O, E$3&gt;0), E$3 * VLOOKUP($A34, Data_All!$A$8:$CA$153, MATCH(E$2, Data_All!$B$2:$CA$2, 0)+1), "")</f>
        <v/>
      </c>
      <c r="F34" s="206" t="str">
        <f>IF(AND($A34&gt;=SYear_O, $A34&lt;=EYear_O, F$3&gt;0), F$3 * VLOOKUP($A34, Data_All!$A$8:$CA$153, MATCH(F$2, Data_All!$B$2:$CA$2, 0)+1), "")</f>
        <v/>
      </c>
      <c r="G34" s="206" t="str">
        <f>IF(AND($A34&gt;=SYear_O, $A34&lt;=EYear_O, G$3&gt;0), G$3 * VLOOKUP($A34, Data_All!$A$8:$CA$153, MATCH(G$2, Data_All!$B$2:$CA$2, 0)+1), "")</f>
        <v/>
      </c>
      <c r="H34" s="206" t="str">
        <f>IF(AND($A34&gt;=SYear_O, $A34&lt;=EYear_O, H$3&gt;0), H$3 * VLOOKUP($A34, Data_All!$A$8:$CA$153, MATCH(H$2, Data_All!$B$2:$CA$2, 0)+1), "")</f>
        <v/>
      </c>
      <c r="I34" s="206" t="str">
        <f>IF(AND($A34&gt;=SYear_O, $A34&lt;=EYear_O, I$3&gt;0), I$3 * VLOOKUP($A34, Data_All!$A$8:$CA$153, MATCH(I$2, Data_All!$B$2:$CA$2, 0)+1), "")</f>
        <v/>
      </c>
      <c r="J34" s="206" t="str">
        <f>IF(AND($A34&gt;=SYear_O, $A34&lt;=EYear_O, J$3&gt;0), J$3 * VLOOKUP($A34, Data_All!$A$8:$CA$153, MATCH(J$2, Data_All!$B$2:$CA$2, 0)+1), "")</f>
        <v/>
      </c>
      <c r="K34" s="206" t="str">
        <f>IF(AND($A34&gt;=SYear_O, $A34&lt;=EYear_O, K$3&gt;0), K$3 * VLOOKUP($A34, Data_All!$A$8:$CA$153, MATCH(K$2, Data_All!$B$2:$CA$2, 0)+1), "")</f>
        <v/>
      </c>
      <c r="L34" s="206" t="str">
        <f>IF(AND($A34&gt;=SYear_O, $A34&lt;=EYear_O, L$3&gt;0), L$3 * VLOOKUP($A34, Data_All!$A$8:$CA$153, MATCH(L$2, Data_All!$B$2:$CA$2, 0)+1), "")</f>
        <v/>
      </c>
      <c r="M34" s="206" t="str">
        <f>IF(AND($A34&gt;=SYear_O, $A34&lt;=EYear_O, M$3&gt;0), M$3 * VLOOKUP($A34, Data_All!$A$8:$CA$153, MATCH(M$2, Data_All!$B$2:$CA$2, 0)+1), "")</f>
        <v/>
      </c>
      <c r="N34" s="206" t="str">
        <f>IF(AND($A34&gt;=SYear_O, $A34&lt;=EYear_O, N$3&gt;0), N$3 * VLOOKUP($A34, Data_All!$A$8:$CA$153, MATCH(N$2, Data_All!$B$2:$CA$2, 0)+1), "")</f>
        <v/>
      </c>
      <c r="O34" s="206" t="str">
        <f>IF(AND($A34&gt;=SYear_O, $A34&lt;=EYear_O, O$3&gt;0), O$3 * VLOOKUP($A34, Data_All!$A$8:$CA$153, MATCH(O$2, Data_All!$B$2:$CA$2, 0)+1), "")</f>
        <v/>
      </c>
      <c r="P34" s="206" t="str">
        <f>IF(AND($A34&gt;=SYear_O, $A34&lt;=EYear_O, P$3&gt;0), P$3 * VLOOKUP($A34, Data_All!$A$8:$CA$153, MATCH(P$2, Data_All!$B$2:$CA$2, 0)+1), "")</f>
        <v/>
      </c>
      <c r="Q34" s="206" t="str">
        <f>IF(AND($A34&gt;=SYear_O, $A34&lt;=EYear_O, Q$3&gt;0), Q$3 * VLOOKUP($A34, Data_All!$A$8:$CA$153, MATCH(Q$2, Data_All!$B$2:$CA$2, 0)+1), "")</f>
        <v/>
      </c>
      <c r="R34" s="206" t="str">
        <f>IF(AND($A34&gt;=SYear_O, $A34&lt;=EYear_O, R$3&gt;0), R$3 * VLOOKUP($A34, Data_All!$A$8:$CA$153, MATCH(R$2, Data_All!$B$2:$CA$2, 0)+1), "")</f>
        <v/>
      </c>
      <c r="S34" s="206" t="str">
        <f>IF(AND($A34&gt;=SYear_O, $A34&lt;=EYear_O, S$3&gt;0), S$3 * VLOOKUP($A34, Data_All!$A$8:$CA$153, MATCH(S$2, Data_All!$B$2:$CA$2, 0)+1), "")</f>
        <v/>
      </c>
      <c r="T34" s="206" t="str">
        <f>IF(AND($A34&gt;=SYear_O, $A34&lt;=EYear_O, T$3&gt;0), T$3 * VLOOKUP($A34, Data_All!$A$8:$CA$153, MATCH(T$2, Data_All!$B$2:$CA$2, 0)+1), "")</f>
        <v/>
      </c>
      <c r="U34" s="206" t="str">
        <f>IF(AND($A34&gt;=SYear_O, $A34&lt;=EYear_O, U$3&gt;0), U$3 * VLOOKUP($A34, Data_All!$A$8:$CA$153, MATCH(U$2, Data_All!$B$2:$CA$2, 0)+1), "")</f>
        <v/>
      </c>
      <c r="V34" s="206" t="str">
        <f>IF(AND($A34&gt;=SYear_O, $A34&lt;=EYear_O, V$3&gt;0), V$3 * VLOOKUP($A34, Data_All!$A$8:$CA$153, MATCH(V$2, Data_All!$B$2:$CA$2, 0)+1), "")</f>
        <v/>
      </c>
      <c r="W34" s="206" t="str">
        <f>IF(AND($A34&gt;=SYear_O, $A34&lt;=EYear_O, W$3&gt;0), W$3 * VLOOKUP($A34, Data_All!$A$8:$CA$153, MATCH(W$2, Data_All!$B$2:$CA$2, 0)+1), "")</f>
        <v/>
      </c>
      <c r="X34" s="206" t="str">
        <f>IF(AND($A34&gt;=SYear_O, $A34&lt;=EYear_O, X$3&gt;0), X$3 * VLOOKUP($A34, Data_All!$A$8:$CA$153, MATCH(X$2, Data_All!$B$2:$CA$2, 0)+1), "")</f>
        <v/>
      </c>
      <c r="Y34" s="206" t="str">
        <f>IF(AND($A34&gt;=SYear_O, $A34&lt;=EYear_O, Y$3&gt;0), Y$3 * VLOOKUP($A34, Data_All!$A$8:$CA$153, MATCH(Y$2, Data_All!$B$2:$CA$2, 0)+1), "")</f>
        <v/>
      </c>
      <c r="Z34" s="206" t="str">
        <f>IF(AND($A34&gt;=SYear_O, $A34&lt;=EYear_O, Z$3&gt;0), Z$3 * VLOOKUP($A34, Data_All!$A$8:$CA$153, MATCH(Z$2, Data_All!$B$2:$CA$2, 0)+1), "")</f>
        <v/>
      </c>
      <c r="AA34" s="206" t="str">
        <f>IF(AND($A34&gt;=SYear_O, $A34&lt;=EYear_O, AA$3&gt;0), AA$3 * VLOOKUP($A34, Data_All!$A$8:$CA$153, MATCH(AA$2, Data_All!$B$2:$CA$2, 0)+1), "")</f>
        <v/>
      </c>
      <c r="AB34" s="206" t="str">
        <f>IF(AND($A34&gt;=SYear_O, $A34&lt;=EYear_O, AB$3&gt;0), AB$3 * VLOOKUP($A34, Data_All!$A$8:$CA$153, MATCH(AB$2, Data_All!$B$2:$CA$2, 0)+1), "")</f>
        <v/>
      </c>
      <c r="AC34" s="206" t="str">
        <f>IF(AND($A34&gt;=SYear_O, $A34&lt;=EYear_O, AC$3&gt;0), AC$3 * VLOOKUP($A34, Data_All!$A$8:$CA$153, MATCH(AC$2, Data_All!$B$2:$CA$2, 0)+1), "")</f>
        <v/>
      </c>
      <c r="AD34" s="206" t="str">
        <f>IF(AND($A34&gt;=SYear_O, $A34&lt;=EYear_O, AD$3&gt;0), AD$3 * VLOOKUP($A34, Data_All!$A$8:$CA$153, MATCH(AD$2, Data_All!$B$2:$CA$2, 0)+1), "")</f>
        <v/>
      </c>
      <c r="AE34" s="206" t="str">
        <f>IF(AND($A34&gt;=SYear_O, $A34&lt;=EYear_O, AE$3&gt;0), AE$3 * VLOOKUP($A34, Data_All!$A$8:$CA$153, MATCH(AE$2, Data_All!$B$2:$CA$2, 0)+1), "")</f>
        <v/>
      </c>
      <c r="AF34" s="206" t="str">
        <f>IF(AND($A34&gt;=SYear_O, $A34&lt;=EYear_O, AF$3&gt;0), AF$3 * VLOOKUP($A34, Data_All!$A$8:$CA$153, MATCH(AF$2, Data_All!$B$2:$CA$2, 0)+1), "")</f>
        <v/>
      </c>
      <c r="AG34" s="206" t="str">
        <f>IF(AND($A34&gt;=SYear_O, $A34&lt;=EYear_O, AG$3&gt;0), AG$3 * VLOOKUP($A34, Data_All!$A$8:$CA$153, MATCH(AG$2, Data_All!$B$2:$CA$2, 0)+1), "")</f>
        <v/>
      </c>
      <c r="AH34" s="206" t="str">
        <f>IF(AND($A34&gt;=SYear_O, $A34&lt;=EYear_O, AH$3&gt;0), AH$3 * VLOOKUP($A34, Data_All!$A$8:$CA$153, MATCH(AH$2, Data_All!$B$2:$CA$2, 0)+1), "")</f>
        <v/>
      </c>
      <c r="AI34" s="206" t="str">
        <f>IF(AND($A34&gt;=SYear_O, $A34&lt;=EYear_O, AI$3&gt;0), AI$3 * VLOOKUP($A34, Data_All!$A$8:$CA$153, MATCH(AI$2, Data_All!$B$2:$CA$2, 0)+1), "")</f>
        <v/>
      </c>
      <c r="AJ34" s="206" t="str">
        <f>IF(AND($A34&gt;=SYear_O, $A34&lt;=EYear_O, AJ$3&gt;0), AJ$3 * VLOOKUP($A34, Data_All!$A$8:$CA$153, MATCH(AJ$2, Data_All!$B$2:$CA$2, 0)+1), "")</f>
        <v/>
      </c>
      <c r="AK34" s="206" t="str">
        <f>IF(AND($A34&gt;=SYear_O, $A34&lt;=EYear_O, AK$3&gt;0), AK$3 * VLOOKUP($A34, Data_All!$A$8:$CA$153, MATCH(AK$2, Data_All!$B$2:$CA$2, 0)+1), "")</f>
        <v/>
      </c>
      <c r="AL34" s="206" t="str">
        <f>IF(AND($A34&gt;=SYear_O, $A34&lt;=EYear_O, AL$3&gt;0), AL$3 * VLOOKUP($A34, Data_All!$A$8:$CA$153, MATCH(AL$2, Data_All!$B$2:$CA$2, 0)+1), "")</f>
        <v/>
      </c>
      <c r="AM34" s="206" t="str">
        <f>IF(AND($A34&gt;=SYear_O, $A34&lt;=EYear_O, AM$3&gt;0), AM$3 * VLOOKUP($A34, Data_All!$A$8:$CA$153, MATCH(AM$2, Data_All!$B$2:$CA$2, 0)+1), "")</f>
        <v/>
      </c>
      <c r="AN34" s="206" t="str">
        <f>IF(AND($A34&gt;=SYear_O, $A34&lt;=EYear_O, AN$3&gt;0), AN$3 * VLOOKUP($A34, Data_All!$A$8:$CA$153, MATCH(AN$2, Data_All!$B$2:$CA$2, 0)+1), "")</f>
        <v/>
      </c>
      <c r="AO34" s="206" t="str">
        <f>IF(AND($A34&gt;=SYear_O, $A34&lt;=EYear_O, AO$3&gt;0), AO$3 * VLOOKUP($A34, Data_All!$A$8:$CA$153, MATCH(AO$2, Data_All!$B$2:$CA$2, 0)+1), "")</f>
        <v/>
      </c>
      <c r="AP34" s="206" t="str">
        <f>IF(AND($A34&gt;=SYear_O, $A34&lt;=EYear_O, AP$3&gt;0), AP$3 * VLOOKUP($A34, Data_All!$A$8:$CA$153, MATCH(AP$2, Data_All!$B$2:$CA$2, 0)+1), "")</f>
        <v/>
      </c>
      <c r="AQ34" s="206" t="str">
        <f>IF(AND($A34&gt;=SYear_O, $A34&lt;=EYear_O, AQ$3&gt;0), AQ$3 * VLOOKUP($A34, Data_All!$A$8:$CA$153, MATCH(AQ$2, Data_All!$B$2:$CA$2, 0)+1), "")</f>
        <v/>
      </c>
      <c r="AR34" s="206" t="str">
        <f>IF(AND($A34&gt;=SYear_O, $A34&lt;=EYear_O, AR$3&gt;0), AR$3 * VLOOKUP($A34, Data_All!$A$8:$CA$153, MATCH(AR$2, Data_All!$B$2:$CA$2, 0)+1), "")</f>
        <v/>
      </c>
      <c r="AS34" s="206" t="str">
        <f>IF(AND($A34&gt;=SYear_O, $A34&lt;=EYear_O, AS$3&gt;0), AS$3 * VLOOKUP($A34, Data_All!$A$8:$CA$153, MATCH(AS$2, Data_All!$B$2:$CA$2, 0)+1), "")</f>
        <v/>
      </c>
      <c r="AT34" s="206" t="str">
        <f>IF(AND($A34&gt;=SYear_O, $A34&lt;=EYear_O, AT$3&gt;0), AT$3 * VLOOKUP($A34, Data_All!$A$8:$CA$153, MATCH(AT$2, Data_All!$B$2:$CA$2, 0)+1), "")</f>
        <v/>
      </c>
      <c r="AU34" s="206" t="str">
        <f>IF(AND($A34&gt;=SYear_O, $A34&lt;=EYear_O, AU$3&gt;0), AU$3 * VLOOKUP($A34, Data_All!$A$8:$CA$153, MATCH(AU$2, Data_All!$B$2:$CA$2, 0)+1), "")</f>
        <v/>
      </c>
      <c r="AV34" s="206" t="str">
        <f>IF(AND($A34&gt;=SYear_O, $A34&lt;=EYear_O, AV$3&gt;0), AV$3 * VLOOKUP($A34, Data_All!$A$8:$CA$153, MATCH(AV$2, Data_All!$B$2:$CA$2, 0)+1), "")</f>
        <v/>
      </c>
      <c r="AW34" s="206" t="str">
        <f>IF(AND($A34&gt;=SYear_O, $A34&lt;=EYear_O, AW$3&gt;0), AW$3 * VLOOKUP($A34, Data_All!$A$8:$CA$153, MATCH(AW$2, Data_All!$B$2:$CA$2, 0)+1), "")</f>
        <v/>
      </c>
      <c r="AX34" s="206" t="str">
        <f>IF(AND($A34&gt;=SYear_O, $A34&lt;=EYear_O, AX$3&gt;0), AX$3 * VLOOKUP($A34, Data_All!$A$8:$CA$153, MATCH(AX$2, Data_All!$B$2:$CA$2, 0)+1), "")</f>
        <v/>
      </c>
      <c r="AY34" s="206" t="str">
        <f>IF(AND($A34&gt;=SYear_O, $A34&lt;=EYear_O, AY$3&gt;0), AY$3 * VLOOKUP($A34, Data_All!$A$8:$CA$153, MATCH(AY$2, Data_All!$B$2:$CA$2, 0)+1), "")</f>
        <v/>
      </c>
      <c r="AZ34" s="206" t="str">
        <f>IF(AND($A34&gt;=SYear_O, $A34&lt;=EYear_O, AZ$3&gt;0), AZ$3 * VLOOKUP($A34, Data_All!$A$8:$CA$153, MATCH(AZ$2, Data_All!$B$2:$CA$2, 0)+1), "")</f>
        <v/>
      </c>
      <c r="BA34" s="206" t="str">
        <f>IF(AND($A34&gt;=SYear_O, $A34&lt;=EYear_O, BA$3&gt;0), BA$3 * VLOOKUP($A34, Data_All!$A$8:$CA$153, MATCH(BA$2, Data_All!$B$2:$CA$2, 0)+1), "")</f>
        <v/>
      </c>
      <c r="BB34" s="206" t="str">
        <f>IF(AND($A34&gt;=SYear_O, $A34&lt;=EYear_O, BB$3&gt;0), BB$3 * VLOOKUP($A34, Data_All!$A$8:$CA$153, MATCH(BB$2, Data_All!$B$2:$CA$2, 0)+1), "")</f>
        <v/>
      </c>
      <c r="BC34" s="206" t="str">
        <f>IF(AND($A34&gt;=SYear_O, $A34&lt;=EYear_O, BC$3&gt;0), BC$3 * VLOOKUP($A34, Data_All!$A$8:$CA$153, MATCH(BC$2, Data_All!$B$2:$CA$2, 0)+1), "")</f>
        <v/>
      </c>
      <c r="BD34" s="206" t="str">
        <f>IF(AND($A34&gt;=SYear_O, $A34&lt;=EYear_O, BD$3&gt;0), BD$3 * VLOOKUP($A34, Data_All!$A$8:$CA$153, MATCH(BD$2, Data_All!$B$2:$CA$2, 0)+1), "")</f>
        <v/>
      </c>
      <c r="BE34" s="206" t="str">
        <f>IF(AND($A34&gt;=SYear_O, $A34&lt;=EYear_O, BE$3&gt;0), BE$3 * VLOOKUP($A34, Data_All!$A$8:$CA$153, MATCH(BE$2, Data_All!$B$2:$CA$2, 0)+1), "")</f>
        <v/>
      </c>
      <c r="BF34" s="206" t="str">
        <f>IF(AND($A34&gt;=SYear_O, $A34&lt;=EYear_O, BF$3&gt;0), BF$3 * VLOOKUP($A34, Data_All!$A$8:$CA$153, MATCH(BF$2, Data_All!$B$2:$CA$2, 0)+1), "")</f>
        <v/>
      </c>
      <c r="BG34" s="206" t="str">
        <f>IF(AND($A34&gt;=SYear_O, $A34&lt;=EYear_O, BG$3&gt;0), BG$3 * VLOOKUP($A34, Data_All!$A$8:$CA$153, MATCH(BG$2, Data_All!$B$2:$CA$2, 0)+1), "")</f>
        <v/>
      </c>
      <c r="BH34" s="206" t="str">
        <f>IF(AND($A34&gt;=SYear_O, $A34&lt;=EYear_O, BH$3&gt;0), BH$3 * VLOOKUP($A34, Data_All!$A$8:$CA$153, MATCH(BH$2, Data_All!$B$2:$CA$2, 0)+1), "")</f>
        <v/>
      </c>
      <c r="BI34" s="206" t="str">
        <f>IF(AND($A34&gt;=SYear_O, $A34&lt;=EYear_O, BI$3&gt;0), BI$3 * VLOOKUP($A34, Data_All!$A$8:$CA$153, MATCH(BI$2, Data_All!$B$2:$CA$2, 0)+1), "")</f>
        <v/>
      </c>
      <c r="BJ34" s="206" t="str">
        <f>IF(AND($A34&gt;=SYear_O, $A34&lt;=EYear_O, BJ$3&gt;0), BJ$3 * VLOOKUP($A34, Data_All!$A$8:$CA$153, MATCH(BJ$2, Data_All!$B$2:$CA$2, 0)+1), "")</f>
        <v/>
      </c>
      <c r="BK34" s="206" t="str">
        <f>IF(AND($A34&gt;=SYear_O, $A34&lt;=EYear_O, BK$3&gt;0), BK$3 * VLOOKUP($A34, Data_All!$A$8:$CA$153, MATCH(BK$2, Data_All!$B$2:$CA$2, 0)+1), "")</f>
        <v/>
      </c>
      <c r="BL34" s="206" t="str">
        <f>IF(AND($A34&gt;=SYear_O, $A34&lt;=EYear_O, BL$3&gt;0), BL$3 * VLOOKUP($A34, Data_All!$A$8:$CA$153, MATCH(BL$2, Data_All!$B$2:$CA$2, 0)+1), "")</f>
        <v/>
      </c>
      <c r="BM34" s="206" t="str">
        <f>IF(AND($A34&gt;=SYear_O, $A34&lt;=EYear_O, BM$3&gt;0), BM$3 * VLOOKUP($A34, Data_All!$A$8:$CA$153, MATCH(BM$2, Data_All!$B$2:$CA$2, 0)+1), "")</f>
        <v/>
      </c>
      <c r="BN34" s="206" t="str">
        <f>IF(AND($A34&gt;=SYear_O, $A34&lt;=EYear_O, BN$3&gt;0), BN$3 * VLOOKUP($A34, Data_All!$A$8:$CA$153, MATCH(BN$2, Data_All!$B$2:$CA$2, 0)+1), "")</f>
        <v/>
      </c>
      <c r="BO34" s="206" t="str">
        <f>IF(AND($A34&gt;=SYear_O, $A34&lt;=EYear_O, BO$3&gt;0), BO$3 * VLOOKUP($A34, Data_All!$A$8:$CA$153, MATCH(BO$2, Data_All!$B$2:$CA$2, 0)+1), "")</f>
        <v/>
      </c>
      <c r="BP34" s="206" t="str">
        <f>IF(AND($A34&gt;=SYear_O, $A34&lt;=EYear_O, BP$3&gt;0), BP$3 * VLOOKUP($A34, Data_All!$A$8:$CA$153, MATCH(BP$2, Data_All!$B$2:$CA$2, 0)+1), "")</f>
        <v/>
      </c>
      <c r="BQ34" s="206" t="str">
        <f>IF(AND($A34&gt;=SYear_O, $A34&lt;=EYear_O, BQ$3&gt;0), BQ$3 * VLOOKUP($A34, Data_All!$A$8:$CA$153, MATCH(BQ$2, Data_All!$B$2:$CA$2, 0)+1), "")</f>
        <v/>
      </c>
      <c r="BR34" s="206" t="str">
        <f>IF(AND($A34&gt;=SYear_O, $A34&lt;=EYear_O, BR$3&gt;0), BR$3 * VLOOKUP($A34, Data_All!$A$8:$CA$153, MATCH(BR$2, Data_All!$B$2:$CA$2, 0)+1), "")</f>
        <v/>
      </c>
      <c r="BS34" s="206" t="str">
        <f>IF(AND($A34&gt;=SYear_O, $A34&lt;=EYear_O, BS$3&gt;0), BS$3 * VLOOKUP($A34, Data_All!$A$8:$CA$153, MATCH(BS$2, Data_All!$B$2:$CA$2, 0)+1), "")</f>
        <v/>
      </c>
      <c r="BT34" s="206" t="str">
        <f>IF(AND($A34&gt;=SYear_O, $A34&lt;=EYear_O, BT$3&gt;0), BT$3 * VLOOKUP($A34, Data_All!$A$8:$CA$153, MATCH(BT$2, Data_All!$B$2:$CA$2, 0)+1), "")</f>
        <v/>
      </c>
      <c r="BU34" s="206" t="str">
        <f>IF(AND($A34&gt;=SYear_O, $A34&lt;=EYear_O, BU$3&gt;0), BU$3 * VLOOKUP($A34, Data_All!$A$8:$CA$153, MATCH(BU$2, Data_All!$B$2:$CA$2, 0)+1), "")</f>
        <v/>
      </c>
      <c r="BV34" s="206" t="str">
        <f>IF(AND($A34&gt;=SYear_O, $A34&lt;=EYear_O, BV$3&gt;0), BV$3 * VLOOKUP($A34, Data_All!$A$8:$CA$153, MATCH(BV$2, Data_All!$B$2:$CA$2, 0)+1), "")</f>
        <v/>
      </c>
      <c r="BW34" s="206" t="str">
        <f>IF(AND($A34&gt;=SYear_O, $A34&lt;=EYear_O, BW$3&gt;0), BW$3 * VLOOKUP($A34, Data_All!$A$8:$CA$153, MATCH(BW$2, Data_All!$B$2:$CA$2, 0)+1), "")</f>
        <v/>
      </c>
      <c r="BX34" s="206">
        <f>IF(AND($A34&gt;=SYear_O, $A34&lt;=EYear_O, BX$3&gt;0), BX$3 * VLOOKUP($A34, Data_All!$A$8:$CA$153, MATCH(BX$2, Data_All!$B$2:$CA$2, 0)+1), "")</f>
        <v>17.21311475409836</v>
      </c>
      <c r="BY34" s="206">
        <f>IF(AND($A34&gt;=SYear_O, $A34&lt;=EYear_O, BY$3&gt;0), BY$3 * VLOOKUP($A34, Data_All!$A$8:$CA$153, MATCH(BY$2, Data_All!$B$2:$CA$2, 0)+1), "")</f>
        <v>1.7539017584291727</v>
      </c>
      <c r="BZ34" s="206" t="str">
        <f>IF(AND($A34&gt;=SYear_O, $A34&lt;=EYear_O, BZ$3&gt;0), BZ$3 * VLOOKUP($A34, Data_All!$A$8:$CA$153, MATCH(BZ$2, Data_All!$B$2:$CA$2, 0)+1), "")</f>
        <v/>
      </c>
      <c r="CA34" s="565">
        <f t="shared" si="2"/>
        <v>18.967016512527533</v>
      </c>
      <c r="CB34" s="427">
        <f t="shared" si="3"/>
        <v>48408.126692146929</v>
      </c>
      <c r="CC34" s="565">
        <f>IF(AND($A34&gt;=SYear_O,$A34&lt;=EYear_O),(CA34-Data_All!CA35)/(1+Data_All!CA35%),"")</f>
        <v>17.291364308238521</v>
      </c>
      <c r="CD34" s="436">
        <f t="shared" si="4"/>
        <v>89316.247693828598</v>
      </c>
      <c r="CE34" s="438">
        <f t="shared" si="5"/>
        <v>4.390580241098351</v>
      </c>
      <c r="CF34" s="438">
        <f>IF(AND($A34&gt;=SYear_O,$A34&lt;=EYear_O),MAX($CE$7:CE34),"")</f>
        <v>4.390580241098351</v>
      </c>
      <c r="CG34" s="209">
        <f t="shared" si="6"/>
        <v>0</v>
      </c>
      <c r="CI34" s="143">
        <f>IF(AND($A34&gt;=SYear_O,$A34&lt;=EYear_O),Data_All!V35,"")</f>
        <v>3.4568888000799283</v>
      </c>
      <c r="CJ34" s="143">
        <f>IF(AND($A34&gt;=SYear_O,$A34&lt;=EYear_O),Data_All!CA35,"")</f>
        <v>1.4286236793063845</v>
      </c>
      <c r="CK34" s="143">
        <f t="shared" si="7"/>
        <v>1.9996969762563714</v>
      </c>
      <c r="CN34" s="61">
        <f t="shared" si="8"/>
        <v>0.18967016512527524</v>
      </c>
      <c r="CO34" s="61">
        <f t="shared" si="9"/>
        <v>0.11612354128003921</v>
      </c>
      <c r="CP34" s="61">
        <f t="shared" si="10"/>
        <v>0.10517494616813372</v>
      </c>
      <c r="CQ34" s="61">
        <f t="shared" si="11"/>
        <v>6.1474639798912545E-2</v>
      </c>
      <c r="CR34" s="61">
        <f t="shared" si="12"/>
        <v>6.8976650931538153E-2</v>
      </c>
      <c r="CU34" s="61">
        <f t="shared" si="13"/>
        <v>0.17291364308238522</v>
      </c>
      <c r="CV34" s="61">
        <f t="shared" si="14"/>
        <v>6.3122522786319024E-2</v>
      </c>
      <c r="CW34" s="61">
        <f t="shared" si="15"/>
        <v>4.8678295666376492E-2</v>
      </c>
      <c r="CX34" s="61">
        <f t="shared" si="16"/>
        <v>3.398740090188479E-2</v>
      </c>
      <c r="CY34" s="61">
        <f t="shared" si="17"/>
        <v>4.180299969648571E-2</v>
      </c>
    </row>
    <row r="35" spans="1:103">
      <c r="A35" s="204">
        <f t="shared" si="18"/>
        <v>1899</v>
      </c>
      <c r="B35" s="206" t="str">
        <f>IF(AND($A35&gt;=SYear_O, $A35&lt;=EYear_O, B$3&gt;0), B$3 * VLOOKUP($A35, Data_All!$A$8:$CA$153, MATCH(B$2, Data_All!$B$2:$CA$2, 0)+1), "")</f>
        <v/>
      </c>
      <c r="C35" s="206" t="str">
        <f>IF(AND($A35&gt;=SYear_O, $A35&lt;=EYear_O, C$3&gt;0), C$3 * VLOOKUP($A35, Data_All!$A$8:$CA$153, MATCH(C$2, Data_All!$B$2:$CA$2, 0)+1), "")</f>
        <v/>
      </c>
      <c r="D35" s="206" t="str">
        <f>IF(AND($A35&gt;=SYear_O, $A35&lt;=EYear_O, D$3&gt;0), D$3 * VLOOKUP($A35, Data_All!$A$8:$CA$153, MATCH(D$2, Data_All!$B$2:$CA$2, 0)+1), "")</f>
        <v/>
      </c>
      <c r="E35" s="206" t="str">
        <f>IF(AND($A35&gt;=SYear_O, $A35&lt;=EYear_O, E$3&gt;0), E$3 * VLOOKUP($A35, Data_All!$A$8:$CA$153, MATCH(E$2, Data_All!$B$2:$CA$2, 0)+1), "")</f>
        <v/>
      </c>
      <c r="F35" s="206" t="str">
        <f>IF(AND($A35&gt;=SYear_O, $A35&lt;=EYear_O, F$3&gt;0), F$3 * VLOOKUP($A35, Data_All!$A$8:$CA$153, MATCH(F$2, Data_All!$B$2:$CA$2, 0)+1), "")</f>
        <v/>
      </c>
      <c r="G35" s="206" t="str">
        <f>IF(AND($A35&gt;=SYear_O, $A35&lt;=EYear_O, G$3&gt;0), G$3 * VLOOKUP($A35, Data_All!$A$8:$CA$153, MATCH(G$2, Data_All!$B$2:$CA$2, 0)+1), "")</f>
        <v/>
      </c>
      <c r="H35" s="206" t="str">
        <f>IF(AND($A35&gt;=SYear_O, $A35&lt;=EYear_O, H$3&gt;0), H$3 * VLOOKUP($A35, Data_All!$A$8:$CA$153, MATCH(H$2, Data_All!$B$2:$CA$2, 0)+1), "")</f>
        <v/>
      </c>
      <c r="I35" s="206" t="str">
        <f>IF(AND($A35&gt;=SYear_O, $A35&lt;=EYear_O, I$3&gt;0), I$3 * VLOOKUP($A35, Data_All!$A$8:$CA$153, MATCH(I$2, Data_All!$B$2:$CA$2, 0)+1), "")</f>
        <v/>
      </c>
      <c r="J35" s="206" t="str">
        <f>IF(AND($A35&gt;=SYear_O, $A35&lt;=EYear_O, J$3&gt;0), J$3 * VLOOKUP($A35, Data_All!$A$8:$CA$153, MATCH(J$2, Data_All!$B$2:$CA$2, 0)+1), "")</f>
        <v/>
      </c>
      <c r="K35" s="206" t="str">
        <f>IF(AND($A35&gt;=SYear_O, $A35&lt;=EYear_O, K$3&gt;0), K$3 * VLOOKUP($A35, Data_All!$A$8:$CA$153, MATCH(K$2, Data_All!$B$2:$CA$2, 0)+1), "")</f>
        <v/>
      </c>
      <c r="L35" s="206" t="str">
        <f>IF(AND($A35&gt;=SYear_O, $A35&lt;=EYear_O, L$3&gt;0), L$3 * VLOOKUP($A35, Data_All!$A$8:$CA$153, MATCH(L$2, Data_All!$B$2:$CA$2, 0)+1), "")</f>
        <v/>
      </c>
      <c r="M35" s="206" t="str">
        <f>IF(AND($A35&gt;=SYear_O, $A35&lt;=EYear_O, M$3&gt;0), M$3 * VLOOKUP($A35, Data_All!$A$8:$CA$153, MATCH(M$2, Data_All!$B$2:$CA$2, 0)+1), "")</f>
        <v/>
      </c>
      <c r="N35" s="206" t="str">
        <f>IF(AND($A35&gt;=SYear_O, $A35&lt;=EYear_O, N$3&gt;0), N$3 * VLOOKUP($A35, Data_All!$A$8:$CA$153, MATCH(N$2, Data_All!$B$2:$CA$2, 0)+1), "")</f>
        <v/>
      </c>
      <c r="O35" s="206" t="str">
        <f>IF(AND($A35&gt;=SYear_O, $A35&lt;=EYear_O, O$3&gt;0), O$3 * VLOOKUP($A35, Data_All!$A$8:$CA$153, MATCH(O$2, Data_All!$B$2:$CA$2, 0)+1), "")</f>
        <v/>
      </c>
      <c r="P35" s="206" t="str">
        <f>IF(AND($A35&gt;=SYear_O, $A35&lt;=EYear_O, P$3&gt;0), P$3 * VLOOKUP($A35, Data_All!$A$8:$CA$153, MATCH(P$2, Data_All!$B$2:$CA$2, 0)+1), "")</f>
        <v/>
      </c>
      <c r="Q35" s="206" t="str">
        <f>IF(AND($A35&gt;=SYear_O, $A35&lt;=EYear_O, Q$3&gt;0), Q$3 * VLOOKUP($A35, Data_All!$A$8:$CA$153, MATCH(Q$2, Data_All!$B$2:$CA$2, 0)+1), "")</f>
        <v/>
      </c>
      <c r="R35" s="206" t="str">
        <f>IF(AND($A35&gt;=SYear_O, $A35&lt;=EYear_O, R$3&gt;0), R$3 * VLOOKUP($A35, Data_All!$A$8:$CA$153, MATCH(R$2, Data_All!$B$2:$CA$2, 0)+1), "")</f>
        <v/>
      </c>
      <c r="S35" s="206" t="str">
        <f>IF(AND($A35&gt;=SYear_O, $A35&lt;=EYear_O, S$3&gt;0), S$3 * VLOOKUP($A35, Data_All!$A$8:$CA$153, MATCH(S$2, Data_All!$B$2:$CA$2, 0)+1), "")</f>
        <v/>
      </c>
      <c r="T35" s="206" t="str">
        <f>IF(AND($A35&gt;=SYear_O, $A35&lt;=EYear_O, T$3&gt;0), T$3 * VLOOKUP($A35, Data_All!$A$8:$CA$153, MATCH(T$2, Data_All!$B$2:$CA$2, 0)+1), "")</f>
        <v/>
      </c>
      <c r="U35" s="206" t="str">
        <f>IF(AND($A35&gt;=SYear_O, $A35&lt;=EYear_O, U$3&gt;0), U$3 * VLOOKUP($A35, Data_All!$A$8:$CA$153, MATCH(U$2, Data_All!$B$2:$CA$2, 0)+1), "")</f>
        <v/>
      </c>
      <c r="V35" s="206" t="str">
        <f>IF(AND($A35&gt;=SYear_O, $A35&lt;=EYear_O, V$3&gt;0), V$3 * VLOOKUP($A35, Data_All!$A$8:$CA$153, MATCH(V$2, Data_All!$B$2:$CA$2, 0)+1), "")</f>
        <v/>
      </c>
      <c r="W35" s="206" t="str">
        <f>IF(AND($A35&gt;=SYear_O, $A35&lt;=EYear_O, W$3&gt;0), W$3 * VLOOKUP($A35, Data_All!$A$8:$CA$153, MATCH(W$2, Data_All!$B$2:$CA$2, 0)+1), "")</f>
        <v/>
      </c>
      <c r="X35" s="206" t="str">
        <f>IF(AND($A35&gt;=SYear_O, $A35&lt;=EYear_O, X$3&gt;0), X$3 * VLOOKUP($A35, Data_All!$A$8:$CA$153, MATCH(X$2, Data_All!$B$2:$CA$2, 0)+1), "")</f>
        <v/>
      </c>
      <c r="Y35" s="206" t="str">
        <f>IF(AND($A35&gt;=SYear_O, $A35&lt;=EYear_O, Y$3&gt;0), Y$3 * VLOOKUP($A35, Data_All!$A$8:$CA$153, MATCH(Y$2, Data_All!$B$2:$CA$2, 0)+1), "")</f>
        <v/>
      </c>
      <c r="Z35" s="206" t="str">
        <f>IF(AND($A35&gt;=SYear_O, $A35&lt;=EYear_O, Z$3&gt;0), Z$3 * VLOOKUP($A35, Data_All!$A$8:$CA$153, MATCH(Z$2, Data_All!$B$2:$CA$2, 0)+1), "")</f>
        <v/>
      </c>
      <c r="AA35" s="206" t="str">
        <f>IF(AND($A35&gt;=SYear_O, $A35&lt;=EYear_O, AA$3&gt;0), AA$3 * VLOOKUP($A35, Data_All!$A$8:$CA$153, MATCH(AA$2, Data_All!$B$2:$CA$2, 0)+1), "")</f>
        <v/>
      </c>
      <c r="AB35" s="206" t="str">
        <f>IF(AND($A35&gt;=SYear_O, $A35&lt;=EYear_O, AB$3&gt;0), AB$3 * VLOOKUP($A35, Data_All!$A$8:$CA$153, MATCH(AB$2, Data_All!$B$2:$CA$2, 0)+1), "")</f>
        <v/>
      </c>
      <c r="AC35" s="206" t="str">
        <f>IF(AND($A35&gt;=SYear_O, $A35&lt;=EYear_O, AC$3&gt;0), AC$3 * VLOOKUP($A35, Data_All!$A$8:$CA$153, MATCH(AC$2, Data_All!$B$2:$CA$2, 0)+1), "")</f>
        <v/>
      </c>
      <c r="AD35" s="206" t="str">
        <f>IF(AND($A35&gt;=SYear_O, $A35&lt;=EYear_O, AD$3&gt;0), AD$3 * VLOOKUP($A35, Data_All!$A$8:$CA$153, MATCH(AD$2, Data_All!$B$2:$CA$2, 0)+1), "")</f>
        <v/>
      </c>
      <c r="AE35" s="206" t="str">
        <f>IF(AND($A35&gt;=SYear_O, $A35&lt;=EYear_O, AE$3&gt;0), AE$3 * VLOOKUP($A35, Data_All!$A$8:$CA$153, MATCH(AE$2, Data_All!$B$2:$CA$2, 0)+1), "")</f>
        <v/>
      </c>
      <c r="AF35" s="206" t="str">
        <f>IF(AND($A35&gt;=SYear_O, $A35&lt;=EYear_O, AF$3&gt;0), AF$3 * VLOOKUP($A35, Data_All!$A$8:$CA$153, MATCH(AF$2, Data_All!$B$2:$CA$2, 0)+1), "")</f>
        <v/>
      </c>
      <c r="AG35" s="206" t="str">
        <f>IF(AND($A35&gt;=SYear_O, $A35&lt;=EYear_O, AG$3&gt;0), AG$3 * VLOOKUP($A35, Data_All!$A$8:$CA$153, MATCH(AG$2, Data_All!$B$2:$CA$2, 0)+1), "")</f>
        <v/>
      </c>
      <c r="AH35" s="206" t="str">
        <f>IF(AND($A35&gt;=SYear_O, $A35&lt;=EYear_O, AH$3&gt;0), AH$3 * VLOOKUP($A35, Data_All!$A$8:$CA$153, MATCH(AH$2, Data_All!$B$2:$CA$2, 0)+1), "")</f>
        <v/>
      </c>
      <c r="AI35" s="206" t="str">
        <f>IF(AND($A35&gt;=SYear_O, $A35&lt;=EYear_O, AI$3&gt;0), AI$3 * VLOOKUP($A35, Data_All!$A$8:$CA$153, MATCH(AI$2, Data_All!$B$2:$CA$2, 0)+1), "")</f>
        <v/>
      </c>
      <c r="AJ35" s="206" t="str">
        <f>IF(AND($A35&gt;=SYear_O, $A35&lt;=EYear_O, AJ$3&gt;0), AJ$3 * VLOOKUP($A35, Data_All!$A$8:$CA$153, MATCH(AJ$2, Data_All!$B$2:$CA$2, 0)+1), "")</f>
        <v/>
      </c>
      <c r="AK35" s="206" t="str">
        <f>IF(AND($A35&gt;=SYear_O, $A35&lt;=EYear_O, AK$3&gt;0), AK$3 * VLOOKUP($A35, Data_All!$A$8:$CA$153, MATCH(AK$2, Data_All!$B$2:$CA$2, 0)+1), "")</f>
        <v/>
      </c>
      <c r="AL35" s="206" t="str">
        <f>IF(AND($A35&gt;=SYear_O, $A35&lt;=EYear_O, AL$3&gt;0), AL$3 * VLOOKUP($A35, Data_All!$A$8:$CA$153, MATCH(AL$2, Data_All!$B$2:$CA$2, 0)+1), "")</f>
        <v/>
      </c>
      <c r="AM35" s="206" t="str">
        <f>IF(AND($A35&gt;=SYear_O, $A35&lt;=EYear_O, AM$3&gt;0), AM$3 * VLOOKUP($A35, Data_All!$A$8:$CA$153, MATCH(AM$2, Data_All!$B$2:$CA$2, 0)+1), "")</f>
        <v/>
      </c>
      <c r="AN35" s="206" t="str">
        <f>IF(AND($A35&gt;=SYear_O, $A35&lt;=EYear_O, AN$3&gt;0), AN$3 * VLOOKUP($A35, Data_All!$A$8:$CA$153, MATCH(AN$2, Data_All!$B$2:$CA$2, 0)+1), "")</f>
        <v/>
      </c>
      <c r="AO35" s="206" t="str">
        <f>IF(AND($A35&gt;=SYear_O, $A35&lt;=EYear_O, AO$3&gt;0), AO$3 * VLOOKUP($A35, Data_All!$A$8:$CA$153, MATCH(AO$2, Data_All!$B$2:$CA$2, 0)+1), "")</f>
        <v/>
      </c>
      <c r="AP35" s="206" t="str">
        <f>IF(AND($A35&gt;=SYear_O, $A35&lt;=EYear_O, AP$3&gt;0), AP$3 * VLOOKUP($A35, Data_All!$A$8:$CA$153, MATCH(AP$2, Data_All!$B$2:$CA$2, 0)+1), "")</f>
        <v/>
      </c>
      <c r="AQ35" s="206" t="str">
        <f>IF(AND($A35&gt;=SYear_O, $A35&lt;=EYear_O, AQ$3&gt;0), AQ$3 * VLOOKUP($A35, Data_All!$A$8:$CA$153, MATCH(AQ$2, Data_All!$B$2:$CA$2, 0)+1), "")</f>
        <v/>
      </c>
      <c r="AR35" s="206" t="str">
        <f>IF(AND($A35&gt;=SYear_O, $A35&lt;=EYear_O, AR$3&gt;0), AR$3 * VLOOKUP($A35, Data_All!$A$8:$CA$153, MATCH(AR$2, Data_All!$B$2:$CA$2, 0)+1), "")</f>
        <v/>
      </c>
      <c r="AS35" s="206" t="str">
        <f>IF(AND($A35&gt;=SYear_O, $A35&lt;=EYear_O, AS$3&gt;0), AS$3 * VLOOKUP($A35, Data_All!$A$8:$CA$153, MATCH(AS$2, Data_All!$B$2:$CA$2, 0)+1), "")</f>
        <v/>
      </c>
      <c r="AT35" s="206" t="str">
        <f>IF(AND($A35&gt;=SYear_O, $A35&lt;=EYear_O, AT$3&gt;0), AT$3 * VLOOKUP($A35, Data_All!$A$8:$CA$153, MATCH(AT$2, Data_All!$B$2:$CA$2, 0)+1), "")</f>
        <v/>
      </c>
      <c r="AU35" s="206" t="str">
        <f>IF(AND($A35&gt;=SYear_O, $A35&lt;=EYear_O, AU$3&gt;0), AU$3 * VLOOKUP($A35, Data_All!$A$8:$CA$153, MATCH(AU$2, Data_All!$B$2:$CA$2, 0)+1), "")</f>
        <v/>
      </c>
      <c r="AV35" s="206" t="str">
        <f>IF(AND($A35&gt;=SYear_O, $A35&lt;=EYear_O, AV$3&gt;0), AV$3 * VLOOKUP($A35, Data_All!$A$8:$CA$153, MATCH(AV$2, Data_All!$B$2:$CA$2, 0)+1), "")</f>
        <v/>
      </c>
      <c r="AW35" s="206" t="str">
        <f>IF(AND($A35&gt;=SYear_O, $A35&lt;=EYear_O, AW$3&gt;0), AW$3 * VLOOKUP($A35, Data_All!$A$8:$CA$153, MATCH(AW$2, Data_All!$B$2:$CA$2, 0)+1), "")</f>
        <v/>
      </c>
      <c r="AX35" s="206" t="str">
        <f>IF(AND($A35&gt;=SYear_O, $A35&lt;=EYear_O, AX$3&gt;0), AX$3 * VLOOKUP($A35, Data_All!$A$8:$CA$153, MATCH(AX$2, Data_All!$B$2:$CA$2, 0)+1), "")</f>
        <v/>
      </c>
      <c r="AY35" s="206" t="str">
        <f>IF(AND($A35&gt;=SYear_O, $A35&lt;=EYear_O, AY$3&gt;0), AY$3 * VLOOKUP($A35, Data_All!$A$8:$CA$153, MATCH(AY$2, Data_All!$B$2:$CA$2, 0)+1), "")</f>
        <v/>
      </c>
      <c r="AZ35" s="206" t="str">
        <f>IF(AND($A35&gt;=SYear_O, $A35&lt;=EYear_O, AZ$3&gt;0), AZ$3 * VLOOKUP($A35, Data_All!$A$8:$CA$153, MATCH(AZ$2, Data_All!$B$2:$CA$2, 0)+1), "")</f>
        <v/>
      </c>
      <c r="BA35" s="206" t="str">
        <f>IF(AND($A35&gt;=SYear_O, $A35&lt;=EYear_O, BA$3&gt;0), BA$3 * VLOOKUP($A35, Data_All!$A$8:$CA$153, MATCH(BA$2, Data_All!$B$2:$CA$2, 0)+1), "")</f>
        <v/>
      </c>
      <c r="BB35" s="206" t="str">
        <f>IF(AND($A35&gt;=SYear_O, $A35&lt;=EYear_O, BB$3&gt;0), BB$3 * VLOOKUP($A35, Data_All!$A$8:$CA$153, MATCH(BB$2, Data_All!$B$2:$CA$2, 0)+1), "")</f>
        <v/>
      </c>
      <c r="BC35" s="206" t="str">
        <f>IF(AND($A35&gt;=SYear_O, $A35&lt;=EYear_O, BC$3&gt;0), BC$3 * VLOOKUP($A35, Data_All!$A$8:$CA$153, MATCH(BC$2, Data_All!$B$2:$CA$2, 0)+1), "")</f>
        <v/>
      </c>
      <c r="BD35" s="206" t="str">
        <f>IF(AND($A35&gt;=SYear_O, $A35&lt;=EYear_O, BD$3&gt;0), BD$3 * VLOOKUP($A35, Data_All!$A$8:$CA$153, MATCH(BD$2, Data_All!$B$2:$CA$2, 0)+1), "")</f>
        <v/>
      </c>
      <c r="BE35" s="206" t="str">
        <f>IF(AND($A35&gt;=SYear_O, $A35&lt;=EYear_O, BE$3&gt;0), BE$3 * VLOOKUP($A35, Data_All!$A$8:$CA$153, MATCH(BE$2, Data_All!$B$2:$CA$2, 0)+1), "")</f>
        <v/>
      </c>
      <c r="BF35" s="206" t="str">
        <f>IF(AND($A35&gt;=SYear_O, $A35&lt;=EYear_O, BF$3&gt;0), BF$3 * VLOOKUP($A35, Data_All!$A$8:$CA$153, MATCH(BF$2, Data_All!$B$2:$CA$2, 0)+1), "")</f>
        <v/>
      </c>
      <c r="BG35" s="206" t="str">
        <f>IF(AND($A35&gt;=SYear_O, $A35&lt;=EYear_O, BG$3&gt;0), BG$3 * VLOOKUP($A35, Data_All!$A$8:$CA$153, MATCH(BG$2, Data_All!$B$2:$CA$2, 0)+1), "")</f>
        <v/>
      </c>
      <c r="BH35" s="206" t="str">
        <f>IF(AND($A35&gt;=SYear_O, $A35&lt;=EYear_O, BH$3&gt;0), BH$3 * VLOOKUP($A35, Data_All!$A$8:$CA$153, MATCH(BH$2, Data_All!$B$2:$CA$2, 0)+1), "")</f>
        <v/>
      </c>
      <c r="BI35" s="206" t="str">
        <f>IF(AND($A35&gt;=SYear_O, $A35&lt;=EYear_O, BI$3&gt;0), BI$3 * VLOOKUP($A35, Data_All!$A$8:$CA$153, MATCH(BI$2, Data_All!$B$2:$CA$2, 0)+1), "")</f>
        <v/>
      </c>
      <c r="BJ35" s="206" t="str">
        <f>IF(AND($A35&gt;=SYear_O, $A35&lt;=EYear_O, BJ$3&gt;0), BJ$3 * VLOOKUP($A35, Data_All!$A$8:$CA$153, MATCH(BJ$2, Data_All!$B$2:$CA$2, 0)+1), "")</f>
        <v/>
      </c>
      <c r="BK35" s="206" t="str">
        <f>IF(AND($A35&gt;=SYear_O, $A35&lt;=EYear_O, BK$3&gt;0), BK$3 * VLOOKUP($A35, Data_All!$A$8:$CA$153, MATCH(BK$2, Data_All!$B$2:$CA$2, 0)+1), "")</f>
        <v/>
      </c>
      <c r="BL35" s="206" t="str">
        <f>IF(AND($A35&gt;=SYear_O, $A35&lt;=EYear_O, BL$3&gt;0), BL$3 * VLOOKUP($A35, Data_All!$A$8:$CA$153, MATCH(BL$2, Data_All!$B$2:$CA$2, 0)+1), "")</f>
        <v/>
      </c>
      <c r="BM35" s="206" t="str">
        <f>IF(AND($A35&gt;=SYear_O, $A35&lt;=EYear_O, BM$3&gt;0), BM$3 * VLOOKUP($A35, Data_All!$A$8:$CA$153, MATCH(BM$2, Data_All!$B$2:$CA$2, 0)+1), "")</f>
        <v/>
      </c>
      <c r="BN35" s="206" t="str">
        <f>IF(AND($A35&gt;=SYear_O, $A35&lt;=EYear_O, BN$3&gt;0), BN$3 * VLOOKUP($A35, Data_All!$A$8:$CA$153, MATCH(BN$2, Data_All!$B$2:$CA$2, 0)+1), "")</f>
        <v/>
      </c>
      <c r="BO35" s="206" t="str">
        <f>IF(AND($A35&gt;=SYear_O, $A35&lt;=EYear_O, BO$3&gt;0), BO$3 * VLOOKUP($A35, Data_All!$A$8:$CA$153, MATCH(BO$2, Data_All!$B$2:$CA$2, 0)+1), "")</f>
        <v/>
      </c>
      <c r="BP35" s="206" t="str">
        <f>IF(AND($A35&gt;=SYear_O, $A35&lt;=EYear_O, BP$3&gt;0), BP$3 * VLOOKUP($A35, Data_All!$A$8:$CA$153, MATCH(BP$2, Data_All!$B$2:$CA$2, 0)+1), "")</f>
        <v/>
      </c>
      <c r="BQ35" s="206" t="str">
        <f>IF(AND($A35&gt;=SYear_O, $A35&lt;=EYear_O, BQ$3&gt;0), BQ$3 * VLOOKUP($A35, Data_All!$A$8:$CA$153, MATCH(BQ$2, Data_All!$B$2:$CA$2, 0)+1), "")</f>
        <v/>
      </c>
      <c r="BR35" s="206" t="str">
        <f>IF(AND($A35&gt;=SYear_O, $A35&lt;=EYear_O, BR$3&gt;0), BR$3 * VLOOKUP($A35, Data_All!$A$8:$CA$153, MATCH(BR$2, Data_All!$B$2:$CA$2, 0)+1), "")</f>
        <v/>
      </c>
      <c r="BS35" s="206" t="str">
        <f>IF(AND($A35&gt;=SYear_O, $A35&lt;=EYear_O, BS$3&gt;0), BS$3 * VLOOKUP($A35, Data_All!$A$8:$CA$153, MATCH(BS$2, Data_All!$B$2:$CA$2, 0)+1), "")</f>
        <v/>
      </c>
      <c r="BT35" s="206" t="str">
        <f>IF(AND($A35&gt;=SYear_O, $A35&lt;=EYear_O, BT$3&gt;0), BT$3 * VLOOKUP($A35, Data_All!$A$8:$CA$153, MATCH(BT$2, Data_All!$B$2:$CA$2, 0)+1), "")</f>
        <v/>
      </c>
      <c r="BU35" s="206" t="str">
        <f>IF(AND($A35&gt;=SYear_O, $A35&lt;=EYear_O, BU$3&gt;0), BU$3 * VLOOKUP($A35, Data_All!$A$8:$CA$153, MATCH(BU$2, Data_All!$B$2:$CA$2, 0)+1), "")</f>
        <v/>
      </c>
      <c r="BV35" s="206" t="str">
        <f>IF(AND($A35&gt;=SYear_O, $A35&lt;=EYear_O, BV$3&gt;0), BV$3 * VLOOKUP($A35, Data_All!$A$8:$CA$153, MATCH(BV$2, Data_All!$B$2:$CA$2, 0)+1), "")</f>
        <v/>
      </c>
      <c r="BW35" s="206" t="str">
        <f>IF(AND($A35&gt;=SYear_O, $A35&lt;=EYear_O, BW$3&gt;0), BW$3 * VLOOKUP($A35, Data_All!$A$8:$CA$153, MATCH(BW$2, Data_All!$B$2:$CA$2, 0)+1), "")</f>
        <v/>
      </c>
      <c r="BX35" s="206">
        <f>IF(AND($A35&gt;=SYear_O, $A35&lt;=EYear_O, BX$3&gt;0), BX$3 * VLOOKUP($A35, Data_All!$A$8:$CA$153, MATCH(BX$2, Data_All!$B$2:$CA$2, 0)+1), "")</f>
        <v>2.2697368421052611</v>
      </c>
      <c r="BY35" s="206">
        <f>IF(AND($A35&gt;=SYear_O, $A35&lt;=EYear_O, BY$3&gt;0), BY$3 * VLOOKUP($A35, Data_All!$A$8:$CA$153, MATCH(BY$2, Data_All!$B$2:$CA$2, 0)+1), "")</f>
        <v>0.24927690565314187</v>
      </c>
      <c r="BZ35" s="206" t="str">
        <f>IF(AND($A35&gt;=SYear_O, $A35&lt;=EYear_O, BZ$3&gt;0), BZ$3 * VLOOKUP($A35, Data_All!$A$8:$CA$153, MATCH(BZ$2, Data_All!$B$2:$CA$2, 0)+1), "")</f>
        <v/>
      </c>
      <c r="CA35" s="565">
        <f t="shared" si="2"/>
        <v>2.5190137477584029</v>
      </c>
      <c r="CB35" s="427">
        <f t="shared" si="3"/>
        <v>49627.534058554418</v>
      </c>
      <c r="CC35" s="565">
        <f>IF(AND($A35&gt;=SYear_O,$A35&lt;=EYear_O),(CA35-Data_All!CA36)/(1+Data_All!CA36%),"")</f>
        <v>-12.303018686422815</v>
      </c>
      <c r="CD35" s="436">
        <f t="shared" si="4"/>
        <v>78327.653050045177</v>
      </c>
      <c r="CE35" s="438">
        <f t="shared" si="5"/>
        <v>4.5011795609779828</v>
      </c>
      <c r="CF35" s="438">
        <f>IF(AND($A35&gt;=SYear_O,$A35&lt;=EYear_O),MAX($CE$7:CE35),"")</f>
        <v>4.5011795609779828</v>
      </c>
      <c r="CG35" s="209">
        <f t="shared" si="6"/>
        <v>0</v>
      </c>
      <c r="CI35" s="143">
        <f>IF(AND($A35&gt;=SYear_O,$A35&lt;=EYear_O),Data_All!V36,"")</f>
        <v>3.2670596463183137</v>
      </c>
      <c r="CJ35" s="143">
        <f>IF(AND($A35&gt;=SYear_O,$A35&lt;=EYear_O),Data_All!CA36,"")</f>
        <v>16.901416915574586</v>
      </c>
      <c r="CK35" s="143">
        <f t="shared" si="7"/>
        <v>-11.663124048447516</v>
      </c>
      <c r="CN35" s="61">
        <f t="shared" si="8"/>
        <v>2.5190137477584029E-2</v>
      </c>
      <c r="CO35" s="61">
        <f t="shared" si="9"/>
        <v>9.5285141763765013E-2</v>
      </c>
      <c r="CP35" s="61">
        <f t="shared" si="10"/>
        <v>4.9423780044015597E-2</v>
      </c>
      <c r="CQ35" s="61">
        <f t="shared" si="11"/>
        <v>6.734710263642496E-2</v>
      </c>
      <c r="CR35" s="61">
        <f t="shared" si="12"/>
        <v>5.6591768734573611E-2</v>
      </c>
      <c r="CU35" s="61">
        <f t="shared" si="13"/>
        <v>-0.12303018686422817</v>
      </c>
      <c r="CV35" s="61">
        <f t="shared" si="14"/>
        <v>3.9730070377910431E-2</v>
      </c>
      <c r="CW35" s="61">
        <f t="shared" si="15"/>
        <v>7.624355520298387E-3</v>
      </c>
      <c r="CX35" s="61">
        <f t="shared" si="16"/>
        <v>3.7812302896904626E-2</v>
      </c>
      <c r="CY35" s="61">
        <f t="shared" si="17"/>
        <v>2.9319928664889972E-2</v>
      </c>
    </row>
    <row r="36" spans="1:103">
      <c r="A36" s="204">
        <f t="shared" si="18"/>
        <v>1900</v>
      </c>
      <c r="B36" s="206" t="str">
        <f>IF(AND($A36&gt;=SYear_O, $A36&lt;=EYear_O, B$3&gt;0), B$3 * VLOOKUP($A36, Data_All!$A$8:$CA$153, MATCH(B$2, Data_All!$B$2:$CA$2, 0)+1), "")</f>
        <v/>
      </c>
      <c r="C36" s="206" t="str">
        <f>IF(AND($A36&gt;=SYear_O, $A36&lt;=EYear_O, C$3&gt;0), C$3 * VLOOKUP($A36, Data_All!$A$8:$CA$153, MATCH(C$2, Data_All!$B$2:$CA$2, 0)+1), "")</f>
        <v/>
      </c>
      <c r="D36" s="206" t="str">
        <f>IF(AND($A36&gt;=SYear_O, $A36&lt;=EYear_O, D$3&gt;0), D$3 * VLOOKUP($A36, Data_All!$A$8:$CA$153, MATCH(D$2, Data_All!$B$2:$CA$2, 0)+1), "")</f>
        <v/>
      </c>
      <c r="E36" s="206" t="str">
        <f>IF(AND($A36&gt;=SYear_O, $A36&lt;=EYear_O, E$3&gt;0), E$3 * VLOOKUP($A36, Data_All!$A$8:$CA$153, MATCH(E$2, Data_All!$B$2:$CA$2, 0)+1), "")</f>
        <v/>
      </c>
      <c r="F36" s="206" t="str">
        <f>IF(AND($A36&gt;=SYear_O, $A36&lt;=EYear_O, F$3&gt;0), F$3 * VLOOKUP($A36, Data_All!$A$8:$CA$153, MATCH(F$2, Data_All!$B$2:$CA$2, 0)+1), "")</f>
        <v/>
      </c>
      <c r="G36" s="206" t="str">
        <f>IF(AND($A36&gt;=SYear_O, $A36&lt;=EYear_O, G$3&gt;0), G$3 * VLOOKUP($A36, Data_All!$A$8:$CA$153, MATCH(G$2, Data_All!$B$2:$CA$2, 0)+1), "")</f>
        <v/>
      </c>
      <c r="H36" s="206" t="str">
        <f>IF(AND($A36&gt;=SYear_O, $A36&lt;=EYear_O, H$3&gt;0), H$3 * VLOOKUP($A36, Data_All!$A$8:$CA$153, MATCH(H$2, Data_All!$B$2:$CA$2, 0)+1), "")</f>
        <v/>
      </c>
      <c r="I36" s="206" t="str">
        <f>IF(AND($A36&gt;=SYear_O, $A36&lt;=EYear_O, I$3&gt;0), I$3 * VLOOKUP($A36, Data_All!$A$8:$CA$153, MATCH(I$2, Data_All!$B$2:$CA$2, 0)+1), "")</f>
        <v/>
      </c>
      <c r="J36" s="206" t="str">
        <f>IF(AND($A36&gt;=SYear_O, $A36&lt;=EYear_O, J$3&gt;0), J$3 * VLOOKUP($A36, Data_All!$A$8:$CA$153, MATCH(J$2, Data_All!$B$2:$CA$2, 0)+1), "")</f>
        <v/>
      </c>
      <c r="K36" s="206" t="str">
        <f>IF(AND($A36&gt;=SYear_O, $A36&lt;=EYear_O, K$3&gt;0), K$3 * VLOOKUP($A36, Data_All!$A$8:$CA$153, MATCH(K$2, Data_All!$B$2:$CA$2, 0)+1), "")</f>
        <v/>
      </c>
      <c r="L36" s="206" t="str">
        <f>IF(AND($A36&gt;=SYear_O, $A36&lt;=EYear_O, L$3&gt;0), L$3 * VLOOKUP($A36, Data_All!$A$8:$CA$153, MATCH(L$2, Data_All!$B$2:$CA$2, 0)+1), "")</f>
        <v/>
      </c>
      <c r="M36" s="206" t="str">
        <f>IF(AND($A36&gt;=SYear_O, $A36&lt;=EYear_O, M$3&gt;0), M$3 * VLOOKUP($A36, Data_All!$A$8:$CA$153, MATCH(M$2, Data_All!$B$2:$CA$2, 0)+1), "")</f>
        <v/>
      </c>
      <c r="N36" s="206" t="str">
        <f>IF(AND($A36&gt;=SYear_O, $A36&lt;=EYear_O, N$3&gt;0), N$3 * VLOOKUP($A36, Data_All!$A$8:$CA$153, MATCH(N$2, Data_All!$B$2:$CA$2, 0)+1), "")</f>
        <v/>
      </c>
      <c r="O36" s="206" t="str">
        <f>IF(AND($A36&gt;=SYear_O, $A36&lt;=EYear_O, O$3&gt;0), O$3 * VLOOKUP($A36, Data_All!$A$8:$CA$153, MATCH(O$2, Data_All!$B$2:$CA$2, 0)+1), "")</f>
        <v/>
      </c>
      <c r="P36" s="206" t="str">
        <f>IF(AND($A36&gt;=SYear_O, $A36&lt;=EYear_O, P$3&gt;0), P$3 * VLOOKUP($A36, Data_All!$A$8:$CA$153, MATCH(P$2, Data_All!$B$2:$CA$2, 0)+1), "")</f>
        <v/>
      </c>
      <c r="Q36" s="206" t="str">
        <f>IF(AND($A36&gt;=SYear_O, $A36&lt;=EYear_O, Q$3&gt;0), Q$3 * VLOOKUP($A36, Data_All!$A$8:$CA$153, MATCH(Q$2, Data_All!$B$2:$CA$2, 0)+1), "")</f>
        <v/>
      </c>
      <c r="R36" s="206" t="str">
        <f>IF(AND($A36&gt;=SYear_O, $A36&lt;=EYear_O, R$3&gt;0), R$3 * VLOOKUP($A36, Data_All!$A$8:$CA$153, MATCH(R$2, Data_All!$B$2:$CA$2, 0)+1), "")</f>
        <v/>
      </c>
      <c r="S36" s="206" t="str">
        <f>IF(AND($A36&gt;=SYear_O, $A36&lt;=EYear_O, S$3&gt;0), S$3 * VLOOKUP($A36, Data_All!$A$8:$CA$153, MATCH(S$2, Data_All!$B$2:$CA$2, 0)+1), "")</f>
        <v/>
      </c>
      <c r="T36" s="206" t="str">
        <f>IF(AND($A36&gt;=SYear_O, $A36&lt;=EYear_O, T$3&gt;0), T$3 * VLOOKUP($A36, Data_All!$A$8:$CA$153, MATCH(T$2, Data_All!$B$2:$CA$2, 0)+1), "")</f>
        <v/>
      </c>
      <c r="U36" s="206" t="str">
        <f>IF(AND($A36&gt;=SYear_O, $A36&lt;=EYear_O, U$3&gt;0), U$3 * VLOOKUP($A36, Data_All!$A$8:$CA$153, MATCH(U$2, Data_All!$B$2:$CA$2, 0)+1), "")</f>
        <v/>
      </c>
      <c r="V36" s="206" t="str">
        <f>IF(AND($A36&gt;=SYear_O, $A36&lt;=EYear_O, V$3&gt;0), V$3 * VLOOKUP($A36, Data_All!$A$8:$CA$153, MATCH(V$2, Data_All!$B$2:$CA$2, 0)+1), "")</f>
        <v/>
      </c>
      <c r="W36" s="206" t="str">
        <f>IF(AND($A36&gt;=SYear_O, $A36&lt;=EYear_O, W$3&gt;0), W$3 * VLOOKUP($A36, Data_All!$A$8:$CA$153, MATCH(W$2, Data_All!$B$2:$CA$2, 0)+1), "")</f>
        <v/>
      </c>
      <c r="X36" s="206" t="str">
        <f>IF(AND($A36&gt;=SYear_O, $A36&lt;=EYear_O, X$3&gt;0), X$3 * VLOOKUP($A36, Data_All!$A$8:$CA$153, MATCH(X$2, Data_All!$B$2:$CA$2, 0)+1), "")</f>
        <v/>
      </c>
      <c r="Y36" s="206" t="str">
        <f>IF(AND($A36&gt;=SYear_O, $A36&lt;=EYear_O, Y$3&gt;0), Y$3 * VLOOKUP($A36, Data_All!$A$8:$CA$153, MATCH(Y$2, Data_All!$B$2:$CA$2, 0)+1), "")</f>
        <v/>
      </c>
      <c r="Z36" s="206" t="str">
        <f>IF(AND($A36&gt;=SYear_O, $A36&lt;=EYear_O, Z$3&gt;0), Z$3 * VLOOKUP($A36, Data_All!$A$8:$CA$153, MATCH(Z$2, Data_All!$B$2:$CA$2, 0)+1), "")</f>
        <v/>
      </c>
      <c r="AA36" s="206" t="str">
        <f>IF(AND($A36&gt;=SYear_O, $A36&lt;=EYear_O, AA$3&gt;0), AA$3 * VLOOKUP($A36, Data_All!$A$8:$CA$153, MATCH(AA$2, Data_All!$B$2:$CA$2, 0)+1), "")</f>
        <v/>
      </c>
      <c r="AB36" s="206" t="str">
        <f>IF(AND($A36&gt;=SYear_O, $A36&lt;=EYear_O, AB$3&gt;0), AB$3 * VLOOKUP($A36, Data_All!$A$8:$CA$153, MATCH(AB$2, Data_All!$B$2:$CA$2, 0)+1), "")</f>
        <v/>
      </c>
      <c r="AC36" s="206" t="str">
        <f>IF(AND($A36&gt;=SYear_O, $A36&lt;=EYear_O, AC$3&gt;0), AC$3 * VLOOKUP($A36, Data_All!$A$8:$CA$153, MATCH(AC$2, Data_All!$B$2:$CA$2, 0)+1), "")</f>
        <v/>
      </c>
      <c r="AD36" s="206" t="str">
        <f>IF(AND($A36&gt;=SYear_O, $A36&lt;=EYear_O, AD$3&gt;0), AD$3 * VLOOKUP($A36, Data_All!$A$8:$CA$153, MATCH(AD$2, Data_All!$B$2:$CA$2, 0)+1), "")</f>
        <v/>
      </c>
      <c r="AE36" s="206" t="str">
        <f>IF(AND($A36&gt;=SYear_O, $A36&lt;=EYear_O, AE$3&gt;0), AE$3 * VLOOKUP($A36, Data_All!$A$8:$CA$153, MATCH(AE$2, Data_All!$B$2:$CA$2, 0)+1), "")</f>
        <v/>
      </c>
      <c r="AF36" s="206" t="str">
        <f>IF(AND($A36&gt;=SYear_O, $A36&lt;=EYear_O, AF$3&gt;0), AF$3 * VLOOKUP($A36, Data_All!$A$8:$CA$153, MATCH(AF$2, Data_All!$B$2:$CA$2, 0)+1), "")</f>
        <v/>
      </c>
      <c r="AG36" s="206" t="str">
        <f>IF(AND($A36&gt;=SYear_O, $A36&lt;=EYear_O, AG$3&gt;0), AG$3 * VLOOKUP($A36, Data_All!$A$8:$CA$153, MATCH(AG$2, Data_All!$B$2:$CA$2, 0)+1), "")</f>
        <v/>
      </c>
      <c r="AH36" s="206" t="str">
        <f>IF(AND($A36&gt;=SYear_O, $A36&lt;=EYear_O, AH$3&gt;0), AH$3 * VLOOKUP($A36, Data_All!$A$8:$CA$153, MATCH(AH$2, Data_All!$B$2:$CA$2, 0)+1), "")</f>
        <v/>
      </c>
      <c r="AI36" s="206" t="str">
        <f>IF(AND($A36&gt;=SYear_O, $A36&lt;=EYear_O, AI$3&gt;0), AI$3 * VLOOKUP($A36, Data_All!$A$8:$CA$153, MATCH(AI$2, Data_All!$B$2:$CA$2, 0)+1), "")</f>
        <v/>
      </c>
      <c r="AJ36" s="206" t="str">
        <f>IF(AND($A36&gt;=SYear_O, $A36&lt;=EYear_O, AJ$3&gt;0), AJ$3 * VLOOKUP($A36, Data_All!$A$8:$CA$153, MATCH(AJ$2, Data_All!$B$2:$CA$2, 0)+1), "")</f>
        <v/>
      </c>
      <c r="AK36" s="206" t="str">
        <f>IF(AND($A36&gt;=SYear_O, $A36&lt;=EYear_O, AK$3&gt;0), AK$3 * VLOOKUP($A36, Data_All!$A$8:$CA$153, MATCH(AK$2, Data_All!$B$2:$CA$2, 0)+1), "")</f>
        <v/>
      </c>
      <c r="AL36" s="206" t="str">
        <f>IF(AND($A36&gt;=SYear_O, $A36&lt;=EYear_O, AL$3&gt;0), AL$3 * VLOOKUP($A36, Data_All!$A$8:$CA$153, MATCH(AL$2, Data_All!$B$2:$CA$2, 0)+1), "")</f>
        <v/>
      </c>
      <c r="AM36" s="206" t="str">
        <f>IF(AND($A36&gt;=SYear_O, $A36&lt;=EYear_O, AM$3&gt;0), AM$3 * VLOOKUP($A36, Data_All!$A$8:$CA$153, MATCH(AM$2, Data_All!$B$2:$CA$2, 0)+1), "")</f>
        <v/>
      </c>
      <c r="AN36" s="206" t="str">
        <f>IF(AND($A36&gt;=SYear_O, $A36&lt;=EYear_O, AN$3&gt;0), AN$3 * VLOOKUP($A36, Data_All!$A$8:$CA$153, MATCH(AN$2, Data_All!$B$2:$CA$2, 0)+1), "")</f>
        <v/>
      </c>
      <c r="AO36" s="206" t="str">
        <f>IF(AND($A36&gt;=SYear_O, $A36&lt;=EYear_O, AO$3&gt;0), AO$3 * VLOOKUP($A36, Data_All!$A$8:$CA$153, MATCH(AO$2, Data_All!$B$2:$CA$2, 0)+1), "")</f>
        <v/>
      </c>
      <c r="AP36" s="206" t="str">
        <f>IF(AND($A36&gt;=SYear_O, $A36&lt;=EYear_O, AP$3&gt;0), AP$3 * VLOOKUP($A36, Data_All!$A$8:$CA$153, MATCH(AP$2, Data_All!$B$2:$CA$2, 0)+1), "")</f>
        <v/>
      </c>
      <c r="AQ36" s="206" t="str">
        <f>IF(AND($A36&gt;=SYear_O, $A36&lt;=EYear_O, AQ$3&gt;0), AQ$3 * VLOOKUP($A36, Data_All!$A$8:$CA$153, MATCH(AQ$2, Data_All!$B$2:$CA$2, 0)+1), "")</f>
        <v/>
      </c>
      <c r="AR36" s="206" t="str">
        <f>IF(AND($A36&gt;=SYear_O, $A36&lt;=EYear_O, AR$3&gt;0), AR$3 * VLOOKUP($A36, Data_All!$A$8:$CA$153, MATCH(AR$2, Data_All!$B$2:$CA$2, 0)+1), "")</f>
        <v/>
      </c>
      <c r="AS36" s="206" t="str">
        <f>IF(AND($A36&gt;=SYear_O, $A36&lt;=EYear_O, AS$3&gt;0), AS$3 * VLOOKUP($A36, Data_All!$A$8:$CA$153, MATCH(AS$2, Data_All!$B$2:$CA$2, 0)+1), "")</f>
        <v/>
      </c>
      <c r="AT36" s="206" t="str">
        <f>IF(AND($A36&gt;=SYear_O, $A36&lt;=EYear_O, AT$3&gt;0), AT$3 * VLOOKUP($A36, Data_All!$A$8:$CA$153, MATCH(AT$2, Data_All!$B$2:$CA$2, 0)+1), "")</f>
        <v/>
      </c>
      <c r="AU36" s="206" t="str">
        <f>IF(AND($A36&gt;=SYear_O, $A36&lt;=EYear_O, AU$3&gt;0), AU$3 * VLOOKUP($A36, Data_All!$A$8:$CA$153, MATCH(AU$2, Data_All!$B$2:$CA$2, 0)+1), "")</f>
        <v/>
      </c>
      <c r="AV36" s="206" t="str">
        <f>IF(AND($A36&gt;=SYear_O, $A36&lt;=EYear_O, AV$3&gt;0), AV$3 * VLOOKUP($A36, Data_All!$A$8:$CA$153, MATCH(AV$2, Data_All!$B$2:$CA$2, 0)+1), "")</f>
        <v/>
      </c>
      <c r="AW36" s="206" t="str">
        <f>IF(AND($A36&gt;=SYear_O, $A36&lt;=EYear_O, AW$3&gt;0), AW$3 * VLOOKUP($A36, Data_All!$A$8:$CA$153, MATCH(AW$2, Data_All!$B$2:$CA$2, 0)+1), "")</f>
        <v/>
      </c>
      <c r="AX36" s="206" t="str">
        <f>IF(AND($A36&gt;=SYear_O, $A36&lt;=EYear_O, AX$3&gt;0), AX$3 * VLOOKUP($A36, Data_All!$A$8:$CA$153, MATCH(AX$2, Data_All!$B$2:$CA$2, 0)+1), "")</f>
        <v/>
      </c>
      <c r="AY36" s="206" t="str">
        <f>IF(AND($A36&gt;=SYear_O, $A36&lt;=EYear_O, AY$3&gt;0), AY$3 * VLOOKUP($A36, Data_All!$A$8:$CA$153, MATCH(AY$2, Data_All!$B$2:$CA$2, 0)+1), "")</f>
        <v/>
      </c>
      <c r="AZ36" s="206" t="str">
        <f>IF(AND($A36&gt;=SYear_O, $A36&lt;=EYear_O, AZ$3&gt;0), AZ$3 * VLOOKUP($A36, Data_All!$A$8:$CA$153, MATCH(AZ$2, Data_All!$B$2:$CA$2, 0)+1), "")</f>
        <v/>
      </c>
      <c r="BA36" s="206" t="str">
        <f>IF(AND($A36&gt;=SYear_O, $A36&lt;=EYear_O, BA$3&gt;0), BA$3 * VLOOKUP($A36, Data_All!$A$8:$CA$153, MATCH(BA$2, Data_All!$B$2:$CA$2, 0)+1), "")</f>
        <v/>
      </c>
      <c r="BB36" s="206" t="str">
        <f>IF(AND($A36&gt;=SYear_O, $A36&lt;=EYear_O, BB$3&gt;0), BB$3 * VLOOKUP($A36, Data_All!$A$8:$CA$153, MATCH(BB$2, Data_All!$B$2:$CA$2, 0)+1), "")</f>
        <v/>
      </c>
      <c r="BC36" s="206" t="str">
        <f>IF(AND($A36&gt;=SYear_O, $A36&lt;=EYear_O, BC$3&gt;0), BC$3 * VLOOKUP($A36, Data_All!$A$8:$CA$153, MATCH(BC$2, Data_All!$B$2:$CA$2, 0)+1), "")</f>
        <v/>
      </c>
      <c r="BD36" s="206" t="str">
        <f>IF(AND($A36&gt;=SYear_O, $A36&lt;=EYear_O, BD$3&gt;0), BD$3 * VLOOKUP($A36, Data_All!$A$8:$CA$153, MATCH(BD$2, Data_All!$B$2:$CA$2, 0)+1), "")</f>
        <v/>
      </c>
      <c r="BE36" s="206" t="str">
        <f>IF(AND($A36&gt;=SYear_O, $A36&lt;=EYear_O, BE$3&gt;0), BE$3 * VLOOKUP($A36, Data_All!$A$8:$CA$153, MATCH(BE$2, Data_All!$B$2:$CA$2, 0)+1), "")</f>
        <v/>
      </c>
      <c r="BF36" s="206" t="str">
        <f>IF(AND($A36&gt;=SYear_O, $A36&lt;=EYear_O, BF$3&gt;0), BF$3 * VLOOKUP($A36, Data_All!$A$8:$CA$153, MATCH(BF$2, Data_All!$B$2:$CA$2, 0)+1), "")</f>
        <v/>
      </c>
      <c r="BG36" s="206" t="str">
        <f>IF(AND($A36&gt;=SYear_O, $A36&lt;=EYear_O, BG$3&gt;0), BG$3 * VLOOKUP($A36, Data_All!$A$8:$CA$153, MATCH(BG$2, Data_All!$B$2:$CA$2, 0)+1), "")</f>
        <v/>
      </c>
      <c r="BH36" s="206" t="str">
        <f>IF(AND($A36&gt;=SYear_O, $A36&lt;=EYear_O, BH$3&gt;0), BH$3 * VLOOKUP($A36, Data_All!$A$8:$CA$153, MATCH(BH$2, Data_All!$B$2:$CA$2, 0)+1), "")</f>
        <v/>
      </c>
      <c r="BI36" s="206" t="str">
        <f>IF(AND($A36&gt;=SYear_O, $A36&lt;=EYear_O, BI$3&gt;0), BI$3 * VLOOKUP($A36, Data_All!$A$8:$CA$153, MATCH(BI$2, Data_All!$B$2:$CA$2, 0)+1), "")</f>
        <v/>
      </c>
      <c r="BJ36" s="206" t="str">
        <f>IF(AND($A36&gt;=SYear_O, $A36&lt;=EYear_O, BJ$3&gt;0), BJ$3 * VLOOKUP($A36, Data_All!$A$8:$CA$153, MATCH(BJ$2, Data_All!$B$2:$CA$2, 0)+1), "")</f>
        <v/>
      </c>
      <c r="BK36" s="206" t="str">
        <f>IF(AND($A36&gt;=SYear_O, $A36&lt;=EYear_O, BK$3&gt;0), BK$3 * VLOOKUP($A36, Data_All!$A$8:$CA$153, MATCH(BK$2, Data_All!$B$2:$CA$2, 0)+1), "")</f>
        <v/>
      </c>
      <c r="BL36" s="206" t="str">
        <f>IF(AND($A36&gt;=SYear_O, $A36&lt;=EYear_O, BL$3&gt;0), BL$3 * VLOOKUP($A36, Data_All!$A$8:$CA$153, MATCH(BL$2, Data_All!$B$2:$CA$2, 0)+1), "")</f>
        <v/>
      </c>
      <c r="BM36" s="206" t="str">
        <f>IF(AND($A36&gt;=SYear_O, $A36&lt;=EYear_O, BM$3&gt;0), BM$3 * VLOOKUP($A36, Data_All!$A$8:$CA$153, MATCH(BM$2, Data_All!$B$2:$CA$2, 0)+1), "")</f>
        <v/>
      </c>
      <c r="BN36" s="206" t="str">
        <f>IF(AND($A36&gt;=SYear_O, $A36&lt;=EYear_O, BN$3&gt;0), BN$3 * VLOOKUP($A36, Data_All!$A$8:$CA$153, MATCH(BN$2, Data_All!$B$2:$CA$2, 0)+1), "")</f>
        <v/>
      </c>
      <c r="BO36" s="206" t="str">
        <f>IF(AND($A36&gt;=SYear_O, $A36&lt;=EYear_O, BO$3&gt;0), BO$3 * VLOOKUP($A36, Data_All!$A$8:$CA$153, MATCH(BO$2, Data_All!$B$2:$CA$2, 0)+1), "")</f>
        <v/>
      </c>
      <c r="BP36" s="206" t="str">
        <f>IF(AND($A36&gt;=SYear_O, $A36&lt;=EYear_O, BP$3&gt;0), BP$3 * VLOOKUP($A36, Data_All!$A$8:$CA$153, MATCH(BP$2, Data_All!$B$2:$CA$2, 0)+1), "")</f>
        <v/>
      </c>
      <c r="BQ36" s="206" t="str">
        <f>IF(AND($A36&gt;=SYear_O, $A36&lt;=EYear_O, BQ$3&gt;0), BQ$3 * VLOOKUP($A36, Data_All!$A$8:$CA$153, MATCH(BQ$2, Data_All!$B$2:$CA$2, 0)+1), "")</f>
        <v/>
      </c>
      <c r="BR36" s="206" t="str">
        <f>IF(AND($A36&gt;=SYear_O, $A36&lt;=EYear_O, BR$3&gt;0), BR$3 * VLOOKUP($A36, Data_All!$A$8:$CA$153, MATCH(BR$2, Data_All!$B$2:$CA$2, 0)+1), "")</f>
        <v/>
      </c>
      <c r="BS36" s="206" t="str">
        <f>IF(AND($A36&gt;=SYear_O, $A36&lt;=EYear_O, BS$3&gt;0), BS$3 * VLOOKUP($A36, Data_All!$A$8:$CA$153, MATCH(BS$2, Data_All!$B$2:$CA$2, 0)+1), "")</f>
        <v/>
      </c>
      <c r="BT36" s="206" t="str">
        <f>IF(AND($A36&gt;=SYear_O, $A36&lt;=EYear_O, BT$3&gt;0), BT$3 * VLOOKUP($A36, Data_All!$A$8:$CA$153, MATCH(BT$2, Data_All!$B$2:$CA$2, 0)+1), "")</f>
        <v/>
      </c>
      <c r="BU36" s="206" t="str">
        <f>IF(AND($A36&gt;=SYear_O, $A36&lt;=EYear_O, BU$3&gt;0), BU$3 * VLOOKUP($A36, Data_All!$A$8:$CA$153, MATCH(BU$2, Data_All!$B$2:$CA$2, 0)+1), "")</f>
        <v/>
      </c>
      <c r="BV36" s="206" t="str">
        <f>IF(AND($A36&gt;=SYear_O, $A36&lt;=EYear_O, BV$3&gt;0), BV$3 * VLOOKUP($A36, Data_All!$A$8:$CA$153, MATCH(BV$2, Data_All!$B$2:$CA$2, 0)+1), "")</f>
        <v/>
      </c>
      <c r="BW36" s="206" t="str">
        <f>IF(AND($A36&gt;=SYear_O, $A36&lt;=EYear_O, BW$3&gt;0), BW$3 * VLOOKUP($A36, Data_All!$A$8:$CA$153, MATCH(BW$2, Data_All!$B$2:$CA$2, 0)+1), "")</f>
        <v/>
      </c>
      <c r="BX36" s="206">
        <f>IF(AND($A36&gt;=SYear_O, $A36&lt;=EYear_O, BX$3&gt;0), BX$3 * VLOOKUP($A36, Data_All!$A$8:$CA$153, MATCH(BX$2, Data_All!$B$2:$CA$2, 0)+1), "")</f>
        <v>12.491803278688529</v>
      </c>
      <c r="BY36" s="206">
        <f>IF(AND($A36&gt;=SYear_O, $A36&lt;=EYear_O, BY$3&gt;0), BY$3 * VLOOKUP($A36, Data_All!$A$8:$CA$153, MATCH(BY$2, Data_All!$B$2:$CA$2, 0)+1), "")</f>
        <v>1.5084497331581659</v>
      </c>
      <c r="BZ36" s="206" t="str">
        <f>IF(AND($A36&gt;=SYear_O, $A36&lt;=EYear_O, BZ$3&gt;0), BZ$3 * VLOOKUP($A36, Data_All!$A$8:$CA$153, MATCH(BZ$2, Data_All!$B$2:$CA$2, 0)+1), "")</f>
        <v/>
      </c>
      <c r="CA36" s="565">
        <f t="shared" si="2"/>
        <v>14.000253011846695</v>
      </c>
      <c r="CB36" s="427">
        <f t="shared" si="3"/>
        <v>56575.514390292425</v>
      </c>
      <c r="CC36" s="565">
        <f>IF(AND($A36&gt;=SYear_O,$A36&lt;=EYear_O),(CA36-Data_All!CA37)/(1+Data_All!CA37%),"")</f>
        <v>16.815177874781448</v>
      </c>
      <c r="CD36" s="436">
        <f t="shared" si="4"/>
        <v>91498.587235551939</v>
      </c>
      <c r="CE36" s="438">
        <f t="shared" si="5"/>
        <v>5.1313560880324305</v>
      </c>
      <c r="CF36" s="438">
        <f>IF(AND($A36&gt;=SYear_O,$A36&lt;=EYear_O),MAX($CE$7:CE36),"")</f>
        <v>5.1313560880324305</v>
      </c>
      <c r="CG36" s="209">
        <f t="shared" si="6"/>
        <v>0</v>
      </c>
      <c r="CI36" s="143">
        <f>IF(AND($A36&gt;=SYear_O,$A36&lt;=EYear_O),Data_All!V37,"")</f>
        <v>4.5459086821860328</v>
      </c>
      <c r="CJ36" s="143">
        <f>IF(AND($A36&gt;=SYear_O,$A36&lt;=EYear_O),Data_All!CA37,"")</f>
        <v>-2.4097252721321683</v>
      </c>
      <c r="CK36" s="143">
        <f t="shared" si="7"/>
        <v>7.1273843359024314</v>
      </c>
      <c r="CN36" s="61">
        <f t="shared" si="8"/>
        <v>0.14000253011846686</v>
      </c>
      <c r="CO36" s="61">
        <f t="shared" si="9"/>
        <v>0.10571038485914652</v>
      </c>
      <c r="CP36" s="61">
        <f t="shared" si="10"/>
        <v>8.2749363891953864E-2</v>
      </c>
      <c r="CQ36" s="61">
        <f t="shared" si="11"/>
        <v>7.4757860104685214E-2</v>
      </c>
      <c r="CR36" s="61">
        <f t="shared" si="12"/>
        <v>5.4068509869418691E-2</v>
      </c>
      <c r="CU36" s="61">
        <f t="shared" si="13"/>
        <v>0.1681517787478144</v>
      </c>
      <c r="CV36" s="61">
        <f t="shared" si="14"/>
        <v>7.2309709648100462E-2</v>
      </c>
      <c r="CW36" s="61">
        <f t="shared" si="15"/>
        <v>6.7741016833526846E-2</v>
      </c>
      <c r="CX36" s="61">
        <f t="shared" si="16"/>
        <v>5.0787842503154934E-2</v>
      </c>
      <c r="CY36" s="61">
        <f t="shared" si="17"/>
        <v>3.6919935087679656E-2</v>
      </c>
    </row>
    <row r="37" spans="1:103">
      <c r="A37" s="204">
        <f t="shared" si="18"/>
        <v>1901</v>
      </c>
      <c r="B37" s="206" t="str">
        <f>IF(AND($A37&gt;=SYear_O, $A37&lt;=EYear_O, B$3&gt;0), B$3 * VLOOKUP($A37, Data_All!$A$8:$CA$153, MATCH(B$2, Data_All!$B$2:$CA$2, 0)+1), "")</f>
        <v/>
      </c>
      <c r="C37" s="206" t="str">
        <f>IF(AND($A37&gt;=SYear_O, $A37&lt;=EYear_O, C$3&gt;0), C$3 * VLOOKUP($A37, Data_All!$A$8:$CA$153, MATCH(C$2, Data_All!$B$2:$CA$2, 0)+1), "")</f>
        <v/>
      </c>
      <c r="D37" s="206" t="str">
        <f>IF(AND($A37&gt;=SYear_O, $A37&lt;=EYear_O, D$3&gt;0), D$3 * VLOOKUP($A37, Data_All!$A$8:$CA$153, MATCH(D$2, Data_All!$B$2:$CA$2, 0)+1), "")</f>
        <v/>
      </c>
      <c r="E37" s="206" t="str">
        <f>IF(AND($A37&gt;=SYear_O, $A37&lt;=EYear_O, E$3&gt;0), E$3 * VLOOKUP($A37, Data_All!$A$8:$CA$153, MATCH(E$2, Data_All!$B$2:$CA$2, 0)+1), "")</f>
        <v/>
      </c>
      <c r="F37" s="206" t="str">
        <f>IF(AND($A37&gt;=SYear_O, $A37&lt;=EYear_O, F$3&gt;0), F$3 * VLOOKUP($A37, Data_All!$A$8:$CA$153, MATCH(F$2, Data_All!$B$2:$CA$2, 0)+1), "")</f>
        <v/>
      </c>
      <c r="G37" s="206" t="str">
        <f>IF(AND($A37&gt;=SYear_O, $A37&lt;=EYear_O, G$3&gt;0), G$3 * VLOOKUP($A37, Data_All!$A$8:$CA$153, MATCH(G$2, Data_All!$B$2:$CA$2, 0)+1), "")</f>
        <v/>
      </c>
      <c r="H37" s="206" t="str">
        <f>IF(AND($A37&gt;=SYear_O, $A37&lt;=EYear_O, H$3&gt;0), H$3 * VLOOKUP($A37, Data_All!$A$8:$CA$153, MATCH(H$2, Data_All!$B$2:$CA$2, 0)+1), "")</f>
        <v/>
      </c>
      <c r="I37" s="206" t="str">
        <f>IF(AND($A37&gt;=SYear_O, $A37&lt;=EYear_O, I$3&gt;0), I$3 * VLOOKUP($A37, Data_All!$A$8:$CA$153, MATCH(I$2, Data_All!$B$2:$CA$2, 0)+1), "")</f>
        <v/>
      </c>
      <c r="J37" s="206" t="str">
        <f>IF(AND($A37&gt;=SYear_O, $A37&lt;=EYear_O, J$3&gt;0), J$3 * VLOOKUP($A37, Data_All!$A$8:$CA$153, MATCH(J$2, Data_All!$B$2:$CA$2, 0)+1), "")</f>
        <v/>
      </c>
      <c r="K37" s="206" t="str">
        <f>IF(AND($A37&gt;=SYear_O, $A37&lt;=EYear_O, K$3&gt;0), K$3 * VLOOKUP($A37, Data_All!$A$8:$CA$153, MATCH(K$2, Data_All!$B$2:$CA$2, 0)+1), "")</f>
        <v/>
      </c>
      <c r="L37" s="206" t="str">
        <f>IF(AND($A37&gt;=SYear_O, $A37&lt;=EYear_O, L$3&gt;0), L$3 * VLOOKUP($A37, Data_All!$A$8:$CA$153, MATCH(L$2, Data_All!$B$2:$CA$2, 0)+1), "")</f>
        <v/>
      </c>
      <c r="M37" s="206" t="str">
        <f>IF(AND($A37&gt;=SYear_O, $A37&lt;=EYear_O, M$3&gt;0), M$3 * VLOOKUP($A37, Data_All!$A$8:$CA$153, MATCH(M$2, Data_All!$B$2:$CA$2, 0)+1), "")</f>
        <v/>
      </c>
      <c r="N37" s="206" t="str">
        <f>IF(AND($A37&gt;=SYear_O, $A37&lt;=EYear_O, N$3&gt;0), N$3 * VLOOKUP($A37, Data_All!$A$8:$CA$153, MATCH(N$2, Data_All!$B$2:$CA$2, 0)+1), "")</f>
        <v/>
      </c>
      <c r="O37" s="206" t="str">
        <f>IF(AND($A37&gt;=SYear_O, $A37&lt;=EYear_O, O$3&gt;0), O$3 * VLOOKUP($A37, Data_All!$A$8:$CA$153, MATCH(O$2, Data_All!$B$2:$CA$2, 0)+1), "")</f>
        <v/>
      </c>
      <c r="P37" s="206" t="str">
        <f>IF(AND($A37&gt;=SYear_O, $A37&lt;=EYear_O, P$3&gt;0), P$3 * VLOOKUP($A37, Data_All!$A$8:$CA$153, MATCH(P$2, Data_All!$B$2:$CA$2, 0)+1), "")</f>
        <v/>
      </c>
      <c r="Q37" s="206" t="str">
        <f>IF(AND($A37&gt;=SYear_O, $A37&lt;=EYear_O, Q$3&gt;0), Q$3 * VLOOKUP($A37, Data_All!$A$8:$CA$153, MATCH(Q$2, Data_All!$B$2:$CA$2, 0)+1), "")</f>
        <v/>
      </c>
      <c r="R37" s="206" t="str">
        <f>IF(AND($A37&gt;=SYear_O, $A37&lt;=EYear_O, R$3&gt;0), R$3 * VLOOKUP($A37, Data_All!$A$8:$CA$153, MATCH(R$2, Data_All!$B$2:$CA$2, 0)+1), "")</f>
        <v/>
      </c>
      <c r="S37" s="206" t="str">
        <f>IF(AND($A37&gt;=SYear_O, $A37&lt;=EYear_O, S$3&gt;0), S$3 * VLOOKUP($A37, Data_All!$A$8:$CA$153, MATCH(S$2, Data_All!$B$2:$CA$2, 0)+1), "")</f>
        <v/>
      </c>
      <c r="T37" s="206" t="str">
        <f>IF(AND($A37&gt;=SYear_O, $A37&lt;=EYear_O, T$3&gt;0), T$3 * VLOOKUP($A37, Data_All!$A$8:$CA$153, MATCH(T$2, Data_All!$B$2:$CA$2, 0)+1), "")</f>
        <v/>
      </c>
      <c r="U37" s="206" t="str">
        <f>IF(AND($A37&gt;=SYear_O, $A37&lt;=EYear_O, U$3&gt;0), U$3 * VLOOKUP($A37, Data_All!$A$8:$CA$153, MATCH(U$2, Data_All!$B$2:$CA$2, 0)+1), "")</f>
        <v/>
      </c>
      <c r="V37" s="206" t="str">
        <f>IF(AND($A37&gt;=SYear_O, $A37&lt;=EYear_O, V$3&gt;0), V$3 * VLOOKUP($A37, Data_All!$A$8:$CA$153, MATCH(V$2, Data_All!$B$2:$CA$2, 0)+1), "")</f>
        <v/>
      </c>
      <c r="W37" s="206" t="str">
        <f>IF(AND($A37&gt;=SYear_O, $A37&lt;=EYear_O, W$3&gt;0), W$3 * VLOOKUP($A37, Data_All!$A$8:$CA$153, MATCH(W$2, Data_All!$B$2:$CA$2, 0)+1), "")</f>
        <v/>
      </c>
      <c r="X37" s="206" t="str">
        <f>IF(AND($A37&gt;=SYear_O, $A37&lt;=EYear_O, X$3&gt;0), X$3 * VLOOKUP($A37, Data_All!$A$8:$CA$153, MATCH(X$2, Data_All!$B$2:$CA$2, 0)+1), "")</f>
        <v/>
      </c>
      <c r="Y37" s="206" t="str">
        <f>IF(AND($A37&gt;=SYear_O, $A37&lt;=EYear_O, Y$3&gt;0), Y$3 * VLOOKUP($A37, Data_All!$A$8:$CA$153, MATCH(Y$2, Data_All!$B$2:$CA$2, 0)+1), "")</f>
        <v/>
      </c>
      <c r="Z37" s="206" t="str">
        <f>IF(AND($A37&gt;=SYear_O, $A37&lt;=EYear_O, Z$3&gt;0), Z$3 * VLOOKUP($A37, Data_All!$A$8:$CA$153, MATCH(Z$2, Data_All!$B$2:$CA$2, 0)+1), "")</f>
        <v/>
      </c>
      <c r="AA37" s="206" t="str">
        <f>IF(AND($A37&gt;=SYear_O, $A37&lt;=EYear_O, AA$3&gt;0), AA$3 * VLOOKUP($A37, Data_All!$A$8:$CA$153, MATCH(AA$2, Data_All!$B$2:$CA$2, 0)+1), "")</f>
        <v/>
      </c>
      <c r="AB37" s="206" t="str">
        <f>IF(AND($A37&gt;=SYear_O, $A37&lt;=EYear_O, AB$3&gt;0), AB$3 * VLOOKUP($A37, Data_All!$A$8:$CA$153, MATCH(AB$2, Data_All!$B$2:$CA$2, 0)+1), "")</f>
        <v/>
      </c>
      <c r="AC37" s="206" t="str">
        <f>IF(AND($A37&gt;=SYear_O, $A37&lt;=EYear_O, AC$3&gt;0), AC$3 * VLOOKUP($A37, Data_All!$A$8:$CA$153, MATCH(AC$2, Data_All!$B$2:$CA$2, 0)+1), "")</f>
        <v/>
      </c>
      <c r="AD37" s="206" t="str">
        <f>IF(AND($A37&gt;=SYear_O, $A37&lt;=EYear_O, AD$3&gt;0), AD$3 * VLOOKUP($A37, Data_All!$A$8:$CA$153, MATCH(AD$2, Data_All!$B$2:$CA$2, 0)+1), "")</f>
        <v/>
      </c>
      <c r="AE37" s="206" t="str">
        <f>IF(AND($A37&gt;=SYear_O, $A37&lt;=EYear_O, AE$3&gt;0), AE$3 * VLOOKUP($A37, Data_All!$A$8:$CA$153, MATCH(AE$2, Data_All!$B$2:$CA$2, 0)+1), "")</f>
        <v/>
      </c>
      <c r="AF37" s="206" t="str">
        <f>IF(AND($A37&gt;=SYear_O, $A37&lt;=EYear_O, AF$3&gt;0), AF$3 * VLOOKUP($A37, Data_All!$A$8:$CA$153, MATCH(AF$2, Data_All!$B$2:$CA$2, 0)+1), "")</f>
        <v/>
      </c>
      <c r="AG37" s="206" t="str">
        <f>IF(AND($A37&gt;=SYear_O, $A37&lt;=EYear_O, AG$3&gt;0), AG$3 * VLOOKUP($A37, Data_All!$A$8:$CA$153, MATCH(AG$2, Data_All!$B$2:$CA$2, 0)+1), "")</f>
        <v/>
      </c>
      <c r="AH37" s="206" t="str">
        <f>IF(AND($A37&gt;=SYear_O, $A37&lt;=EYear_O, AH$3&gt;0), AH$3 * VLOOKUP($A37, Data_All!$A$8:$CA$153, MATCH(AH$2, Data_All!$B$2:$CA$2, 0)+1), "")</f>
        <v/>
      </c>
      <c r="AI37" s="206" t="str">
        <f>IF(AND($A37&gt;=SYear_O, $A37&lt;=EYear_O, AI$3&gt;0), AI$3 * VLOOKUP($A37, Data_All!$A$8:$CA$153, MATCH(AI$2, Data_All!$B$2:$CA$2, 0)+1), "")</f>
        <v/>
      </c>
      <c r="AJ37" s="206" t="str">
        <f>IF(AND($A37&gt;=SYear_O, $A37&lt;=EYear_O, AJ$3&gt;0), AJ$3 * VLOOKUP($A37, Data_All!$A$8:$CA$153, MATCH(AJ$2, Data_All!$B$2:$CA$2, 0)+1), "")</f>
        <v/>
      </c>
      <c r="AK37" s="206" t="str">
        <f>IF(AND($A37&gt;=SYear_O, $A37&lt;=EYear_O, AK$3&gt;0), AK$3 * VLOOKUP($A37, Data_All!$A$8:$CA$153, MATCH(AK$2, Data_All!$B$2:$CA$2, 0)+1), "")</f>
        <v/>
      </c>
      <c r="AL37" s="206" t="str">
        <f>IF(AND($A37&gt;=SYear_O, $A37&lt;=EYear_O, AL$3&gt;0), AL$3 * VLOOKUP($A37, Data_All!$A$8:$CA$153, MATCH(AL$2, Data_All!$B$2:$CA$2, 0)+1), "")</f>
        <v/>
      </c>
      <c r="AM37" s="206" t="str">
        <f>IF(AND($A37&gt;=SYear_O, $A37&lt;=EYear_O, AM$3&gt;0), AM$3 * VLOOKUP($A37, Data_All!$A$8:$CA$153, MATCH(AM$2, Data_All!$B$2:$CA$2, 0)+1), "")</f>
        <v/>
      </c>
      <c r="AN37" s="206" t="str">
        <f>IF(AND($A37&gt;=SYear_O, $A37&lt;=EYear_O, AN$3&gt;0), AN$3 * VLOOKUP($A37, Data_All!$A$8:$CA$153, MATCH(AN$2, Data_All!$B$2:$CA$2, 0)+1), "")</f>
        <v/>
      </c>
      <c r="AO37" s="206" t="str">
        <f>IF(AND($A37&gt;=SYear_O, $A37&lt;=EYear_O, AO$3&gt;0), AO$3 * VLOOKUP($A37, Data_All!$A$8:$CA$153, MATCH(AO$2, Data_All!$B$2:$CA$2, 0)+1), "")</f>
        <v/>
      </c>
      <c r="AP37" s="206" t="str">
        <f>IF(AND($A37&gt;=SYear_O, $A37&lt;=EYear_O, AP$3&gt;0), AP$3 * VLOOKUP($A37, Data_All!$A$8:$CA$153, MATCH(AP$2, Data_All!$B$2:$CA$2, 0)+1), "")</f>
        <v/>
      </c>
      <c r="AQ37" s="206" t="str">
        <f>IF(AND($A37&gt;=SYear_O, $A37&lt;=EYear_O, AQ$3&gt;0), AQ$3 * VLOOKUP($A37, Data_All!$A$8:$CA$153, MATCH(AQ$2, Data_All!$B$2:$CA$2, 0)+1), "")</f>
        <v/>
      </c>
      <c r="AR37" s="206" t="str">
        <f>IF(AND($A37&gt;=SYear_O, $A37&lt;=EYear_O, AR$3&gt;0), AR$3 * VLOOKUP($A37, Data_All!$A$8:$CA$153, MATCH(AR$2, Data_All!$B$2:$CA$2, 0)+1), "")</f>
        <v/>
      </c>
      <c r="AS37" s="206" t="str">
        <f>IF(AND($A37&gt;=SYear_O, $A37&lt;=EYear_O, AS$3&gt;0), AS$3 * VLOOKUP($A37, Data_All!$A$8:$CA$153, MATCH(AS$2, Data_All!$B$2:$CA$2, 0)+1), "")</f>
        <v/>
      </c>
      <c r="AT37" s="206" t="str">
        <f>IF(AND($A37&gt;=SYear_O, $A37&lt;=EYear_O, AT$3&gt;0), AT$3 * VLOOKUP($A37, Data_All!$A$8:$CA$153, MATCH(AT$2, Data_All!$B$2:$CA$2, 0)+1), "")</f>
        <v/>
      </c>
      <c r="AU37" s="206" t="str">
        <f>IF(AND($A37&gt;=SYear_O, $A37&lt;=EYear_O, AU$3&gt;0), AU$3 * VLOOKUP($A37, Data_All!$A$8:$CA$153, MATCH(AU$2, Data_All!$B$2:$CA$2, 0)+1), "")</f>
        <v/>
      </c>
      <c r="AV37" s="206" t="str">
        <f>IF(AND($A37&gt;=SYear_O, $A37&lt;=EYear_O, AV$3&gt;0), AV$3 * VLOOKUP($A37, Data_All!$A$8:$CA$153, MATCH(AV$2, Data_All!$B$2:$CA$2, 0)+1), "")</f>
        <v/>
      </c>
      <c r="AW37" s="206" t="str">
        <f>IF(AND($A37&gt;=SYear_O, $A37&lt;=EYear_O, AW$3&gt;0), AW$3 * VLOOKUP($A37, Data_All!$A$8:$CA$153, MATCH(AW$2, Data_All!$B$2:$CA$2, 0)+1), "")</f>
        <v/>
      </c>
      <c r="AX37" s="206" t="str">
        <f>IF(AND($A37&gt;=SYear_O, $A37&lt;=EYear_O, AX$3&gt;0), AX$3 * VLOOKUP($A37, Data_All!$A$8:$CA$153, MATCH(AX$2, Data_All!$B$2:$CA$2, 0)+1), "")</f>
        <v/>
      </c>
      <c r="AY37" s="206" t="str">
        <f>IF(AND($A37&gt;=SYear_O, $A37&lt;=EYear_O, AY$3&gt;0), AY$3 * VLOOKUP($A37, Data_All!$A$8:$CA$153, MATCH(AY$2, Data_All!$B$2:$CA$2, 0)+1), "")</f>
        <v/>
      </c>
      <c r="AZ37" s="206" t="str">
        <f>IF(AND($A37&gt;=SYear_O, $A37&lt;=EYear_O, AZ$3&gt;0), AZ$3 * VLOOKUP($A37, Data_All!$A$8:$CA$153, MATCH(AZ$2, Data_All!$B$2:$CA$2, 0)+1), "")</f>
        <v/>
      </c>
      <c r="BA37" s="206" t="str">
        <f>IF(AND($A37&gt;=SYear_O, $A37&lt;=EYear_O, BA$3&gt;0), BA$3 * VLOOKUP($A37, Data_All!$A$8:$CA$153, MATCH(BA$2, Data_All!$B$2:$CA$2, 0)+1), "")</f>
        <v/>
      </c>
      <c r="BB37" s="206" t="str">
        <f>IF(AND($A37&gt;=SYear_O, $A37&lt;=EYear_O, BB$3&gt;0), BB$3 * VLOOKUP($A37, Data_All!$A$8:$CA$153, MATCH(BB$2, Data_All!$B$2:$CA$2, 0)+1), "")</f>
        <v/>
      </c>
      <c r="BC37" s="206" t="str">
        <f>IF(AND($A37&gt;=SYear_O, $A37&lt;=EYear_O, BC$3&gt;0), BC$3 * VLOOKUP($A37, Data_All!$A$8:$CA$153, MATCH(BC$2, Data_All!$B$2:$CA$2, 0)+1), "")</f>
        <v/>
      </c>
      <c r="BD37" s="206" t="str">
        <f>IF(AND($A37&gt;=SYear_O, $A37&lt;=EYear_O, BD$3&gt;0), BD$3 * VLOOKUP($A37, Data_All!$A$8:$CA$153, MATCH(BD$2, Data_All!$B$2:$CA$2, 0)+1), "")</f>
        <v/>
      </c>
      <c r="BE37" s="206" t="str">
        <f>IF(AND($A37&gt;=SYear_O, $A37&lt;=EYear_O, BE$3&gt;0), BE$3 * VLOOKUP($A37, Data_All!$A$8:$CA$153, MATCH(BE$2, Data_All!$B$2:$CA$2, 0)+1), "")</f>
        <v/>
      </c>
      <c r="BF37" s="206" t="str">
        <f>IF(AND($A37&gt;=SYear_O, $A37&lt;=EYear_O, BF$3&gt;0), BF$3 * VLOOKUP($A37, Data_All!$A$8:$CA$153, MATCH(BF$2, Data_All!$B$2:$CA$2, 0)+1), "")</f>
        <v/>
      </c>
      <c r="BG37" s="206" t="str">
        <f>IF(AND($A37&gt;=SYear_O, $A37&lt;=EYear_O, BG$3&gt;0), BG$3 * VLOOKUP($A37, Data_All!$A$8:$CA$153, MATCH(BG$2, Data_All!$B$2:$CA$2, 0)+1), "")</f>
        <v/>
      </c>
      <c r="BH37" s="206" t="str">
        <f>IF(AND($A37&gt;=SYear_O, $A37&lt;=EYear_O, BH$3&gt;0), BH$3 * VLOOKUP($A37, Data_All!$A$8:$CA$153, MATCH(BH$2, Data_All!$B$2:$CA$2, 0)+1), "")</f>
        <v/>
      </c>
      <c r="BI37" s="206" t="str">
        <f>IF(AND($A37&gt;=SYear_O, $A37&lt;=EYear_O, BI$3&gt;0), BI$3 * VLOOKUP($A37, Data_All!$A$8:$CA$153, MATCH(BI$2, Data_All!$B$2:$CA$2, 0)+1), "")</f>
        <v/>
      </c>
      <c r="BJ37" s="206" t="str">
        <f>IF(AND($A37&gt;=SYear_O, $A37&lt;=EYear_O, BJ$3&gt;0), BJ$3 * VLOOKUP($A37, Data_All!$A$8:$CA$153, MATCH(BJ$2, Data_All!$B$2:$CA$2, 0)+1), "")</f>
        <v/>
      </c>
      <c r="BK37" s="206" t="str">
        <f>IF(AND($A37&gt;=SYear_O, $A37&lt;=EYear_O, BK$3&gt;0), BK$3 * VLOOKUP($A37, Data_All!$A$8:$CA$153, MATCH(BK$2, Data_All!$B$2:$CA$2, 0)+1), "")</f>
        <v/>
      </c>
      <c r="BL37" s="206" t="str">
        <f>IF(AND($A37&gt;=SYear_O, $A37&lt;=EYear_O, BL$3&gt;0), BL$3 * VLOOKUP($A37, Data_All!$A$8:$CA$153, MATCH(BL$2, Data_All!$B$2:$CA$2, 0)+1), "")</f>
        <v/>
      </c>
      <c r="BM37" s="206" t="str">
        <f>IF(AND($A37&gt;=SYear_O, $A37&lt;=EYear_O, BM$3&gt;0), BM$3 * VLOOKUP($A37, Data_All!$A$8:$CA$153, MATCH(BM$2, Data_All!$B$2:$CA$2, 0)+1), "")</f>
        <v/>
      </c>
      <c r="BN37" s="206" t="str">
        <f>IF(AND($A37&gt;=SYear_O, $A37&lt;=EYear_O, BN$3&gt;0), BN$3 * VLOOKUP($A37, Data_All!$A$8:$CA$153, MATCH(BN$2, Data_All!$B$2:$CA$2, 0)+1), "")</f>
        <v/>
      </c>
      <c r="BO37" s="206" t="str">
        <f>IF(AND($A37&gt;=SYear_O, $A37&lt;=EYear_O, BO$3&gt;0), BO$3 * VLOOKUP($A37, Data_All!$A$8:$CA$153, MATCH(BO$2, Data_All!$B$2:$CA$2, 0)+1), "")</f>
        <v/>
      </c>
      <c r="BP37" s="206" t="str">
        <f>IF(AND($A37&gt;=SYear_O, $A37&lt;=EYear_O, BP$3&gt;0), BP$3 * VLOOKUP($A37, Data_All!$A$8:$CA$153, MATCH(BP$2, Data_All!$B$2:$CA$2, 0)+1), "")</f>
        <v/>
      </c>
      <c r="BQ37" s="206" t="str">
        <f>IF(AND($A37&gt;=SYear_O, $A37&lt;=EYear_O, BQ$3&gt;0), BQ$3 * VLOOKUP($A37, Data_All!$A$8:$CA$153, MATCH(BQ$2, Data_All!$B$2:$CA$2, 0)+1), "")</f>
        <v/>
      </c>
      <c r="BR37" s="206" t="str">
        <f>IF(AND($A37&gt;=SYear_O, $A37&lt;=EYear_O, BR$3&gt;0), BR$3 * VLOOKUP($A37, Data_All!$A$8:$CA$153, MATCH(BR$2, Data_All!$B$2:$CA$2, 0)+1), "")</f>
        <v/>
      </c>
      <c r="BS37" s="206" t="str">
        <f>IF(AND($A37&gt;=SYear_O, $A37&lt;=EYear_O, BS$3&gt;0), BS$3 * VLOOKUP($A37, Data_All!$A$8:$CA$153, MATCH(BS$2, Data_All!$B$2:$CA$2, 0)+1), "")</f>
        <v/>
      </c>
      <c r="BT37" s="206" t="str">
        <f>IF(AND($A37&gt;=SYear_O, $A37&lt;=EYear_O, BT$3&gt;0), BT$3 * VLOOKUP($A37, Data_All!$A$8:$CA$153, MATCH(BT$2, Data_All!$B$2:$CA$2, 0)+1), "")</f>
        <v/>
      </c>
      <c r="BU37" s="206" t="str">
        <f>IF(AND($A37&gt;=SYear_O, $A37&lt;=EYear_O, BU$3&gt;0), BU$3 * VLOOKUP($A37, Data_All!$A$8:$CA$153, MATCH(BU$2, Data_All!$B$2:$CA$2, 0)+1), "")</f>
        <v/>
      </c>
      <c r="BV37" s="206" t="str">
        <f>IF(AND($A37&gt;=SYear_O, $A37&lt;=EYear_O, BV$3&gt;0), BV$3 * VLOOKUP($A37, Data_All!$A$8:$CA$153, MATCH(BV$2, Data_All!$B$2:$CA$2, 0)+1), "")</f>
        <v/>
      </c>
      <c r="BW37" s="206" t="str">
        <f>IF(AND($A37&gt;=SYear_O, $A37&lt;=EYear_O, BW$3&gt;0), BW$3 * VLOOKUP($A37, Data_All!$A$8:$CA$153, MATCH(BW$2, Data_All!$B$2:$CA$2, 0)+1), "")</f>
        <v/>
      </c>
      <c r="BX37" s="206">
        <f>IF(AND($A37&gt;=SYear_O, $A37&lt;=EYear_O, BX$3&gt;0), BX$3 * VLOOKUP($A37, Data_All!$A$8:$CA$153, MATCH(BX$2, Data_All!$B$2:$CA$2, 0)+1), "")</f>
        <v>11.626591230551622</v>
      </c>
      <c r="BY37" s="206">
        <f>IF(AND($A37&gt;=SYear_O, $A37&lt;=EYear_O, BY$3&gt;0), BY$3 * VLOOKUP($A37, Data_All!$A$8:$CA$153, MATCH(BY$2, Data_All!$B$2:$CA$2, 0)+1), "")</f>
        <v>0.80059822036936623</v>
      </c>
      <c r="BZ37" s="206" t="str">
        <f>IF(AND($A37&gt;=SYear_O, $A37&lt;=EYear_O, BZ$3&gt;0), BZ$3 * VLOOKUP($A37, Data_All!$A$8:$CA$153, MATCH(BZ$2, Data_All!$B$2:$CA$2, 0)+1), "")</f>
        <v/>
      </c>
      <c r="CA37" s="565">
        <f t="shared" si="2"/>
        <v>12.427189450920988</v>
      </c>
      <c r="CB37" s="427">
        <f t="shared" si="3"/>
        <v>63606.260746407126</v>
      </c>
      <c r="CC37" s="565">
        <f>IF(AND($A37&gt;=SYear_O,$A37&lt;=EYear_O),(CA37-Data_All!CA38)/(1+Data_All!CA38%),"")</f>
        <v>9.718003053974229</v>
      </c>
      <c r="CD37" s="436">
        <f t="shared" si="4"/>
        <v>100390.42273744615</v>
      </c>
      <c r="CE37" s="438">
        <f t="shared" si="5"/>
        <v>5.7690394304935886</v>
      </c>
      <c r="CF37" s="438">
        <f>IF(AND($A37&gt;=SYear_O,$A37&lt;=EYear_O),MAX($CE$7:CE37),"")</f>
        <v>5.7690394304935886</v>
      </c>
      <c r="CG37" s="209">
        <f t="shared" si="6"/>
        <v>0</v>
      </c>
      <c r="CI37" s="143">
        <f>IF(AND($A37&gt;=SYear_O,$A37&lt;=EYear_O),Data_All!V38,"")</f>
        <v>4.20621440703367</v>
      </c>
      <c r="CJ37" s="143">
        <f>IF(AND($A37&gt;=SYear_O,$A37&lt;=EYear_O),Data_All!CA38,"")</f>
        <v>2.4692268557002572</v>
      </c>
      <c r="CK37" s="143">
        <f t="shared" si="7"/>
        <v>1.6951309233351417</v>
      </c>
      <c r="CN37" s="61">
        <f t="shared" si="8"/>
        <v>0.12427189450920983</v>
      </c>
      <c r="CO37" s="61">
        <f t="shared" si="9"/>
        <v>2.8840591227792256E-2</v>
      </c>
      <c r="CP37" s="61">
        <f t="shared" si="10"/>
        <v>8.1003378089464784E-2</v>
      </c>
      <c r="CQ37" s="61">
        <f t="shared" si="11"/>
        <v>6.1121915449816377E-2</v>
      </c>
      <c r="CR37" s="61">
        <f t="shared" si="12"/>
        <v>5.7810206308233303E-2</v>
      </c>
      <c r="CU37" s="61">
        <f t="shared" si="13"/>
        <v>9.7180030539742335E-2</v>
      </c>
      <c r="CV37" s="61">
        <f t="shared" si="14"/>
        <v>4.6230097459780684E-3</v>
      </c>
      <c r="CW37" s="61">
        <f t="shared" si="15"/>
        <v>6.083135637209125E-2</v>
      </c>
      <c r="CX37" s="61">
        <f t="shared" si="16"/>
        <v>4.2165682545983962E-2</v>
      </c>
      <c r="CY37" s="61">
        <f t="shared" si="17"/>
        <v>3.6884644537205302E-2</v>
      </c>
    </row>
    <row r="38" spans="1:103">
      <c r="A38" s="204">
        <f t="shared" si="18"/>
        <v>1902</v>
      </c>
      <c r="B38" s="206" t="str">
        <f>IF(AND($A38&gt;=SYear_O, $A38&lt;=EYear_O, B$3&gt;0), B$3 * VLOOKUP($A38, Data_All!$A$8:$CA$153, MATCH(B$2, Data_All!$B$2:$CA$2, 0)+1), "")</f>
        <v/>
      </c>
      <c r="C38" s="206" t="str">
        <f>IF(AND($A38&gt;=SYear_O, $A38&lt;=EYear_O, C$3&gt;0), C$3 * VLOOKUP($A38, Data_All!$A$8:$CA$153, MATCH(C$2, Data_All!$B$2:$CA$2, 0)+1), "")</f>
        <v/>
      </c>
      <c r="D38" s="206" t="str">
        <f>IF(AND($A38&gt;=SYear_O, $A38&lt;=EYear_O, D$3&gt;0), D$3 * VLOOKUP($A38, Data_All!$A$8:$CA$153, MATCH(D$2, Data_All!$B$2:$CA$2, 0)+1), "")</f>
        <v/>
      </c>
      <c r="E38" s="206" t="str">
        <f>IF(AND($A38&gt;=SYear_O, $A38&lt;=EYear_O, E$3&gt;0), E$3 * VLOOKUP($A38, Data_All!$A$8:$CA$153, MATCH(E$2, Data_All!$B$2:$CA$2, 0)+1), "")</f>
        <v/>
      </c>
      <c r="F38" s="206" t="str">
        <f>IF(AND($A38&gt;=SYear_O, $A38&lt;=EYear_O, F$3&gt;0), F$3 * VLOOKUP($A38, Data_All!$A$8:$CA$153, MATCH(F$2, Data_All!$B$2:$CA$2, 0)+1), "")</f>
        <v/>
      </c>
      <c r="G38" s="206" t="str">
        <f>IF(AND($A38&gt;=SYear_O, $A38&lt;=EYear_O, G$3&gt;0), G$3 * VLOOKUP($A38, Data_All!$A$8:$CA$153, MATCH(G$2, Data_All!$B$2:$CA$2, 0)+1), "")</f>
        <v/>
      </c>
      <c r="H38" s="206" t="str">
        <f>IF(AND($A38&gt;=SYear_O, $A38&lt;=EYear_O, H$3&gt;0), H$3 * VLOOKUP($A38, Data_All!$A$8:$CA$153, MATCH(H$2, Data_All!$B$2:$CA$2, 0)+1), "")</f>
        <v/>
      </c>
      <c r="I38" s="206" t="str">
        <f>IF(AND($A38&gt;=SYear_O, $A38&lt;=EYear_O, I$3&gt;0), I$3 * VLOOKUP($A38, Data_All!$A$8:$CA$153, MATCH(I$2, Data_All!$B$2:$CA$2, 0)+1), "")</f>
        <v/>
      </c>
      <c r="J38" s="206" t="str">
        <f>IF(AND($A38&gt;=SYear_O, $A38&lt;=EYear_O, J$3&gt;0), J$3 * VLOOKUP($A38, Data_All!$A$8:$CA$153, MATCH(J$2, Data_All!$B$2:$CA$2, 0)+1), "")</f>
        <v/>
      </c>
      <c r="K38" s="206" t="str">
        <f>IF(AND($A38&gt;=SYear_O, $A38&lt;=EYear_O, K$3&gt;0), K$3 * VLOOKUP($A38, Data_All!$A$8:$CA$153, MATCH(K$2, Data_All!$B$2:$CA$2, 0)+1), "")</f>
        <v/>
      </c>
      <c r="L38" s="206" t="str">
        <f>IF(AND($A38&gt;=SYear_O, $A38&lt;=EYear_O, L$3&gt;0), L$3 * VLOOKUP($A38, Data_All!$A$8:$CA$153, MATCH(L$2, Data_All!$B$2:$CA$2, 0)+1), "")</f>
        <v/>
      </c>
      <c r="M38" s="206" t="str">
        <f>IF(AND($A38&gt;=SYear_O, $A38&lt;=EYear_O, M$3&gt;0), M$3 * VLOOKUP($A38, Data_All!$A$8:$CA$153, MATCH(M$2, Data_All!$B$2:$CA$2, 0)+1), "")</f>
        <v/>
      </c>
      <c r="N38" s="206" t="str">
        <f>IF(AND($A38&gt;=SYear_O, $A38&lt;=EYear_O, N$3&gt;0), N$3 * VLOOKUP($A38, Data_All!$A$8:$CA$153, MATCH(N$2, Data_All!$B$2:$CA$2, 0)+1), "")</f>
        <v/>
      </c>
      <c r="O38" s="206" t="str">
        <f>IF(AND($A38&gt;=SYear_O, $A38&lt;=EYear_O, O$3&gt;0), O$3 * VLOOKUP($A38, Data_All!$A$8:$CA$153, MATCH(O$2, Data_All!$B$2:$CA$2, 0)+1), "")</f>
        <v/>
      </c>
      <c r="P38" s="206" t="str">
        <f>IF(AND($A38&gt;=SYear_O, $A38&lt;=EYear_O, P$3&gt;0), P$3 * VLOOKUP($A38, Data_All!$A$8:$CA$153, MATCH(P$2, Data_All!$B$2:$CA$2, 0)+1), "")</f>
        <v/>
      </c>
      <c r="Q38" s="206" t="str">
        <f>IF(AND($A38&gt;=SYear_O, $A38&lt;=EYear_O, Q$3&gt;0), Q$3 * VLOOKUP($A38, Data_All!$A$8:$CA$153, MATCH(Q$2, Data_All!$B$2:$CA$2, 0)+1), "")</f>
        <v/>
      </c>
      <c r="R38" s="206" t="str">
        <f>IF(AND($A38&gt;=SYear_O, $A38&lt;=EYear_O, R$3&gt;0), R$3 * VLOOKUP($A38, Data_All!$A$8:$CA$153, MATCH(R$2, Data_All!$B$2:$CA$2, 0)+1), "")</f>
        <v/>
      </c>
      <c r="S38" s="206" t="str">
        <f>IF(AND($A38&gt;=SYear_O, $A38&lt;=EYear_O, S$3&gt;0), S$3 * VLOOKUP($A38, Data_All!$A$8:$CA$153, MATCH(S$2, Data_All!$B$2:$CA$2, 0)+1), "")</f>
        <v/>
      </c>
      <c r="T38" s="206" t="str">
        <f>IF(AND($A38&gt;=SYear_O, $A38&lt;=EYear_O, T$3&gt;0), T$3 * VLOOKUP($A38, Data_All!$A$8:$CA$153, MATCH(T$2, Data_All!$B$2:$CA$2, 0)+1), "")</f>
        <v/>
      </c>
      <c r="U38" s="206" t="str">
        <f>IF(AND($A38&gt;=SYear_O, $A38&lt;=EYear_O, U$3&gt;0), U$3 * VLOOKUP($A38, Data_All!$A$8:$CA$153, MATCH(U$2, Data_All!$B$2:$CA$2, 0)+1), "")</f>
        <v/>
      </c>
      <c r="V38" s="206" t="str">
        <f>IF(AND($A38&gt;=SYear_O, $A38&lt;=EYear_O, V$3&gt;0), V$3 * VLOOKUP($A38, Data_All!$A$8:$CA$153, MATCH(V$2, Data_All!$B$2:$CA$2, 0)+1), "")</f>
        <v/>
      </c>
      <c r="W38" s="206" t="str">
        <f>IF(AND($A38&gt;=SYear_O, $A38&lt;=EYear_O, W$3&gt;0), W$3 * VLOOKUP($A38, Data_All!$A$8:$CA$153, MATCH(W$2, Data_All!$B$2:$CA$2, 0)+1), "")</f>
        <v/>
      </c>
      <c r="X38" s="206" t="str">
        <f>IF(AND($A38&gt;=SYear_O, $A38&lt;=EYear_O, X$3&gt;0), X$3 * VLOOKUP($A38, Data_All!$A$8:$CA$153, MATCH(X$2, Data_All!$B$2:$CA$2, 0)+1), "")</f>
        <v/>
      </c>
      <c r="Y38" s="206" t="str">
        <f>IF(AND($A38&gt;=SYear_O, $A38&lt;=EYear_O, Y$3&gt;0), Y$3 * VLOOKUP($A38, Data_All!$A$8:$CA$153, MATCH(Y$2, Data_All!$B$2:$CA$2, 0)+1), "")</f>
        <v/>
      </c>
      <c r="Z38" s="206" t="str">
        <f>IF(AND($A38&gt;=SYear_O, $A38&lt;=EYear_O, Z$3&gt;0), Z$3 * VLOOKUP($A38, Data_All!$A$8:$CA$153, MATCH(Z$2, Data_All!$B$2:$CA$2, 0)+1), "")</f>
        <v/>
      </c>
      <c r="AA38" s="206" t="str">
        <f>IF(AND($A38&gt;=SYear_O, $A38&lt;=EYear_O, AA$3&gt;0), AA$3 * VLOOKUP($A38, Data_All!$A$8:$CA$153, MATCH(AA$2, Data_All!$B$2:$CA$2, 0)+1), "")</f>
        <v/>
      </c>
      <c r="AB38" s="206" t="str">
        <f>IF(AND($A38&gt;=SYear_O, $A38&lt;=EYear_O, AB$3&gt;0), AB$3 * VLOOKUP($A38, Data_All!$A$8:$CA$153, MATCH(AB$2, Data_All!$B$2:$CA$2, 0)+1), "")</f>
        <v/>
      </c>
      <c r="AC38" s="206" t="str">
        <f>IF(AND($A38&gt;=SYear_O, $A38&lt;=EYear_O, AC$3&gt;0), AC$3 * VLOOKUP($A38, Data_All!$A$8:$CA$153, MATCH(AC$2, Data_All!$B$2:$CA$2, 0)+1), "")</f>
        <v/>
      </c>
      <c r="AD38" s="206" t="str">
        <f>IF(AND($A38&gt;=SYear_O, $A38&lt;=EYear_O, AD$3&gt;0), AD$3 * VLOOKUP($A38, Data_All!$A$8:$CA$153, MATCH(AD$2, Data_All!$B$2:$CA$2, 0)+1), "")</f>
        <v/>
      </c>
      <c r="AE38" s="206" t="str">
        <f>IF(AND($A38&gt;=SYear_O, $A38&lt;=EYear_O, AE$3&gt;0), AE$3 * VLOOKUP($A38, Data_All!$A$8:$CA$153, MATCH(AE$2, Data_All!$B$2:$CA$2, 0)+1), "")</f>
        <v/>
      </c>
      <c r="AF38" s="206" t="str">
        <f>IF(AND($A38&gt;=SYear_O, $A38&lt;=EYear_O, AF$3&gt;0), AF$3 * VLOOKUP($A38, Data_All!$A$8:$CA$153, MATCH(AF$2, Data_All!$B$2:$CA$2, 0)+1), "")</f>
        <v/>
      </c>
      <c r="AG38" s="206" t="str">
        <f>IF(AND($A38&gt;=SYear_O, $A38&lt;=EYear_O, AG$3&gt;0), AG$3 * VLOOKUP($A38, Data_All!$A$8:$CA$153, MATCH(AG$2, Data_All!$B$2:$CA$2, 0)+1), "")</f>
        <v/>
      </c>
      <c r="AH38" s="206" t="str">
        <f>IF(AND($A38&gt;=SYear_O, $A38&lt;=EYear_O, AH$3&gt;0), AH$3 * VLOOKUP($A38, Data_All!$A$8:$CA$153, MATCH(AH$2, Data_All!$B$2:$CA$2, 0)+1), "")</f>
        <v/>
      </c>
      <c r="AI38" s="206" t="str">
        <f>IF(AND($A38&gt;=SYear_O, $A38&lt;=EYear_O, AI$3&gt;0), AI$3 * VLOOKUP($A38, Data_All!$A$8:$CA$153, MATCH(AI$2, Data_All!$B$2:$CA$2, 0)+1), "")</f>
        <v/>
      </c>
      <c r="AJ38" s="206" t="str">
        <f>IF(AND($A38&gt;=SYear_O, $A38&lt;=EYear_O, AJ$3&gt;0), AJ$3 * VLOOKUP($A38, Data_All!$A$8:$CA$153, MATCH(AJ$2, Data_All!$B$2:$CA$2, 0)+1), "")</f>
        <v/>
      </c>
      <c r="AK38" s="206" t="str">
        <f>IF(AND($A38&gt;=SYear_O, $A38&lt;=EYear_O, AK$3&gt;0), AK$3 * VLOOKUP($A38, Data_All!$A$8:$CA$153, MATCH(AK$2, Data_All!$B$2:$CA$2, 0)+1), "")</f>
        <v/>
      </c>
      <c r="AL38" s="206" t="str">
        <f>IF(AND($A38&gt;=SYear_O, $A38&lt;=EYear_O, AL$3&gt;0), AL$3 * VLOOKUP($A38, Data_All!$A$8:$CA$153, MATCH(AL$2, Data_All!$B$2:$CA$2, 0)+1), "")</f>
        <v/>
      </c>
      <c r="AM38" s="206" t="str">
        <f>IF(AND($A38&gt;=SYear_O, $A38&lt;=EYear_O, AM$3&gt;0), AM$3 * VLOOKUP($A38, Data_All!$A$8:$CA$153, MATCH(AM$2, Data_All!$B$2:$CA$2, 0)+1), "")</f>
        <v/>
      </c>
      <c r="AN38" s="206" t="str">
        <f>IF(AND($A38&gt;=SYear_O, $A38&lt;=EYear_O, AN$3&gt;0), AN$3 * VLOOKUP($A38, Data_All!$A$8:$CA$153, MATCH(AN$2, Data_All!$B$2:$CA$2, 0)+1), "")</f>
        <v/>
      </c>
      <c r="AO38" s="206" t="str">
        <f>IF(AND($A38&gt;=SYear_O, $A38&lt;=EYear_O, AO$3&gt;0), AO$3 * VLOOKUP($A38, Data_All!$A$8:$CA$153, MATCH(AO$2, Data_All!$B$2:$CA$2, 0)+1), "")</f>
        <v/>
      </c>
      <c r="AP38" s="206" t="str">
        <f>IF(AND($A38&gt;=SYear_O, $A38&lt;=EYear_O, AP$3&gt;0), AP$3 * VLOOKUP($A38, Data_All!$A$8:$CA$153, MATCH(AP$2, Data_All!$B$2:$CA$2, 0)+1), "")</f>
        <v/>
      </c>
      <c r="AQ38" s="206" t="str">
        <f>IF(AND($A38&gt;=SYear_O, $A38&lt;=EYear_O, AQ$3&gt;0), AQ$3 * VLOOKUP($A38, Data_All!$A$8:$CA$153, MATCH(AQ$2, Data_All!$B$2:$CA$2, 0)+1), "")</f>
        <v/>
      </c>
      <c r="AR38" s="206" t="str">
        <f>IF(AND($A38&gt;=SYear_O, $A38&lt;=EYear_O, AR$3&gt;0), AR$3 * VLOOKUP($A38, Data_All!$A$8:$CA$153, MATCH(AR$2, Data_All!$B$2:$CA$2, 0)+1), "")</f>
        <v/>
      </c>
      <c r="AS38" s="206" t="str">
        <f>IF(AND($A38&gt;=SYear_O, $A38&lt;=EYear_O, AS$3&gt;0), AS$3 * VLOOKUP($A38, Data_All!$A$8:$CA$153, MATCH(AS$2, Data_All!$B$2:$CA$2, 0)+1), "")</f>
        <v/>
      </c>
      <c r="AT38" s="206" t="str">
        <f>IF(AND($A38&gt;=SYear_O, $A38&lt;=EYear_O, AT$3&gt;0), AT$3 * VLOOKUP($A38, Data_All!$A$8:$CA$153, MATCH(AT$2, Data_All!$B$2:$CA$2, 0)+1), "")</f>
        <v/>
      </c>
      <c r="AU38" s="206" t="str">
        <f>IF(AND($A38&gt;=SYear_O, $A38&lt;=EYear_O, AU$3&gt;0), AU$3 * VLOOKUP($A38, Data_All!$A$8:$CA$153, MATCH(AU$2, Data_All!$B$2:$CA$2, 0)+1), "")</f>
        <v/>
      </c>
      <c r="AV38" s="206" t="str">
        <f>IF(AND($A38&gt;=SYear_O, $A38&lt;=EYear_O, AV$3&gt;0), AV$3 * VLOOKUP($A38, Data_All!$A$8:$CA$153, MATCH(AV$2, Data_All!$B$2:$CA$2, 0)+1), "")</f>
        <v/>
      </c>
      <c r="AW38" s="206" t="str">
        <f>IF(AND($A38&gt;=SYear_O, $A38&lt;=EYear_O, AW$3&gt;0), AW$3 * VLOOKUP($A38, Data_All!$A$8:$CA$153, MATCH(AW$2, Data_All!$B$2:$CA$2, 0)+1), "")</f>
        <v/>
      </c>
      <c r="AX38" s="206" t="str">
        <f>IF(AND($A38&gt;=SYear_O, $A38&lt;=EYear_O, AX$3&gt;0), AX$3 * VLOOKUP($A38, Data_All!$A$8:$CA$153, MATCH(AX$2, Data_All!$B$2:$CA$2, 0)+1), "")</f>
        <v/>
      </c>
      <c r="AY38" s="206" t="str">
        <f>IF(AND($A38&gt;=SYear_O, $A38&lt;=EYear_O, AY$3&gt;0), AY$3 * VLOOKUP($A38, Data_All!$A$8:$CA$153, MATCH(AY$2, Data_All!$B$2:$CA$2, 0)+1), "")</f>
        <v/>
      </c>
      <c r="AZ38" s="206" t="str">
        <f>IF(AND($A38&gt;=SYear_O, $A38&lt;=EYear_O, AZ$3&gt;0), AZ$3 * VLOOKUP($A38, Data_All!$A$8:$CA$153, MATCH(AZ$2, Data_All!$B$2:$CA$2, 0)+1), "")</f>
        <v/>
      </c>
      <c r="BA38" s="206" t="str">
        <f>IF(AND($A38&gt;=SYear_O, $A38&lt;=EYear_O, BA$3&gt;0), BA$3 * VLOOKUP($A38, Data_All!$A$8:$CA$153, MATCH(BA$2, Data_All!$B$2:$CA$2, 0)+1), "")</f>
        <v/>
      </c>
      <c r="BB38" s="206" t="str">
        <f>IF(AND($A38&gt;=SYear_O, $A38&lt;=EYear_O, BB$3&gt;0), BB$3 * VLOOKUP($A38, Data_All!$A$8:$CA$153, MATCH(BB$2, Data_All!$B$2:$CA$2, 0)+1), "")</f>
        <v/>
      </c>
      <c r="BC38" s="206" t="str">
        <f>IF(AND($A38&gt;=SYear_O, $A38&lt;=EYear_O, BC$3&gt;0), BC$3 * VLOOKUP($A38, Data_All!$A$8:$CA$153, MATCH(BC$2, Data_All!$B$2:$CA$2, 0)+1), "")</f>
        <v/>
      </c>
      <c r="BD38" s="206" t="str">
        <f>IF(AND($A38&gt;=SYear_O, $A38&lt;=EYear_O, BD$3&gt;0), BD$3 * VLOOKUP($A38, Data_All!$A$8:$CA$153, MATCH(BD$2, Data_All!$B$2:$CA$2, 0)+1), "")</f>
        <v/>
      </c>
      <c r="BE38" s="206" t="str">
        <f>IF(AND($A38&gt;=SYear_O, $A38&lt;=EYear_O, BE$3&gt;0), BE$3 * VLOOKUP($A38, Data_All!$A$8:$CA$153, MATCH(BE$2, Data_All!$B$2:$CA$2, 0)+1), "")</f>
        <v/>
      </c>
      <c r="BF38" s="206" t="str">
        <f>IF(AND($A38&gt;=SYear_O, $A38&lt;=EYear_O, BF$3&gt;0), BF$3 * VLOOKUP($A38, Data_All!$A$8:$CA$153, MATCH(BF$2, Data_All!$B$2:$CA$2, 0)+1), "")</f>
        <v/>
      </c>
      <c r="BG38" s="206" t="str">
        <f>IF(AND($A38&gt;=SYear_O, $A38&lt;=EYear_O, BG$3&gt;0), BG$3 * VLOOKUP($A38, Data_All!$A$8:$CA$153, MATCH(BG$2, Data_All!$B$2:$CA$2, 0)+1), "")</f>
        <v/>
      </c>
      <c r="BH38" s="206" t="str">
        <f>IF(AND($A38&gt;=SYear_O, $A38&lt;=EYear_O, BH$3&gt;0), BH$3 * VLOOKUP($A38, Data_All!$A$8:$CA$153, MATCH(BH$2, Data_All!$B$2:$CA$2, 0)+1), "")</f>
        <v/>
      </c>
      <c r="BI38" s="206" t="str">
        <f>IF(AND($A38&gt;=SYear_O, $A38&lt;=EYear_O, BI$3&gt;0), BI$3 * VLOOKUP($A38, Data_All!$A$8:$CA$153, MATCH(BI$2, Data_All!$B$2:$CA$2, 0)+1), "")</f>
        <v/>
      </c>
      <c r="BJ38" s="206" t="str">
        <f>IF(AND($A38&gt;=SYear_O, $A38&lt;=EYear_O, BJ$3&gt;0), BJ$3 * VLOOKUP($A38, Data_All!$A$8:$CA$153, MATCH(BJ$2, Data_All!$B$2:$CA$2, 0)+1), "")</f>
        <v/>
      </c>
      <c r="BK38" s="206" t="str">
        <f>IF(AND($A38&gt;=SYear_O, $A38&lt;=EYear_O, BK$3&gt;0), BK$3 * VLOOKUP($A38, Data_All!$A$8:$CA$153, MATCH(BK$2, Data_All!$B$2:$CA$2, 0)+1), "")</f>
        <v/>
      </c>
      <c r="BL38" s="206" t="str">
        <f>IF(AND($A38&gt;=SYear_O, $A38&lt;=EYear_O, BL$3&gt;0), BL$3 * VLOOKUP($A38, Data_All!$A$8:$CA$153, MATCH(BL$2, Data_All!$B$2:$CA$2, 0)+1), "")</f>
        <v/>
      </c>
      <c r="BM38" s="206" t="str">
        <f>IF(AND($A38&gt;=SYear_O, $A38&lt;=EYear_O, BM$3&gt;0), BM$3 * VLOOKUP($A38, Data_All!$A$8:$CA$153, MATCH(BM$2, Data_All!$B$2:$CA$2, 0)+1), "")</f>
        <v/>
      </c>
      <c r="BN38" s="206" t="str">
        <f>IF(AND($A38&gt;=SYear_O, $A38&lt;=EYear_O, BN$3&gt;0), BN$3 * VLOOKUP($A38, Data_All!$A$8:$CA$153, MATCH(BN$2, Data_All!$B$2:$CA$2, 0)+1), "")</f>
        <v/>
      </c>
      <c r="BO38" s="206" t="str">
        <f>IF(AND($A38&gt;=SYear_O, $A38&lt;=EYear_O, BO$3&gt;0), BO$3 * VLOOKUP($A38, Data_All!$A$8:$CA$153, MATCH(BO$2, Data_All!$B$2:$CA$2, 0)+1), "")</f>
        <v/>
      </c>
      <c r="BP38" s="206" t="str">
        <f>IF(AND($A38&gt;=SYear_O, $A38&lt;=EYear_O, BP$3&gt;0), BP$3 * VLOOKUP($A38, Data_All!$A$8:$CA$153, MATCH(BP$2, Data_All!$B$2:$CA$2, 0)+1), "")</f>
        <v/>
      </c>
      <c r="BQ38" s="206" t="str">
        <f>IF(AND($A38&gt;=SYear_O, $A38&lt;=EYear_O, BQ$3&gt;0), BQ$3 * VLOOKUP($A38, Data_All!$A$8:$CA$153, MATCH(BQ$2, Data_All!$B$2:$CA$2, 0)+1), "")</f>
        <v/>
      </c>
      <c r="BR38" s="206" t="str">
        <f>IF(AND($A38&gt;=SYear_O, $A38&lt;=EYear_O, BR$3&gt;0), BR$3 * VLOOKUP($A38, Data_All!$A$8:$CA$153, MATCH(BR$2, Data_All!$B$2:$CA$2, 0)+1), "")</f>
        <v/>
      </c>
      <c r="BS38" s="206" t="str">
        <f>IF(AND($A38&gt;=SYear_O, $A38&lt;=EYear_O, BS$3&gt;0), BS$3 * VLOOKUP($A38, Data_All!$A$8:$CA$153, MATCH(BS$2, Data_All!$B$2:$CA$2, 0)+1), "")</f>
        <v/>
      </c>
      <c r="BT38" s="206" t="str">
        <f>IF(AND($A38&gt;=SYear_O, $A38&lt;=EYear_O, BT$3&gt;0), BT$3 * VLOOKUP($A38, Data_All!$A$8:$CA$153, MATCH(BT$2, Data_All!$B$2:$CA$2, 0)+1), "")</f>
        <v/>
      </c>
      <c r="BU38" s="206" t="str">
        <f>IF(AND($A38&gt;=SYear_O, $A38&lt;=EYear_O, BU$3&gt;0), BU$3 * VLOOKUP($A38, Data_All!$A$8:$CA$153, MATCH(BU$2, Data_All!$B$2:$CA$2, 0)+1), "")</f>
        <v/>
      </c>
      <c r="BV38" s="206" t="str">
        <f>IF(AND($A38&gt;=SYear_O, $A38&lt;=EYear_O, BV$3&gt;0), BV$3 * VLOOKUP($A38, Data_All!$A$8:$CA$153, MATCH(BV$2, Data_All!$B$2:$CA$2, 0)+1), "")</f>
        <v/>
      </c>
      <c r="BW38" s="206" t="str">
        <f>IF(AND($A38&gt;=SYear_O, $A38&lt;=EYear_O, BW$3&gt;0), BW$3 * VLOOKUP($A38, Data_All!$A$8:$CA$153, MATCH(BW$2, Data_All!$B$2:$CA$2, 0)+1), "")</f>
        <v/>
      </c>
      <c r="BX38" s="206">
        <f>IF(AND($A38&gt;=SYear_O, $A38&lt;=EYear_O, BX$3&gt;0), BX$3 * VLOOKUP($A38, Data_All!$A$8:$CA$153, MATCH(BX$2, Data_All!$B$2:$CA$2, 0)+1), "")</f>
        <v>4.950738916256169</v>
      </c>
      <c r="BY38" s="206">
        <f>IF(AND($A38&gt;=SYear_O, $A38&lt;=EYear_O, BY$3&gt;0), BY$3 * VLOOKUP($A38, Data_All!$A$8:$CA$153, MATCH(BY$2, Data_All!$B$2:$CA$2, 0)+1), "")</f>
        <v>0.52364477699834211</v>
      </c>
      <c r="BZ38" s="206" t="str">
        <f>IF(AND($A38&gt;=SYear_O, $A38&lt;=EYear_O, BZ$3&gt;0), BZ$3 * VLOOKUP($A38, Data_All!$A$8:$CA$153, MATCH(BZ$2, Data_All!$B$2:$CA$2, 0)+1), "")</f>
        <v/>
      </c>
      <c r="CA38" s="565">
        <f t="shared" si="2"/>
        <v>5.4743836932545111</v>
      </c>
      <c r="CB38" s="427">
        <f t="shared" si="3"/>
        <v>67088.311512597371</v>
      </c>
      <c r="CC38" s="565">
        <f>IF(AND($A38&gt;=SYear_O,$A38&lt;=EYear_O),(CA38-Data_All!CA39)/(1+Data_All!CA39%),"")</f>
        <v>-3.7981228511359131</v>
      </c>
      <c r="CD38" s="436">
        <f t="shared" si="4"/>
        <v>96577.471151103266</v>
      </c>
      <c r="CE38" s="438">
        <f t="shared" si="5"/>
        <v>6.0848587843339521</v>
      </c>
      <c r="CF38" s="438">
        <f>IF(AND($A38&gt;=SYear_O,$A38&lt;=EYear_O),MAX($CE$7:CE38),"")</f>
        <v>6.0848587843339521</v>
      </c>
      <c r="CG38" s="209">
        <f t="shared" si="6"/>
        <v>0</v>
      </c>
      <c r="CI38" s="143">
        <f>IF(AND($A38&gt;=SYear_O,$A38&lt;=EYear_O),Data_All!V39,"")</f>
        <v>4.6258367469277655</v>
      </c>
      <c r="CJ38" s="143">
        <f>IF(AND($A38&gt;=SYear_O,$A38&lt;=EYear_O),Data_All!CA39,"")</f>
        <v>9.6385921140000441</v>
      </c>
      <c r="CK38" s="143">
        <f t="shared" si="7"/>
        <v>-4.5720719962001288</v>
      </c>
      <c r="CN38" s="61">
        <f t="shared" si="8"/>
        <v>5.4743836932545031E-2</v>
      </c>
      <c r="CO38" s="61">
        <f t="shared" si="9"/>
        <v>5.1043858920327922E-2</v>
      </c>
      <c r="CP38" s="61">
        <f t="shared" si="10"/>
        <v>5.8160510378110208E-2</v>
      </c>
      <c r="CQ38" s="61">
        <f t="shared" si="11"/>
        <v>5.2253647617331644E-2</v>
      </c>
      <c r="CR38" s="61">
        <f t="shared" si="12"/>
        <v>5.3764520877594091E-2</v>
      </c>
      <c r="CU38" s="61">
        <f t="shared" si="13"/>
        <v>-3.79812285113591E-2</v>
      </c>
      <c r="CV38" s="61">
        <f t="shared" si="14"/>
        <v>2.687477927942461E-2</v>
      </c>
      <c r="CW38" s="61">
        <f t="shared" si="15"/>
        <v>3.4358194090475358E-2</v>
      </c>
      <c r="CX38" s="61">
        <f t="shared" si="16"/>
        <v>3.7053186334363941E-2</v>
      </c>
      <c r="CY38" s="61">
        <f t="shared" si="17"/>
        <v>2.6507967654626707E-2</v>
      </c>
    </row>
    <row r="39" spans="1:103">
      <c r="A39" s="204">
        <f t="shared" si="18"/>
        <v>1903</v>
      </c>
      <c r="B39" s="206" t="str">
        <f>IF(AND($A39&gt;=SYear_O, $A39&lt;=EYear_O, B$3&gt;0), B$3 * VLOOKUP($A39, Data_All!$A$8:$CA$153, MATCH(B$2, Data_All!$B$2:$CA$2, 0)+1), "")</f>
        <v/>
      </c>
      <c r="C39" s="206" t="str">
        <f>IF(AND($A39&gt;=SYear_O, $A39&lt;=EYear_O, C$3&gt;0), C$3 * VLOOKUP($A39, Data_All!$A$8:$CA$153, MATCH(C$2, Data_All!$B$2:$CA$2, 0)+1), "")</f>
        <v/>
      </c>
      <c r="D39" s="206" t="str">
        <f>IF(AND($A39&gt;=SYear_O, $A39&lt;=EYear_O, D$3&gt;0), D$3 * VLOOKUP($A39, Data_All!$A$8:$CA$153, MATCH(D$2, Data_All!$B$2:$CA$2, 0)+1), "")</f>
        <v/>
      </c>
      <c r="E39" s="206" t="str">
        <f>IF(AND($A39&gt;=SYear_O, $A39&lt;=EYear_O, E$3&gt;0), E$3 * VLOOKUP($A39, Data_All!$A$8:$CA$153, MATCH(E$2, Data_All!$B$2:$CA$2, 0)+1), "")</f>
        <v/>
      </c>
      <c r="F39" s="206" t="str">
        <f>IF(AND($A39&gt;=SYear_O, $A39&lt;=EYear_O, F$3&gt;0), F$3 * VLOOKUP($A39, Data_All!$A$8:$CA$153, MATCH(F$2, Data_All!$B$2:$CA$2, 0)+1), "")</f>
        <v/>
      </c>
      <c r="G39" s="206" t="str">
        <f>IF(AND($A39&gt;=SYear_O, $A39&lt;=EYear_O, G$3&gt;0), G$3 * VLOOKUP($A39, Data_All!$A$8:$CA$153, MATCH(G$2, Data_All!$B$2:$CA$2, 0)+1), "")</f>
        <v/>
      </c>
      <c r="H39" s="206" t="str">
        <f>IF(AND($A39&gt;=SYear_O, $A39&lt;=EYear_O, H$3&gt;0), H$3 * VLOOKUP($A39, Data_All!$A$8:$CA$153, MATCH(H$2, Data_All!$B$2:$CA$2, 0)+1), "")</f>
        <v/>
      </c>
      <c r="I39" s="206" t="str">
        <f>IF(AND($A39&gt;=SYear_O, $A39&lt;=EYear_O, I$3&gt;0), I$3 * VLOOKUP($A39, Data_All!$A$8:$CA$153, MATCH(I$2, Data_All!$B$2:$CA$2, 0)+1), "")</f>
        <v/>
      </c>
      <c r="J39" s="206" t="str">
        <f>IF(AND($A39&gt;=SYear_O, $A39&lt;=EYear_O, J$3&gt;0), J$3 * VLOOKUP($A39, Data_All!$A$8:$CA$153, MATCH(J$2, Data_All!$B$2:$CA$2, 0)+1), "")</f>
        <v/>
      </c>
      <c r="K39" s="206" t="str">
        <f>IF(AND($A39&gt;=SYear_O, $A39&lt;=EYear_O, K$3&gt;0), K$3 * VLOOKUP($A39, Data_All!$A$8:$CA$153, MATCH(K$2, Data_All!$B$2:$CA$2, 0)+1), "")</f>
        <v/>
      </c>
      <c r="L39" s="206" t="str">
        <f>IF(AND($A39&gt;=SYear_O, $A39&lt;=EYear_O, L$3&gt;0), L$3 * VLOOKUP($A39, Data_All!$A$8:$CA$153, MATCH(L$2, Data_All!$B$2:$CA$2, 0)+1), "")</f>
        <v/>
      </c>
      <c r="M39" s="206" t="str">
        <f>IF(AND($A39&gt;=SYear_O, $A39&lt;=EYear_O, M$3&gt;0), M$3 * VLOOKUP($A39, Data_All!$A$8:$CA$153, MATCH(M$2, Data_All!$B$2:$CA$2, 0)+1), "")</f>
        <v/>
      </c>
      <c r="N39" s="206" t="str">
        <f>IF(AND($A39&gt;=SYear_O, $A39&lt;=EYear_O, N$3&gt;0), N$3 * VLOOKUP($A39, Data_All!$A$8:$CA$153, MATCH(N$2, Data_All!$B$2:$CA$2, 0)+1), "")</f>
        <v/>
      </c>
      <c r="O39" s="206" t="str">
        <f>IF(AND($A39&gt;=SYear_O, $A39&lt;=EYear_O, O$3&gt;0), O$3 * VLOOKUP($A39, Data_All!$A$8:$CA$153, MATCH(O$2, Data_All!$B$2:$CA$2, 0)+1), "")</f>
        <v/>
      </c>
      <c r="P39" s="206" t="str">
        <f>IF(AND($A39&gt;=SYear_O, $A39&lt;=EYear_O, P$3&gt;0), P$3 * VLOOKUP($A39, Data_All!$A$8:$CA$153, MATCH(P$2, Data_All!$B$2:$CA$2, 0)+1), "")</f>
        <v/>
      </c>
      <c r="Q39" s="206" t="str">
        <f>IF(AND($A39&gt;=SYear_O, $A39&lt;=EYear_O, Q$3&gt;0), Q$3 * VLOOKUP($A39, Data_All!$A$8:$CA$153, MATCH(Q$2, Data_All!$B$2:$CA$2, 0)+1), "")</f>
        <v/>
      </c>
      <c r="R39" s="206" t="str">
        <f>IF(AND($A39&gt;=SYear_O, $A39&lt;=EYear_O, R$3&gt;0), R$3 * VLOOKUP($A39, Data_All!$A$8:$CA$153, MATCH(R$2, Data_All!$B$2:$CA$2, 0)+1), "")</f>
        <v/>
      </c>
      <c r="S39" s="206" t="str">
        <f>IF(AND($A39&gt;=SYear_O, $A39&lt;=EYear_O, S$3&gt;0), S$3 * VLOOKUP($A39, Data_All!$A$8:$CA$153, MATCH(S$2, Data_All!$B$2:$CA$2, 0)+1), "")</f>
        <v/>
      </c>
      <c r="T39" s="206" t="str">
        <f>IF(AND($A39&gt;=SYear_O, $A39&lt;=EYear_O, T$3&gt;0), T$3 * VLOOKUP($A39, Data_All!$A$8:$CA$153, MATCH(T$2, Data_All!$B$2:$CA$2, 0)+1), "")</f>
        <v/>
      </c>
      <c r="U39" s="206" t="str">
        <f>IF(AND($A39&gt;=SYear_O, $A39&lt;=EYear_O, U$3&gt;0), U$3 * VLOOKUP($A39, Data_All!$A$8:$CA$153, MATCH(U$2, Data_All!$B$2:$CA$2, 0)+1), "")</f>
        <v/>
      </c>
      <c r="V39" s="206" t="str">
        <f>IF(AND($A39&gt;=SYear_O, $A39&lt;=EYear_O, V$3&gt;0), V$3 * VLOOKUP($A39, Data_All!$A$8:$CA$153, MATCH(V$2, Data_All!$B$2:$CA$2, 0)+1), "")</f>
        <v/>
      </c>
      <c r="W39" s="206" t="str">
        <f>IF(AND($A39&gt;=SYear_O, $A39&lt;=EYear_O, W$3&gt;0), W$3 * VLOOKUP($A39, Data_All!$A$8:$CA$153, MATCH(W$2, Data_All!$B$2:$CA$2, 0)+1), "")</f>
        <v/>
      </c>
      <c r="X39" s="206" t="str">
        <f>IF(AND($A39&gt;=SYear_O, $A39&lt;=EYear_O, X$3&gt;0), X$3 * VLOOKUP($A39, Data_All!$A$8:$CA$153, MATCH(X$2, Data_All!$B$2:$CA$2, 0)+1), "")</f>
        <v/>
      </c>
      <c r="Y39" s="206" t="str">
        <f>IF(AND($A39&gt;=SYear_O, $A39&lt;=EYear_O, Y$3&gt;0), Y$3 * VLOOKUP($A39, Data_All!$A$8:$CA$153, MATCH(Y$2, Data_All!$B$2:$CA$2, 0)+1), "")</f>
        <v/>
      </c>
      <c r="Z39" s="206" t="str">
        <f>IF(AND($A39&gt;=SYear_O, $A39&lt;=EYear_O, Z$3&gt;0), Z$3 * VLOOKUP($A39, Data_All!$A$8:$CA$153, MATCH(Z$2, Data_All!$B$2:$CA$2, 0)+1), "")</f>
        <v/>
      </c>
      <c r="AA39" s="206" t="str">
        <f>IF(AND($A39&gt;=SYear_O, $A39&lt;=EYear_O, AA$3&gt;0), AA$3 * VLOOKUP($A39, Data_All!$A$8:$CA$153, MATCH(AA$2, Data_All!$B$2:$CA$2, 0)+1), "")</f>
        <v/>
      </c>
      <c r="AB39" s="206" t="str">
        <f>IF(AND($A39&gt;=SYear_O, $A39&lt;=EYear_O, AB$3&gt;0), AB$3 * VLOOKUP($A39, Data_All!$A$8:$CA$153, MATCH(AB$2, Data_All!$B$2:$CA$2, 0)+1), "")</f>
        <v/>
      </c>
      <c r="AC39" s="206" t="str">
        <f>IF(AND($A39&gt;=SYear_O, $A39&lt;=EYear_O, AC$3&gt;0), AC$3 * VLOOKUP($A39, Data_All!$A$8:$CA$153, MATCH(AC$2, Data_All!$B$2:$CA$2, 0)+1), "")</f>
        <v/>
      </c>
      <c r="AD39" s="206" t="str">
        <f>IF(AND($A39&gt;=SYear_O, $A39&lt;=EYear_O, AD$3&gt;0), AD$3 * VLOOKUP($A39, Data_All!$A$8:$CA$153, MATCH(AD$2, Data_All!$B$2:$CA$2, 0)+1), "")</f>
        <v/>
      </c>
      <c r="AE39" s="206" t="str">
        <f>IF(AND($A39&gt;=SYear_O, $A39&lt;=EYear_O, AE$3&gt;0), AE$3 * VLOOKUP($A39, Data_All!$A$8:$CA$153, MATCH(AE$2, Data_All!$B$2:$CA$2, 0)+1), "")</f>
        <v/>
      </c>
      <c r="AF39" s="206" t="str">
        <f>IF(AND($A39&gt;=SYear_O, $A39&lt;=EYear_O, AF$3&gt;0), AF$3 * VLOOKUP($A39, Data_All!$A$8:$CA$153, MATCH(AF$2, Data_All!$B$2:$CA$2, 0)+1), "")</f>
        <v/>
      </c>
      <c r="AG39" s="206" t="str">
        <f>IF(AND($A39&gt;=SYear_O, $A39&lt;=EYear_O, AG$3&gt;0), AG$3 * VLOOKUP($A39, Data_All!$A$8:$CA$153, MATCH(AG$2, Data_All!$B$2:$CA$2, 0)+1), "")</f>
        <v/>
      </c>
      <c r="AH39" s="206" t="str">
        <f>IF(AND($A39&gt;=SYear_O, $A39&lt;=EYear_O, AH$3&gt;0), AH$3 * VLOOKUP($A39, Data_All!$A$8:$CA$153, MATCH(AH$2, Data_All!$B$2:$CA$2, 0)+1), "")</f>
        <v/>
      </c>
      <c r="AI39" s="206" t="str">
        <f>IF(AND($A39&gt;=SYear_O, $A39&lt;=EYear_O, AI$3&gt;0), AI$3 * VLOOKUP($A39, Data_All!$A$8:$CA$153, MATCH(AI$2, Data_All!$B$2:$CA$2, 0)+1), "")</f>
        <v/>
      </c>
      <c r="AJ39" s="206" t="str">
        <f>IF(AND($A39&gt;=SYear_O, $A39&lt;=EYear_O, AJ$3&gt;0), AJ$3 * VLOOKUP($A39, Data_All!$A$8:$CA$153, MATCH(AJ$2, Data_All!$B$2:$CA$2, 0)+1), "")</f>
        <v/>
      </c>
      <c r="AK39" s="206" t="str">
        <f>IF(AND($A39&gt;=SYear_O, $A39&lt;=EYear_O, AK$3&gt;0), AK$3 * VLOOKUP($A39, Data_All!$A$8:$CA$153, MATCH(AK$2, Data_All!$B$2:$CA$2, 0)+1), "")</f>
        <v/>
      </c>
      <c r="AL39" s="206" t="str">
        <f>IF(AND($A39&gt;=SYear_O, $A39&lt;=EYear_O, AL$3&gt;0), AL$3 * VLOOKUP($A39, Data_All!$A$8:$CA$153, MATCH(AL$2, Data_All!$B$2:$CA$2, 0)+1), "")</f>
        <v/>
      </c>
      <c r="AM39" s="206" t="str">
        <f>IF(AND($A39&gt;=SYear_O, $A39&lt;=EYear_O, AM$3&gt;0), AM$3 * VLOOKUP($A39, Data_All!$A$8:$CA$153, MATCH(AM$2, Data_All!$B$2:$CA$2, 0)+1), "")</f>
        <v/>
      </c>
      <c r="AN39" s="206" t="str">
        <f>IF(AND($A39&gt;=SYear_O, $A39&lt;=EYear_O, AN$3&gt;0), AN$3 * VLOOKUP($A39, Data_All!$A$8:$CA$153, MATCH(AN$2, Data_All!$B$2:$CA$2, 0)+1), "")</f>
        <v/>
      </c>
      <c r="AO39" s="206" t="str">
        <f>IF(AND($A39&gt;=SYear_O, $A39&lt;=EYear_O, AO$3&gt;0), AO$3 * VLOOKUP($A39, Data_All!$A$8:$CA$153, MATCH(AO$2, Data_All!$B$2:$CA$2, 0)+1), "")</f>
        <v/>
      </c>
      <c r="AP39" s="206" t="str">
        <f>IF(AND($A39&gt;=SYear_O, $A39&lt;=EYear_O, AP$3&gt;0), AP$3 * VLOOKUP($A39, Data_All!$A$8:$CA$153, MATCH(AP$2, Data_All!$B$2:$CA$2, 0)+1), "")</f>
        <v/>
      </c>
      <c r="AQ39" s="206" t="str">
        <f>IF(AND($A39&gt;=SYear_O, $A39&lt;=EYear_O, AQ$3&gt;0), AQ$3 * VLOOKUP($A39, Data_All!$A$8:$CA$153, MATCH(AQ$2, Data_All!$B$2:$CA$2, 0)+1), "")</f>
        <v/>
      </c>
      <c r="AR39" s="206" t="str">
        <f>IF(AND($A39&gt;=SYear_O, $A39&lt;=EYear_O, AR$3&gt;0), AR$3 * VLOOKUP($A39, Data_All!$A$8:$CA$153, MATCH(AR$2, Data_All!$B$2:$CA$2, 0)+1), "")</f>
        <v/>
      </c>
      <c r="AS39" s="206" t="str">
        <f>IF(AND($A39&gt;=SYear_O, $A39&lt;=EYear_O, AS$3&gt;0), AS$3 * VLOOKUP($A39, Data_All!$A$8:$CA$153, MATCH(AS$2, Data_All!$B$2:$CA$2, 0)+1), "")</f>
        <v/>
      </c>
      <c r="AT39" s="206" t="str">
        <f>IF(AND($A39&gt;=SYear_O, $A39&lt;=EYear_O, AT$3&gt;0), AT$3 * VLOOKUP($A39, Data_All!$A$8:$CA$153, MATCH(AT$2, Data_All!$B$2:$CA$2, 0)+1), "")</f>
        <v/>
      </c>
      <c r="AU39" s="206" t="str">
        <f>IF(AND($A39&gt;=SYear_O, $A39&lt;=EYear_O, AU$3&gt;0), AU$3 * VLOOKUP($A39, Data_All!$A$8:$CA$153, MATCH(AU$2, Data_All!$B$2:$CA$2, 0)+1), "")</f>
        <v/>
      </c>
      <c r="AV39" s="206" t="str">
        <f>IF(AND($A39&gt;=SYear_O, $A39&lt;=EYear_O, AV$3&gt;0), AV$3 * VLOOKUP($A39, Data_All!$A$8:$CA$153, MATCH(AV$2, Data_All!$B$2:$CA$2, 0)+1), "")</f>
        <v/>
      </c>
      <c r="AW39" s="206" t="str">
        <f>IF(AND($A39&gt;=SYear_O, $A39&lt;=EYear_O, AW$3&gt;0), AW$3 * VLOOKUP($A39, Data_All!$A$8:$CA$153, MATCH(AW$2, Data_All!$B$2:$CA$2, 0)+1), "")</f>
        <v/>
      </c>
      <c r="AX39" s="206" t="str">
        <f>IF(AND($A39&gt;=SYear_O, $A39&lt;=EYear_O, AX$3&gt;0), AX$3 * VLOOKUP($A39, Data_All!$A$8:$CA$153, MATCH(AX$2, Data_All!$B$2:$CA$2, 0)+1), "")</f>
        <v/>
      </c>
      <c r="AY39" s="206" t="str">
        <f>IF(AND($A39&gt;=SYear_O, $A39&lt;=EYear_O, AY$3&gt;0), AY$3 * VLOOKUP($A39, Data_All!$A$8:$CA$153, MATCH(AY$2, Data_All!$B$2:$CA$2, 0)+1), "")</f>
        <v/>
      </c>
      <c r="AZ39" s="206" t="str">
        <f>IF(AND($A39&gt;=SYear_O, $A39&lt;=EYear_O, AZ$3&gt;0), AZ$3 * VLOOKUP($A39, Data_All!$A$8:$CA$153, MATCH(AZ$2, Data_All!$B$2:$CA$2, 0)+1), "")</f>
        <v/>
      </c>
      <c r="BA39" s="206" t="str">
        <f>IF(AND($A39&gt;=SYear_O, $A39&lt;=EYear_O, BA$3&gt;0), BA$3 * VLOOKUP($A39, Data_All!$A$8:$CA$153, MATCH(BA$2, Data_All!$B$2:$CA$2, 0)+1), "")</f>
        <v/>
      </c>
      <c r="BB39" s="206" t="str">
        <f>IF(AND($A39&gt;=SYear_O, $A39&lt;=EYear_O, BB$3&gt;0), BB$3 * VLOOKUP($A39, Data_All!$A$8:$CA$153, MATCH(BB$2, Data_All!$B$2:$CA$2, 0)+1), "")</f>
        <v/>
      </c>
      <c r="BC39" s="206" t="str">
        <f>IF(AND($A39&gt;=SYear_O, $A39&lt;=EYear_O, BC$3&gt;0), BC$3 * VLOOKUP($A39, Data_All!$A$8:$CA$153, MATCH(BC$2, Data_All!$B$2:$CA$2, 0)+1), "")</f>
        <v/>
      </c>
      <c r="BD39" s="206" t="str">
        <f>IF(AND($A39&gt;=SYear_O, $A39&lt;=EYear_O, BD$3&gt;0), BD$3 * VLOOKUP($A39, Data_All!$A$8:$CA$153, MATCH(BD$2, Data_All!$B$2:$CA$2, 0)+1), "")</f>
        <v/>
      </c>
      <c r="BE39" s="206" t="str">
        <f>IF(AND($A39&gt;=SYear_O, $A39&lt;=EYear_O, BE$3&gt;0), BE$3 * VLOOKUP($A39, Data_All!$A$8:$CA$153, MATCH(BE$2, Data_All!$B$2:$CA$2, 0)+1), "")</f>
        <v/>
      </c>
      <c r="BF39" s="206" t="str">
        <f>IF(AND($A39&gt;=SYear_O, $A39&lt;=EYear_O, BF$3&gt;0), BF$3 * VLOOKUP($A39, Data_All!$A$8:$CA$153, MATCH(BF$2, Data_All!$B$2:$CA$2, 0)+1), "")</f>
        <v/>
      </c>
      <c r="BG39" s="206" t="str">
        <f>IF(AND($A39&gt;=SYear_O, $A39&lt;=EYear_O, BG$3&gt;0), BG$3 * VLOOKUP($A39, Data_All!$A$8:$CA$153, MATCH(BG$2, Data_All!$B$2:$CA$2, 0)+1), "")</f>
        <v/>
      </c>
      <c r="BH39" s="206" t="str">
        <f>IF(AND($A39&gt;=SYear_O, $A39&lt;=EYear_O, BH$3&gt;0), BH$3 * VLOOKUP($A39, Data_All!$A$8:$CA$153, MATCH(BH$2, Data_All!$B$2:$CA$2, 0)+1), "")</f>
        <v/>
      </c>
      <c r="BI39" s="206" t="str">
        <f>IF(AND($A39&gt;=SYear_O, $A39&lt;=EYear_O, BI$3&gt;0), BI$3 * VLOOKUP($A39, Data_All!$A$8:$CA$153, MATCH(BI$2, Data_All!$B$2:$CA$2, 0)+1), "")</f>
        <v/>
      </c>
      <c r="BJ39" s="206" t="str">
        <f>IF(AND($A39&gt;=SYear_O, $A39&lt;=EYear_O, BJ$3&gt;0), BJ$3 * VLOOKUP($A39, Data_All!$A$8:$CA$153, MATCH(BJ$2, Data_All!$B$2:$CA$2, 0)+1), "")</f>
        <v/>
      </c>
      <c r="BK39" s="206" t="str">
        <f>IF(AND($A39&gt;=SYear_O, $A39&lt;=EYear_O, BK$3&gt;0), BK$3 * VLOOKUP($A39, Data_All!$A$8:$CA$153, MATCH(BK$2, Data_All!$B$2:$CA$2, 0)+1), "")</f>
        <v/>
      </c>
      <c r="BL39" s="206" t="str">
        <f>IF(AND($A39&gt;=SYear_O, $A39&lt;=EYear_O, BL$3&gt;0), BL$3 * VLOOKUP($A39, Data_All!$A$8:$CA$153, MATCH(BL$2, Data_All!$B$2:$CA$2, 0)+1), "")</f>
        <v/>
      </c>
      <c r="BM39" s="206" t="str">
        <f>IF(AND($A39&gt;=SYear_O, $A39&lt;=EYear_O, BM$3&gt;0), BM$3 * VLOOKUP($A39, Data_All!$A$8:$CA$153, MATCH(BM$2, Data_All!$B$2:$CA$2, 0)+1), "")</f>
        <v/>
      </c>
      <c r="BN39" s="206" t="str">
        <f>IF(AND($A39&gt;=SYear_O, $A39&lt;=EYear_O, BN$3&gt;0), BN$3 * VLOOKUP($A39, Data_All!$A$8:$CA$153, MATCH(BN$2, Data_All!$B$2:$CA$2, 0)+1), "")</f>
        <v/>
      </c>
      <c r="BO39" s="206" t="str">
        <f>IF(AND($A39&gt;=SYear_O, $A39&lt;=EYear_O, BO$3&gt;0), BO$3 * VLOOKUP($A39, Data_All!$A$8:$CA$153, MATCH(BO$2, Data_All!$B$2:$CA$2, 0)+1), "")</f>
        <v/>
      </c>
      <c r="BP39" s="206" t="str">
        <f>IF(AND($A39&gt;=SYear_O, $A39&lt;=EYear_O, BP$3&gt;0), BP$3 * VLOOKUP($A39, Data_All!$A$8:$CA$153, MATCH(BP$2, Data_All!$B$2:$CA$2, 0)+1), "")</f>
        <v/>
      </c>
      <c r="BQ39" s="206" t="str">
        <f>IF(AND($A39&gt;=SYear_O, $A39&lt;=EYear_O, BQ$3&gt;0), BQ$3 * VLOOKUP($A39, Data_All!$A$8:$CA$153, MATCH(BQ$2, Data_All!$B$2:$CA$2, 0)+1), "")</f>
        <v/>
      </c>
      <c r="BR39" s="206" t="str">
        <f>IF(AND($A39&gt;=SYear_O, $A39&lt;=EYear_O, BR$3&gt;0), BR$3 * VLOOKUP($A39, Data_All!$A$8:$CA$153, MATCH(BR$2, Data_All!$B$2:$CA$2, 0)+1), "")</f>
        <v/>
      </c>
      <c r="BS39" s="206" t="str">
        <f>IF(AND($A39&gt;=SYear_O, $A39&lt;=EYear_O, BS$3&gt;0), BS$3 * VLOOKUP($A39, Data_All!$A$8:$CA$153, MATCH(BS$2, Data_All!$B$2:$CA$2, 0)+1), "")</f>
        <v/>
      </c>
      <c r="BT39" s="206" t="str">
        <f>IF(AND($A39&gt;=SYear_O, $A39&lt;=EYear_O, BT$3&gt;0), BT$3 * VLOOKUP($A39, Data_All!$A$8:$CA$153, MATCH(BT$2, Data_All!$B$2:$CA$2, 0)+1), "")</f>
        <v/>
      </c>
      <c r="BU39" s="206" t="str">
        <f>IF(AND($A39&gt;=SYear_O, $A39&lt;=EYear_O, BU$3&gt;0), BU$3 * VLOOKUP($A39, Data_All!$A$8:$CA$153, MATCH(BU$2, Data_All!$B$2:$CA$2, 0)+1), "")</f>
        <v/>
      </c>
      <c r="BV39" s="206" t="str">
        <f>IF(AND($A39&gt;=SYear_O, $A39&lt;=EYear_O, BV$3&gt;0), BV$3 * VLOOKUP($A39, Data_All!$A$8:$CA$153, MATCH(BV$2, Data_All!$B$2:$CA$2, 0)+1), "")</f>
        <v/>
      </c>
      <c r="BW39" s="206" t="str">
        <f>IF(AND($A39&gt;=SYear_O, $A39&lt;=EYear_O, BW$3&gt;0), BW$3 * VLOOKUP($A39, Data_All!$A$8:$CA$153, MATCH(BW$2, Data_All!$B$2:$CA$2, 0)+1), "")</f>
        <v/>
      </c>
      <c r="BX39" s="206">
        <f>IF(AND($A39&gt;=SYear_O, $A39&lt;=EYear_O, BX$3&gt;0), BX$3 * VLOOKUP($A39, Data_All!$A$8:$CA$153, MATCH(BX$2, Data_All!$B$2:$CA$2, 0)+1), "")</f>
        <v>-10.141843971631216</v>
      </c>
      <c r="BY39" s="206">
        <f>IF(AND($A39&gt;=SYear_O, $A39&lt;=EYear_O, BY$3&gt;0), BY$3 * VLOOKUP($A39, Data_All!$A$8:$CA$153, MATCH(BY$2, Data_All!$B$2:$CA$2, 0)+1), "")</f>
        <v>1.9805847863234849</v>
      </c>
      <c r="BZ39" s="206" t="str">
        <f>IF(AND($A39&gt;=SYear_O, $A39&lt;=EYear_O, BZ$3&gt;0), BZ$3 * VLOOKUP($A39, Data_All!$A$8:$CA$153, MATCH(BZ$2, Data_All!$B$2:$CA$2, 0)+1), "")</f>
        <v/>
      </c>
      <c r="CA39" s="565">
        <f t="shared" ref="CA39:CA70" si="19">IF(AND($A39&gt;=SYear_O,$A39&lt;=EYear_O),SUM(B39:BZ39),"")</f>
        <v>-8.1612591853077312</v>
      </c>
      <c r="CB39" s="427">
        <f t="shared" ref="CB39:CB70" si="20">IF(AND($A39&gt;=SYear_O,$A39&lt;=EYear_O),IF($A39=SYear_O,$CB$4*(1+CA39%),$CB38*(1+CA39%)),"")</f>
        <v>61613.060527007648</v>
      </c>
      <c r="CC39" s="565">
        <f>IF(AND($A39&gt;=SYear_O,$A39&lt;=EYear_O),(CA39-Data_All!CA40)/(1+Data_All!CA40%),"")</f>
        <v>-3.9388189239407811</v>
      </c>
      <c r="CD39" s="436">
        <f t="shared" ref="CD39:CD70" si="21">IF(AND($A39&gt;=SYear_O,$A39&lt;=EYear_O),IF($A39=SYear_O,$CD$4*(1+CC39%),$CD38*(1+CC39%)),"")</f>
        <v>92773.459441140163</v>
      </c>
      <c r="CE39" s="438">
        <f t="shared" ref="CE39:CE70" si="22">IF(AND($A39&gt;=SYear_O,$A39&lt;=EYear_O),IF($A39=SYear_O,CE$2,CE38*(1+CA39%)),"")</f>
        <v>5.588257687884493</v>
      </c>
      <c r="CF39" s="438">
        <f>IF(AND($A39&gt;=SYear_O,$A39&lt;=EYear_O),MAX($CE$7:CE39),"")</f>
        <v>6.0848587843339521</v>
      </c>
      <c r="CG39" s="209">
        <f t="shared" ref="CG39:CG70" si="23">IF(AND($A39&gt;=SYear_O,$A39&lt;=EYear_O),1-(CE39/CF39),"")</f>
        <v>8.1612591853077343E-2</v>
      </c>
      <c r="CI39" s="143">
        <f>IF(AND($A39&gt;=SYear_O,$A39&lt;=EYear_O),Data_All!V40,"")</f>
        <v>5.4051353781596569</v>
      </c>
      <c r="CJ39" s="143">
        <f>IF(AND($A39&gt;=SYear_O,$A39&lt;=EYear_O),Data_All!CA40,"")</f>
        <v>-4.3955739603323334</v>
      </c>
      <c r="CK39" s="143">
        <f t="shared" ref="CK39:CK70" si="24">IF(AND($A39&gt;=SYear_O,$A39&lt;=EYear_O),(CI39-CJ39)/(1+CJ39%),"")</f>
        <v>10.251313400935574</v>
      </c>
      <c r="CN39" s="61">
        <f t="shared" ref="CN39:CN70" si="25">IF(AND($A39&gt;=SYear_O,$A39&lt;=EYear_O),IF($A39=SYear_O,($CB39/$CB$4)-1,($CB39/$CB38)-1),"")</f>
        <v>-8.1612591853077343E-2</v>
      </c>
      <c r="CO39" s="61">
        <f t="shared" ref="CO39:CO70" si="26">IF(AND($A39&gt;=SYear_O,$A39&lt;=EYear_O),IF($A39=SYear_O,(($CB41/$CB$4)^(1/(1+($A41-$A39)))-1),(($CB41/$CB38)^(1/(1+($A41-$A39)))-1)),"")</f>
        <v>7.5735832389834057E-2</v>
      </c>
      <c r="CP39" s="61">
        <f t="shared" ref="CP39:CP70" si="27">IF(AND($A39&gt;=SYear_O,$A39&lt;=EYear_O),IF($A39=SYear_O,(($CB43/$CB$4)^(1/(1+($A43-$A39)))-1),(($CB43/$CB38)^(1/(1+($A43-$A39)))-1)),"")</f>
        <v>1.9502310329082118E-2</v>
      </c>
      <c r="CQ39" s="61">
        <f t="shared" ref="CQ39:CQ70" si="28">IF(AND($A39&gt;=SYear_O,$A39&lt;=EYear_O),IF($A39=SYear_O,(($CB48/$CB$4)^(1/(1+($A48-$A39)))-1),(($CB48/$CB38)^(1/(1+($A48-$A39)))-1)),"")</f>
        <v>5.1324567872091498E-2</v>
      </c>
      <c r="CR39" s="61">
        <f t="shared" ref="CR39:CR70" si="29">IF(AND($A39&gt;=SYear_O,$A39&lt;=EYear_O),IF($A39=SYear_O,(($CB53/$CB$4)^(1/(1+($A53-$A39)))-1),(($CB53/$CB38)^(1/(1+($A53-$A39)))-1)),"")</f>
        <v>4.2404834115955303E-2</v>
      </c>
      <c r="CU39" s="61">
        <f t="shared" ref="CU39:CU70" si="30">IF(AND($A39&gt;=SYear_O,$A39&lt;=EYear_O),IF($A39=SYear_O,($CD39/$CD$4)-1,($CD39/$CD38)-1),"")</f>
        <v>-3.9388189239407789E-2</v>
      </c>
      <c r="CV39" s="61">
        <f t="shared" ref="CV39:CV70" si="31">IF(AND($A39&gt;=SYear_O,$A39&lt;=EYear_O),IF($A39=SYear_O,(($CD41/$CD$4)^(1/(1+($A41-$A39)))-1),(($CD41/$CD38)^(1/(1+($A41-$A39)))-1)),"")</f>
        <v>8.3735833525298453E-2</v>
      </c>
      <c r="CW39" s="61">
        <f t="shared" ref="CW39:CW70" si="32">IF(AND($A39&gt;=SYear_O,$A39&lt;=EYear_O),IF($A39=SYear_O,(($CD43/$CD$4)^(1/(1+($A43-$A39)))-1),(($CD43/$CD38)^(1/(1+($A43-$A39)))-1)),"")</f>
        <v>1.9502310329082118E-2</v>
      </c>
      <c r="CX39" s="61">
        <f t="shared" ref="CX39:CX70" si="33">IF(AND($A39&gt;=SYear_O,$A39&lt;=EYear_O),IF($A39=SYear_O,(($CD48/$CD$4)^(1/(1+($A48-$A39)))-1),(($CD48/$CD38)^(1/(1+($A48-$A39)))-1)),"")</f>
        <v>3.8382273538342782E-2</v>
      </c>
      <c r="CY39" s="61">
        <f t="shared" ref="CY39:CY70" si="34">IF(AND($A39&gt;=SYear_O,$A39&lt;=EYear_O),IF($A39=SYear_O,(($CD53/$CD$4)^(1/(1+($A53-$A39)))-1),(($CD53/$CD38)^(1/(1+($A53-$A39)))-1)),"")</f>
        <v>9.5393560733658678E-3</v>
      </c>
    </row>
    <row r="40" spans="1:103">
      <c r="A40" s="204">
        <f t="shared" si="18"/>
        <v>1904</v>
      </c>
      <c r="B40" s="206" t="str">
        <f>IF(AND($A40&gt;=SYear_O, $A40&lt;=EYear_O, B$3&gt;0), B$3 * VLOOKUP($A40, Data_All!$A$8:$CA$153, MATCH(B$2, Data_All!$B$2:$CA$2, 0)+1), "")</f>
        <v/>
      </c>
      <c r="C40" s="206" t="str">
        <f>IF(AND($A40&gt;=SYear_O, $A40&lt;=EYear_O, C$3&gt;0), C$3 * VLOOKUP($A40, Data_All!$A$8:$CA$153, MATCH(C$2, Data_All!$B$2:$CA$2, 0)+1), "")</f>
        <v/>
      </c>
      <c r="D40" s="206" t="str">
        <f>IF(AND($A40&gt;=SYear_O, $A40&lt;=EYear_O, D$3&gt;0), D$3 * VLOOKUP($A40, Data_All!$A$8:$CA$153, MATCH(D$2, Data_All!$B$2:$CA$2, 0)+1), "")</f>
        <v/>
      </c>
      <c r="E40" s="206" t="str">
        <f>IF(AND($A40&gt;=SYear_O, $A40&lt;=EYear_O, E$3&gt;0), E$3 * VLOOKUP($A40, Data_All!$A$8:$CA$153, MATCH(E$2, Data_All!$B$2:$CA$2, 0)+1), "")</f>
        <v/>
      </c>
      <c r="F40" s="206" t="str">
        <f>IF(AND($A40&gt;=SYear_O, $A40&lt;=EYear_O, F$3&gt;0), F$3 * VLOOKUP($A40, Data_All!$A$8:$CA$153, MATCH(F$2, Data_All!$B$2:$CA$2, 0)+1), "")</f>
        <v/>
      </c>
      <c r="G40" s="206" t="str">
        <f>IF(AND($A40&gt;=SYear_O, $A40&lt;=EYear_O, G$3&gt;0), G$3 * VLOOKUP($A40, Data_All!$A$8:$CA$153, MATCH(G$2, Data_All!$B$2:$CA$2, 0)+1), "")</f>
        <v/>
      </c>
      <c r="H40" s="206" t="str">
        <f>IF(AND($A40&gt;=SYear_O, $A40&lt;=EYear_O, H$3&gt;0), H$3 * VLOOKUP($A40, Data_All!$A$8:$CA$153, MATCH(H$2, Data_All!$B$2:$CA$2, 0)+1), "")</f>
        <v/>
      </c>
      <c r="I40" s="206" t="str">
        <f>IF(AND($A40&gt;=SYear_O, $A40&lt;=EYear_O, I$3&gt;0), I$3 * VLOOKUP($A40, Data_All!$A$8:$CA$153, MATCH(I$2, Data_All!$B$2:$CA$2, 0)+1), "")</f>
        <v/>
      </c>
      <c r="J40" s="206" t="str">
        <f>IF(AND($A40&gt;=SYear_O, $A40&lt;=EYear_O, J$3&gt;0), J$3 * VLOOKUP($A40, Data_All!$A$8:$CA$153, MATCH(J$2, Data_All!$B$2:$CA$2, 0)+1), "")</f>
        <v/>
      </c>
      <c r="K40" s="206" t="str">
        <f>IF(AND($A40&gt;=SYear_O, $A40&lt;=EYear_O, K$3&gt;0), K$3 * VLOOKUP($A40, Data_All!$A$8:$CA$153, MATCH(K$2, Data_All!$B$2:$CA$2, 0)+1), "")</f>
        <v/>
      </c>
      <c r="L40" s="206" t="str">
        <f>IF(AND($A40&gt;=SYear_O, $A40&lt;=EYear_O, L$3&gt;0), L$3 * VLOOKUP($A40, Data_All!$A$8:$CA$153, MATCH(L$2, Data_All!$B$2:$CA$2, 0)+1), "")</f>
        <v/>
      </c>
      <c r="M40" s="206" t="str">
        <f>IF(AND($A40&gt;=SYear_O, $A40&lt;=EYear_O, M$3&gt;0), M$3 * VLOOKUP($A40, Data_All!$A$8:$CA$153, MATCH(M$2, Data_All!$B$2:$CA$2, 0)+1), "")</f>
        <v/>
      </c>
      <c r="N40" s="206" t="str">
        <f>IF(AND($A40&gt;=SYear_O, $A40&lt;=EYear_O, N$3&gt;0), N$3 * VLOOKUP($A40, Data_All!$A$8:$CA$153, MATCH(N$2, Data_All!$B$2:$CA$2, 0)+1), "")</f>
        <v/>
      </c>
      <c r="O40" s="206" t="str">
        <f>IF(AND($A40&gt;=SYear_O, $A40&lt;=EYear_O, O$3&gt;0), O$3 * VLOOKUP($A40, Data_All!$A$8:$CA$153, MATCH(O$2, Data_All!$B$2:$CA$2, 0)+1), "")</f>
        <v/>
      </c>
      <c r="P40" s="206" t="str">
        <f>IF(AND($A40&gt;=SYear_O, $A40&lt;=EYear_O, P$3&gt;0), P$3 * VLOOKUP($A40, Data_All!$A$8:$CA$153, MATCH(P$2, Data_All!$B$2:$CA$2, 0)+1), "")</f>
        <v/>
      </c>
      <c r="Q40" s="206" t="str">
        <f>IF(AND($A40&gt;=SYear_O, $A40&lt;=EYear_O, Q$3&gt;0), Q$3 * VLOOKUP($A40, Data_All!$A$8:$CA$153, MATCH(Q$2, Data_All!$B$2:$CA$2, 0)+1), "")</f>
        <v/>
      </c>
      <c r="R40" s="206" t="str">
        <f>IF(AND($A40&gt;=SYear_O, $A40&lt;=EYear_O, R$3&gt;0), R$3 * VLOOKUP($A40, Data_All!$A$8:$CA$153, MATCH(R$2, Data_All!$B$2:$CA$2, 0)+1), "")</f>
        <v/>
      </c>
      <c r="S40" s="206" t="str">
        <f>IF(AND($A40&gt;=SYear_O, $A40&lt;=EYear_O, S$3&gt;0), S$3 * VLOOKUP($A40, Data_All!$A$8:$CA$153, MATCH(S$2, Data_All!$B$2:$CA$2, 0)+1), "")</f>
        <v/>
      </c>
      <c r="T40" s="206" t="str">
        <f>IF(AND($A40&gt;=SYear_O, $A40&lt;=EYear_O, T$3&gt;0), T$3 * VLOOKUP($A40, Data_All!$A$8:$CA$153, MATCH(T$2, Data_All!$B$2:$CA$2, 0)+1), "")</f>
        <v/>
      </c>
      <c r="U40" s="206" t="str">
        <f>IF(AND($A40&gt;=SYear_O, $A40&lt;=EYear_O, U$3&gt;0), U$3 * VLOOKUP($A40, Data_All!$A$8:$CA$153, MATCH(U$2, Data_All!$B$2:$CA$2, 0)+1), "")</f>
        <v/>
      </c>
      <c r="V40" s="206" t="str">
        <f>IF(AND($A40&gt;=SYear_O, $A40&lt;=EYear_O, V$3&gt;0), V$3 * VLOOKUP($A40, Data_All!$A$8:$CA$153, MATCH(V$2, Data_All!$B$2:$CA$2, 0)+1), "")</f>
        <v/>
      </c>
      <c r="W40" s="206" t="str">
        <f>IF(AND($A40&gt;=SYear_O, $A40&lt;=EYear_O, W$3&gt;0), W$3 * VLOOKUP($A40, Data_All!$A$8:$CA$153, MATCH(W$2, Data_All!$B$2:$CA$2, 0)+1), "")</f>
        <v/>
      </c>
      <c r="X40" s="206" t="str">
        <f>IF(AND($A40&gt;=SYear_O, $A40&lt;=EYear_O, X$3&gt;0), X$3 * VLOOKUP($A40, Data_All!$A$8:$CA$153, MATCH(X$2, Data_All!$B$2:$CA$2, 0)+1), "")</f>
        <v/>
      </c>
      <c r="Y40" s="206" t="str">
        <f>IF(AND($A40&gt;=SYear_O, $A40&lt;=EYear_O, Y$3&gt;0), Y$3 * VLOOKUP($A40, Data_All!$A$8:$CA$153, MATCH(Y$2, Data_All!$B$2:$CA$2, 0)+1), "")</f>
        <v/>
      </c>
      <c r="Z40" s="206" t="str">
        <f>IF(AND($A40&gt;=SYear_O, $A40&lt;=EYear_O, Z$3&gt;0), Z$3 * VLOOKUP($A40, Data_All!$A$8:$CA$153, MATCH(Z$2, Data_All!$B$2:$CA$2, 0)+1), "")</f>
        <v/>
      </c>
      <c r="AA40" s="206" t="str">
        <f>IF(AND($A40&gt;=SYear_O, $A40&lt;=EYear_O, AA$3&gt;0), AA$3 * VLOOKUP($A40, Data_All!$A$8:$CA$153, MATCH(AA$2, Data_All!$B$2:$CA$2, 0)+1), "")</f>
        <v/>
      </c>
      <c r="AB40" s="206" t="str">
        <f>IF(AND($A40&gt;=SYear_O, $A40&lt;=EYear_O, AB$3&gt;0), AB$3 * VLOOKUP($A40, Data_All!$A$8:$CA$153, MATCH(AB$2, Data_All!$B$2:$CA$2, 0)+1), "")</f>
        <v/>
      </c>
      <c r="AC40" s="206" t="str">
        <f>IF(AND($A40&gt;=SYear_O, $A40&lt;=EYear_O, AC$3&gt;0), AC$3 * VLOOKUP($A40, Data_All!$A$8:$CA$153, MATCH(AC$2, Data_All!$B$2:$CA$2, 0)+1), "")</f>
        <v/>
      </c>
      <c r="AD40" s="206" t="str">
        <f>IF(AND($A40&gt;=SYear_O, $A40&lt;=EYear_O, AD$3&gt;0), AD$3 * VLOOKUP($A40, Data_All!$A$8:$CA$153, MATCH(AD$2, Data_All!$B$2:$CA$2, 0)+1), "")</f>
        <v/>
      </c>
      <c r="AE40" s="206" t="str">
        <f>IF(AND($A40&gt;=SYear_O, $A40&lt;=EYear_O, AE$3&gt;0), AE$3 * VLOOKUP($A40, Data_All!$A$8:$CA$153, MATCH(AE$2, Data_All!$B$2:$CA$2, 0)+1), "")</f>
        <v/>
      </c>
      <c r="AF40" s="206" t="str">
        <f>IF(AND($A40&gt;=SYear_O, $A40&lt;=EYear_O, AF$3&gt;0), AF$3 * VLOOKUP($A40, Data_All!$A$8:$CA$153, MATCH(AF$2, Data_All!$B$2:$CA$2, 0)+1), "")</f>
        <v/>
      </c>
      <c r="AG40" s="206" t="str">
        <f>IF(AND($A40&gt;=SYear_O, $A40&lt;=EYear_O, AG$3&gt;0), AG$3 * VLOOKUP($A40, Data_All!$A$8:$CA$153, MATCH(AG$2, Data_All!$B$2:$CA$2, 0)+1), "")</f>
        <v/>
      </c>
      <c r="AH40" s="206" t="str">
        <f>IF(AND($A40&gt;=SYear_O, $A40&lt;=EYear_O, AH$3&gt;0), AH$3 * VLOOKUP($A40, Data_All!$A$8:$CA$153, MATCH(AH$2, Data_All!$B$2:$CA$2, 0)+1), "")</f>
        <v/>
      </c>
      <c r="AI40" s="206" t="str">
        <f>IF(AND($A40&gt;=SYear_O, $A40&lt;=EYear_O, AI$3&gt;0), AI$3 * VLOOKUP($A40, Data_All!$A$8:$CA$153, MATCH(AI$2, Data_All!$B$2:$CA$2, 0)+1), "")</f>
        <v/>
      </c>
      <c r="AJ40" s="206" t="str">
        <f>IF(AND($A40&gt;=SYear_O, $A40&lt;=EYear_O, AJ$3&gt;0), AJ$3 * VLOOKUP($A40, Data_All!$A$8:$CA$153, MATCH(AJ$2, Data_All!$B$2:$CA$2, 0)+1), "")</f>
        <v/>
      </c>
      <c r="AK40" s="206" t="str">
        <f>IF(AND($A40&gt;=SYear_O, $A40&lt;=EYear_O, AK$3&gt;0), AK$3 * VLOOKUP($A40, Data_All!$A$8:$CA$153, MATCH(AK$2, Data_All!$B$2:$CA$2, 0)+1), "")</f>
        <v/>
      </c>
      <c r="AL40" s="206" t="str">
        <f>IF(AND($A40&gt;=SYear_O, $A40&lt;=EYear_O, AL$3&gt;0), AL$3 * VLOOKUP($A40, Data_All!$A$8:$CA$153, MATCH(AL$2, Data_All!$B$2:$CA$2, 0)+1), "")</f>
        <v/>
      </c>
      <c r="AM40" s="206" t="str">
        <f>IF(AND($A40&gt;=SYear_O, $A40&lt;=EYear_O, AM$3&gt;0), AM$3 * VLOOKUP($A40, Data_All!$A$8:$CA$153, MATCH(AM$2, Data_All!$B$2:$CA$2, 0)+1), "")</f>
        <v/>
      </c>
      <c r="AN40" s="206" t="str">
        <f>IF(AND($A40&gt;=SYear_O, $A40&lt;=EYear_O, AN$3&gt;0), AN$3 * VLOOKUP($A40, Data_All!$A$8:$CA$153, MATCH(AN$2, Data_All!$B$2:$CA$2, 0)+1), "")</f>
        <v/>
      </c>
      <c r="AO40" s="206" t="str">
        <f>IF(AND($A40&gt;=SYear_O, $A40&lt;=EYear_O, AO$3&gt;0), AO$3 * VLOOKUP($A40, Data_All!$A$8:$CA$153, MATCH(AO$2, Data_All!$B$2:$CA$2, 0)+1), "")</f>
        <v/>
      </c>
      <c r="AP40" s="206" t="str">
        <f>IF(AND($A40&gt;=SYear_O, $A40&lt;=EYear_O, AP$3&gt;0), AP$3 * VLOOKUP($A40, Data_All!$A$8:$CA$153, MATCH(AP$2, Data_All!$B$2:$CA$2, 0)+1), "")</f>
        <v/>
      </c>
      <c r="AQ40" s="206" t="str">
        <f>IF(AND($A40&gt;=SYear_O, $A40&lt;=EYear_O, AQ$3&gt;0), AQ$3 * VLOOKUP($A40, Data_All!$A$8:$CA$153, MATCH(AQ$2, Data_All!$B$2:$CA$2, 0)+1), "")</f>
        <v/>
      </c>
      <c r="AR40" s="206" t="str">
        <f>IF(AND($A40&gt;=SYear_O, $A40&lt;=EYear_O, AR$3&gt;0), AR$3 * VLOOKUP($A40, Data_All!$A$8:$CA$153, MATCH(AR$2, Data_All!$B$2:$CA$2, 0)+1), "")</f>
        <v/>
      </c>
      <c r="AS40" s="206" t="str">
        <f>IF(AND($A40&gt;=SYear_O, $A40&lt;=EYear_O, AS$3&gt;0), AS$3 * VLOOKUP($A40, Data_All!$A$8:$CA$153, MATCH(AS$2, Data_All!$B$2:$CA$2, 0)+1), "")</f>
        <v/>
      </c>
      <c r="AT40" s="206" t="str">
        <f>IF(AND($A40&gt;=SYear_O, $A40&lt;=EYear_O, AT$3&gt;0), AT$3 * VLOOKUP($A40, Data_All!$A$8:$CA$153, MATCH(AT$2, Data_All!$B$2:$CA$2, 0)+1), "")</f>
        <v/>
      </c>
      <c r="AU40" s="206" t="str">
        <f>IF(AND($A40&gt;=SYear_O, $A40&lt;=EYear_O, AU$3&gt;0), AU$3 * VLOOKUP($A40, Data_All!$A$8:$CA$153, MATCH(AU$2, Data_All!$B$2:$CA$2, 0)+1), "")</f>
        <v/>
      </c>
      <c r="AV40" s="206" t="str">
        <f>IF(AND($A40&gt;=SYear_O, $A40&lt;=EYear_O, AV$3&gt;0), AV$3 * VLOOKUP($A40, Data_All!$A$8:$CA$153, MATCH(AV$2, Data_All!$B$2:$CA$2, 0)+1), "")</f>
        <v/>
      </c>
      <c r="AW40" s="206" t="str">
        <f>IF(AND($A40&gt;=SYear_O, $A40&lt;=EYear_O, AW$3&gt;0), AW$3 * VLOOKUP($A40, Data_All!$A$8:$CA$153, MATCH(AW$2, Data_All!$B$2:$CA$2, 0)+1), "")</f>
        <v/>
      </c>
      <c r="AX40" s="206" t="str">
        <f>IF(AND($A40&gt;=SYear_O, $A40&lt;=EYear_O, AX$3&gt;0), AX$3 * VLOOKUP($A40, Data_All!$A$8:$CA$153, MATCH(AX$2, Data_All!$B$2:$CA$2, 0)+1), "")</f>
        <v/>
      </c>
      <c r="AY40" s="206" t="str">
        <f>IF(AND($A40&gt;=SYear_O, $A40&lt;=EYear_O, AY$3&gt;0), AY$3 * VLOOKUP($A40, Data_All!$A$8:$CA$153, MATCH(AY$2, Data_All!$B$2:$CA$2, 0)+1), "")</f>
        <v/>
      </c>
      <c r="AZ40" s="206" t="str">
        <f>IF(AND($A40&gt;=SYear_O, $A40&lt;=EYear_O, AZ$3&gt;0), AZ$3 * VLOOKUP($A40, Data_All!$A$8:$CA$153, MATCH(AZ$2, Data_All!$B$2:$CA$2, 0)+1), "")</f>
        <v/>
      </c>
      <c r="BA40" s="206" t="str">
        <f>IF(AND($A40&gt;=SYear_O, $A40&lt;=EYear_O, BA$3&gt;0), BA$3 * VLOOKUP($A40, Data_All!$A$8:$CA$153, MATCH(BA$2, Data_All!$B$2:$CA$2, 0)+1), "")</f>
        <v/>
      </c>
      <c r="BB40" s="206" t="str">
        <f>IF(AND($A40&gt;=SYear_O, $A40&lt;=EYear_O, BB$3&gt;0), BB$3 * VLOOKUP($A40, Data_All!$A$8:$CA$153, MATCH(BB$2, Data_All!$B$2:$CA$2, 0)+1), "")</f>
        <v/>
      </c>
      <c r="BC40" s="206" t="str">
        <f>IF(AND($A40&gt;=SYear_O, $A40&lt;=EYear_O, BC$3&gt;0), BC$3 * VLOOKUP($A40, Data_All!$A$8:$CA$153, MATCH(BC$2, Data_All!$B$2:$CA$2, 0)+1), "")</f>
        <v/>
      </c>
      <c r="BD40" s="206" t="str">
        <f>IF(AND($A40&gt;=SYear_O, $A40&lt;=EYear_O, BD$3&gt;0), BD$3 * VLOOKUP($A40, Data_All!$A$8:$CA$153, MATCH(BD$2, Data_All!$B$2:$CA$2, 0)+1), "")</f>
        <v/>
      </c>
      <c r="BE40" s="206" t="str">
        <f>IF(AND($A40&gt;=SYear_O, $A40&lt;=EYear_O, BE$3&gt;0), BE$3 * VLOOKUP($A40, Data_All!$A$8:$CA$153, MATCH(BE$2, Data_All!$B$2:$CA$2, 0)+1), "")</f>
        <v/>
      </c>
      <c r="BF40" s="206" t="str">
        <f>IF(AND($A40&gt;=SYear_O, $A40&lt;=EYear_O, BF$3&gt;0), BF$3 * VLOOKUP($A40, Data_All!$A$8:$CA$153, MATCH(BF$2, Data_All!$B$2:$CA$2, 0)+1), "")</f>
        <v/>
      </c>
      <c r="BG40" s="206" t="str">
        <f>IF(AND($A40&gt;=SYear_O, $A40&lt;=EYear_O, BG$3&gt;0), BG$3 * VLOOKUP($A40, Data_All!$A$8:$CA$153, MATCH(BG$2, Data_All!$B$2:$CA$2, 0)+1), "")</f>
        <v/>
      </c>
      <c r="BH40" s="206" t="str">
        <f>IF(AND($A40&gt;=SYear_O, $A40&lt;=EYear_O, BH$3&gt;0), BH$3 * VLOOKUP($A40, Data_All!$A$8:$CA$153, MATCH(BH$2, Data_All!$B$2:$CA$2, 0)+1), "")</f>
        <v/>
      </c>
      <c r="BI40" s="206" t="str">
        <f>IF(AND($A40&gt;=SYear_O, $A40&lt;=EYear_O, BI$3&gt;0), BI$3 * VLOOKUP($A40, Data_All!$A$8:$CA$153, MATCH(BI$2, Data_All!$B$2:$CA$2, 0)+1), "")</f>
        <v/>
      </c>
      <c r="BJ40" s="206" t="str">
        <f>IF(AND($A40&gt;=SYear_O, $A40&lt;=EYear_O, BJ$3&gt;0), BJ$3 * VLOOKUP($A40, Data_All!$A$8:$CA$153, MATCH(BJ$2, Data_All!$B$2:$CA$2, 0)+1), "")</f>
        <v/>
      </c>
      <c r="BK40" s="206" t="str">
        <f>IF(AND($A40&gt;=SYear_O, $A40&lt;=EYear_O, BK$3&gt;0), BK$3 * VLOOKUP($A40, Data_All!$A$8:$CA$153, MATCH(BK$2, Data_All!$B$2:$CA$2, 0)+1), "")</f>
        <v/>
      </c>
      <c r="BL40" s="206" t="str">
        <f>IF(AND($A40&gt;=SYear_O, $A40&lt;=EYear_O, BL$3&gt;0), BL$3 * VLOOKUP($A40, Data_All!$A$8:$CA$153, MATCH(BL$2, Data_All!$B$2:$CA$2, 0)+1), "")</f>
        <v/>
      </c>
      <c r="BM40" s="206" t="str">
        <f>IF(AND($A40&gt;=SYear_O, $A40&lt;=EYear_O, BM$3&gt;0), BM$3 * VLOOKUP($A40, Data_All!$A$8:$CA$153, MATCH(BM$2, Data_All!$B$2:$CA$2, 0)+1), "")</f>
        <v/>
      </c>
      <c r="BN40" s="206" t="str">
        <f>IF(AND($A40&gt;=SYear_O, $A40&lt;=EYear_O, BN$3&gt;0), BN$3 * VLOOKUP($A40, Data_All!$A$8:$CA$153, MATCH(BN$2, Data_All!$B$2:$CA$2, 0)+1), "")</f>
        <v/>
      </c>
      <c r="BO40" s="206" t="str">
        <f>IF(AND($A40&gt;=SYear_O, $A40&lt;=EYear_O, BO$3&gt;0), BO$3 * VLOOKUP($A40, Data_All!$A$8:$CA$153, MATCH(BO$2, Data_All!$B$2:$CA$2, 0)+1), "")</f>
        <v/>
      </c>
      <c r="BP40" s="206" t="str">
        <f>IF(AND($A40&gt;=SYear_O, $A40&lt;=EYear_O, BP$3&gt;0), BP$3 * VLOOKUP($A40, Data_All!$A$8:$CA$153, MATCH(BP$2, Data_All!$B$2:$CA$2, 0)+1), "")</f>
        <v/>
      </c>
      <c r="BQ40" s="206" t="str">
        <f>IF(AND($A40&gt;=SYear_O, $A40&lt;=EYear_O, BQ$3&gt;0), BQ$3 * VLOOKUP($A40, Data_All!$A$8:$CA$153, MATCH(BQ$2, Data_All!$B$2:$CA$2, 0)+1), "")</f>
        <v/>
      </c>
      <c r="BR40" s="206" t="str">
        <f>IF(AND($A40&gt;=SYear_O, $A40&lt;=EYear_O, BR$3&gt;0), BR$3 * VLOOKUP($A40, Data_All!$A$8:$CA$153, MATCH(BR$2, Data_All!$B$2:$CA$2, 0)+1), "")</f>
        <v/>
      </c>
      <c r="BS40" s="206" t="str">
        <f>IF(AND($A40&gt;=SYear_O, $A40&lt;=EYear_O, BS$3&gt;0), BS$3 * VLOOKUP($A40, Data_All!$A$8:$CA$153, MATCH(BS$2, Data_All!$B$2:$CA$2, 0)+1), "")</f>
        <v/>
      </c>
      <c r="BT40" s="206" t="str">
        <f>IF(AND($A40&gt;=SYear_O, $A40&lt;=EYear_O, BT$3&gt;0), BT$3 * VLOOKUP($A40, Data_All!$A$8:$CA$153, MATCH(BT$2, Data_All!$B$2:$CA$2, 0)+1), "")</f>
        <v/>
      </c>
      <c r="BU40" s="206" t="str">
        <f>IF(AND($A40&gt;=SYear_O, $A40&lt;=EYear_O, BU$3&gt;0), BU$3 * VLOOKUP($A40, Data_All!$A$8:$CA$153, MATCH(BU$2, Data_All!$B$2:$CA$2, 0)+1), "")</f>
        <v/>
      </c>
      <c r="BV40" s="206" t="str">
        <f>IF(AND($A40&gt;=SYear_O, $A40&lt;=EYear_O, BV$3&gt;0), BV$3 * VLOOKUP($A40, Data_All!$A$8:$CA$153, MATCH(BV$2, Data_All!$B$2:$CA$2, 0)+1), "")</f>
        <v/>
      </c>
      <c r="BW40" s="206" t="str">
        <f>IF(AND($A40&gt;=SYear_O, $A40&lt;=EYear_O, BW$3&gt;0), BW$3 * VLOOKUP($A40, Data_All!$A$8:$CA$153, MATCH(BW$2, Data_All!$B$2:$CA$2, 0)+1), "")</f>
        <v/>
      </c>
      <c r="BX40" s="206">
        <f>IF(AND($A40&gt;=SYear_O, $A40&lt;=EYear_O, BX$3&gt;0), BX$3 * VLOOKUP($A40, Data_All!$A$8:$CA$153, MATCH(BX$2, Data_All!$B$2:$CA$2, 0)+1), "")</f>
        <v>18.50299401197605</v>
      </c>
      <c r="BY40" s="206">
        <f>IF(AND($A40&gt;=SYear_O, $A40&lt;=EYear_O, BY$3&gt;0), BY$3 * VLOOKUP($A40, Data_All!$A$8:$CA$153, MATCH(BY$2, Data_All!$B$2:$CA$2, 0)+1), "")</f>
        <v>1.3612360781985</v>
      </c>
      <c r="BZ40" s="206" t="str">
        <f>IF(AND($A40&gt;=SYear_O, $A40&lt;=EYear_O, BZ$3&gt;0), BZ$3 * VLOOKUP($A40, Data_All!$A$8:$CA$153, MATCH(BZ$2, Data_All!$B$2:$CA$2, 0)+1), "")</f>
        <v/>
      </c>
      <c r="CA40" s="565">
        <f t="shared" si="19"/>
        <v>19.864230090174551</v>
      </c>
      <c r="CB40" s="427">
        <f t="shared" si="20"/>
        <v>73852.020635690962</v>
      </c>
      <c r="CC40" s="565">
        <f>IF(AND($A40&gt;=SYear_O,$A40&lt;=EYear_O),(CA40-Data_All!CA41)/(1+Data_All!CA41%),"")</f>
        <v>17.171231353616456</v>
      </c>
      <c r="CD40" s="436">
        <f t="shared" si="21"/>
        <v>108703.80479653185</v>
      </c>
      <c r="CE40" s="438">
        <f t="shared" si="22"/>
        <v>6.698322053037737</v>
      </c>
      <c r="CF40" s="438">
        <f>IF(AND($A40&gt;=SYear_O,$A40&lt;=EYear_O),MAX($CE$7:CE40),"")</f>
        <v>6.698322053037737</v>
      </c>
      <c r="CG40" s="209">
        <f t="shared" si="23"/>
        <v>0</v>
      </c>
      <c r="CI40" s="143">
        <f>IF(AND($A40&gt;=SYear_O,$A40&lt;=EYear_O),Data_All!V41,"")</f>
        <v>4.2461784394045363</v>
      </c>
      <c r="CJ40" s="143">
        <f>IF(AND($A40&gt;=SYear_O,$A40&lt;=EYear_O),Data_All!CA41,"")</f>
        <v>2.2983446580251199</v>
      </c>
      <c r="CK40" s="143">
        <f t="shared" si="24"/>
        <v>1.9040716522743972</v>
      </c>
      <c r="CN40" s="61">
        <f t="shared" si="25"/>
        <v>0.19864230090174551</v>
      </c>
      <c r="CO40" s="61">
        <f t="shared" si="26"/>
        <v>0.11052484125686912</v>
      </c>
      <c r="CP40" s="61">
        <f t="shared" si="27"/>
        <v>8.5576541307829546E-2</v>
      </c>
      <c r="CQ40" s="61">
        <f t="shared" si="28"/>
        <v>6.0194102329825139E-2</v>
      </c>
      <c r="CR40" s="61">
        <f t="shared" si="29"/>
        <v>5.6428960818841967E-2</v>
      </c>
      <c r="CU40" s="61">
        <f t="shared" si="30"/>
        <v>0.17171231353616445</v>
      </c>
      <c r="CV40" s="61">
        <f t="shared" si="31"/>
        <v>8.61115762515825E-2</v>
      </c>
      <c r="CW40" s="61">
        <f t="shared" si="32"/>
        <v>6.8904666846830276E-2</v>
      </c>
      <c r="CX40" s="61">
        <f t="shared" si="33"/>
        <v>4.0342267732910164E-2</v>
      </c>
      <c r="CY40" s="61">
        <f t="shared" si="34"/>
        <v>8.9475929145357291E-3</v>
      </c>
    </row>
    <row r="41" spans="1:103">
      <c r="A41" s="204">
        <f t="shared" si="18"/>
        <v>1905</v>
      </c>
      <c r="B41" s="206" t="str">
        <f>IF(AND($A41&gt;=SYear_O, $A41&lt;=EYear_O, B$3&gt;0), B$3 * VLOOKUP($A41, Data_All!$A$8:$CA$153, MATCH(B$2, Data_All!$B$2:$CA$2, 0)+1), "")</f>
        <v/>
      </c>
      <c r="C41" s="206" t="str">
        <f>IF(AND($A41&gt;=SYear_O, $A41&lt;=EYear_O, C$3&gt;0), C$3 * VLOOKUP($A41, Data_All!$A$8:$CA$153, MATCH(C$2, Data_All!$B$2:$CA$2, 0)+1), "")</f>
        <v/>
      </c>
      <c r="D41" s="206" t="str">
        <f>IF(AND($A41&gt;=SYear_O, $A41&lt;=EYear_O, D$3&gt;0), D$3 * VLOOKUP($A41, Data_All!$A$8:$CA$153, MATCH(D$2, Data_All!$B$2:$CA$2, 0)+1), "")</f>
        <v/>
      </c>
      <c r="E41" s="206" t="str">
        <f>IF(AND($A41&gt;=SYear_O, $A41&lt;=EYear_O, E$3&gt;0), E$3 * VLOOKUP($A41, Data_All!$A$8:$CA$153, MATCH(E$2, Data_All!$B$2:$CA$2, 0)+1), "")</f>
        <v/>
      </c>
      <c r="F41" s="206" t="str">
        <f>IF(AND($A41&gt;=SYear_O, $A41&lt;=EYear_O, F$3&gt;0), F$3 * VLOOKUP($A41, Data_All!$A$8:$CA$153, MATCH(F$2, Data_All!$B$2:$CA$2, 0)+1), "")</f>
        <v/>
      </c>
      <c r="G41" s="206" t="str">
        <f>IF(AND($A41&gt;=SYear_O, $A41&lt;=EYear_O, G$3&gt;0), G$3 * VLOOKUP($A41, Data_All!$A$8:$CA$153, MATCH(G$2, Data_All!$B$2:$CA$2, 0)+1), "")</f>
        <v/>
      </c>
      <c r="H41" s="206" t="str">
        <f>IF(AND($A41&gt;=SYear_O, $A41&lt;=EYear_O, H$3&gt;0), H$3 * VLOOKUP($A41, Data_All!$A$8:$CA$153, MATCH(H$2, Data_All!$B$2:$CA$2, 0)+1), "")</f>
        <v/>
      </c>
      <c r="I41" s="206" t="str">
        <f>IF(AND($A41&gt;=SYear_O, $A41&lt;=EYear_O, I$3&gt;0), I$3 * VLOOKUP($A41, Data_All!$A$8:$CA$153, MATCH(I$2, Data_All!$B$2:$CA$2, 0)+1), "")</f>
        <v/>
      </c>
      <c r="J41" s="206" t="str">
        <f>IF(AND($A41&gt;=SYear_O, $A41&lt;=EYear_O, J$3&gt;0), J$3 * VLOOKUP($A41, Data_All!$A$8:$CA$153, MATCH(J$2, Data_All!$B$2:$CA$2, 0)+1), "")</f>
        <v/>
      </c>
      <c r="K41" s="206" t="str">
        <f>IF(AND($A41&gt;=SYear_O, $A41&lt;=EYear_O, K$3&gt;0), K$3 * VLOOKUP($A41, Data_All!$A$8:$CA$153, MATCH(K$2, Data_All!$B$2:$CA$2, 0)+1), "")</f>
        <v/>
      </c>
      <c r="L41" s="206" t="str">
        <f>IF(AND($A41&gt;=SYear_O, $A41&lt;=EYear_O, L$3&gt;0), L$3 * VLOOKUP($A41, Data_All!$A$8:$CA$153, MATCH(L$2, Data_All!$B$2:$CA$2, 0)+1), "")</f>
        <v/>
      </c>
      <c r="M41" s="206" t="str">
        <f>IF(AND($A41&gt;=SYear_O, $A41&lt;=EYear_O, M$3&gt;0), M$3 * VLOOKUP($A41, Data_All!$A$8:$CA$153, MATCH(M$2, Data_All!$B$2:$CA$2, 0)+1), "")</f>
        <v/>
      </c>
      <c r="N41" s="206" t="str">
        <f>IF(AND($A41&gt;=SYear_O, $A41&lt;=EYear_O, N$3&gt;0), N$3 * VLOOKUP($A41, Data_All!$A$8:$CA$153, MATCH(N$2, Data_All!$B$2:$CA$2, 0)+1), "")</f>
        <v/>
      </c>
      <c r="O41" s="206" t="str">
        <f>IF(AND($A41&gt;=SYear_O, $A41&lt;=EYear_O, O$3&gt;0), O$3 * VLOOKUP($A41, Data_All!$A$8:$CA$153, MATCH(O$2, Data_All!$B$2:$CA$2, 0)+1), "")</f>
        <v/>
      </c>
      <c r="P41" s="206" t="str">
        <f>IF(AND($A41&gt;=SYear_O, $A41&lt;=EYear_O, P$3&gt;0), P$3 * VLOOKUP($A41, Data_All!$A$8:$CA$153, MATCH(P$2, Data_All!$B$2:$CA$2, 0)+1), "")</f>
        <v/>
      </c>
      <c r="Q41" s="206" t="str">
        <f>IF(AND($A41&gt;=SYear_O, $A41&lt;=EYear_O, Q$3&gt;0), Q$3 * VLOOKUP($A41, Data_All!$A$8:$CA$153, MATCH(Q$2, Data_All!$B$2:$CA$2, 0)+1), "")</f>
        <v/>
      </c>
      <c r="R41" s="206" t="str">
        <f>IF(AND($A41&gt;=SYear_O, $A41&lt;=EYear_O, R$3&gt;0), R$3 * VLOOKUP($A41, Data_All!$A$8:$CA$153, MATCH(R$2, Data_All!$B$2:$CA$2, 0)+1), "")</f>
        <v/>
      </c>
      <c r="S41" s="206" t="str">
        <f>IF(AND($A41&gt;=SYear_O, $A41&lt;=EYear_O, S$3&gt;0), S$3 * VLOOKUP($A41, Data_All!$A$8:$CA$153, MATCH(S$2, Data_All!$B$2:$CA$2, 0)+1), "")</f>
        <v/>
      </c>
      <c r="T41" s="206" t="str">
        <f>IF(AND($A41&gt;=SYear_O, $A41&lt;=EYear_O, T$3&gt;0), T$3 * VLOOKUP($A41, Data_All!$A$8:$CA$153, MATCH(T$2, Data_All!$B$2:$CA$2, 0)+1), "")</f>
        <v/>
      </c>
      <c r="U41" s="206" t="str">
        <f>IF(AND($A41&gt;=SYear_O, $A41&lt;=EYear_O, U$3&gt;0), U$3 * VLOOKUP($A41, Data_All!$A$8:$CA$153, MATCH(U$2, Data_All!$B$2:$CA$2, 0)+1), "")</f>
        <v/>
      </c>
      <c r="V41" s="206" t="str">
        <f>IF(AND($A41&gt;=SYear_O, $A41&lt;=EYear_O, V$3&gt;0), V$3 * VLOOKUP($A41, Data_All!$A$8:$CA$153, MATCH(V$2, Data_All!$B$2:$CA$2, 0)+1), "")</f>
        <v/>
      </c>
      <c r="W41" s="206" t="str">
        <f>IF(AND($A41&gt;=SYear_O, $A41&lt;=EYear_O, W$3&gt;0), W$3 * VLOOKUP($A41, Data_All!$A$8:$CA$153, MATCH(W$2, Data_All!$B$2:$CA$2, 0)+1), "")</f>
        <v/>
      </c>
      <c r="X41" s="206" t="str">
        <f>IF(AND($A41&gt;=SYear_O, $A41&lt;=EYear_O, X$3&gt;0), X$3 * VLOOKUP($A41, Data_All!$A$8:$CA$153, MATCH(X$2, Data_All!$B$2:$CA$2, 0)+1), "")</f>
        <v/>
      </c>
      <c r="Y41" s="206" t="str">
        <f>IF(AND($A41&gt;=SYear_O, $A41&lt;=EYear_O, Y$3&gt;0), Y$3 * VLOOKUP($A41, Data_All!$A$8:$CA$153, MATCH(Y$2, Data_All!$B$2:$CA$2, 0)+1), "")</f>
        <v/>
      </c>
      <c r="Z41" s="206" t="str">
        <f>IF(AND($A41&gt;=SYear_O, $A41&lt;=EYear_O, Z$3&gt;0), Z$3 * VLOOKUP($A41, Data_All!$A$8:$CA$153, MATCH(Z$2, Data_All!$B$2:$CA$2, 0)+1), "")</f>
        <v/>
      </c>
      <c r="AA41" s="206" t="str">
        <f>IF(AND($A41&gt;=SYear_O, $A41&lt;=EYear_O, AA$3&gt;0), AA$3 * VLOOKUP($A41, Data_All!$A$8:$CA$153, MATCH(AA$2, Data_All!$B$2:$CA$2, 0)+1), "")</f>
        <v/>
      </c>
      <c r="AB41" s="206" t="str">
        <f>IF(AND($A41&gt;=SYear_O, $A41&lt;=EYear_O, AB$3&gt;0), AB$3 * VLOOKUP($A41, Data_All!$A$8:$CA$153, MATCH(AB$2, Data_All!$B$2:$CA$2, 0)+1), "")</f>
        <v/>
      </c>
      <c r="AC41" s="206" t="str">
        <f>IF(AND($A41&gt;=SYear_O, $A41&lt;=EYear_O, AC$3&gt;0), AC$3 * VLOOKUP($A41, Data_All!$A$8:$CA$153, MATCH(AC$2, Data_All!$B$2:$CA$2, 0)+1), "")</f>
        <v/>
      </c>
      <c r="AD41" s="206" t="str">
        <f>IF(AND($A41&gt;=SYear_O, $A41&lt;=EYear_O, AD$3&gt;0), AD$3 * VLOOKUP($A41, Data_All!$A$8:$CA$153, MATCH(AD$2, Data_All!$B$2:$CA$2, 0)+1), "")</f>
        <v/>
      </c>
      <c r="AE41" s="206" t="str">
        <f>IF(AND($A41&gt;=SYear_O, $A41&lt;=EYear_O, AE$3&gt;0), AE$3 * VLOOKUP($A41, Data_All!$A$8:$CA$153, MATCH(AE$2, Data_All!$B$2:$CA$2, 0)+1), "")</f>
        <v/>
      </c>
      <c r="AF41" s="206" t="str">
        <f>IF(AND($A41&gt;=SYear_O, $A41&lt;=EYear_O, AF$3&gt;0), AF$3 * VLOOKUP($A41, Data_All!$A$8:$CA$153, MATCH(AF$2, Data_All!$B$2:$CA$2, 0)+1), "")</f>
        <v/>
      </c>
      <c r="AG41" s="206" t="str">
        <f>IF(AND($A41&gt;=SYear_O, $A41&lt;=EYear_O, AG$3&gt;0), AG$3 * VLOOKUP($A41, Data_All!$A$8:$CA$153, MATCH(AG$2, Data_All!$B$2:$CA$2, 0)+1), "")</f>
        <v/>
      </c>
      <c r="AH41" s="206" t="str">
        <f>IF(AND($A41&gt;=SYear_O, $A41&lt;=EYear_O, AH$3&gt;0), AH$3 * VLOOKUP($A41, Data_All!$A$8:$CA$153, MATCH(AH$2, Data_All!$B$2:$CA$2, 0)+1), "")</f>
        <v/>
      </c>
      <c r="AI41" s="206" t="str">
        <f>IF(AND($A41&gt;=SYear_O, $A41&lt;=EYear_O, AI$3&gt;0), AI$3 * VLOOKUP($A41, Data_All!$A$8:$CA$153, MATCH(AI$2, Data_All!$B$2:$CA$2, 0)+1), "")</f>
        <v/>
      </c>
      <c r="AJ41" s="206" t="str">
        <f>IF(AND($A41&gt;=SYear_O, $A41&lt;=EYear_O, AJ$3&gt;0), AJ$3 * VLOOKUP($A41, Data_All!$A$8:$CA$153, MATCH(AJ$2, Data_All!$B$2:$CA$2, 0)+1), "")</f>
        <v/>
      </c>
      <c r="AK41" s="206" t="str">
        <f>IF(AND($A41&gt;=SYear_O, $A41&lt;=EYear_O, AK$3&gt;0), AK$3 * VLOOKUP($A41, Data_All!$A$8:$CA$153, MATCH(AK$2, Data_All!$B$2:$CA$2, 0)+1), "")</f>
        <v/>
      </c>
      <c r="AL41" s="206" t="str">
        <f>IF(AND($A41&gt;=SYear_O, $A41&lt;=EYear_O, AL$3&gt;0), AL$3 * VLOOKUP($A41, Data_All!$A$8:$CA$153, MATCH(AL$2, Data_All!$B$2:$CA$2, 0)+1), "")</f>
        <v/>
      </c>
      <c r="AM41" s="206" t="str">
        <f>IF(AND($A41&gt;=SYear_O, $A41&lt;=EYear_O, AM$3&gt;0), AM$3 * VLOOKUP($A41, Data_All!$A$8:$CA$153, MATCH(AM$2, Data_All!$B$2:$CA$2, 0)+1), "")</f>
        <v/>
      </c>
      <c r="AN41" s="206" t="str">
        <f>IF(AND($A41&gt;=SYear_O, $A41&lt;=EYear_O, AN$3&gt;0), AN$3 * VLOOKUP($A41, Data_All!$A$8:$CA$153, MATCH(AN$2, Data_All!$B$2:$CA$2, 0)+1), "")</f>
        <v/>
      </c>
      <c r="AO41" s="206" t="str">
        <f>IF(AND($A41&gt;=SYear_O, $A41&lt;=EYear_O, AO$3&gt;0), AO$3 * VLOOKUP($A41, Data_All!$A$8:$CA$153, MATCH(AO$2, Data_All!$B$2:$CA$2, 0)+1), "")</f>
        <v/>
      </c>
      <c r="AP41" s="206" t="str">
        <f>IF(AND($A41&gt;=SYear_O, $A41&lt;=EYear_O, AP$3&gt;0), AP$3 * VLOOKUP($A41, Data_All!$A$8:$CA$153, MATCH(AP$2, Data_All!$B$2:$CA$2, 0)+1), "")</f>
        <v/>
      </c>
      <c r="AQ41" s="206" t="str">
        <f>IF(AND($A41&gt;=SYear_O, $A41&lt;=EYear_O, AQ$3&gt;0), AQ$3 * VLOOKUP($A41, Data_All!$A$8:$CA$153, MATCH(AQ$2, Data_All!$B$2:$CA$2, 0)+1), "")</f>
        <v/>
      </c>
      <c r="AR41" s="206" t="str">
        <f>IF(AND($A41&gt;=SYear_O, $A41&lt;=EYear_O, AR$3&gt;0), AR$3 * VLOOKUP($A41, Data_All!$A$8:$CA$153, MATCH(AR$2, Data_All!$B$2:$CA$2, 0)+1), "")</f>
        <v/>
      </c>
      <c r="AS41" s="206" t="str">
        <f>IF(AND($A41&gt;=SYear_O, $A41&lt;=EYear_O, AS$3&gt;0), AS$3 * VLOOKUP($A41, Data_All!$A$8:$CA$153, MATCH(AS$2, Data_All!$B$2:$CA$2, 0)+1), "")</f>
        <v/>
      </c>
      <c r="AT41" s="206" t="str">
        <f>IF(AND($A41&gt;=SYear_O, $A41&lt;=EYear_O, AT$3&gt;0), AT$3 * VLOOKUP($A41, Data_All!$A$8:$CA$153, MATCH(AT$2, Data_All!$B$2:$CA$2, 0)+1), "")</f>
        <v/>
      </c>
      <c r="AU41" s="206" t="str">
        <f>IF(AND($A41&gt;=SYear_O, $A41&lt;=EYear_O, AU$3&gt;0), AU$3 * VLOOKUP($A41, Data_All!$A$8:$CA$153, MATCH(AU$2, Data_All!$B$2:$CA$2, 0)+1), "")</f>
        <v/>
      </c>
      <c r="AV41" s="206" t="str">
        <f>IF(AND($A41&gt;=SYear_O, $A41&lt;=EYear_O, AV$3&gt;0), AV$3 * VLOOKUP($A41, Data_All!$A$8:$CA$153, MATCH(AV$2, Data_All!$B$2:$CA$2, 0)+1), "")</f>
        <v/>
      </c>
      <c r="AW41" s="206" t="str">
        <f>IF(AND($A41&gt;=SYear_O, $A41&lt;=EYear_O, AW$3&gt;0), AW$3 * VLOOKUP($A41, Data_All!$A$8:$CA$153, MATCH(AW$2, Data_All!$B$2:$CA$2, 0)+1), "")</f>
        <v/>
      </c>
      <c r="AX41" s="206" t="str">
        <f>IF(AND($A41&gt;=SYear_O, $A41&lt;=EYear_O, AX$3&gt;0), AX$3 * VLOOKUP($A41, Data_All!$A$8:$CA$153, MATCH(AX$2, Data_All!$B$2:$CA$2, 0)+1), "")</f>
        <v/>
      </c>
      <c r="AY41" s="206" t="str">
        <f>IF(AND($A41&gt;=SYear_O, $A41&lt;=EYear_O, AY$3&gt;0), AY$3 * VLOOKUP($A41, Data_All!$A$8:$CA$153, MATCH(AY$2, Data_All!$B$2:$CA$2, 0)+1), "")</f>
        <v/>
      </c>
      <c r="AZ41" s="206" t="str">
        <f>IF(AND($A41&gt;=SYear_O, $A41&lt;=EYear_O, AZ$3&gt;0), AZ$3 * VLOOKUP($A41, Data_All!$A$8:$CA$153, MATCH(AZ$2, Data_All!$B$2:$CA$2, 0)+1), "")</f>
        <v/>
      </c>
      <c r="BA41" s="206" t="str">
        <f>IF(AND($A41&gt;=SYear_O, $A41&lt;=EYear_O, BA$3&gt;0), BA$3 * VLOOKUP($A41, Data_All!$A$8:$CA$153, MATCH(BA$2, Data_All!$B$2:$CA$2, 0)+1), "")</f>
        <v/>
      </c>
      <c r="BB41" s="206" t="str">
        <f>IF(AND($A41&gt;=SYear_O, $A41&lt;=EYear_O, BB$3&gt;0), BB$3 * VLOOKUP($A41, Data_All!$A$8:$CA$153, MATCH(BB$2, Data_All!$B$2:$CA$2, 0)+1), "")</f>
        <v/>
      </c>
      <c r="BC41" s="206" t="str">
        <f>IF(AND($A41&gt;=SYear_O, $A41&lt;=EYear_O, BC$3&gt;0), BC$3 * VLOOKUP($A41, Data_All!$A$8:$CA$153, MATCH(BC$2, Data_All!$B$2:$CA$2, 0)+1), "")</f>
        <v/>
      </c>
      <c r="BD41" s="206" t="str">
        <f>IF(AND($A41&gt;=SYear_O, $A41&lt;=EYear_O, BD$3&gt;0), BD$3 * VLOOKUP($A41, Data_All!$A$8:$CA$153, MATCH(BD$2, Data_All!$B$2:$CA$2, 0)+1), "")</f>
        <v/>
      </c>
      <c r="BE41" s="206" t="str">
        <f>IF(AND($A41&gt;=SYear_O, $A41&lt;=EYear_O, BE$3&gt;0), BE$3 * VLOOKUP($A41, Data_All!$A$8:$CA$153, MATCH(BE$2, Data_All!$B$2:$CA$2, 0)+1), "")</f>
        <v/>
      </c>
      <c r="BF41" s="206" t="str">
        <f>IF(AND($A41&gt;=SYear_O, $A41&lt;=EYear_O, BF$3&gt;0), BF$3 * VLOOKUP($A41, Data_All!$A$8:$CA$153, MATCH(BF$2, Data_All!$B$2:$CA$2, 0)+1), "")</f>
        <v/>
      </c>
      <c r="BG41" s="206" t="str">
        <f>IF(AND($A41&gt;=SYear_O, $A41&lt;=EYear_O, BG$3&gt;0), BG$3 * VLOOKUP($A41, Data_All!$A$8:$CA$153, MATCH(BG$2, Data_All!$B$2:$CA$2, 0)+1), "")</f>
        <v/>
      </c>
      <c r="BH41" s="206" t="str">
        <f>IF(AND($A41&gt;=SYear_O, $A41&lt;=EYear_O, BH$3&gt;0), BH$3 * VLOOKUP($A41, Data_All!$A$8:$CA$153, MATCH(BH$2, Data_All!$B$2:$CA$2, 0)+1), "")</f>
        <v/>
      </c>
      <c r="BI41" s="206" t="str">
        <f>IF(AND($A41&gt;=SYear_O, $A41&lt;=EYear_O, BI$3&gt;0), BI$3 * VLOOKUP($A41, Data_All!$A$8:$CA$153, MATCH(BI$2, Data_All!$B$2:$CA$2, 0)+1), "")</f>
        <v/>
      </c>
      <c r="BJ41" s="206" t="str">
        <f>IF(AND($A41&gt;=SYear_O, $A41&lt;=EYear_O, BJ$3&gt;0), BJ$3 * VLOOKUP($A41, Data_All!$A$8:$CA$153, MATCH(BJ$2, Data_All!$B$2:$CA$2, 0)+1), "")</f>
        <v/>
      </c>
      <c r="BK41" s="206" t="str">
        <f>IF(AND($A41&gt;=SYear_O, $A41&lt;=EYear_O, BK$3&gt;0), BK$3 * VLOOKUP($A41, Data_All!$A$8:$CA$153, MATCH(BK$2, Data_All!$B$2:$CA$2, 0)+1), "")</f>
        <v/>
      </c>
      <c r="BL41" s="206" t="str">
        <f>IF(AND($A41&gt;=SYear_O, $A41&lt;=EYear_O, BL$3&gt;0), BL$3 * VLOOKUP($A41, Data_All!$A$8:$CA$153, MATCH(BL$2, Data_All!$B$2:$CA$2, 0)+1), "")</f>
        <v/>
      </c>
      <c r="BM41" s="206" t="str">
        <f>IF(AND($A41&gt;=SYear_O, $A41&lt;=EYear_O, BM$3&gt;0), BM$3 * VLOOKUP($A41, Data_All!$A$8:$CA$153, MATCH(BM$2, Data_All!$B$2:$CA$2, 0)+1), "")</f>
        <v/>
      </c>
      <c r="BN41" s="206" t="str">
        <f>IF(AND($A41&gt;=SYear_O, $A41&lt;=EYear_O, BN$3&gt;0), BN$3 * VLOOKUP($A41, Data_All!$A$8:$CA$153, MATCH(BN$2, Data_All!$B$2:$CA$2, 0)+1), "")</f>
        <v/>
      </c>
      <c r="BO41" s="206" t="str">
        <f>IF(AND($A41&gt;=SYear_O, $A41&lt;=EYear_O, BO$3&gt;0), BO$3 * VLOOKUP($A41, Data_All!$A$8:$CA$153, MATCH(BO$2, Data_All!$B$2:$CA$2, 0)+1), "")</f>
        <v/>
      </c>
      <c r="BP41" s="206" t="str">
        <f>IF(AND($A41&gt;=SYear_O, $A41&lt;=EYear_O, BP$3&gt;0), BP$3 * VLOOKUP($A41, Data_All!$A$8:$CA$153, MATCH(BP$2, Data_All!$B$2:$CA$2, 0)+1), "")</f>
        <v/>
      </c>
      <c r="BQ41" s="206" t="str">
        <f>IF(AND($A41&gt;=SYear_O, $A41&lt;=EYear_O, BQ$3&gt;0), BQ$3 * VLOOKUP($A41, Data_All!$A$8:$CA$153, MATCH(BQ$2, Data_All!$B$2:$CA$2, 0)+1), "")</f>
        <v/>
      </c>
      <c r="BR41" s="206" t="str">
        <f>IF(AND($A41&gt;=SYear_O, $A41&lt;=EYear_O, BR$3&gt;0), BR$3 * VLOOKUP($A41, Data_All!$A$8:$CA$153, MATCH(BR$2, Data_All!$B$2:$CA$2, 0)+1), "")</f>
        <v/>
      </c>
      <c r="BS41" s="206" t="str">
        <f>IF(AND($A41&gt;=SYear_O, $A41&lt;=EYear_O, BS$3&gt;0), BS$3 * VLOOKUP($A41, Data_All!$A$8:$CA$153, MATCH(BS$2, Data_All!$B$2:$CA$2, 0)+1), "")</f>
        <v/>
      </c>
      <c r="BT41" s="206" t="str">
        <f>IF(AND($A41&gt;=SYear_O, $A41&lt;=EYear_O, BT$3&gt;0), BT$3 * VLOOKUP($A41, Data_All!$A$8:$CA$153, MATCH(BT$2, Data_All!$B$2:$CA$2, 0)+1), "")</f>
        <v/>
      </c>
      <c r="BU41" s="206" t="str">
        <f>IF(AND($A41&gt;=SYear_O, $A41&lt;=EYear_O, BU$3&gt;0), BU$3 * VLOOKUP($A41, Data_All!$A$8:$CA$153, MATCH(BU$2, Data_All!$B$2:$CA$2, 0)+1), "")</f>
        <v/>
      </c>
      <c r="BV41" s="206" t="str">
        <f>IF(AND($A41&gt;=SYear_O, $A41&lt;=EYear_O, BV$3&gt;0), BV$3 * VLOOKUP($A41, Data_All!$A$8:$CA$153, MATCH(BV$2, Data_All!$B$2:$CA$2, 0)+1), "")</f>
        <v/>
      </c>
      <c r="BW41" s="206" t="str">
        <f>IF(AND($A41&gt;=SYear_O, $A41&lt;=EYear_O, BW$3&gt;0), BW$3 * VLOOKUP($A41, Data_All!$A$8:$CA$153, MATCH(BW$2, Data_All!$B$2:$CA$2, 0)+1), "")</f>
        <v/>
      </c>
      <c r="BX41" s="206">
        <f>IF(AND($A41&gt;=SYear_O, $A41&lt;=EYear_O, BX$3&gt;0), BX$3 * VLOOKUP($A41, Data_All!$A$8:$CA$153, MATCH(BX$2, Data_All!$B$2:$CA$2, 0)+1), "")</f>
        <v>12.597864768683268</v>
      </c>
      <c r="BY41" s="206">
        <f>IF(AND($A41&gt;=SYear_O, $A41&lt;=EYear_O, BY$3&gt;0), BY$3 * VLOOKUP($A41, Data_All!$A$8:$CA$153, MATCH(BY$2, Data_All!$B$2:$CA$2, 0)+1), "")</f>
        <v>0.4861931763363625</v>
      </c>
      <c r="BZ41" s="206" t="str">
        <f>IF(AND($A41&gt;=SYear_O, $A41&lt;=EYear_O, BZ$3&gt;0), BZ$3 * VLOOKUP($A41, Data_All!$A$8:$CA$153, MATCH(BZ$2, Data_All!$B$2:$CA$2, 0)+1), "")</f>
        <v/>
      </c>
      <c r="CA41" s="565">
        <f t="shared" si="19"/>
        <v>13.08405794501963</v>
      </c>
      <c r="CB41" s="427">
        <f t="shared" si="20"/>
        <v>83514.861809232621</v>
      </c>
      <c r="CC41" s="565">
        <f>IF(AND($A41&gt;=SYear_O,$A41&lt;=EYear_O),(CA41-Data_All!CA42)/(1+Data_All!CA42%),"")</f>
        <v>13.08405794501963</v>
      </c>
      <c r="CD41" s="436">
        <f t="shared" si="21"/>
        <v>122926.67360455112</v>
      </c>
      <c r="CE41" s="438">
        <f t="shared" si="22"/>
        <v>7.5747343918012229</v>
      </c>
      <c r="CF41" s="438">
        <f>IF(AND($A41&gt;=SYear_O,$A41&lt;=EYear_O),MAX($CE$7:CE41),"")</f>
        <v>7.5747343918012229</v>
      </c>
      <c r="CG41" s="209">
        <f t="shared" si="23"/>
        <v>0</v>
      </c>
      <c r="CI41" s="143">
        <f>IF(AND($A41&gt;=SYear_O,$A41&lt;=EYear_O),Data_All!V42,"")</f>
        <v>4.0763313018283549</v>
      </c>
      <c r="CJ41" s="143">
        <f>IF(AND($A41&gt;=SYear_O,$A41&lt;=EYear_O),Data_All!CA42,"")</f>
        <v>0</v>
      </c>
      <c r="CK41" s="143">
        <f t="shared" si="24"/>
        <v>4.0763313018283549</v>
      </c>
      <c r="CN41" s="61">
        <f t="shared" si="25"/>
        <v>0.13084057945019634</v>
      </c>
      <c r="CO41" s="61">
        <f t="shared" si="26"/>
        <v>1.7313153670861503E-4</v>
      </c>
      <c r="CP41" s="61">
        <f t="shared" si="27"/>
        <v>6.6825339619472901E-2</v>
      </c>
      <c r="CQ41" s="61">
        <f t="shared" si="28"/>
        <v>4.0014250033402865E-2</v>
      </c>
      <c r="CR41" s="61">
        <f t="shared" si="29"/>
        <v>5.1417949852266664E-2</v>
      </c>
      <c r="CU41" s="61">
        <f t="shared" si="30"/>
        <v>0.13084057945019634</v>
      </c>
      <c r="CV41" s="61">
        <f t="shared" si="31"/>
        <v>-7.2100202798432989E-3</v>
      </c>
      <c r="CW41" s="61">
        <f t="shared" si="32"/>
        <v>3.41038440453445E-2</v>
      </c>
      <c r="CX41" s="61">
        <f t="shared" si="33"/>
        <v>2.1844643833636601E-2</v>
      </c>
      <c r="CY41" s="61">
        <f t="shared" si="34"/>
        <v>-4.7701807176345756E-3</v>
      </c>
    </row>
    <row r="42" spans="1:103">
      <c r="A42" s="204">
        <f t="shared" si="18"/>
        <v>1906</v>
      </c>
      <c r="B42" s="206" t="str">
        <f>IF(AND($A42&gt;=SYear_O, $A42&lt;=EYear_O, B$3&gt;0), B$3 * VLOOKUP($A42, Data_All!$A$8:$CA$153, MATCH(B$2, Data_All!$B$2:$CA$2, 0)+1), "")</f>
        <v/>
      </c>
      <c r="C42" s="206" t="str">
        <f>IF(AND($A42&gt;=SYear_O, $A42&lt;=EYear_O, C$3&gt;0), C$3 * VLOOKUP($A42, Data_All!$A$8:$CA$153, MATCH(C$2, Data_All!$B$2:$CA$2, 0)+1), "")</f>
        <v/>
      </c>
      <c r="D42" s="206" t="str">
        <f>IF(AND($A42&gt;=SYear_O, $A42&lt;=EYear_O, D$3&gt;0), D$3 * VLOOKUP($A42, Data_All!$A$8:$CA$153, MATCH(D$2, Data_All!$B$2:$CA$2, 0)+1), "")</f>
        <v/>
      </c>
      <c r="E42" s="206" t="str">
        <f>IF(AND($A42&gt;=SYear_O, $A42&lt;=EYear_O, E$3&gt;0), E$3 * VLOOKUP($A42, Data_All!$A$8:$CA$153, MATCH(E$2, Data_All!$B$2:$CA$2, 0)+1), "")</f>
        <v/>
      </c>
      <c r="F42" s="206" t="str">
        <f>IF(AND($A42&gt;=SYear_O, $A42&lt;=EYear_O, F$3&gt;0), F$3 * VLOOKUP($A42, Data_All!$A$8:$CA$153, MATCH(F$2, Data_All!$B$2:$CA$2, 0)+1), "")</f>
        <v/>
      </c>
      <c r="G42" s="206" t="str">
        <f>IF(AND($A42&gt;=SYear_O, $A42&lt;=EYear_O, G$3&gt;0), G$3 * VLOOKUP($A42, Data_All!$A$8:$CA$153, MATCH(G$2, Data_All!$B$2:$CA$2, 0)+1), "")</f>
        <v/>
      </c>
      <c r="H42" s="206" t="str">
        <f>IF(AND($A42&gt;=SYear_O, $A42&lt;=EYear_O, H$3&gt;0), H$3 * VLOOKUP($A42, Data_All!$A$8:$CA$153, MATCH(H$2, Data_All!$B$2:$CA$2, 0)+1), "")</f>
        <v/>
      </c>
      <c r="I42" s="206" t="str">
        <f>IF(AND($A42&gt;=SYear_O, $A42&lt;=EYear_O, I$3&gt;0), I$3 * VLOOKUP($A42, Data_All!$A$8:$CA$153, MATCH(I$2, Data_All!$B$2:$CA$2, 0)+1), "")</f>
        <v/>
      </c>
      <c r="J42" s="206" t="str">
        <f>IF(AND($A42&gt;=SYear_O, $A42&lt;=EYear_O, J$3&gt;0), J$3 * VLOOKUP($A42, Data_All!$A$8:$CA$153, MATCH(J$2, Data_All!$B$2:$CA$2, 0)+1), "")</f>
        <v/>
      </c>
      <c r="K42" s="206" t="str">
        <f>IF(AND($A42&gt;=SYear_O, $A42&lt;=EYear_O, K$3&gt;0), K$3 * VLOOKUP($A42, Data_All!$A$8:$CA$153, MATCH(K$2, Data_All!$B$2:$CA$2, 0)+1), "")</f>
        <v/>
      </c>
      <c r="L42" s="206" t="str">
        <f>IF(AND($A42&gt;=SYear_O, $A42&lt;=EYear_O, L$3&gt;0), L$3 * VLOOKUP($A42, Data_All!$A$8:$CA$153, MATCH(L$2, Data_All!$B$2:$CA$2, 0)+1), "")</f>
        <v/>
      </c>
      <c r="M42" s="206" t="str">
        <f>IF(AND($A42&gt;=SYear_O, $A42&lt;=EYear_O, M$3&gt;0), M$3 * VLOOKUP($A42, Data_All!$A$8:$CA$153, MATCH(M$2, Data_All!$B$2:$CA$2, 0)+1), "")</f>
        <v/>
      </c>
      <c r="N42" s="206" t="str">
        <f>IF(AND($A42&gt;=SYear_O, $A42&lt;=EYear_O, N$3&gt;0), N$3 * VLOOKUP($A42, Data_All!$A$8:$CA$153, MATCH(N$2, Data_All!$B$2:$CA$2, 0)+1), "")</f>
        <v/>
      </c>
      <c r="O42" s="206" t="str">
        <f>IF(AND($A42&gt;=SYear_O, $A42&lt;=EYear_O, O$3&gt;0), O$3 * VLOOKUP($A42, Data_All!$A$8:$CA$153, MATCH(O$2, Data_All!$B$2:$CA$2, 0)+1), "")</f>
        <v/>
      </c>
      <c r="P42" s="206" t="str">
        <f>IF(AND($A42&gt;=SYear_O, $A42&lt;=EYear_O, P$3&gt;0), P$3 * VLOOKUP($A42, Data_All!$A$8:$CA$153, MATCH(P$2, Data_All!$B$2:$CA$2, 0)+1), "")</f>
        <v/>
      </c>
      <c r="Q42" s="206" t="str">
        <f>IF(AND($A42&gt;=SYear_O, $A42&lt;=EYear_O, Q$3&gt;0), Q$3 * VLOOKUP($A42, Data_All!$A$8:$CA$153, MATCH(Q$2, Data_All!$B$2:$CA$2, 0)+1), "")</f>
        <v/>
      </c>
      <c r="R42" s="206" t="str">
        <f>IF(AND($A42&gt;=SYear_O, $A42&lt;=EYear_O, R$3&gt;0), R$3 * VLOOKUP($A42, Data_All!$A$8:$CA$153, MATCH(R$2, Data_All!$B$2:$CA$2, 0)+1), "")</f>
        <v/>
      </c>
      <c r="S42" s="206" t="str">
        <f>IF(AND($A42&gt;=SYear_O, $A42&lt;=EYear_O, S$3&gt;0), S$3 * VLOOKUP($A42, Data_All!$A$8:$CA$153, MATCH(S$2, Data_All!$B$2:$CA$2, 0)+1), "")</f>
        <v/>
      </c>
      <c r="T42" s="206" t="str">
        <f>IF(AND($A42&gt;=SYear_O, $A42&lt;=EYear_O, T$3&gt;0), T$3 * VLOOKUP($A42, Data_All!$A$8:$CA$153, MATCH(T$2, Data_All!$B$2:$CA$2, 0)+1), "")</f>
        <v/>
      </c>
      <c r="U42" s="206" t="str">
        <f>IF(AND($A42&gt;=SYear_O, $A42&lt;=EYear_O, U$3&gt;0), U$3 * VLOOKUP($A42, Data_All!$A$8:$CA$153, MATCH(U$2, Data_All!$B$2:$CA$2, 0)+1), "")</f>
        <v/>
      </c>
      <c r="V42" s="206" t="str">
        <f>IF(AND($A42&gt;=SYear_O, $A42&lt;=EYear_O, V$3&gt;0), V$3 * VLOOKUP($A42, Data_All!$A$8:$CA$153, MATCH(V$2, Data_All!$B$2:$CA$2, 0)+1), "")</f>
        <v/>
      </c>
      <c r="W42" s="206" t="str">
        <f>IF(AND($A42&gt;=SYear_O, $A42&lt;=EYear_O, W$3&gt;0), W$3 * VLOOKUP($A42, Data_All!$A$8:$CA$153, MATCH(W$2, Data_All!$B$2:$CA$2, 0)+1), "")</f>
        <v/>
      </c>
      <c r="X42" s="206" t="str">
        <f>IF(AND($A42&gt;=SYear_O, $A42&lt;=EYear_O, X$3&gt;0), X$3 * VLOOKUP($A42, Data_All!$A$8:$CA$153, MATCH(X$2, Data_All!$B$2:$CA$2, 0)+1), "")</f>
        <v/>
      </c>
      <c r="Y42" s="206" t="str">
        <f>IF(AND($A42&gt;=SYear_O, $A42&lt;=EYear_O, Y$3&gt;0), Y$3 * VLOOKUP($A42, Data_All!$A$8:$CA$153, MATCH(Y$2, Data_All!$B$2:$CA$2, 0)+1), "")</f>
        <v/>
      </c>
      <c r="Z42" s="206" t="str">
        <f>IF(AND($A42&gt;=SYear_O, $A42&lt;=EYear_O, Z$3&gt;0), Z$3 * VLOOKUP($A42, Data_All!$A$8:$CA$153, MATCH(Z$2, Data_All!$B$2:$CA$2, 0)+1), "")</f>
        <v/>
      </c>
      <c r="AA42" s="206" t="str">
        <f>IF(AND($A42&gt;=SYear_O, $A42&lt;=EYear_O, AA$3&gt;0), AA$3 * VLOOKUP($A42, Data_All!$A$8:$CA$153, MATCH(AA$2, Data_All!$B$2:$CA$2, 0)+1), "")</f>
        <v/>
      </c>
      <c r="AB42" s="206" t="str">
        <f>IF(AND($A42&gt;=SYear_O, $A42&lt;=EYear_O, AB$3&gt;0), AB$3 * VLOOKUP($A42, Data_All!$A$8:$CA$153, MATCH(AB$2, Data_All!$B$2:$CA$2, 0)+1), "")</f>
        <v/>
      </c>
      <c r="AC42" s="206" t="str">
        <f>IF(AND($A42&gt;=SYear_O, $A42&lt;=EYear_O, AC$3&gt;0), AC$3 * VLOOKUP($A42, Data_All!$A$8:$CA$153, MATCH(AC$2, Data_All!$B$2:$CA$2, 0)+1), "")</f>
        <v/>
      </c>
      <c r="AD42" s="206" t="str">
        <f>IF(AND($A42&gt;=SYear_O, $A42&lt;=EYear_O, AD$3&gt;0), AD$3 * VLOOKUP($A42, Data_All!$A$8:$CA$153, MATCH(AD$2, Data_All!$B$2:$CA$2, 0)+1), "")</f>
        <v/>
      </c>
      <c r="AE42" s="206" t="str">
        <f>IF(AND($A42&gt;=SYear_O, $A42&lt;=EYear_O, AE$3&gt;0), AE$3 * VLOOKUP($A42, Data_All!$A$8:$CA$153, MATCH(AE$2, Data_All!$B$2:$CA$2, 0)+1), "")</f>
        <v/>
      </c>
      <c r="AF42" s="206" t="str">
        <f>IF(AND($A42&gt;=SYear_O, $A42&lt;=EYear_O, AF$3&gt;0), AF$3 * VLOOKUP($A42, Data_All!$A$8:$CA$153, MATCH(AF$2, Data_All!$B$2:$CA$2, 0)+1), "")</f>
        <v/>
      </c>
      <c r="AG42" s="206" t="str">
        <f>IF(AND($A42&gt;=SYear_O, $A42&lt;=EYear_O, AG$3&gt;0), AG$3 * VLOOKUP($A42, Data_All!$A$8:$CA$153, MATCH(AG$2, Data_All!$B$2:$CA$2, 0)+1), "")</f>
        <v/>
      </c>
      <c r="AH42" s="206" t="str">
        <f>IF(AND($A42&gt;=SYear_O, $A42&lt;=EYear_O, AH$3&gt;0), AH$3 * VLOOKUP($A42, Data_All!$A$8:$CA$153, MATCH(AH$2, Data_All!$B$2:$CA$2, 0)+1), "")</f>
        <v/>
      </c>
      <c r="AI42" s="206" t="str">
        <f>IF(AND($A42&gt;=SYear_O, $A42&lt;=EYear_O, AI$3&gt;0), AI$3 * VLOOKUP($A42, Data_All!$A$8:$CA$153, MATCH(AI$2, Data_All!$B$2:$CA$2, 0)+1), "")</f>
        <v/>
      </c>
      <c r="AJ42" s="206" t="str">
        <f>IF(AND($A42&gt;=SYear_O, $A42&lt;=EYear_O, AJ$3&gt;0), AJ$3 * VLOOKUP($A42, Data_All!$A$8:$CA$153, MATCH(AJ$2, Data_All!$B$2:$CA$2, 0)+1), "")</f>
        <v/>
      </c>
      <c r="AK42" s="206" t="str">
        <f>IF(AND($A42&gt;=SYear_O, $A42&lt;=EYear_O, AK$3&gt;0), AK$3 * VLOOKUP($A42, Data_All!$A$8:$CA$153, MATCH(AK$2, Data_All!$B$2:$CA$2, 0)+1), "")</f>
        <v/>
      </c>
      <c r="AL42" s="206" t="str">
        <f>IF(AND($A42&gt;=SYear_O, $A42&lt;=EYear_O, AL$3&gt;0), AL$3 * VLOOKUP($A42, Data_All!$A$8:$CA$153, MATCH(AL$2, Data_All!$B$2:$CA$2, 0)+1), "")</f>
        <v/>
      </c>
      <c r="AM42" s="206" t="str">
        <f>IF(AND($A42&gt;=SYear_O, $A42&lt;=EYear_O, AM$3&gt;0), AM$3 * VLOOKUP($A42, Data_All!$A$8:$CA$153, MATCH(AM$2, Data_All!$B$2:$CA$2, 0)+1), "")</f>
        <v/>
      </c>
      <c r="AN42" s="206" t="str">
        <f>IF(AND($A42&gt;=SYear_O, $A42&lt;=EYear_O, AN$3&gt;0), AN$3 * VLOOKUP($A42, Data_All!$A$8:$CA$153, MATCH(AN$2, Data_All!$B$2:$CA$2, 0)+1), "")</f>
        <v/>
      </c>
      <c r="AO42" s="206" t="str">
        <f>IF(AND($A42&gt;=SYear_O, $A42&lt;=EYear_O, AO$3&gt;0), AO$3 * VLOOKUP($A42, Data_All!$A$8:$CA$153, MATCH(AO$2, Data_All!$B$2:$CA$2, 0)+1), "")</f>
        <v/>
      </c>
      <c r="AP42" s="206" t="str">
        <f>IF(AND($A42&gt;=SYear_O, $A42&lt;=EYear_O, AP$3&gt;0), AP$3 * VLOOKUP($A42, Data_All!$A$8:$CA$153, MATCH(AP$2, Data_All!$B$2:$CA$2, 0)+1), "")</f>
        <v/>
      </c>
      <c r="AQ42" s="206" t="str">
        <f>IF(AND($A42&gt;=SYear_O, $A42&lt;=EYear_O, AQ$3&gt;0), AQ$3 * VLOOKUP($A42, Data_All!$A$8:$CA$153, MATCH(AQ$2, Data_All!$B$2:$CA$2, 0)+1), "")</f>
        <v/>
      </c>
      <c r="AR42" s="206" t="str">
        <f>IF(AND($A42&gt;=SYear_O, $A42&lt;=EYear_O, AR$3&gt;0), AR$3 * VLOOKUP($A42, Data_All!$A$8:$CA$153, MATCH(AR$2, Data_All!$B$2:$CA$2, 0)+1), "")</f>
        <v/>
      </c>
      <c r="AS42" s="206" t="str">
        <f>IF(AND($A42&gt;=SYear_O, $A42&lt;=EYear_O, AS$3&gt;0), AS$3 * VLOOKUP($A42, Data_All!$A$8:$CA$153, MATCH(AS$2, Data_All!$B$2:$CA$2, 0)+1), "")</f>
        <v/>
      </c>
      <c r="AT42" s="206" t="str">
        <f>IF(AND($A42&gt;=SYear_O, $A42&lt;=EYear_O, AT$3&gt;0), AT$3 * VLOOKUP($A42, Data_All!$A$8:$CA$153, MATCH(AT$2, Data_All!$B$2:$CA$2, 0)+1), "")</f>
        <v/>
      </c>
      <c r="AU42" s="206" t="str">
        <f>IF(AND($A42&gt;=SYear_O, $A42&lt;=EYear_O, AU$3&gt;0), AU$3 * VLOOKUP($A42, Data_All!$A$8:$CA$153, MATCH(AU$2, Data_All!$B$2:$CA$2, 0)+1), "")</f>
        <v/>
      </c>
      <c r="AV42" s="206" t="str">
        <f>IF(AND($A42&gt;=SYear_O, $A42&lt;=EYear_O, AV$3&gt;0), AV$3 * VLOOKUP($A42, Data_All!$A$8:$CA$153, MATCH(AV$2, Data_All!$B$2:$CA$2, 0)+1), "")</f>
        <v/>
      </c>
      <c r="AW42" s="206" t="str">
        <f>IF(AND($A42&gt;=SYear_O, $A42&lt;=EYear_O, AW$3&gt;0), AW$3 * VLOOKUP($A42, Data_All!$A$8:$CA$153, MATCH(AW$2, Data_All!$B$2:$CA$2, 0)+1), "")</f>
        <v/>
      </c>
      <c r="AX42" s="206" t="str">
        <f>IF(AND($A42&gt;=SYear_O, $A42&lt;=EYear_O, AX$3&gt;0), AX$3 * VLOOKUP($A42, Data_All!$A$8:$CA$153, MATCH(AX$2, Data_All!$B$2:$CA$2, 0)+1), "")</f>
        <v/>
      </c>
      <c r="AY42" s="206" t="str">
        <f>IF(AND($A42&gt;=SYear_O, $A42&lt;=EYear_O, AY$3&gt;0), AY$3 * VLOOKUP($A42, Data_All!$A$8:$CA$153, MATCH(AY$2, Data_All!$B$2:$CA$2, 0)+1), "")</f>
        <v/>
      </c>
      <c r="AZ42" s="206" t="str">
        <f>IF(AND($A42&gt;=SYear_O, $A42&lt;=EYear_O, AZ$3&gt;0), AZ$3 * VLOOKUP($A42, Data_All!$A$8:$CA$153, MATCH(AZ$2, Data_All!$B$2:$CA$2, 0)+1), "")</f>
        <v/>
      </c>
      <c r="BA42" s="206" t="str">
        <f>IF(AND($A42&gt;=SYear_O, $A42&lt;=EYear_O, BA$3&gt;0), BA$3 * VLOOKUP($A42, Data_All!$A$8:$CA$153, MATCH(BA$2, Data_All!$B$2:$CA$2, 0)+1), "")</f>
        <v/>
      </c>
      <c r="BB42" s="206" t="str">
        <f>IF(AND($A42&gt;=SYear_O, $A42&lt;=EYear_O, BB$3&gt;0), BB$3 * VLOOKUP($A42, Data_All!$A$8:$CA$153, MATCH(BB$2, Data_All!$B$2:$CA$2, 0)+1), "")</f>
        <v/>
      </c>
      <c r="BC42" s="206" t="str">
        <f>IF(AND($A42&gt;=SYear_O, $A42&lt;=EYear_O, BC$3&gt;0), BC$3 * VLOOKUP($A42, Data_All!$A$8:$CA$153, MATCH(BC$2, Data_All!$B$2:$CA$2, 0)+1), "")</f>
        <v/>
      </c>
      <c r="BD42" s="206" t="str">
        <f>IF(AND($A42&gt;=SYear_O, $A42&lt;=EYear_O, BD$3&gt;0), BD$3 * VLOOKUP($A42, Data_All!$A$8:$CA$153, MATCH(BD$2, Data_All!$B$2:$CA$2, 0)+1), "")</f>
        <v/>
      </c>
      <c r="BE42" s="206" t="str">
        <f>IF(AND($A42&gt;=SYear_O, $A42&lt;=EYear_O, BE$3&gt;0), BE$3 * VLOOKUP($A42, Data_All!$A$8:$CA$153, MATCH(BE$2, Data_All!$B$2:$CA$2, 0)+1), "")</f>
        <v/>
      </c>
      <c r="BF42" s="206" t="str">
        <f>IF(AND($A42&gt;=SYear_O, $A42&lt;=EYear_O, BF$3&gt;0), BF$3 * VLOOKUP($A42, Data_All!$A$8:$CA$153, MATCH(BF$2, Data_All!$B$2:$CA$2, 0)+1), "")</f>
        <v/>
      </c>
      <c r="BG42" s="206" t="str">
        <f>IF(AND($A42&gt;=SYear_O, $A42&lt;=EYear_O, BG$3&gt;0), BG$3 * VLOOKUP($A42, Data_All!$A$8:$CA$153, MATCH(BG$2, Data_All!$B$2:$CA$2, 0)+1), "")</f>
        <v/>
      </c>
      <c r="BH42" s="206" t="str">
        <f>IF(AND($A42&gt;=SYear_O, $A42&lt;=EYear_O, BH$3&gt;0), BH$3 * VLOOKUP($A42, Data_All!$A$8:$CA$153, MATCH(BH$2, Data_All!$B$2:$CA$2, 0)+1), "")</f>
        <v/>
      </c>
      <c r="BI42" s="206" t="str">
        <f>IF(AND($A42&gt;=SYear_O, $A42&lt;=EYear_O, BI$3&gt;0), BI$3 * VLOOKUP($A42, Data_All!$A$8:$CA$153, MATCH(BI$2, Data_All!$B$2:$CA$2, 0)+1), "")</f>
        <v/>
      </c>
      <c r="BJ42" s="206" t="str">
        <f>IF(AND($A42&gt;=SYear_O, $A42&lt;=EYear_O, BJ$3&gt;0), BJ$3 * VLOOKUP($A42, Data_All!$A$8:$CA$153, MATCH(BJ$2, Data_All!$B$2:$CA$2, 0)+1), "")</f>
        <v/>
      </c>
      <c r="BK42" s="206" t="str">
        <f>IF(AND($A42&gt;=SYear_O, $A42&lt;=EYear_O, BK$3&gt;0), BK$3 * VLOOKUP($A42, Data_All!$A$8:$CA$153, MATCH(BK$2, Data_All!$B$2:$CA$2, 0)+1), "")</f>
        <v/>
      </c>
      <c r="BL42" s="206" t="str">
        <f>IF(AND($A42&gt;=SYear_O, $A42&lt;=EYear_O, BL$3&gt;0), BL$3 * VLOOKUP($A42, Data_All!$A$8:$CA$153, MATCH(BL$2, Data_All!$B$2:$CA$2, 0)+1), "")</f>
        <v/>
      </c>
      <c r="BM42" s="206" t="str">
        <f>IF(AND($A42&gt;=SYear_O, $A42&lt;=EYear_O, BM$3&gt;0), BM$3 * VLOOKUP($A42, Data_All!$A$8:$CA$153, MATCH(BM$2, Data_All!$B$2:$CA$2, 0)+1), "")</f>
        <v/>
      </c>
      <c r="BN42" s="206" t="str">
        <f>IF(AND($A42&gt;=SYear_O, $A42&lt;=EYear_O, BN$3&gt;0), BN$3 * VLOOKUP($A42, Data_All!$A$8:$CA$153, MATCH(BN$2, Data_All!$B$2:$CA$2, 0)+1), "")</f>
        <v/>
      </c>
      <c r="BO42" s="206" t="str">
        <f>IF(AND($A42&gt;=SYear_O, $A42&lt;=EYear_O, BO$3&gt;0), BO$3 * VLOOKUP($A42, Data_All!$A$8:$CA$153, MATCH(BO$2, Data_All!$B$2:$CA$2, 0)+1), "")</f>
        <v/>
      </c>
      <c r="BP42" s="206" t="str">
        <f>IF(AND($A42&gt;=SYear_O, $A42&lt;=EYear_O, BP$3&gt;0), BP$3 * VLOOKUP($A42, Data_All!$A$8:$CA$153, MATCH(BP$2, Data_All!$B$2:$CA$2, 0)+1), "")</f>
        <v/>
      </c>
      <c r="BQ42" s="206" t="str">
        <f>IF(AND($A42&gt;=SYear_O, $A42&lt;=EYear_O, BQ$3&gt;0), BQ$3 * VLOOKUP($A42, Data_All!$A$8:$CA$153, MATCH(BQ$2, Data_All!$B$2:$CA$2, 0)+1), "")</f>
        <v/>
      </c>
      <c r="BR42" s="206" t="str">
        <f>IF(AND($A42&gt;=SYear_O, $A42&lt;=EYear_O, BR$3&gt;0), BR$3 * VLOOKUP($A42, Data_All!$A$8:$CA$153, MATCH(BR$2, Data_All!$B$2:$CA$2, 0)+1), "")</f>
        <v/>
      </c>
      <c r="BS42" s="206" t="str">
        <f>IF(AND($A42&gt;=SYear_O, $A42&lt;=EYear_O, BS$3&gt;0), BS$3 * VLOOKUP($A42, Data_All!$A$8:$CA$153, MATCH(BS$2, Data_All!$B$2:$CA$2, 0)+1), "")</f>
        <v/>
      </c>
      <c r="BT42" s="206" t="str">
        <f>IF(AND($A42&gt;=SYear_O, $A42&lt;=EYear_O, BT$3&gt;0), BT$3 * VLOOKUP($A42, Data_All!$A$8:$CA$153, MATCH(BT$2, Data_All!$B$2:$CA$2, 0)+1), "")</f>
        <v/>
      </c>
      <c r="BU42" s="206" t="str">
        <f>IF(AND($A42&gt;=SYear_O, $A42&lt;=EYear_O, BU$3&gt;0), BU$3 * VLOOKUP($A42, Data_All!$A$8:$CA$153, MATCH(BU$2, Data_All!$B$2:$CA$2, 0)+1), "")</f>
        <v/>
      </c>
      <c r="BV42" s="206" t="str">
        <f>IF(AND($A42&gt;=SYear_O, $A42&lt;=EYear_O, BV$3&gt;0), BV$3 * VLOOKUP($A42, Data_All!$A$8:$CA$153, MATCH(BV$2, Data_All!$B$2:$CA$2, 0)+1), "")</f>
        <v/>
      </c>
      <c r="BW42" s="206" t="str">
        <f>IF(AND($A42&gt;=SYear_O, $A42&lt;=EYear_O, BW$3&gt;0), BW$3 * VLOOKUP($A42, Data_All!$A$8:$CA$153, MATCH(BW$2, Data_All!$B$2:$CA$2, 0)+1), "")</f>
        <v/>
      </c>
      <c r="BX42" s="206">
        <f>IF(AND($A42&gt;=SYear_O, $A42&lt;=EYear_O, BX$3&gt;0), BX$3 * VLOOKUP($A42, Data_All!$A$8:$CA$153, MATCH(BX$2, Data_All!$B$2:$CA$2, 0)+1), "")</f>
        <v>0.54711246200609409</v>
      </c>
      <c r="BY42" s="206">
        <f>IF(AND($A42&gt;=SYear_O, $A42&lt;=EYear_O, BY$3&gt;0), BY$3 * VLOOKUP($A42, Data_All!$A$8:$CA$153, MATCH(BY$2, Data_All!$B$2:$CA$2, 0)+1), "")</f>
        <v>0.49300640205562019</v>
      </c>
      <c r="BZ42" s="206" t="str">
        <f>IF(AND($A42&gt;=SYear_O, $A42&lt;=EYear_O, BZ$3&gt;0), BZ$3 * VLOOKUP($A42, Data_All!$A$8:$CA$153, MATCH(BZ$2, Data_All!$B$2:$CA$2, 0)+1), "")</f>
        <v/>
      </c>
      <c r="CA42" s="565">
        <f t="shared" si="19"/>
        <v>1.0401188640617143</v>
      </c>
      <c r="CB42" s="427">
        <f t="shared" si="20"/>
        <v>84383.515641205537</v>
      </c>
      <c r="CC42" s="565">
        <f>IF(AND($A42&gt;=SYear_O,$A42&lt;=EYear_O),(CA42-Data_All!CA43)/(1+Data_All!CA43%),"")</f>
        <v>-3.3056831474102863</v>
      </c>
      <c r="CD42" s="436">
        <f t="shared" si="21"/>
        <v>118863.10727153343</v>
      </c>
      <c r="CE42" s="438">
        <f t="shared" si="22"/>
        <v>7.6535206331129189</v>
      </c>
      <c r="CF42" s="438">
        <f>IF(AND($A42&gt;=SYear_O,$A42&lt;=EYear_O),MAX($CE$7:CE42),"")</f>
        <v>7.6535206331129189</v>
      </c>
      <c r="CG42" s="209">
        <f t="shared" si="23"/>
        <v>0</v>
      </c>
      <c r="CI42" s="143">
        <f>IF(AND($A42&gt;=SYear_O,$A42&lt;=EYear_O),Data_All!V43,"")</f>
        <v>5.3751623538815068</v>
      </c>
      <c r="CJ42" s="143">
        <f>IF(AND($A42&gt;=SYear_O,$A42&lt;=EYear_O),Data_All!CA43,"")</f>
        <v>4.4943716993183447</v>
      </c>
      <c r="CK42" s="143">
        <f t="shared" si="24"/>
        <v>0.84290726882174061</v>
      </c>
      <c r="CN42" s="61">
        <f t="shared" si="25"/>
        <v>1.0401188640617232E-2</v>
      </c>
      <c r="CO42" s="61">
        <f t="shared" si="26"/>
        <v>3.6104965253305199E-2</v>
      </c>
      <c r="CP42" s="61">
        <f t="shared" si="27"/>
        <v>4.1606106206543592E-2</v>
      </c>
      <c r="CQ42" s="61">
        <f t="shared" si="28"/>
        <v>4.6400898650272637E-2</v>
      </c>
      <c r="CR42" s="61">
        <f t="shared" si="29"/>
        <v>3.814733645687074E-2</v>
      </c>
      <c r="CU42" s="61">
        <f t="shared" si="30"/>
        <v>-3.3056831474102877E-2</v>
      </c>
      <c r="CV42" s="61">
        <f t="shared" si="31"/>
        <v>1.7397882045596447E-2</v>
      </c>
      <c r="CW42" s="61">
        <f t="shared" si="32"/>
        <v>2.3828437340778441E-2</v>
      </c>
      <c r="CX42" s="61">
        <f t="shared" si="33"/>
        <v>2.511476850940153E-2</v>
      </c>
      <c r="CY42" s="61">
        <f t="shared" si="34"/>
        <v>-1.6304765403828747E-2</v>
      </c>
    </row>
    <row r="43" spans="1:103">
      <c r="A43" s="204">
        <f t="shared" si="18"/>
        <v>1907</v>
      </c>
      <c r="B43" s="206" t="str">
        <f>IF(AND($A43&gt;=SYear_O, $A43&lt;=EYear_O, B$3&gt;0), B$3 * VLOOKUP($A43, Data_All!$A$8:$CA$153, MATCH(B$2, Data_All!$B$2:$CA$2, 0)+1), "")</f>
        <v/>
      </c>
      <c r="C43" s="206" t="str">
        <f>IF(AND($A43&gt;=SYear_O, $A43&lt;=EYear_O, C$3&gt;0), C$3 * VLOOKUP($A43, Data_All!$A$8:$CA$153, MATCH(C$2, Data_All!$B$2:$CA$2, 0)+1), "")</f>
        <v/>
      </c>
      <c r="D43" s="206" t="str">
        <f>IF(AND($A43&gt;=SYear_O, $A43&lt;=EYear_O, D$3&gt;0), D$3 * VLOOKUP($A43, Data_All!$A$8:$CA$153, MATCH(D$2, Data_All!$B$2:$CA$2, 0)+1), "")</f>
        <v/>
      </c>
      <c r="E43" s="206" t="str">
        <f>IF(AND($A43&gt;=SYear_O, $A43&lt;=EYear_O, E$3&gt;0), E$3 * VLOOKUP($A43, Data_All!$A$8:$CA$153, MATCH(E$2, Data_All!$B$2:$CA$2, 0)+1), "")</f>
        <v/>
      </c>
      <c r="F43" s="206" t="str">
        <f>IF(AND($A43&gt;=SYear_O, $A43&lt;=EYear_O, F$3&gt;0), F$3 * VLOOKUP($A43, Data_All!$A$8:$CA$153, MATCH(F$2, Data_All!$B$2:$CA$2, 0)+1), "")</f>
        <v/>
      </c>
      <c r="G43" s="206" t="str">
        <f>IF(AND($A43&gt;=SYear_O, $A43&lt;=EYear_O, G$3&gt;0), G$3 * VLOOKUP($A43, Data_All!$A$8:$CA$153, MATCH(G$2, Data_All!$B$2:$CA$2, 0)+1), "")</f>
        <v/>
      </c>
      <c r="H43" s="206" t="str">
        <f>IF(AND($A43&gt;=SYear_O, $A43&lt;=EYear_O, H$3&gt;0), H$3 * VLOOKUP($A43, Data_All!$A$8:$CA$153, MATCH(H$2, Data_All!$B$2:$CA$2, 0)+1), "")</f>
        <v/>
      </c>
      <c r="I43" s="206" t="str">
        <f>IF(AND($A43&gt;=SYear_O, $A43&lt;=EYear_O, I$3&gt;0), I$3 * VLOOKUP($A43, Data_All!$A$8:$CA$153, MATCH(I$2, Data_All!$B$2:$CA$2, 0)+1), "")</f>
        <v/>
      </c>
      <c r="J43" s="206" t="str">
        <f>IF(AND($A43&gt;=SYear_O, $A43&lt;=EYear_O, J$3&gt;0), J$3 * VLOOKUP($A43, Data_All!$A$8:$CA$153, MATCH(J$2, Data_All!$B$2:$CA$2, 0)+1), "")</f>
        <v/>
      </c>
      <c r="K43" s="206" t="str">
        <f>IF(AND($A43&gt;=SYear_O, $A43&lt;=EYear_O, K$3&gt;0), K$3 * VLOOKUP($A43, Data_All!$A$8:$CA$153, MATCH(K$2, Data_All!$B$2:$CA$2, 0)+1), "")</f>
        <v/>
      </c>
      <c r="L43" s="206" t="str">
        <f>IF(AND($A43&gt;=SYear_O, $A43&lt;=EYear_O, L$3&gt;0), L$3 * VLOOKUP($A43, Data_All!$A$8:$CA$153, MATCH(L$2, Data_All!$B$2:$CA$2, 0)+1), "")</f>
        <v/>
      </c>
      <c r="M43" s="206" t="str">
        <f>IF(AND($A43&gt;=SYear_O, $A43&lt;=EYear_O, M$3&gt;0), M$3 * VLOOKUP($A43, Data_All!$A$8:$CA$153, MATCH(M$2, Data_All!$B$2:$CA$2, 0)+1), "")</f>
        <v/>
      </c>
      <c r="N43" s="206" t="str">
        <f>IF(AND($A43&gt;=SYear_O, $A43&lt;=EYear_O, N$3&gt;0), N$3 * VLOOKUP($A43, Data_All!$A$8:$CA$153, MATCH(N$2, Data_All!$B$2:$CA$2, 0)+1), "")</f>
        <v/>
      </c>
      <c r="O43" s="206" t="str">
        <f>IF(AND($A43&gt;=SYear_O, $A43&lt;=EYear_O, O$3&gt;0), O$3 * VLOOKUP($A43, Data_All!$A$8:$CA$153, MATCH(O$2, Data_All!$B$2:$CA$2, 0)+1), "")</f>
        <v/>
      </c>
      <c r="P43" s="206" t="str">
        <f>IF(AND($A43&gt;=SYear_O, $A43&lt;=EYear_O, P$3&gt;0), P$3 * VLOOKUP($A43, Data_All!$A$8:$CA$153, MATCH(P$2, Data_All!$B$2:$CA$2, 0)+1), "")</f>
        <v/>
      </c>
      <c r="Q43" s="206" t="str">
        <f>IF(AND($A43&gt;=SYear_O, $A43&lt;=EYear_O, Q$3&gt;0), Q$3 * VLOOKUP($A43, Data_All!$A$8:$CA$153, MATCH(Q$2, Data_All!$B$2:$CA$2, 0)+1), "")</f>
        <v/>
      </c>
      <c r="R43" s="206" t="str">
        <f>IF(AND($A43&gt;=SYear_O, $A43&lt;=EYear_O, R$3&gt;0), R$3 * VLOOKUP($A43, Data_All!$A$8:$CA$153, MATCH(R$2, Data_All!$B$2:$CA$2, 0)+1), "")</f>
        <v/>
      </c>
      <c r="S43" s="206" t="str">
        <f>IF(AND($A43&gt;=SYear_O, $A43&lt;=EYear_O, S$3&gt;0), S$3 * VLOOKUP($A43, Data_All!$A$8:$CA$153, MATCH(S$2, Data_All!$B$2:$CA$2, 0)+1), "")</f>
        <v/>
      </c>
      <c r="T43" s="206" t="str">
        <f>IF(AND($A43&gt;=SYear_O, $A43&lt;=EYear_O, T$3&gt;0), T$3 * VLOOKUP($A43, Data_All!$A$8:$CA$153, MATCH(T$2, Data_All!$B$2:$CA$2, 0)+1), "")</f>
        <v/>
      </c>
      <c r="U43" s="206" t="str">
        <f>IF(AND($A43&gt;=SYear_O, $A43&lt;=EYear_O, U$3&gt;0), U$3 * VLOOKUP($A43, Data_All!$A$8:$CA$153, MATCH(U$2, Data_All!$B$2:$CA$2, 0)+1), "")</f>
        <v/>
      </c>
      <c r="V43" s="206" t="str">
        <f>IF(AND($A43&gt;=SYear_O, $A43&lt;=EYear_O, V$3&gt;0), V$3 * VLOOKUP($A43, Data_All!$A$8:$CA$153, MATCH(V$2, Data_All!$B$2:$CA$2, 0)+1), "")</f>
        <v/>
      </c>
      <c r="W43" s="206" t="str">
        <f>IF(AND($A43&gt;=SYear_O, $A43&lt;=EYear_O, W$3&gt;0), W$3 * VLOOKUP($A43, Data_All!$A$8:$CA$153, MATCH(W$2, Data_All!$B$2:$CA$2, 0)+1), "")</f>
        <v/>
      </c>
      <c r="X43" s="206" t="str">
        <f>IF(AND($A43&gt;=SYear_O, $A43&lt;=EYear_O, X$3&gt;0), X$3 * VLOOKUP($A43, Data_All!$A$8:$CA$153, MATCH(X$2, Data_All!$B$2:$CA$2, 0)+1), "")</f>
        <v/>
      </c>
      <c r="Y43" s="206" t="str">
        <f>IF(AND($A43&gt;=SYear_O, $A43&lt;=EYear_O, Y$3&gt;0), Y$3 * VLOOKUP($A43, Data_All!$A$8:$CA$153, MATCH(Y$2, Data_All!$B$2:$CA$2, 0)+1), "")</f>
        <v/>
      </c>
      <c r="Z43" s="206" t="str">
        <f>IF(AND($A43&gt;=SYear_O, $A43&lt;=EYear_O, Z$3&gt;0), Z$3 * VLOOKUP($A43, Data_All!$A$8:$CA$153, MATCH(Z$2, Data_All!$B$2:$CA$2, 0)+1), "")</f>
        <v/>
      </c>
      <c r="AA43" s="206" t="str">
        <f>IF(AND($A43&gt;=SYear_O, $A43&lt;=EYear_O, AA$3&gt;0), AA$3 * VLOOKUP($A43, Data_All!$A$8:$CA$153, MATCH(AA$2, Data_All!$B$2:$CA$2, 0)+1), "")</f>
        <v/>
      </c>
      <c r="AB43" s="206" t="str">
        <f>IF(AND($A43&gt;=SYear_O, $A43&lt;=EYear_O, AB$3&gt;0), AB$3 * VLOOKUP($A43, Data_All!$A$8:$CA$153, MATCH(AB$2, Data_All!$B$2:$CA$2, 0)+1), "")</f>
        <v/>
      </c>
      <c r="AC43" s="206" t="str">
        <f>IF(AND($A43&gt;=SYear_O, $A43&lt;=EYear_O, AC$3&gt;0), AC$3 * VLOOKUP($A43, Data_All!$A$8:$CA$153, MATCH(AC$2, Data_All!$B$2:$CA$2, 0)+1), "")</f>
        <v/>
      </c>
      <c r="AD43" s="206" t="str">
        <f>IF(AND($A43&gt;=SYear_O, $A43&lt;=EYear_O, AD$3&gt;0), AD$3 * VLOOKUP($A43, Data_All!$A$8:$CA$153, MATCH(AD$2, Data_All!$B$2:$CA$2, 0)+1), "")</f>
        <v/>
      </c>
      <c r="AE43" s="206" t="str">
        <f>IF(AND($A43&gt;=SYear_O, $A43&lt;=EYear_O, AE$3&gt;0), AE$3 * VLOOKUP($A43, Data_All!$A$8:$CA$153, MATCH(AE$2, Data_All!$B$2:$CA$2, 0)+1), "")</f>
        <v/>
      </c>
      <c r="AF43" s="206" t="str">
        <f>IF(AND($A43&gt;=SYear_O, $A43&lt;=EYear_O, AF$3&gt;0), AF$3 * VLOOKUP($A43, Data_All!$A$8:$CA$153, MATCH(AF$2, Data_All!$B$2:$CA$2, 0)+1), "")</f>
        <v/>
      </c>
      <c r="AG43" s="206" t="str">
        <f>IF(AND($A43&gt;=SYear_O, $A43&lt;=EYear_O, AG$3&gt;0), AG$3 * VLOOKUP($A43, Data_All!$A$8:$CA$153, MATCH(AG$2, Data_All!$B$2:$CA$2, 0)+1), "")</f>
        <v/>
      </c>
      <c r="AH43" s="206" t="str">
        <f>IF(AND($A43&gt;=SYear_O, $A43&lt;=EYear_O, AH$3&gt;0), AH$3 * VLOOKUP($A43, Data_All!$A$8:$CA$153, MATCH(AH$2, Data_All!$B$2:$CA$2, 0)+1), "")</f>
        <v/>
      </c>
      <c r="AI43" s="206" t="str">
        <f>IF(AND($A43&gt;=SYear_O, $A43&lt;=EYear_O, AI$3&gt;0), AI$3 * VLOOKUP($A43, Data_All!$A$8:$CA$153, MATCH(AI$2, Data_All!$B$2:$CA$2, 0)+1), "")</f>
        <v/>
      </c>
      <c r="AJ43" s="206" t="str">
        <f>IF(AND($A43&gt;=SYear_O, $A43&lt;=EYear_O, AJ$3&gt;0), AJ$3 * VLOOKUP($A43, Data_All!$A$8:$CA$153, MATCH(AJ$2, Data_All!$B$2:$CA$2, 0)+1), "")</f>
        <v/>
      </c>
      <c r="AK43" s="206" t="str">
        <f>IF(AND($A43&gt;=SYear_O, $A43&lt;=EYear_O, AK$3&gt;0), AK$3 * VLOOKUP($A43, Data_All!$A$8:$CA$153, MATCH(AK$2, Data_All!$B$2:$CA$2, 0)+1), "")</f>
        <v/>
      </c>
      <c r="AL43" s="206" t="str">
        <f>IF(AND($A43&gt;=SYear_O, $A43&lt;=EYear_O, AL$3&gt;0), AL$3 * VLOOKUP($A43, Data_All!$A$8:$CA$153, MATCH(AL$2, Data_All!$B$2:$CA$2, 0)+1), "")</f>
        <v/>
      </c>
      <c r="AM43" s="206" t="str">
        <f>IF(AND($A43&gt;=SYear_O, $A43&lt;=EYear_O, AM$3&gt;0), AM$3 * VLOOKUP($A43, Data_All!$A$8:$CA$153, MATCH(AM$2, Data_All!$B$2:$CA$2, 0)+1), "")</f>
        <v/>
      </c>
      <c r="AN43" s="206" t="str">
        <f>IF(AND($A43&gt;=SYear_O, $A43&lt;=EYear_O, AN$3&gt;0), AN$3 * VLOOKUP($A43, Data_All!$A$8:$CA$153, MATCH(AN$2, Data_All!$B$2:$CA$2, 0)+1), "")</f>
        <v/>
      </c>
      <c r="AO43" s="206" t="str">
        <f>IF(AND($A43&gt;=SYear_O, $A43&lt;=EYear_O, AO$3&gt;0), AO$3 * VLOOKUP($A43, Data_All!$A$8:$CA$153, MATCH(AO$2, Data_All!$B$2:$CA$2, 0)+1), "")</f>
        <v/>
      </c>
      <c r="AP43" s="206" t="str">
        <f>IF(AND($A43&gt;=SYear_O, $A43&lt;=EYear_O, AP$3&gt;0), AP$3 * VLOOKUP($A43, Data_All!$A$8:$CA$153, MATCH(AP$2, Data_All!$B$2:$CA$2, 0)+1), "")</f>
        <v/>
      </c>
      <c r="AQ43" s="206" t="str">
        <f>IF(AND($A43&gt;=SYear_O, $A43&lt;=EYear_O, AQ$3&gt;0), AQ$3 * VLOOKUP($A43, Data_All!$A$8:$CA$153, MATCH(AQ$2, Data_All!$B$2:$CA$2, 0)+1), "")</f>
        <v/>
      </c>
      <c r="AR43" s="206" t="str">
        <f>IF(AND($A43&gt;=SYear_O, $A43&lt;=EYear_O, AR$3&gt;0), AR$3 * VLOOKUP($A43, Data_All!$A$8:$CA$153, MATCH(AR$2, Data_All!$B$2:$CA$2, 0)+1), "")</f>
        <v/>
      </c>
      <c r="AS43" s="206" t="str">
        <f>IF(AND($A43&gt;=SYear_O, $A43&lt;=EYear_O, AS$3&gt;0), AS$3 * VLOOKUP($A43, Data_All!$A$8:$CA$153, MATCH(AS$2, Data_All!$B$2:$CA$2, 0)+1), "")</f>
        <v/>
      </c>
      <c r="AT43" s="206" t="str">
        <f>IF(AND($A43&gt;=SYear_O, $A43&lt;=EYear_O, AT$3&gt;0), AT$3 * VLOOKUP($A43, Data_All!$A$8:$CA$153, MATCH(AT$2, Data_All!$B$2:$CA$2, 0)+1), "")</f>
        <v/>
      </c>
      <c r="AU43" s="206" t="str">
        <f>IF(AND($A43&gt;=SYear_O, $A43&lt;=EYear_O, AU$3&gt;0), AU$3 * VLOOKUP($A43, Data_All!$A$8:$CA$153, MATCH(AU$2, Data_All!$B$2:$CA$2, 0)+1), "")</f>
        <v/>
      </c>
      <c r="AV43" s="206" t="str">
        <f>IF(AND($A43&gt;=SYear_O, $A43&lt;=EYear_O, AV$3&gt;0), AV$3 * VLOOKUP($A43, Data_All!$A$8:$CA$153, MATCH(AV$2, Data_All!$B$2:$CA$2, 0)+1), "")</f>
        <v/>
      </c>
      <c r="AW43" s="206" t="str">
        <f>IF(AND($A43&gt;=SYear_O, $A43&lt;=EYear_O, AW$3&gt;0), AW$3 * VLOOKUP($A43, Data_All!$A$8:$CA$153, MATCH(AW$2, Data_All!$B$2:$CA$2, 0)+1), "")</f>
        <v/>
      </c>
      <c r="AX43" s="206" t="str">
        <f>IF(AND($A43&gt;=SYear_O, $A43&lt;=EYear_O, AX$3&gt;0), AX$3 * VLOOKUP($A43, Data_All!$A$8:$CA$153, MATCH(AX$2, Data_All!$B$2:$CA$2, 0)+1), "")</f>
        <v/>
      </c>
      <c r="AY43" s="206" t="str">
        <f>IF(AND($A43&gt;=SYear_O, $A43&lt;=EYear_O, AY$3&gt;0), AY$3 * VLOOKUP($A43, Data_All!$A$8:$CA$153, MATCH(AY$2, Data_All!$B$2:$CA$2, 0)+1), "")</f>
        <v/>
      </c>
      <c r="AZ43" s="206" t="str">
        <f>IF(AND($A43&gt;=SYear_O, $A43&lt;=EYear_O, AZ$3&gt;0), AZ$3 * VLOOKUP($A43, Data_All!$A$8:$CA$153, MATCH(AZ$2, Data_All!$B$2:$CA$2, 0)+1), "")</f>
        <v/>
      </c>
      <c r="BA43" s="206" t="str">
        <f>IF(AND($A43&gt;=SYear_O, $A43&lt;=EYear_O, BA$3&gt;0), BA$3 * VLOOKUP($A43, Data_All!$A$8:$CA$153, MATCH(BA$2, Data_All!$B$2:$CA$2, 0)+1), "")</f>
        <v/>
      </c>
      <c r="BB43" s="206" t="str">
        <f>IF(AND($A43&gt;=SYear_O, $A43&lt;=EYear_O, BB$3&gt;0), BB$3 * VLOOKUP($A43, Data_All!$A$8:$CA$153, MATCH(BB$2, Data_All!$B$2:$CA$2, 0)+1), "")</f>
        <v/>
      </c>
      <c r="BC43" s="206" t="str">
        <f>IF(AND($A43&gt;=SYear_O, $A43&lt;=EYear_O, BC$3&gt;0), BC$3 * VLOOKUP($A43, Data_All!$A$8:$CA$153, MATCH(BC$2, Data_All!$B$2:$CA$2, 0)+1), "")</f>
        <v/>
      </c>
      <c r="BD43" s="206" t="str">
        <f>IF(AND($A43&gt;=SYear_O, $A43&lt;=EYear_O, BD$3&gt;0), BD$3 * VLOOKUP($A43, Data_All!$A$8:$CA$153, MATCH(BD$2, Data_All!$B$2:$CA$2, 0)+1), "")</f>
        <v/>
      </c>
      <c r="BE43" s="206" t="str">
        <f>IF(AND($A43&gt;=SYear_O, $A43&lt;=EYear_O, BE$3&gt;0), BE$3 * VLOOKUP($A43, Data_All!$A$8:$CA$153, MATCH(BE$2, Data_All!$B$2:$CA$2, 0)+1), "")</f>
        <v/>
      </c>
      <c r="BF43" s="206" t="str">
        <f>IF(AND($A43&gt;=SYear_O, $A43&lt;=EYear_O, BF$3&gt;0), BF$3 * VLOOKUP($A43, Data_All!$A$8:$CA$153, MATCH(BF$2, Data_All!$B$2:$CA$2, 0)+1), "")</f>
        <v/>
      </c>
      <c r="BG43" s="206" t="str">
        <f>IF(AND($A43&gt;=SYear_O, $A43&lt;=EYear_O, BG$3&gt;0), BG$3 * VLOOKUP($A43, Data_All!$A$8:$CA$153, MATCH(BG$2, Data_All!$B$2:$CA$2, 0)+1), "")</f>
        <v/>
      </c>
      <c r="BH43" s="206" t="str">
        <f>IF(AND($A43&gt;=SYear_O, $A43&lt;=EYear_O, BH$3&gt;0), BH$3 * VLOOKUP($A43, Data_All!$A$8:$CA$153, MATCH(BH$2, Data_All!$B$2:$CA$2, 0)+1), "")</f>
        <v/>
      </c>
      <c r="BI43" s="206" t="str">
        <f>IF(AND($A43&gt;=SYear_O, $A43&lt;=EYear_O, BI$3&gt;0), BI$3 * VLOOKUP($A43, Data_All!$A$8:$CA$153, MATCH(BI$2, Data_All!$B$2:$CA$2, 0)+1), "")</f>
        <v/>
      </c>
      <c r="BJ43" s="206" t="str">
        <f>IF(AND($A43&gt;=SYear_O, $A43&lt;=EYear_O, BJ$3&gt;0), BJ$3 * VLOOKUP($A43, Data_All!$A$8:$CA$153, MATCH(BJ$2, Data_All!$B$2:$CA$2, 0)+1), "")</f>
        <v/>
      </c>
      <c r="BK43" s="206" t="str">
        <f>IF(AND($A43&gt;=SYear_O, $A43&lt;=EYear_O, BK$3&gt;0), BK$3 * VLOOKUP($A43, Data_All!$A$8:$CA$153, MATCH(BK$2, Data_All!$B$2:$CA$2, 0)+1), "")</f>
        <v/>
      </c>
      <c r="BL43" s="206" t="str">
        <f>IF(AND($A43&gt;=SYear_O, $A43&lt;=EYear_O, BL$3&gt;0), BL$3 * VLOOKUP($A43, Data_All!$A$8:$CA$153, MATCH(BL$2, Data_All!$B$2:$CA$2, 0)+1), "")</f>
        <v/>
      </c>
      <c r="BM43" s="206" t="str">
        <f>IF(AND($A43&gt;=SYear_O, $A43&lt;=EYear_O, BM$3&gt;0), BM$3 * VLOOKUP($A43, Data_All!$A$8:$CA$153, MATCH(BM$2, Data_All!$B$2:$CA$2, 0)+1), "")</f>
        <v/>
      </c>
      <c r="BN43" s="206" t="str">
        <f>IF(AND($A43&gt;=SYear_O, $A43&lt;=EYear_O, BN$3&gt;0), BN$3 * VLOOKUP($A43, Data_All!$A$8:$CA$153, MATCH(BN$2, Data_All!$B$2:$CA$2, 0)+1), "")</f>
        <v/>
      </c>
      <c r="BO43" s="206" t="str">
        <f>IF(AND($A43&gt;=SYear_O, $A43&lt;=EYear_O, BO$3&gt;0), BO$3 * VLOOKUP($A43, Data_All!$A$8:$CA$153, MATCH(BO$2, Data_All!$B$2:$CA$2, 0)+1), "")</f>
        <v/>
      </c>
      <c r="BP43" s="206" t="str">
        <f>IF(AND($A43&gt;=SYear_O, $A43&lt;=EYear_O, BP$3&gt;0), BP$3 * VLOOKUP($A43, Data_All!$A$8:$CA$153, MATCH(BP$2, Data_All!$B$2:$CA$2, 0)+1), "")</f>
        <v/>
      </c>
      <c r="BQ43" s="206" t="str">
        <f>IF(AND($A43&gt;=SYear_O, $A43&lt;=EYear_O, BQ$3&gt;0), BQ$3 * VLOOKUP($A43, Data_All!$A$8:$CA$153, MATCH(BQ$2, Data_All!$B$2:$CA$2, 0)+1), "")</f>
        <v/>
      </c>
      <c r="BR43" s="206" t="str">
        <f>IF(AND($A43&gt;=SYear_O, $A43&lt;=EYear_O, BR$3&gt;0), BR$3 * VLOOKUP($A43, Data_All!$A$8:$CA$153, MATCH(BR$2, Data_All!$B$2:$CA$2, 0)+1), "")</f>
        <v/>
      </c>
      <c r="BS43" s="206" t="str">
        <f>IF(AND($A43&gt;=SYear_O, $A43&lt;=EYear_O, BS$3&gt;0), BS$3 * VLOOKUP($A43, Data_All!$A$8:$CA$153, MATCH(BS$2, Data_All!$B$2:$CA$2, 0)+1), "")</f>
        <v/>
      </c>
      <c r="BT43" s="206" t="str">
        <f>IF(AND($A43&gt;=SYear_O, $A43&lt;=EYear_O, BT$3&gt;0), BT$3 * VLOOKUP($A43, Data_All!$A$8:$CA$153, MATCH(BT$2, Data_All!$B$2:$CA$2, 0)+1), "")</f>
        <v/>
      </c>
      <c r="BU43" s="206" t="str">
        <f>IF(AND($A43&gt;=SYear_O, $A43&lt;=EYear_O, BU$3&gt;0), BU$3 * VLOOKUP($A43, Data_All!$A$8:$CA$153, MATCH(BU$2, Data_All!$B$2:$CA$2, 0)+1), "")</f>
        <v/>
      </c>
      <c r="BV43" s="206" t="str">
        <f>IF(AND($A43&gt;=SYear_O, $A43&lt;=EYear_O, BV$3&gt;0), BV$3 * VLOOKUP($A43, Data_All!$A$8:$CA$153, MATCH(BV$2, Data_All!$B$2:$CA$2, 0)+1), "")</f>
        <v/>
      </c>
      <c r="BW43" s="206" t="str">
        <f>IF(AND($A43&gt;=SYear_O, $A43&lt;=EYear_O, BW$3&gt;0), BW$3 * VLOOKUP($A43, Data_All!$A$8:$CA$153, MATCH(BW$2, Data_All!$B$2:$CA$2, 0)+1), "")</f>
        <v/>
      </c>
      <c r="BX43" s="206">
        <f>IF(AND($A43&gt;=SYear_O, $A43&lt;=EYear_O, BX$3&gt;0), BX$3 * VLOOKUP($A43, Data_All!$A$8:$CA$153, MATCH(BX$2, Data_All!$B$2:$CA$2, 0)+1), "")</f>
        <v>-14.246861924686193</v>
      </c>
      <c r="BY43" s="206">
        <f>IF(AND($A43&gt;=SYear_O, $A43&lt;=EYear_O, BY$3&gt;0), BY$3 * VLOOKUP($A43, Data_All!$A$8:$CA$153, MATCH(BY$2, Data_All!$B$2:$CA$2, 0)+1), "")</f>
        <v>1.8118146966898152</v>
      </c>
      <c r="BZ43" s="206" t="str">
        <f>IF(AND($A43&gt;=SYear_O, $A43&lt;=EYear_O, BZ$3&gt;0), BZ$3 * VLOOKUP($A43, Data_All!$A$8:$CA$153, MATCH(BZ$2, Data_All!$B$2:$CA$2, 0)+1), "")</f>
        <v/>
      </c>
      <c r="CA43" s="565">
        <f t="shared" si="19"/>
        <v>-12.435047227996378</v>
      </c>
      <c r="CB43" s="427">
        <f t="shared" si="20"/>
        <v>73890.385618577915</v>
      </c>
      <c r="CC43" s="565">
        <f>IF(AND($A43&gt;=SYear_O,$A43&lt;=EYear_O),(CA43-Data_All!CA44)/(1+Data_All!CA44%),"")</f>
        <v>-10.510965691875576</v>
      </c>
      <c r="CD43" s="436">
        <f t="shared" si="21"/>
        <v>106369.4468459253</v>
      </c>
      <c r="CE43" s="438">
        <f t="shared" si="22"/>
        <v>6.7018017277808797</v>
      </c>
      <c r="CF43" s="438">
        <f>IF(AND($A43&gt;=SYear_O,$A43&lt;=EYear_O),MAX($CE$7:CE43),"")</f>
        <v>7.6535206331129189</v>
      </c>
      <c r="CG43" s="209">
        <f t="shared" si="23"/>
        <v>0.12435047227996388</v>
      </c>
      <c r="CI43" s="143">
        <f>IF(AND($A43&gt;=SYear_O,$A43&lt;=EYear_O),Data_All!V44,"")</f>
        <v>6.134478968927966</v>
      </c>
      <c r="CJ43" s="143">
        <f>IF(AND($A43&gt;=SYear_O,$A43&lt;=EYear_O),Data_All!CA44,"")</f>
        <v>-2.1500752030644277</v>
      </c>
      <c r="CK43" s="143">
        <f t="shared" si="24"/>
        <v>8.4665922729987084</v>
      </c>
      <c r="CN43" s="61">
        <f t="shared" si="25"/>
        <v>-0.12435047227996376</v>
      </c>
      <c r="CO43" s="61">
        <f t="shared" si="26"/>
        <v>6.5427233062858692E-2</v>
      </c>
      <c r="CP43" s="61">
        <f t="shared" si="27"/>
        <v>4.6379758141165794E-2</v>
      </c>
      <c r="CQ43" s="61">
        <f t="shared" si="28"/>
        <v>5.1573379337952696E-2</v>
      </c>
      <c r="CR43" s="61">
        <f t="shared" si="29"/>
        <v>4.4299330635766188E-2</v>
      </c>
      <c r="CU43" s="61">
        <f t="shared" si="30"/>
        <v>-0.10510965691875573</v>
      </c>
      <c r="CV43" s="61">
        <f t="shared" si="31"/>
        <v>2.6453964003619213E-2</v>
      </c>
      <c r="CW43" s="61">
        <f t="shared" si="32"/>
        <v>3.9755200307510341E-2</v>
      </c>
      <c r="CX43" s="61">
        <f t="shared" si="33"/>
        <v>2.2605224913494704E-2</v>
      </c>
      <c r="CY43" s="61">
        <f t="shared" si="34"/>
        <v>2.0854258401103998E-4</v>
      </c>
    </row>
    <row r="44" spans="1:103">
      <c r="A44" s="204">
        <f t="shared" si="18"/>
        <v>1908</v>
      </c>
      <c r="B44" s="206" t="str">
        <f>IF(AND($A44&gt;=SYear_O, $A44&lt;=EYear_O, B$3&gt;0), B$3 * VLOOKUP($A44, Data_All!$A$8:$CA$153, MATCH(B$2, Data_All!$B$2:$CA$2, 0)+1), "")</f>
        <v/>
      </c>
      <c r="C44" s="206" t="str">
        <f>IF(AND($A44&gt;=SYear_O, $A44&lt;=EYear_O, C$3&gt;0), C$3 * VLOOKUP($A44, Data_All!$A$8:$CA$153, MATCH(C$2, Data_All!$B$2:$CA$2, 0)+1), "")</f>
        <v/>
      </c>
      <c r="D44" s="206" t="str">
        <f>IF(AND($A44&gt;=SYear_O, $A44&lt;=EYear_O, D$3&gt;0), D$3 * VLOOKUP($A44, Data_All!$A$8:$CA$153, MATCH(D$2, Data_All!$B$2:$CA$2, 0)+1), "")</f>
        <v/>
      </c>
      <c r="E44" s="206" t="str">
        <f>IF(AND($A44&gt;=SYear_O, $A44&lt;=EYear_O, E$3&gt;0), E$3 * VLOOKUP($A44, Data_All!$A$8:$CA$153, MATCH(E$2, Data_All!$B$2:$CA$2, 0)+1), "")</f>
        <v/>
      </c>
      <c r="F44" s="206" t="str">
        <f>IF(AND($A44&gt;=SYear_O, $A44&lt;=EYear_O, F$3&gt;0), F$3 * VLOOKUP($A44, Data_All!$A$8:$CA$153, MATCH(F$2, Data_All!$B$2:$CA$2, 0)+1), "")</f>
        <v/>
      </c>
      <c r="G44" s="206" t="str">
        <f>IF(AND($A44&gt;=SYear_O, $A44&lt;=EYear_O, G$3&gt;0), G$3 * VLOOKUP($A44, Data_All!$A$8:$CA$153, MATCH(G$2, Data_All!$B$2:$CA$2, 0)+1), "")</f>
        <v/>
      </c>
      <c r="H44" s="206" t="str">
        <f>IF(AND($A44&gt;=SYear_O, $A44&lt;=EYear_O, H$3&gt;0), H$3 * VLOOKUP($A44, Data_All!$A$8:$CA$153, MATCH(H$2, Data_All!$B$2:$CA$2, 0)+1), "")</f>
        <v/>
      </c>
      <c r="I44" s="206" t="str">
        <f>IF(AND($A44&gt;=SYear_O, $A44&lt;=EYear_O, I$3&gt;0), I$3 * VLOOKUP($A44, Data_All!$A$8:$CA$153, MATCH(I$2, Data_All!$B$2:$CA$2, 0)+1), "")</f>
        <v/>
      </c>
      <c r="J44" s="206" t="str">
        <f>IF(AND($A44&gt;=SYear_O, $A44&lt;=EYear_O, J$3&gt;0), J$3 * VLOOKUP($A44, Data_All!$A$8:$CA$153, MATCH(J$2, Data_All!$B$2:$CA$2, 0)+1), "")</f>
        <v/>
      </c>
      <c r="K44" s="206" t="str">
        <f>IF(AND($A44&gt;=SYear_O, $A44&lt;=EYear_O, K$3&gt;0), K$3 * VLOOKUP($A44, Data_All!$A$8:$CA$153, MATCH(K$2, Data_All!$B$2:$CA$2, 0)+1), "")</f>
        <v/>
      </c>
      <c r="L44" s="206" t="str">
        <f>IF(AND($A44&gt;=SYear_O, $A44&lt;=EYear_O, L$3&gt;0), L$3 * VLOOKUP($A44, Data_All!$A$8:$CA$153, MATCH(L$2, Data_All!$B$2:$CA$2, 0)+1), "")</f>
        <v/>
      </c>
      <c r="M44" s="206" t="str">
        <f>IF(AND($A44&gt;=SYear_O, $A44&lt;=EYear_O, M$3&gt;0), M$3 * VLOOKUP($A44, Data_All!$A$8:$CA$153, MATCH(M$2, Data_All!$B$2:$CA$2, 0)+1), "")</f>
        <v/>
      </c>
      <c r="N44" s="206" t="str">
        <f>IF(AND($A44&gt;=SYear_O, $A44&lt;=EYear_O, N$3&gt;0), N$3 * VLOOKUP($A44, Data_All!$A$8:$CA$153, MATCH(N$2, Data_All!$B$2:$CA$2, 0)+1), "")</f>
        <v/>
      </c>
      <c r="O44" s="206" t="str">
        <f>IF(AND($A44&gt;=SYear_O, $A44&lt;=EYear_O, O$3&gt;0), O$3 * VLOOKUP($A44, Data_All!$A$8:$CA$153, MATCH(O$2, Data_All!$B$2:$CA$2, 0)+1), "")</f>
        <v/>
      </c>
      <c r="P44" s="206" t="str">
        <f>IF(AND($A44&gt;=SYear_O, $A44&lt;=EYear_O, P$3&gt;0), P$3 * VLOOKUP($A44, Data_All!$A$8:$CA$153, MATCH(P$2, Data_All!$B$2:$CA$2, 0)+1), "")</f>
        <v/>
      </c>
      <c r="Q44" s="206" t="str">
        <f>IF(AND($A44&gt;=SYear_O, $A44&lt;=EYear_O, Q$3&gt;0), Q$3 * VLOOKUP($A44, Data_All!$A$8:$CA$153, MATCH(Q$2, Data_All!$B$2:$CA$2, 0)+1), "")</f>
        <v/>
      </c>
      <c r="R44" s="206" t="str">
        <f>IF(AND($A44&gt;=SYear_O, $A44&lt;=EYear_O, R$3&gt;0), R$3 * VLOOKUP($A44, Data_All!$A$8:$CA$153, MATCH(R$2, Data_All!$B$2:$CA$2, 0)+1), "")</f>
        <v/>
      </c>
      <c r="S44" s="206" t="str">
        <f>IF(AND($A44&gt;=SYear_O, $A44&lt;=EYear_O, S$3&gt;0), S$3 * VLOOKUP($A44, Data_All!$A$8:$CA$153, MATCH(S$2, Data_All!$B$2:$CA$2, 0)+1), "")</f>
        <v/>
      </c>
      <c r="T44" s="206" t="str">
        <f>IF(AND($A44&gt;=SYear_O, $A44&lt;=EYear_O, T$3&gt;0), T$3 * VLOOKUP($A44, Data_All!$A$8:$CA$153, MATCH(T$2, Data_All!$B$2:$CA$2, 0)+1), "")</f>
        <v/>
      </c>
      <c r="U44" s="206" t="str">
        <f>IF(AND($A44&gt;=SYear_O, $A44&lt;=EYear_O, U$3&gt;0), U$3 * VLOOKUP($A44, Data_All!$A$8:$CA$153, MATCH(U$2, Data_All!$B$2:$CA$2, 0)+1), "")</f>
        <v/>
      </c>
      <c r="V44" s="206" t="str">
        <f>IF(AND($A44&gt;=SYear_O, $A44&lt;=EYear_O, V$3&gt;0), V$3 * VLOOKUP($A44, Data_All!$A$8:$CA$153, MATCH(V$2, Data_All!$B$2:$CA$2, 0)+1), "")</f>
        <v/>
      </c>
      <c r="W44" s="206" t="str">
        <f>IF(AND($A44&gt;=SYear_O, $A44&lt;=EYear_O, W$3&gt;0), W$3 * VLOOKUP($A44, Data_All!$A$8:$CA$153, MATCH(W$2, Data_All!$B$2:$CA$2, 0)+1), "")</f>
        <v/>
      </c>
      <c r="X44" s="206" t="str">
        <f>IF(AND($A44&gt;=SYear_O, $A44&lt;=EYear_O, X$3&gt;0), X$3 * VLOOKUP($A44, Data_All!$A$8:$CA$153, MATCH(X$2, Data_All!$B$2:$CA$2, 0)+1), "")</f>
        <v/>
      </c>
      <c r="Y44" s="206" t="str">
        <f>IF(AND($A44&gt;=SYear_O, $A44&lt;=EYear_O, Y$3&gt;0), Y$3 * VLOOKUP($A44, Data_All!$A$8:$CA$153, MATCH(Y$2, Data_All!$B$2:$CA$2, 0)+1), "")</f>
        <v/>
      </c>
      <c r="Z44" s="206" t="str">
        <f>IF(AND($A44&gt;=SYear_O, $A44&lt;=EYear_O, Z$3&gt;0), Z$3 * VLOOKUP($A44, Data_All!$A$8:$CA$153, MATCH(Z$2, Data_All!$B$2:$CA$2, 0)+1), "")</f>
        <v/>
      </c>
      <c r="AA44" s="206" t="str">
        <f>IF(AND($A44&gt;=SYear_O, $A44&lt;=EYear_O, AA$3&gt;0), AA$3 * VLOOKUP($A44, Data_All!$A$8:$CA$153, MATCH(AA$2, Data_All!$B$2:$CA$2, 0)+1), "")</f>
        <v/>
      </c>
      <c r="AB44" s="206" t="str">
        <f>IF(AND($A44&gt;=SYear_O, $A44&lt;=EYear_O, AB$3&gt;0), AB$3 * VLOOKUP($A44, Data_All!$A$8:$CA$153, MATCH(AB$2, Data_All!$B$2:$CA$2, 0)+1), "")</f>
        <v/>
      </c>
      <c r="AC44" s="206" t="str">
        <f>IF(AND($A44&gt;=SYear_O, $A44&lt;=EYear_O, AC$3&gt;0), AC$3 * VLOOKUP($A44, Data_All!$A$8:$CA$153, MATCH(AC$2, Data_All!$B$2:$CA$2, 0)+1), "")</f>
        <v/>
      </c>
      <c r="AD44" s="206" t="str">
        <f>IF(AND($A44&gt;=SYear_O, $A44&lt;=EYear_O, AD$3&gt;0), AD$3 * VLOOKUP($A44, Data_All!$A$8:$CA$153, MATCH(AD$2, Data_All!$B$2:$CA$2, 0)+1), "")</f>
        <v/>
      </c>
      <c r="AE44" s="206" t="str">
        <f>IF(AND($A44&gt;=SYear_O, $A44&lt;=EYear_O, AE$3&gt;0), AE$3 * VLOOKUP($A44, Data_All!$A$8:$CA$153, MATCH(AE$2, Data_All!$B$2:$CA$2, 0)+1), "")</f>
        <v/>
      </c>
      <c r="AF44" s="206" t="str">
        <f>IF(AND($A44&gt;=SYear_O, $A44&lt;=EYear_O, AF$3&gt;0), AF$3 * VLOOKUP($A44, Data_All!$A$8:$CA$153, MATCH(AF$2, Data_All!$B$2:$CA$2, 0)+1), "")</f>
        <v/>
      </c>
      <c r="AG44" s="206" t="str">
        <f>IF(AND($A44&gt;=SYear_O, $A44&lt;=EYear_O, AG$3&gt;0), AG$3 * VLOOKUP($A44, Data_All!$A$8:$CA$153, MATCH(AG$2, Data_All!$B$2:$CA$2, 0)+1), "")</f>
        <v/>
      </c>
      <c r="AH44" s="206" t="str">
        <f>IF(AND($A44&gt;=SYear_O, $A44&lt;=EYear_O, AH$3&gt;0), AH$3 * VLOOKUP($A44, Data_All!$A$8:$CA$153, MATCH(AH$2, Data_All!$B$2:$CA$2, 0)+1), "")</f>
        <v/>
      </c>
      <c r="AI44" s="206" t="str">
        <f>IF(AND($A44&gt;=SYear_O, $A44&lt;=EYear_O, AI$3&gt;0), AI$3 * VLOOKUP($A44, Data_All!$A$8:$CA$153, MATCH(AI$2, Data_All!$B$2:$CA$2, 0)+1), "")</f>
        <v/>
      </c>
      <c r="AJ44" s="206" t="str">
        <f>IF(AND($A44&gt;=SYear_O, $A44&lt;=EYear_O, AJ$3&gt;0), AJ$3 * VLOOKUP($A44, Data_All!$A$8:$CA$153, MATCH(AJ$2, Data_All!$B$2:$CA$2, 0)+1), "")</f>
        <v/>
      </c>
      <c r="AK44" s="206" t="str">
        <f>IF(AND($A44&gt;=SYear_O, $A44&lt;=EYear_O, AK$3&gt;0), AK$3 * VLOOKUP($A44, Data_All!$A$8:$CA$153, MATCH(AK$2, Data_All!$B$2:$CA$2, 0)+1), "")</f>
        <v/>
      </c>
      <c r="AL44" s="206" t="str">
        <f>IF(AND($A44&gt;=SYear_O, $A44&lt;=EYear_O, AL$3&gt;0), AL$3 * VLOOKUP($A44, Data_All!$A$8:$CA$153, MATCH(AL$2, Data_All!$B$2:$CA$2, 0)+1), "")</f>
        <v/>
      </c>
      <c r="AM44" s="206" t="str">
        <f>IF(AND($A44&gt;=SYear_O, $A44&lt;=EYear_O, AM$3&gt;0), AM$3 * VLOOKUP($A44, Data_All!$A$8:$CA$153, MATCH(AM$2, Data_All!$B$2:$CA$2, 0)+1), "")</f>
        <v/>
      </c>
      <c r="AN44" s="206" t="str">
        <f>IF(AND($A44&gt;=SYear_O, $A44&lt;=EYear_O, AN$3&gt;0), AN$3 * VLOOKUP($A44, Data_All!$A$8:$CA$153, MATCH(AN$2, Data_All!$B$2:$CA$2, 0)+1), "")</f>
        <v/>
      </c>
      <c r="AO44" s="206" t="str">
        <f>IF(AND($A44&gt;=SYear_O, $A44&lt;=EYear_O, AO$3&gt;0), AO$3 * VLOOKUP($A44, Data_All!$A$8:$CA$153, MATCH(AO$2, Data_All!$B$2:$CA$2, 0)+1), "")</f>
        <v/>
      </c>
      <c r="AP44" s="206" t="str">
        <f>IF(AND($A44&gt;=SYear_O, $A44&lt;=EYear_O, AP$3&gt;0), AP$3 * VLOOKUP($A44, Data_All!$A$8:$CA$153, MATCH(AP$2, Data_All!$B$2:$CA$2, 0)+1), "")</f>
        <v/>
      </c>
      <c r="AQ44" s="206" t="str">
        <f>IF(AND($A44&gt;=SYear_O, $A44&lt;=EYear_O, AQ$3&gt;0), AQ$3 * VLOOKUP($A44, Data_All!$A$8:$CA$153, MATCH(AQ$2, Data_All!$B$2:$CA$2, 0)+1), "")</f>
        <v/>
      </c>
      <c r="AR44" s="206" t="str">
        <f>IF(AND($A44&gt;=SYear_O, $A44&lt;=EYear_O, AR$3&gt;0), AR$3 * VLOOKUP($A44, Data_All!$A$8:$CA$153, MATCH(AR$2, Data_All!$B$2:$CA$2, 0)+1), "")</f>
        <v/>
      </c>
      <c r="AS44" s="206" t="str">
        <f>IF(AND($A44&gt;=SYear_O, $A44&lt;=EYear_O, AS$3&gt;0), AS$3 * VLOOKUP($A44, Data_All!$A$8:$CA$153, MATCH(AS$2, Data_All!$B$2:$CA$2, 0)+1), "")</f>
        <v/>
      </c>
      <c r="AT44" s="206" t="str">
        <f>IF(AND($A44&gt;=SYear_O, $A44&lt;=EYear_O, AT$3&gt;0), AT$3 * VLOOKUP($A44, Data_All!$A$8:$CA$153, MATCH(AT$2, Data_All!$B$2:$CA$2, 0)+1), "")</f>
        <v/>
      </c>
      <c r="AU44" s="206" t="str">
        <f>IF(AND($A44&gt;=SYear_O, $A44&lt;=EYear_O, AU$3&gt;0), AU$3 * VLOOKUP($A44, Data_All!$A$8:$CA$153, MATCH(AU$2, Data_All!$B$2:$CA$2, 0)+1), "")</f>
        <v/>
      </c>
      <c r="AV44" s="206" t="str">
        <f>IF(AND($A44&gt;=SYear_O, $A44&lt;=EYear_O, AV$3&gt;0), AV$3 * VLOOKUP($A44, Data_All!$A$8:$CA$153, MATCH(AV$2, Data_All!$B$2:$CA$2, 0)+1), "")</f>
        <v/>
      </c>
      <c r="AW44" s="206" t="str">
        <f>IF(AND($A44&gt;=SYear_O, $A44&lt;=EYear_O, AW$3&gt;0), AW$3 * VLOOKUP($A44, Data_All!$A$8:$CA$153, MATCH(AW$2, Data_All!$B$2:$CA$2, 0)+1), "")</f>
        <v/>
      </c>
      <c r="AX44" s="206" t="str">
        <f>IF(AND($A44&gt;=SYear_O, $A44&lt;=EYear_O, AX$3&gt;0), AX$3 * VLOOKUP($A44, Data_All!$A$8:$CA$153, MATCH(AX$2, Data_All!$B$2:$CA$2, 0)+1), "")</f>
        <v/>
      </c>
      <c r="AY44" s="206" t="str">
        <f>IF(AND($A44&gt;=SYear_O, $A44&lt;=EYear_O, AY$3&gt;0), AY$3 * VLOOKUP($A44, Data_All!$A$8:$CA$153, MATCH(AY$2, Data_All!$B$2:$CA$2, 0)+1), "")</f>
        <v/>
      </c>
      <c r="AZ44" s="206" t="str">
        <f>IF(AND($A44&gt;=SYear_O, $A44&lt;=EYear_O, AZ$3&gt;0), AZ$3 * VLOOKUP($A44, Data_All!$A$8:$CA$153, MATCH(AZ$2, Data_All!$B$2:$CA$2, 0)+1), "")</f>
        <v/>
      </c>
      <c r="BA44" s="206" t="str">
        <f>IF(AND($A44&gt;=SYear_O, $A44&lt;=EYear_O, BA$3&gt;0), BA$3 * VLOOKUP($A44, Data_All!$A$8:$CA$153, MATCH(BA$2, Data_All!$B$2:$CA$2, 0)+1), "")</f>
        <v/>
      </c>
      <c r="BB44" s="206" t="str">
        <f>IF(AND($A44&gt;=SYear_O, $A44&lt;=EYear_O, BB$3&gt;0), BB$3 * VLOOKUP($A44, Data_All!$A$8:$CA$153, MATCH(BB$2, Data_All!$B$2:$CA$2, 0)+1), "")</f>
        <v/>
      </c>
      <c r="BC44" s="206" t="str">
        <f>IF(AND($A44&gt;=SYear_O, $A44&lt;=EYear_O, BC$3&gt;0), BC$3 * VLOOKUP($A44, Data_All!$A$8:$CA$153, MATCH(BC$2, Data_All!$B$2:$CA$2, 0)+1), "")</f>
        <v/>
      </c>
      <c r="BD44" s="206" t="str">
        <f>IF(AND($A44&gt;=SYear_O, $A44&lt;=EYear_O, BD$3&gt;0), BD$3 * VLOOKUP($A44, Data_All!$A$8:$CA$153, MATCH(BD$2, Data_All!$B$2:$CA$2, 0)+1), "")</f>
        <v/>
      </c>
      <c r="BE44" s="206" t="str">
        <f>IF(AND($A44&gt;=SYear_O, $A44&lt;=EYear_O, BE$3&gt;0), BE$3 * VLOOKUP($A44, Data_All!$A$8:$CA$153, MATCH(BE$2, Data_All!$B$2:$CA$2, 0)+1), "")</f>
        <v/>
      </c>
      <c r="BF44" s="206" t="str">
        <f>IF(AND($A44&gt;=SYear_O, $A44&lt;=EYear_O, BF$3&gt;0), BF$3 * VLOOKUP($A44, Data_All!$A$8:$CA$153, MATCH(BF$2, Data_All!$B$2:$CA$2, 0)+1), "")</f>
        <v/>
      </c>
      <c r="BG44" s="206" t="str">
        <f>IF(AND($A44&gt;=SYear_O, $A44&lt;=EYear_O, BG$3&gt;0), BG$3 * VLOOKUP($A44, Data_All!$A$8:$CA$153, MATCH(BG$2, Data_All!$B$2:$CA$2, 0)+1), "")</f>
        <v/>
      </c>
      <c r="BH44" s="206" t="str">
        <f>IF(AND($A44&gt;=SYear_O, $A44&lt;=EYear_O, BH$3&gt;0), BH$3 * VLOOKUP($A44, Data_All!$A$8:$CA$153, MATCH(BH$2, Data_All!$B$2:$CA$2, 0)+1), "")</f>
        <v/>
      </c>
      <c r="BI44" s="206" t="str">
        <f>IF(AND($A44&gt;=SYear_O, $A44&lt;=EYear_O, BI$3&gt;0), BI$3 * VLOOKUP($A44, Data_All!$A$8:$CA$153, MATCH(BI$2, Data_All!$B$2:$CA$2, 0)+1), "")</f>
        <v/>
      </c>
      <c r="BJ44" s="206" t="str">
        <f>IF(AND($A44&gt;=SYear_O, $A44&lt;=EYear_O, BJ$3&gt;0), BJ$3 * VLOOKUP($A44, Data_All!$A$8:$CA$153, MATCH(BJ$2, Data_All!$B$2:$CA$2, 0)+1), "")</f>
        <v/>
      </c>
      <c r="BK44" s="206" t="str">
        <f>IF(AND($A44&gt;=SYear_O, $A44&lt;=EYear_O, BK$3&gt;0), BK$3 * VLOOKUP($A44, Data_All!$A$8:$CA$153, MATCH(BK$2, Data_All!$B$2:$CA$2, 0)+1), "")</f>
        <v/>
      </c>
      <c r="BL44" s="206" t="str">
        <f>IF(AND($A44&gt;=SYear_O, $A44&lt;=EYear_O, BL$3&gt;0), BL$3 * VLOOKUP($A44, Data_All!$A$8:$CA$153, MATCH(BL$2, Data_All!$B$2:$CA$2, 0)+1), "")</f>
        <v/>
      </c>
      <c r="BM44" s="206" t="str">
        <f>IF(AND($A44&gt;=SYear_O, $A44&lt;=EYear_O, BM$3&gt;0), BM$3 * VLOOKUP($A44, Data_All!$A$8:$CA$153, MATCH(BM$2, Data_All!$B$2:$CA$2, 0)+1), "")</f>
        <v/>
      </c>
      <c r="BN44" s="206" t="str">
        <f>IF(AND($A44&gt;=SYear_O, $A44&lt;=EYear_O, BN$3&gt;0), BN$3 * VLOOKUP($A44, Data_All!$A$8:$CA$153, MATCH(BN$2, Data_All!$B$2:$CA$2, 0)+1), "")</f>
        <v/>
      </c>
      <c r="BO44" s="206" t="str">
        <f>IF(AND($A44&gt;=SYear_O, $A44&lt;=EYear_O, BO$3&gt;0), BO$3 * VLOOKUP($A44, Data_All!$A$8:$CA$153, MATCH(BO$2, Data_All!$B$2:$CA$2, 0)+1), "")</f>
        <v/>
      </c>
      <c r="BP44" s="206" t="str">
        <f>IF(AND($A44&gt;=SYear_O, $A44&lt;=EYear_O, BP$3&gt;0), BP$3 * VLOOKUP($A44, Data_All!$A$8:$CA$153, MATCH(BP$2, Data_All!$B$2:$CA$2, 0)+1), "")</f>
        <v/>
      </c>
      <c r="BQ44" s="206" t="str">
        <f>IF(AND($A44&gt;=SYear_O, $A44&lt;=EYear_O, BQ$3&gt;0), BQ$3 * VLOOKUP($A44, Data_All!$A$8:$CA$153, MATCH(BQ$2, Data_All!$B$2:$CA$2, 0)+1), "")</f>
        <v/>
      </c>
      <c r="BR44" s="206" t="str">
        <f>IF(AND($A44&gt;=SYear_O, $A44&lt;=EYear_O, BR$3&gt;0), BR$3 * VLOOKUP($A44, Data_All!$A$8:$CA$153, MATCH(BR$2, Data_All!$B$2:$CA$2, 0)+1), "")</f>
        <v/>
      </c>
      <c r="BS44" s="206" t="str">
        <f>IF(AND($A44&gt;=SYear_O, $A44&lt;=EYear_O, BS$3&gt;0), BS$3 * VLOOKUP($A44, Data_All!$A$8:$CA$153, MATCH(BS$2, Data_All!$B$2:$CA$2, 0)+1), "")</f>
        <v/>
      </c>
      <c r="BT44" s="206" t="str">
        <f>IF(AND($A44&gt;=SYear_O, $A44&lt;=EYear_O, BT$3&gt;0), BT$3 * VLOOKUP($A44, Data_All!$A$8:$CA$153, MATCH(BT$2, Data_All!$B$2:$CA$2, 0)+1), "")</f>
        <v/>
      </c>
      <c r="BU44" s="206" t="str">
        <f>IF(AND($A44&gt;=SYear_O, $A44&lt;=EYear_O, BU$3&gt;0), BU$3 * VLOOKUP($A44, Data_All!$A$8:$CA$153, MATCH(BU$2, Data_All!$B$2:$CA$2, 0)+1), "")</f>
        <v/>
      </c>
      <c r="BV44" s="206" t="str">
        <f>IF(AND($A44&gt;=SYear_O, $A44&lt;=EYear_O, BV$3&gt;0), BV$3 * VLOOKUP($A44, Data_All!$A$8:$CA$153, MATCH(BV$2, Data_All!$B$2:$CA$2, 0)+1), "")</f>
        <v/>
      </c>
      <c r="BW44" s="206" t="str">
        <f>IF(AND($A44&gt;=SYear_O, $A44&lt;=EYear_O, BW$3&gt;0), BW$3 * VLOOKUP($A44, Data_All!$A$8:$CA$153, MATCH(BW$2, Data_All!$B$2:$CA$2, 0)+1), "")</f>
        <v/>
      </c>
      <c r="BX44" s="206">
        <f>IF(AND($A44&gt;=SYear_O, $A44&lt;=EYear_O, BX$3&gt;0), BX$3 * VLOOKUP($A44, Data_All!$A$8:$CA$153, MATCH(BX$2, Data_All!$B$2:$CA$2, 0)+1), "")</f>
        <v>22.861313868613149</v>
      </c>
      <c r="BY44" s="206">
        <f>IF(AND($A44&gt;=SYear_O, $A44&lt;=EYear_O, BY$3&gt;0), BY$3 * VLOOKUP($A44, Data_All!$A$8:$CA$153, MATCH(BY$2, Data_All!$B$2:$CA$2, 0)+1), "")</f>
        <v>2.8536858136199061</v>
      </c>
      <c r="BZ44" s="206" t="str">
        <f>IF(AND($A44&gt;=SYear_O, $A44&lt;=EYear_O, BZ$3&gt;0), BZ$3 * VLOOKUP($A44, Data_All!$A$8:$CA$153, MATCH(BZ$2, Data_All!$B$2:$CA$2, 0)+1), "")</f>
        <v/>
      </c>
      <c r="CA44" s="565">
        <f t="shared" si="19"/>
        <v>25.714999682233056</v>
      </c>
      <c r="CB44" s="427">
        <f t="shared" si="20"/>
        <v>92891.298045596006</v>
      </c>
      <c r="CC44" s="565">
        <f>IF(AND($A44&gt;=SYear_O,$A44&lt;=EYear_O),(CA44-Data_All!CA45)/(1+Data_All!CA45%),"")</f>
        <v>21.703121291087196</v>
      </c>
      <c r="CD44" s="436">
        <f t="shared" si="21"/>
        <v>129454.93691155499</v>
      </c>
      <c r="CE44" s="438">
        <f t="shared" si="22"/>
        <v>8.4251700207836215</v>
      </c>
      <c r="CF44" s="438">
        <f>IF(AND($A44&gt;=SYear_O,$A44&lt;=EYear_O),MAX($CE$7:CE44),"")</f>
        <v>8.4251700207836215</v>
      </c>
      <c r="CG44" s="209">
        <f t="shared" si="23"/>
        <v>0</v>
      </c>
      <c r="CI44" s="143">
        <f>IF(AND($A44&gt;=SYear_O,$A44&lt;=EYear_O),Data_All!V45,"")</f>
        <v>5.2252972324907594</v>
      </c>
      <c r="CJ44" s="143">
        <f>IF(AND($A44&gt;=SYear_O,$A44&lt;=EYear_O),Data_All!CA45,"")</f>
        <v>3.2964465895252815</v>
      </c>
      <c r="CK44" s="143">
        <f t="shared" si="24"/>
        <v>1.8672962203920302</v>
      </c>
      <c r="CN44" s="61">
        <f t="shared" si="25"/>
        <v>0.25714999682233053</v>
      </c>
      <c r="CO44" s="61">
        <f t="shared" si="26"/>
        <v>0.11488774052299955</v>
      </c>
      <c r="CP44" s="61">
        <f t="shared" si="27"/>
        <v>8.414011014322198E-2</v>
      </c>
      <c r="CQ44" s="61">
        <f t="shared" si="28"/>
        <v>5.4048314098591899E-2</v>
      </c>
      <c r="CR44" s="61">
        <f t="shared" si="29"/>
        <v>6.5706891661649003E-2</v>
      </c>
      <c r="CU44" s="61">
        <f t="shared" si="30"/>
        <v>0.21703121291087202</v>
      </c>
      <c r="CV44" s="61">
        <f t="shared" si="31"/>
        <v>9.1411159031623113E-2</v>
      </c>
      <c r="CW44" s="61">
        <f t="shared" si="32"/>
        <v>5.7611871081112653E-2</v>
      </c>
      <c r="CX44" s="61">
        <f t="shared" si="33"/>
        <v>4.5944492603278153E-3</v>
      </c>
      <c r="CY44" s="61">
        <f t="shared" si="34"/>
        <v>1.9637646835348299E-2</v>
      </c>
    </row>
    <row r="45" spans="1:103">
      <c r="A45" s="204">
        <f t="shared" si="18"/>
        <v>1909</v>
      </c>
      <c r="B45" s="206" t="str">
        <f>IF(AND($A45&gt;=SYear_O, $A45&lt;=EYear_O, B$3&gt;0), B$3 * VLOOKUP($A45, Data_All!$A$8:$CA$153, MATCH(B$2, Data_All!$B$2:$CA$2, 0)+1), "")</f>
        <v/>
      </c>
      <c r="C45" s="206" t="str">
        <f>IF(AND($A45&gt;=SYear_O, $A45&lt;=EYear_O, C$3&gt;0), C$3 * VLOOKUP($A45, Data_All!$A$8:$CA$153, MATCH(C$2, Data_All!$B$2:$CA$2, 0)+1), "")</f>
        <v/>
      </c>
      <c r="D45" s="206" t="str">
        <f>IF(AND($A45&gt;=SYear_O, $A45&lt;=EYear_O, D$3&gt;0), D$3 * VLOOKUP($A45, Data_All!$A$8:$CA$153, MATCH(D$2, Data_All!$B$2:$CA$2, 0)+1), "")</f>
        <v/>
      </c>
      <c r="E45" s="206" t="str">
        <f>IF(AND($A45&gt;=SYear_O, $A45&lt;=EYear_O, E$3&gt;0), E$3 * VLOOKUP($A45, Data_All!$A$8:$CA$153, MATCH(E$2, Data_All!$B$2:$CA$2, 0)+1), "")</f>
        <v/>
      </c>
      <c r="F45" s="206" t="str">
        <f>IF(AND($A45&gt;=SYear_O, $A45&lt;=EYear_O, F$3&gt;0), F$3 * VLOOKUP($A45, Data_All!$A$8:$CA$153, MATCH(F$2, Data_All!$B$2:$CA$2, 0)+1), "")</f>
        <v/>
      </c>
      <c r="G45" s="206" t="str">
        <f>IF(AND($A45&gt;=SYear_O, $A45&lt;=EYear_O, G$3&gt;0), G$3 * VLOOKUP($A45, Data_All!$A$8:$CA$153, MATCH(G$2, Data_All!$B$2:$CA$2, 0)+1), "")</f>
        <v/>
      </c>
      <c r="H45" s="206" t="str">
        <f>IF(AND($A45&gt;=SYear_O, $A45&lt;=EYear_O, H$3&gt;0), H$3 * VLOOKUP($A45, Data_All!$A$8:$CA$153, MATCH(H$2, Data_All!$B$2:$CA$2, 0)+1), "")</f>
        <v/>
      </c>
      <c r="I45" s="206" t="str">
        <f>IF(AND($A45&gt;=SYear_O, $A45&lt;=EYear_O, I$3&gt;0), I$3 * VLOOKUP($A45, Data_All!$A$8:$CA$153, MATCH(I$2, Data_All!$B$2:$CA$2, 0)+1), "")</f>
        <v/>
      </c>
      <c r="J45" s="206" t="str">
        <f>IF(AND($A45&gt;=SYear_O, $A45&lt;=EYear_O, J$3&gt;0), J$3 * VLOOKUP($A45, Data_All!$A$8:$CA$153, MATCH(J$2, Data_All!$B$2:$CA$2, 0)+1), "")</f>
        <v/>
      </c>
      <c r="K45" s="206" t="str">
        <f>IF(AND($A45&gt;=SYear_O, $A45&lt;=EYear_O, K$3&gt;0), K$3 * VLOOKUP($A45, Data_All!$A$8:$CA$153, MATCH(K$2, Data_All!$B$2:$CA$2, 0)+1), "")</f>
        <v/>
      </c>
      <c r="L45" s="206" t="str">
        <f>IF(AND($A45&gt;=SYear_O, $A45&lt;=EYear_O, L$3&gt;0), L$3 * VLOOKUP($A45, Data_All!$A$8:$CA$153, MATCH(L$2, Data_All!$B$2:$CA$2, 0)+1), "")</f>
        <v/>
      </c>
      <c r="M45" s="206" t="str">
        <f>IF(AND($A45&gt;=SYear_O, $A45&lt;=EYear_O, M$3&gt;0), M$3 * VLOOKUP($A45, Data_All!$A$8:$CA$153, MATCH(M$2, Data_All!$B$2:$CA$2, 0)+1), "")</f>
        <v/>
      </c>
      <c r="N45" s="206" t="str">
        <f>IF(AND($A45&gt;=SYear_O, $A45&lt;=EYear_O, N$3&gt;0), N$3 * VLOOKUP($A45, Data_All!$A$8:$CA$153, MATCH(N$2, Data_All!$B$2:$CA$2, 0)+1), "")</f>
        <v/>
      </c>
      <c r="O45" s="206" t="str">
        <f>IF(AND($A45&gt;=SYear_O, $A45&lt;=EYear_O, O$3&gt;0), O$3 * VLOOKUP($A45, Data_All!$A$8:$CA$153, MATCH(O$2, Data_All!$B$2:$CA$2, 0)+1), "")</f>
        <v/>
      </c>
      <c r="P45" s="206" t="str">
        <f>IF(AND($A45&gt;=SYear_O, $A45&lt;=EYear_O, P$3&gt;0), P$3 * VLOOKUP($A45, Data_All!$A$8:$CA$153, MATCH(P$2, Data_All!$B$2:$CA$2, 0)+1), "")</f>
        <v/>
      </c>
      <c r="Q45" s="206" t="str">
        <f>IF(AND($A45&gt;=SYear_O, $A45&lt;=EYear_O, Q$3&gt;0), Q$3 * VLOOKUP($A45, Data_All!$A$8:$CA$153, MATCH(Q$2, Data_All!$B$2:$CA$2, 0)+1), "")</f>
        <v/>
      </c>
      <c r="R45" s="206" t="str">
        <f>IF(AND($A45&gt;=SYear_O, $A45&lt;=EYear_O, R$3&gt;0), R$3 * VLOOKUP($A45, Data_All!$A$8:$CA$153, MATCH(R$2, Data_All!$B$2:$CA$2, 0)+1), "")</f>
        <v/>
      </c>
      <c r="S45" s="206" t="str">
        <f>IF(AND($A45&gt;=SYear_O, $A45&lt;=EYear_O, S$3&gt;0), S$3 * VLOOKUP($A45, Data_All!$A$8:$CA$153, MATCH(S$2, Data_All!$B$2:$CA$2, 0)+1), "")</f>
        <v/>
      </c>
      <c r="T45" s="206" t="str">
        <f>IF(AND($A45&gt;=SYear_O, $A45&lt;=EYear_O, T$3&gt;0), T$3 * VLOOKUP($A45, Data_All!$A$8:$CA$153, MATCH(T$2, Data_All!$B$2:$CA$2, 0)+1), "")</f>
        <v/>
      </c>
      <c r="U45" s="206" t="str">
        <f>IF(AND($A45&gt;=SYear_O, $A45&lt;=EYear_O, U$3&gt;0), U$3 * VLOOKUP($A45, Data_All!$A$8:$CA$153, MATCH(U$2, Data_All!$B$2:$CA$2, 0)+1), "")</f>
        <v/>
      </c>
      <c r="V45" s="206" t="str">
        <f>IF(AND($A45&gt;=SYear_O, $A45&lt;=EYear_O, V$3&gt;0), V$3 * VLOOKUP($A45, Data_All!$A$8:$CA$153, MATCH(V$2, Data_All!$B$2:$CA$2, 0)+1), "")</f>
        <v/>
      </c>
      <c r="W45" s="206" t="str">
        <f>IF(AND($A45&gt;=SYear_O, $A45&lt;=EYear_O, W$3&gt;0), W$3 * VLOOKUP($A45, Data_All!$A$8:$CA$153, MATCH(W$2, Data_All!$B$2:$CA$2, 0)+1), "")</f>
        <v/>
      </c>
      <c r="X45" s="206" t="str">
        <f>IF(AND($A45&gt;=SYear_O, $A45&lt;=EYear_O, X$3&gt;0), X$3 * VLOOKUP($A45, Data_All!$A$8:$CA$153, MATCH(X$2, Data_All!$B$2:$CA$2, 0)+1), "")</f>
        <v/>
      </c>
      <c r="Y45" s="206" t="str">
        <f>IF(AND($A45&gt;=SYear_O, $A45&lt;=EYear_O, Y$3&gt;0), Y$3 * VLOOKUP($A45, Data_All!$A$8:$CA$153, MATCH(Y$2, Data_All!$B$2:$CA$2, 0)+1), "")</f>
        <v/>
      </c>
      <c r="Z45" s="206" t="str">
        <f>IF(AND($A45&gt;=SYear_O, $A45&lt;=EYear_O, Z$3&gt;0), Z$3 * VLOOKUP($A45, Data_All!$A$8:$CA$153, MATCH(Z$2, Data_All!$B$2:$CA$2, 0)+1), "")</f>
        <v/>
      </c>
      <c r="AA45" s="206" t="str">
        <f>IF(AND($A45&gt;=SYear_O, $A45&lt;=EYear_O, AA$3&gt;0), AA$3 * VLOOKUP($A45, Data_All!$A$8:$CA$153, MATCH(AA$2, Data_All!$B$2:$CA$2, 0)+1), "")</f>
        <v/>
      </c>
      <c r="AB45" s="206" t="str">
        <f>IF(AND($A45&gt;=SYear_O, $A45&lt;=EYear_O, AB$3&gt;0), AB$3 * VLOOKUP($A45, Data_All!$A$8:$CA$153, MATCH(AB$2, Data_All!$B$2:$CA$2, 0)+1), "")</f>
        <v/>
      </c>
      <c r="AC45" s="206" t="str">
        <f>IF(AND($A45&gt;=SYear_O, $A45&lt;=EYear_O, AC$3&gt;0), AC$3 * VLOOKUP($A45, Data_All!$A$8:$CA$153, MATCH(AC$2, Data_All!$B$2:$CA$2, 0)+1), "")</f>
        <v/>
      </c>
      <c r="AD45" s="206" t="str">
        <f>IF(AND($A45&gt;=SYear_O, $A45&lt;=EYear_O, AD$3&gt;0), AD$3 * VLOOKUP($A45, Data_All!$A$8:$CA$153, MATCH(AD$2, Data_All!$B$2:$CA$2, 0)+1), "")</f>
        <v/>
      </c>
      <c r="AE45" s="206" t="str">
        <f>IF(AND($A45&gt;=SYear_O, $A45&lt;=EYear_O, AE$3&gt;0), AE$3 * VLOOKUP($A45, Data_All!$A$8:$CA$153, MATCH(AE$2, Data_All!$B$2:$CA$2, 0)+1), "")</f>
        <v/>
      </c>
      <c r="AF45" s="206" t="str">
        <f>IF(AND($A45&gt;=SYear_O, $A45&lt;=EYear_O, AF$3&gt;0), AF$3 * VLOOKUP($A45, Data_All!$A$8:$CA$153, MATCH(AF$2, Data_All!$B$2:$CA$2, 0)+1), "")</f>
        <v/>
      </c>
      <c r="AG45" s="206" t="str">
        <f>IF(AND($A45&gt;=SYear_O, $A45&lt;=EYear_O, AG$3&gt;0), AG$3 * VLOOKUP($A45, Data_All!$A$8:$CA$153, MATCH(AG$2, Data_All!$B$2:$CA$2, 0)+1), "")</f>
        <v/>
      </c>
      <c r="AH45" s="206" t="str">
        <f>IF(AND($A45&gt;=SYear_O, $A45&lt;=EYear_O, AH$3&gt;0), AH$3 * VLOOKUP($A45, Data_All!$A$8:$CA$153, MATCH(AH$2, Data_All!$B$2:$CA$2, 0)+1), "")</f>
        <v/>
      </c>
      <c r="AI45" s="206" t="str">
        <f>IF(AND($A45&gt;=SYear_O, $A45&lt;=EYear_O, AI$3&gt;0), AI$3 * VLOOKUP($A45, Data_All!$A$8:$CA$153, MATCH(AI$2, Data_All!$B$2:$CA$2, 0)+1), "")</f>
        <v/>
      </c>
      <c r="AJ45" s="206" t="str">
        <f>IF(AND($A45&gt;=SYear_O, $A45&lt;=EYear_O, AJ$3&gt;0), AJ$3 * VLOOKUP($A45, Data_All!$A$8:$CA$153, MATCH(AJ$2, Data_All!$B$2:$CA$2, 0)+1), "")</f>
        <v/>
      </c>
      <c r="AK45" s="206" t="str">
        <f>IF(AND($A45&gt;=SYear_O, $A45&lt;=EYear_O, AK$3&gt;0), AK$3 * VLOOKUP($A45, Data_All!$A$8:$CA$153, MATCH(AK$2, Data_All!$B$2:$CA$2, 0)+1), "")</f>
        <v/>
      </c>
      <c r="AL45" s="206" t="str">
        <f>IF(AND($A45&gt;=SYear_O, $A45&lt;=EYear_O, AL$3&gt;0), AL$3 * VLOOKUP($A45, Data_All!$A$8:$CA$153, MATCH(AL$2, Data_All!$B$2:$CA$2, 0)+1), "")</f>
        <v/>
      </c>
      <c r="AM45" s="206" t="str">
        <f>IF(AND($A45&gt;=SYear_O, $A45&lt;=EYear_O, AM$3&gt;0), AM$3 * VLOOKUP($A45, Data_All!$A$8:$CA$153, MATCH(AM$2, Data_All!$B$2:$CA$2, 0)+1), "")</f>
        <v/>
      </c>
      <c r="AN45" s="206" t="str">
        <f>IF(AND($A45&gt;=SYear_O, $A45&lt;=EYear_O, AN$3&gt;0), AN$3 * VLOOKUP($A45, Data_All!$A$8:$CA$153, MATCH(AN$2, Data_All!$B$2:$CA$2, 0)+1), "")</f>
        <v/>
      </c>
      <c r="AO45" s="206" t="str">
        <f>IF(AND($A45&gt;=SYear_O, $A45&lt;=EYear_O, AO$3&gt;0), AO$3 * VLOOKUP($A45, Data_All!$A$8:$CA$153, MATCH(AO$2, Data_All!$B$2:$CA$2, 0)+1), "")</f>
        <v/>
      </c>
      <c r="AP45" s="206" t="str">
        <f>IF(AND($A45&gt;=SYear_O, $A45&lt;=EYear_O, AP$3&gt;0), AP$3 * VLOOKUP($A45, Data_All!$A$8:$CA$153, MATCH(AP$2, Data_All!$B$2:$CA$2, 0)+1), "")</f>
        <v/>
      </c>
      <c r="AQ45" s="206" t="str">
        <f>IF(AND($A45&gt;=SYear_O, $A45&lt;=EYear_O, AQ$3&gt;0), AQ$3 * VLOOKUP($A45, Data_All!$A$8:$CA$153, MATCH(AQ$2, Data_All!$B$2:$CA$2, 0)+1), "")</f>
        <v/>
      </c>
      <c r="AR45" s="206" t="str">
        <f>IF(AND($A45&gt;=SYear_O, $A45&lt;=EYear_O, AR$3&gt;0), AR$3 * VLOOKUP($A45, Data_All!$A$8:$CA$153, MATCH(AR$2, Data_All!$B$2:$CA$2, 0)+1), "")</f>
        <v/>
      </c>
      <c r="AS45" s="206" t="str">
        <f>IF(AND($A45&gt;=SYear_O, $A45&lt;=EYear_O, AS$3&gt;0), AS$3 * VLOOKUP($A45, Data_All!$A$8:$CA$153, MATCH(AS$2, Data_All!$B$2:$CA$2, 0)+1), "")</f>
        <v/>
      </c>
      <c r="AT45" s="206" t="str">
        <f>IF(AND($A45&gt;=SYear_O, $A45&lt;=EYear_O, AT$3&gt;0), AT$3 * VLOOKUP($A45, Data_All!$A$8:$CA$153, MATCH(AT$2, Data_All!$B$2:$CA$2, 0)+1), "")</f>
        <v/>
      </c>
      <c r="AU45" s="206" t="str">
        <f>IF(AND($A45&gt;=SYear_O, $A45&lt;=EYear_O, AU$3&gt;0), AU$3 * VLOOKUP($A45, Data_All!$A$8:$CA$153, MATCH(AU$2, Data_All!$B$2:$CA$2, 0)+1), "")</f>
        <v/>
      </c>
      <c r="AV45" s="206" t="str">
        <f>IF(AND($A45&gt;=SYear_O, $A45&lt;=EYear_O, AV$3&gt;0), AV$3 * VLOOKUP($A45, Data_All!$A$8:$CA$153, MATCH(AV$2, Data_All!$B$2:$CA$2, 0)+1), "")</f>
        <v/>
      </c>
      <c r="AW45" s="206" t="str">
        <f>IF(AND($A45&gt;=SYear_O, $A45&lt;=EYear_O, AW$3&gt;0), AW$3 * VLOOKUP($A45, Data_All!$A$8:$CA$153, MATCH(AW$2, Data_All!$B$2:$CA$2, 0)+1), "")</f>
        <v/>
      </c>
      <c r="AX45" s="206" t="str">
        <f>IF(AND($A45&gt;=SYear_O, $A45&lt;=EYear_O, AX$3&gt;0), AX$3 * VLOOKUP($A45, Data_All!$A$8:$CA$153, MATCH(AX$2, Data_All!$B$2:$CA$2, 0)+1), "")</f>
        <v/>
      </c>
      <c r="AY45" s="206" t="str">
        <f>IF(AND($A45&gt;=SYear_O, $A45&lt;=EYear_O, AY$3&gt;0), AY$3 * VLOOKUP($A45, Data_All!$A$8:$CA$153, MATCH(AY$2, Data_All!$B$2:$CA$2, 0)+1), "")</f>
        <v/>
      </c>
      <c r="AZ45" s="206" t="str">
        <f>IF(AND($A45&gt;=SYear_O, $A45&lt;=EYear_O, AZ$3&gt;0), AZ$3 * VLOOKUP($A45, Data_All!$A$8:$CA$153, MATCH(AZ$2, Data_All!$B$2:$CA$2, 0)+1), "")</f>
        <v/>
      </c>
      <c r="BA45" s="206" t="str">
        <f>IF(AND($A45&gt;=SYear_O, $A45&lt;=EYear_O, BA$3&gt;0), BA$3 * VLOOKUP($A45, Data_All!$A$8:$CA$153, MATCH(BA$2, Data_All!$B$2:$CA$2, 0)+1), "")</f>
        <v/>
      </c>
      <c r="BB45" s="206" t="str">
        <f>IF(AND($A45&gt;=SYear_O, $A45&lt;=EYear_O, BB$3&gt;0), BB$3 * VLOOKUP($A45, Data_All!$A$8:$CA$153, MATCH(BB$2, Data_All!$B$2:$CA$2, 0)+1), "")</f>
        <v/>
      </c>
      <c r="BC45" s="206" t="str">
        <f>IF(AND($A45&gt;=SYear_O, $A45&lt;=EYear_O, BC$3&gt;0), BC$3 * VLOOKUP($A45, Data_All!$A$8:$CA$153, MATCH(BC$2, Data_All!$B$2:$CA$2, 0)+1), "")</f>
        <v/>
      </c>
      <c r="BD45" s="206" t="str">
        <f>IF(AND($A45&gt;=SYear_O, $A45&lt;=EYear_O, BD$3&gt;0), BD$3 * VLOOKUP($A45, Data_All!$A$8:$CA$153, MATCH(BD$2, Data_All!$B$2:$CA$2, 0)+1), "")</f>
        <v/>
      </c>
      <c r="BE45" s="206" t="str">
        <f>IF(AND($A45&gt;=SYear_O, $A45&lt;=EYear_O, BE$3&gt;0), BE$3 * VLOOKUP($A45, Data_All!$A$8:$CA$153, MATCH(BE$2, Data_All!$B$2:$CA$2, 0)+1), "")</f>
        <v/>
      </c>
      <c r="BF45" s="206" t="str">
        <f>IF(AND($A45&gt;=SYear_O, $A45&lt;=EYear_O, BF$3&gt;0), BF$3 * VLOOKUP($A45, Data_All!$A$8:$CA$153, MATCH(BF$2, Data_All!$B$2:$CA$2, 0)+1), "")</f>
        <v/>
      </c>
      <c r="BG45" s="206" t="str">
        <f>IF(AND($A45&gt;=SYear_O, $A45&lt;=EYear_O, BG$3&gt;0), BG$3 * VLOOKUP($A45, Data_All!$A$8:$CA$153, MATCH(BG$2, Data_All!$B$2:$CA$2, 0)+1), "")</f>
        <v/>
      </c>
      <c r="BH45" s="206" t="str">
        <f>IF(AND($A45&gt;=SYear_O, $A45&lt;=EYear_O, BH$3&gt;0), BH$3 * VLOOKUP($A45, Data_All!$A$8:$CA$153, MATCH(BH$2, Data_All!$B$2:$CA$2, 0)+1), "")</f>
        <v/>
      </c>
      <c r="BI45" s="206" t="str">
        <f>IF(AND($A45&gt;=SYear_O, $A45&lt;=EYear_O, BI$3&gt;0), BI$3 * VLOOKUP($A45, Data_All!$A$8:$CA$153, MATCH(BI$2, Data_All!$B$2:$CA$2, 0)+1), "")</f>
        <v/>
      </c>
      <c r="BJ45" s="206" t="str">
        <f>IF(AND($A45&gt;=SYear_O, $A45&lt;=EYear_O, BJ$3&gt;0), BJ$3 * VLOOKUP($A45, Data_All!$A$8:$CA$153, MATCH(BJ$2, Data_All!$B$2:$CA$2, 0)+1), "")</f>
        <v/>
      </c>
      <c r="BK45" s="206" t="str">
        <f>IF(AND($A45&gt;=SYear_O, $A45&lt;=EYear_O, BK$3&gt;0), BK$3 * VLOOKUP($A45, Data_All!$A$8:$CA$153, MATCH(BK$2, Data_All!$B$2:$CA$2, 0)+1), "")</f>
        <v/>
      </c>
      <c r="BL45" s="206" t="str">
        <f>IF(AND($A45&gt;=SYear_O, $A45&lt;=EYear_O, BL$3&gt;0), BL$3 * VLOOKUP($A45, Data_All!$A$8:$CA$153, MATCH(BL$2, Data_All!$B$2:$CA$2, 0)+1), "")</f>
        <v/>
      </c>
      <c r="BM45" s="206" t="str">
        <f>IF(AND($A45&gt;=SYear_O, $A45&lt;=EYear_O, BM$3&gt;0), BM$3 * VLOOKUP($A45, Data_All!$A$8:$CA$153, MATCH(BM$2, Data_All!$B$2:$CA$2, 0)+1), "")</f>
        <v/>
      </c>
      <c r="BN45" s="206" t="str">
        <f>IF(AND($A45&gt;=SYear_O, $A45&lt;=EYear_O, BN$3&gt;0), BN$3 * VLOOKUP($A45, Data_All!$A$8:$CA$153, MATCH(BN$2, Data_All!$B$2:$CA$2, 0)+1), "")</f>
        <v/>
      </c>
      <c r="BO45" s="206" t="str">
        <f>IF(AND($A45&gt;=SYear_O, $A45&lt;=EYear_O, BO$3&gt;0), BO$3 * VLOOKUP($A45, Data_All!$A$8:$CA$153, MATCH(BO$2, Data_All!$B$2:$CA$2, 0)+1), "")</f>
        <v/>
      </c>
      <c r="BP45" s="206" t="str">
        <f>IF(AND($A45&gt;=SYear_O, $A45&lt;=EYear_O, BP$3&gt;0), BP$3 * VLOOKUP($A45, Data_All!$A$8:$CA$153, MATCH(BP$2, Data_All!$B$2:$CA$2, 0)+1), "")</f>
        <v/>
      </c>
      <c r="BQ45" s="206" t="str">
        <f>IF(AND($A45&gt;=SYear_O, $A45&lt;=EYear_O, BQ$3&gt;0), BQ$3 * VLOOKUP($A45, Data_All!$A$8:$CA$153, MATCH(BQ$2, Data_All!$B$2:$CA$2, 0)+1), "")</f>
        <v/>
      </c>
      <c r="BR45" s="206" t="str">
        <f>IF(AND($A45&gt;=SYear_O, $A45&lt;=EYear_O, BR$3&gt;0), BR$3 * VLOOKUP($A45, Data_All!$A$8:$CA$153, MATCH(BR$2, Data_All!$B$2:$CA$2, 0)+1), "")</f>
        <v/>
      </c>
      <c r="BS45" s="206" t="str">
        <f>IF(AND($A45&gt;=SYear_O, $A45&lt;=EYear_O, BS$3&gt;0), BS$3 * VLOOKUP($A45, Data_All!$A$8:$CA$153, MATCH(BS$2, Data_All!$B$2:$CA$2, 0)+1), "")</f>
        <v/>
      </c>
      <c r="BT45" s="206" t="str">
        <f>IF(AND($A45&gt;=SYear_O, $A45&lt;=EYear_O, BT$3&gt;0), BT$3 * VLOOKUP($A45, Data_All!$A$8:$CA$153, MATCH(BT$2, Data_All!$B$2:$CA$2, 0)+1), "")</f>
        <v/>
      </c>
      <c r="BU45" s="206" t="str">
        <f>IF(AND($A45&gt;=SYear_O, $A45&lt;=EYear_O, BU$3&gt;0), BU$3 * VLOOKUP($A45, Data_All!$A$8:$CA$153, MATCH(BU$2, Data_All!$B$2:$CA$2, 0)+1), "")</f>
        <v/>
      </c>
      <c r="BV45" s="206" t="str">
        <f>IF(AND($A45&gt;=SYear_O, $A45&lt;=EYear_O, BV$3&gt;0), BV$3 * VLOOKUP($A45, Data_All!$A$8:$CA$153, MATCH(BV$2, Data_All!$B$2:$CA$2, 0)+1), "")</f>
        <v/>
      </c>
      <c r="BW45" s="206" t="str">
        <f>IF(AND($A45&gt;=SYear_O, $A45&lt;=EYear_O, BW$3&gt;0), BW$3 * VLOOKUP($A45, Data_All!$A$8:$CA$153, MATCH(BW$2, Data_All!$B$2:$CA$2, 0)+1), "")</f>
        <v/>
      </c>
      <c r="BX45" s="206">
        <f>IF(AND($A45&gt;=SYear_O, $A45&lt;=EYear_O, BX$3&gt;0), BX$3 * VLOOKUP($A45, Data_All!$A$8:$CA$153, MATCH(BX$2, Data_All!$B$2:$CA$2, 0)+1), "")</f>
        <v>9.6688741721854274</v>
      </c>
      <c r="BY45" s="206">
        <f>IF(AND($A45&gt;=SYear_O, $A45&lt;=EYear_O, BY$3&gt;0), BY$3 * VLOOKUP($A45, Data_All!$A$8:$CA$153, MATCH(BY$2, Data_All!$B$2:$CA$2, 0)+1), "")</f>
        <v>0.19476077695922633</v>
      </c>
      <c r="BZ45" s="206" t="str">
        <f>IF(AND($A45&gt;=SYear_O, $A45&lt;=EYear_O, BZ$3&gt;0), BZ$3 * VLOOKUP($A45, Data_All!$A$8:$CA$153, MATCH(BZ$2, Data_All!$B$2:$CA$2, 0)+1), "")</f>
        <v/>
      </c>
      <c r="CA45" s="565">
        <f t="shared" si="19"/>
        <v>9.8636349491446538</v>
      </c>
      <c r="CB45" s="427">
        <f t="shared" si="20"/>
        <v>102053.75658433554</v>
      </c>
      <c r="CC45" s="565">
        <f>IF(AND($A45&gt;=SYear_O,$A45&lt;=EYear_O),(CA45-Data_All!CA46)/(1+Data_All!CA46%),"")</f>
        <v>-0.70053914252344585</v>
      </c>
      <c r="CD45" s="436">
        <f t="shared" si="21"/>
        <v>128548.05440656052</v>
      </c>
      <c r="CE45" s="438">
        <f t="shared" si="22"/>
        <v>9.2561980354784925</v>
      </c>
      <c r="CF45" s="438">
        <f>IF(AND($A45&gt;=SYear_O,$A45&lt;=EYear_O),MAX($CE$7:CE45),"")</f>
        <v>9.2561980354784925</v>
      </c>
      <c r="CG45" s="209">
        <f t="shared" si="23"/>
        <v>0</v>
      </c>
      <c r="CI45" s="143">
        <f>IF(AND($A45&gt;=SYear_O,$A45&lt;=EYear_O),Data_All!V46,"")</f>
        <v>3.5567988810070941</v>
      </c>
      <c r="CJ45" s="143">
        <f>IF(AND($A45&gt;=SYear_O,$A45&lt;=EYear_O),Data_All!CA46,"")</f>
        <v>10.638702365998487</v>
      </c>
      <c r="CK45" s="143">
        <f t="shared" si="24"/>
        <v>-6.4009278250246417</v>
      </c>
      <c r="CN45" s="61">
        <f t="shared" si="25"/>
        <v>9.8636349491446618E-2</v>
      </c>
      <c r="CO45" s="61">
        <f t="shared" si="26"/>
        <v>4.4503126232528167E-2</v>
      </c>
      <c r="CP45" s="61">
        <f t="shared" si="27"/>
        <v>3.5405143575422349E-2</v>
      </c>
      <c r="CQ45" s="61">
        <f t="shared" si="28"/>
        <v>4.2149975480497037E-2</v>
      </c>
      <c r="CR45" s="61">
        <f t="shared" si="29"/>
        <v>5.3390065232844952E-2</v>
      </c>
      <c r="CU45" s="61">
        <f t="shared" si="30"/>
        <v>-7.0053914252344862E-3</v>
      </c>
      <c r="CV45" s="61">
        <f t="shared" si="31"/>
        <v>3.7197168585503482E-2</v>
      </c>
      <c r="CW45" s="61">
        <f t="shared" si="32"/>
        <v>1.2543089763443982E-2</v>
      </c>
      <c r="CX45" s="61">
        <f t="shared" si="33"/>
        <v>-1.9757729983359895E-2</v>
      </c>
      <c r="CY45" s="61">
        <f t="shared" si="34"/>
        <v>8.0619212179404709E-3</v>
      </c>
    </row>
    <row r="46" spans="1:103">
      <c r="A46" s="204">
        <f t="shared" si="18"/>
        <v>1910</v>
      </c>
      <c r="B46" s="206" t="str">
        <f>IF(AND($A46&gt;=SYear_O, $A46&lt;=EYear_O, B$3&gt;0), B$3 * VLOOKUP($A46, Data_All!$A$8:$CA$153, MATCH(B$2, Data_All!$B$2:$CA$2, 0)+1), "")</f>
        <v/>
      </c>
      <c r="C46" s="206" t="str">
        <f>IF(AND($A46&gt;=SYear_O, $A46&lt;=EYear_O, C$3&gt;0), C$3 * VLOOKUP($A46, Data_All!$A$8:$CA$153, MATCH(C$2, Data_All!$B$2:$CA$2, 0)+1), "")</f>
        <v/>
      </c>
      <c r="D46" s="206" t="str">
        <f>IF(AND($A46&gt;=SYear_O, $A46&lt;=EYear_O, D$3&gt;0), D$3 * VLOOKUP($A46, Data_All!$A$8:$CA$153, MATCH(D$2, Data_All!$B$2:$CA$2, 0)+1), "")</f>
        <v/>
      </c>
      <c r="E46" s="206" t="str">
        <f>IF(AND($A46&gt;=SYear_O, $A46&lt;=EYear_O, E$3&gt;0), E$3 * VLOOKUP($A46, Data_All!$A$8:$CA$153, MATCH(E$2, Data_All!$B$2:$CA$2, 0)+1), "")</f>
        <v/>
      </c>
      <c r="F46" s="206" t="str">
        <f>IF(AND($A46&gt;=SYear_O, $A46&lt;=EYear_O, F$3&gt;0), F$3 * VLOOKUP($A46, Data_All!$A$8:$CA$153, MATCH(F$2, Data_All!$B$2:$CA$2, 0)+1), "")</f>
        <v/>
      </c>
      <c r="G46" s="206" t="str">
        <f>IF(AND($A46&gt;=SYear_O, $A46&lt;=EYear_O, G$3&gt;0), G$3 * VLOOKUP($A46, Data_All!$A$8:$CA$153, MATCH(G$2, Data_All!$B$2:$CA$2, 0)+1), "")</f>
        <v/>
      </c>
      <c r="H46" s="206" t="str">
        <f>IF(AND($A46&gt;=SYear_O, $A46&lt;=EYear_O, H$3&gt;0), H$3 * VLOOKUP($A46, Data_All!$A$8:$CA$153, MATCH(H$2, Data_All!$B$2:$CA$2, 0)+1), "")</f>
        <v/>
      </c>
      <c r="I46" s="206" t="str">
        <f>IF(AND($A46&gt;=SYear_O, $A46&lt;=EYear_O, I$3&gt;0), I$3 * VLOOKUP($A46, Data_All!$A$8:$CA$153, MATCH(I$2, Data_All!$B$2:$CA$2, 0)+1), "")</f>
        <v/>
      </c>
      <c r="J46" s="206" t="str">
        <f>IF(AND($A46&gt;=SYear_O, $A46&lt;=EYear_O, J$3&gt;0), J$3 * VLOOKUP($A46, Data_All!$A$8:$CA$153, MATCH(J$2, Data_All!$B$2:$CA$2, 0)+1), "")</f>
        <v/>
      </c>
      <c r="K46" s="206" t="str">
        <f>IF(AND($A46&gt;=SYear_O, $A46&lt;=EYear_O, K$3&gt;0), K$3 * VLOOKUP($A46, Data_All!$A$8:$CA$153, MATCH(K$2, Data_All!$B$2:$CA$2, 0)+1), "")</f>
        <v/>
      </c>
      <c r="L46" s="206" t="str">
        <f>IF(AND($A46&gt;=SYear_O, $A46&lt;=EYear_O, L$3&gt;0), L$3 * VLOOKUP($A46, Data_All!$A$8:$CA$153, MATCH(L$2, Data_All!$B$2:$CA$2, 0)+1), "")</f>
        <v/>
      </c>
      <c r="M46" s="206" t="str">
        <f>IF(AND($A46&gt;=SYear_O, $A46&lt;=EYear_O, M$3&gt;0), M$3 * VLOOKUP($A46, Data_All!$A$8:$CA$153, MATCH(M$2, Data_All!$B$2:$CA$2, 0)+1), "")</f>
        <v/>
      </c>
      <c r="N46" s="206" t="str">
        <f>IF(AND($A46&gt;=SYear_O, $A46&lt;=EYear_O, N$3&gt;0), N$3 * VLOOKUP($A46, Data_All!$A$8:$CA$153, MATCH(N$2, Data_All!$B$2:$CA$2, 0)+1), "")</f>
        <v/>
      </c>
      <c r="O46" s="206" t="str">
        <f>IF(AND($A46&gt;=SYear_O, $A46&lt;=EYear_O, O$3&gt;0), O$3 * VLOOKUP($A46, Data_All!$A$8:$CA$153, MATCH(O$2, Data_All!$B$2:$CA$2, 0)+1), "")</f>
        <v/>
      </c>
      <c r="P46" s="206" t="str">
        <f>IF(AND($A46&gt;=SYear_O, $A46&lt;=EYear_O, P$3&gt;0), P$3 * VLOOKUP($A46, Data_All!$A$8:$CA$153, MATCH(P$2, Data_All!$B$2:$CA$2, 0)+1), "")</f>
        <v/>
      </c>
      <c r="Q46" s="206" t="str">
        <f>IF(AND($A46&gt;=SYear_O, $A46&lt;=EYear_O, Q$3&gt;0), Q$3 * VLOOKUP($A46, Data_All!$A$8:$CA$153, MATCH(Q$2, Data_All!$B$2:$CA$2, 0)+1), "")</f>
        <v/>
      </c>
      <c r="R46" s="206" t="str">
        <f>IF(AND($A46&gt;=SYear_O, $A46&lt;=EYear_O, R$3&gt;0), R$3 * VLOOKUP($A46, Data_All!$A$8:$CA$153, MATCH(R$2, Data_All!$B$2:$CA$2, 0)+1), "")</f>
        <v/>
      </c>
      <c r="S46" s="206" t="str">
        <f>IF(AND($A46&gt;=SYear_O, $A46&lt;=EYear_O, S$3&gt;0), S$3 * VLOOKUP($A46, Data_All!$A$8:$CA$153, MATCH(S$2, Data_All!$B$2:$CA$2, 0)+1), "")</f>
        <v/>
      </c>
      <c r="T46" s="206" t="str">
        <f>IF(AND($A46&gt;=SYear_O, $A46&lt;=EYear_O, T$3&gt;0), T$3 * VLOOKUP($A46, Data_All!$A$8:$CA$153, MATCH(T$2, Data_All!$B$2:$CA$2, 0)+1), "")</f>
        <v/>
      </c>
      <c r="U46" s="206" t="str">
        <f>IF(AND($A46&gt;=SYear_O, $A46&lt;=EYear_O, U$3&gt;0), U$3 * VLOOKUP($A46, Data_All!$A$8:$CA$153, MATCH(U$2, Data_All!$B$2:$CA$2, 0)+1), "")</f>
        <v/>
      </c>
      <c r="V46" s="206" t="str">
        <f>IF(AND($A46&gt;=SYear_O, $A46&lt;=EYear_O, V$3&gt;0), V$3 * VLOOKUP($A46, Data_All!$A$8:$CA$153, MATCH(V$2, Data_All!$B$2:$CA$2, 0)+1), "")</f>
        <v/>
      </c>
      <c r="W46" s="206" t="str">
        <f>IF(AND($A46&gt;=SYear_O, $A46&lt;=EYear_O, W$3&gt;0), W$3 * VLOOKUP($A46, Data_All!$A$8:$CA$153, MATCH(W$2, Data_All!$B$2:$CA$2, 0)+1), "")</f>
        <v/>
      </c>
      <c r="X46" s="206" t="str">
        <f>IF(AND($A46&gt;=SYear_O, $A46&lt;=EYear_O, X$3&gt;0), X$3 * VLOOKUP($A46, Data_All!$A$8:$CA$153, MATCH(X$2, Data_All!$B$2:$CA$2, 0)+1), "")</f>
        <v/>
      </c>
      <c r="Y46" s="206" t="str">
        <f>IF(AND($A46&gt;=SYear_O, $A46&lt;=EYear_O, Y$3&gt;0), Y$3 * VLOOKUP($A46, Data_All!$A$8:$CA$153, MATCH(Y$2, Data_All!$B$2:$CA$2, 0)+1), "")</f>
        <v/>
      </c>
      <c r="Z46" s="206" t="str">
        <f>IF(AND($A46&gt;=SYear_O, $A46&lt;=EYear_O, Z$3&gt;0), Z$3 * VLOOKUP($A46, Data_All!$A$8:$CA$153, MATCH(Z$2, Data_All!$B$2:$CA$2, 0)+1), "")</f>
        <v/>
      </c>
      <c r="AA46" s="206" t="str">
        <f>IF(AND($A46&gt;=SYear_O, $A46&lt;=EYear_O, AA$3&gt;0), AA$3 * VLOOKUP($A46, Data_All!$A$8:$CA$153, MATCH(AA$2, Data_All!$B$2:$CA$2, 0)+1), "")</f>
        <v/>
      </c>
      <c r="AB46" s="206" t="str">
        <f>IF(AND($A46&gt;=SYear_O, $A46&lt;=EYear_O, AB$3&gt;0), AB$3 * VLOOKUP($A46, Data_All!$A$8:$CA$153, MATCH(AB$2, Data_All!$B$2:$CA$2, 0)+1), "")</f>
        <v/>
      </c>
      <c r="AC46" s="206" t="str">
        <f>IF(AND($A46&gt;=SYear_O, $A46&lt;=EYear_O, AC$3&gt;0), AC$3 * VLOOKUP($A46, Data_All!$A$8:$CA$153, MATCH(AC$2, Data_All!$B$2:$CA$2, 0)+1), "")</f>
        <v/>
      </c>
      <c r="AD46" s="206" t="str">
        <f>IF(AND($A46&gt;=SYear_O, $A46&lt;=EYear_O, AD$3&gt;0), AD$3 * VLOOKUP($A46, Data_All!$A$8:$CA$153, MATCH(AD$2, Data_All!$B$2:$CA$2, 0)+1), "")</f>
        <v/>
      </c>
      <c r="AE46" s="206" t="str">
        <f>IF(AND($A46&gt;=SYear_O, $A46&lt;=EYear_O, AE$3&gt;0), AE$3 * VLOOKUP($A46, Data_All!$A$8:$CA$153, MATCH(AE$2, Data_All!$B$2:$CA$2, 0)+1), "")</f>
        <v/>
      </c>
      <c r="AF46" s="206" t="str">
        <f>IF(AND($A46&gt;=SYear_O, $A46&lt;=EYear_O, AF$3&gt;0), AF$3 * VLOOKUP($A46, Data_All!$A$8:$CA$153, MATCH(AF$2, Data_All!$B$2:$CA$2, 0)+1), "")</f>
        <v/>
      </c>
      <c r="AG46" s="206" t="str">
        <f>IF(AND($A46&gt;=SYear_O, $A46&lt;=EYear_O, AG$3&gt;0), AG$3 * VLOOKUP($A46, Data_All!$A$8:$CA$153, MATCH(AG$2, Data_All!$B$2:$CA$2, 0)+1), "")</f>
        <v/>
      </c>
      <c r="AH46" s="206" t="str">
        <f>IF(AND($A46&gt;=SYear_O, $A46&lt;=EYear_O, AH$3&gt;0), AH$3 * VLOOKUP($A46, Data_All!$A$8:$CA$153, MATCH(AH$2, Data_All!$B$2:$CA$2, 0)+1), "")</f>
        <v/>
      </c>
      <c r="AI46" s="206" t="str">
        <f>IF(AND($A46&gt;=SYear_O, $A46&lt;=EYear_O, AI$3&gt;0), AI$3 * VLOOKUP($A46, Data_All!$A$8:$CA$153, MATCH(AI$2, Data_All!$B$2:$CA$2, 0)+1), "")</f>
        <v/>
      </c>
      <c r="AJ46" s="206" t="str">
        <f>IF(AND($A46&gt;=SYear_O, $A46&lt;=EYear_O, AJ$3&gt;0), AJ$3 * VLOOKUP($A46, Data_All!$A$8:$CA$153, MATCH(AJ$2, Data_All!$B$2:$CA$2, 0)+1), "")</f>
        <v/>
      </c>
      <c r="AK46" s="206" t="str">
        <f>IF(AND($A46&gt;=SYear_O, $A46&lt;=EYear_O, AK$3&gt;0), AK$3 * VLOOKUP($A46, Data_All!$A$8:$CA$153, MATCH(AK$2, Data_All!$B$2:$CA$2, 0)+1), "")</f>
        <v/>
      </c>
      <c r="AL46" s="206" t="str">
        <f>IF(AND($A46&gt;=SYear_O, $A46&lt;=EYear_O, AL$3&gt;0), AL$3 * VLOOKUP($A46, Data_All!$A$8:$CA$153, MATCH(AL$2, Data_All!$B$2:$CA$2, 0)+1), "")</f>
        <v/>
      </c>
      <c r="AM46" s="206" t="str">
        <f>IF(AND($A46&gt;=SYear_O, $A46&lt;=EYear_O, AM$3&gt;0), AM$3 * VLOOKUP($A46, Data_All!$A$8:$CA$153, MATCH(AM$2, Data_All!$B$2:$CA$2, 0)+1), "")</f>
        <v/>
      </c>
      <c r="AN46" s="206" t="str">
        <f>IF(AND($A46&gt;=SYear_O, $A46&lt;=EYear_O, AN$3&gt;0), AN$3 * VLOOKUP($A46, Data_All!$A$8:$CA$153, MATCH(AN$2, Data_All!$B$2:$CA$2, 0)+1), "")</f>
        <v/>
      </c>
      <c r="AO46" s="206" t="str">
        <f>IF(AND($A46&gt;=SYear_O, $A46&lt;=EYear_O, AO$3&gt;0), AO$3 * VLOOKUP($A46, Data_All!$A$8:$CA$153, MATCH(AO$2, Data_All!$B$2:$CA$2, 0)+1), "")</f>
        <v/>
      </c>
      <c r="AP46" s="206" t="str">
        <f>IF(AND($A46&gt;=SYear_O, $A46&lt;=EYear_O, AP$3&gt;0), AP$3 * VLOOKUP($A46, Data_All!$A$8:$CA$153, MATCH(AP$2, Data_All!$B$2:$CA$2, 0)+1), "")</f>
        <v/>
      </c>
      <c r="AQ46" s="206" t="str">
        <f>IF(AND($A46&gt;=SYear_O, $A46&lt;=EYear_O, AQ$3&gt;0), AQ$3 * VLOOKUP($A46, Data_All!$A$8:$CA$153, MATCH(AQ$2, Data_All!$B$2:$CA$2, 0)+1), "")</f>
        <v/>
      </c>
      <c r="AR46" s="206" t="str">
        <f>IF(AND($A46&gt;=SYear_O, $A46&lt;=EYear_O, AR$3&gt;0), AR$3 * VLOOKUP($A46, Data_All!$A$8:$CA$153, MATCH(AR$2, Data_All!$B$2:$CA$2, 0)+1), "")</f>
        <v/>
      </c>
      <c r="AS46" s="206" t="str">
        <f>IF(AND($A46&gt;=SYear_O, $A46&lt;=EYear_O, AS$3&gt;0), AS$3 * VLOOKUP($A46, Data_All!$A$8:$CA$153, MATCH(AS$2, Data_All!$B$2:$CA$2, 0)+1), "")</f>
        <v/>
      </c>
      <c r="AT46" s="206" t="str">
        <f>IF(AND($A46&gt;=SYear_O, $A46&lt;=EYear_O, AT$3&gt;0), AT$3 * VLOOKUP($A46, Data_All!$A$8:$CA$153, MATCH(AT$2, Data_All!$B$2:$CA$2, 0)+1), "")</f>
        <v/>
      </c>
      <c r="AU46" s="206" t="str">
        <f>IF(AND($A46&gt;=SYear_O, $A46&lt;=EYear_O, AU$3&gt;0), AU$3 * VLOOKUP($A46, Data_All!$A$8:$CA$153, MATCH(AU$2, Data_All!$B$2:$CA$2, 0)+1), "")</f>
        <v/>
      </c>
      <c r="AV46" s="206" t="str">
        <f>IF(AND($A46&gt;=SYear_O, $A46&lt;=EYear_O, AV$3&gt;0), AV$3 * VLOOKUP($A46, Data_All!$A$8:$CA$153, MATCH(AV$2, Data_All!$B$2:$CA$2, 0)+1), "")</f>
        <v/>
      </c>
      <c r="AW46" s="206" t="str">
        <f>IF(AND($A46&gt;=SYear_O, $A46&lt;=EYear_O, AW$3&gt;0), AW$3 * VLOOKUP($A46, Data_All!$A$8:$CA$153, MATCH(AW$2, Data_All!$B$2:$CA$2, 0)+1), "")</f>
        <v/>
      </c>
      <c r="AX46" s="206" t="str">
        <f>IF(AND($A46&gt;=SYear_O, $A46&lt;=EYear_O, AX$3&gt;0), AX$3 * VLOOKUP($A46, Data_All!$A$8:$CA$153, MATCH(AX$2, Data_All!$B$2:$CA$2, 0)+1), "")</f>
        <v/>
      </c>
      <c r="AY46" s="206" t="str">
        <f>IF(AND($A46&gt;=SYear_O, $A46&lt;=EYear_O, AY$3&gt;0), AY$3 * VLOOKUP($A46, Data_All!$A$8:$CA$153, MATCH(AY$2, Data_All!$B$2:$CA$2, 0)+1), "")</f>
        <v/>
      </c>
      <c r="AZ46" s="206" t="str">
        <f>IF(AND($A46&gt;=SYear_O, $A46&lt;=EYear_O, AZ$3&gt;0), AZ$3 * VLOOKUP($A46, Data_All!$A$8:$CA$153, MATCH(AZ$2, Data_All!$B$2:$CA$2, 0)+1), "")</f>
        <v/>
      </c>
      <c r="BA46" s="206" t="str">
        <f>IF(AND($A46&gt;=SYear_O, $A46&lt;=EYear_O, BA$3&gt;0), BA$3 * VLOOKUP($A46, Data_All!$A$8:$CA$153, MATCH(BA$2, Data_All!$B$2:$CA$2, 0)+1), "")</f>
        <v/>
      </c>
      <c r="BB46" s="206" t="str">
        <f>IF(AND($A46&gt;=SYear_O, $A46&lt;=EYear_O, BB$3&gt;0), BB$3 * VLOOKUP($A46, Data_All!$A$8:$CA$153, MATCH(BB$2, Data_All!$B$2:$CA$2, 0)+1), "")</f>
        <v/>
      </c>
      <c r="BC46" s="206" t="str">
        <f>IF(AND($A46&gt;=SYear_O, $A46&lt;=EYear_O, BC$3&gt;0), BC$3 * VLOOKUP($A46, Data_All!$A$8:$CA$153, MATCH(BC$2, Data_All!$B$2:$CA$2, 0)+1), "")</f>
        <v/>
      </c>
      <c r="BD46" s="206" t="str">
        <f>IF(AND($A46&gt;=SYear_O, $A46&lt;=EYear_O, BD$3&gt;0), BD$3 * VLOOKUP($A46, Data_All!$A$8:$CA$153, MATCH(BD$2, Data_All!$B$2:$CA$2, 0)+1), "")</f>
        <v/>
      </c>
      <c r="BE46" s="206" t="str">
        <f>IF(AND($A46&gt;=SYear_O, $A46&lt;=EYear_O, BE$3&gt;0), BE$3 * VLOOKUP($A46, Data_All!$A$8:$CA$153, MATCH(BE$2, Data_All!$B$2:$CA$2, 0)+1), "")</f>
        <v/>
      </c>
      <c r="BF46" s="206" t="str">
        <f>IF(AND($A46&gt;=SYear_O, $A46&lt;=EYear_O, BF$3&gt;0), BF$3 * VLOOKUP($A46, Data_All!$A$8:$CA$153, MATCH(BF$2, Data_All!$B$2:$CA$2, 0)+1), "")</f>
        <v/>
      </c>
      <c r="BG46" s="206" t="str">
        <f>IF(AND($A46&gt;=SYear_O, $A46&lt;=EYear_O, BG$3&gt;0), BG$3 * VLOOKUP($A46, Data_All!$A$8:$CA$153, MATCH(BG$2, Data_All!$B$2:$CA$2, 0)+1), "")</f>
        <v/>
      </c>
      <c r="BH46" s="206" t="str">
        <f>IF(AND($A46&gt;=SYear_O, $A46&lt;=EYear_O, BH$3&gt;0), BH$3 * VLOOKUP($A46, Data_All!$A$8:$CA$153, MATCH(BH$2, Data_All!$B$2:$CA$2, 0)+1), "")</f>
        <v/>
      </c>
      <c r="BI46" s="206" t="str">
        <f>IF(AND($A46&gt;=SYear_O, $A46&lt;=EYear_O, BI$3&gt;0), BI$3 * VLOOKUP($A46, Data_All!$A$8:$CA$153, MATCH(BI$2, Data_All!$B$2:$CA$2, 0)+1), "")</f>
        <v/>
      </c>
      <c r="BJ46" s="206" t="str">
        <f>IF(AND($A46&gt;=SYear_O, $A46&lt;=EYear_O, BJ$3&gt;0), BJ$3 * VLOOKUP($A46, Data_All!$A$8:$CA$153, MATCH(BJ$2, Data_All!$B$2:$CA$2, 0)+1), "")</f>
        <v/>
      </c>
      <c r="BK46" s="206" t="str">
        <f>IF(AND($A46&gt;=SYear_O, $A46&lt;=EYear_O, BK$3&gt;0), BK$3 * VLOOKUP($A46, Data_All!$A$8:$CA$153, MATCH(BK$2, Data_All!$B$2:$CA$2, 0)+1), "")</f>
        <v/>
      </c>
      <c r="BL46" s="206" t="str">
        <f>IF(AND($A46&gt;=SYear_O, $A46&lt;=EYear_O, BL$3&gt;0), BL$3 * VLOOKUP($A46, Data_All!$A$8:$CA$153, MATCH(BL$2, Data_All!$B$2:$CA$2, 0)+1), "")</f>
        <v/>
      </c>
      <c r="BM46" s="206" t="str">
        <f>IF(AND($A46&gt;=SYear_O, $A46&lt;=EYear_O, BM$3&gt;0), BM$3 * VLOOKUP($A46, Data_All!$A$8:$CA$153, MATCH(BM$2, Data_All!$B$2:$CA$2, 0)+1), "")</f>
        <v/>
      </c>
      <c r="BN46" s="206" t="str">
        <f>IF(AND($A46&gt;=SYear_O, $A46&lt;=EYear_O, BN$3&gt;0), BN$3 * VLOOKUP($A46, Data_All!$A$8:$CA$153, MATCH(BN$2, Data_All!$B$2:$CA$2, 0)+1), "")</f>
        <v/>
      </c>
      <c r="BO46" s="206" t="str">
        <f>IF(AND($A46&gt;=SYear_O, $A46&lt;=EYear_O, BO$3&gt;0), BO$3 * VLOOKUP($A46, Data_All!$A$8:$CA$153, MATCH(BO$2, Data_All!$B$2:$CA$2, 0)+1), "")</f>
        <v/>
      </c>
      <c r="BP46" s="206" t="str">
        <f>IF(AND($A46&gt;=SYear_O, $A46&lt;=EYear_O, BP$3&gt;0), BP$3 * VLOOKUP($A46, Data_All!$A$8:$CA$153, MATCH(BP$2, Data_All!$B$2:$CA$2, 0)+1), "")</f>
        <v/>
      </c>
      <c r="BQ46" s="206" t="str">
        <f>IF(AND($A46&gt;=SYear_O, $A46&lt;=EYear_O, BQ$3&gt;0), BQ$3 * VLOOKUP($A46, Data_All!$A$8:$CA$153, MATCH(BQ$2, Data_All!$B$2:$CA$2, 0)+1), "")</f>
        <v/>
      </c>
      <c r="BR46" s="206" t="str">
        <f>IF(AND($A46&gt;=SYear_O, $A46&lt;=EYear_O, BR$3&gt;0), BR$3 * VLOOKUP($A46, Data_All!$A$8:$CA$153, MATCH(BR$2, Data_All!$B$2:$CA$2, 0)+1), "")</f>
        <v/>
      </c>
      <c r="BS46" s="206" t="str">
        <f>IF(AND($A46&gt;=SYear_O, $A46&lt;=EYear_O, BS$3&gt;0), BS$3 * VLOOKUP($A46, Data_All!$A$8:$CA$153, MATCH(BS$2, Data_All!$B$2:$CA$2, 0)+1), "")</f>
        <v/>
      </c>
      <c r="BT46" s="206" t="str">
        <f>IF(AND($A46&gt;=SYear_O, $A46&lt;=EYear_O, BT$3&gt;0), BT$3 * VLOOKUP($A46, Data_All!$A$8:$CA$153, MATCH(BT$2, Data_All!$B$2:$CA$2, 0)+1), "")</f>
        <v/>
      </c>
      <c r="BU46" s="206" t="str">
        <f>IF(AND($A46&gt;=SYear_O, $A46&lt;=EYear_O, BU$3&gt;0), BU$3 * VLOOKUP($A46, Data_All!$A$8:$CA$153, MATCH(BU$2, Data_All!$B$2:$CA$2, 0)+1), "")</f>
        <v/>
      </c>
      <c r="BV46" s="206" t="str">
        <f>IF(AND($A46&gt;=SYear_O, $A46&lt;=EYear_O, BV$3&gt;0), BV$3 * VLOOKUP($A46, Data_All!$A$8:$CA$153, MATCH(BV$2, Data_All!$B$2:$CA$2, 0)+1), "")</f>
        <v/>
      </c>
      <c r="BW46" s="206" t="str">
        <f>IF(AND($A46&gt;=SYear_O, $A46&lt;=EYear_O, BW$3&gt;0), BW$3 * VLOOKUP($A46, Data_All!$A$8:$CA$153, MATCH(BW$2, Data_All!$B$2:$CA$2, 0)+1), "")</f>
        <v/>
      </c>
      <c r="BX46" s="206">
        <f>IF(AND($A46&gt;=SYear_O, $A46&lt;=EYear_O, BX$3&gt;0), BX$3 * VLOOKUP($A46, Data_All!$A$8:$CA$153, MATCH(BX$2, Data_All!$B$2:$CA$2, 0)+1), "")</f>
        <v>-2.0238095238095233</v>
      </c>
      <c r="BY46" s="206">
        <f>IF(AND($A46&gt;=SYear_O, $A46&lt;=EYear_O, BY$3&gt;0), BY$3 * VLOOKUP($A46, Data_All!$A$8:$CA$153, MATCH(BY$2, Data_All!$B$2:$CA$2, 0)+1), "")</f>
        <v>2.3587869141837992</v>
      </c>
      <c r="BZ46" s="206" t="str">
        <f>IF(AND($A46&gt;=SYear_O, $A46&lt;=EYear_O, BZ$3&gt;0), BZ$3 * VLOOKUP($A46, Data_All!$A$8:$CA$153, MATCH(BZ$2, Data_All!$B$2:$CA$2, 0)+1), "")</f>
        <v/>
      </c>
      <c r="CA46" s="565">
        <f t="shared" si="19"/>
        <v>0.33497739037427587</v>
      </c>
      <c r="CB46" s="427">
        <f t="shared" si="20"/>
        <v>102395.61359492065</v>
      </c>
      <c r="CC46" s="565">
        <f>IF(AND($A46&gt;=SYear_O,$A46&lt;=EYear_O),(CA46-Data_All!CA47)/(1+Data_All!CA47%),"")</f>
        <v>7.5762899649823678</v>
      </c>
      <c r="CD46" s="436">
        <f t="shared" si="21"/>
        <v>138287.22775274483</v>
      </c>
      <c r="CE46" s="438">
        <f t="shared" si="22"/>
        <v>9.2872042061056135</v>
      </c>
      <c r="CF46" s="438">
        <f>IF(AND($A46&gt;=SYear_O,$A46&lt;=EYear_O),MAX($CE$7:CE46),"")</f>
        <v>9.2872042061056135</v>
      </c>
      <c r="CG46" s="209">
        <f t="shared" si="23"/>
        <v>0</v>
      </c>
      <c r="CI46" s="143">
        <f>IF(AND($A46&gt;=SYear_O,$A46&lt;=EYear_O),Data_All!V47,"")</f>
        <v>5.165351183934459</v>
      </c>
      <c r="CJ46" s="143">
        <f>IF(AND($A46&gt;=SYear_O,$A46&lt;=EYear_O),Data_All!CA47,"")</f>
        <v>-6.7313276717065111</v>
      </c>
      <c r="CK46" s="143">
        <f t="shared" si="24"/>
        <v>12.755278443083464</v>
      </c>
      <c r="CN46" s="61">
        <f t="shared" si="25"/>
        <v>3.3497739037426921E-3</v>
      </c>
      <c r="CO46" s="61">
        <f t="shared" si="26"/>
        <v>2.737422644802967E-2</v>
      </c>
      <c r="CP46" s="61">
        <f t="shared" si="27"/>
        <v>1.3876967581543331E-2</v>
      </c>
      <c r="CQ46" s="61">
        <f t="shared" si="28"/>
        <v>4.3797901104632553E-2</v>
      </c>
      <c r="CR46" s="61">
        <f t="shared" si="29"/>
        <v>5.8300756753447258E-2</v>
      </c>
      <c r="CU46" s="61">
        <f t="shared" si="30"/>
        <v>7.5762899649823634E-2</v>
      </c>
      <c r="CV46" s="61">
        <f t="shared" si="31"/>
        <v>3.0689042721397053E-2</v>
      </c>
      <c r="CW46" s="61">
        <f t="shared" si="32"/>
        <v>9.7307752447592932E-3</v>
      </c>
      <c r="CX46" s="61">
        <f t="shared" si="33"/>
        <v>-2.365570329233746E-2</v>
      </c>
      <c r="CY46" s="61">
        <f t="shared" si="34"/>
        <v>1.9610353258381119E-2</v>
      </c>
    </row>
    <row r="47" spans="1:103">
      <c r="A47" s="204">
        <f t="shared" si="18"/>
        <v>1911</v>
      </c>
      <c r="B47" s="206" t="str">
        <f>IF(AND($A47&gt;=SYear_O, $A47&lt;=EYear_O, B$3&gt;0), B$3 * VLOOKUP($A47, Data_All!$A$8:$CA$153, MATCH(B$2, Data_All!$B$2:$CA$2, 0)+1), "")</f>
        <v/>
      </c>
      <c r="C47" s="206" t="str">
        <f>IF(AND($A47&gt;=SYear_O, $A47&lt;=EYear_O, C$3&gt;0), C$3 * VLOOKUP($A47, Data_All!$A$8:$CA$153, MATCH(C$2, Data_All!$B$2:$CA$2, 0)+1), "")</f>
        <v/>
      </c>
      <c r="D47" s="206" t="str">
        <f>IF(AND($A47&gt;=SYear_O, $A47&lt;=EYear_O, D$3&gt;0), D$3 * VLOOKUP($A47, Data_All!$A$8:$CA$153, MATCH(D$2, Data_All!$B$2:$CA$2, 0)+1), "")</f>
        <v/>
      </c>
      <c r="E47" s="206" t="str">
        <f>IF(AND($A47&gt;=SYear_O, $A47&lt;=EYear_O, E$3&gt;0), E$3 * VLOOKUP($A47, Data_All!$A$8:$CA$153, MATCH(E$2, Data_All!$B$2:$CA$2, 0)+1), "")</f>
        <v/>
      </c>
      <c r="F47" s="206" t="str">
        <f>IF(AND($A47&gt;=SYear_O, $A47&lt;=EYear_O, F$3&gt;0), F$3 * VLOOKUP($A47, Data_All!$A$8:$CA$153, MATCH(F$2, Data_All!$B$2:$CA$2, 0)+1), "")</f>
        <v/>
      </c>
      <c r="G47" s="206" t="str">
        <f>IF(AND($A47&gt;=SYear_O, $A47&lt;=EYear_O, G$3&gt;0), G$3 * VLOOKUP($A47, Data_All!$A$8:$CA$153, MATCH(G$2, Data_All!$B$2:$CA$2, 0)+1), "")</f>
        <v/>
      </c>
      <c r="H47" s="206" t="str">
        <f>IF(AND($A47&gt;=SYear_O, $A47&lt;=EYear_O, H$3&gt;0), H$3 * VLOOKUP($A47, Data_All!$A$8:$CA$153, MATCH(H$2, Data_All!$B$2:$CA$2, 0)+1), "")</f>
        <v/>
      </c>
      <c r="I47" s="206" t="str">
        <f>IF(AND($A47&gt;=SYear_O, $A47&lt;=EYear_O, I$3&gt;0), I$3 * VLOOKUP($A47, Data_All!$A$8:$CA$153, MATCH(I$2, Data_All!$B$2:$CA$2, 0)+1), "")</f>
        <v/>
      </c>
      <c r="J47" s="206" t="str">
        <f>IF(AND($A47&gt;=SYear_O, $A47&lt;=EYear_O, J$3&gt;0), J$3 * VLOOKUP($A47, Data_All!$A$8:$CA$153, MATCH(J$2, Data_All!$B$2:$CA$2, 0)+1), "")</f>
        <v/>
      </c>
      <c r="K47" s="206" t="str">
        <f>IF(AND($A47&gt;=SYear_O, $A47&lt;=EYear_O, K$3&gt;0), K$3 * VLOOKUP($A47, Data_All!$A$8:$CA$153, MATCH(K$2, Data_All!$B$2:$CA$2, 0)+1), "")</f>
        <v/>
      </c>
      <c r="L47" s="206" t="str">
        <f>IF(AND($A47&gt;=SYear_O, $A47&lt;=EYear_O, L$3&gt;0), L$3 * VLOOKUP($A47, Data_All!$A$8:$CA$153, MATCH(L$2, Data_All!$B$2:$CA$2, 0)+1), "")</f>
        <v/>
      </c>
      <c r="M47" s="206" t="str">
        <f>IF(AND($A47&gt;=SYear_O, $A47&lt;=EYear_O, M$3&gt;0), M$3 * VLOOKUP($A47, Data_All!$A$8:$CA$153, MATCH(M$2, Data_All!$B$2:$CA$2, 0)+1), "")</f>
        <v/>
      </c>
      <c r="N47" s="206" t="str">
        <f>IF(AND($A47&gt;=SYear_O, $A47&lt;=EYear_O, N$3&gt;0), N$3 * VLOOKUP($A47, Data_All!$A$8:$CA$153, MATCH(N$2, Data_All!$B$2:$CA$2, 0)+1), "")</f>
        <v/>
      </c>
      <c r="O47" s="206" t="str">
        <f>IF(AND($A47&gt;=SYear_O, $A47&lt;=EYear_O, O$3&gt;0), O$3 * VLOOKUP($A47, Data_All!$A$8:$CA$153, MATCH(O$2, Data_All!$B$2:$CA$2, 0)+1), "")</f>
        <v/>
      </c>
      <c r="P47" s="206" t="str">
        <f>IF(AND($A47&gt;=SYear_O, $A47&lt;=EYear_O, P$3&gt;0), P$3 * VLOOKUP($A47, Data_All!$A$8:$CA$153, MATCH(P$2, Data_All!$B$2:$CA$2, 0)+1), "")</f>
        <v/>
      </c>
      <c r="Q47" s="206" t="str">
        <f>IF(AND($A47&gt;=SYear_O, $A47&lt;=EYear_O, Q$3&gt;0), Q$3 * VLOOKUP($A47, Data_All!$A$8:$CA$153, MATCH(Q$2, Data_All!$B$2:$CA$2, 0)+1), "")</f>
        <v/>
      </c>
      <c r="R47" s="206" t="str">
        <f>IF(AND($A47&gt;=SYear_O, $A47&lt;=EYear_O, R$3&gt;0), R$3 * VLOOKUP($A47, Data_All!$A$8:$CA$153, MATCH(R$2, Data_All!$B$2:$CA$2, 0)+1), "")</f>
        <v/>
      </c>
      <c r="S47" s="206" t="str">
        <f>IF(AND($A47&gt;=SYear_O, $A47&lt;=EYear_O, S$3&gt;0), S$3 * VLOOKUP($A47, Data_All!$A$8:$CA$153, MATCH(S$2, Data_All!$B$2:$CA$2, 0)+1), "")</f>
        <v/>
      </c>
      <c r="T47" s="206" t="str">
        <f>IF(AND($A47&gt;=SYear_O, $A47&lt;=EYear_O, T$3&gt;0), T$3 * VLOOKUP($A47, Data_All!$A$8:$CA$153, MATCH(T$2, Data_All!$B$2:$CA$2, 0)+1), "")</f>
        <v/>
      </c>
      <c r="U47" s="206" t="str">
        <f>IF(AND($A47&gt;=SYear_O, $A47&lt;=EYear_O, U$3&gt;0), U$3 * VLOOKUP($A47, Data_All!$A$8:$CA$153, MATCH(U$2, Data_All!$B$2:$CA$2, 0)+1), "")</f>
        <v/>
      </c>
      <c r="V47" s="206" t="str">
        <f>IF(AND($A47&gt;=SYear_O, $A47&lt;=EYear_O, V$3&gt;0), V$3 * VLOOKUP($A47, Data_All!$A$8:$CA$153, MATCH(V$2, Data_All!$B$2:$CA$2, 0)+1), "")</f>
        <v/>
      </c>
      <c r="W47" s="206" t="str">
        <f>IF(AND($A47&gt;=SYear_O, $A47&lt;=EYear_O, W$3&gt;0), W$3 * VLOOKUP($A47, Data_All!$A$8:$CA$153, MATCH(W$2, Data_All!$B$2:$CA$2, 0)+1), "")</f>
        <v/>
      </c>
      <c r="X47" s="206" t="str">
        <f>IF(AND($A47&gt;=SYear_O, $A47&lt;=EYear_O, X$3&gt;0), X$3 * VLOOKUP($A47, Data_All!$A$8:$CA$153, MATCH(X$2, Data_All!$B$2:$CA$2, 0)+1), "")</f>
        <v/>
      </c>
      <c r="Y47" s="206" t="str">
        <f>IF(AND($A47&gt;=SYear_O, $A47&lt;=EYear_O, Y$3&gt;0), Y$3 * VLOOKUP($A47, Data_All!$A$8:$CA$153, MATCH(Y$2, Data_All!$B$2:$CA$2, 0)+1), "")</f>
        <v/>
      </c>
      <c r="Z47" s="206" t="str">
        <f>IF(AND($A47&gt;=SYear_O, $A47&lt;=EYear_O, Z$3&gt;0), Z$3 * VLOOKUP($A47, Data_All!$A$8:$CA$153, MATCH(Z$2, Data_All!$B$2:$CA$2, 0)+1), "")</f>
        <v/>
      </c>
      <c r="AA47" s="206" t="str">
        <f>IF(AND($A47&gt;=SYear_O, $A47&lt;=EYear_O, AA$3&gt;0), AA$3 * VLOOKUP($A47, Data_All!$A$8:$CA$153, MATCH(AA$2, Data_All!$B$2:$CA$2, 0)+1), "")</f>
        <v/>
      </c>
      <c r="AB47" s="206" t="str">
        <f>IF(AND($A47&gt;=SYear_O, $A47&lt;=EYear_O, AB$3&gt;0), AB$3 * VLOOKUP($A47, Data_All!$A$8:$CA$153, MATCH(AB$2, Data_All!$B$2:$CA$2, 0)+1), "")</f>
        <v/>
      </c>
      <c r="AC47" s="206" t="str">
        <f>IF(AND($A47&gt;=SYear_O, $A47&lt;=EYear_O, AC$3&gt;0), AC$3 * VLOOKUP($A47, Data_All!$A$8:$CA$153, MATCH(AC$2, Data_All!$B$2:$CA$2, 0)+1), "")</f>
        <v/>
      </c>
      <c r="AD47" s="206" t="str">
        <f>IF(AND($A47&gt;=SYear_O, $A47&lt;=EYear_O, AD$3&gt;0), AD$3 * VLOOKUP($A47, Data_All!$A$8:$CA$153, MATCH(AD$2, Data_All!$B$2:$CA$2, 0)+1), "")</f>
        <v/>
      </c>
      <c r="AE47" s="206" t="str">
        <f>IF(AND($A47&gt;=SYear_O, $A47&lt;=EYear_O, AE$3&gt;0), AE$3 * VLOOKUP($A47, Data_All!$A$8:$CA$153, MATCH(AE$2, Data_All!$B$2:$CA$2, 0)+1), "")</f>
        <v/>
      </c>
      <c r="AF47" s="206" t="str">
        <f>IF(AND($A47&gt;=SYear_O, $A47&lt;=EYear_O, AF$3&gt;0), AF$3 * VLOOKUP($A47, Data_All!$A$8:$CA$153, MATCH(AF$2, Data_All!$B$2:$CA$2, 0)+1), "")</f>
        <v/>
      </c>
      <c r="AG47" s="206" t="str">
        <f>IF(AND($A47&gt;=SYear_O, $A47&lt;=EYear_O, AG$3&gt;0), AG$3 * VLOOKUP($A47, Data_All!$A$8:$CA$153, MATCH(AG$2, Data_All!$B$2:$CA$2, 0)+1), "")</f>
        <v/>
      </c>
      <c r="AH47" s="206" t="str">
        <f>IF(AND($A47&gt;=SYear_O, $A47&lt;=EYear_O, AH$3&gt;0), AH$3 * VLOOKUP($A47, Data_All!$A$8:$CA$153, MATCH(AH$2, Data_All!$B$2:$CA$2, 0)+1), "")</f>
        <v/>
      </c>
      <c r="AI47" s="206" t="str">
        <f>IF(AND($A47&gt;=SYear_O, $A47&lt;=EYear_O, AI$3&gt;0), AI$3 * VLOOKUP($A47, Data_All!$A$8:$CA$153, MATCH(AI$2, Data_All!$B$2:$CA$2, 0)+1), "")</f>
        <v/>
      </c>
      <c r="AJ47" s="206" t="str">
        <f>IF(AND($A47&gt;=SYear_O, $A47&lt;=EYear_O, AJ$3&gt;0), AJ$3 * VLOOKUP($A47, Data_All!$A$8:$CA$153, MATCH(AJ$2, Data_All!$B$2:$CA$2, 0)+1), "")</f>
        <v/>
      </c>
      <c r="AK47" s="206" t="str">
        <f>IF(AND($A47&gt;=SYear_O, $A47&lt;=EYear_O, AK$3&gt;0), AK$3 * VLOOKUP($A47, Data_All!$A$8:$CA$153, MATCH(AK$2, Data_All!$B$2:$CA$2, 0)+1), "")</f>
        <v/>
      </c>
      <c r="AL47" s="206" t="str">
        <f>IF(AND($A47&gt;=SYear_O, $A47&lt;=EYear_O, AL$3&gt;0), AL$3 * VLOOKUP($A47, Data_All!$A$8:$CA$153, MATCH(AL$2, Data_All!$B$2:$CA$2, 0)+1), "")</f>
        <v/>
      </c>
      <c r="AM47" s="206" t="str">
        <f>IF(AND($A47&gt;=SYear_O, $A47&lt;=EYear_O, AM$3&gt;0), AM$3 * VLOOKUP($A47, Data_All!$A$8:$CA$153, MATCH(AM$2, Data_All!$B$2:$CA$2, 0)+1), "")</f>
        <v/>
      </c>
      <c r="AN47" s="206" t="str">
        <f>IF(AND($A47&gt;=SYear_O, $A47&lt;=EYear_O, AN$3&gt;0), AN$3 * VLOOKUP($A47, Data_All!$A$8:$CA$153, MATCH(AN$2, Data_All!$B$2:$CA$2, 0)+1), "")</f>
        <v/>
      </c>
      <c r="AO47" s="206" t="str">
        <f>IF(AND($A47&gt;=SYear_O, $A47&lt;=EYear_O, AO$3&gt;0), AO$3 * VLOOKUP($A47, Data_All!$A$8:$CA$153, MATCH(AO$2, Data_All!$B$2:$CA$2, 0)+1), "")</f>
        <v/>
      </c>
      <c r="AP47" s="206" t="str">
        <f>IF(AND($A47&gt;=SYear_O, $A47&lt;=EYear_O, AP$3&gt;0), AP$3 * VLOOKUP($A47, Data_All!$A$8:$CA$153, MATCH(AP$2, Data_All!$B$2:$CA$2, 0)+1), "")</f>
        <v/>
      </c>
      <c r="AQ47" s="206" t="str">
        <f>IF(AND($A47&gt;=SYear_O, $A47&lt;=EYear_O, AQ$3&gt;0), AQ$3 * VLOOKUP($A47, Data_All!$A$8:$CA$153, MATCH(AQ$2, Data_All!$B$2:$CA$2, 0)+1), "")</f>
        <v/>
      </c>
      <c r="AR47" s="206" t="str">
        <f>IF(AND($A47&gt;=SYear_O, $A47&lt;=EYear_O, AR$3&gt;0), AR$3 * VLOOKUP($A47, Data_All!$A$8:$CA$153, MATCH(AR$2, Data_All!$B$2:$CA$2, 0)+1), "")</f>
        <v/>
      </c>
      <c r="AS47" s="206" t="str">
        <f>IF(AND($A47&gt;=SYear_O, $A47&lt;=EYear_O, AS$3&gt;0), AS$3 * VLOOKUP($A47, Data_All!$A$8:$CA$153, MATCH(AS$2, Data_All!$B$2:$CA$2, 0)+1), "")</f>
        <v/>
      </c>
      <c r="AT47" s="206" t="str">
        <f>IF(AND($A47&gt;=SYear_O, $A47&lt;=EYear_O, AT$3&gt;0), AT$3 * VLOOKUP($A47, Data_All!$A$8:$CA$153, MATCH(AT$2, Data_All!$B$2:$CA$2, 0)+1), "")</f>
        <v/>
      </c>
      <c r="AU47" s="206" t="str">
        <f>IF(AND($A47&gt;=SYear_O, $A47&lt;=EYear_O, AU$3&gt;0), AU$3 * VLOOKUP($A47, Data_All!$A$8:$CA$153, MATCH(AU$2, Data_All!$B$2:$CA$2, 0)+1), "")</f>
        <v/>
      </c>
      <c r="AV47" s="206" t="str">
        <f>IF(AND($A47&gt;=SYear_O, $A47&lt;=EYear_O, AV$3&gt;0), AV$3 * VLOOKUP($A47, Data_All!$A$8:$CA$153, MATCH(AV$2, Data_All!$B$2:$CA$2, 0)+1), "")</f>
        <v/>
      </c>
      <c r="AW47" s="206" t="str">
        <f>IF(AND($A47&gt;=SYear_O, $A47&lt;=EYear_O, AW$3&gt;0), AW$3 * VLOOKUP($A47, Data_All!$A$8:$CA$153, MATCH(AW$2, Data_All!$B$2:$CA$2, 0)+1), "")</f>
        <v/>
      </c>
      <c r="AX47" s="206" t="str">
        <f>IF(AND($A47&gt;=SYear_O, $A47&lt;=EYear_O, AX$3&gt;0), AX$3 * VLOOKUP($A47, Data_All!$A$8:$CA$153, MATCH(AX$2, Data_All!$B$2:$CA$2, 0)+1), "")</f>
        <v/>
      </c>
      <c r="AY47" s="206" t="str">
        <f>IF(AND($A47&gt;=SYear_O, $A47&lt;=EYear_O, AY$3&gt;0), AY$3 * VLOOKUP($A47, Data_All!$A$8:$CA$153, MATCH(AY$2, Data_All!$B$2:$CA$2, 0)+1), "")</f>
        <v/>
      </c>
      <c r="AZ47" s="206" t="str">
        <f>IF(AND($A47&gt;=SYear_O, $A47&lt;=EYear_O, AZ$3&gt;0), AZ$3 * VLOOKUP($A47, Data_All!$A$8:$CA$153, MATCH(AZ$2, Data_All!$B$2:$CA$2, 0)+1), "")</f>
        <v/>
      </c>
      <c r="BA47" s="206" t="str">
        <f>IF(AND($A47&gt;=SYear_O, $A47&lt;=EYear_O, BA$3&gt;0), BA$3 * VLOOKUP($A47, Data_All!$A$8:$CA$153, MATCH(BA$2, Data_All!$B$2:$CA$2, 0)+1), "")</f>
        <v/>
      </c>
      <c r="BB47" s="206" t="str">
        <f>IF(AND($A47&gt;=SYear_O, $A47&lt;=EYear_O, BB$3&gt;0), BB$3 * VLOOKUP($A47, Data_All!$A$8:$CA$153, MATCH(BB$2, Data_All!$B$2:$CA$2, 0)+1), "")</f>
        <v/>
      </c>
      <c r="BC47" s="206" t="str">
        <f>IF(AND($A47&gt;=SYear_O, $A47&lt;=EYear_O, BC$3&gt;0), BC$3 * VLOOKUP($A47, Data_All!$A$8:$CA$153, MATCH(BC$2, Data_All!$B$2:$CA$2, 0)+1), "")</f>
        <v/>
      </c>
      <c r="BD47" s="206" t="str">
        <f>IF(AND($A47&gt;=SYear_O, $A47&lt;=EYear_O, BD$3&gt;0), BD$3 * VLOOKUP($A47, Data_All!$A$8:$CA$153, MATCH(BD$2, Data_All!$B$2:$CA$2, 0)+1), "")</f>
        <v/>
      </c>
      <c r="BE47" s="206" t="str">
        <f>IF(AND($A47&gt;=SYear_O, $A47&lt;=EYear_O, BE$3&gt;0), BE$3 * VLOOKUP($A47, Data_All!$A$8:$CA$153, MATCH(BE$2, Data_All!$B$2:$CA$2, 0)+1), "")</f>
        <v/>
      </c>
      <c r="BF47" s="206" t="str">
        <f>IF(AND($A47&gt;=SYear_O, $A47&lt;=EYear_O, BF$3&gt;0), BF$3 * VLOOKUP($A47, Data_All!$A$8:$CA$153, MATCH(BF$2, Data_All!$B$2:$CA$2, 0)+1), "")</f>
        <v/>
      </c>
      <c r="BG47" s="206" t="str">
        <f>IF(AND($A47&gt;=SYear_O, $A47&lt;=EYear_O, BG$3&gt;0), BG$3 * VLOOKUP($A47, Data_All!$A$8:$CA$153, MATCH(BG$2, Data_All!$B$2:$CA$2, 0)+1), "")</f>
        <v/>
      </c>
      <c r="BH47" s="206" t="str">
        <f>IF(AND($A47&gt;=SYear_O, $A47&lt;=EYear_O, BH$3&gt;0), BH$3 * VLOOKUP($A47, Data_All!$A$8:$CA$153, MATCH(BH$2, Data_All!$B$2:$CA$2, 0)+1), "")</f>
        <v/>
      </c>
      <c r="BI47" s="206" t="str">
        <f>IF(AND($A47&gt;=SYear_O, $A47&lt;=EYear_O, BI$3&gt;0), BI$3 * VLOOKUP($A47, Data_All!$A$8:$CA$153, MATCH(BI$2, Data_All!$B$2:$CA$2, 0)+1), "")</f>
        <v/>
      </c>
      <c r="BJ47" s="206" t="str">
        <f>IF(AND($A47&gt;=SYear_O, $A47&lt;=EYear_O, BJ$3&gt;0), BJ$3 * VLOOKUP($A47, Data_All!$A$8:$CA$153, MATCH(BJ$2, Data_All!$B$2:$CA$2, 0)+1), "")</f>
        <v/>
      </c>
      <c r="BK47" s="206" t="str">
        <f>IF(AND($A47&gt;=SYear_O, $A47&lt;=EYear_O, BK$3&gt;0), BK$3 * VLOOKUP($A47, Data_All!$A$8:$CA$153, MATCH(BK$2, Data_All!$B$2:$CA$2, 0)+1), "")</f>
        <v/>
      </c>
      <c r="BL47" s="206" t="str">
        <f>IF(AND($A47&gt;=SYear_O, $A47&lt;=EYear_O, BL$3&gt;0), BL$3 * VLOOKUP($A47, Data_All!$A$8:$CA$153, MATCH(BL$2, Data_All!$B$2:$CA$2, 0)+1), "")</f>
        <v/>
      </c>
      <c r="BM47" s="206" t="str">
        <f>IF(AND($A47&gt;=SYear_O, $A47&lt;=EYear_O, BM$3&gt;0), BM$3 * VLOOKUP($A47, Data_All!$A$8:$CA$153, MATCH(BM$2, Data_All!$B$2:$CA$2, 0)+1), "")</f>
        <v/>
      </c>
      <c r="BN47" s="206" t="str">
        <f>IF(AND($A47&gt;=SYear_O, $A47&lt;=EYear_O, BN$3&gt;0), BN$3 * VLOOKUP($A47, Data_All!$A$8:$CA$153, MATCH(BN$2, Data_All!$B$2:$CA$2, 0)+1), "")</f>
        <v/>
      </c>
      <c r="BO47" s="206" t="str">
        <f>IF(AND($A47&gt;=SYear_O, $A47&lt;=EYear_O, BO$3&gt;0), BO$3 * VLOOKUP($A47, Data_All!$A$8:$CA$153, MATCH(BO$2, Data_All!$B$2:$CA$2, 0)+1), "")</f>
        <v/>
      </c>
      <c r="BP47" s="206" t="str">
        <f>IF(AND($A47&gt;=SYear_O, $A47&lt;=EYear_O, BP$3&gt;0), BP$3 * VLOOKUP($A47, Data_All!$A$8:$CA$153, MATCH(BP$2, Data_All!$B$2:$CA$2, 0)+1), "")</f>
        <v/>
      </c>
      <c r="BQ47" s="206" t="str">
        <f>IF(AND($A47&gt;=SYear_O, $A47&lt;=EYear_O, BQ$3&gt;0), BQ$3 * VLOOKUP($A47, Data_All!$A$8:$CA$153, MATCH(BQ$2, Data_All!$B$2:$CA$2, 0)+1), "")</f>
        <v/>
      </c>
      <c r="BR47" s="206" t="str">
        <f>IF(AND($A47&gt;=SYear_O, $A47&lt;=EYear_O, BR$3&gt;0), BR$3 * VLOOKUP($A47, Data_All!$A$8:$CA$153, MATCH(BR$2, Data_All!$B$2:$CA$2, 0)+1), "")</f>
        <v/>
      </c>
      <c r="BS47" s="206" t="str">
        <f>IF(AND($A47&gt;=SYear_O, $A47&lt;=EYear_O, BS$3&gt;0), BS$3 * VLOOKUP($A47, Data_All!$A$8:$CA$153, MATCH(BS$2, Data_All!$B$2:$CA$2, 0)+1), "")</f>
        <v/>
      </c>
      <c r="BT47" s="206" t="str">
        <f>IF(AND($A47&gt;=SYear_O, $A47&lt;=EYear_O, BT$3&gt;0), BT$3 * VLOOKUP($A47, Data_All!$A$8:$CA$153, MATCH(BT$2, Data_All!$B$2:$CA$2, 0)+1), "")</f>
        <v/>
      </c>
      <c r="BU47" s="206" t="str">
        <f>IF(AND($A47&gt;=SYear_O, $A47&lt;=EYear_O, BU$3&gt;0), BU$3 * VLOOKUP($A47, Data_All!$A$8:$CA$153, MATCH(BU$2, Data_All!$B$2:$CA$2, 0)+1), "")</f>
        <v/>
      </c>
      <c r="BV47" s="206" t="str">
        <f>IF(AND($A47&gt;=SYear_O, $A47&lt;=EYear_O, BV$3&gt;0), BV$3 * VLOOKUP($A47, Data_All!$A$8:$CA$153, MATCH(BV$2, Data_All!$B$2:$CA$2, 0)+1), "")</f>
        <v/>
      </c>
      <c r="BW47" s="206" t="str">
        <f>IF(AND($A47&gt;=SYear_O, $A47&lt;=EYear_O, BW$3&gt;0), BW$3 * VLOOKUP($A47, Data_All!$A$8:$CA$153, MATCH(BW$2, Data_All!$B$2:$CA$2, 0)+1), "")</f>
        <v/>
      </c>
      <c r="BX47" s="206">
        <f>IF(AND($A47&gt;=SYear_O, $A47&lt;=EYear_O, BX$3&gt;0), BX$3 * VLOOKUP($A47, Data_All!$A$8:$CA$153, MATCH(BX$2, Data_All!$B$2:$CA$2, 0)+1), "")</f>
        <v>2.0711974110032427</v>
      </c>
      <c r="BY47" s="206">
        <f>IF(AND($A47&gt;=SYear_O, $A47&lt;=EYear_O, BY$3&gt;0), BY$3 * VLOOKUP($A47, Data_All!$A$8:$CA$153, MATCH(BY$2, Data_All!$B$2:$CA$2, 0)+1), "")</f>
        <v>1.3055613651761178</v>
      </c>
      <c r="BZ47" s="206" t="str">
        <f>IF(AND($A47&gt;=SYear_O, $A47&lt;=EYear_O, BZ$3&gt;0), BZ$3 * VLOOKUP($A47, Data_All!$A$8:$CA$153, MATCH(BZ$2, Data_All!$B$2:$CA$2, 0)+1), "")</f>
        <v/>
      </c>
      <c r="CA47" s="565">
        <f t="shared" si="19"/>
        <v>3.3767587761793605</v>
      </c>
      <c r="CB47" s="427">
        <f t="shared" si="20"/>
        <v>105853.26646340983</v>
      </c>
      <c r="CC47" s="565">
        <f>IF(AND($A47&gt;=SYear_O,$A47&lt;=EYear_O),(CA47-Data_All!CA48)/(1+Data_All!CA48%),"")</f>
        <v>4.4529030025621861</v>
      </c>
      <c r="CD47" s="436">
        <f t="shared" si="21"/>
        <v>144445.02386950681</v>
      </c>
      <c r="CE47" s="438">
        <f t="shared" si="22"/>
        <v>9.6008106891969831</v>
      </c>
      <c r="CF47" s="438">
        <f>IF(AND($A47&gt;=SYear_O,$A47&lt;=EYear_O),MAX($CE$7:CE47),"")</f>
        <v>9.6008106891969831</v>
      </c>
      <c r="CG47" s="209">
        <f t="shared" si="23"/>
        <v>0</v>
      </c>
      <c r="CI47" s="143">
        <f>IF(AND($A47&gt;=SYear_O,$A47&lt;=EYear_O),Data_All!V48,"")</f>
        <v>3.9064841642521735</v>
      </c>
      <c r="CJ47" s="143">
        <f>IF(AND($A47&gt;=SYear_O,$A47&lt;=EYear_O),Data_All!CA48,"")</f>
        <v>-1.0302674176096649</v>
      </c>
      <c r="CK47" s="143">
        <f t="shared" si="24"/>
        <v>4.9881427917894898</v>
      </c>
      <c r="CN47" s="61">
        <f t="shared" si="25"/>
        <v>3.376758776179356E-2</v>
      </c>
      <c r="CO47" s="61">
        <f t="shared" si="26"/>
        <v>2.5845024597259902E-2</v>
      </c>
      <c r="CP47" s="61">
        <f t="shared" si="27"/>
        <v>5.1217762810403578E-2</v>
      </c>
      <c r="CQ47" s="61">
        <f t="shared" si="28"/>
        <v>3.6422260930776051E-2</v>
      </c>
      <c r="CR47" s="61">
        <f t="shared" si="29"/>
        <v>6.8948355124384575E-2</v>
      </c>
      <c r="CU47" s="61">
        <f t="shared" si="30"/>
        <v>4.4529030025621807E-2</v>
      </c>
      <c r="CV47" s="61">
        <f t="shared" si="31"/>
        <v>-1.2241351910521336E-3</v>
      </c>
      <c r="CW47" s="61">
        <f t="shared" si="32"/>
        <v>2.6402715815860844E-2</v>
      </c>
      <c r="CX47" s="61">
        <f t="shared" si="33"/>
        <v>-3.5777509496231152E-2</v>
      </c>
      <c r="CY47" s="61">
        <f t="shared" si="34"/>
        <v>2.2767952030986027E-2</v>
      </c>
    </row>
    <row r="48" spans="1:103">
      <c r="A48" s="204">
        <f t="shared" si="18"/>
        <v>1912</v>
      </c>
      <c r="B48" s="206" t="str">
        <f>IF(AND($A48&gt;=SYear_O, $A48&lt;=EYear_O, B$3&gt;0), B$3 * VLOOKUP($A48, Data_All!$A$8:$CA$153, MATCH(B$2, Data_All!$B$2:$CA$2, 0)+1), "")</f>
        <v/>
      </c>
      <c r="C48" s="206" t="str">
        <f>IF(AND($A48&gt;=SYear_O, $A48&lt;=EYear_O, C$3&gt;0), C$3 * VLOOKUP($A48, Data_All!$A$8:$CA$153, MATCH(C$2, Data_All!$B$2:$CA$2, 0)+1), "")</f>
        <v/>
      </c>
      <c r="D48" s="206" t="str">
        <f>IF(AND($A48&gt;=SYear_O, $A48&lt;=EYear_O, D$3&gt;0), D$3 * VLOOKUP($A48, Data_All!$A$8:$CA$153, MATCH(D$2, Data_All!$B$2:$CA$2, 0)+1), "")</f>
        <v/>
      </c>
      <c r="E48" s="206" t="str">
        <f>IF(AND($A48&gt;=SYear_O, $A48&lt;=EYear_O, E$3&gt;0), E$3 * VLOOKUP($A48, Data_All!$A$8:$CA$153, MATCH(E$2, Data_All!$B$2:$CA$2, 0)+1), "")</f>
        <v/>
      </c>
      <c r="F48" s="206" t="str">
        <f>IF(AND($A48&gt;=SYear_O, $A48&lt;=EYear_O, F$3&gt;0), F$3 * VLOOKUP($A48, Data_All!$A$8:$CA$153, MATCH(F$2, Data_All!$B$2:$CA$2, 0)+1), "")</f>
        <v/>
      </c>
      <c r="G48" s="206" t="str">
        <f>IF(AND($A48&gt;=SYear_O, $A48&lt;=EYear_O, G$3&gt;0), G$3 * VLOOKUP($A48, Data_All!$A$8:$CA$153, MATCH(G$2, Data_All!$B$2:$CA$2, 0)+1), "")</f>
        <v/>
      </c>
      <c r="H48" s="206" t="str">
        <f>IF(AND($A48&gt;=SYear_O, $A48&lt;=EYear_O, H$3&gt;0), H$3 * VLOOKUP($A48, Data_All!$A$8:$CA$153, MATCH(H$2, Data_All!$B$2:$CA$2, 0)+1), "")</f>
        <v/>
      </c>
      <c r="I48" s="206" t="str">
        <f>IF(AND($A48&gt;=SYear_O, $A48&lt;=EYear_O, I$3&gt;0), I$3 * VLOOKUP($A48, Data_All!$A$8:$CA$153, MATCH(I$2, Data_All!$B$2:$CA$2, 0)+1), "")</f>
        <v/>
      </c>
      <c r="J48" s="206" t="str">
        <f>IF(AND($A48&gt;=SYear_O, $A48&lt;=EYear_O, J$3&gt;0), J$3 * VLOOKUP($A48, Data_All!$A$8:$CA$153, MATCH(J$2, Data_All!$B$2:$CA$2, 0)+1), "")</f>
        <v/>
      </c>
      <c r="K48" s="206" t="str">
        <f>IF(AND($A48&gt;=SYear_O, $A48&lt;=EYear_O, K$3&gt;0), K$3 * VLOOKUP($A48, Data_All!$A$8:$CA$153, MATCH(K$2, Data_All!$B$2:$CA$2, 0)+1), "")</f>
        <v/>
      </c>
      <c r="L48" s="206" t="str">
        <f>IF(AND($A48&gt;=SYear_O, $A48&lt;=EYear_O, L$3&gt;0), L$3 * VLOOKUP($A48, Data_All!$A$8:$CA$153, MATCH(L$2, Data_All!$B$2:$CA$2, 0)+1), "")</f>
        <v/>
      </c>
      <c r="M48" s="206" t="str">
        <f>IF(AND($A48&gt;=SYear_O, $A48&lt;=EYear_O, M$3&gt;0), M$3 * VLOOKUP($A48, Data_All!$A$8:$CA$153, MATCH(M$2, Data_All!$B$2:$CA$2, 0)+1), "")</f>
        <v/>
      </c>
      <c r="N48" s="206" t="str">
        <f>IF(AND($A48&gt;=SYear_O, $A48&lt;=EYear_O, N$3&gt;0), N$3 * VLOOKUP($A48, Data_All!$A$8:$CA$153, MATCH(N$2, Data_All!$B$2:$CA$2, 0)+1), "")</f>
        <v/>
      </c>
      <c r="O48" s="206" t="str">
        <f>IF(AND($A48&gt;=SYear_O, $A48&lt;=EYear_O, O$3&gt;0), O$3 * VLOOKUP($A48, Data_All!$A$8:$CA$153, MATCH(O$2, Data_All!$B$2:$CA$2, 0)+1), "")</f>
        <v/>
      </c>
      <c r="P48" s="206" t="str">
        <f>IF(AND($A48&gt;=SYear_O, $A48&lt;=EYear_O, P$3&gt;0), P$3 * VLOOKUP($A48, Data_All!$A$8:$CA$153, MATCH(P$2, Data_All!$B$2:$CA$2, 0)+1), "")</f>
        <v/>
      </c>
      <c r="Q48" s="206" t="str">
        <f>IF(AND($A48&gt;=SYear_O, $A48&lt;=EYear_O, Q$3&gt;0), Q$3 * VLOOKUP($A48, Data_All!$A$8:$CA$153, MATCH(Q$2, Data_All!$B$2:$CA$2, 0)+1), "")</f>
        <v/>
      </c>
      <c r="R48" s="206" t="str">
        <f>IF(AND($A48&gt;=SYear_O, $A48&lt;=EYear_O, R$3&gt;0), R$3 * VLOOKUP($A48, Data_All!$A$8:$CA$153, MATCH(R$2, Data_All!$B$2:$CA$2, 0)+1), "")</f>
        <v/>
      </c>
      <c r="S48" s="206" t="str">
        <f>IF(AND($A48&gt;=SYear_O, $A48&lt;=EYear_O, S$3&gt;0), S$3 * VLOOKUP($A48, Data_All!$A$8:$CA$153, MATCH(S$2, Data_All!$B$2:$CA$2, 0)+1), "")</f>
        <v/>
      </c>
      <c r="T48" s="206" t="str">
        <f>IF(AND($A48&gt;=SYear_O, $A48&lt;=EYear_O, T$3&gt;0), T$3 * VLOOKUP($A48, Data_All!$A$8:$CA$153, MATCH(T$2, Data_All!$B$2:$CA$2, 0)+1), "")</f>
        <v/>
      </c>
      <c r="U48" s="206" t="str">
        <f>IF(AND($A48&gt;=SYear_O, $A48&lt;=EYear_O, U$3&gt;0), U$3 * VLOOKUP($A48, Data_All!$A$8:$CA$153, MATCH(U$2, Data_All!$B$2:$CA$2, 0)+1), "")</f>
        <v/>
      </c>
      <c r="V48" s="206" t="str">
        <f>IF(AND($A48&gt;=SYear_O, $A48&lt;=EYear_O, V$3&gt;0), V$3 * VLOOKUP($A48, Data_All!$A$8:$CA$153, MATCH(V$2, Data_All!$B$2:$CA$2, 0)+1), "")</f>
        <v/>
      </c>
      <c r="W48" s="206" t="str">
        <f>IF(AND($A48&gt;=SYear_O, $A48&lt;=EYear_O, W$3&gt;0), W$3 * VLOOKUP($A48, Data_All!$A$8:$CA$153, MATCH(W$2, Data_All!$B$2:$CA$2, 0)+1), "")</f>
        <v/>
      </c>
      <c r="X48" s="206" t="str">
        <f>IF(AND($A48&gt;=SYear_O, $A48&lt;=EYear_O, X$3&gt;0), X$3 * VLOOKUP($A48, Data_All!$A$8:$CA$153, MATCH(X$2, Data_All!$B$2:$CA$2, 0)+1), "")</f>
        <v/>
      </c>
      <c r="Y48" s="206" t="str">
        <f>IF(AND($A48&gt;=SYear_O, $A48&lt;=EYear_O, Y$3&gt;0), Y$3 * VLOOKUP($A48, Data_All!$A$8:$CA$153, MATCH(Y$2, Data_All!$B$2:$CA$2, 0)+1), "")</f>
        <v/>
      </c>
      <c r="Z48" s="206" t="str">
        <f>IF(AND($A48&gt;=SYear_O, $A48&lt;=EYear_O, Z$3&gt;0), Z$3 * VLOOKUP($A48, Data_All!$A$8:$CA$153, MATCH(Z$2, Data_All!$B$2:$CA$2, 0)+1), "")</f>
        <v/>
      </c>
      <c r="AA48" s="206" t="str">
        <f>IF(AND($A48&gt;=SYear_O, $A48&lt;=EYear_O, AA$3&gt;0), AA$3 * VLOOKUP($A48, Data_All!$A$8:$CA$153, MATCH(AA$2, Data_All!$B$2:$CA$2, 0)+1), "")</f>
        <v/>
      </c>
      <c r="AB48" s="206" t="str">
        <f>IF(AND($A48&gt;=SYear_O, $A48&lt;=EYear_O, AB$3&gt;0), AB$3 * VLOOKUP($A48, Data_All!$A$8:$CA$153, MATCH(AB$2, Data_All!$B$2:$CA$2, 0)+1), "")</f>
        <v/>
      </c>
      <c r="AC48" s="206" t="str">
        <f>IF(AND($A48&gt;=SYear_O, $A48&lt;=EYear_O, AC$3&gt;0), AC$3 * VLOOKUP($A48, Data_All!$A$8:$CA$153, MATCH(AC$2, Data_All!$B$2:$CA$2, 0)+1), "")</f>
        <v/>
      </c>
      <c r="AD48" s="206" t="str">
        <f>IF(AND($A48&gt;=SYear_O, $A48&lt;=EYear_O, AD$3&gt;0), AD$3 * VLOOKUP($A48, Data_All!$A$8:$CA$153, MATCH(AD$2, Data_All!$B$2:$CA$2, 0)+1), "")</f>
        <v/>
      </c>
      <c r="AE48" s="206" t="str">
        <f>IF(AND($A48&gt;=SYear_O, $A48&lt;=EYear_O, AE$3&gt;0), AE$3 * VLOOKUP($A48, Data_All!$A$8:$CA$153, MATCH(AE$2, Data_All!$B$2:$CA$2, 0)+1), "")</f>
        <v/>
      </c>
      <c r="AF48" s="206" t="str">
        <f>IF(AND($A48&gt;=SYear_O, $A48&lt;=EYear_O, AF$3&gt;0), AF$3 * VLOOKUP($A48, Data_All!$A$8:$CA$153, MATCH(AF$2, Data_All!$B$2:$CA$2, 0)+1), "")</f>
        <v/>
      </c>
      <c r="AG48" s="206" t="str">
        <f>IF(AND($A48&gt;=SYear_O, $A48&lt;=EYear_O, AG$3&gt;0), AG$3 * VLOOKUP($A48, Data_All!$A$8:$CA$153, MATCH(AG$2, Data_All!$B$2:$CA$2, 0)+1), "")</f>
        <v/>
      </c>
      <c r="AH48" s="206" t="str">
        <f>IF(AND($A48&gt;=SYear_O, $A48&lt;=EYear_O, AH$3&gt;0), AH$3 * VLOOKUP($A48, Data_All!$A$8:$CA$153, MATCH(AH$2, Data_All!$B$2:$CA$2, 0)+1), "")</f>
        <v/>
      </c>
      <c r="AI48" s="206" t="str">
        <f>IF(AND($A48&gt;=SYear_O, $A48&lt;=EYear_O, AI$3&gt;0), AI$3 * VLOOKUP($A48, Data_All!$A$8:$CA$153, MATCH(AI$2, Data_All!$B$2:$CA$2, 0)+1), "")</f>
        <v/>
      </c>
      <c r="AJ48" s="206" t="str">
        <f>IF(AND($A48&gt;=SYear_O, $A48&lt;=EYear_O, AJ$3&gt;0), AJ$3 * VLOOKUP($A48, Data_All!$A$8:$CA$153, MATCH(AJ$2, Data_All!$B$2:$CA$2, 0)+1), "")</f>
        <v/>
      </c>
      <c r="AK48" s="206" t="str">
        <f>IF(AND($A48&gt;=SYear_O, $A48&lt;=EYear_O, AK$3&gt;0), AK$3 * VLOOKUP($A48, Data_All!$A$8:$CA$153, MATCH(AK$2, Data_All!$B$2:$CA$2, 0)+1), "")</f>
        <v/>
      </c>
      <c r="AL48" s="206" t="str">
        <f>IF(AND($A48&gt;=SYear_O, $A48&lt;=EYear_O, AL$3&gt;0), AL$3 * VLOOKUP($A48, Data_All!$A$8:$CA$153, MATCH(AL$2, Data_All!$B$2:$CA$2, 0)+1), "")</f>
        <v/>
      </c>
      <c r="AM48" s="206" t="str">
        <f>IF(AND($A48&gt;=SYear_O, $A48&lt;=EYear_O, AM$3&gt;0), AM$3 * VLOOKUP($A48, Data_All!$A$8:$CA$153, MATCH(AM$2, Data_All!$B$2:$CA$2, 0)+1), "")</f>
        <v/>
      </c>
      <c r="AN48" s="206" t="str">
        <f>IF(AND($A48&gt;=SYear_O, $A48&lt;=EYear_O, AN$3&gt;0), AN$3 * VLOOKUP($A48, Data_All!$A$8:$CA$153, MATCH(AN$2, Data_All!$B$2:$CA$2, 0)+1), "")</f>
        <v/>
      </c>
      <c r="AO48" s="206" t="str">
        <f>IF(AND($A48&gt;=SYear_O, $A48&lt;=EYear_O, AO$3&gt;0), AO$3 * VLOOKUP($A48, Data_All!$A$8:$CA$153, MATCH(AO$2, Data_All!$B$2:$CA$2, 0)+1), "")</f>
        <v/>
      </c>
      <c r="AP48" s="206" t="str">
        <f>IF(AND($A48&gt;=SYear_O, $A48&lt;=EYear_O, AP$3&gt;0), AP$3 * VLOOKUP($A48, Data_All!$A$8:$CA$153, MATCH(AP$2, Data_All!$B$2:$CA$2, 0)+1), "")</f>
        <v/>
      </c>
      <c r="AQ48" s="206" t="str">
        <f>IF(AND($A48&gt;=SYear_O, $A48&lt;=EYear_O, AQ$3&gt;0), AQ$3 * VLOOKUP($A48, Data_All!$A$8:$CA$153, MATCH(AQ$2, Data_All!$B$2:$CA$2, 0)+1), "")</f>
        <v/>
      </c>
      <c r="AR48" s="206" t="str">
        <f>IF(AND($A48&gt;=SYear_O, $A48&lt;=EYear_O, AR$3&gt;0), AR$3 * VLOOKUP($A48, Data_All!$A$8:$CA$153, MATCH(AR$2, Data_All!$B$2:$CA$2, 0)+1), "")</f>
        <v/>
      </c>
      <c r="AS48" s="206" t="str">
        <f>IF(AND($A48&gt;=SYear_O, $A48&lt;=EYear_O, AS$3&gt;0), AS$3 * VLOOKUP($A48, Data_All!$A$8:$CA$153, MATCH(AS$2, Data_All!$B$2:$CA$2, 0)+1), "")</f>
        <v/>
      </c>
      <c r="AT48" s="206" t="str">
        <f>IF(AND($A48&gt;=SYear_O, $A48&lt;=EYear_O, AT$3&gt;0), AT$3 * VLOOKUP($A48, Data_All!$A$8:$CA$153, MATCH(AT$2, Data_All!$B$2:$CA$2, 0)+1), "")</f>
        <v/>
      </c>
      <c r="AU48" s="206" t="str">
        <f>IF(AND($A48&gt;=SYear_O, $A48&lt;=EYear_O, AU$3&gt;0), AU$3 * VLOOKUP($A48, Data_All!$A$8:$CA$153, MATCH(AU$2, Data_All!$B$2:$CA$2, 0)+1), "")</f>
        <v/>
      </c>
      <c r="AV48" s="206" t="str">
        <f>IF(AND($A48&gt;=SYear_O, $A48&lt;=EYear_O, AV$3&gt;0), AV$3 * VLOOKUP($A48, Data_All!$A$8:$CA$153, MATCH(AV$2, Data_All!$B$2:$CA$2, 0)+1), "")</f>
        <v/>
      </c>
      <c r="AW48" s="206" t="str">
        <f>IF(AND($A48&gt;=SYear_O, $A48&lt;=EYear_O, AW$3&gt;0), AW$3 * VLOOKUP($A48, Data_All!$A$8:$CA$153, MATCH(AW$2, Data_All!$B$2:$CA$2, 0)+1), "")</f>
        <v/>
      </c>
      <c r="AX48" s="206" t="str">
        <f>IF(AND($A48&gt;=SYear_O, $A48&lt;=EYear_O, AX$3&gt;0), AX$3 * VLOOKUP($A48, Data_All!$A$8:$CA$153, MATCH(AX$2, Data_All!$B$2:$CA$2, 0)+1), "")</f>
        <v/>
      </c>
      <c r="AY48" s="206" t="str">
        <f>IF(AND($A48&gt;=SYear_O, $A48&lt;=EYear_O, AY$3&gt;0), AY$3 * VLOOKUP($A48, Data_All!$A$8:$CA$153, MATCH(AY$2, Data_All!$B$2:$CA$2, 0)+1), "")</f>
        <v/>
      </c>
      <c r="AZ48" s="206" t="str">
        <f>IF(AND($A48&gt;=SYear_O, $A48&lt;=EYear_O, AZ$3&gt;0), AZ$3 * VLOOKUP($A48, Data_All!$A$8:$CA$153, MATCH(AZ$2, Data_All!$B$2:$CA$2, 0)+1), "")</f>
        <v/>
      </c>
      <c r="BA48" s="206" t="str">
        <f>IF(AND($A48&gt;=SYear_O, $A48&lt;=EYear_O, BA$3&gt;0), BA$3 * VLOOKUP($A48, Data_All!$A$8:$CA$153, MATCH(BA$2, Data_All!$B$2:$CA$2, 0)+1), "")</f>
        <v/>
      </c>
      <c r="BB48" s="206" t="str">
        <f>IF(AND($A48&gt;=SYear_O, $A48&lt;=EYear_O, BB$3&gt;0), BB$3 * VLOOKUP($A48, Data_All!$A$8:$CA$153, MATCH(BB$2, Data_All!$B$2:$CA$2, 0)+1), "")</f>
        <v/>
      </c>
      <c r="BC48" s="206" t="str">
        <f>IF(AND($A48&gt;=SYear_O, $A48&lt;=EYear_O, BC$3&gt;0), BC$3 * VLOOKUP($A48, Data_All!$A$8:$CA$153, MATCH(BC$2, Data_All!$B$2:$CA$2, 0)+1), "")</f>
        <v/>
      </c>
      <c r="BD48" s="206" t="str">
        <f>IF(AND($A48&gt;=SYear_O, $A48&lt;=EYear_O, BD$3&gt;0), BD$3 * VLOOKUP($A48, Data_All!$A$8:$CA$153, MATCH(BD$2, Data_All!$B$2:$CA$2, 0)+1), "")</f>
        <v/>
      </c>
      <c r="BE48" s="206" t="str">
        <f>IF(AND($A48&gt;=SYear_O, $A48&lt;=EYear_O, BE$3&gt;0), BE$3 * VLOOKUP($A48, Data_All!$A$8:$CA$153, MATCH(BE$2, Data_All!$B$2:$CA$2, 0)+1), "")</f>
        <v/>
      </c>
      <c r="BF48" s="206" t="str">
        <f>IF(AND($A48&gt;=SYear_O, $A48&lt;=EYear_O, BF$3&gt;0), BF$3 * VLOOKUP($A48, Data_All!$A$8:$CA$153, MATCH(BF$2, Data_All!$B$2:$CA$2, 0)+1), "")</f>
        <v/>
      </c>
      <c r="BG48" s="206" t="str">
        <f>IF(AND($A48&gt;=SYear_O, $A48&lt;=EYear_O, BG$3&gt;0), BG$3 * VLOOKUP($A48, Data_All!$A$8:$CA$153, MATCH(BG$2, Data_All!$B$2:$CA$2, 0)+1), "")</f>
        <v/>
      </c>
      <c r="BH48" s="206" t="str">
        <f>IF(AND($A48&gt;=SYear_O, $A48&lt;=EYear_O, BH$3&gt;0), BH$3 * VLOOKUP($A48, Data_All!$A$8:$CA$153, MATCH(BH$2, Data_All!$B$2:$CA$2, 0)+1), "")</f>
        <v/>
      </c>
      <c r="BI48" s="206" t="str">
        <f>IF(AND($A48&gt;=SYear_O, $A48&lt;=EYear_O, BI$3&gt;0), BI$3 * VLOOKUP($A48, Data_All!$A$8:$CA$153, MATCH(BI$2, Data_All!$B$2:$CA$2, 0)+1), "")</f>
        <v/>
      </c>
      <c r="BJ48" s="206" t="str">
        <f>IF(AND($A48&gt;=SYear_O, $A48&lt;=EYear_O, BJ$3&gt;0), BJ$3 * VLOOKUP($A48, Data_All!$A$8:$CA$153, MATCH(BJ$2, Data_All!$B$2:$CA$2, 0)+1), "")</f>
        <v/>
      </c>
      <c r="BK48" s="206" t="str">
        <f>IF(AND($A48&gt;=SYear_O, $A48&lt;=EYear_O, BK$3&gt;0), BK$3 * VLOOKUP($A48, Data_All!$A$8:$CA$153, MATCH(BK$2, Data_All!$B$2:$CA$2, 0)+1), "")</f>
        <v/>
      </c>
      <c r="BL48" s="206" t="str">
        <f>IF(AND($A48&gt;=SYear_O, $A48&lt;=EYear_O, BL$3&gt;0), BL$3 * VLOOKUP($A48, Data_All!$A$8:$CA$153, MATCH(BL$2, Data_All!$B$2:$CA$2, 0)+1), "")</f>
        <v/>
      </c>
      <c r="BM48" s="206" t="str">
        <f>IF(AND($A48&gt;=SYear_O, $A48&lt;=EYear_O, BM$3&gt;0), BM$3 * VLOOKUP($A48, Data_All!$A$8:$CA$153, MATCH(BM$2, Data_All!$B$2:$CA$2, 0)+1), "")</f>
        <v/>
      </c>
      <c r="BN48" s="206" t="str">
        <f>IF(AND($A48&gt;=SYear_O, $A48&lt;=EYear_O, BN$3&gt;0), BN$3 * VLOOKUP($A48, Data_All!$A$8:$CA$153, MATCH(BN$2, Data_All!$B$2:$CA$2, 0)+1), "")</f>
        <v/>
      </c>
      <c r="BO48" s="206" t="str">
        <f>IF(AND($A48&gt;=SYear_O, $A48&lt;=EYear_O, BO$3&gt;0), BO$3 * VLOOKUP($A48, Data_All!$A$8:$CA$153, MATCH(BO$2, Data_All!$B$2:$CA$2, 0)+1), "")</f>
        <v/>
      </c>
      <c r="BP48" s="206" t="str">
        <f>IF(AND($A48&gt;=SYear_O, $A48&lt;=EYear_O, BP$3&gt;0), BP$3 * VLOOKUP($A48, Data_All!$A$8:$CA$153, MATCH(BP$2, Data_All!$B$2:$CA$2, 0)+1), "")</f>
        <v/>
      </c>
      <c r="BQ48" s="206" t="str">
        <f>IF(AND($A48&gt;=SYear_O, $A48&lt;=EYear_O, BQ$3&gt;0), BQ$3 * VLOOKUP($A48, Data_All!$A$8:$CA$153, MATCH(BQ$2, Data_All!$B$2:$CA$2, 0)+1), "")</f>
        <v/>
      </c>
      <c r="BR48" s="206" t="str">
        <f>IF(AND($A48&gt;=SYear_O, $A48&lt;=EYear_O, BR$3&gt;0), BR$3 * VLOOKUP($A48, Data_All!$A$8:$CA$153, MATCH(BR$2, Data_All!$B$2:$CA$2, 0)+1), "")</f>
        <v/>
      </c>
      <c r="BS48" s="206" t="str">
        <f>IF(AND($A48&gt;=SYear_O, $A48&lt;=EYear_O, BS$3&gt;0), BS$3 * VLOOKUP($A48, Data_All!$A$8:$CA$153, MATCH(BS$2, Data_All!$B$2:$CA$2, 0)+1), "")</f>
        <v/>
      </c>
      <c r="BT48" s="206" t="str">
        <f>IF(AND($A48&gt;=SYear_O, $A48&lt;=EYear_O, BT$3&gt;0), BT$3 * VLOOKUP($A48, Data_All!$A$8:$CA$153, MATCH(BT$2, Data_All!$B$2:$CA$2, 0)+1), "")</f>
        <v/>
      </c>
      <c r="BU48" s="206" t="str">
        <f>IF(AND($A48&gt;=SYear_O, $A48&lt;=EYear_O, BU$3&gt;0), BU$3 * VLOOKUP($A48, Data_All!$A$8:$CA$153, MATCH(BU$2, Data_All!$B$2:$CA$2, 0)+1), "")</f>
        <v/>
      </c>
      <c r="BV48" s="206" t="str">
        <f>IF(AND($A48&gt;=SYear_O, $A48&lt;=EYear_O, BV$3&gt;0), BV$3 * VLOOKUP($A48, Data_All!$A$8:$CA$153, MATCH(BV$2, Data_All!$B$2:$CA$2, 0)+1), "")</f>
        <v/>
      </c>
      <c r="BW48" s="206" t="str">
        <f>IF(AND($A48&gt;=SYear_O, $A48&lt;=EYear_O, BW$3&gt;0), BW$3 * VLOOKUP($A48, Data_All!$A$8:$CA$153, MATCH(BW$2, Data_All!$B$2:$CA$2, 0)+1), "")</f>
        <v/>
      </c>
      <c r="BX48" s="206">
        <f>IF(AND($A48&gt;=SYear_O, $A48&lt;=EYear_O, BX$3&gt;0), BX$3 * VLOOKUP($A48, Data_All!$A$8:$CA$153, MATCH(BX$2, Data_All!$B$2:$CA$2, 0)+1), "")</f>
        <v>4.3421052631579116</v>
      </c>
      <c r="BY48" s="206">
        <f>IF(AND($A48&gt;=SYear_O, $A48&lt;=EYear_O, BY$3&gt;0), BY$3 * VLOOKUP($A48, Data_All!$A$8:$CA$153, MATCH(BY$2, Data_All!$B$2:$CA$2, 0)+1), "")</f>
        <v>0.20469148652676239</v>
      </c>
      <c r="BZ48" s="206" t="str">
        <f>IF(AND($A48&gt;=SYear_O, $A48&lt;=EYear_O, BZ$3&gt;0), BZ$3 * VLOOKUP($A48, Data_All!$A$8:$CA$153, MATCH(BZ$2, Data_All!$B$2:$CA$2, 0)+1), "")</f>
        <v/>
      </c>
      <c r="CA48" s="565">
        <f t="shared" si="19"/>
        <v>4.546796749684674</v>
      </c>
      <c r="CB48" s="427">
        <f t="shared" si="20"/>
        <v>110666.19934240321</v>
      </c>
      <c r="CC48" s="565">
        <f>IF(AND($A48&gt;=SYear_O,$A48&lt;=EYear_O),(CA48-Data_All!CA49)/(1+Data_All!CA49%),"")</f>
        <v>-2.5580648728975928</v>
      </c>
      <c r="CD48" s="436">
        <f t="shared" si="21"/>
        <v>140750.02645325242</v>
      </c>
      <c r="CE48" s="438">
        <f t="shared" si="22"/>
        <v>10.037340037556771</v>
      </c>
      <c r="CF48" s="438">
        <f>IF(AND($A48&gt;=SYear_O,$A48&lt;=EYear_O),MAX($CE$7:CE48),"")</f>
        <v>10.037340037556771</v>
      </c>
      <c r="CG48" s="209">
        <f t="shared" si="23"/>
        <v>0</v>
      </c>
      <c r="CI48" s="143">
        <f>IF(AND($A48&gt;=SYear_O,$A48&lt;=EYear_O),Data_All!V49,"")</f>
        <v>4.2561694474972525</v>
      </c>
      <c r="CJ48" s="143">
        <f>IF(AND($A48&gt;=SYear_O,$A48&lt;=EYear_O),Data_All!CA49,"")</f>
        <v>7.2913798492556081</v>
      </c>
      <c r="CK48" s="143">
        <f t="shared" si="24"/>
        <v>-2.8289415291543705</v>
      </c>
      <c r="CN48" s="61">
        <f t="shared" si="25"/>
        <v>4.5467967496846784E-2</v>
      </c>
      <c r="CO48" s="61">
        <f t="shared" si="26"/>
        <v>1.0842917470004432E-2</v>
      </c>
      <c r="CP48" s="61">
        <f t="shared" si="27"/>
        <v>5.679277865298582E-2</v>
      </c>
      <c r="CQ48" s="61">
        <f t="shared" si="28"/>
        <v>4.3260668523567691E-2</v>
      </c>
      <c r="CR48" s="61">
        <f t="shared" si="29"/>
        <v>7.2515113615428506E-2</v>
      </c>
      <c r="CU48" s="61">
        <f t="shared" si="30"/>
        <v>-2.5580648728975919E-2</v>
      </c>
      <c r="CV48" s="61">
        <f t="shared" si="31"/>
        <v>-2.2469546060044476E-2</v>
      </c>
      <c r="CW48" s="61">
        <f t="shared" si="32"/>
        <v>5.7381253886532591E-3</v>
      </c>
      <c r="CX48" s="61">
        <f t="shared" si="33"/>
        <v>-1.8997105931301106E-2</v>
      </c>
      <c r="CY48" s="61">
        <f t="shared" si="34"/>
        <v>2.7018580110505619E-2</v>
      </c>
    </row>
    <row r="49" spans="1:103">
      <c r="A49" s="204">
        <f t="shared" si="18"/>
        <v>1913</v>
      </c>
      <c r="B49" s="206" t="str">
        <f>IF(AND($A49&gt;=SYear_O, $A49&lt;=EYear_O, B$3&gt;0), B$3 * VLOOKUP($A49, Data_All!$A$8:$CA$153, MATCH(B$2, Data_All!$B$2:$CA$2, 0)+1), "")</f>
        <v/>
      </c>
      <c r="C49" s="206" t="str">
        <f>IF(AND($A49&gt;=SYear_O, $A49&lt;=EYear_O, C$3&gt;0), C$3 * VLOOKUP($A49, Data_All!$A$8:$CA$153, MATCH(C$2, Data_All!$B$2:$CA$2, 0)+1), "")</f>
        <v/>
      </c>
      <c r="D49" s="206" t="str">
        <f>IF(AND($A49&gt;=SYear_O, $A49&lt;=EYear_O, D$3&gt;0), D$3 * VLOOKUP($A49, Data_All!$A$8:$CA$153, MATCH(D$2, Data_All!$B$2:$CA$2, 0)+1), "")</f>
        <v/>
      </c>
      <c r="E49" s="206" t="str">
        <f>IF(AND($A49&gt;=SYear_O, $A49&lt;=EYear_O, E$3&gt;0), E$3 * VLOOKUP($A49, Data_All!$A$8:$CA$153, MATCH(E$2, Data_All!$B$2:$CA$2, 0)+1), "")</f>
        <v/>
      </c>
      <c r="F49" s="206" t="str">
        <f>IF(AND($A49&gt;=SYear_O, $A49&lt;=EYear_O, F$3&gt;0), F$3 * VLOOKUP($A49, Data_All!$A$8:$CA$153, MATCH(F$2, Data_All!$B$2:$CA$2, 0)+1), "")</f>
        <v/>
      </c>
      <c r="G49" s="206" t="str">
        <f>IF(AND($A49&gt;=SYear_O, $A49&lt;=EYear_O, G$3&gt;0), G$3 * VLOOKUP($A49, Data_All!$A$8:$CA$153, MATCH(G$2, Data_All!$B$2:$CA$2, 0)+1), "")</f>
        <v/>
      </c>
      <c r="H49" s="206" t="str">
        <f>IF(AND($A49&gt;=SYear_O, $A49&lt;=EYear_O, H$3&gt;0), H$3 * VLOOKUP($A49, Data_All!$A$8:$CA$153, MATCH(H$2, Data_All!$B$2:$CA$2, 0)+1), "")</f>
        <v/>
      </c>
      <c r="I49" s="206" t="str">
        <f>IF(AND($A49&gt;=SYear_O, $A49&lt;=EYear_O, I$3&gt;0), I$3 * VLOOKUP($A49, Data_All!$A$8:$CA$153, MATCH(I$2, Data_All!$B$2:$CA$2, 0)+1), "")</f>
        <v/>
      </c>
      <c r="J49" s="206" t="str">
        <f>IF(AND($A49&gt;=SYear_O, $A49&lt;=EYear_O, J$3&gt;0), J$3 * VLOOKUP($A49, Data_All!$A$8:$CA$153, MATCH(J$2, Data_All!$B$2:$CA$2, 0)+1), "")</f>
        <v/>
      </c>
      <c r="K49" s="206" t="str">
        <f>IF(AND($A49&gt;=SYear_O, $A49&lt;=EYear_O, K$3&gt;0), K$3 * VLOOKUP($A49, Data_All!$A$8:$CA$153, MATCH(K$2, Data_All!$B$2:$CA$2, 0)+1), "")</f>
        <v/>
      </c>
      <c r="L49" s="206" t="str">
        <f>IF(AND($A49&gt;=SYear_O, $A49&lt;=EYear_O, L$3&gt;0), L$3 * VLOOKUP($A49, Data_All!$A$8:$CA$153, MATCH(L$2, Data_All!$B$2:$CA$2, 0)+1), "")</f>
        <v/>
      </c>
      <c r="M49" s="206" t="str">
        <f>IF(AND($A49&gt;=SYear_O, $A49&lt;=EYear_O, M$3&gt;0), M$3 * VLOOKUP($A49, Data_All!$A$8:$CA$153, MATCH(M$2, Data_All!$B$2:$CA$2, 0)+1), "")</f>
        <v/>
      </c>
      <c r="N49" s="206" t="str">
        <f>IF(AND($A49&gt;=SYear_O, $A49&lt;=EYear_O, N$3&gt;0), N$3 * VLOOKUP($A49, Data_All!$A$8:$CA$153, MATCH(N$2, Data_All!$B$2:$CA$2, 0)+1), "")</f>
        <v/>
      </c>
      <c r="O49" s="206" t="str">
        <f>IF(AND($A49&gt;=SYear_O, $A49&lt;=EYear_O, O$3&gt;0), O$3 * VLOOKUP($A49, Data_All!$A$8:$CA$153, MATCH(O$2, Data_All!$B$2:$CA$2, 0)+1), "")</f>
        <v/>
      </c>
      <c r="P49" s="206" t="str">
        <f>IF(AND($A49&gt;=SYear_O, $A49&lt;=EYear_O, P$3&gt;0), P$3 * VLOOKUP($A49, Data_All!$A$8:$CA$153, MATCH(P$2, Data_All!$B$2:$CA$2, 0)+1), "")</f>
        <v/>
      </c>
      <c r="Q49" s="206" t="str">
        <f>IF(AND($A49&gt;=SYear_O, $A49&lt;=EYear_O, Q$3&gt;0), Q$3 * VLOOKUP($A49, Data_All!$A$8:$CA$153, MATCH(Q$2, Data_All!$B$2:$CA$2, 0)+1), "")</f>
        <v/>
      </c>
      <c r="R49" s="206" t="str">
        <f>IF(AND($A49&gt;=SYear_O, $A49&lt;=EYear_O, R$3&gt;0), R$3 * VLOOKUP($A49, Data_All!$A$8:$CA$153, MATCH(R$2, Data_All!$B$2:$CA$2, 0)+1), "")</f>
        <v/>
      </c>
      <c r="S49" s="206" t="str">
        <f>IF(AND($A49&gt;=SYear_O, $A49&lt;=EYear_O, S$3&gt;0), S$3 * VLOOKUP($A49, Data_All!$A$8:$CA$153, MATCH(S$2, Data_All!$B$2:$CA$2, 0)+1), "")</f>
        <v/>
      </c>
      <c r="T49" s="206" t="str">
        <f>IF(AND($A49&gt;=SYear_O, $A49&lt;=EYear_O, T$3&gt;0), T$3 * VLOOKUP($A49, Data_All!$A$8:$CA$153, MATCH(T$2, Data_All!$B$2:$CA$2, 0)+1), "")</f>
        <v/>
      </c>
      <c r="U49" s="206" t="str">
        <f>IF(AND($A49&gt;=SYear_O, $A49&lt;=EYear_O, U$3&gt;0), U$3 * VLOOKUP($A49, Data_All!$A$8:$CA$153, MATCH(U$2, Data_All!$B$2:$CA$2, 0)+1), "")</f>
        <v/>
      </c>
      <c r="V49" s="206" t="str">
        <f>IF(AND($A49&gt;=SYear_O, $A49&lt;=EYear_O, V$3&gt;0), V$3 * VLOOKUP($A49, Data_All!$A$8:$CA$153, MATCH(V$2, Data_All!$B$2:$CA$2, 0)+1), "")</f>
        <v/>
      </c>
      <c r="W49" s="206" t="str">
        <f>IF(AND($A49&gt;=SYear_O, $A49&lt;=EYear_O, W$3&gt;0), W$3 * VLOOKUP($A49, Data_All!$A$8:$CA$153, MATCH(W$2, Data_All!$B$2:$CA$2, 0)+1), "")</f>
        <v/>
      </c>
      <c r="X49" s="206" t="str">
        <f>IF(AND($A49&gt;=SYear_O, $A49&lt;=EYear_O, X$3&gt;0), X$3 * VLOOKUP($A49, Data_All!$A$8:$CA$153, MATCH(X$2, Data_All!$B$2:$CA$2, 0)+1), "")</f>
        <v/>
      </c>
      <c r="Y49" s="206" t="str">
        <f>IF(AND($A49&gt;=SYear_O, $A49&lt;=EYear_O, Y$3&gt;0), Y$3 * VLOOKUP($A49, Data_All!$A$8:$CA$153, MATCH(Y$2, Data_All!$B$2:$CA$2, 0)+1), "")</f>
        <v/>
      </c>
      <c r="Z49" s="206" t="str">
        <f>IF(AND($A49&gt;=SYear_O, $A49&lt;=EYear_O, Z$3&gt;0), Z$3 * VLOOKUP($A49, Data_All!$A$8:$CA$153, MATCH(Z$2, Data_All!$B$2:$CA$2, 0)+1), "")</f>
        <v/>
      </c>
      <c r="AA49" s="206" t="str">
        <f>IF(AND($A49&gt;=SYear_O, $A49&lt;=EYear_O, AA$3&gt;0), AA$3 * VLOOKUP($A49, Data_All!$A$8:$CA$153, MATCH(AA$2, Data_All!$B$2:$CA$2, 0)+1), "")</f>
        <v/>
      </c>
      <c r="AB49" s="206" t="str">
        <f>IF(AND($A49&gt;=SYear_O, $A49&lt;=EYear_O, AB$3&gt;0), AB$3 * VLOOKUP($A49, Data_All!$A$8:$CA$153, MATCH(AB$2, Data_All!$B$2:$CA$2, 0)+1), "")</f>
        <v/>
      </c>
      <c r="AC49" s="206" t="str">
        <f>IF(AND($A49&gt;=SYear_O, $A49&lt;=EYear_O, AC$3&gt;0), AC$3 * VLOOKUP($A49, Data_All!$A$8:$CA$153, MATCH(AC$2, Data_All!$B$2:$CA$2, 0)+1), "")</f>
        <v/>
      </c>
      <c r="AD49" s="206" t="str">
        <f>IF(AND($A49&gt;=SYear_O, $A49&lt;=EYear_O, AD$3&gt;0), AD$3 * VLOOKUP($A49, Data_All!$A$8:$CA$153, MATCH(AD$2, Data_All!$B$2:$CA$2, 0)+1), "")</f>
        <v/>
      </c>
      <c r="AE49" s="206" t="str">
        <f>IF(AND($A49&gt;=SYear_O, $A49&lt;=EYear_O, AE$3&gt;0), AE$3 * VLOOKUP($A49, Data_All!$A$8:$CA$153, MATCH(AE$2, Data_All!$B$2:$CA$2, 0)+1), "")</f>
        <v/>
      </c>
      <c r="AF49" s="206" t="str">
        <f>IF(AND($A49&gt;=SYear_O, $A49&lt;=EYear_O, AF$3&gt;0), AF$3 * VLOOKUP($A49, Data_All!$A$8:$CA$153, MATCH(AF$2, Data_All!$B$2:$CA$2, 0)+1), "")</f>
        <v/>
      </c>
      <c r="AG49" s="206" t="str">
        <f>IF(AND($A49&gt;=SYear_O, $A49&lt;=EYear_O, AG$3&gt;0), AG$3 * VLOOKUP($A49, Data_All!$A$8:$CA$153, MATCH(AG$2, Data_All!$B$2:$CA$2, 0)+1), "")</f>
        <v/>
      </c>
      <c r="AH49" s="206" t="str">
        <f>IF(AND($A49&gt;=SYear_O, $A49&lt;=EYear_O, AH$3&gt;0), AH$3 * VLOOKUP($A49, Data_All!$A$8:$CA$153, MATCH(AH$2, Data_All!$B$2:$CA$2, 0)+1), "")</f>
        <v/>
      </c>
      <c r="AI49" s="206" t="str">
        <f>IF(AND($A49&gt;=SYear_O, $A49&lt;=EYear_O, AI$3&gt;0), AI$3 * VLOOKUP($A49, Data_All!$A$8:$CA$153, MATCH(AI$2, Data_All!$B$2:$CA$2, 0)+1), "")</f>
        <v/>
      </c>
      <c r="AJ49" s="206" t="str">
        <f>IF(AND($A49&gt;=SYear_O, $A49&lt;=EYear_O, AJ$3&gt;0), AJ$3 * VLOOKUP($A49, Data_All!$A$8:$CA$153, MATCH(AJ$2, Data_All!$B$2:$CA$2, 0)+1), "")</f>
        <v/>
      </c>
      <c r="AK49" s="206" t="str">
        <f>IF(AND($A49&gt;=SYear_O, $A49&lt;=EYear_O, AK$3&gt;0), AK$3 * VLOOKUP($A49, Data_All!$A$8:$CA$153, MATCH(AK$2, Data_All!$B$2:$CA$2, 0)+1), "")</f>
        <v/>
      </c>
      <c r="AL49" s="206" t="str">
        <f>IF(AND($A49&gt;=SYear_O, $A49&lt;=EYear_O, AL$3&gt;0), AL$3 * VLOOKUP($A49, Data_All!$A$8:$CA$153, MATCH(AL$2, Data_All!$B$2:$CA$2, 0)+1), "")</f>
        <v/>
      </c>
      <c r="AM49" s="206" t="str">
        <f>IF(AND($A49&gt;=SYear_O, $A49&lt;=EYear_O, AM$3&gt;0), AM$3 * VLOOKUP($A49, Data_All!$A$8:$CA$153, MATCH(AM$2, Data_All!$B$2:$CA$2, 0)+1), "")</f>
        <v/>
      </c>
      <c r="AN49" s="206" t="str">
        <f>IF(AND($A49&gt;=SYear_O, $A49&lt;=EYear_O, AN$3&gt;0), AN$3 * VLOOKUP($A49, Data_All!$A$8:$CA$153, MATCH(AN$2, Data_All!$B$2:$CA$2, 0)+1), "")</f>
        <v/>
      </c>
      <c r="AO49" s="206" t="str">
        <f>IF(AND($A49&gt;=SYear_O, $A49&lt;=EYear_O, AO$3&gt;0), AO$3 * VLOOKUP($A49, Data_All!$A$8:$CA$153, MATCH(AO$2, Data_All!$B$2:$CA$2, 0)+1), "")</f>
        <v/>
      </c>
      <c r="AP49" s="206" t="str">
        <f>IF(AND($A49&gt;=SYear_O, $A49&lt;=EYear_O, AP$3&gt;0), AP$3 * VLOOKUP($A49, Data_All!$A$8:$CA$153, MATCH(AP$2, Data_All!$B$2:$CA$2, 0)+1), "")</f>
        <v/>
      </c>
      <c r="AQ49" s="206" t="str">
        <f>IF(AND($A49&gt;=SYear_O, $A49&lt;=EYear_O, AQ$3&gt;0), AQ$3 * VLOOKUP($A49, Data_All!$A$8:$CA$153, MATCH(AQ$2, Data_All!$B$2:$CA$2, 0)+1), "")</f>
        <v/>
      </c>
      <c r="AR49" s="206" t="str">
        <f>IF(AND($A49&gt;=SYear_O, $A49&lt;=EYear_O, AR$3&gt;0), AR$3 * VLOOKUP($A49, Data_All!$A$8:$CA$153, MATCH(AR$2, Data_All!$B$2:$CA$2, 0)+1), "")</f>
        <v/>
      </c>
      <c r="AS49" s="206" t="str">
        <f>IF(AND($A49&gt;=SYear_O, $A49&lt;=EYear_O, AS$3&gt;0), AS$3 * VLOOKUP($A49, Data_All!$A$8:$CA$153, MATCH(AS$2, Data_All!$B$2:$CA$2, 0)+1), "")</f>
        <v/>
      </c>
      <c r="AT49" s="206" t="str">
        <f>IF(AND($A49&gt;=SYear_O, $A49&lt;=EYear_O, AT$3&gt;0), AT$3 * VLOOKUP($A49, Data_All!$A$8:$CA$153, MATCH(AT$2, Data_All!$B$2:$CA$2, 0)+1), "")</f>
        <v/>
      </c>
      <c r="AU49" s="206" t="str">
        <f>IF(AND($A49&gt;=SYear_O, $A49&lt;=EYear_O, AU$3&gt;0), AU$3 * VLOOKUP($A49, Data_All!$A$8:$CA$153, MATCH(AU$2, Data_All!$B$2:$CA$2, 0)+1), "")</f>
        <v/>
      </c>
      <c r="AV49" s="206" t="str">
        <f>IF(AND($A49&gt;=SYear_O, $A49&lt;=EYear_O, AV$3&gt;0), AV$3 * VLOOKUP($A49, Data_All!$A$8:$CA$153, MATCH(AV$2, Data_All!$B$2:$CA$2, 0)+1), "")</f>
        <v/>
      </c>
      <c r="AW49" s="206" t="str">
        <f>IF(AND($A49&gt;=SYear_O, $A49&lt;=EYear_O, AW$3&gt;0), AW$3 * VLOOKUP($A49, Data_All!$A$8:$CA$153, MATCH(AW$2, Data_All!$B$2:$CA$2, 0)+1), "")</f>
        <v/>
      </c>
      <c r="AX49" s="206" t="str">
        <f>IF(AND($A49&gt;=SYear_O, $A49&lt;=EYear_O, AX$3&gt;0), AX$3 * VLOOKUP($A49, Data_All!$A$8:$CA$153, MATCH(AX$2, Data_All!$B$2:$CA$2, 0)+1), "")</f>
        <v/>
      </c>
      <c r="AY49" s="206" t="str">
        <f>IF(AND($A49&gt;=SYear_O, $A49&lt;=EYear_O, AY$3&gt;0), AY$3 * VLOOKUP($A49, Data_All!$A$8:$CA$153, MATCH(AY$2, Data_All!$B$2:$CA$2, 0)+1), "")</f>
        <v/>
      </c>
      <c r="AZ49" s="206" t="str">
        <f>IF(AND($A49&gt;=SYear_O, $A49&lt;=EYear_O, AZ$3&gt;0), AZ$3 * VLOOKUP($A49, Data_All!$A$8:$CA$153, MATCH(AZ$2, Data_All!$B$2:$CA$2, 0)+1), "")</f>
        <v/>
      </c>
      <c r="BA49" s="206" t="str">
        <f>IF(AND($A49&gt;=SYear_O, $A49&lt;=EYear_O, BA$3&gt;0), BA$3 * VLOOKUP($A49, Data_All!$A$8:$CA$153, MATCH(BA$2, Data_All!$B$2:$CA$2, 0)+1), "")</f>
        <v/>
      </c>
      <c r="BB49" s="206" t="str">
        <f>IF(AND($A49&gt;=SYear_O, $A49&lt;=EYear_O, BB$3&gt;0), BB$3 * VLOOKUP($A49, Data_All!$A$8:$CA$153, MATCH(BB$2, Data_All!$B$2:$CA$2, 0)+1), "")</f>
        <v/>
      </c>
      <c r="BC49" s="206" t="str">
        <f>IF(AND($A49&gt;=SYear_O, $A49&lt;=EYear_O, BC$3&gt;0), BC$3 * VLOOKUP($A49, Data_All!$A$8:$CA$153, MATCH(BC$2, Data_All!$B$2:$CA$2, 0)+1), "")</f>
        <v/>
      </c>
      <c r="BD49" s="206" t="str">
        <f>IF(AND($A49&gt;=SYear_O, $A49&lt;=EYear_O, BD$3&gt;0), BD$3 * VLOOKUP($A49, Data_All!$A$8:$CA$153, MATCH(BD$2, Data_All!$B$2:$CA$2, 0)+1), "")</f>
        <v/>
      </c>
      <c r="BE49" s="206" t="str">
        <f>IF(AND($A49&gt;=SYear_O, $A49&lt;=EYear_O, BE$3&gt;0), BE$3 * VLOOKUP($A49, Data_All!$A$8:$CA$153, MATCH(BE$2, Data_All!$B$2:$CA$2, 0)+1), "")</f>
        <v/>
      </c>
      <c r="BF49" s="206" t="str">
        <f>IF(AND($A49&gt;=SYear_O, $A49&lt;=EYear_O, BF$3&gt;0), BF$3 * VLOOKUP($A49, Data_All!$A$8:$CA$153, MATCH(BF$2, Data_All!$B$2:$CA$2, 0)+1), "")</f>
        <v/>
      </c>
      <c r="BG49" s="206" t="str">
        <f>IF(AND($A49&gt;=SYear_O, $A49&lt;=EYear_O, BG$3&gt;0), BG$3 * VLOOKUP($A49, Data_All!$A$8:$CA$153, MATCH(BG$2, Data_All!$B$2:$CA$2, 0)+1), "")</f>
        <v/>
      </c>
      <c r="BH49" s="206" t="str">
        <f>IF(AND($A49&gt;=SYear_O, $A49&lt;=EYear_O, BH$3&gt;0), BH$3 * VLOOKUP($A49, Data_All!$A$8:$CA$153, MATCH(BH$2, Data_All!$B$2:$CA$2, 0)+1), "")</f>
        <v/>
      </c>
      <c r="BI49" s="206" t="str">
        <f>IF(AND($A49&gt;=SYear_O, $A49&lt;=EYear_O, BI$3&gt;0), BI$3 * VLOOKUP($A49, Data_All!$A$8:$CA$153, MATCH(BI$2, Data_All!$B$2:$CA$2, 0)+1), "")</f>
        <v/>
      </c>
      <c r="BJ49" s="206" t="str">
        <f>IF(AND($A49&gt;=SYear_O, $A49&lt;=EYear_O, BJ$3&gt;0), BJ$3 * VLOOKUP($A49, Data_All!$A$8:$CA$153, MATCH(BJ$2, Data_All!$B$2:$CA$2, 0)+1), "")</f>
        <v/>
      </c>
      <c r="BK49" s="206" t="str">
        <f>IF(AND($A49&gt;=SYear_O, $A49&lt;=EYear_O, BK$3&gt;0), BK$3 * VLOOKUP($A49, Data_All!$A$8:$CA$153, MATCH(BK$2, Data_All!$B$2:$CA$2, 0)+1), "")</f>
        <v/>
      </c>
      <c r="BL49" s="206" t="str">
        <f>IF(AND($A49&gt;=SYear_O, $A49&lt;=EYear_O, BL$3&gt;0), BL$3 * VLOOKUP($A49, Data_All!$A$8:$CA$153, MATCH(BL$2, Data_All!$B$2:$CA$2, 0)+1), "")</f>
        <v/>
      </c>
      <c r="BM49" s="206" t="str">
        <f>IF(AND($A49&gt;=SYear_O, $A49&lt;=EYear_O, BM$3&gt;0), BM$3 * VLOOKUP($A49, Data_All!$A$8:$CA$153, MATCH(BM$2, Data_All!$B$2:$CA$2, 0)+1), "")</f>
        <v/>
      </c>
      <c r="BN49" s="206" t="str">
        <f>IF(AND($A49&gt;=SYear_O, $A49&lt;=EYear_O, BN$3&gt;0), BN$3 * VLOOKUP($A49, Data_All!$A$8:$CA$153, MATCH(BN$2, Data_All!$B$2:$CA$2, 0)+1), "")</f>
        <v/>
      </c>
      <c r="BO49" s="206" t="str">
        <f>IF(AND($A49&gt;=SYear_O, $A49&lt;=EYear_O, BO$3&gt;0), BO$3 * VLOOKUP($A49, Data_All!$A$8:$CA$153, MATCH(BO$2, Data_All!$B$2:$CA$2, 0)+1), "")</f>
        <v/>
      </c>
      <c r="BP49" s="206" t="str">
        <f>IF(AND($A49&gt;=SYear_O, $A49&lt;=EYear_O, BP$3&gt;0), BP$3 * VLOOKUP($A49, Data_All!$A$8:$CA$153, MATCH(BP$2, Data_All!$B$2:$CA$2, 0)+1), "")</f>
        <v/>
      </c>
      <c r="BQ49" s="206" t="str">
        <f>IF(AND($A49&gt;=SYear_O, $A49&lt;=EYear_O, BQ$3&gt;0), BQ$3 * VLOOKUP($A49, Data_All!$A$8:$CA$153, MATCH(BQ$2, Data_All!$B$2:$CA$2, 0)+1), "")</f>
        <v/>
      </c>
      <c r="BR49" s="206" t="str">
        <f>IF(AND($A49&gt;=SYear_O, $A49&lt;=EYear_O, BR$3&gt;0), BR$3 * VLOOKUP($A49, Data_All!$A$8:$CA$153, MATCH(BR$2, Data_All!$B$2:$CA$2, 0)+1), "")</f>
        <v/>
      </c>
      <c r="BS49" s="206" t="str">
        <f>IF(AND($A49&gt;=SYear_O, $A49&lt;=EYear_O, BS$3&gt;0), BS$3 * VLOOKUP($A49, Data_All!$A$8:$CA$153, MATCH(BS$2, Data_All!$B$2:$CA$2, 0)+1), "")</f>
        <v/>
      </c>
      <c r="BT49" s="206" t="str">
        <f>IF(AND($A49&gt;=SYear_O, $A49&lt;=EYear_O, BT$3&gt;0), BT$3 * VLOOKUP($A49, Data_All!$A$8:$CA$153, MATCH(BT$2, Data_All!$B$2:$CA$2, 0)+1), "")</f>
        <v/>
      </c>
      <c r="BU49" s="206" t="str">
        <f>IF(AND($A49&gt;=SYear_O, $A49&lt;=EYear_O, BU$3&gt;0), BU$3 * VLOOKUP($A49, Data_All!$A$8:$CA$153, MATCH(BU$2, Data_All!$B$2:$CA$2, 0)+1), "")</f>
        <v/>
      </c>
      <c r="BV49" s="206" t="str">
        <f>IF(AND($A49&gt;=SYear_O, $A49&lt;=EYear_O, BV$3&gt;0), BV$3 * VLOOKUP($A49, Data_All!$A$8:$CA$153, MATCH(BV$2, Data_All!$B$2:$CA$2, 0)+1), "")</f>
        <v/>
      </c>
      <c r="BW49" s="206" t="str">
        <f>IF(AND($A49&gt;=SYear_O, $A49&lt;=EYear_O, BW$3&gt;0), BW$3 * VLOOKUP($A49, Data_All!$A$8:$CA$153, MATCH(BW$2, Data_All!$B$2:$CA$2, 0)+1), "")</f>
        <v/>
      </c>
      <c r="BX49" s="206">
        <f>IF(AND($A49&gt;=SYear_O, $A49&lt;=EYear_O, BX$3&gt;0), BX$3 * VLOOKUP($A49, Data_All!$A$8:$CA$153, MATCH(BX$2, Data_All!$B$2:$CA$2, 0)+1), "")</f>
        <v>-2.9032258064516165</v>
      </c>
      <c r="BY49" s="206">
        <f>IF(AND($A49&gt;=SYear_O, $A49&lt;=EYear_O, BY$3&gt;0), BY$3 * VLOOKUP($A49, Data_All!$A$8:$CA$153, MATCH(BY$2, Data_All!$B$2:$CA$2, 0)+1), "")</f>
        <v>2.7908369937858346</v>
      </c>
      <c r="BZ49" s="206" t="str">
        <f>IF(AND($A49&gt;=SYear_O, $A49&lt;=EYear_O, BZ$3&gt;0), BZ$3 * VLOOKUP($A49, Data_All!$A$8:$CA$153, MATCH(BZ$2, Data_All!$B$2:$CA$2, 0)+1), "")</f>
        <v/>
      </c>
      <c r="CA49" s="565">
        <f t="shared" si="19"/>
        <v>-0.11238881266578193</v>
      </c>
      <c r="CB49" s="427">
        <f t="shared" si="20"/>
        <v>110541.82291493993</v>
      </c>
      <c r="CC49" s="565">
        <f>IF(AND($A49&gt;=SYear_O,$A49&lt;=EYear_O),(CA49-Data_All!CA50)/(1+Data_All!CA50%),"")</f>
        <v>-2.1101410364124686</v>
      </c>
      <c r="CD49" s="436">
        <f t="shared" si="21"/>
        <v>137780.00238630094</v>
      </c>
      <c r="CE49" s="438">
        <f t="shared" si="22"/>
        <v>10.026059190265332</v>
      </c>
      <c r="CF49" s="438">
        <f>IF(AND($A49&gt;=SYear_O,$A49&lt;=EYear_O),MAX($CE$7:CE49),"")</f>
        <v>10.037340037556771</v>
      </c>
      <c r="CG49" s="209">
        <f t="shared" si="23"/>
        <v>1.1238881266578682E-3</v>
      </c>
      <c r="CI49" s="143">
        <f>IF(AND($A49&gt;=SYear_O,$A49&lt;=EYear_O),Data_All!V50,"")</f>
        <v>5.5550004995504061</v>
      </c>
      <c r="CJ49" s="143">
        <f>IF(AND($A49&gt;=SYear_O,$A49&lt;=EYear_O),Data_All!CA50,"")</f>
        <v>2.0408163265306145</v>
      </c>
      <c r="CK49" s="143">
        <f t="shared" si="24"/>
        <v>3.4439004895593959</v>
      </c>
      <c r="CN49" s="61">
        <f t="shared" si="25"/>
        <v>-1.1238881266578682E-3</v>
      </c>
      <c r="CO49" s="61">
        <f t="shared" si="26"/>
        <v>5.9034082590360804E-2</v>
      </c>
      <c r="CP49" s="61">
        <f t="shared" si="27"/>
        <v>2.479175713488857E-2</v>
      </c>
      <c r="CQ49" s="61">
        <f t="shared" si="28"/>
        <v>5.6608147469124681E-2</v>
      </c>
      <c r="CR49" s="61">
        <f t="shared" si="29"/>
        <v>8.4188252514464823E-2</v>
      </c>
      <c r="CU49" s="61">
        <f t="shared" si="30"/>
        <v>-2.1101410364124606E-2</v>
      </c>
      <c r="CV49" s="61">
        <f t="shared" si="31"/>
        <v>3.8263330694604303E-2</v>
      </c>
      <c r="CW49" s="61">
        <f t="shared" si="32"/>
        <v>-4.5765242353958957E-2</v>
      </c>
      <c r="CX49" s="61">
        <f t="shared" si="33"/>
        <v>1.1649446917303408E-3</v>
      </c>
      <c r="CY49" s="61">
        <f t="shared" si="34"/>
        <v>4.3878682527124679E-2</v>
      </c>
    </row>
    <row r="50" spans="1:103">
      <c r="A50" s="204">
        <f t="shared" si="18"/>
        <v>1914</v>
      </c>
      <c r="B50" s="206" t="str">
        <f>IF(AND($A50&gt;=SYear_O, $A50&lt;=EYear_O, B$3&gt;0), B$3 * VLOOKUP($A50, Data_All!$A$8:$CA$153, MATCH(B$2, Data_All!$B$2:$CA$2, 0)+1), "")</f>
        <v/>
      </c>
      <c r="C50" s="206" t="str">
        <f>IF(AND($A50&gt;=SYear_O, $A50&lt;=EYear_O, C$3&gt;0), C$3 * VLOOKUP($A50, Data_All!$A$8:$CA$153, MATCH(C$2, Data_All!$B$2:$CA$2, 0)+1), "")</f>
        <v/>
      </c>
      <c r="D50" s="206" t="str">
        <f>IF(AND($A50&gt;=SYear_O, $A50&lt;=EYear_O, D$3&gt;0), D$3 * VLOOKUP($A50, Data_All!$A$8:$CA$153, MATCH(D$2, Data_All!$B$2:$CA$2, 0)+1), "")</f>
        <v/>
      </c>
      <c r="E50" s="206" t="str">
        <f>IF(AND($A50&gt;=SYear_O, $A50&lt;=EYear_O, E$3&gt;0), E$3 * VLOOKUP($A50, Data_All!$A$8:$CA$153, MATCH(E$2, Data_All!$B$2:$CA$2, 0)+1), "")</f>
        <v/>
      </c>
      <c r="F50" s="206" t="str">
        <f>IF(AND($A50&gt;=SYear_O, $A50&lt;=EYear_O, F$3&gt;0), F$3 * VLOOKUP($A50, Data_All!$A$8:$CA$153, MATCH(F$2, Data_All!$B$2:$CA$2, 0)+1), "")</f>
        <v/>
      </c>
      <c r="G50" s="206" t="str">
        <f>IF(AND($A50&gt;=SYear_O, $A50&lt;=EYear_O, G$3&gt;0), G$3 * VLOOKUP($A50, Data_All!$A$8:$CA$153, MATCH(G$2, Data_All!$B$2:$CA$2, 0)+1), "")</f>
        <v/>
      </c>
      <c r="H50" s="206" t="str">
        <f>IF(AND($A50&gt;=SYear_O, $A50&lt;=EYear_O, H$3&gt;0), H$3 * VLOOKUP($A50, Data_All!$A$8:$CA$153, MATCH(H$2, Data_All!$B$2:$CA$2, 0)+1), "")</f>
        <v/>
      </c>
      <c r="I50" s="206" t="str">
        <f>IF(AND($A50&gt;=SYear_O, $A50&lt;=EYear_O, I$3&gt;0), I$3 * VLOOKUP($A50, Data_All!$A$8:$CA$153, MATCH(I$2, Data_All!$B$2:$CA$2, 0)+1), "")</f>
        <v/>
      </c>
      <c r="J50" s="206" t="str">
        <f>IF(AND($A50&gt;=SYear_O, $A50&lt;=EYear_O, J$3&gt;0), J$3 * VLOOKUP($A50, Data_All!$A$8:$CA$153, MATCH(J$2, Data_All!$B$2:$CA$2, 0)+1), "")</f>
        <v/>
      </c>
      <c r="K50" s="206" t="str">
        <f>IF(AND($A50&gt;=SYear_O, $A50&lt;=EYear_O, K$3&gt;0), K$3 * VLOOKUP($A50, Data_All!$A$8:$CA$153, MATCH(K$2, Data_All!$B$2:$CA$2, 0)+1), "")</f>
        <v/>
      </c>
      <c r="L50" s="206" t="str">
        <f>IF(AND($A50&gt;=SYear_O, $A50&lt;=EYear_O, L$3&gt;0), L$3 * VLOOKUP($A50, Data_All!$A$8:$CA$153, MATCH(L$2, Data_All!$B$2:$CA$2, 0)+1), "")</f>
        <v/>
      </c>
      <c r="M50" s="206" t="str">
        <f>IF(AND($A50&gt;=SYear_O, $A50&lt;=EYear_O, M$3&gt;0), M$3 * VLOOKUP($A50, Data_All!$A$8:$CA$153, MATCH(M$2, Data_All!$B$2:$CA$2, 0)+1), "")</f>
        <v/>
      </c>
      <c r="N50" s="206" t="str">
        <f>IF(AND($A50&gt;=SYear_O, $A50&lt;=EYear_O, N$3&gt;0), N$3 * VLOOKUP($A50, Data_All!$A$8:$CA$153, MATCH(N$2, Data_All!$B$2:$CA$2, 0)+1), "")</f>
        <v/>
      </c>
      <c r="O50" s="206" t="str">
        <f>IF(AND($A50&gt;=SYear_O, $A50&lt;=EYear_O, O$3&gt;0), O$3 * VLOOKUP($A50, Data_All!$A$8:$CA$153, MATCH(O$2, Data_All!$B$2:$CA$2, 0)+1), "")</f>
        <v/>
      </c>
      <c r="P50" s="206" t="str">
        <f>IF(AND($A50&gt;=SYear_O, $A50&lt;=EYear_O, P$3&gt;0), P$3 * VLOOKUP($A50, Data_All!$A$8:$CA$153, MATCH(P$2, Data_All!$B$2:$CA$2, 0)+1), "")</f>
        <v/>
      </c>
      <c r="Q50" s="206" t="str">
        <f>IF(AND($A50&gt;=SYear_O, $A50&lt;=EYear_O, Q$3&gt;0), Q$3 * VLOOKUP($A50, Data_All!$A$8:$CA$153, MATCH(Q$2, Data_All!$B$2:$CA$2, 0)+1), "")</f>
        <v/>
      </c>
      <c r="R50" s="206" t="str">
        <f>IF(AND($A50&gt;=SYear_O, $A50&lt;=EYear_O, R$3&gt;0), R$3 * VLOOKUP($A50, Data_All!$A$8:$CA$153, MATCH(R$2, Data_All!$B$2:$CA$2, 0)+1), "")</f>
        <v/>
      </c>
      <c r="S50" s="206" t="str">
        <f>IF(AND($A50&gt;=SYear_O, $A50&lt;=EYear_O, S$3&gt;0), S$3 * VLOOKUP($A50, Data_All!$A$8:$CA$153, MATCH(S$2, Data_All!$B$2:$CA$2, 0)+1), "")</f>
        <v/>
      </c>
      <c r="T50" s="206" t="str">
        <f>IF(AND($A50&gt;=SYear_O, $A50&lt;=EYear_O, T$3&gt;0), T$3 * VLOOKUP($A50, Data_All!$A$8:$CA$153, MATCH(T$2, Data_All!$B$2:$CA$2, 0)+1), "")</f>
        <v/>
      </c>
      <c r="U50" s="206" t="str">
        <f>IF(AND($A50&gt;=SYear_O, $A50&lt;=EYear_O, U$3&gt;0), U$3 * VLOOKUP($A50, Data_All!$A$8:$CA$153, MATCH(U$2, Data_All!$B$2:$CA$2, 0)+1), "")</f>
        <v/>
      </c>
      <c r="V50" s="206" t="str">
        <f>IF(AND($A50&gt;=SYear_O, $A50&lt;=EYear_O, V$3&gt;0), V$3 * VLOOKUP($A50, Data_All!$A$8:$CA$153, MATCH(V$2, Data_All!$B$2:$CA$2, 0)+1), "")</f>
        <v/>
      </c>
      <c r="W50" s="206" t="str">
        <f>IF(AND($A50&gt;=SYear_O, $A50&lt;=EYear_O, W$3&gt;0), W$3 * VLOOKUP($A50, Data_All!$A$8:$CA$153, MATCH(W$2, Data_All!$B$2:$CA$2, 0)+1), "")</f>
        <v/>
      </c>
      <c r="X50" s="206" t="str">
        <f>IF(AND($A50&gt;=SYear_O, $A50&lt;=EYear_O, X$3&gt;0), X$3 * VLOOKUP($A50, Data_All!$A$8:$CA$153, MATCH(X$2, Data_All!$B$2:$CA$2, 0)+1), "")</f>
        <v/>
      </c>
      <c r="Y50" s="206" t="str">
        <f>IF(AND($A50&gt;=SYear_O, $A50&lt;=EYear_O, Y$3&gt;0), Y$3 * VLOOKUP($A50, Data_All!$A$8:$CA$153, MATCH(Y$2, Data_All!$B$2:$CA$2, 0)+1), "")</f>
        <v/>
      </c>
      <c r="Z50" s="206" t="str">
        <f>IF(AND($A50&gt;=SYear_O, $A50&lt;=EYear_O, Z$3&gt;0), Z$3 * VLOOKUP($A50, Data_All!$A$8:$CA$153, MATCH(Z$2, Data_All!$B$2:$CA$2, 0)+1), "")</f>
        <v/>
      </c>
      <c r="AA50" s="206" t="str">
        <f>IF(AND($A50&gt;=SYear_O, $A50&lt;=EYear_O, AA$3&gt;0), AA$3 * VLOOKUP($A50, Data_All!$A$8:$CA$153, MATCH(AA$2, Data_All!$B$2:$CA$2, 0)+1), "")</f>
        <v/>
      </c>
      <c r="AB50" s="206" t="str">
        <f>IF(AND($A50&gt;=SYear_O, $A50&lt;=EYear_O, AB$3&gt;0), AB$3 * VLOOKUP($A50, Data_All!$A$8:$CA$153, MATCH(AB$2, Data_All!$B$2:$CA$2, 0)+1), "")</f>
        <v/>
      </c>
      <c r="AC50" s="206" t="str">
        <f>IF(AND($A50&gt;=SYear_O, $A50&lt;=EYear_O, AC$3&gt;0), AC$3 * VLOOKUP($A50, Data_All!$A$8:$CA$153, MATCH(AC$2, Data_All!$B$2:$CA$2, 0)+1), "")</f>
        <v/>
      </c>
      <c r="AD50" s="206" t="str">
        <f>IF(AND($A50&gt;=SYear_O, $A50&lt;=EYear_O, AD$3&gt;0), AD$3 * VLOOKUP($A50, Data_All!$A$8:$CA$153, MATCH(AD$2, Data_All!$B$2:$CA$2, 0)+1), "")</f>
        <v/>
      </c>
      <c r="AE50" s="206" t="str">
        <f>IF(AND($A50&gt;=SYear_O, $A50&lt;=EYear_O, AE$3&gt;0), AE$3 * VLOOKUP($A50, Data_All!$A$8:$CA$153, MATCH(AE$2, Data_All!$B$2:$CA$2, 0)+1), "")</f>
        <v/>
      </c>
      <c r="AF50" s="206" t="str">
        <f>IF(AND($A50&gt;=SYear_O, $A50&lt;=EYear_O, AF$3&gt;0), AF$3 * VLOOKUP($A50, Data_All!$A$8:$CA$153, MATCH(AF$2, Data_All!$B$2:$CA$2, 0)+1), "")</f>
        <v/>
      </c>
      <c r="AG50" s="206" t="str">
        <f>IF(AND($A50&gt;=SYear_O, $A50&lt;=EYear_O, AG$3&gt;0), AG$3 * VLOOKUP($A50, Data_All!$A$8:$CA$153, MATCH(AG$2, Data_All!$B$2:$CA$2, 0)+1), "")</f>
        <v/>
      </c>
      <c r="AH50" s="206" t="str">
        <f>IF(AND($A50&gt;=SYear_O, $A50&lt;=EYear_O, AH$3&gt;0), AH$3 * VLOOKUP($A50, Data_All!$A$8:$CA$153, MATCH(AH$2, Data_All!$B$2:$CA$2, 0)+1), "")</f>
        <v/>
      </c>
      <c r="AI50" s="206" t="str">
        <f>IF(AND($A50&gt;=SYear_O, $A50&lt;=EYear_O, AI$3&gt;0), AI$3 * VLOOKUP($A50, Data_All!$A$8:$CA$153, MATCH(AI$2, Data_All!$B$2:$CA$2, 0)+1), "")</f>
        <v/>
      </c>
      <c r="AJ50" s="206" t="str">
        <f>IF(AND($A50&gt;=SYear_O, $A50&lt;=EYear_O, AJ$3&gt;0), AJ$3 * VLOOKUP($A50, Data_All!$A$8:$CA$153, MATCH(AJ$2, Data_All!$B$2:$CA$2, 0)+1), "")</f>
        <v/>
      </c>
      <c r="AK50" s="206" t="str">
        <f>IF(AND($A50&gt;=SYear_O, $A50&lt;=EYear_O, AK$3&gt;0), AK$3 * VLOOKUP($A50, Data_All!$A$8:$CA$153, MATCH(AK$2, Data_All!$B$2:$CA$2, 0)+1), "")</f>
        <v/>
      </c>
      <c r="AL50" s="206" t="str">
        <f>IF(AND($A50&gt;=SYear_O, $A50&lt;=EYear_O, AL$3&gt;0), AL$3 * VLOOKUP($A50, Data_All!$A$8:$CA$153, MATCH(AL$2, Data_All!$B$2:$CA$2, 0)+1), "")</f>
        <v/>
      </c>
      <c r="AM50" s="206" t="str">
        <f>IF(AND($A50&gt;=SYear_O, $A50&lt;=EYear_O, AM$3&gt;0), AM$3 * VLOOKUP($A50, Data_All!$A$8:$CA$153, MATCH(AM$2, Data_All!$B$2:$CA$2, 0)+1), "")</f>
        <v/>
      </c>
      <c r="AN50" s="206" t="str">
        <f>IF(AND($A50&gt;=SYear_O, $A50&lt;=EYear_O, AN$3&gt;0), AN$3 * VLOOKUP($A50, Data_All!$A$8:$CA$153, MATCH(AN$2, Data_All!$B$2:$CA$2, 0)+1), "")</f>
        <v/>
      </c>
      <c r="AO50" s="206" t="str">
        <f>IF(AND($A50&gt;=SYear_O, $A50&lt;=EYear_O, AO$3&gt;0), AO$3 * VLOOKUP($A50, Data_All!$A$8:$CA$153, MATCH(AO$2, Data_All!$B$2:$CA$2, 0)+1), "")</f>
        <v/>
      </c>
      <c r="AP50" s="206" t="str">
        <f>IF(AND($A50&gt;=SYear_O, $A50&lt;=EYear_O, AP$3&gt;0), AP$3 * VLOOKUP($A50, Data_All!$A$8:$CA$153, MATCH(AP$2, Data_All!$B$2:$CA$2, 0)+1), "")</f>
        <v/>
      </c>
      <c r="AQ50" s="206" t="str">
        <f>IF(AND($A50&gt;=SYear_O, $A50&lt;=EYear_O, AQ$3&gt;0), AQ$3 * VLOOKUP($A50, Data_All!$A$8:$CA$153, MATCH(AQ$2, Data_All!$B$2:$CA$2, 0)+1), "")</f>
        <v/>
      </c>
      <c r="AR50" s="206" t="str">
        <f>IF(AND($A50&gt;=SYear_O, $A50&lt;=EYear_O, AR$3&gt;0), AR$3 * VLOOKUP($A50, Data_All!$A$8:$CA$153, MATCH(AR$2, Data_All!$B$2:$CA$2, 0)+1), "")</f>
        <v/>
      </c>
      <c r="AS50" s="206" t="str">
        <f>IF(AND($A50&gt;=SYear_O, $A50&lt;=EYear_O, AS$3&gt;0), AS$3 * VLOOKUP($A50, Data_All!$A$8:$CA$153, MATCH(AS$2, Data_All!$B$2:$CA$2, 0)+1), "")</f>
        <v/>
      </c>
      <c r="AT50" s="206" t="str">
        <f>IF(AND($A50&gt;=SYear_O, $A50&lt;=EYear_O, AT$3&gt;0), AT$3 * VLOOKUP($A50, Data_All!$A$8:$CA$153, MATCH(AT$2, Data_All!$B$2:$CA$2, 0)+1), "")</f>
        <v/>
      </c>
      <c r="AU50" s="206" t="str">
        <f>IF(AND($A50&gt;=SYear_O, $A50&lt;=EYear_O, AU$3&gt;0), AU$3 * VLOOKUP($A50, Data_All!$A$8:$CA$153, MATCH(AU$2, Data_All!$B$2:$CA$2, 0)+1), "")</f>
        <v/>
      </c>
      <c r="AV50" s="206" t="str">
        <f>IF(AND($A50&gt;=SYear_O, $A50&lt;=EYear_O, AV$3&gt;0), AV$3 * VLOOKUP($A50, Data_All!$A$8:$CA$153, MATCH(AV$2, Data_All!$B$2:$CA$2, 0)+1), "")</f>
        <v/>
      </c>
      <c r="AW50" s="206" t="str">
        <f>IF(AND($A50&gt;=SYear_O, $A50&lt;=EYear_O, AW$3&gt;0), AW$3 * VLOOKUP($A50, Data_All!$A$8:$CA$153, MATCH(AW$2, Data_All!$B$2:$CA$2, 0)+1), "")</f>
        <v/>
      </c>
      <c r="AX50" s="206" t="str">
        <f>IF(AND($A50&gt;=SYear_O, $A50&lt;=EYear_O, AX$3&gt;0), AX$3 * VLOOKUP($A50, Data_All!$A$8:$CA$153, MATCH(AX$2, Data_All!$B$2:$CA$2, 0)+1), "")</f>
        <v/>
      </c>
      <c r="AY50" s="206" t="str">
        <f>IF(AND($A50&gt;=SYear_O, $A50&lt;=EYear_O, AY$3&gt;0), AY$3 * VLOOKUP($A50, Data_All!$A$8:$CA$153, MATCH(AY$2, Data_All!$B$2:$CA$2, 0)+1), "")</f>
        <v/>
      </c>
      <c r="AZ50" s="206" t="str">
        <f>IF(AND($A50&gt;=SYear_O, $A50&lt;=EYear_O, AZ$3&gt;0), AZ$3 * VLOOKUP($A50, Data_All!$A$8:$CA$153, MATCH(AZ$2, Data_All!$B$2:$CA$2, 0)+1), "")</f>
        <v/>
      </c>
      <c r="BA50" s="206" t="str">
        <f>IF(AND($A50&gt;=SYear_O, $A50&lt;=EYear_O, BA$3&gt;0), BA$3 * VLOOKUP($A50, Data_All!$A$8:$CA$153, MATCH(BA$2, Data_All!$B$2:$CA$2, 0)+1), "")</f>
        <v/>
      </c>
      <c r="BB50" s="206" t="str">
        <f>IF(AND($A50&gt;=SYear_O, $A50&lt;=EYear_O, BB$3&gt;0), BB$3 * VLOOKUP($A50, Data_All!$A$8:$CA$153, MATCH(BB$2, Data_All!$B$2:$CA$2, 0)+1), "")</f>
        <v/>
      </c>
      <c r="BC50" s="206" t="str">
        <f>IF(AND($A50&gt;=SYear_O, $A50&lt;=EYear_O, BC$3&gt;0), BC$3 * VLOOKUP($A50, Data_All!$A$8:$CA$153, MATCH(BC$2, Data_All!$B$2:$CA$2, 0)+1), "")</f>
        <v/>
      </c>
      <c r="BD50" s="206" t="str">
        <f>IF(AND($A50&gt;=SYear_O, $A50&lt;=EYear_O, BD$3&gt;0), BD$3 * VLOOKUP($A50, Data_All!$A$8:$CA$153, MATCH(BD$2, Data_All!$B$2:$CA$2, 0)+1), "")</f>
        <v/>
      </c>
      <c r="BE50" s="206" t="str">
        <f>IF(AND($A50&gt;=SYear_O, $A50&lt;=EYear_O, BE$3&gt;0), BE$3 * VLOOKUP($A50, Data_All!$A$8:$CA$153, MATCH(BE$2, Data_All!$B$2:$CA$2, 0)+1), "")</f>
        <v/>
      </c>
      <c r="BF50" s="206" t="str">
        <f>IF(AND($A50&gt;=SYear_O, $A50&lt;=EYear_O, BF$3&gt;0), BF$3 * VLOOKUP($A50, Data_All!$A$8:$CA$153, MATCH(BF$2, Data_All!$B$2:$CA$2, 0)+1), "")</f>
        <v/>
      </c>
      <c r="BG50" s="206" t="str">
        <f>IF(AND($A50&gt;=SYear_O, $A50&lt;=EYear_O, BG$3&gt;0), BG$3 * VLOOKUP($A50, Data_All!$A$8:$CA$153, MATCH(BG$2, Data_All!$B$2:$CA$2, 0)+1), "")</f>
        <v/>
      </c>
      <c r="BH50" s="206" t="str">
        <f>IF(AND($A50&gt;=SYear_O, $A50&lt;=EYear_O, BH$3&gt;0), BH$3 * VLOOKUP($A50, Data_All!$A$8:$CA$153, MATCH(BH$2, Data_All!$B$2:$CA$2, 0)+1), "")</f>
        <v/>
      </c>
      <c r="BI50" s="206" t="str">
        <f>IF(AND($A50&gt;=SYear_O, $A50&lt;=EYear_O, BI$3&gt;0), BI$3 * VLOOKUP($A50, Data_All!$A$8:$CA$153, MATCH(BI$2, Data_All!$B$2:$CA$2, 0)+1), "")</f>
        <v/>
      </c>
      <c r="BJ50" s="206" t="str">
        <f>IF(AND($A50&gt;=SYear_O, $A50&lt;=EYear_O, BJ$3&gt;0), BJ$3 * VLOOKUP($A50, Data_All!$A$8:$CA$153, MATCH(BJ$2, Data_All!$B$2:$CA$2, 0)+1), "")</f>
        <v/>
      </c>
      <c r="BK50" s="206" t="str">
        <f>IF(AND($A50&gt;=SYear_O, $A50&lt;=EYear_O, BK$3&gt;0), BK$3 * VLOOKUP($A50, Data_All!$A$8:$CA$153, MATCH(BK$2, Data_All!$B$2:$CA$2, 0)+1), "")</f>
        <v/>
      </c>
      <c r="BL50" s="206" t="str">
        <f>IF(AND($A50&gt;=SYear_O, $A50&lt;=EYear_O, BL$3&gt;0), BL$3 * VLOOKUP($A50, Data_All!$A$8:$CA$153, MATCH(BL$2, Data_All!$B$2:$CA$2, 0)+1), "")</f>
        <v/>
      </c>
      <c r="BM50" s="206" t="str">
        <f>IF(AND($A50&gt;=SYear_O, $A50&lt;=EYear_O, BM$3&gt;0), BM$3 * VLOOKUP($A50, Data_All!$A$8:$CA$153, MATCH(BM$2, Data_All!$B$2:$CA$2, 0)+1), "")</f>
        <v/>
      </c>
      <c r="BN50" s="206" t="str">
        <f>IF(AND($A50&gt;=SYear_O, $A50&lt;=EYear_O, BN$3&gt;0), BN$3 * VLOOKUP($A50, Data_All!$A$8:$CA$153, MATCH(BN$2, Data_All!$B$2:$CA$2, 0)+1), "")</f>
        <v/>
      </c>
      <c r="BO50" s="206" t="str">
        <f>IF(AND($A50&gt;=SYear_O, $A50&lt;=EYear_O, BO$3&gt;0), BO$3 * VLOOKUP($A50, Data_All!$A$8:$CA$153, MATCH(BO$2, Data_All!$B$2:$CA$2, 0)+1), "")</f>
        <v/>
      </c>
      <c r="BP50" s="206" t="str">
        <f>IF(AND($A50&gt;=SYear_O, $A50&lt;=EYear_O, BP$3&gt;0), BP$3 * VLOOKUP($A50, Data_All!$A$8:$CA$153, MATCH(BP$2, Data_All!$B$2:$CA$2, 0)+1), "")</f>
        <v/>
      </c>
      <c r="BQ50" s="206" t="str">
        <f>IF(AND($A50&gt;=SYear_O, $A50&lt;=EYear_O, BQ$3&gt;0), BQ$3 * VLOOKUP($A50, Data_All!$A$8:$CA$153, MATCH(BQ$2, Data_All!$B$2:$CA$2, 0)+1), "")</f>
        <v/>
      </c>
      <c r="BR50" s="206" t="str">
        <f>IF(AND($A50&gt;=SYear_O, $A50&lt;=EYear_O, BR$3&gt;0), BR$3 * VLOOKUP($A50, Data_All!$A$8:$CA$153, MATCH(BR$2, Data_All!$B$2:$CA$2, 0)+1), "")</f>
        <v/>
      </c>
      <c r="BS50" s="206" t="str">
        <f>IF(AND($A50&gt;=SYear_O, $A50&lt;=EYear_O, BS$3&gt;0), BS$3 * VLOOKUP($A50, Data_All!$A$8:$CA$153, MATCH(BS$2, Data_All!$B$2:$CA$2, 0)+1), "")</f>
        <v/>
      </c>
      <c r="BT50" s="206" t="str">
        <f>IF(AND($A50&gt;=SYear_O, $A50&lt;=EYear_O, BT$3&gt;0), BT$3 * VLOOKUP($A50, Data_All!$A$8:$CA$153, MATCH(BT$2, Data_All!$B$2:$CA$2, 0)+1), "")</f>
        <v/>
      </c>
      <c r="BU50" s="206" t="str">
        <f>IF(AND($A50&gt;=SYear_O, $A50&lt;=EYear_O, BU$3&gt;0), BU$3 * VLOOKUP($A50, Data_All!$A$8:$CA$153, MATCH(BU$2, Data_All!$B$2:$CA$2, 0)+1), "")</f>
        <v/>
      </c>
      <c r="BV50" s="206" t="str">
        <f>IF(AND($A50&gt;=SYear_O, $A50&lt;=EYear_O, BV$3&gt;0), BV$3 * VLOOKUP($A50, Data_All!$A$8:$CA$153, MATCH(BV$2, Data_All!$B$2:$CA$2, 0)+1), "")</f>
        <v/>
      </c>
      <c r="BW50" s="206" t="str">
        <f>IF(AND($A50&gt;=SYear_O, $A50&lt;=EYear_O, BW$3&gt;0), BW$3 * VLOOKUP($A50, Data_All!$A$8:$CA$153, MATCH(BW$2, Data_All!$B$2:$CA$2, 0)+1), "")</f>
        <v/>
      </c>
      <c r="BX50" s="206">
        <f>IF(AND($A50&gt;=SYear_O, $A50&lt;=EYear_O, BX$3&gt;0), BX$3 * VLOOKUP($A50, Data_All!$A$8:$CA$153, MATCH(BX$2, Data_All!$B$2:$CA$2, 0)+1), "")</f>
        <v>-3.369175627240133</v>
      </c>
      <c r="BY50" s="206">
        <f>IF(AND($A50&gt;=SYear_O, $A50&lt;=EYear_O, BY$3&gt;0), BY$3 * VLOOKUP($A50, Data_All!$A$8:$CA$153, MATCH(BY$2, Data_All!$B$2:$CA$2, 0)+1), "")</f>
        <v>2.2765469378322756</v>
      </c>
      <c r="BZ50" s="206" t="str">
        <f>IF(AND($A50&gt;=SYear_O, $A50&lt;=EYear_O, BZ$3&gt;0), BZ$3 * VLOOKUP($A50, Data_All!$A$8:$CA$153, MATCH(BZ$2, Data_All!$B$2:$CA$2, 0)+1), "")</f>
        <v/>
      </c>
      <c r="CA50" s="565">
        <f t="shared" si="19"/>
        <v>-1.0926286894078574</v>
      </c>
      <c r="CB50" s="427">
        <f t="shared" si="20"/>
        <v>109334.01124397686</v>
      </c>
      <c r="CC50" s="565">
        <f>IF(AND($A50&gt;=SYear_O,$A50&lt;=EYear_O),(CA50-Data_All!CA51)/(1+Data_All!CA51%),"")</f>
        <v>-2.0719095934731269</v>
      </c>
      <c r="CD50" s="436">
        <f t="shared" si="21"/>
        <v>134925.32529897167</v>
      </c>
      <c r="CE50" s="438">
        <f t="shared" si="22"/>
        <v>9.91651159113548</v>
      </c>
      <c r="CF50" s="438">
        <f>IF(AND($A50&gt;=SYear_O,$A50&lt;=EYear_O),MAX($CE$7:CE50),"")</f>
        <v>10.037340037556771</v>
      </c>
      <c r="CG50" s="209">
        <f t="shared" si="23"/>
        <v>1.2037895096627782E-2</v>
      </c>
      <c r="CI50" s="143">
        <f>IF(AND($A50&gt;=SYear_O,$A50&lt;=EYear_O),Data_All!V51,"")</f>
        <v>4.5459086821860328</v>
      </c>
      <c r="CJ50" s="143">
        <f>IF(AND($A50&gt;=SYear_O,$A50&lt;=EYear_O),Data_All!CA51,"")</f>
        <v>1.0000000000000009</v>
      </c>
      <c r="CK50" s="143">
        <f t="shared" si="24"/>
        <v>3.5108006754317147</v>
      </c>
      <c r="CN50" s="61">
        <f t="shared" si="25"/>
        <v>-1.0926286894078596E-2</v>
      </c>
      <c r="CO50" s="61">
        <f t="shared" si="26"/>
        <v>8.0709433158249411E-2</v>
      </c>
      <c r="CP50" s="61">
        <f t="shared" si="27"/>
        <v>4.8938744541679347E-2</v>
      </c>
      <c r="CQ50" s="61">
        <f t="shared" si="28"/>
        <v>6.2499337962542256E-2</v>
      </c>
      <c r="CR50" s="61">
        <f t="shared" si="29"/>
        <v>0.10227237420597679</v>
      </c>
      <c r="CU50" s="61">
        <f t="shared" si="30"/>
        <v>-2.0719095934731202E-2</v>
      </c>
      <c r="CV50" s="61">
        <f t="shared" si="31"/>
        <v>2.5605454069488776E-2</v>
      </c>
      <c r="CW50" s="61">
        <f t="shared" si="32"/>
        <v>-5.1028131403414556E-2</v>
      </c>
      <c r="CX50" s="61">
        <f t="shared" si="33"/>
        <v>5.8287794832698747E-3</v>
      </c>
      <c r="CY50" s="61">
        <f t="shared" si="34"/>
        <v>6.3544948031074133E-2</v>
      </c>
    </row>
    <row r="51" spans="1:103">
      <c r="A51" s="204">
        <f t="shared" si="18"/>
        <v>1915</v>
      </c>
      <c r="B51" s="206" t="str">
        <f>IF(AND($A51&gt;=SYear_O, $A51&lt;=EYear_O, B$3&gt;0), B$3 * VLOOKUP($A51, Data_All!$A$8:$CA$153, MATCH(B$2, Data_All!$B$2:$CA$2, 0)+1), "")</f>
        <v/>
      </c>
      <c r="C51" s="206" t="str">
        <f>IF(AND($A51&gt;=SYear_O, $A51&lt;=EYear_O, C$3&gt;0), C$3 * VLOOKUP($A51, Data_All!$A$8:$CA$153, MATCH(C$2, Data_All!$B$2:$CA$2, 0)+1), "")</f>
        <v/>
      </c>
      <c r="D51" s="206" t="str">
        <f>IF(AND($A51&gt;=SYear_O, $A51&lt;=EYear_O, D$3&gt;0), D$3 * VLOOKUP($A51, Data_All!$A$8:$CA$153, MATCH(D$2, Data_All!$B$2:$CA$2, 0)+1), "")</f>
        <v/>
      </c>
      <c r="E51" s="206" t="str">
        <f>IF(AND($A51&gt;=SYear_O, $A51&lt;=EYear_O, E$3&gt;0), E$3 * VLOOKUP($A51, Data_All!$A$8:$CA$153, MATCH(E$2, Data_All!$B$2:$CA$2, 0)+1), "")</f>
        <v/>
      </c>
      <c r="F51" s="206" t="str">
        <f>IF(AND($A51&gt;=SYear_O, $A51&lt;=EYear_O, F$3&gt;0), F$3 * VLOOKUP($A51, Data_All!$A$8:$CA$153, MATCH(F$2, Data_All!$B$2:$CA$2, 0)+1), "")</f>
        <v/>
      </c>
      <c r="G51" s="206" t="str">
        <f>IF(AND($A51&gt;=SYear_O, $A51&lt;=EYear_O, G$3&gt;0), G$3 * VLOOKUP($A51, Data_All!$A$8:$CA$153, MATCH(G$2, Data_All!$B$2:$CA$2, 0)+1), "")</f>
        <v/>
      </c>
      <c r="H51" s="206" t="str">
        <f>IF(AND($A51&gt;=SYear_O, $A51&lt;=EYear_O, H$3&gt;0), H$3 * VLOOKUP($A51, Data_All!$A$8:$CA$153, MATCH(H$2, Data_All!$B$2:$CA$2, 0)+1), "")</f>
        <v/>
      </c>
      <c r="I51" s="206" t="str">
        <f>IF(AND($A51&gt;=SYear_O, $A51&lt;=EYear_O, I$3&gt;0), I$3 * VLOOKUP($A51, Data_All!$A$8:$CA$153, MATCH(I$2, Data_All!$B$2:$CA$2, 0)+1), "")</f>
        <v/>
      </c>
      <c r="J51" s="206" t="str">
        <f>IF(AND($A51&gt;=SYear_O, $A51&lt;=EYear_O, J$3&gt;0), J$3 * VLOOKUP($A51, Data_All!$A$8:$CA$153, MATCH(J$2, Data_All!$B$2:$CA$2, 0)+1), "")</f>
        <v/>
      </c>
      <c r="K51" s="206" t="str">
        <f>IF(AND($A51&gt;=SYear_O, $A51&lt;=EYear_O, K$3&gt;0), K$3 * VLOOKUP($A51, Data_All!$A$8:$CA$153, MATCH(K$2, Data_All!$B$2:$CA$2, 0)+1), "")</f>
        <v/>
      </c>
      <c r="L51" s="206" t="str">
        <f>IF(AND($A51&gt;=SYear_O, $A51&lt;=EYear_O, L$3&gt;0), L$3 * VLOOKUP($A51, Data_All!$A$8:$CA$153, MATCH(L$2, Data_All!$B$2:$CA$2, 0)+1), "")</f>
        <v/>
      </c>
      <c r="M51" s="206" t="str">
        <f>IF(AND($A51&gt;=SYear_O, $A51&lt;=EYear_O, M$3&gt;0), M$3 * VLOOKUP($A51, Data_All!$A$8:$CA$153, MATCH(M$2, Data_All!$B$2:$CA$2, 0)+1), "")</f>
        <v/>
      </c>
      <c r="N51" s="206" t="str">
        <f>IF(AND($A51&gt;=SYear_O, $A51&lt;=EYear_O, N$3&gt;0), N$3 * VLOOKUP($A51, Data_All!$A$8:$CA$153, MATCH(N$2, Data_All!$B$2:$CA$2, 0)+1), "")</f>
        <v/>
      </c>
      <c r="O51" s="206" t="str">
        <f>IF(AND($A51&gt;=SYear_O, $A51&lt;=EYear_O, O$3&gt;0), O$3 * VLOOKUP($A51, Data_All!$A$8:$CA$153, MATCH(O$2, Data_All!$B$2:$CA$2, 0)+1), "")</f>
        <v/>
      </c>
      <c r="P51" s="206" t="str">
        <f>IF(AND($A51&gt;=SYear_O, $A51&lt;=EYear_O, P$3&gt;0), P$3 * VLOOKUP($A51, Data_All!$A$8:$CA$153, MATCH(P$2, Data_All!$B$2:$CA$2, 0)+1), "")</f>
        <v/>
      </c>
      <c r="Q51" s="206" t="str">
        <f>IF(AND($A51&gt;=SYear_O, $A51&lt;=EYear_O, Q$3&gt;0), Q$3 * VLOOKUP($A51, Data_All!$A$8:$CA$153, MATCH(Q$2, Data_All!$B$2:$CA$2, 0)+1), "")</f>
        <v/>
      </c>
      <c r="R51" s="206" t="str">
        <f>IF(AND($A51&gt;=SYear_O, $A51&lt;=EYear_O, R$3&gt;0), R$3 * VLOOKUP($A51, Data_All!$A$8:$CA$153, MATCH(R$2, Data_All!$B$2:$CA$2, 0)+1), "")</f>
        <v/>
      </c>
      <c r="S51" s="206" t="str">
        <f>IF(AND($A51&gt;=SYear_O, $A51&lt;=EYear_O, S$3&gt;0), S$3 * VLOOKUP($A51, Data_All!$A$8:$CA$153, MATCH(S$2, Data_All!$B$2:$CA$2, 0)+1), "")</f>
        <v/>
      </c>
      <c r="T51" s="206" t="str">
        <f>IF(AND($A51&gt;=SYear_O, $A51&lt;=EYear_O, T$3&gt;0), T$3 * VLOOKUP($A51, Data_All!$A$8:$CA$153, MATCH(T$2, Data_All!$B$2:$CA$2, 0)+1), "")</f>
        <v/>
      </c>
      <c r="U51" s="206" t="str">
        <f>IF(AND($A51&gt;=SYear_O, $A51&lt;=EYear_O, U$3&gt;0), U$3 * VLOOKUP($A51, Data_All!$A$8:$CA$153, MATCH(U$2, Data_All!$B$2:$CA$2, 0)+1), "")</f>
        <v/>
      </c>
      <c r="V51" s="206" t="str">
        <f>IF(AND($A51&gt;=SYear_O, $A51&lt;=EYear_O, V$3&gt;0), V$3 * VLOOKUP($A51, Data_All!$A$8:$CA$153, MATCH(V$2, Data_All!$B$2:$CA$2, 0)+1), "")</f>
        <v/>
      </c>
      <c r="W51" s="206" t="str">
        <f>IF(AND($A51&gt;=SYear_O, $A51&lt;=EYear_O, W$3&gt;0), W$3 * VLOOKUP($A51, Data_All!$A$8:$CA$153, MATCH(W$2, Data_All!$B$2:$CA$2, 0)+1), "")</f>
        <v/>
      </c>
      <c r="X51" s="206" t="str">
        <f>IF(AND($A51&gt;=SYear_O, $A51&lt;=EYear_O, X$3&gt;0), X$3 * VLOOKUP($A51, Data_All!$A$8:$CA$153, MATCH(X$2, Data_All!$B$2:$CA$2, 0)+1), "")</f>
        <v/>
      </c>
      <c r="Y51" s="206" t="str">
        <f>IF(AND($A51&gt;=SYear_O, $A51&lt;=EYear_O, Y$3&gt;0), Y$3 * VLOOKUP($A51, Data_All!$A$8:$CA$153, MATCH(Y$2, Data_All!$B$2:$CA$2, 0)+1), "")</f>
        <v/>
      </c>
      <c r="Z51" s="206" t="str">
        <f>IF(AND($A51&gt;=SYear_O, $A51&lt;=EYear_O, Z$3&gt;0), Z$3 * VLOOKUP($A51, Data_All!$A$8:$CA$153, MATCH(Z$2, Data_All!$B$2:$CA$2, 0)+1), "")</f>
        <v/>
      </c>
      <c r="AA51" s="206" t="str">
        <f>IF(AND($A51&gt;=SYear_O, $A51&lt;=EYear_O, AA$3&gt;0), AA$3 * VLOOKUP($A51, Data_All!$A$8:$CA$153, MATCH(AA$2, Data_All!$B$2:$CA$2, 0)+1), "")</f>
        <v/>
      </c>
      <c r="AB51" s="206" t="str">
        <f>IF(AND($A51&gt;=SYear_O, $A51&lt;=EYear_O, AB$3&gt;0), AB$3 * VLOOKUP($A51, Data_All!$A$8:$CA$153, MATCH(AB$2, Data_All!$B$2:$CA$2, 0)+1), "")</f>
        <v/>
      </c>
      <c r="AC51" s="206" t="str">
        <f>IF(AND($A51&gt;=SYear_O, $A51&lt;=EYear_O, AC$3&gt;0), AC$3 * VLOOKUP($A51, Data_All!$A$8:$CA$153, MATCH(AC$2, Data_All!$B$2:$CA$2, 0)+1), "")</f>
        <v/>
      </c>
      <c r="AD51" s="206" t="str">
        <f>IF(AND($A51&gt;=SYear_O, $A51&lt;=EYear_O, AD$3&gt;0), AD$3 * VLOOKUP($A51, Data_All!$A$8:$CA$153, MATCH(AD$2, Data_All!$B$2:$CA$2, 0)+1), "")</f>
        <v/>
      </c>
      <c r="AE51" s="206" t="str">
        <f>IF(AND($A51&gt;=SYear_O, $A51&lt;=EYear_O, AE$3&gt;0), AE$3 * VLOOKUP($A51, Data_All!$A$8:$CA$153, MATCH(AE$2, Data_All!$B$2:$CA$2, 0)+1), "")</f>
        <v/>
      </c>
      <c r="AF51" s="206" t="str">
        <f>IF(AND($A51&gt;=SYear_O, $A51&lt;=EYear_O, AF$3&gt;0), AF$3 * VLOOKUP($A51, Data_All!$A$8:$CA$153, MATCH(AF$2, Data_All!$B$2:$CA$2, 0)+1), "")</f>
        <v/>
      </c>
      <c r="AG51" s="206" t="str">
        <f>IF(AND($A51&gt;=SYear_O, $A51&lt;=EYear_O, AG$3&gt;0), AG$3 * VLOOKUP($A51, Data_All!$A$8:$CA$153, MATCH(AG$2, Data_All!$B$2:$CA$2, 0)+1), "")</f>
        <v/>
      </c>
      <c r="AH51" s="206" t="str">
        <f>IF(AND($A51&gt;=SYear_O, $A51&lt;=EYear_O, AH$3&gt;0), AH$3 * VLOOKUP($A51, Data_All!$A$8:$CA$153, MATCH(AH$2, Data_All!$B$2:$CA$2, 0)+1), "")</f>
        <v/>
      </c>
      <c r="AI51" s="206" t="str">
        <f>IF(AND($A51&gt;=SYear_O, $A51&lt;=EYear_O, AI$3&gt;0), AI$3 * VLOOKUP($A51, Data_All!$A$8:$CA$153, MATCH(AI$2, Data_All!$B$2:$CA$2, 0)+1), "")</f>
        <v/>
      </c>
      <c r="AJ51" s="206" t="str">
        <f>IF(AND($A51&gt;=SYear_O, $A51&lt;=EYear_O, AJ$3&gt;0), AJ$3 * VLOOKUP($A51, Data_All!$A$8:$CA$153, MATCH(AJ$2, Data_All!$B$2:$CA$2, 0)+1), "")</f>
        <v/>
      </c>
      <c r="AK51" s="206" t="str">
        <f>IF(AND($A51&gt;=SYear_O, $A51&lt;=EYear_O, AK$3&gt;0), AK$3 * VLOOKUP($A51, Data_All!$A$8:$CA$153, MATCH(AK$2, Data_All!$B$2:$CA$2, 0)+1), "")</f>
        <v/>
      </c>
      <c r="AL51" s="206" t="str">
        <f>IF(AND($A51&gt;=SYear_O, $A51&lt;=EYear_O, AL$3&gt;0), AL$3 * VLOOKUP($A51, Data_All!$A$8:$CA$153, MATCH(AL$2, Data_All!$B$2:$CA$2, 0)+1), "")</f>
        <v/>
      </c>
      <c r="AM51" s="206" t="str">
        <f>IF(AND($A51&gt;=SYear_O, $A51&lt;=EYear_O, AM$3&gt;0), AM$3 * VLOOKUP($A51, Data_All!$A$8:$CA$153, MATCH(AM$2, Data_All!$B$2:$CA$2, 0)+1), "")</f>
        <v/>
      </c>
      <c r="AN51" s="206" t="str">
        <f>IF(AND($A51&gt;=SYear_O, $A51&lt;=EYear_O, AN$3&gt;0), AN$3 * VLOOKUP($A51, Data_All!$A$8:$CA$153, MATCH(AN$2, Data_All!$B$2:$CA$2, 0)+1), "")</f>
        <v/>
      </c>
      <c r="AO51" s="206" t="str">
        <f>IF(AND($A51&gt;=SYear_O, $A51&lt;=EYear_O, AO$3&gt;0), AO$3 * VLOOKUP($A51, Data_All!$A$8:$CA$153, MATCH(AO$2, Data_All!$B$2:$CA$2, 0)+1), "")</f>
        <v/>
      </c>
      <c r="AP51" s="206" t="str">
        <f>IF(AND($A51&gt;=SYear_O, $A51&lt;=EYear_O, AP$3&gt;0), AP$3 * VLOOKUP($A51, Data_All!$A$8:$CA$153, MATCH(AP$2, Data_All!$B$2:$CA$2, 0)+1), "")</f>
        <v/>
      </c>
      <c r="AQ51" s="206" t="str">
        <f>IF(AND($A51&gt;=SYear_O, $A51&lt;=EYear_O, AQ$3&gt;0), AQ$3 * VLOOKUP($A51, Data_All!$A$8:$CA$153, MATCH(AQ$2, Data_All!$B$2:$CA$2, 0)+1), "")</f>
        <v/>
      </c>
      <c r="AR51" s="206" t="str">
        <f>IF(AND($A51&gt;=SYear_O, $A51&lt;=EYear_O, AR$3&gt;0), AR$3 * VLOOKUP($A51, Data_All!$A$8:$CA$153, MATCH(AR$2, Data_All!$B$2:$CA$2, 0)+1), "")</f>
        <v/>
      </c>
      <c r="AS51" s="206" t="str">
        <f>IF(AND($A51&gt;=SYear_O, $A51&lt;=EYear_O, AS$3&gt;0), AS$3 * VLOOKUP($A51, Data_All!$A$8:$CA$153, MATCH(AS$2, Data_All!$B$2:$CA$2, 0)+1), "")</f>
        <v/>
      </c>
      <c r="AT51" s="206" t="str">
        <f>IF(AND($A51&gt;=SYear_O, $A51&lt;=EYear_O, AT$3&gt;0), AT$3 * VLOOKUP($A51, Data_All!$A$8:$CA$153, MATCH(AT$2, Data_All!$B$2:$CA$2, 0)+1), "")</f>
        <v/>
      </c>
      <c r="AU51" s="206" t="str">
        <f>IF(AND($A51&gt;=SYear_O, $A51&lt;=EYear_O, AU$3&gt;0), AU$3 * VLOOKUP($A51, Data_All!$A$8:$CA$153, MATCH(AU$2, Data_All!$B$2:$CA$2, 0)+1), "")</f>
        <v/>
      </c>
      <c r="AV51" s="206" t="str">
        <f>IF(AND($A51&gt;=SYear_O, $A51&lt;=EYear_O, AV$3&gt;0), AV$3 * VLOOKUP($A51, Data_All!$A$8:$CA$153, MATCH(AV$2, Data_All!$B$2:$CA$2, 0)+1), "")</f>
        <v/>
      </c>
      <c r="AW51" s="206" t="str">
        <f>IF(AND($A51&gt;=SYear_O, $A51&lt;=EYear_O, AW$3&gt;0), AW$3 * VLOOKUP($A51, Data_All!$A$8:$CA$153, MATCH(AW$2, Data_All!$B$2:$CA$2, 0)+1), "")</f>
        <v/>
      </c>
      <c r="AX51" s="206" t="str">
        <f>IF(AND($A51&gt;=SYear_O, $A51&lt;=EYear_O, AX$3&gt;0), AX$3 * VLOOKUP($A51, Data_All!$A$8:$CA$153, MATCH(AX$2, Data_All!$B$2:$CA$2, 0)+1), "")</f>
        <v/>
      </c>
      <c r="AY51" s="206" t="str">
        <f>IF(AND($A51&gt;=SYear_O, $A51&lt;=EYear_O, AY$3&gt;0), AY$3 * VLOOKUP($A51, Data_All!$A$8:$CA$153, MATCH(AY$2, Data_All!$B$2:$CA$2, 0)+1), "")</f>
        <v/>
      </c>
      <c r="AZ51" s="206" t="str">
        <f>IF(AND($A51&gt;=SYear_O, $A51&lt;=EYear_O, AZ$3&gt;0), AZ$3 * VLOOKUP($A51, Data_All!$A$8:$CA$153, MATCH(AZ$2, Data_All!$B$2:$CA$2, 0)+1), "")</f>
        <v/>
      </c>
      <c r="BA51" s="206" t="str">
        <f>IF(AND($A51&gt;=SYear_O, $A51&lt;=EYear_O, BA$3&gt;0), BA$3 * VLOOKUP($A51, Data_All!$A$8:$CA$153, MATCH(BA$2, Data_All!$B$2:$CA$2, 0)+1), "")</f>
        <v/>
      </c>
      <c r="BB51" s="206" t="str">
        <f>IF(AND($A51&gt;=SYear_O, $A51&lt;=EYear_O, BB$3&gt;0), BB$3 * VLOOKUP($A51, Data_All!$A$8:$CA$153, MATCH(BB$2, Data_All!$B$2:$CA$2, 0)+1), "")</f>
        <v/>
      </c>
      <c r="BC51" s="206" t="str">
        <f>IF(AND($A51&gt;=SYear_O, $A51&lt;=EYear_O, BC$3&gt;0), BC$3 * VLOOKUP($A51, Data_All!$A$8:$CA$153, MATCH(BC$2, Data_All!$B$2:$CA$2, 0)+1), "")</f>
        <v/>
      </c>
      <c r="BD51" s="206" t="str">
        <f>IF(AND($A51&gt;=SYear_O, $A51&lt;=EYear_O, BD$3&gt;0), BD$3 * VLOOKUP($A51, Data_All!$A$8:$CA$153, MATCH(BD$2, Data_All!$B$2:$CA$2, 0)+1), "")</f>
        <v/>
      </c>
      <c r="BE51" s="206" t="str">
        <f>IF(AND($A51&gt;=SYear_O, $A51&lt;=EYear_O, BE$3&gt;0), BE$3 * VLOOKUP($A51, Data_All!$A$8:$CA$153, MATCH(BE$2, Data_All!$B$2:$CA$2, 0)+1), "")</f>
        <v/>
      </c>
      <c r="BF51" s="206" t="str">
        <f>IF(AND($A51&gt;=SYear_O, $A51&lt;=EYear_O, BF$3&gt;0), BF$3 * VLOOKUP($A51, Data_All!$A$8:$CA$153, MATCH(BF$2, Data_All!$B$2:$CA$2, 0)+1), "")</f>
        <v/>
      </c>
      <c r="BG51" s="206" t="str">
        <f>IF(AND($A51&gt;=SYear_O, $A51&lt;=EYear_O, BG$3&gt;0), BG$3 * VLOOKUP($A51, Data_All!$A$8:$CA$153, MATCH(BG$2, Data_All!$B$2:$CA$2, 0)+1), "")</f>
        <v/>
      </c>
      <c r="BH51" s="206" t="str">
        <f>IF(AND($A51&gt;=SYear_O, $A51&lt;=EYear_O, BH$3&gt;0), BH$3 * VLOOKUP($A51, Data_All!$A$8:$CA$153, MATCH(BH$2, Data_All!$B$2:$CA$2, 0)+1), "")</f>
        <v/>
      </c>
      <c r="BI51" s="206" t="str">
        <f>IF(AND($A51&gt;=SYear_O, $A51&lt;=EYear_O, BI$3&gt;0), BI$3 * VLOOKUP($A51, Data_All!$A$8:$CA$153, MATCH(BI$2, Data_All!$B$2:$CA$2, 0)+1), "")</f>
        <v/>
      </c>
      <c r="BJ51" s="206" t="str">
        <f>IF(AND($A51&gt;=SYear_O, $A51&lt;=EYear_O, BJ$3&gt;0), BJ$3 * VLOOKUP($A51, Data_All!$A$8:$CA$153, MATCH(BJ$2, Data_All!$B$2:$CA$2, 0)+1), "")</f>
        <v/>
      </c>
      <c r="BK51" s="206" t="str">
        <f>IF(AND($A51&gt;=SYear_O, $A51&lt;=EYear_O, BK$3&gt;0), BK$3 * VLOOKUP($A51, Data_All!$A$8:$CA$153, MATCH(BK$2, Data_All!$B$2:$CA$2, 0)+1), "")</f>
        <v/>
      </c>
      <c r="BL51" s="206" t="str">
        <f>IF(AND($A51&gt;=SYear_O, $A51&lt;=EYear_O, BL$3&gt;0), BL$3 * VLOOKUP($A51, Data_All!$A$8:$CA$153, MATCH(BL$2, Data_All!$B$2:$CA$2, 0)+1), "")</f>
        <v/>
      </c>
      <c r="BM51" s="206" t="str">
        <f>IF(AND($A51&gt;=SYear_O, $A51&lt;=EYear_O, BM$3&gt;0), BM$3 * VLOOKUP($A51, Data_All!$A$8:$CA$153, MATCH(BM$2, Data_All!$B$2:$CA$2, 0)+1), "")</f>
        <v/>
      </c>
      <c r="BN51" s="206" t="str">
        <f>IF(AND($A51&gt;=SYear_O, $A51&lt;=EYear_O, BN$3&gt;0), BN$3 * VLOOKUP($A51, Data_All!$A$8:$CA$153, MATCH(BN$2, Data_All!$B$2:$CA$2, 0)+1), "")</f>
        <v/>
      </c>
      <c r="BO51" s="206" t="str">
        <f>IF(AND($A51&gt;=SYear_O, $A51&lt;=EYear_O, BO$3&gt;0), BO$3 * VLOOKUP($A51, Data_All!$A$8:$CA$153, MATCH(BO$2, Data_All!$B$2:$CA$2, 0)+1), "")</f>
        <v/>
      </c>
      <c r="BP51" s="206" t="str">
        <f>IF(AND($A51&gt;=SYear_O, $A51&lt;=EYear_O, BP$3&gt;0), BP$3 * VLOOKUP($A51, Data_All!$A$8:$CA$153, MATCH(BP$2, Data_All!$B$2:$CA$2, 0)+1), "")</f>
        <v/>
      </c>
      <c r="BQ51" s="206" t="str">
        <f>IF(AND($A51&gt;=SYear_O, $A51&lt;=EYear_O, BQ$3&gt;0), BQ$3 * VLOOKUP($A51, Data_All!$A$8:$CA$153, MATCH(BQ$2, Data_All!$B$2:$CA$2, 0)+1), "")</f>
        <v/>
      </c>
      <c r="BR51" s="206" t="str">
        <f>IF(AND($A51&gt;=SYear_O, $A51&lt;=EYear_O, BR$3&gt;0), BR$3 * VLOOKUP($A51, Data_All!$A$8:$CA$153, MATCH(BR$2, Data_All!$B$2:$CA$2, 0)+1), "")</f>
        <v/>
      </c>
      <c r="BS51" s="206" t="str">
        <f>IF(AND($A51&gt;=SYear_O, $A51&lt;=EYear_O, BS$3&gt;0), BS$3 * VLOOKUP($A51, Data_All!$A$8:$CA$153, MATCH(BS$2, Data_All!$B$2:$CA$2, 0)+1), "")</f>
        <v/>
      </c>
      <c r="BT51" s="206" t="str">
        <f>IF(AND($A51&gt;=SYear_O, $A51&lt;=EYear_O, BT$3&gt;0), BT$3 * VLOOKUP($A51, Data_All!$A$8:$CA$153, MATCH(BT$2, Data_All!$B$2:$CA$2, 0)+1), "")</f>
        <v/>
      </c>
      <c r="BU51" s="206" t="str">
        <f>IF(AND($A51&gt;=SYear_O, $A51&lt;=EYear_O, BU$3&gt;0), BU$3 * VLOOKUP($A51, Data_All!$A$8:$CA$153, MATCH(BU$2, Data_All!$B$2:$CA$2, 0)+1), "")</f>
        <v/>
      </c>
      <c r="BV51" s="206" t="str">
        <f>IF(AND($A51&gt;=SYear_O, $A51&lt;=EYear_O, BV$3&gt;0), BV$3 * VLOOKUP($A51, Data_All!$A$8:$CA$153, MATCH(BV$2, Data_All!$B$2:$CA$2, 0)+1), "")</f>
        <v/>
      </c>
      <c r="BW51" s="206" t="str">
        <f>IF(AND($A51&gt;=SYear_O, $A51&lt;=EYear_O, BW$3&gt;0), BW$3 * VLOOKUP($A51, Data_All!$A$8:$CA$153, MATCH(BW$2, Data_All!$B$2:$CA$2, 0)+1), "")</f>
        <v/>
      </c>
      <c r="BX51" s="206">
        <f>IF(AND($A51&gt;=SYear_O, $A51&lt;=EYear_O, BX$3&gt;0), BX$3 * VLOOKUP($A51, Data_All!$A$8:$CA$153, MATCH(BX$2, Data_All!$B$2:$CA$2, 0)+1), "")</f>
        <v>18.288770053475929</v>
      </c>
      <c r="BY51" s="206">
        <f>IF(AND($A51&gt;=SYear_O, $A51&lt;=EYear_O, BY$3&gt;0), BY$3 * VLOOKUP($A51, Data_All!$A$8:$CA$153, MATCH(BY$2, Data_All!$B$2:$CA$2, 0)+1), "")</f>
        <v>1.9347735144472633</v>
      </c>
      <c r="BZ51" s="206" t="str">
        <f>IF(AND($A51&gt;=SYear_O, $A51&lt;=EYear_O, BZ$3&gt;0), BZ$3 * VLOOKUP($A51, Data_All!$A$8:$CA$153, MATCH(BZ$2, Data_All!$B$2:$CA$2, 0)+1), "")</f>
        <v/>
      </c>
      <c r="CA51" s="565">
        <f t="shared" si="19"/>
        <v>20.223543567923194</v>
      </c>
      <c r="CB51" s="427">
        <f t="shared" si="20"/>
        <v>131445.22264246058</v>
      </c>
      <c r="CC51" s="565">
        <f>IF(AND($A51&gt;=SYear_O,$A51&lt;=EYear_O),(CA51-Data_All!CA52)/(1+Data_All!CA52%),"")</f>
        <v>16.7555567342331</v>
      </c>
      <c r="CD51" s="436">
        <f t="shared" si="21"/>
        <v>157532.81472828944</v>
      </c>
      <c r="CE51" s="438">
        <f t="shared" si="22"/>
        <v>11.921981633186917</v>
      </c>
      <c r="CF51" s="438">
        <f>IF(AND($A51&gt;=SYear_O,$A51&lt;=EYear_O),MAX($CE$7:CE51),"")</f>
        <v>11.921981633186917</v>
      </c>
      <c r="CG51" s="209">
        <f t="shared" si="23"/>
        <v>0</v>
      </c>
      <c r="CI51" s="143">
        <f>IF(AND($A51&gt;=SYear_O,$A51&lt;=EYear_O),Data_All!V52,"")</f>
        <v>3.5567988810070941</v>
      </c>
      <c r="CJ51" s="143">
        <f>IF(AND($A51&gt;=SYear_O,$A51&lt;=EYear_O),Data_All!CA52,"")</f>
        <v>2.9702970297029729</v>
      </c>
      <c r="CK51" s="143">
        <f t="shared" si="24"/>
        <v>0.56958352867034845</v>
      </c>
      <c r="CN51" s="61">
        <f t="shared" si="25"/>
        <v>0.20223543567923219</v>
      </c>
      <c r="CO51" s="61">
        <f t="shared" si="26"/>
        <v>4.5873783761322562E-2</v>
      </c>
      <c r="CP51" s="61">
        <f t="shared" si="27"/>
        <v>7.4601843406418844E-2</v>
      </c>
      <c r="CQ51" s="61">
        <f t="shared" si="28"/>
        <v>8.1237329964004568E-2</v>
      </c>
      <c r="CR51" s="61">
        <f t="shared" si="29"/>
        <v>0.10145284163136381</v>
      </c>
      <c r="CU51" s="61">
        <f t="shared" si="30"/>
        <v>0.16755556734233101</v>
      </c>
      <c r="CV51" s="61">
        <f t="shared" si="31"/>
        <v>-6.198369041904439E-2</v>
      </c>
      <c r="CW51" s="61">
        <f t="shared" si="32"/>
        <v>-5.5938266829083871E-2</v>
      </c>
      <c r="CX51" s="61">
        <f t="shared" si="33"/>
        <v>2.4586332904943164E-2</v>
      </c>
      <c r="CY51" s="61">
        <f t="shared" si="34"/>
        <v>6.3459426666282681E-2</v>
      </c>
    </row>
    <row r="52" spans="1:103">
      <c r="A52" s="204">
        <f t="shared" si="18"/>
        <v>1916</v>
      </c>
      <c r="B52" s="206" t="str">
        <f>IF(AND($A52&gt;=SYear_O, $A52&lt;=EYear_O, B$3&gt;0), B$3 * VLOOKUP($A52, Data_All!$A$8:$CA$153, MATCH(B$2, Data_All!$B$2:$CA$2, 0)+1), "")</f>
        <v/>
      </c>
      <c r="C52" s="206" t="str">
        <f>IF(AND($A52&gt;=SYear_O, $A52&lt;=EYear_O, C$3&gt;0), C$3 * VLOOKUP($A52, Data_All!$A$8:$CA$153, MATCH(C$2, Data_All!$B$2:$CA$2, 0)+1), "")</f>
        <v/>
      </c>
      <c r="D52" s="206" t="str">
        <f>IF(AND($A52&gt;=SYear_O, $A52&lt;=EYear_O, D$3&gt;0), D$3 * VLOOKUP($A52, Data_All!$A$8:$CA$153, MATCH(D$2, Data_All!$B$2:$CA$2, 0)+1), "")</f>
        <v/>
      </c>
      <c r="E52" s="206" t="str">
        <f>IF(AND($A52&gt;=SYear_O, $A52&lt;=EYear_O, E$3&gt;0), E$3 * VLOOKUP($A52, Data_All!$A$8:$CA$153, MATCH(E$2, Data_All!$B$2:$CA$2, 0)+1), "")</f>
        <v/>
      </c>
      <c r="F52" s="206" t="str">
        <f>IF(AND($A52&gt;=SYear_O, $A52&lt;=EYear_O, F$3&gt;0), F$3 * VLOOKUP($A52, Data_All!$A$8:$CA$153, MATCH(F$2, Data_All!$B$2:$CA$2, 0)+1), "")</f>
        <v/>
      </c>
      <c r="G52" s="206" t="str">
        <f>IF(AND($A52&gt;=SYear_O, $A52&lt;=EYear_O, G$3&gt;0), G$3 * VLOOKUP($A52, Data_All!$A$8:$CA$153, MATCH(G$2, Data_All!$B$2:$CA$2, 0)+1), "")</f>
        <v/>
      </c>
      <c r="H52" s="206" t="str">
        <f>IF(AND($A52&gt;=SYear_O, $A52&lt;=EYear_O, H$3&gt;0), H$3 * VLOOKUP($A52, Data_All!$A$8:$CA$153, MATCH(H$2, Data_All!$B$2:$CA$2, 0)+1), "")</f>
        <v/>
      </c>
      <c r="I52" s="206" t="str">
        <f>IF(AND($A52&gt;=SYear_O, $A52&lt;=EYear_O, I$3&gt;0), I$3 * VLOOKUP($A52, Data_All!$A$8:$CA$153, MATCH(I$2, Data_All!$B$2:$CA$2, 0)+1), "")</f>
        <v/>
      </c>
      <c r="J52" s="206" t="str">
        <f>IF(AND($A52&gt;=SYear_O, $A52&lt;=EYear_O, J$3&gt;0), J$3 * VLOOKUP($A52, Data_All!$A$8:$CA$153, MATCH(J$2, Data_All!$B$2:$CA$2, 0)+1), "")</f>
        <v/>
      </c>
      <c r="K52" s="206" t="str">
        <f>IF(AND($A52&gt;=SYear_O, $A52&lt;=EYear_O, K$3&gt;0), K$3 * VLOOKUP($A52, Data_All!$A$8:$CA$153, MATCH(K$2, Data_All!$B$2:$CA$2, 0)+1), "")</f>
        <v/>
      </c>
      <c r="L52" s="206" t="str">
        <f>IF(AND($A52&gt;=SYear_O, $A52&lt;=EYear_O, L$3&gt;0), L$3 * VLOOKUP($A52, Data_All!$A$8:$CA$153, MATCH(L$2, Data_All!$B$2:$CA$2, 0)+1), "")</f>
        <v/>
      </c>
      <c r="M52" s="206" t="str">
        <f>IF(AND($A52&gt;=SYear_O, $A52&lt;=EYear_O, M$3&gt;0), M$3 * VLOOKUP($A52, Data_All!$A$8:$CA$153, MATCH(M$2, Data_All!$B$2:$CA$2, 0)+1), "")</f>
        <v/>
      </c>
      <c r="N52" s="206" t="str">
        <f>IF(AND($A52&gt;=SYear_O, $A52&lt;=EYear_O, N$3&gt;0), N$3 * VLOOKUP($A52, Data_All!$A$8:$CA$153, MATCH(N$2, Data_All!$B$2:$CA$2, 0)+1), "")</f>
        <v/>
      </c>
      <c r="O52" s="206" t="str">
        <f>IF(AND($A52&gt;=SYear_O, $A52&lt;=EYear_O, O$3&gt;0), O$3 * VLOOKUP($A52, Data_All!$A$8:$CA$153, MATCH(O$2, Data_All!$B$2:$CA$2, 0)+1), "")</f>
        <v/>
      </c>
      <c r="P52" s="206" t="str">
        <f>IF(AND($A52&gt;=SYear_O, $A52&lt;=EYear_O, P$3&gt;0), P$3 * VLOOKUP($A52, Data_All!$A$8:$CA$153, MATCH(P$2, Data_All!$B$2:$CA$2, 0)+1), "")</f>
        <v/>
      </c>
      <c r="Q52" s="206" t="str">
        <f>IF(AND($A52&gt;=SYear_O, $A52&lt;=EYear_O, Q$3&gt;0), Q$3 * VLOOKUP($A52, Data_All!$A$8:$CA$153, MATCH(Q$2, Data_All!$B$2:$CA$2, 0)+1), "")</f>
        <v/>
      </c>
      <c r="R52" s="206" t="str">
        <f>IF(AND($A52&gt;=SYear_O, $A52&lt;=EYear_O, R$3&gt;0), R$3 * VLOOKUP($A52, Data_All!$A$8:$CA$153, MATCH(R$2, Data_All!$B$2:$CA$2, 0)+1), "")</f>
        <v/>
      </c>
      <c r="S52" s="206" t="str">
        <f>IF(AND($A52&gt;=SYear_O, $A52&lt;=EYear_O, S$3&gt;0), S$3 * VLOOKUP($A52, Data_All!$A$8:$CA$153, MATCH(S$2, Data_All!$B$2:$CA$2, 0)+1), "")</f>
        <v/>
      </c>
      <c r="T52" s="206" t="str">
        <f>IF(AND($A52&gt;=SYear_O, $A52&lt;=EYear_O, T$3&gt;0), T$3 * VLOOKUP($A52, Data_All!$A$8:$CA$153, MATCH(T$2, Data_All!$B$2:$CA$2, 0)+1), "")</f>
        <v/>
      </c>
      <c r="U52" s="206" t="str">
        <f>IF(AND($A52&gt;=SYear_O, $A52&lt;=EYear_O, U$3&gt;0), U$3 * VLOOKUP($A52, Data_All!$A$8:$CA$153, MATCH(U$2, Data_All!$B$2:$CA$2, 0)+1), "")</f>
        <v/>
      </c>
      <c r="V52" s="206" t="str">
        <f>IF(AND($A52&gt;=SYear_O, $A52&lt;=EYear_O, V$3&gt;0), V$3 * VLOOKUP($A52, Data_All!$A$8:$CA$153, MATCH(V$2, Data_All!$B$2:$CA$2, 0)+1), "")</f>
        <v/>
      </c>
      <c r="W52" s="206" t="str">
        <f>IF(AND($A52&gt;=SYear_O, $A52&lt;=EYear_O, W$3&gt;0), W$3 * VLOOKUP($A52, Data_All!$A$8:$CA$153, MATCH(W$2, Data_All!$B$2:$CA$2, 0)+1), "")</f>
        <v/>
      </c>
      <c r="X52" s="206" t="str">
        <f>IF(AND($A52&gt;=SYear_O, $A52&lt;=EYear_O, X$3&gt;0), X$3 * VLOOKUP($A52, Data_All!$A$8:$CA$153, MATCH(X$2, Data_All!$B$2:$CA$2, 0)+1), "")</f>
        <v/>
      </c>
      <c r="Y52" s="206" t="str">
        <f>IF(AND($A52&gt;=SYear_O, $A52&lt;=EYear_O, Y$3&gt;0), Y$3 * VLOOKUP($A52, Data_All!$A$8:$CA$153, MATCH(Y$2, Data_All!$B$2:$CA$2, 0)+1), "")</f>
        <v/>
      </c>
      <c r="Z52" s="206" t="str">
        <f>IF(AND($A52&gt;=SYear_O, $A52&lt;=EYear_O, Z$3&gt;0), Z$3 * VLOOKUP($A52, Data_All!$A$8:$CA$153, MATCH(Z$2, Data_All!$B$2:$CA$2, 0)+1), "")</f>
        <v/>
      </c>
      <c r="AA52" s="206" t="str">
        <f>IF(AND($A52&gt;=SYear_O, $A52&lt;=EYear_O, AA$3&gt;0), AA$3 * VLOOKUP($A52, Data_All!$A$8:$CA$153, MATCH(AA$2, Data_All!$B$2:$CA$2, 0)+1), "")</f>
        <v/>
      </c>
      <c r="AB52" s="206" t="str">
        <f>IF(AND($A52&gt;=SYear_O, $A52&lt;=EYear_O, AB$3&gt;0), AB$3 * VLOOKUP($A52, Data_All!$A$8:$CA$153, MATCH(AB$2, Data_All!$B$2:$CA$2, 0)+1), "")</f>
        <v/>
      </c>
      <c r="AC52" s="206" t="str">
        <f>IF(AND($A52&gt;=SYear_O, $A52&lt;=EYear_O, AC$3&gt;0), AC$3 * VLOOKUP($A52, Data_All!$A$8:$CA$153, MATCH(AC$2, Data_All!$B$2:$CA$2, 0)+1), "")</f>
        <v/>
      </c>
      <c r="AD52" s="206" t="str">
        <f>IF(AND($A52&gt;=SYear_O, $A52&lt;=EYear_O, AD$3&gt;0), AD$3 * VLOOKUP($A52, Data_All!$A$8:$CA$153, MATCH(AD$2, Data_All!$B$2:$CA$2, 0)+1), "")</f>
        <v/>
      </c>
      <c r="AE52" s="206" t="str">
        <f>IF(AND($A52&gt;=SYear_O, $A52&lt;=EYear_O, AE$3&gt;0), AE$3 * VLOOKUP($A52, Data_All!$A$8:$CA$153, MATCH(AE$2, Data_All!$B$2:$CA$2, 0)+1), "")</f>
        <v/>
      </c>
      <c r="AF52" s="206" t="str">
        <f>IF(AND($A52&gt;=SYear_O, $A52&lt;=EYear_O, AF$3&gt;0), AF$3 * VLOOKUP($A52, Data_All!$A$8:$CA$153, MATCH(AF$2, Data_All!$B$2:$CA$2, 0)+1), "")</f>
        <v/>
      </c>
      <c r="AG52" s="206" t="str">
        <f>IF(AND($A52&gt;=SYear_O, $A52&lt;=EYear_O, AG$3&gt;0), AG$3 * VLOOKUP($A52, Data_All!$A$8:$CA$153, MATCH(AG$2, Data_All!$B$2:$CA$2, 0)+1), "")</f>
        <v/>
      </c>
      <c r="AH52" s="206" t="str">
        <f>IF(AND($A52&gt;=SYear_O, $A52&lt;=EYear_O, AH$3&gt;0), AH$3 * VLOOKUP($A52, Data_All!$A$8:$CA$153, MATCH(AH$2, Data_All!$B$2:$CA$2, 0)+1), "")</f>
        <v/>
      </c>
      <c r="AI52" s="206" t="str">
        <f>IF(AND($A52&gt;=SYear_O, $A52&lt;=EYear_O, AI$3&gt;0), AI$3 * VLOOKUP($A52, Data_All!$A$8:$CA$153, MATCH(AI$2, Data_All!$B$2:$CA$2, 0)+1), "")</f>
        <v/>
      </c>
      <c r="AJ52" s="206" t="str">
        <f>IF(AND($A52&gt;=SYear_O, $A52&lt;=EYear_O, AJ$3&gt;0), AJ$3 * VLOOKUP($A52, Data_All!$A$8:$CA$153, MATCH(AJ$2, Data_All!$B$2:$CA$2, 0)+1), "")</f>
        <v/>
      </c>
      <c r="AK52" s="206" t="str">
        <f>IF(AND($A52&gt;=SYear_O, $A52&lt;=EYear_O, AK$3&gt;0), AK$3 * VLOOKUP($A52, Data_All!$A$8:$CA$153, MATCH(AK$2, Data_All!$B$2:$CA$2, 0)+1), "")</f>
        <v/>
      </c>
      <c r="AL52" s="206" t="str">
        <f>IF(AND($A52&gt;=SYear_O, $A52&lt;=EYear_O, AL$3&gt;0), AL$3 * VLOOKUP($A52, Data_All!$A$8:$CA$153, MATCH(AL$2, Data_All!$B$2:$CA$2, 0)+1), "")</f>
        <v/>
      </c>
      <c r="AM52" s="206" t="str">
        <f>IF(AND($A52&gt;=SYear_O, $A52&lt;=EYear_O, AM$3&gt;0), AM$3 * VLOOKUP($A52, Data_All!$A$8:$CA$153, MATCH(AM$2, Data_All!$B$2:$CA$2, 0)+1), "")</f>
        <v/>
      </c>
      <c r="AN52" s="206" t="str">
        <f>IF(AND($A52&gt;=SYear_O, $A52&lt;=EYear_O, AN$3&gt;0), AN$3 * VLOOKUP($A52, Data_All!$A$8:$CA$153, MATCH(AN$2, Data_All!$B$2:$CA$2, 0)+1), "")</f>
        <v/>
      </c>
      <c r="AO52" s="206" t="str">
        <f>IF(AND($A52&gt;=SYear_O, $A52&lt;=EYear_O, AO$3&gt;0), AO$3 * VLOOKUP($A52, Data_All!$A$8:$CA$153, MATCH(AO$2, Data_All!$B$2:$CA$2, 0)+1), "")</f>
        <v/>
      </c>
      <c r="AP52" s="206" t="str">
        <f>IF(AND($A52&gt;=SYear_O, $A52&lt;=EYear_O, AP$3&gt;0), AP$3 * VLOOKUP($A52, Data_All!$A$8:$CA$153, MATCH(AP$2, Data_All!$B$2:$CA$2, 0)+1), "")</f>
        <v/>
      </c>
      <c r="AQ52" s="206" t="str">
        <f>IF(AND($A52&gt;=SYear_O, $A52&lt;=EYear_O, AQ$3&gt;0), AQ$3 * VLOOKUP($A52, Data_All!$A$8:$CA$153, MATCH(AQ$2, Data_All!$B$2:$CA$2, 0)+1), "")</f>
        <v/>
      </c>
      <c r="AR52" s="206" t="str">
        <f>IF(AND($A52&gt;=SYear_O, $A52&lt;=EYear_O, AR$3&gt;0), AR$3 * VLOOKUP($A52, Data_All!$A$8:$CA$153, MATCH(AR$2, Data_All!$B$2:$CA$2, 0)+1), "")</f>
        <v/>
      </c>
      <c r="AS52" s="206" t="str">
        <f>IF(AND($A52&gt;=SYear_O, $A52&lt;=EYear_O, AS$3&gt;0), AS$3 * VLOOKUP($A52, Data_All!$A$8:$CA$153, MATCH(AS$2, Data_All!$B$2:$CA$2, 0)+1), "")</f>
        <v/>
      </c>
      <c r="AT52" s="206" t="str">
        <f>IF(AND($A52&gt;=SYear_O, $A52&lt;=EYear_O, AT$3&gt;0), AT$3 * VLOOKUP($A52, Data_All!$A$8:$CA$153, MATCH(AT$2, Data_All!$B$2:$CA$2, 0)+1), "")</f>
        <v/>
      </c>
      <c r="AU52" s="206" t="str">
        <f>IF(AND($A52&gt;=SYear_O, $A52&lt;=EYear_O, AU$3&gt;0), AU$3 * VLOOKUP($A52, Data_All!$A$8:$CA$153, MATCH(AU$2, Data_All!$B$2:$CA$2, 0)+1), "")</f>
        <v/>
      </c>
      <c r="AV52" s="206" t="str">
        <f>IF(AND($A52&gt;=SYear_O, $A52&lt;=EYear_O, AV$3&gt;0), AV$3 * VLOOKUP($A52, Data_All!$A$8:$CA$153, MATCH(AV$2, Data_All!$B$2:$CA$2, 0)+1), "")</f>
        <v/>
      </c>
      <c r="AW52" s="206" t="str">
        <f>IF(AND($A52&gt;=SYear_O, $A52&lt;=EYear_O, AW$3&gt;0), AW$3 * VLOOKUP($A52, Data_All!$A$8:$CA$153, MATCH(AW$2, Data_All!$B$2:$CA$2, 0)+1), "")</f>
        <v/>
      </c>
      <c r="AX52" s="206" t="str">
        <f>IF(AND($A52&gt;=SYear_O, $A52&lt;=EYear_O, AX$3&gt;0), AX$3 * VLOOKUP($A52, Data_All!$A$8:$CA$153, MATCH(AX$2, Data_All!$B$2:$CA$2, 0)+1), "")</f>
        <v/>
      </c>
      <c r="AY52" s="206" t="str">
        <f>IF(AND($A52&gt;=SYear_O, $A52&lt;=EYear_O, AY$3&gt;0), AY$3 * VLOOKUP($A52, Data_All!$A$8:$CA$153, MATCH(AY$2, Data_All!$B$2:$CA$2, 0)+1), "")</f>
        <v/>
      </c>
      <c r="AZ52" s="206" t="str">
        <f>IF(AND($A52&gt;=SYear_O, $A52&lt;=EYear_O, AZ$3&gt;0), AZ$3 * VLOOKUP($A52, Data_All!$A$8:$CA$153, MATCH(AZ$2, Data_All!$B$2:$CA$2, 0)+1), "")</f>
        <v/>
      </c>
      <c r="BA52" s="206" t="str">
        <f>IF(AND($A52&gt;=SYear_O, $A52&lt;=EYear_O, BA$3&gt;0), BA$3 * VLOOKUP($A52, Data_All!$A$8:$CA$153, MATCH(BA$2, Data_All!$B$2:$CA$2, 0)+1), "")</f>
        <v/>
      </c>
      <c r="BB52" s="206" t="str">
        <f>IF(AND($A52&gt;=SYear_O, $A52&lt;=EYear_O, BB$3&gt;0), BB$3 * VLOOKUP($A52, Data_All!$A$8:$CA$153, MATCH(BB$2, Data_All!$B$2:$CA$2, 0)+1), "")</f>
        <v/>
      </c>
      <c r="BC52" s="206" t="str">
        <f>IF(AND($A52&gt;=SYear_O, $A52&lt;=EYear_O, BC$3&gt;0), BC$3 * VLOOKUP($A52, Data_All!$A$8:$CA$153, MATCH(BC$2, Data_All!$B$2:$CA$2, 0)+1), "")</f>
        <v/>
      </c>
      <c r="BD52" s="206" t="str">
        <f>IF(AND($A52&gt;=SYear_O, $A52&lt;=EYear_O, BD$3&gt;0), BD$3 * VLOOKUP($A52, Data_All!$A$8:$CA$153, MATCH(BD$2, Data_All!$B$2:$CA$2, 0)+1), "")</f>
        <v/>
      </c>
      <c r="BE52" s="206" t="str">
        <f>IF(AND($A52&gt;=SYear_O, $A52&lt;=EYear_O, BE$3&gt;0), BE$3 * VLOOKUP($A52, Data_All!$A$8:$CA$153, MATCH(BE$2, Data_All!$B$2:$CA$2, 0)+1), "")</f>
        <v/>
      </c>
      <c r="BF52" s="206" t="str">
        <f>IF(AND($A52&gt;=SYear_O, $A52&lt;=EYear_O, BF$3&gt;0), BF$3 * VLOOKUP($A52, Data_All!$A$8:$CA$153, MATCH(BF$2, Data_All!$B$2:$CA$2, 0)+1), "")</f>
        <v/>
      </c>
      <c r="BG52" s="206" t="str">
        <f>IF(AND($A52&gt;=SYear_O, $A52&lt;=EYear_O, BG$3&gt;0), BG$3 * VLOOKUP($A52, Data_All!$A$8:$CA$153, MATCH(BG$2, Data_All!$B$2:$CA$2, 0)+1), "")</f>
        <v/>
      </c>
      <c r="BH52" s="206" t="str">
        <f>IF(AND($A52&gt;=SYear_O, $A52&lt;=EYear_O, BH$3&gt;0), BH$3 * VLOOKUP($A52, Data_All!$A$8:$CA$153, MATCH(BH$2, Data_All!$B$2:$CA$2, 0)+1), "")</f>
        <v/>
      </c>
      <c r="BI52" s="206" t="str">
        <f>IF(AND($A52&gt;=SYear_O, $A52&lt;=EYear_O, BI$3&gt;0), BI$3 * VLOOKUP($A52, Data_All!$A$8:$CA$153, MATCH(BI$2, Data_All!$B$2:$CA$2, 0)+1), "")</f>
        <v/>
      </c>
      <c r="BJ52" s="206" t="str">
        <f>IF(AND($A52&gt;=SYear_O, $A52&lt;=EYear_O, BJ$3&gt;0), BJ$3 * VLOOKUP($A52, Data_All!$A$8:$CA$153, MATCH(BJ$2, Data_All!$B$2:$CA$2, 0)+1), "")</f>
        <v/>
      </c>
      <c r="BK52" s="206" t="str">
        <f>IF(AND($A52&gt;=SYear_O, $A52&lt;=EYear_O, BK$3&gt;0), BK$3 * VLOOKUP($A52, Data_All!$A$8:$CA$153, MATCH(BK$2, Data_All!$B$2:$CA$2, 0)+1), "")</f>
        <v/>
      </c>
      <c r="BL52" s="206" t="str">
        <f>IF(AND($A52&gt;=SYear_O, $A52&lt;=EYear_O, BL$3&gt;0), BL$3 * VLOOKUP($A52, Data_All!$A$8:$CA$153, MATCH(BL$2, Data_All!$B$2:$CA$2, 0)+1), "")</f>
        <v/>
      </c>
      <c r="BM52" s="206" t="str">
        <f>IF(AND($A52&gt;=SYear_O, $A52&lt;=EYear_O, BM$3&gt;0), BM$3 * VLOOKUP($A52, Data_All!$A$8:$CA$153, MATCH(BM$2, Data_All!$B$2:$CA$2, 0)+1), "")</f>
        <v/>
      </c>
      <c r="BN52" s="206" t="str">
        <f>IF(AND($A52&gt;=SYear_O, $A52&lt;=EYear_O, BN$3&gt;0), BN$3 * VLOOKUP($A52, Data_All!$A$8:$CA$153, MATCH(BN$2, Data_All!$B$2:$CA$2, 0)+1), "")</f>
        <v/>
      </c>
      <c r="BO52" s="206" t="str">
        <f>IF(AND($A52&gt;=SYear_O, $A52&lt;=EYear_O, BO$3&gt;0), BO$3 * VLOOKUP($A52, Data_All!$A$8:$CA$153, MATCH(BO$2, Data_All!$B$2:$CA$2, 0)+1), "")</f>
        <v/>
      </c>
      <c r="BP52" s="206" t="str">
        <f>IF(AND($A52&gt;=SYear_O, $A52&lt;=EYear_O, BP$3&gt;0), BP$3 * VLOOKUP($A52, Data_All!$A$8:$CA$153, MATCH(BP$2, Data_All!$B$2:$CA$2, 0)+1), "")</f>
        <v/>
      </c>
      <c r="BQ52" s="206" t="str">
        <f>IF(AND($A52&gt;=SYear_O, $A52&lt;=EYear_O, BQ$3&gt;0), BQ$3 * VLOOKUP($A52, Data_All!$A$8:$CA$153, MATCH(BQ$2, Data_All!$B$2:$CA$2, 0)+1), "")</f>
        <v/>
      </c>
      <c r="BR52" s="206" t="str">
        <f>IF(AND($A52&gt;=SYear_O, $A52&lt;=EYear_O, BR$3&gt;0), BR$3 * VLOOKUP($A52, Data_All!$A$8:$CA$153, MATCH(BR$2, Data_All!$B$2:$CA$2, 0)+1), "")</f>
        <v/>
      </c>
      <c r="BS52" s="206" t="str">
        <f>IF(AND($A52&gt;=SYear_O, $A52&lt;=EYear_O, BS$3&gt;0), BS$3 * VLOOKUP($A52, Data_All!$A$8:$CA$153, MATCH(BS$2, Data_All!$B$2:$CA$2, 0)+1), "")</f>
        <v/>
      </c>
      <c r="BT52" s="206" t="str">
        <f>IF(AND($A52&gt;=SYear_O, $A52&lt;=EYear_O, BT$3&gt;0), BT$3 * VLOOKUP($A52, Data_All!$A$8:$CA$153, MATCH(BT$2, Data_All!$B$2:$CA$2, 0)+1), "")</f>
        <v/>
      </c>
      <c r="BU52" s="206" t="str">
        <f>IF(AND($A52&gt;=SYear_O, $A52&lt;=EYear_O, BU$3&gt;0), BU$3 * VLOOKUP($A52, Data_All!$A$8:$CA$153, MATCH(BU$2, Data_All!$B$2:$CA$2, 0)+1), "")</f>
        <v/>
      </c>
      <c r="BV52" s="206" t="str">
        <f>IF(AND($A52&gt;=SYear_O, $A52&lt;=EYear_O, BV$3&gt;0), BV$3 * VLOOKUP($A52, Data_All!$A$8:$CA$153, MATCH(BV$2, Data_All!$B$2:$CA$2, 0)+1), "")</f>
        <v/>
      </c>
      <c r="BW52" s="206" t="str">
        <f>IF(AND($A52&gt;=SYear_O, $A52&lt;=EYear_O, BW$3&gt;0), BW$3 * VLOOKUP($A52, Data_All!$A$8:$CA$153, MATCH(BW$2, Data_All!$B$2:$CA$2, 0)+1), "")</f>
        <v/>
      </c>
      <c r="BX52" s="206">
        <f>IF(AND($A52&gt;=SYear_O, $A52&lt;=EYear_O, BX$3&gt;0), BX$3 * VLOOKUP($A52, Data_All!$A$8:$CA$153, MATCH(BX$2, Data_All!$B$2:$CA$2, 0)+1), "")</f>
        <v>5.1446945337620686</v>
      </c>
      <c r="BY52" s="206">
        <f>IF(AND($A52&gt;=SYear_O, $A52&lt;=EYear_O, BY$3&gt;0), BY$3 * VLOOKUP($A52, Data_All!$A$8:$CA$153, MATCH(BY$2, Data_All!$B$2:$CA$2, 0)+1), "")</f>
        <v>1.0025299173904134</v>
      </c>
      <c r="BZ52" s="206" t="str">
        <f>IF(AND($A52&gt;=SYear_O, $A52&lt;=EYear_O, BZ$3&gt;0), BZ$3 * VLOOKUP($A52, Data_All!$A$8:$CA$153, MATCH(BZ$2, Data_All!$B$2:$CA$2, 0)+1), "")</f>
        <v/>
      </c>
      <c r="CA52" s="565">
        <f t="shared" si="19"/>
        <v>6.1472244511524821</v>
      </c>
      <c r="CB52" s="427">
        <f t="shared" si="20"/>
        <v>139525.45550860974</v>
      </c>
      <c r="CC52" s="565">
        <f>IF(AND($A52&gt;=SYear_O,$A52&lt;=EYear_O),(CA52-Data_All!CA53)/(1+Data_All!CA53%),"")</f>
        <v>-5.6469115989755716</v>
      </c>
      <c r="CD52" s="436">
        <f t="shared" si="21"/>
        <v>148637.07594120497</v>
      </c>
      <c r="CE52" s="438">
        <f t="shared" si="22"/>
        <v>12.654852603204091</v>
      </c>
      <c r="CF52" s="438">
        <f>IF(AND($A52&gt;=SYear_O,$A52&lt;=EYear_O),MAX($CE$7:CE52),"")</f>
        <v>12.654852603204091</v>
      </c>
      <c r="CG52" s="209">
        <f t="shared" si="23"/>
        <v>0</v>
      </c>
      <c r="CI52" s="143">
        <f>IF(AND($A52&gt;=SYear_O,$A52&lt;=EYear_O),Data_All!V53,"")</f>
        <v>3.5468078729143775</v>
      </c>
      <c r="CJ52" s="143">
        <f>IF(AND($A52&gt;=SYear_O,$A52&lt;=EYear_O),Data_All!CA53,"")</f>
        <v>12.5</v>
      </c>
      <c r="CK52" s="143">
        <f t="shared" si="24"/>
        <v>-7.958393001853886</v>
      </c>
      <c r="CN52" s="61">
        <f t="shared" si="25"/>
        <v>6.1472244511524776E-2</v>
      </c>
      <c r="CO52" s="61">
        <f t="shared" si="26"/>
        <v>2.214101941556823E-2</v>
      </c>
      <c r="CP52" s="61">
        <f t="shared" si="27"/>
        <v>2.1835000277290684E-2</v>
      </c>
      <c r="CQ52" s="61">
        <f t="shared" si="28"/>
        <v>7.7925484331802908E-2</v>
      </c>
      <c r="CR52" s="61">
        <f t="shared" si="29"/>
        <v>7.9898576169877389E-2</v>
      </c>
      <c r="CU52" s="61">
        <f t="shared" si="30"/>
        <v>-5.646911598975568E-2</v>
      </c>
      <c r="CV52" s="61">
        <f t="shared" si="31"/>
        <v>-0.12361699114871105</v>
      </c>
      <c r="CW52" s="61">
        <f t="shared" si="32"/>
        <v>-9.4190811396795193E-2</v>
      </c>
      <c r="CX52" s="61">
        <f t="shared" si="33"/>
        <v>2.0955399864073021E-2</v>
      </c>
      <c r="CY52" s="61">
        <f t="shared" si="34"/>
        <v>4.9764904790459141E-2</v>
      </c>
    </row>
    <row r="53" spans="1:103">
      <c r="A53" s="204">
        <f t="shared" si="18"/>
        <v>1917</v>
      </c>
      <c r="B53" s="206" t="str">
        <f>IF(AND($A53&gt;=SYear_O, $A53&lt;=EYear_O, B$3&gt;0), B$3 * VLOOKUP($A53, Data_All!$A$8:$CA$153, MATCH(B$2, Data_All!$B$2:$CA$2, 0)+1), "")</f>
        <v/>
      </c>
      <c r="C53" s="206" t="str">
        <f>IF(AND($A53&gt;=SYear_O, $A53&lt;=EYear_O, C$3&gt;0), C$3 * VLOOKUP($A53, Data_All!$A$8:$CA$153, MATCH(C$2, Data_All!$B$2:$CA$2, 0)+1), "")</f>
        <v/>
      </c>
      <c r="D53" s="206" t="str">
        <f>IF(AND($A53&gt;=SYear_O, $A53&lt;=EYear_O, D$3&gt;0), D$3 * VLOOKUP($A53, Data_All!$A$8:$CA$153, MATCH(D$2, Data_All!$B$2:$CA$2, 0)+1), "")</f>
        <v/>
      </c>
      <c r="E53" s="206" t="str">
        <f>IF(AND($A53&gt;=SYear_O, $A53&lt;=EYear_O, E$3&gt;0), E$3 * VLOOKUP($A53, Data_All!$A$8:$CA$153, MATCH(E$2, Data_All!$B$2:$CA$2, 0)+1), "")</f>
        <v/>
      </c>
      <c r="F53" s="206" t="str">
        <f>IF(AND($A53&gt;=SYear_O, $A53&lt;=EYear_O, F$3&gt;0), F$3 * VLOOKUP($A53, Data_All!$A$8:$CA$153, MATCH(F$2, Data_All!$B$2:$CA$2, 0)+1), "")</f>
        <v/>
      </c>
      <c r="G53" s="206" t="str">
        <f>IF(AND($A53&gt;=SYear_O, $A53&lt;=EYear_O, G$3&gt;0), G$3 * VLOOKUP($A53, Data_All!$A$8:$CA$153, MATCH(G$2, Data_All!$B$2:$CA$2, 0)+1), "")</f>
        <v/>
      </c>
      <c r="H53" s="206" t="str">
        <f>IF(AND($A53&gt;=SYear_O, $A53&lt;=EYear_O, H$3&gt;0), H$3 * VLOOKUP($A53, Data_All!$A$8:$CA$153, MATCH(H$2, Data_All!$B$2:$CA$2, 0)+1), "")</f>
        <v/>
      </c>
      <c r="I53" s="206" t="str">
        <f>IF(AND($A53&gt;=SYear_O, $A53&lt;=EYear_O, I$3&gt;0), I$3 * VLOOKUP($A53, Data_All!$A$8:$CA$153, MATCH(I$2, Data_All!$B$2:$CA$2, 0)+1), "")</f>
        <v/>
      </c>
      <c r="J53" s="206" t="str">
        <f>IF(AND($A53&gt;=SYear_O, $A53&lt;=EYear_O, J$3&gt;0), J$3 * VLOOKUP($A53, Data_All!$A$8:$CA$153, MATCH(J$2, Data_All!$B$2:$CA$2, 0)+1), "")</f>
        <v/>
      </c>
      <c r="K53" s="206" t="str">
        <f>IF(AND($A53&gt;=SYear_O, $A53&lt;=EYear_O, K$3&gt;0), K$3 * VLOOKUP($A53, Data_All!$A$8:$CA$153, MATCH(K$2, Data_All!$B$2:$CA$2, 0)+1), "")</f>
        <v/>
      </c>
      <c r="L53" s="206" t="str">
        <f>IF(AND($A53&gt;=SYear_O, $A53&lt;=EYear_O, L$3&gt;0), L$3 * VLOOKUP($A53, Data_All!$A$8:$CA$153, MATCH(L$2, Data_All!$B$2:$CA$2, 0)+1), "")</f>
        <v/>
      </c>
      <c r="M53" s="206" t="str">
        <f>IF(AND($A53&gt;=SYear_O, $A53&lt;=EYear_O, M$3&gt;0), M$3 * VLOOKUP($A53, Data_All!$A$8:$CA$153, MATCH(M$2, Data_All!$B$2:$CA$2, 0)+1), "")</f>
        <v/>
      </c>
      <c r="N53" s="206" t="str">
        <f>IF(AND($A53&gt;=SYear_O, $A53&lt;=EYear_O, N$3&gt;0), N$3 * VLOOKUP($A53, Data_All!$A$8:$CA$153, MATCH(N$2, Data_All!$B$2:$CA$2, 0)+1), "")</f>
        <v/>
      </c>
      <c r="O53" s="206" t="str">
        <f>IF(AND($A53&gt;=SYear_O, $A53&lt;=EYear_O, O$3&gt;0), O$3 * VLOOKUP($A53, Data_All!$A$8:$CA$153, MATCH(O$2, Data_All!$B$2:$CA$2, 0)+1), "")</f>
        <v/>
      </c>
      <c r="P53" s="206" t="str">
        <f>IF(AND($A53&gt;=SYear_O, $A53&lt;=EYear_O, P$3&gt;0), P$3 * VLOOKUP($A53, Data_All!$A$8:$CA$153, MATCH(P$2, Data_All!$B$2:$CA$2, 0)+1), "")</f>
        <v/>
      </c>
      <c r="Q53" s="206" t="str">
        <f>IF(AND($A53&gt;=SYear_O, $A53&lt;=EYear_O, Q$3&gt;0), Q$3 * VLOOKUP($A53, Data_All!$A$8:$CA$153, MATCH(Q$2, Data_All!$B$2:$CA$2, 0)+1), "")</f>
        <v/>
      </c>
      <c r="R53" s="206" t="str">
        <f>IF(AND($A53&gt;=SYear_O, $A53&lt;=EYear_O, R$3&gt;0), R$3 * VLOOKUP($A53, Data_All!$A$8:$CA$153, MATCH(R$2, Data_All!$B$2:$CA$2, 0)+1), "")</f>
        <v/>
      </c>
      <c r="S53" s="206" t="str">
        <f>IF(AND($A53&gt;=SYear_O, $A53&lt;=EYear_O, S$3&gt;0), S$3 * VLOOKUP($A53, Data_All!$A$8:$CA$153, MATCH(S$2, Data_All!$B$2:$CA$2, 0)+1), "")</f>
        <v/>
      </c>
      <c r="T53" s="206" t="str">
        <f>IF(AND($A53&gt;=SYear_O, $A53&lt;=EYear_O, T$3&gt;0), T$3 * VLOOKUP($A53, Data_All!$A$8:$CA$153, MATCH(T$2, Data_All!$B$2:$CA$2, 0)+1), "")</f>
        <v/>
      </c>
      <c r="U53" s="206" t="str">
        <f>IF(AND($A53&gt;=SYear_O, $A53&lt;=EYear_O, U$3&gt;0), U$3 * VLOOKUP($A53, Data_All!$A$8:$CA$153, MATCH(U$2, Data_All!$B$2:$CA$2, 0)+1), "")</f>
        <v/>
      </c>
      <c r="V53" s="206" t="str">
        <f>IF(AND($A53&gt;=SYear_O, $A53&lt;=EYear_O, V$3&gt;0), V$3 * VLOOKUP($A53, Data_All!$A$8:$CA$153, MATCH(V$2, Data_All!$B$2:$CA$2, 0)+1), "")</f>
        <v/>
      </c>
      <c r="W53" s="206" t="str">
        <f>IF(AND($A53&gt;=SYear_O, $A53&lt;=EYear_O, W$3&gt;0), W$3 * VLOOKUP($A53, Data_All!$A$8:$CA$153, MATCH(W$2, Data_All!$B$2:$CA$2, 0)+1), "")</f>
        <v/>
      </c>
      <c r="X53" s="206" t="str">
        <f>IF(AND($A53&gt;=SYear_O, $A53&lt;=EYear_O, X$3&gt;0), X$3 * VLOOKUP($A53, Data_All!$A$8:$CA$153, MATCH(X$2, Data_All!$B$2:$CA$2, 0)+1), "")</f>
        <v/>
      </c>
      <c r="Y53" s="206" t="str">
        <f>IF(AND($A53&gt;=SYear_O, $A53&lt;=EYear_O, Y$3&gt;0), Y$3 * VLOOKUP($A53, Data_All!$A$8:$CA$153, MATCH(Y$2, Data_All!$B$2:$CA$2, 0)+1), "")</f>
        <v/>
      </c>
      <c r="Z53" s="206" t="str">
        <f>IF(AND($A53&gt;=SYear_O, $A53&lt;=EYear_O, Z$3&gt;0), Z$3 * VLOOKUP($A53, Data_All!$A$8:$CA$153, MATCH(Z$2, Data_All!$B$2:$CA$2, 0)+1), "")</f>
        <v/>
      </c>
      <c r="AA53" s="206" t="str">
        <f>IF(AND($A53&gt;=SYear_O, $A53&lt;=EYear_O, AA$3&gt;0), AA$3 * VLOOKUP($A53, Data_All!$A$8:$CA$153, MATCH(AA$2, Data_All!$B$2:$CA$2, 0)+1), "")</f>
        <v/>
      </c>
      <c r="AB53" s="206" t="str">
        <f>IF(AND($A53&gt;=SYear_O, $A53&lt;=EYear_O, AB$3&gt;0), AB$3 * VLOOKUP($A53, Data_All!$A$8:$CA$153, MATCH(AB$2, Data_All!$B$2:$CA$2, 0)+1), "")</f>
        <v/>
      </c>
      <c r="AC53" s="206" t="str">
        <f>IF(AND($A53&gt;=SYear_O, $A53&lt;=EYear_O, AC$3&gt;0), AC$3 * VLOOKUP($A53, Data_All!$A$8:$CA$153, MATCH(AC$2, Data_All!$B$2:$CA$2, 0)+1), "")</f>
        <v/>
      </c>
      <c r="AD53" s="206" t="str">
        <f>IF(AND($A53&gt;=SYear_O, $A53&lt;=EYear_O, AD$3&gt;0), AD$3 * VLOOKUP($A53, Data_All!$A$8:$CA$153, MATCH(AD$2, Data_All!$B$2:$CA$2, 0)+1), "")</f>
        <v/>
      </c>
      <c r="AE53" s="206" t="str">
        <f>IF(AND($A53&gt;=SYear_O, $A53&lt;=EYear_O, AE$3&gt;0), AE$3 * VLOOKUP($A53, Data_All!$A$8:$CA$153, MATCH(AE$2, Data_All!$B$2:$CA$2, 0)+1), "")</f>
        <v/>
      </c>
      <c r="AF53" s="206" t="str">
        <f>IF(AND($A53&gt;=SYear_O, $A53&lt;=EYear_O, AF$3&gt;0), AF$3 * VLOOKUP($A53, Data_All!$A$8:$CA$153, MATCH(AF$2, Data_All!$B$2:$CA$2, 0)+1), "")</f>
        <v/>
      </c>
      <c r="AG53" s="206" t="str">
        <f>IF(AND($A53&gt;=SYear_O, $A53&lt;=EYear_O, AG$3&gt;0), AG$3 * VLOOKUP($A53, Data_All!$A$8:$CA$153, MATCH(AG$2, Data_All!$B$2:$CA$2, 0)+1), "")</f>
        <v/>
      </c>
      <c r="AH53" s="206" t="str">
        <f>IF(AND($A53&gt;=SYear_O, $A53&lt;=EYear_O, AH$3&gt;0), AH$3 * VLOOKUP($A53, Data_All!$A$8:$CA$153, MATCH(AH$2, Data_All!$B$2:$CA$2, 0)+1), "")</f>
        <v/>
      </c>
      <c r="AI53" s="206" t="str">
        <f>IF(AND($A53&gt;=SYear_O, $A53&lt;=EYear_O, AI$3&gt;0), AI$3 * VLOOKUP($A53, Data_All!$A$8:$CA$153, MATCH(AI$2, Data_All!$B$2:$CA$2, 0)+1), "")</f>
        <v/>
      </c>
      <c r="AJ53" s="206" t="str">
        <f>IF(AND($A53&gt;=SYear_O, $A53&lt;=EYear_O, AJ$3&gt;0), AJ$3 * VLOOKUP($A53, Data_All!$A$8:$CA$153, MATCH(AJ$2, Data_All!$B$2:$CA$2, 0)+1), "")</f>
        <v/>
      </c>
      <c r="AK53" s="206" t="str">
        <f>IF(AND($A53&gt;=SYear_O, $A53&lt;=EYear_O, AK$3&gt;0), AK$3 * VLOOKUP($A53, Data_All!$A$8:$CA$153, MATCH(AK$2, Data_All!$B$2:$CA$2, 0)+1), "")</f>
        <v/>
      </c>
      <c r="AL53" s="206" t="str">
        <f>IF(AND($A53&gt;=SYear_O, $A53&lt;=EYear_O, AL$3&gt;0), AL$3 * VLOOKUP($A53, Data_All!$A$8:$CA$153, MATCH(AL$2, Data_All!$B$2:$CA$2, 0)+1), "")</f>
        <v/>
      </c>
      <c r="AM53" s="206" t="str">
        <f>IF(AND($A53&gt;=SYear_O, $A53&lt;=EYear_O, AM$3&gt;0), AM$3 * VLOOKUP($A53, Data_All!$A$8:$CA$153, MATCH(AM$2, Data_All!$B$2:$CA$2, 0)+1), "")</f>
        <v/>
      </c>
      <c r="AN53" s="206" t="str">
        <f>IF(AND($A53&gt;=SYear_O, $A53&lt;=EYear_O, AN$3&gt;0), AN$3 * VLOOKUP($A53, Data_All!$A$8:$CA$153, MATCH(AN$2, Data_All!$B$2:$CA$2, 0)+1), "")</f>
        <v/>
      </c>
      <c r="AO53" s="206" t="str">
        <f>IF(AND($A53&gt;=SYear_O, $A53&lt;=EYear_O, AO$3&gt;0), AO$3 * VLOOKUP($A53, Data_All!$A$8:$CA$153, MATCH(AO$2, Data_All!$B$2:$CA$2, 0)+1), "")</f>
        <v/>
      </c>
      <c r="AP53" s="206" t="str">
        <f>IF(AND($A53&gt;=SYear_O, $A53&lt;=EYear_O, AP$3&gt;0), AP$3 * VLOOKUP($A53, Data_All!$A$8:$CA$153, MATCH(AP$2, Data_All!$B$2:$CA$2, 0)+1), "")</f>
        <v/>
      </c>
      <c r="AQ53" s="206" t="str">
        <f>IF(AND($A53&gt;=SYear_O, $A53&lt;=EYear_O, AQ$3&gt;0), AQ$3 * VLOOKUP($A53, Data_All!$A$8:$CA$153, MATCH(AQ$2, Data_All!$B$2:$CA$2, 0)+1), "")</f>
        <v/>
      </c>
      <c r="AR53" s="206" t="str">
        <f>IF(AND($A53&gt;=SYear_O, $A53&lt;=EYear_O, AR$3&gt;0), AR$3 * VLOOKUP($A53, Data_All!$A$8:$CA$153, MATCH(AR$2, Data_All!$B$2:$CA$2, 0)+1), "")</f>
        <v/>
      </c>
      <c r="AS53" s="206" t="str">
        <f>IF(AND($A53&gt;=SYear_O, $A53&lt;=EYear_O, AS$3&gt;0), AS$3 * VLOOKUP($A53, Data_All!$A$8:$CA$153, MATCH(AS$2, Data_All!$B$2:$CA$2, 0)+1), "")</f>
        <v/>
      </c>
      <c r="AT53" s="206" t="str">
        <f>IF(AND($A53&gt;=SYear_O, $A53&lt;=EYear_O, AT$3&gt;0), AT$3 * VLOOKUP($A53, Data_All!$A$8:$CA$153, MATCH(AT$2, Data_All!$B$2:$CA$2, 0)+1), "")</f>
        <v/>
      </c>
      <c r="AU53" s="206" t="str">
        <f>IF(AND($A53&gt;=SYear_O, $A53&lt;=EYear_O, AU$3&gt;0), AU$3 * VLOOKUP($A53, Data_All!$A$8:$CA$153, MATCH(AU$2, Data_All!$B$2:$CA$2, 0)+1), "")</f>
        <v/>
      </c>
      <c r="AV53" s="206" t="str">
        <f>IF(AND($A53&gt;=SYear_O, $A53&lt;=EYear_O, AV$3&gt;0), AV$3 * VLOOKUP($A53, Data_All!$A$8:$CA$153, MATCH(AV$2, Data_All!$B$2:$CA$2, 0)+1), "")</f>
        <v/>
      </c>
      <c r="AW53" s="206" t="str">
        <f>IF(AND($A53&gt;=SYear_O, $A53&lt;=EYear_O, AW$3&gt;0), AW$3 * VLOOKUP($A53, Data_All!$A$8:$CA$153, MATCH(AW$2, Data_All!$B$2:$CA$2, 0)+1), "")</f>
        <v/>
      </c>
      <c r="AX53" s="206" t="str">
        <f>IF(AND($A53&gt;=SYear_O, $A53&lt;=EYear_O, AX$3&gt;0), AX$3 * VLOOKUP($A53, Data_All!$A$8:$CA$153, MATCH(AX$2, Data_All!$B$2:$CA$2, 0)+1), "")</f>
        <v/>
      </c>
      <c r="AY53" s="206" t="str">
        <f>IF(AND($A53&gt;=SYear_O, $A53&lt;=EYear_O, AY$3&gt;0), AY$3 * VLOOKUP($A53, Data_All!$A$8:$CA$153, MATCH(AY$2, Data_All!$B$2:$CA$2, 0)+1), "")</f>
        <v/>
      </c>
      <c r="AZ53" s="206" t="str">
        <f>IF(AND($A53&gt;=SYear_O, $A53&lt;=EYear_O, AZ$3&gt;0), AZ$3 * VLOOKUP($A53, Data_All!$A$8:$CA$153, MATCH(AZ$2, Data_All!$B$2:$CA$2, 0)+1), "")</f>
        <v/>
      </c>
      <c r="BA53" s="206" t="str">
        <f>IF(AND($A53&gt;=SYear_O, $A53&lt;=EYear_O, BA$3&gt;0), BA$3 * VLOOKUP($A53, Data_All!$A$8:$CA$153, MATCH(BA$2, Data_All!$B$2:$CA$2, 0)+1), "")</f>
        <v/>
      </c>
      <c r="BB53" s="206" t="str">
        <f>IF(AND($A53&gt;=SYear_O, $A53&lt;=EYear_O, BB$3&gt;0), BB$3 * VLOOKUP($A53, Data_All!$A$8:$CA$153, MATCH(BB$2, Data_All!$B$2:$CA$2, 0)+1), "")</f>
        <v/>
      </c>
      <c r="BC53" s="206" t="str">
        <f>IF(AND($A53&gt;=SYear_O, $A53&lt;=EYear_O, BC$3&gt;0), BC$3 * VLOOKUP($A53, Data_All!$A$8:$CA$153, MATCH(BC$2, Data_All!$B$2:$CA$2, 0)+1), "")</f>
        <v/>
      </c>
      <c r="BD53" s="206" t="str">
        <f>IF(AND($A53&gt;=SYear_O, $A53&lt;=EYear_O, BD$3&gt;0), BD$3 * VLOOKUP($A53, Data_All!$A$8:$CA$153, MATCH(BD$2, Data_All!$B$2:$CA$2, 0)+1), "")</f>
        <v/>
      </c>
      <c r="BE53" s="206" t="str">
        <f>IF(AND($A53&gt;=SYear_O, $A53&lt;=EYear_O, BE$3&gt;0), BE$3 * VLOOKUP($A53, Data_All!$A$8:$CA$153, MATCH(BE$2, Data_All!$B$2:$CA$2, 0)+1), "")</f>
        <v/>
      </c>
      <c r="BF53" s="206" t="str">
        <f>IF(AND($A53&gt;=SYear_O, $A53&lt;=EYear_O, BF$3&gt;0), BF$3 * VLOOKUP($A53, Data_All!$A$8:$CA$153, MATCH(BF$2, Data_All!$B$2:$CA$2, 0)+1), "")</f>
        <v/>
      </c>
      <c r="BG53" s="206" t="str">
        <f>IF(AND($A53&gt;=SYear_O, $A53&lt;=EYear_O, BG$3&gt;0), BG$3 * VLOOKUP($A53, Data_All!$A$8:$CA$153, MATCH(BG$2, Data_All!$B$2:$CA$2, 0)+1), "")</f>
        <v/>
      </c>
      <c r="BH53" s="206" t="str">
        <f>IF(AND($A53&gt;=SYear_O, $A53&lt;=EYear_O, BH$3&gt;0), BH$3 * VLOOKUP($A53, Data_All!$A$8:$CA$153, MATCH(BH$2, Data_All!$B$2:$CA$2, 0)+1), "")</f>
        <v/>
      </c>
      <c r="BI53" s="206" t="str">
        <f>IF(AND($A53&gt;=SYear_O, $A53&lt;=EYear_O, BI$3&gt;0), BI$3 * VLOOKUP($A53, Data_All!$A$8:$CA$153, MATCH(BI$2, Data_All!$B$2:$CA$2, 0)+1), "")</f>
        <v/>
      </c>
      <c r="BJ53" s="206" t="str">
        <f>IF(AND($A53&gt;=SYear_O, $A53&lt;=EYear_O, BJ$3&gt;0), BJ$3 * VLOOKUP($A53, Data_All!$A$8:$CA$153, MATCH(BJ$2, Data_All!$B$2:$CA$2, 0)+1), "")</f>
        <v/>
      </c>
      <c r="BK53" s="206" t="str">
        <f>IF(AND($A53&gt;=SYear_O, $A53&lt;=EYear_O, BK$3&gt;0), BK$3 * VLOOKUP($A53, Data_All!$A$8:$CA$153, MATCH(BK$2, Data_All!$B$2:$CA$2, 0)+1), "")</f>
        <v/>
      </c>
      <c r="BL53" s="206" t="str">
        <f>IF(AND($A53&gt;=SYear_O, $A53&lt;=EYear_O, BL$3&gt;0), BL$3 * VLOOKUP($A53, Data_All!$A$8:$CA$153, MATCH(BL$2, Data_All!$B$2:$CA$2, 0)+1), "")</f>
        <v/>
      </c>
      <c r="BM53" s="206" t="str">
        <f>IF(AND($A53&gt;=SYear_O, $A53&lt;=EYear_O, BM$3&gt;0), BM$3 * VLOOKUP($A53, Data_All!$A$8:$CA$153, MATCH(BM$2, Data_All!$B$2:$CA$2, 0)+1), "")</f>
        <v/>
      </c>
      <c r="BN53" s="206" t="str">
        <f>IF(AND($A53&gt;=SYear_O, $A53&lt;=EYear_O, BN$3&gt;0), BN$3 * VLOOKUP($A53, Data_All!$A$8:$CA$153, MATCH(BN$2, Data_All!$B$2:$CA$2, 0)+1), "")</f>
        <v/>
      </c>
      <c r="BO53" s="206" t="str">
        <f>IF(AND($A53&gt;=SYear_O, $A53&lt;=EYear_O, BO$3&gt;0), BO$3 * VLOOKUP($A53, Data_All!$A$8:$CA$153, MATCH(BO$2, Data_All!$B$2:$CA$2, 0)+1), "")</f>
        <v/>
      </c>
      <c r="BP53" s="206" t="str">
        <f>IF(AND($A53&gt;=SYear_O, $A53&lt;=EYear_O, BP$3&gt;0), BP$3 * VLOOKUP($A53, Data_All!$A$8:$CA$153, MATCH(BP$2, Data_All!$B$2:$CA$2, 0)+1), "")</f>
        <v/>
      </c>
      <c r="BQ53" s="206" t="str">
        <f>IF(AND($A53&gt;=SYear_O, $A53&lt;=EYear_O, BQ$3&gt;0), BQ$3 * VLOOKUP($A53, Data_All!$A$8:$CA$153, MATCH(BQ$2, Data_All!$B$2:$CA$2, 0)+1), "")</f>
        <v/>
      </c>
      <c r="BR53" s="206" t="str">
        <f>IF(AND($A53&gt;=SYear_O, $A53&lt;=EYear_O, BR$3&gt;0), BR$3 * VLOOKUP($A53, Data_All!$A$8:$CA$153, MATCH(BR$2, Data_All!$B$2:$CA$2, 0)+1), "")</f>
        <v/>
      </c>
      <c r="BS53" s="206" t="str">
        <f>IF(AND($A53&gt;=SYear_O, $A53&lt;=EYear_O, BS$3&gt;0), BS$3 * VLOOKUP($A53, Data_All!$A$8:$CA$153, MATCH(BS$2, Data_All!$B$2:$CA$2, 0)+1), "")</f>
        <v/>
      </c>
      <c r="BT53" s="206" t="str">
        <f>IF(AND($A53&gt;=SYear_O, $A53&lt;=EYear_O, BT$3&gt;0), BT$3 * VLOOKUP($A53, Data_All!$A$8:$CA$153, MATCH(BT$2, Data_All!$B$2:$CA$2, 0)+1), "")</f>
        <v/>
      </c>
      <c r="BU53" s="206" t="str">
        <f>IF(AND($A53&gt;=SYear_O, $A53&lt;=EYear_O, BU$3&gt;0), BU$3 * VLOOKUP($A53, Data_All!$A$8:$CA$153, MATCH(BU$2, Data_All!$B$2:$CA$2, 0)+1), "")</f>
        <v/>
      </c>
      <c r="BV53" s="206" t="str">
        <f>IF(AND($A53&gt;=SYear_O, $A53&lt;=EYear_O, BV$3&gt;0), BV$3 * VLOOKUP($A53, Data_All!$A$8:$CA$153, MATCH(BV$2, Data_All!$B$2:$CA$2, 0)+1), "")</f>
        <v/>
      </c>
      <c r="BW53" s="206" t="str">
        <f>IF(AND($A53&gt;=SYear_O, $A53&lt;=EYear_O, BW$3&gt;0), BW$3 * VLOOKUP($A53, Data_All!$A$8:$CA$153, MATCH(BW$2, Data_All!$B$2:$CA$2, 0)+1), "")</f>
        <v/>
      </c>
      <c r="BX53" s="206">
        <f>IF(AND($A53&gt;=SYear_O, $A53&lt;=EYear_O, BX$3&gt;0), BX$3 * VLOOKUP($A53, Data_All!$A$8:$CA$153, MATCH(BX$2, Data_All!$B$2:$CA$2, 0)+1), "")</f>
        <v>-10.470219435736674</v>
      </c>
      <c r="BY53" s="206">
        <f>IF(AND($A53&gt;=SYear_O, $A53&lt;=EYear_O, BY$3&gt;0), BY$3 * VLOOKUP($A53, Data_All!$A$8:$CA$153, MATCH(BY$2, Data_All!$B$2:$CA$2, 0)+1), "")</f>
        <v>0.11802508904415809</v>
      </c>
      <c r="BZ53" s="206" t="str">
        <f>IF(AND($A53&gt;=SYear_O, $A53&lt;=EYear_O, BZ$3&gt;0), BZ$3 * VLOOKUP($A53, Data_All!$A$8:$CA$153, MATCH(BZ$2, Data_All!$B$2:$CA$2, 0)+1), "")</f>
        <v/>
      </c>
      <c r="CA53" s="565">
        <f t="shared" si="19"/>
        <v>-10.352194346692515</v>
      </c>
      <c r="CB53" s="427">
        <f t="shared" si="20"/>
        <v>125081.50919125047</v>
      </c>
      <c r="CC53" s="565">
        <f>IF(AND($A53&gt;=SYear_O,$A53&lt;=EYear_O),(CA53-Data_All!CA54)/(1+Data_All!CA54%),"")</f>
        <v>-25.080048132593031</v>
      </c>
      <c r="CD53" s="436">
        <f t="shared" si="21"/>
        <v>111358.82575227189</v>
      </c>
      <c r="CE53" s="438">
        <f t="shared" si="22"/>
        <v>11.344797667432927</v>
      </c>
      <c r="CF53" s="438">
        <f>IF(AND($A53&gt;=SYear_O,$A53&lt;=EYear_O),MAX($CE$7:CE53),"")</f>
        <v>12.654852603204091</v>
      </c>
      <c r="CG53" s="209">
        <f t="shared" si="23"/>
        <v>0.10352194346692511</v>
      </c>
      <c r="CI53" s="143">
        <f>IF(AND($A53&gt;=SYear_O,$A53&lt;=EYear_O),Data_All!V54,"")</f>
        <v>4.1562593665700875</v>
      </c>
      <c r="CJ53" s="143">
        <f>IF(AND($A53&gt;=SYear_O,$A53&lt;=EYear_O),Data_All!CA54,"")</f>
        <v>19.658119658119656</v>
      </c>
      <c r="CK53" s="143">
        <f t="shared" si="24"/>
        <v>-12.955126100794997</v>
      </c>
      <c r="CN53" s="61">
        <f t="shared" si="25"/>
        <v>-0.10352194346692511</v>
      </c>
      <c r="CO53" s="61">
        <f t="shared" si="26"/>
        <v>3.9393299936264503E-2</v>
      </c>
      <c r="CP53" s="61">
        <f t="shared" si="27"/>
        <v>2.9901835509827945E-2</v>
      </c>
      <c r="CQ53" s="61">
        <f t="shared" si="28"/>
        <v>8.0463780138735341E-2</v>
      </c>
      <c r="CR53" s="61">
        <f t="shared" si="29"/>
        <v>5.4769621131185664E-2</v>
      </c>
      <c r="CU53" s="61">
        <f t="shared" si="30"/>
        <v>-0.25080048132593036</v>
      </c>
      <c r="CV53" s="61">
        <f t="shared" si="31"/>
        <v>-0.12032395844573629</v>
      </c>
      <c r="CW53" s="61">
        <f t="shared" si="32"/>
        <v>-4.3123996319350155E-2</v>
      </c>
      <c r="CX53" s="61">
        <f t="shared" si="33"/>
        <v>3.7827069445530714E-2</v>
      </c>
      <c r="CY53" s="61">
        <f t="shared" si="34"/>
        <v>4.0752831914797838E-2</v>
      </c>
    </row>
    <row r="54" spans="1:103">
      <c r="A54" s="204">
        <f t="shared" si="18"/>
        <v>1918</v>
      </c>
      <c r="B54" s="206" t="str">
        <f>IF(AND($A54&gt;=SYear_O, $A54&lt;=EYear_O, B$3&gt;0), B$3 * VLOOKUP($A54, Data_All!$A$8:$CA$153, MATCH(B$2, Data_All!$B$2:$CA$2, 0)+1), "")</f>
        <v/>
      </c>
      <c r="C54" s="206" t="str">
        <f>IF(AND($A54&gt;=SYear_O, $A54&lt;=EYear_O, C$3&gt;0), C$3 * VLOOKUP($A54, Data_All!$A$8:$CA$153, MATCH(C$2, Data_All!$B$2:$CA$2, 0)+1), "")</f>
        <v/>
      </c>
      <c r="D54" s="206" t="str">
        <f>IF(AND($A54&gt;=SYear_O, $A54&lt;=EYear_O, D$3&gt;0), D$3 * VLOOKUP($A54, Data_All!$A$8:$CA$153, MATCH(D$2, Data_All!$B$2:$CA$2, 0)+1), "")</f>
        <v/>
      </c>
      <c r="E54" s="206" t="str">
        <f>IF(AND($A54&gt;=SYear_O, $A54&lt;=EYear_O, E$3&gt;0), E$3 * VLOOKUP($A54, Data_All!$A$8:$CA$153, MATCH(E$2, Data_All!$B$2:$CA$2, 0)+1), "")</f>
        <v/>
      </c>
      <c r="F54" s="206" t="str">
        <f>IF(AND($A54&gt;=SYear_O, $A54&lt;=EYear_O, F$3&gt;0), F$3 * VLOOKUP($A54, Data_All!$A$8:$CA$153, MATCH(F$2, Data_All!$B$2:$CA$2, 0)+1), "")</f>
        <v/>
      </c>
      <c r="G54" s="206" t="str">
        <f>IF(AND($A54&gt;=SYear_O, $A54&lt;=EYear_O, G$3&gt;0), G$3 * VLOOKUP($A54, Data_All!$A$8:$CA$153, MATCH(G$2, Data_All!$B$2:$CA$2, 0)+1), "")</f>
        <v/>
      </c>
      <c r="H54" s="206" t="str">
        <f>IF(AND($A54&gt;=SYear_O, $A54&lt;=EYear_O, H$3&gt;0), H$3 * VLOOKUP($A54, Data_All!$A$8:$CA$153, MATCH(H$2, Data_All!$B$2:$CA$2, 0)+1), "")</f>
        <v/>
      </c>
      <c r="I54" s="206" t="str">
        <f>IF(AND($A54&gt;=SYear_O, $A54&lt;=EYear_O, I$3&gt;0), I$3 * VLOOKUP($A54, Data_All!$A$8:$CA$153, MATCH(I$2, Data_All!$B$2:$CA$2, 0)+1), "")</f>
        <v/>
      </c>
      <c r="J54" s="206" t="str">
        <f>IF(AND($A54&gt;=SYear_O, $A54&lt;=EYear_O, J$3&gt;0), J$3 * VLOOKUP($A54, Data_All!$A$8:$CA$153, MATCH(J$2, Data_All!$B$2:$CA$2, 0)+1), "")</f>
        <v/>
      </c>
      <c r="K54" s="206" t="str">
        <f>IF(AND($A54&gt;=SYear_O, $A54&lt;=EYear_O, K$3&gt;0), K$3 * VLOOKUP($A54, Data_All!$A$8:$CA$153, MATCH(K$2, Data_All!$B$2:$CA$2, 0)+1), "")</f>
        <v/>
      </c>
      <c r="L54" s="206" t="str">
        <f>IF(AND($A54&gt;=SYear_O, $A54&lt;=EYear_O, L$3&gt;0), L$3 * VLOOKUP($A54, Data_All!$A$8:$CA$153, MATCH(L$2, Data_All!$B$2:$CA$2, 0)+1), "")</f>
        <v/>
      </c>
      <c r="M54" s="206" t="str">
        <f>IF(AND($A54&gt;=SYear_O, $A54&lt;=EYear_O, M$3&gt;0), M$3 * VLOOKUP($A54, Data_All!$A$8:$CA$153, MATCH(M$2, Data_All!$B$2:$CA$2, 0)+1), "")</f>
        <v/>
      </c>
      <c r="N54" s="206" t="str">
        <f>IF(AND($A54&gt;=SYear_O, $A54&lt;=EYear_O, N$3&gt;0), N$3 * VLOOKUP($A54, Data_All!$A$8:$CA$153, MATCH(N$2, Data_All!$B$2:$CA$2, 0)+1), "")</f>
        <v/>
      </c>
      <c r="O54" s="206" t="str">
        <f>IF(AND($A54&gt;=SYear_O, $A54&lt;=EYear_O, O$3&gt;0), O$3 * VLOOKUP($A54, Data_All!$A$8:$CA$153, MATCH(O$2, Data_All!$B$2:$CA$2, 0)+1), "")</f>
        <v/>
      </c>
      <c r="P54" s="206" t="str">
        <f>IF(AND($A54&gt;=SYear_O, $A54&lt;=EYear_O, P$3&gt;0), P$3 * VLOOKUP($A54, Data_All!$A$8:$CA$153, MATCH(P$2, Data_All!$B$2:$CA$2, 0)+1), "")</f>
        <v/>
      </c>
      <c r="Q54" s="206" t="str">
        <f>IF(AND($A54&gt;=SYear_O, $A54&lt;=EYear_O, Q$3&gt;0), Q$3 * VLOOKUP($A54, Data_All!$A$8:$CA$153, MATCH(Q$2, Data_All!$B$2:$CA$2, 0)+1), "")</f>
        <v/>
      </c>
      <c r="R54" s="206" t="str">
        <f>IF(AND($A54&gt;=SYear_O, $A54&lt;=EYear_O, R$3&gt;0), R$3 * VLOOKUP($A54, Data_All!$A$8:$CA$153, MATCH(R$2, Data_All!$B$2:$CA$2, 0)+1), "")</f>
        <v/>
      </c>
      <c r="S54" s="206" t="str">
        <f>IF(AND($A54&gt;=SYear_O, $A54&lt;=EYear_O, S$3&gt;0), S$3 * VLOOKUP($A54, Data_All!$A$8:$CA$153, MATCH(S$2, Data_All!$B$2:$CA$2, 0)+1), "")</f>
        <v/>
      </c>
      <c r="T54" s="206" t="str">
        <f>IF(AND($A54&gt;=SYear_O, $A54&lt;=EYear_O, T$3&gt;0), T$3 * VLOOKUP($A54, Data_All!$A$8:$CA$153, MATCH(T$2, Data_All!$B$2:$CA$2, 0)+1), "")</f>
        <v/>
      </c>
      <c r="U54" s="206" t="str">
        <f>IF(AND($A54&gt;=SYear_O, $A54&lt;=EYear_O, U$3&gt;0), U$3 * VLOOKUP($A54, Data_All!$A$8:$CA$153, MATCH(U$2, Data_All!$B$2:$CA$2, 0)+1), "")</f>
        <v/>
      </c>
      <c r="V54" s="206" t="str">
        <f>IF(AND($A54&gt;=SYear_O, $A54&lt;=EYear_O, V$3&gt;0), V$3 * VLOOKUP($A54, Data_All!$A$8:$CA$153, MATCH(V$2, Data_All!$B$2:$CA$2, 0)+1), "")</f>
        <v/>
      </c>
      <c r="W54" s="206" t="str">
        <f>IF(AND($A54&gt;=SYear_O, $A54&lt;=EYear_O, W$3&gt;0), W$3 * VLOOKUP($A54, Data_All!$A$8:$CA$153, MATCH(W$2, Data_All!$B$2:$CA$2, 0)+1), "")</f>
        <v/>
      </c>
      <c r="X54" s="206" t="str">
        <f>IF(AND($A54&gt;=SYear_O, $A54&lt;=EYear_O, X$3&gt;0), X$3 * VLOOKUP($A54, Data_All!$A$8:$CA$153, MATCH(X$2, Data_All!$B$2:$CA$2, 0)+1), "")</f>
        <v/>
      </c>
      <c r="Y54" s="206" t="str">
        <f>IF(AND($A54&gt;=SYear_O, $A54&lt;=EYear_O, Y$3&gt;0), Y$3 * VLOOKUP($A54, Data_All!$A$8:$CA$153, MATCH(Y$2, Data_All!$B$2:$CA$2, 0)+1), "")</f>
        <v/>
      </c>
      <c r="Z54" s="206" t="str">
        <f>IF(AND($A54&gt;=SYear_O, $A54&lt;=EYear_O, Z$3&gt;0), Z$3 * VLOOKUP($A54, Data_All!$A$8:$CA$153, MATCH(Z$2, Data_All!$B$2:$CA$2, 0)+1), "")</f>
        <v/>
      </c>
      <c r="AA54" s="206" t="str">
        <f>IF(AND($A54&gt;=SYear_O, $A54&lt;=EYear_O, AA$3&gt;0), AA$3 * VLOOKUP($A54, Data_All!$A$8:$CA$153, MATCH(AA$2, Data_All!$B$2:$CA$2, 0)+1), "")</f>
        <v/>
      </c>
      <c r="AB54" s="206" t="str">
        <f>IF(AND($A54&gt;=SYear_O, $A54&lt;=EYear_O, AB$3&gt;0), AB$3 * VLOOKUP($A54, Data_All!$A$8:$CA$153, MATCH(AB$2, Data_All!$B$2:$CA$2, 0)+1), "")</f>
        <v/>
      </c>
      <c r="AC54" s="206" t="str">
        <f>IF(AND($A54&gt;=SYear_O, $A54&lt;=EYear_O, AC$3&gt;0), AC$3 * VLOOKUP($A54, Data_All!$A$8:$CA$153, MATCH(AC$2, Data_All!$B$2:$CA$2, 0)+1), "")</f>
        <v/>
      </c>
      <c r="AD54" s="206" t="str">
        <f>IF(AND($A54&gt;=SYear_O, $A54&lt;=EYear_O, AD$3&gt;0), AD$3 * VLOOKUP($A54, Data_All!$A$8:$CA$153, MATCH(AD$2, Data_All!$B$2:$CA$2, 0)+1), "")</f>
        <v/>
      </c>
      <c r="AE54" s="206" t="str">
        <f>IF(AND($A54&gt;=SYear_O, $A54&lt;=EYear_O, AE$3&gt;0), AE$3 * VLOOKUP($A54, Data_All!$A$8:$CA$153, MATCH(AE$2, Data_All!$B$2:$CA$2, 0)+1), "")</f>
        <v/>
      </c>
      <c r="AF54" s="206" t="str">
        <f>IF(AND($A54&gt;=SYear_O, $A54&lt;=EYear_O, AF$3&gt;0), AF$3 * VLOOKUP($A54, Data_All!$A$8:$CA$153, MATCH(AF$2, Data_All!$B$2:$CA$2, 0)+1), "")</f>
        <v/>
      </c>
      <c r="AG54" s="206" t="str">
        <f>IF(AND($A54&gt;=SYear_O, $A54&lt;=EYear_O, AG$3&gt;0), AG$3 * VLOOKUP($A54, Data_All!$A$8:$CA$153, MATCH(AG$2, Data_All!$B$2:$CA$2, 0)+1), "")</f>
        <v/>
      </c>
      <c r="AH54" s="206" t="str">
        <f>IF(AND($A54&gt;=SYear_O, $A54&lt;=EYear_O, AH$3&gt;0), AH$3 * VLOOKUP($A54, Data_All!$A$8:$CA$153, MATCH(AH$2, Data_All!$B$2:$CA$2, 0)+1), "")</f>
        <v/>
      </c>
      <c r="AI54" s="206" t="str">
        <f>IF(AND($A54&gt;=SYear_O, $A54&lt;=EYear_O, AI$3&gt;0), AI$3 * VLOOKUP($A54, Data_All!$A$8:$CA$153, MATCH(AI$2, Data_All!$B$2:$CA$2, 0)+1), "")</f>
        <v/>
      </c>
      <c r="AJ54" s="206" t="str">
        <f>IF(AND($A54&gt;=SYear_O, $A54&lt;=EYear_O, AJ$3&gt;0), AJ$3 * VLOOKUP($A54, Data_All!$A$8:$CA$153, MATCH(AJ$2, Data_All!$B$2:$CA$2, 0)+1), "")</f>
        <v/>
      </c>
      <c r="AK54" s="206" t="str">
        <f>IF(AND($A54&gt;=SYear_O, $A54&lt;=EYear_O, AK$3&gt;0), AK$3 * VLOOKUP($A54, Data_All!$A$8:$CA$153, MATCH(AK$2, Data_All!$B$2:$CA$2, 0)+1), "")</f>
        <v/>
      </c>
      <c r="AL54" s="206" t="str">
        <f>IF(AND($A54&gt;=SYear_O, $A54&lt;=EYear_O, AL$3&gt;0), AL$3 * VLOOKUP($A54, Data_All!$A$8:$CA$153, MATCH(AL$2, Data_All!$B$2:$CA$2, 0)+1), "")</f>
        <v/>
      </c>
      <c r="AM54" s="206" t="str">
        <f>IF(AND($A54&gt;=SYear_O, $A54&lt;=EYear_O, AM$3&gt;0), AM$3 * VLOOKUP($A54, Data_All!$A$8:$CA$153, MATCH(AM$2, Data_All!$B$2:$CA$2, 0)+1), "")</f>
        <v/>
      </c>
      <c r="AN54" s="206" t="str">
        <f>IF(AND($A54&gt;=SYear_O, $A54&lt;=EYear_O, AN$3&gt;0), AN$3 * VLOOKUP($A54, Data_All!$A$8:$CA$153, MATCH(AN$2, Data_All!$B$2:$CA$2, 0)+1), "")</f>
        <v/>
      </c>
      <c r="AO54" s="206" t="str">
        <f>IF(AND($A54&gt;=SYear_O, $A54&lt;=EYear_O, AO$3&gt;0), AO$3 * VLOOKUP($A54, Data_All!$A$8:$CA$153, MATCH(AO$2, Data_All!$B$2:$CA$2, 0)+1), "")</f>
        <v/>
      </c>
      <c r="AP54" s="206" t="str">
        <f>IF(AND($A54&gt;=SYear_O, $A54&lt;=EYear_O, AP$3&gt;0), AP$3 * VLOOKUP($A54, Data_All!$A$8:$CA$153, MATCH(AP$2, Data_All!$B$2:$CA$2, 0)+1), "")</f>
        <v/>
      </c>
      <c r="AQ54" s="206" t="str">
        <f>IF(AND($A54&gt;=SYear_O, $A54&lt;=EYear_O, AQ$3&gt;0), AQ$3 * VLOOKUP($A54, Data_All!$A$8:$CA$153, MATCH(AQ$2, Data_All!$B$2:$CA$2, 0)+1), "")</f>
        <v/>
      </c>
      <c r="AR54" s="206" t="str">
        <f>IF(AND($A54&gt;=SYear_O, $A54&lt;=EYear_O, AR$3&gt;0), AR$3 * VLOOKUP($A54, Data_All!$A$8:$CA$153, MATCH(AR$2, Data_All!$B$2:$CA$2, 0)+1), "")</f>
        <v/>
      </c>
      <c r="AS54" s="206" t="str">
        <f>IF(AND($A54&gt;=SYear_O, $A54&lt;=EYear_O, AS$3&gt;0), AS$3 * VLOOKUP($A54, Data_All!$A$8:$CA$153, MATCH(AS$2, Data_All!$B$2:$CA$2, 0)+1), "")</f>
        <v/>
      </c>
      <c r="AT54" s="206" t="str">
        <f>IF(AND($A54&gt;=SYear_O, $A54&lt;=EYear_O, AT$3&gt;0), AT$3 * VLOOKUP($A54, Data_All!$A$8:$CA$153, MATCH(AT$2, Data_All!$B$2:$CA$2, 0)+1), "")</f>
        <v/>
      </c>
      <c r="AU54" s="206" t="str">
        <f>IF(AND($A54&gt;=SYear_O, $A54&lt;=EYear_O, AU$3&gt;0), AU$3 * VLOOKUP($A54, Data_All!$A$8:$CA$153, MATCH(AU$2, Data_All!$B$2:$CA$2, 0)+1), "")</f>
        <v/>
      </c>
      <c r="AV54" s="206" t="str">
        <f>IF(AND($A54&gt;=SYear_O, $A54&lt;=EYear_O, AV$3&gt;0), AV$3 * VLOOKUP($A54, Data_All!$A$8:$CA$153, MATCH(AV$2, Data_All!$B$2:$CA$2, 0)+1), "")</f>
        <v/>
      </c>
      <c r="AW54" s="206" t="str">
        <f>IF(AND($A54&gt;=SYear_O, $A54&lt;=EYear_O, AW$3&gt;0), AW$3 * VLOOKUP($A54, Data_All!$A$8:$CA$153, MATCH(AW$2, Data_All!$B$2:$CA$2, 0)+1), "")</f>
        <v/>
      </c>
      <c r="AX54" s="206" t="str">
        <f>IF(AND($A54&gt;=SYear_O, $A54&lt;=EYear_O, AX$3&gt;0), AX$3 * VLOOKUP($A54, Data_All!$A$8:$CA$153, MATCH(AX$2, Data_All!$B$2:$CA$2, 0)+1), "")</f>
        <v/>
      </c>
      <c r="AY54" s="206" t="str">
        <f>IF(AND($A54&gt;=SYear_O, $A54&lt;=EYear_O, AY$3&gt;0), AY$3 * VLOOKUP($A54, Data_All!$A$8:$CA$153, MATCH(AY$2, Data_All!$B$2:$CA$2, 0)+1), "")</f>
        <v/>
      </c>
      <c r="AZ54" s="206" t="str">
        <f>IF(AND($A54&gt;=SYear_O, $A54&lt;=EYear_O, AZ$3&gt;0), AZ$3 * VLOOKUP($A54, Data_All!$A$8:$CA$153, MATCH(AZ$2, Data_All!$B$2:$CA$2, 0)+1), "")</f>
        <v/>
      </c>
      <c r="BA54" s="206" t="str">
        <f>IF(AND($A54&gt;=SYear_O, $A54&lt;=EYear_O, BA$3&gt;0), BA$3 * VLOOKUP($A54, Data_All!$A$8:$CA$153, MATCH(BA$2, Data_All!$B$2:$CA$2, 0)+1), "")</f>
        <v/>
      </c>
      <c r="BB54" s="206" t="str">
        <f>IF(AND($A54&gt;=SYear_O, $A54&lt;=EYear_O, BB$3&gt;0), BB$3 * VLOOKUP($A54, Data_All!$A$8:$CA$153, MATCH(BB$2, Data_All!$B$2:$CA$2, 0)+1), "")</f>
        <v/>
      </c>
      <c r="BC54" s="206" t="str">
        <f>IF(AND($A54&gt;=SYear_O, $A54&lt;=EYear_O, BC$3&gt;0), BC$3 * VLOOKUP($A54, Data_All!$A$8:$CA$153, MATCH(BC$2, Data_All!$B$2:$CA$2, 0)+1), "")</f>
        <v/>
      </c>
      <c r="BD54" s="206" t="str">
        <f>IF(AND($A54&gt;=SYear_O, $A54&lt;=EYear_O, BD$3&gt;0), BD$3 * VLOOKUP($A54, Data_All!$A$8:$CA$153, MATCH(BD$2, Data_All!$B$2:$CA$2, 0)+1), "")</f>
        <v/>
      </c>
      <c r="BE54" s="206" t="str">
        <f>IF(AND($A54&gt;=SYear_O, $A54&lt;=EYear_O, BE$3&gt;0), BE$3 * VLOOKUP($A54, Data_All!$A$8:$CA$153, MATCH(BE$2, Data_All!$B$2:$CA$2, 0)+1), "")</f>
        <v/>
      </c>
      <c r="BF54" s="206" t="str">
        <f>IF(AND($A54&gt;=SYear_O, $A54&lt;=EYear_O, BF$3&gt;0), BF$3 * VLOOKUP($A54, Data_All!$A$8:$CA$153, MATCH(BF$2, Data_All!$B$2:$CA$2, 0)+1), "")</f>
        <v/>
      </c>
      <c r="BG54" s="206" t="str">
        <f>IF(AND($A54&gt;=SYear_O, $A54&lt;=EYear_O, BG$3&gt;0), BG$3 * VLOOKUP($A54, Data_All!$A$8:$CA$153, MATCH(BG$2, Data_All!$B$2:$CA$2, 0)+1), "")</f>
        <v/>
      </c>
      <c r="BH54" s="206" t="str">
        <f>IF(AND($A54&gt;=SYear_O, $A54&lt;=EYear_O, BH$3&gt;0), BH$3 * VLOOKUP($A54, Data_All!$A$8:$CA$153, MATCH(BH$2, Data_All!$B$2:$CA$2, 0)+1), "")</f>
        <v/>
      </c>
      <c r="BI54" s="206" t="str">
        <f>IF(AND($A54&gt;=SYear_O, $A54&lt;=EYear_O, BI$3&gt;0), BI$3 * VLOOKUP($A54, Data_All!$A$8:$CA$153, MATCH(BI$2, Data_All!$B$2:$CA$2, 0)+1), "")</f>
        <v/>
      </c>
      <c r="BJ54" s="206" t="str">
        <f>IF(AND($A54&gt;=SYear_O, $A54&lt;=EYear_O, BJ$3&gt;0), BJ$3 * VLOOKUP($A54, Data_All!$A$8:$CA$153, MATCH(BJ$2, Data_All!$B$2:$CA$2, 0)+1), "")</f>
        <v/>
      </c>
      <c r="BK54" s="206" t="str">
        <f>IF(AND($A54&gt;=SYear_O, $A54&lt;=EYear_O, BK$3&gt;0), BK$3 * VLOOKUP($A54, Data_All!$A$8:$CA$153, MATCH(BK$2, Data_All!$B$2:$CA$2, 0)+1), "")</f>
        <v/>
      </c>
      <c r="BL54" s="206" t="str">
        <f>IF(AND($A54&gt;=SYear_O, $A54&lt;=EYear_O, BL$3&gt;0), BL$3 * VLOOKUP($A54, Data_All!$A$8:$CA$153, MATCH(BL$2, Data_All!$B$2:$CA$2, 0)+1), "")</f>
        <v/>
      </c>
      <c r="BM54" s="206" t="str">
        <f>IF(AND($A54&gt;=SYear_O, $A54&lt;=EYear_O, BM$3&gt;0), BM$3 * VLOOKUP($A54, Data_All!$A$8:$CA$153, MATCH(BM$2, Data_All!$B$2:$CA$2, 0)+1), "")</f>
        <v/>
      </c>
      <c r="BN54" s="206" t="str">
        <f>IF(AND($A54&gt;=SYear_O, $A54&lt;=EYear_O, BN$3&gt;0), BN$3 * VLOOKUP($A54, Data_All!$A$8:$CA$153, MATCH(BN$2, Data_All!$B$2:$CA$2, 0)+1), "")</f>
        <v/>
      </c>
      <c r="BO54" s="206" t="str">
        <f>IF(AND($A54&gt;=SYear_O, $A54&lt;=EYear_O, BO$3&gt;0), BO$3 * VLOOKUP($A54, Data_All!$A$8:$CA$153, MATCH(BO$2, Data_All!$B$2:$CA$2, 0)+1), "")</f>
        <v/>
      </c>
      <c r="BP54" s="206" t="str">
        <f>IF(AND($A54&gt;=SYear_O, $A54&lt;=EYear_O, BP$3&gt;0), BP$3 * VLOOKUP($A54, Data_All!$A$8:$CA$153, MATCH(BP$2, Data_All!$B$2:$CA$2, 0)+1), "")</f>
        <v/>
      </c>
      <c r="BQ54" s="206" t="str">
        <f>IF(AND($A54&gt;=SYear_O, $A54&lt;=EYear_O, BQ$3&gt;0), BQ$3 * VLOOKUP($A54, Data_All!$A$8:$CA$153, MATCH(BQ$2, Data_All!$B$2:$CA$2, 0)+1), "")</f>
        <v/>
      </c>
      <c r="BR54" s="206" t="str">
        <f>IF(AND($A54&gt;=SYear_O, $A54&lt;=EYear_O, BR$3&gt;0), BR$3 * VLOOKUP($A54, Data_All!$A$8:$CA$153, MATCH(BR$2, Data_All!$B$2:$CA$2, 0)+1), "")</f>
        <v/>
      </c>
      <c r="BS54" s="206" t="str">
        <f>IF(AND($A54&gt;=SYear_O, $A54&lt;=EYear_O, BS$3&gt;0), BS$3 * VLOOKUP($A54, Data_All!$A$8:$CA$153, MATCH(BS$2, Data_All!$B$2:$CA$2, 0)+1), "")</f>
        <v/>
      </c>
      <c r="BT54" s="206" t="str">
        <f>IF(AND($A54&gt;=SYear_O, $A54&lt;=EYear_O, BT$3&gt;0), BT$3 * VLOOKUP($A54, Data_All!$A$8:$CA$153, MATCH(BT$2, Data_All!$B$2:$CA$2, 0)+1), "")</f>
        <v/>
      </c>
      <c r="BU54" s="206" t="str">
        <f>IF(AND($A54&gt;=SYear_O, $A54&lt;=EYear_O, BU$3&gt;0), BU$3 * VLOOKUP($A54, Data_All!$A$8:$CA$153, MATCH(BU$2, Data_All!$B$2:$CA$2, 0)+1), "")</f>
        <v/>
      </c>
      <c r="BV54" s="206" t="str">
        <f>IF(AND($A54&gt;=SYear_O, $A54&lt;=EYear_O, BV$3&gt;0), BV$3 * VLOOKUP($A54, Data_All!$A$8:$CA$153, MATCH(BV$2, Data_All!$B$2:$CA$2, 0)+1), "")</f>
        <v/>
      </c>
      <c r="BW54" s="206" t="str">
        <f>IF(AND($A54&gt;=SYear_O, $A54&lt;=EYear_O, BW$3&gt;0), BW$3 * VLOOKUP($A54, Data_All!$A$8:$CA$153, MATCH(BW$2, Data_All!$B$2:$CA$2, 0)+1), "")</f>
        <v/>
      </c>
      <c r="BX54" s="206">
        <f>IF(AND($A54&gt;=SYear_O, $A54&lt;=EYear_O, BX$3&gt;0), BX$3 * VLOOKUP($A54, Data_All!$A$8:$CA$153, MATCH(BX$2, Data_All!$B$2:$CA$2, 0)+1), "")</f>
        <v>10.06934812760055</v>
      </c>
      <c r="BY54" s="206">
        <f>IF(AND($A54&gt;=SYear_O, $A54&lt;=EYear_O, BY$3&gt;0), BY$3 * VLOOKUP($A54, Data_All!$A$8:$CA$153, MATCH(BY$2, Data_All!$B$2:$CA$2, 0)+1), "")</f>
        <v>2.1542387533484764</v>
      </c>
      <c r="BZ54" s="206" t="str">
        <f>IF(AND($A54&gt;=SYear_O, $A54&lt;=EYear_O, BZ$3&gt;0), BZ$3 * VLOOKUP($A54, Data_All!$A$8:$CA$153, MATCH(BZ$2, Data_All!$B$2:$CA$2, 0)+1), "")</f>
        <v/>
      </c>
      <c r="CA54" s="565">
        <f t="shared" si="19"/>
        <v>12.223586880949027</v>
      </c>
      <c r="CB54" s="427">
        <f t="shared" si="20"/>
        <v>140370.95613924522</v>
      </c>
      <c r="CC54" s="565">
        <f>IF(AND($A54&gt;=SYear_O,$A54&lt;=EYear_O),(CA54-Data_All!CA55)/(1+Data_All!CA55%),"")</f>
        <v>-4.7799868888917381</v>
      </c>
      <c r="CD54" s="436">
        <f t="shared" si="21"/>
        <v>106035.8884816895</v>
      </c>
      <c r="CE54" s="438">
        <f t="shared" si="22"/>
        <v>12.731538866779468</v>
      </c>
      <c r="CF54" s="438">
        <f>IF(AND($A54&gt;=SYear_O,$A54&lt;=EYear_O),MAX($CE$7:CE54),"")</f>
        <v>12.731538866779468</v>
      </c>
      <c r="CG54" s="209">
        <f t="shared" si="23"/>
        <v>0</v>
      </c>
      <c r="CI54" s="143">
        <f>IF(AND($A54&gt;=SYear_O,$A54&lt;=EYear_O),Data_All!V55,"")</f>
        <v>5.8847037666100519</v>
      </c>
      <c r="CJ54" s="143">
        <f>IF(AND($A54&gt;=SYear_O,$A54&lt;=EYear_O),Data_All!CA55,"")</f>
        <v>17.857142857142861</v>
      </c>
      <c r="CK54" s="143">
        <f t="shared" si="24"/>
        <v>-10.158433167724807</v>
      </c>
      <c r="CN54" s="61">
        <f t="shared" si="25"/>
        <v>0.12223586880949022</v>
      </c>
      <c r="CO54" s="61">
        <f t="shared" si="26"/>
        <v>5.3946392354495387E-2</v>
      </c>
      <c r="CP54" s="61">
        <f t="shared" si="27"/>
        <v>8.941233135932225E-2</v>
      </c>
      <c r="CQ54" s="61">
        <f t="shared" si="28"/>
        <v>0.11516526631817214</v>
      </c>
      <c r="CR54" s="61">
        <f t="shared" si="29"/>
        <v>6.1204209966861489E-2</v>
      </c>
      <c r="CU54" s="61">
        <f t="shared" si="30"/>
        <v>-4.7799868888917407E-2</v>
      </c>
      <c r="CV54" s="61">
        <f t="shared" si="31"/>
        <v>-4.8059071015335353E-2</v>
      </c>
      <c r="CW54" s="61">
        <f t="shared" si="32"/>
        <v>5.0403203664684648E-2</v>
      </c>
      <c r="CX54" s="61">
        <f t="shared" si="33"/>
        <v>9.1810904174659091E-2</v>
      </c>
      <c r="CY54" s="61">
        <f t="shared" si="34"/>
        <v>6.7009253789167111E-2</v>
      </c>
    </row>
    <row r="55" spans="1:103">
      <c r="A55" s="204">
        <f t="shared" si="18"/>
        <v>1919</v>
      </c>
      <c r="B55" s="206" t="str">
        <f>IF(AND($A55&gt;=SYear_O, $A55&lt;=EYear_O, B$3&gt;0), B$3 * VLOOKUP($A55, Data_All!$A$8:$CA$153, MATCH(B$2, Data_All!$B$2:$CA$2, 0)+1), "")</f>
        <v/>
      </c>
      <c r="C55" s="206" t="str">
        <f>IF(AND($A55&gt;=SYear_O, $A55&lt;=EYear_O, C$3&gt;0), C$3 * VLOOKUP($A55, Data_All!$A$8:$CA$153, MATCH(C$2, Data_All!$B$2:$CA$2, 0)+1), "")</f>
        <v/>
      </c>
      <c r="D55" s="206" t="str">
        <f>IF(AND($A55&gt;=SYear_O, $A55&lt;=EYear_O, D$3&gt;0), D$3 * VLOOKUP($A55, Data_All!$A$8:$CA$153, MATCH(D$2, Data_All!$B$2:$CA$2, 0)+1), "")</f>
        <v/>
      </c>
      <c r="E55" s="206" t="str">
        <f>IF(AND($A55&gt;=SYear_O, $A55&lt;=EYear_O, E$3&gt;0), E$3 * VLOOKUP($A55, Data_All!$A$8:$CA$153, MATCH(E$2, Data_All!$B$2:$CA$2, 0)+1), "")</f>
        <v/>
      </c>
      <c r="F55" s="206" t="str">
        <f>IF(AND($A55&gt;=SYear_O, $A55&lt;=EYear_O, F$3&gt;0), F$3 * VLOOKUP($A55, Data_All!$A$8:$CA$153, MATCH(F$2, Data_All!$B$2:$CA$2, 0)+1), "")</f>
        <v/>
      </c>
      <c r="G55" s="206" t="str">
        <f>IF(AND($A55&gt;=SYear_O, $A55&lt;=EYear_O, G$3&gt;0), G$3 * VLOOKUP($A55, Data_All!$A$8:$CA$153, MATCH(G$2, Data_All!$B$2:$CA$2, 0)+1), "")</f>
        <v/>
      </c>
      <c r="H55" s="206" t="str">
        <f>IF(AND($A55&gt;=SYear_O, $A55&lt;=EYear_O, H$3&gt;0), H$3 * VLOOKUP($A55, Data_All!$A$8:$CA$153, MATCH(H$2, Data_All!$B$2:$CA$2, 0)+1), "")</f>
        <v/>
      </c>
      <c r="I55" s="206" t="str">
        <f>IF(AND($A55&gt;=SYear_O, $A55&lt;=EYear_O, I$3&gt;0), I$3 * VLOOKUP($A55, Data_All!$A$8:$CA$153, MATCH(I$2, Data_All!$B$2:$CA$2, 0)+1), "")</f>
        <v/>
      </c>
      <c r="J55" s="206" t="str">
        <f>IF(AND($A55&gt;=SYear_O, $A55&lt;=EYear_O, J$3&gt;0), J$3 * VLOOKUP($A55, Data_All!$A$8:$CA$153, MATCH(J$2, Data_All!$B$2:$CA$2, 0)+1), "")</f>
        <v/>
      </c>
      <c r="K55" s="206" t="str">
        <f>IF(AND($A55&gt;=SYear_O, $A55&lt;=EYear_O, K$3&gt;0), K$3 * VLOOKUP($A55, Data_All!$A$8:$CA$153, MATCH(K$2, Data_All!$B$2:$CA$2, 0)+1), "")</f>
        <v/>
      </c>
      <c r="L55" s="206" t="str">
        <f>IF(AND($A55&gt;=SYear_O, $A55&lt;=EYear_O, L$3&gt;0), L$3 * VLOOKUP($A55, Data_All!$A$8:$CA$153, MATCH(L$2, Data_All!$B$2:$CA$2, 0)+1), "")</f>
        <v/>
      </c>
      <c r="M55" s="206" t="str">
        <f>IF(AND($A55&gt;=SYear_O, $A55&lt;=EYear_O, M$3&gt;0), M$3 * VLOOKUP($A55, Data_All!$A$8:$CA$153, MATCH(M$2, Data_All!$B$2:$CA$2, 0)+1), "")</f>
        <v/>
      </c>
      <c r="N55" s="206" t="str">
        <f>IF(AND($A55&gt;=SYear_O, $A55&lt;=EYear_O, N$3&gt;0), N$3 * VLOOKUP($A55, Data_All!$A$8:$CA$153, MATCH(N$2, Data_All!$B$2:$CA$2, 0)+1), "")</f>
        <v/>
      </c>
      <c r="O55" s="206" t="str">
        <f>IF(AND($A55&gt;=SYear_O, $A55&lt;=EYear_O, O$3&gt;0), O$3 * VLOOKUP($A55, Data_All!$A$8:$CA$153, MATCH(O$2, Data_All!$B$2:$CA$2, 0)+1), "")</f>
        <v/>
      </c>
      <c r="P55" s="206" t="str">
        <f>IF(AND($A55&gt;=SYear_O, $A55&lt;=EYear_O, P$3&gt;0), P$3 * VLOOKUP($A55, Data_All!$A$8:$CA$153, MATCH(P$2, Data_All!$B$2:$CA$2, 0)+1), "")</f>
        <v/>
      </c>
      <c r="Q55" s="206" t="str">
        <f>IF(AND($A55&gt;=SYear_O, $A55&lt;=EYear_O, Q$3&gt;0), Q$3 * VLOOKUP($A55, Data_All!$A$8:$CA$153, MATCH(Q$2, Data_All!$B$2:$CA$2, 0)+1), "")</f>
        <v/>
      </c>
      <c r="R55" s="206" t="str">
        <f>IF(AND($A55&gt;=SYear_O, $A55&lt;=EYear_O, R$3&gt;0), R$3 * VLOOKUP($A55, Data_All!$A$8:$CA$153, MATCH(R$2, Data_All!$B$2:$CA$2, 0)+1), "")</f>
        <v/>
      </c>
      <c r="S55" s="206" t="str">
        <f>IF(AND($A55&gt;=SYear_O, $A55&lt;=EYear_O, S$3&gt;0), S$3 * VLOOKUP($A55, Data_All!$A$8:$CA$153, MATCH(S$2, Data_All!$B$2:$CA$2, 0)+1), "")</f>
        <v/>
      </c>
      <c r="T55" s="206" t="str">
        <f>IF(AND($A55&gt;=SYear_O, $A55&lt;=EYear_O, T$3&gt;0), T$3 * VLOOKUP($A55, Data_All!$A$8:$CA$153, MATCH(T$2, Data_All!$B$2:$CA$2, 0)+1), "")</f>
        <v/>
      </c>
      <c r="U55" s="206" t="str">
        <f>IF(AND($A55&gt;=SYear_O, $A55&lt;=EYear_O, U$3&gt;0), U$3 * VLOOKUP($A55, Data_All!$A$8:$CA$153, MATCH(U$2, Data_All!$B$2:$CA$2, 0)+1), "")</f>
        <v/>
      </c>
      <c r="V55" s="206" t="str">
        <f>IF(AND($A55&gt;=SYear_O, $A55&lt;=EYear_O, V$3&gt;0), V$3 * VLOOKUP($A55, Data_All!$A$8:$CA$153, MATCH(V$2, Data_All!$B$2:$CA$2, 0)+1), "")</f>
        <v/>
      </c>
      <c r="W55" s="206" t="str">
        <f>IF(AND($A55&gt;=SYear_O, $A55&lt;=EYear_O, W$3&gt;0), W$3 * VLOOKUP($A55, Data_All!$A$8:$CA$153, MATCH(W$2, Data_All!$B$2:$CA$2, 0)+1), "")</f>
        <v/>
      </c>
      <c r="X55" s="206" t="str">
        <f>IF(AND($A55&gt;=SYear_O, $A55&lt;=EYear_O, X$3&gt;0), X$3 * VLOOKUP($A55, Data_All!$A$8:$CA$153, MATCH(X$2, Data_All!$B$2:$CA$2, 0)+1), "")</f>
        <v/>
      </c>
      <c r="Y55" s="206" t="str">
        <f>IF(AND($A55&gt;=SYear_O, $A55&lt;=EYear_O, Y$3&gt;0), Y$3 * VLOOKUP($A55, Data_All!$A$8:$CA$153, MATCH(Y$2, Data_All!$B$2:$CA$2, 0)+1), "")</f>
        <v/>
      </c>
      <c r="Z55" s="206" t="str">
        <f>IF(AND($A55&gt;=SYear_O, $A55&lt;=EYear_O, Z$3&gt;0), Z$3 * VLOOKUP($A55, Data_All!$A$8:$CA$153, MATCH(Z$2, Data_All!$B$2:$CA$2, 0)+1), "")</f>
        <v/>
      </c>
      <c r="AA55" s="206" t="str">
        <f>IF(AND($A55&gt;=SYear_O, $A55&lt;=EYear_O, AA$3&gt;0), AA$3 * VLOOKUP($A55, Data_All!$A$8:$CA$153, MATCH(AA$2, Data_All!$B$2:$CA$2, 0)+1), "")</f>
        <v/>
      </c>
      <c r="AB55" s="206" t="str">
        <f>IF(AND($A55&gt;=SYear_O, $A55&lt;=EYear_O, AB$3&gt;0), AB$3 * VLOOKUP($A55, Data_All!$A$8:$CA$153, MATCH(AB$2, Data_All!$B$2:$CA$2, 0)+1), "")</f>
        <v/>
      </c>
      <c r="AC55" s="206" t="str">
        <f>IF(AND($A55&gt;=SYear_O, $A55&lt;=EYear_O, AC$3&gt;0), AC$3 * VLOOKUP($A55, Data_All!$A$8:$CA$153, MATCH(AC$2, Data_All!$B$2:$CA$2, 0)+1), "")</f>
        <v/>
      </c>
      <c r="AD55" s="206" t="str">
        <f>IF(AND($A55&gt;=SYear_O, $A55&lt;=EYear_O, AD$3&gt;0), AD$3 * VLOOKUP($A55, Data_All!$A$8:$CA$153, MATCH(AD$2, Data_All!$B$2:$CA$2, 0)+1), "")</f>
        <v/>
      </c>
      <c r="AE55" s="206" t="str">
        <f>IF(AND($A55&gt;=SYear_O, $A55&lt;=EYear_O, AE$3&gt;0), AE$3 * VLOOKUP($A55, Data_All!$A$8:$CA$153, MATCH(AE$2, Data_All!$B$2:$CA$2, 0)+1), "")</f>
        <v/>
      </c>
      <c r="AF55" s="206" t="str">
        <f>IF(AND($A55&gt;=SYear_O, $A55&lt;=EYear_O, AF$3&gt;0), AF$3 * VLOOKUP($A55, Data_All!$A$8:$CA$153, MATCH(AF$2, Data_All!$B$2:$CA$2, 0)+1), "")</f>
        <v/>
      </c>
      <c r="AG55" s="206" t="str">
        <f>IF(AND($A55&gt;=SYear_O, $A55&lt;=EYear_O, AG$3&gt;0), AG$3 * VLOOKUP($A55, Data_All!$A$8:$CA$153, MATCH(AG$2, Data_All!$B$2:$CA$2, 0)+1), "")</f>
        <v/>
      </c>
      <c r="AH55" s="206" t="str">
        <f>IF(AND($A55&gt;=SYear_O, $A55&lt;=EYear_O, AH$3&gt;0), AH$3 * VLOOKUP($A55, Data_All!$A$8:$CA$153, MATCH(AH$2, Data_All!$B$2:$CA$2, 0)+1), "")</f>
        <v/>
      </c>
      <c r="AI55" s="206" t="str">
        <f>IF(AND($A55&gt;=SYear_O, $A55&lt;=EYear_O, AI$3&gt;0), AI$3 * VLOOKUP($A55, Data_All!$A$8:$CA$153, MATCH(AI$2, Data_All!$B$2:$CA$2, 0)+1), "")</f>
        <v/>
      </c>
      <c r="AJ55" s="206" t="str">
        <f>IF(AND($A55&gt;=SYear_O, $A55&lt;=EYear_O, AJ$3&gt;0), AJ$3 * VLOOKUP($A55, Data_All!$A$8:$CA$153, MATCH(AJ$2, Data_All!$B$2:$CA$2, 0)+1), "")</f>
        <v/>
      </c>
      <c r="AK55" s="206" t="str">
        <f>IF(AND($A55&gt;=SYear_O, $A55&lt;=EYear_O, AK$3&gt;0), AK$3 * VLOOKUP($A55, Data_All!$A$8:$CA$153, MATCH(AK$2, Data_All!$B$2:$CA$2, 0)+1), "")</f>
        <v/>
      </c>
      <c r="AL55" s="206" t="str">
        <f>IF(AND($A55&gt;=SYear_O, $A55&lt;=EYear_O, AL$3&gt;0), AL$3 * VLOOKUP($A55, Data_All!$A$8:$CA$153, MATCH(AL$2, Data_All!$B$2:$CA$2, 0)+1), "")</f>
        <v/>
      </c>
      <c r="AM55" s="206" t="str">
        <f>IF(AND($A55&gt;=SYear_O, $A55&lt;=EYear_O, AM$3&gt;0), AM$3 * VLOOKUP($A55, Data_All!$A$8:$CA$153, MATCH(AM$2, Data_All!$B$2:$CA$2, 0)+1), "")</f>
        <v/>
      </c>
      <c r="AN55" s="206" t="str">
        <f>IF(AND($A55&gt;=SYear_O, $A55&lt;=EYear_O, AN$3&gt;0), AN$3 * VLOOKUP($A55, Data_All!$A$8:$CA$153, MATCH(AN$2, Data_All!$B$2:$CA$2, 0)+1), "")</f>
        <v/>
      </c>
      <c r="AO55" s="206" t="str">
        <f>IF(AND($A55&gt;=SYear_O, $A55&lt;=EYear_O, AO$3&gt;0), AO$3 * VLOOKUP($A55, Data_All!$A$8:$CA$153, MATCH(AO$2, Data_All!$B$2:$CA$2, 0)+1), "")</f>
        <v/>
      </c>
      <c r="AP55" s="206" t="str">
        <f>IF(AND($A55&gt;=SYear_O, $A55&lt;=EYear_O, AP$3&gt;0), AP$3 * VLOOKUP($A55, Data_All!$A$8:$CA$153, MATCH(AP$2, Data_All!$B$2:$CA$2, 0)+1), "")</f>
        <v/>
      </c>
      <c r="AQ55" s="206" t="str">
        <f>IF(AND($A55&gt;=SYear_O, $A55&lt;=EYear_O, AQ$3&gt;0), AQ$3 * VLOOKUP($A55, Data_All!$A$8:$CA$153, MATCH(AQ$2, Data_All!$B$2:$CA$2, 0)+1), "")</f>
        <v/>
      </c>
      <c r="AR55" s="206" t="str">
        <f>IF(AND($A55&gt;=SYear_O, $A55&lt;=EYear_O, AR$3&gt;0), AR$3 * VLOOKUP($A55, Data_All!$A$8:$CA$153, MATCH(AR$2, Data_All!$B$2:$CA$2, 0)+1), "")</f>
        <v/>
      </c>
      <c r="AS55" s="206" t="str">
        <f>IF(AND($A55&gt;=SYear_O, $A55&lt;=EYear_O, AS$3&gt;0), AS$3 * VLOOKUP($A55, Data_All!$A$8:$CA$153, MATCH(AS$2, Data_All!$B$2:$CA$2, 0)+1), "")</f>
        <v/>
      </c>
      <c r="AT55" s="206" t="str">
        <f>IF(AND($A55&gt;=SYear_O, $A55&lt;=EYear_O, AT$3&gt;0), AT$3 * VLOOKUP($A55, Data_All!$A$8:$CA$153, MATCH(AT$2, Data_All!$B$2:$CA$2, 0)+1), "")</f>
        <v/>
      </c>
      <c r="AU55" s="206" t="str">
        <f>IF(AND($A55&gt;=SYear_O, $A55&lt;=EYear_O, AU$3&gt;0), AU$3 * VLOOKUP($A55, Data_All!$A$8:$CA$153, MATCH(AU$2, Data_All!$B$2:$CA$2, 0)+1), "")</f>
        <v/>
      </c>
      <c r="AV55" s="206" t="str">
        <f>IF(AND($A55&gt;=SYear_O, $A55&lt;=EYear_O, AV$3&gt;0), AV$3 * VLOOKUP($A55, Data_All!$A$8:$CA$153, MATCH(AV$2, Data_All!$B$2:$CA$2, 0)+1), "")</f>
        <v/>
      </c>
      <c r="AW55" s="206" t="str">
        <f>IF(AND($A55&gt;=SYear_O, $A55&lt;=EYear_O, AW$3&gt;0), AW$3 * VLOOKUP($A55, Data_All!$A$8:$CA$153, MATCH(AW$2, Data_All!$B$2:$CA$2, 0)+1), "")</f>
        <v/>
      </c>
      <c r="AX55" s="206" t="str">
        <f>IF(AND($A55&gt;=SYear_O, $A55&lt;=EYear_O, AX$3&gt;0), AX$3 * VLOOKUP($A55, Data_All!$A$8:$CA$153, MATCH(AX$2, Data_All!$B$2:$CA$2, 0)+1), "")</f>
        <v/>
      </c>
      <c r="AY55" s="206" t="str">
        <f>IF(AND($A55&gt;=SYear_O, $A55&lt;=EYear_O, AY$3&gt;0), AY$3 * VLOOKUP($A55, Data_All!$A$8:$CA$153, MATCH(AY$2, Data_All!$B$2:$CA$2, 0)+1), "")</f>
        <v/>
      </c>
      <c r="AZ55" s="206" t="str">
        <f>IF(AND($A55&gt;=SYear_O, $A55&lt;=EYear_O, AZ$3&gt;0), AZ$3 * VLOOKUP($A55, Data_All!$A$8:$CA$153, MATCH(AZ$2, Data_All!$B$2:$CA$2, 0)+1), "")</f>
        <v/>
      </c>
      <c r="BA55" s="206" t="str">
        <f>IF(AND($A55&gt;=SYear_O, $A55&lt;=EYear_O, BA$3&gt;0), BA$3 * VLOOKUP($A55, Data_All!$A$8:$CA$153, MATCH(BA$2, Data_All!$B$2:$CA$2, 0)+1), "")</f>
        <v/>
      </c>
      <c r="BB55" s="206" t="str">
        <f>IF(AND($A55&gt;=SYear_O, $A55&lt;=EYear_O, BB$3&gt;0), BB$3 * VLOOKUP($A55, Data_All!$A$8:$CA$153, MATCH(BB$2, Data_All!$B$2:$CA$2, 0)+1), "")</f>
        <v/>
      </c>
      <c r="BC55" s="206" t="str">
        <f>IF(AND($A55&gt;=SYear_O, $A55&lt;=EYear_O, BC$3&gt;0), BC$3 * VLOOKUP($A55, Data_All!$A$8:$CA$153, MATCH(BC$2, Data_All!$B$2:$CA$2, 0)+1), "")</f>
        <v/>
      </c>
      <c r="BD55" s="206" t="str">
        <f>IF(AND($A55&gt;=SYear_O, $A55&lt;=EYear_O, BD$3&gt;0), BD$3 * VLOOKUP($A55, Data_All!$A$8:$CA$153, MATCH(BD$2, Data_All!$B$2:$CA$2, 0)+1), "")</f>
        <v/>
      </c>
      <c r="BE55" s="206" t="str">
        <f>IF(AND($A55&gt;=SYear_O, $A55&lt;=EYear_O, BE$3&gt;0), BE$3 * VLOOKUP($A55, Data_All!$A$8:$CA$153, MATCH(BE$2, Data_All!$B$2:$CA$2, 0)+1), "")</f>
        <v/>
      </c>
      <c r="BF55" s="206" t="str">
        <f>IF(AND($A55&gt;=SYear_O, $A55&lt;=EYear_O, BF$3&gt;0), BF$3 * VLOOKUP($A55, Data_All!$A$8:$CA$153, MATCH(BF$2, Data_All!$B$2:$CA$2, 0)+1), "")</f>
        <v/>
      </c>
      <c r="BG55" s="206" t="str">
        <f>IF(AND($A55&gt;=SYear_O, $A55&lt;=EYear_O, BG$3&gt;0), BG$3 * VLOOKUP($A55, Data_All!$A$8:$CA$153, MATCH(BG$2, Data_All!$B$2:$CA$2, 0)+1), "")</f>
        <v/>
      </c>
      <c r="BH55" s="206" t="str">
        <f>IF(AND($A55&gt;=SYear_O, $A55&lt;=EYear_O, BH$3&gt;0), BH$3 * VLOOKUP($A55, Data_All!$A$8:$CA$153, MATCH(BH$2, Data_All!$B$2:$CA$2, 0)+1), "")</f>
        <v/>
      </c>
      <c r="BI55" s="206" t="str">
        <f>IF(AND($A55&gt;=SYear_O, $A55&lt;=EYear_O, BI$3&gt;0), BI$3 * VLOOKUP($A55, Data_All!$A$8:$CA$153, MATCH(BI$2, Data_All!$B$2:$CA$2, 0)+1), "")</f>
        <v/>
      </c>
      <c r="BJ55" s="206" t="str">
        <f>IF(AND($A55&gt;=SYear_O, $A55&lt;=EYear_O, BJ$3&gt;0), BJ$3 * VLOOKUP($A55, Data_All!$A$8:$CA$153, MATCH(BJ$2, Data_All!$B$2:$CA$2, 0)+1), "")</f>
        <v/>
      </c>
      <c r="BK55" s="206" t="str">
        <f>IF(AND($A55&gt;=SYear_O, $A55&lt;=EYear_O, BK$3&gt;0), BK$3 * VLOOKUP($A55, Data_All!$A$8:$CA$153, MATCH(BK$2, Data_All!$B$2:$CA$2, 0)+1), "")</f>
        <v/>
      </c>
      <c r="BL55" s="206" t="str">
        <f>IF(AND($A55&gt;=SYear_O, $A55&lt;=EYear_O, BL$3&gt;0), BL$3 * VLOOKUP($A55, Data_All!$A$8:$CA$153, MATCH(BL$2, Data_All!$B$2:$CA$2, 0)+1), "")</f>
        <v/>
      </c>
      <c r="BM55" s="206" t="str">
        <f>IF(AND($A55&gt;=SYear_O, $A55&lt;=EYear_O, BM$3&gt;0), BM$3 * VLOOKUP($A55, Data_All!$A$8:$CA$153, MATCH(BM$2, Data_All!$B$2:$CA$2, 0)+1), "")</f>
        <v/>
      </c>
      <c r="BN55" s="206" t="str">
        <f>IF(AND($A55&gt;=SYear_O, $A55&lt;=EYear_O, BN$3&gt;0), BN$3 * VLOOKUP($A55, Data_All!$A$8:$CA$153, MATCH(BN$2, Data_All!$B$2:$CA$2, 0)+1), "")</f>
        <v/>
      </c>
      <c r="BO55" s="206" t="str">
        <f>IF(AND($A55&gt;=SYear_O, $A55&lt;=EYear_O, BO$3&gt;0), BO$3 * VLOOKUP($A55, Data_All!$A$8:$CA$153, MATCH(BO$2, Data_All!$B$2:$CA$2, 0)+1), "")</f>
        <v/>
      </c>
      <c r="BP55" s="206" t="str">
        <f>IF(AND($A55&gt;=SYear_O, $A55&lt;=EYear_O, BP$3&gt;0), BP$3 * VLOOKUP($A55, Data_All!$A$8:$CA$153, MATCH(BP$2, Data_All!$B$2:$CA$2, 0)+1), "")</f>
        <v/>
      </c>
      <c r="BQ55" s="206" t="str">
        <f>IF(AND($A55&gt;=SYear_O, $A55&lt;=EYear_O, BQ$3&gt;0), BQ$3 * VLOOKUP($A55, Data_All!$A$8:$CA$153, MATCH(BQ$2, Data_All!$B$2:$CA$2, 0)+1), "")</f>
        <v/>
      </c>
      <c r="BR55" s="206" t="str">
        <f>IF(AND($A55&gt;=SYear_O, $A55&lt;=EYear_O, BR$3&gt;0), BR$3 * VLOOKUP($A55, Data_All!$A$8:$CA$153, MATCH(BR$2, Data_All!$B$2:$CA$2, 0)+1), "")</f>
        <v/>
      </c>
      <c r="BS55" s="206" t="str">
        <f>IF(AND($A55&gt;=SYear_O, $A55&lt;=EYear_O, BS$3&gt;0), BS$3 * VLOOKUP($A55, Data_All!$A$8:$CA$153, MATCH(BS$2, Data_All!$B$2:$CA$2, 0)+1), "")</f>
        <v/>
      </c>
      <c r="BT55" s="206" t="str">
        <f>IF(AND($A55&gt;=SYear_O, $A55&lt;=EYear_O, BT$3&gt;0), BT$3 * VLOOKUP($A55, Data_All!$A$8:$CA$153, MATCH(BT$2, Data_All!$B$2:$CA$2, 0)+1), "")</f>
        <v/>
      </c>
      <c r="BU55" s="206" t="str">
        <f>IF(AND($A55&gt;=SYear_O, $A55&lt;=EYear_O, BU$3&gt;0), BU$3 * VLOOKUP($A55, Data_All!$A$8:$CA$153, MATCH(BU$2, Data_All!$B$2:$CA$2, 0)+1), "")</f>
        <v/>
      </c>
      <c r="BV55" s="206" t="str">
        <f>IF(AND($A55&gt;=SYear_O, $A55&lt;=EYear_O, BV$3&gt;0), BV$3 * VLOOKUP($A55, Data_All!$A$8:$CA$153, MATCH(BV$2, Data_All!$B$2:$CA$2, 0)+1), "")</f>
        <v/>
      </c>
      <c r="BW55" s="206" t="str">
        <f>IF(AND($A55&gt;=SYear_O, $A55&lt;=EYear_O, BW$3&gt;0), BW$3 * VLOOKUP($A55, Data_All!$A$8:$CA$153, MATCH(BW$2, Data_All!$B$2:$CA$2, 0)+1), "")</f>
        <v/>
      </c>
      <c r="BX55" s="206">
        <f>IF(AND($A55&gt;=SYear_O, $A55&lt;=EYear_O, BX$3&gt;0), BX$3 * VLOOKUP($A55, Data_All!$A$8:$CA$153, MATCH(BX$2, Data_All!$B$2:$CA$2, 0)+1), "")</f>
        <v>11.541401273885347</v>
      </c>
      <c r="BY55" s="206">
        <f>IF(AND($A55&gt;=SYear_O, $A55&lt;=EYear_O, BY$3&gt;0), BY$3 * VLOOKUP($A55, Data_All!$A$8:$CA$153, MATCH(BY$2, Data_All!$B$2:$CA$2, 0)+1), "")</f>
        <v>7.1893843798784829E-2</v>
      </c>
      <c r="BZ55" s="206" t="str">
        <f>IF(AND($A55&gt;=SYear_O, $A55&lt;=EYear_O, BZ$3&gt;0), BZ$3 * VLOOKUP($A55, Data_All!$A$8:$CA$153, MATCH(BZ$2, Data_All!$B$2:$CA$2, 0)+1), "")</f>
        <v/>
      </c>
      <c r="CA55" s="565">
        <f t="shared" si="19"/>
        <v>11.613295117684132</v>
      </c>
      <c r="CB55" s="427">
        <f t="shared" si="20"/>
        <v>156672.64953521072</v>
      </c>
      <c r="CC55" s="565">
        <f>IF(AND($A55&gt;=SYear_O,$A55&lt;=EYear_O),(CA55-Data_All!CA56)/(1+Data_All!CA56%),"")</f>
        <v>-4.5793072828089025</v>
      </c>
      <c r="CD55" s="436">
        <f t="shared" si="21"/>
        <v>101180.17931805637</v>
      </c>
      <c r="CE55" s="438">
        <f t="shared" si="22"/>
        <v>14.210090048401227</v>
      </c>
      <c r="CF55" s="438">
        <f>IF(AND($A55&gt;=SYear_O,$A55&lt;=EYear_O),MAX($CE$7:CE55),"")</f>
        <v>14.210090048401227</v>
      </c>
      <c r="CG55" s="209">
        <f t="shared" si="23"/>
        <v>0</v>
      </c>
      <c r="CI55" s="143">
        <f>IF(AND($A55&gt;=SYear_O,$A55&lt;=EYear_O),Data_All!V56,"")</f>
        <v>5.4650814267159555</v>
      </c>
      <c r="CJ55" s="143">
        <f>IF(AND($A55&gt;=SYear_O,$A55&lt;=EYear_O),Data_All!CA56,"")</f>
        <v>16.969696969696969</v>
      </c>
      <c r="CK55" s="143">
        <f t="shared" si="24"/>
        <v>-9.8355521481443908</v>
      </c>
      <c r="CN55" s="61">
        <f t="shared" si="25"/>
        <v>0.11613295117684141</v>
      </c>
      <c r="CO55" s="61">
        <f t="shared" si="26"/>
        <v>4.8218412137507993E-2</v>
      </c>
      <c r="CP55" s="61">
        <f t="shared" si="27"/>
        <v>7.6235241614706073E-2</v>
      </c>
      <c r="CQ55" s="61">
        <f t="shared" si="28"/>
        <v>0.12994764387146973</v>
      </c>
      <c r="CR55" s="61">
        <f t="shared" si="29"/>
        <v>7.4288900993012108E-2</v>
      </c>
      <c r="CU55" s="61">
        <f t="shared" si="30"/>
        <v>-4.5793072828088977E-2</v>
      </c>
      <c r="CV55" s="61">
        <f t="shared" si="31"/>
        <v>3.9882326378694488E-2</v>
      </c>
      <c r="CW55" s="61">
        <f t="shared" si="32"/>
        <v>6.6092227931870751E-2</v>
      </c>
      <c r="CX55" s="61">
        <f t="shared" si="33"/>
        <v>0.1259188868005563</v>
      </c>
      <c r="CY55" s="61">
        <f t="shared" si="34"/>
        <v>9.0389740045061728E-2</v>
      </c>
    </row>
    <row r="56" spans="1:103">
      <c r="A56" s="204">
        <f t="shared" si="18"/>
        <v>1920</v>
      </c>
      <c r="B56" s="206" t="str">
        <f>IF(AND($A56&gt;=SYear_O, $A56&lt;=EYear_O, B$3&gt;0), B$3 * VLOOKUP($A56, Data_All!$A$8:$CA$153, MATCH(B$2, Data_All!$B$2:$CA$2, 0)+1), "")</f>
        <v/>
      </c>
      <c r="C56" s="206" t="str">
        <f>IF(AND($A56&gt;=SYear_O, $A56&lt;=EYear_O, C$3&gt;0), C$3 * VLOOKUP($A56, Data_All!$A$8:$CA$153, MATCH(C$2, Data_All!$B$2:$CA$2, 0)+1), "")</f>
        <v/>
      </c>
      <c r="D56" s="206" t="str">
        <f>IF(AND($A56&gt;=SYear_O, $A56&lt;=EYear_O, D$3&gt;0), D$3 * VLOOKUP($A56, Data_All!$A$8:$CA$153, MATCH(D$2, Data_All!$B$2:$CA$2, 0)+1), "")</f>
        <v/>
      </c>
      <c r="E56" s="206" t="str">
        <f>IF(AND($A56&gt;=SYear_O, $A56&lt;=EYear_O, E$3&gt;0), E$3 * VLOOKUP($A56, Data_All!$A$8:$CA$153, MATCH(E$2, Data_All!$B$2:$CA$2, 0)+1), "")</f>
        <v/>
      </c>
      <c r="F56" s="206" t="str">
        <f>IF(AND($A56&gt;=SYear_O, $A56&lt;=EYear_O, F$3&gt;0), F$3 * VLOOKUP($A56, Data_All!$A$8:$CA$153, MATCH(F$2, Data_All!$B$2:$CA$2, 0)+1), "")</f>
        <v/>
      </c>
      <c r="G56" s="206" t="str">
        <f>IF(AND($A56&gt;=SYear_O, $A56&lt;=EYear_O, G$3&gt;0), G$3 * VLOOKUP($A56, Data_All!$A$8:$CA$153, MATCH(G$2, Data_All!$B$2:$CA$2, 0)+1), "")</f>
        <v/>
      </c>
      <c r="H56" s="206" t="str">
        <f>IF(AND($A56&gt;=SYear_O, $A56&lt;=EYear_O, H$3&gt;0), H$3 * VLOOKUP($A56, Data_All!$A$8:$CA$153, MATCH(H$2, Data_All!$B$2:$CA$2, 0)+1), "")</f>
        <v/>
      </c>
      <c r="I56" s="206" t="str">
        <f>IF(AND($A56&gt;=SYear_O, $A56&lt;=EYear_O, I$3&gt;0), I$3 * VLOOKUP($A56, Data_All!$A$8:$CA$153, MATCH(I$2, Data_All!$B$2:$CA$2, 0)+1), "")</f>
        <v/>
      </c>
      <c r="J56" s="206" t="str">
        <f>IF(AND($A56&gt;=SYear_O, $A56&lt;=EYear_O, J$3&gt;0), J$3 * VLOOKUP($A56, Data_All!$A$8:$CA$153, MATCH(J$2, Data_All!$B$2:$CA$2, 0)+1), "")</f>
        <v/>
      </c>
      <c r="K56" s="206" t="str">
        <f>IF(AND($A56&gt;=SYear_O, $A56&lt;=EYear_O, K$3&gt;0), K$3 * VLOOKUP($A56, Data_All!$A$8:$CA$153, MATCH(K$2, Data_All!$B$2:$CA$2, 0)+1), "")</f>
        <v/>
      </c>
      <c r="L56" s="206" t="str">
        <f>IF(AND($A56&gt;=SYear_O, $A56&lt;=EYear_O, L$3&gt;0), L$3 * VLOOKUP($A56, Data_All!$A$8:$CA$153, MATCH(L$2, Data_All!$B$2:$CA$2, 0)+1), "")</f>
        <v/>
      </c>
      <c r="M56" s="206" t="str">
        <f>IF(AND($A56&gt;=SYear_O, $A56&lt;=EYear_O, M$3&gt;0), M$3 * VLOOKUP($A56, Data_All!$A$8:$CA$153, MATCH(M$2, Data_All!$B$2:$CA$2, 0)+1), "")</f>
        <v/>
      </c>
      <c r="N56" s="206" t="str">
        <f>IF(AND($A56&gt;=SYear_O, $A56&lt;=EYear_O, N$3&gt;0), N$3 * VLOOKUP($A56, Data_All!$A$8:$CA$153, MATCH(N$2, Data_All!$B$2:$CA$2, 0)+1), "")</f>
        <v/>
      </c>
      <c r="O56" s="206" t="str">
        <f>IF(AND($A56&gt;=SYear_O, $A56&lt;=EYear_O, O$3&gt;0), O$3 * VLOOKUP($A56, Data_All!$A$8:$CA$153, MATCH(O$2, Data_All!$B$2:$CA$2, 0)+1), "")</f>
        <v/>
      </c>
      <c r="P56" s="206" t="str">
        <f>IF(AND($A56&gt;=SYear_O, $A56&lt;=EYear_O, P$3&gt;0), P$3 * VLOOKUP($A56, Data_All!$A$8:$CA$153, MATCH(P$2, Data_All!$B$2:$CA$2, 0)+1), "")</f>
        <v/>
      </c>
      <c r="Q56" s="206" t="str">
        <f>IF(AND($A56&gt;=SYear_O, $A56&lt;=EYear_O, Q$3&gt;0), Q$3 * VLOOKUP($A56, Data_All!$A$8:$CA$153, MATCH(Q$2, Data_All!$B$2:$CA$2, 0)+1), "")</f>
        <v/>
      </c>
      <c r="R56" s="206" t="str">
        <f>IF(AND($A56&gt;=SYear_O, $A56&lt;=EYear_O, R$3&gt;0), R$3 * VLOOKUP($A56, Data_All!$A$8:$CA$153, MATCH(R$2, Data_All!$B$2:$CA$2, 0)+1), "")</f>
        <v/>
      </c>
      <c r="S56" s="206" t="str">
        <f>IF(AND($A56&gt;=SYear_O, $A56&lt;=EYear_O, S$3&gt;0), S$3 * VLOOKUP($A56, Data_All!$A$8:$CA$153, MATCH(S$2, Data_All!$B$2:$CA$2, 0)+1), "")</f>
        <v/>
      </c>
      <c r="T56" s="206" t="str">
        <f>IF(AND($A56&gt;=SYear_O, $A56&lt;=EYear_O, T$3&gt;0), T$3 * VLOOKUP($A56, Data_All!$A$8:$CA$153, MATCH(T$2, Data_All!$B$2:$CA$2, 0)+1), "")</f>
        <v/>
      </c>
      <c r="U56" s="206" t="str">
        <f>IF(AND($A56&gt;=SYear_O, $A56&lt;=EYear_O, U$3&gt;0), U$3 * VLOOKUP($A56, Data_All!$A$8:$CA$153, MATCH(U$2, Data_All!$B$2:$CA$2, 0)+1), "")</f>
        <v/>
      </c>
      <c r="V56" s="206" t="str">
        <f>IF(AND($A56&gt;=SYear_O, $A56&lt;=EYear_O, V$3&gt;0), V$3 * VLOOKUP($A56, Data_All!$A$8:$CA$153, MATCH(V$2, Data_All!$B$2:$CA$2, 0)+1), "")</f>
        <v/>
      </c>
      <c r="W56" s="206" t="str">
        <f>IF(AND($A56&gt;=SYear_O, $A56&lt;=EYear_O, W$3&gt;0), W$3 * VLOOKUP($A56, Data_All!$A$8:$CA$153, MATCH(W$2, Data_All!$B$2:$CA$2, 0)+1), "")</f>
        <v/>
      </c>
      <c r="X56" s="206" t="str">
        <f>IF(AND($A56&gt;=SYear_O, $A56&lt;=EYear_O, X$3&gt;0), X$3 * VLOOKUP($A56, Data_All!$A$8:$CA$153, MATCH(X$2, Data_All!$B$2:$CA$2, 0)+1), "")</f>
        <v/>
      </c>
      <c r="Y56" s="206" t="str">
        <f>IF(AND($A56&gt;=SYear_O, $A56&lt;=EYear_O, Y$3&gt;0), Y$3 * VLOOKUP($A56, Data_All!$A$8:$CA$153, MATCH(Y$2, Data_All!$B$2:$CA$2, 0)+1), "")</f>
        <v/>
      </c>
      <c r="Z56" s="206" t="str">
        <f>IF(AND($A56&gt;=SYear_O, $A56&lt;=EYear_O, Z$3&gt;0), Z$3 * VLOOKUP($A56, Data_All!$A$8:$CA$153, MATCH(Z$2, Data_All!$B$2:$CA$2, 0)+1), "")</f>
        <v/>
      </c>
      <c r="AA56" s="206" t="str">
        <f>IF(AND($A56&gt;=SYear_O, $A56&lt;=EYear_O, AA$3&gt;0), AA$3 * VLOOKUP($A56, Data_All!$A$8:$CA$153, MATCH(AA$2, Data_All!$B$2:$CA$2, 0)+1), "")</f>
        <v/>
      </c>
      <c r="AB56" s="206" t="str">
        <f>IF(AND($A56&gt;=SYear_O, $A56&lt;=EYear_O, AB$3&gt;0), AB$3 * VLOOKUP($A56, Data_All!$A$8:$CA$153, MATCH(AB$2, Data_All!$B$2:$CA$2, 0)+1), "")</f>
        <v/>
      </c>
      <c r="AC56" s="206" t="str">
        <f>IF(AND($A56&gt;=SYear_O, $A56&lt;=EYear_O, AC$3&gt;0), AC$3 * VLOOKUP($A56, Data_All!$A$8:$CA$153, MATCH(AC$2, Data_All!$B$2:$CA$2, 0)+1), "")</f>
        <v/>
      </c>
      <c r="AD56" s="206" t="str">
        <f>IF(AND($A56&gt;=SYear_O, $A56&lt;=EYear_O, AD$3&gt;0), AD$3 * VLOOKUP($A56, Data_All!$A$8:$CA$153, MATCH(AD$2, Data_All!$B$2:$CA$2, 0)+1), "")</f>
        <v/>
      </c>
      <c r="AE56" s="206" t="str">
        <f>IF(AND($A56&gt;=SYear_O, $A56&lt;=EYear_O, AE$3&gt;0), AE$3 * VLOOKUP($A56, Data_All!$A$8:$CA$153, MATCH(AE$2, Data_All!$B$2:$CA$2, 0)+1), "")</f>
        <v/>
      </c>
      <c r="AF56" s="206" t="str">
        <f>IF(AND($A56&gt;=SYear_O, $A56&lt;=EYear_O, AF$3&gt;0), AF$3 * VLOOKUP($A56, Data_All!$A$8:$CA$153, MATCH(AF$2, Data_All!$B$2:$CA$2, 0)+1), "")</f>
        <v/>
      </c>
      <c r="AG56" s="206" t="str">
        <f>IF(AND($A56&gt;=SYear_O, $A56&lt;=EYear_O, AG$3&gt;0), AG$3 * VLOOKUP($A56, Data_All!$A$8:$CA$153, MATCH(AG$2, Data_All!$B$2:$CA$2, 0)+1), "")</f>
        <v/>
      </c>
      <c r="AH56" s="206" t="str">
        <f>IF(AND($A56&gt;=SYear_O, $A56&lt;=EYear_O, AH$3&gt;0), AH$3 * VLOOKUP($A56, Data_All!$A$8:$CA$153, MATCH(AH$2, Data_All!$B$2:$CA$2, 0)+1), "")</f>
        <v/>
      </c>
      <c r="AI56" s="206" t="str">
        <f>IF(AND($A56&gt;=SYear_O, $A56&lt;=EYear_O, AI$3&gt;0), AI$3 * VLOOKUP($A56, Data_All!$A$8:$CA$153, MATCH(AI$2, Data_All!$B$2:$CA$2, 0)+1), "")</f>
        <v/>
      </c>
      <c r="AJ56" s="206" t="str">
        <f>IF(AND($A56&gt;=SYear_O, $A56&lt;=EYear_O, AJ$3&gt;0), AJ$3 * VLOOKUP($A56, Data_All!$A$8:$CA$153, MATCH(AJ$2, Data_All!$B$2:$CA$2, 0)+1), "")</f>
        <v/>
      </c>
      <c r="AK56" s="206" t="str">
        <f>IF(AND($A56&gt;=SYear_O, $A56&lt;=EYear_O, AK$3&gt;0), AK$3 * VLOOKUP($A56, Data_All!$A$8:$CA$153, MATCH(AK$2, Data_All!$B$2:$CA$2, 0)+1), "")</f>
        <v/>
      </c>
      <c r="AL56" s="206" t="str">
        <f>IF(AND($A56&gt;=SYear_O, $A56&lt;=EYear_O, AL$3&gt;0), AL$3 * VLOOKUP($A56, Data_All!$A$8:$CA$153, MATCH(AL$2, Data_All!$B$2:$CA$2, 0)+1), "")</f>
        <v/>
      </c>
      <c r="AM56" s="206" t="str">
        <f>IF(AND($A56&gt;=SYear_O, $A56&lt;=EYear_O, AM$3&gt;0), AM$3 * VLOOKUP($A56, Data_All!$A$8:$CA$153, MATCH(AM$2, Data_All!$B$2:$CA$2, 0)+1), "")</f>
        <v/>
      </c>
      <c r="AN56" s="206" t="str">
        <f>IF(AND($A56&gt;=SYear_O, $A56&lt;=EYear_O, AN$3&gt;0), AN$3 * VLOOKUP($A56, Data_All!$A$8:$CA$153, MATCH(AN$2, Data_All!$B$2:$CA$2, 0)+1), "")</f>
        <v/>
      </c>
      <c r="AO56" s="206" t="str">
        <f>IF(AND($A56&gt;=SYear_O, $A56&lt;=EYear_O, AO$3&gt;0), AO$3 * VLOOKUP($A56, Data_All!$A$8:$CA$153, MATCH(AO$2, Data_All!$B$2:$CA$2, 0)+1), "")</f>
        <v/>
      </c>
      <c r="AP56" s="206" t="str">
        <f>IF(AND($A56&gt;=SYear_O, $A56&lt;=EYear_O, AP$3&gt;0), AP$3 * VLOOKUP($A56, Data_All!$A$8:$CA$153, MATCH(AP$2, Data_All!$B$2:$CA$2, 0)+1), "")</f>
        <v/>
      </c>
      <c r="AQ56" s="206" t="str">
        <f>IF(AND($A56&gt;=SYear_O, $A56&lt;=EYear_O, AQ$3&gt;0), AQ$3 * VLOOKUP($A56, Data_All!$A$8:$CA$153, MATCH(AQ$2, Data_All!$B$2:$CA$2, 0)+1), "")</f>
        <v/>
      </c>
      <c r="AR56" s="206" t="str">
        <f>IF(AND($A56&gt;=SYear_O, $A56&lt;=EYear_O, AR$3&gt;0), AR$3 * VLOOKUP($A56, Data_All!$A$8:$CA$153, MATCH(AR$2, Data_All!$B$2:$CA$2, 0)+1), "")</f>
        <v/>
      </c>
      <c r="AS56" s="206" t="str">
        <f>IF(AND($A56&gt;=SYear_O, $A56&lt;=EYear_O, AS$3&gt;0), AS$3 * VLOOKUP($A56, Data_All!$A$8:$CA$153, MATCH(AS$2, Data_All!$B$2:$CA$2, 0)+1), "")</f>
        <v/>
      </c>
      <c r="AT56" s="206" t="str">
        <f>IF(AND($A56&gt;=SYear_O, $A56&lt;=EYear_O, AT$3&gt;0), AT$3 * VLOOKUP($A56, Data_All!$A$8:$CA$153, MATCH(AT$2, Data_All!$B$2:$CA$2, 0)+1), "")</f>
        <v/>
      </c>
      <c r="AU56" s="206" t="str">
        <f>IF(AND($A56&gt;=SYear_O, $A56&lt;=EYear_O, AU$3&gt;0), AU$3 * VLOOKUP($A56, Data_All!$A$8:$CA$153, MATCH(AU$2, Data_All!$B$2:$CA$2, 0)+1), "")</f>
        <v/>
      </c>
      <c r="AV56" s="206" t="str">
        <f>IF(AND($A56&gt;=SYear_O, $A56&lt;=EYear_O, AV$3&gt;0), AV$3 * VLOOKUP($A56, Data_All!$A$8:$CA$153, MATCH(AV$2, Data_All!$B$2:$CA$2, 0)+1), "")</f>
        <v/>
      </c>
      <c r="AW56" s="206" t="str">
        <f>IF(AND($A56&gt;=SYear_O, $A56&lt;=EYear_O, AW$3&gt;0), AW$3 * VLOOKUP($A56, Data_All!$A$8:$CA$153, MATCH(AW$2, Data_All!$B$2:$CA$2, 0)+1), "")</f>
        <v/>
      </c>
      <c r="AX56" s="206" t="str">
        <f>IF(AND($A56&gt;=SYear_O, $A56&lt;=EYear_O, AX$3&gt;0), AX$3 * VLOOKUP($A56, Data_All!$A$8:$CA$153, MATCH(AX$2, Data_All!$B$2:$CA$2, 0)+1), "")</f>
        <v/>
      </c>
      <c r="AY56" s="206" t="str">
        <f>IF(AND($A56&gt;=SYear_O, $A56&lt;=EYear_O, AY$3&gt;0), AY$3 * VLOOKUP($A56, Data_All!$A$8:$CA$153, MATCH(AY$2, Data_All!$B$2:$CA$2, 0)+1), "")</f>
        <v/>
      </c>
      <c r="AZ56" s="206" t="str">
        <f>IF(AND($A56&gt;=SYear_O, $A56&lt;=EYear_O, AZ$3&gt;0), AZ$3 * VLOOKUP($A56, Data_All!$A$8:$CA$153, MATCH(AZ$2, Data_All!$B$2:$CA$2, 0)+1), "")</f>
        <v/>
      </c>
      <c r="BA56" s="206" t="str">
        <f>IF(AND($A56&gt;=SYear_O, $A56&lt;=EYear_O, BA$3&gt;0), BA$3 * VLOOKUP($A56, Data_All!$A$8:$CA$153, MATCH(BA$2, Data_All!$B$2:$CA$2, 0)+1), "")</f>
        <v/>
      </c>
      <c r="BB56" s="206" t="str">
        <f>IF(AND($A56&gt;=SYear_O, $A56&lt;=EYear_O, BB$3&gt;0), BB$3 * VLOOKUP($A56, Data_All!$A$8:$CA$153, MATCH(BB$2, Data_All!$B$2:$CA$2, 0)+1), "")</f>
        <v/>
      </c>
      <c r="BC56" s="206" t="str">
        <f>IF(AND($A56&gt;=SYear_O, $A56&lt;=EYear_O, BC$3&gt;0), BC$3 * VLOOKUP($A56, Data_All!$A$8:$CA$153, MATCH(BC$2, Data_All!$B$2:$CA$2, 0)+1), "")</f>
        <v/>
      </c>
      <c r="BD56" s="206" t="str">
        <f>IF(AND($A56&gt;=SYear_O, $A56&lt;=EYear_O, BD$3&gt;0), BD$3 * VLOOKUP($A56, Data_All!$A$8:$CA$153, MATCH(BD$2, Data_All!$B$2:$CA$2, 0)+1), "")</f>
        <v/>
      </c>
      <c r="BE56" s="206" t="str">
        <f>IF(AND($A56&gt;=SYear_O, $A56&lt;=EYear_O, BE$3&gt;0), BE$3 * VLOOKUP($A56, Data_All!$A$8:$CA$153, MATCH(BE$2, Data_All!$B$2:$CA$2, 0)+1), "")</f>
        <v/>
      </c>
      <c r="BF56" s="206" t="str">
        <f>IF(AND($A56&gt;=SYear_O, $A56&lt;=EYear_O, BF$3&gt;0), BF$3 * VLOOKUP($A56, Data_All!$A$8:$CA$153, MATCH(BF$2, Data_All!$B$2:$CA$2, 0)+1), "")</f>
        <v/>
      </c>
      <c r="BG56" s="206" t="str">
        <f>IF(AND($A56&gt;=SYear_O, $A56&lt;=EYear_O, BG$3&gt;0), BG$3 * VLOOKUP($A56, Data_All!$A$8:$CA$153, MATCH(BG$2, Data_All!$B$2:$CA$2, 0)+1), "")</f>
        <v/>
      </c>
      <c r="BH56" s="206" t="str">
        <f>IF(AND($A56&gt;=SYear_O, $A56&lt;=EYear_O, BH$3&gt;0), BH$3 * VLOOKUP($A56, Data_All!$A$8:$CA$153, MATCH(BH$2, Data_All!$B$2:$CA$2, 0)+1), "")</f>
        <v/>
      </c>
      <c r="BI56" s="206" t="str">
        <f>IF(AND($A56&gt;=SYear_O, $A56&lt;=EYear_O, BI$3&gt;0), BI$3 * VLOOKUP($A56, Data_All!$A$8:$CA$153, MATCH(BI$2, Data_All!$B$2:$CA$2, 0)+1), "")</f>
        <v/>
      </c>
      <c r="BJ56" s="206" t="str">
        <f>IF(AND($A56&gt;=SYear_O, $A56&lt;=EYear_O, BJ$3&gt;0), BJ$3 * VLOOKUP($A56, Data_All!$A$8:$CA$153, MATCH(BJ$2, Data_All!$B$2:$CA$2, 0)+1), "")</f>
        <v/>
      </c>
      <c r="BK56" s="206" t="str">
        <f>IF(AND($A56&gt;=SYear_O, $A56&lt;=EYear_O, BK$3&gt;0), BK$3 * VLOOKUP($A56, Data_All!$A$8:$CA$153, MATCH(BK$2, Data_All!$B$2:$CA$2, 0)+1), "")</f>
        <v/>
      </c>
      <c r="BL56" s="206" t="str">
        <f>IF(AND($A56&gt;=SYear_O, $A56&lt;=EYear_O, BL$3&gt;0), BL$3 * VLOOKUP($A56, Data_All!$A$8:$CA$153, MATCH(BL$2, Data_All!$B$2:$CA$2, 0)+1), "")</f>
        <v/>
      </c>
      <c r="BM56" s="206" t="str">
        <f>IF(AND($A56&gt;=SYear_O, $A56&lt;=EYear_O, BM$3&gt;0), BM$3 * VLOOKUP($A56, Data_All!$A$8:$CA$153, MATCH(BM$2, Data_All!$B$2:$CA$2, 0)+1), "")</f>
        <v/>
      </c>
      <c r="BN56" s="206" t="str">
        <f>IF(AND($A56&gt;=SYear_O, $A56&lt;=EYear_O, BN$3&gt;0), BN$3 * VLOOKUP($A56, Data_All!$A$8:$CA$153, MATCH(BN$2, Data_All!$B$2:$CA$2, 0)+1), "")</f>
        <v/>
      </c>
      <c r="BO56" s="206" t="str">
        <f>IF(AND($A56&gt;=SYear_O, $A56&lt;=EYear_O, BO$3&gt;0), BO$3 * VLOOKUP($A56, Data_All!$A$8:$CA$153, MATCH(BO$2, Data_All!$B$2:$CA$2, 0)+1), "")</f>
        <v/>
      </c>
      <c r="BP56" s="206" t="str">
        <f>IF(AND($A56&gt;=SYear_O, $A56&lt;=EYear_O, BP$3&gt;0), BP$3 * VLOOKUP($A56, Data_All!$A$8:$CA$153, MATCH(BP$2, Data_All!$B$2:$CA$2, 0)+1), "")</f>
        <v/>
      </c>
      <c r="BQ56" s="206" t="str">
        <f>IF(AND($A56&gt;=SYear_O, $A56&lt;=EYear_O, BQ$3&gt;0), BQ$3 * VLOOKUP($A56, Data_All!$A$8:$CA$153, MATCH(BQ$2, Data_All!$B$2:$CA$2, 0)+1), "")</f>
        <v/>
      </c>
      <c r="BR56" s="206" t="str">
        <f>IF(AND($A56&gt;=SYear_O, $A56&lt;=EYear_O, BR$3&gt;0), BR$3 * VLOOKUP($A56, Data_All!$A$8:$CA$153, MATCH(BR$2, Data_All!$B$2:$CA$2, 0)+1), "")</f>
        <v/>
      </c>
      <c r="BS56" s="206" t="str">
        <f>IF(AND($A56&gt;=SYear_O, $A56&lt;=EYear_O, BS$3&gt;0), BS$3 * VLOOKUP($A56, Data_All!$A$8:$CA$153, MATCH(BS$2, Data_All!$B$2:$CA$2, 0)+1), "")</f>
        <v/>
      </c>
      <c r="BT56" s="206" t="str">
        <f>IF(AND($A56&gt;=SYear_O, $A56&lt;=EYear_O, BT$3&gt;0), BT$3 * VLOOKUP($A56, Data_All!$A$8:$CA$153, MATCH(BT$2, Data_All!$B$2:$CA$2, 0)+1), "")</f>
        <v/>
      </c>
      <c r="BU56" s="206" t="str">
        <f>IF(AND($A56&gt;=SYear_O, $A56&lt;=EYear_O, BU$3&gt;0), BU$3 * VLOOKUP($A56, Data_All!$A$8:$CA$153, MATCH(BU$2, Data_All!$B$2:$CA$2, 0)+1), "")</f>
        <v/>
      </c>
      <c r="BV56" s="206" t="str">
        <f>IF(AND($A56&gt;=SYear_O, $A56&lt;=EYear_O, BV$3&gt;0), BV$3 * VLOOKUP($A56, Data_All!$A$8:$CA$153, MATCH(BV$2, Data_All!$B$2:$CA$2, 0)+1), "")</f>
        <v/>
      </c>
      <c r="BW56" s="206" t="str">
        <f>IF(AND($A56&gt;=SYear_O, $A56&lt;=EYear_O, BW$3&gt;0), BW$3 * VLOOKUP($A56, Data_All!$A$8:$CA$153, MATCH(BW$2, Data_All!$B$2:$CA$2, 0)+1), "")</f>
        <v/>
      </c>
      <c r="BX56" s="206">
        <f>IF(AND($A56&gt;=SYear_O, $A56&lt;=EYear_O, BX$3&gt;0), BX$3 * VLOOKUP($A56, Data_All!$A$8:$CA$153, MATCH(BX$2, Data_All!$B$2:$CA$2, 0)+1), "")</f>
        <v>-8.2219705549263864</v>
      </c>
      <c r="BY56" s="206">
        <f>IF(AND($A56&gt;=SYear_O, $A56&lt;=EYear_O, BY$3&gt;0), BY$3 * VLOOKUP($A56, Data_All!$A$8:$CA$153, MATCH(BY$2, Data_All!$B$2:$CA$2, 0)+1), "")</f>
        <v>1.6883649570401982</v>
      </c>
      <c r="BZ56" s="206" t="str">
        <f>IF(AND($A56&gt;=SYear_O, $A56&lt;=EYear_O, BZ$3&gt;0), BZ$3 * VLOOKUP($A56, Data_All!$A$8:$CA$153, MATCH(BZ$2, Data_All!$B$2:$CA$2, 0)+1), "")</f>
        <v/>
      </c>
      <c r="CA56" s="565">
        <f t="shared" si="19"/>
        <v>-6.5336055978861882</v>
      </c>
      <c r="CB56" s="427">
        <f t="shared" si="20"/>
        <v>146436.27653482158</v>
      </c>
      <c r="CC56" s="565">
        <f>IF(AND($A56&gt;=SYear_O,$A56&lt;=EYear_O),(CA56-Data_All!CA57)/(1+Data_All!CA57%),"")</f>
        <v>-5.0578204231159649</v>
      </c>
      <c r="CD56" s="436">
        <f t="shared" si="21"/>
        <v>96062.667544362354</v>
      </c>
      <c r="CE56" s="438">
        <f t="shared" si="22"/>
        <v>13.281658809534218</v>
      </c>
      <c r="CF56" s="438">
        <f>IF(AND($A56&gt;=SYear_O,$A56&lt;=EYear_O),MAX($CE$7:CE56),"")</f>
        <v>14.210090048401227</v>
      </c>
      <c r="CG56" s="209">
        <f t="shared" si="23"/>
        <v>6.5336055978861829E-2</v>
      </c>
      <c r="CI56" s="143">
        <f>IF(AND($A56&gt;=SYear_O,$A56&lt;=EYear_O),Data_All!V57,"")</f>
        <v>7.2035168348486369</v>
      </c>
      <c r="CJ56" s="143">
        <f>IF(AND($A56&gt;=SYear_O,$A56&lt;=EYear_O),Data_All!CA57,"")</f>
        <v>-1.5544041450777257</v>
      </c>
      <c r="CK56" s="143">
        <f t="shared" si="24"/>
        <v>8.8962039427673059</v>
      </c>
      <c r="CN56" s="61">
        <f t="shared" si="25"/>
        <v>-6.533605597886194E-2</v>
      </c>
      <c r="CO56" s="61">
        <f t="shared" si="26"/>
        <v>7.0008233900488159E-2</v>
      </c>
      <c r="CP56" s="61">
        <f t="shared" si="27"/>
        <v>8.7913789540691178E-2</v>
      </c>
      <c r="CQ56" s="61">
        <f t="shared" si="28"/>
        <v>0.11512889914869606</v>
      </c>
      <c r="CR56" s="61">
        <f t="shared" si="29"/>
        <v>6.4420455146934508E-2</v>
      </c>
      <c r="CU56" s="61">
        <f t="shared" si="30"/>
        <v>-5.0578204231159662E-2</v>
      </c>
      <c r="CV56" s="61">
        <f t="shared" si="31"/>
        <v>0.12064948383366025</v>
      </c>
      <c r="CW56" s="61">
        <f t="shared" si="32"/>
        <v>0.11197935123331981</v>
      </c>
      <c r="CX56" s="61">
        <f t="shared" si="33"/>
        <v>0.12870692810469553</v>
      </c>
      <c r="CY56" s="61">
        <f t="shared" si="34"/>
        <v>8.9551522528852345E-2</v>
      </c>
    </row>
    <row r="57" spans="1:103">
      <c r="A57" s="204">
        <f t="shared" si="18"/>
        <v>1921</v>
      </c>
      <c r="B57" s="206" t="str">
        <f>IF(AND($A57&gt;=SYear_O, $A57&lt;=EYear_O, B$3&gt;0), B$3 * VLOOKUP($A57, Data_All!$A$8:$CA$153, MATCH(B$2, Data_All!$B$2:$CA$2, 0)+1), "")</f>
        <v/>
      </c>
      <c r="C57" s="206" t="str">
        <f>IF(AND($A57&gt;=SYear_O, $A57&lt;=EYear_O, C$3&gt;0), C$3 * VLOOKUP($A57, Data_All!$A$8:$CA$153, MATCH(C$2, Data_All!$B$2:$CA$2, 0)+1), "")</f>
        <v/>
      </c>
      <c r="D57" s="206" t="str">
        <f>IF(AND($A57&gt;=SYear_O, $A57&lt;=EYear_O, D$3&gt;0), D$3 * VLOOKUP($A57, Data_All!$A$8:$CA$153, MATCH(D$2, Data_All!$B$2:$CA$2, 0)+1), "")</f>
        <v/>
      </c>
      <c r="E57" s="206" t="str">
        <f>IF(AND($A57&gt;=SYear_O, $A57&lt;=EYear_O, E$3&gt;0), E$3 * VLOOKUP($A57, Data_All!$A$8:$CA$153, MATCH(E$2, Data_All!$B$2:$CA$2, 0)+1), "")</f>
        <v/>
      </c>
      <c r="F57" s="206" t="str">
        <f>IF(AND($A57&gt;=SYear_O, $A57&lt;=EYear_O, F$3&gt;0), F$3 * VLOOKUP($A57, Data_All!$A$8:$CA$153, MATCH(F$2, Data_All!$B$2:$CA$2, 0)+1), "")</f>
        <v/>
      </c>
      <c r="G57" s="206" t="str">
        <f>IF(AND($A57&gt;=SYear_O, $A57&lt;=EYear_O, G$3&gt;0), G$3 * VLOOKUP($A57, Data_All!$A$8:$CA$153, MATCH(G$2, Data_All!$B$2:$CA$2, 0)+1), "")</f>
        <v/>
      </c>
      <c r="H57" s="206" t="str">
        <f>IF(AND($A57&gt;=SYear_O, $A57&lt;=EYear_O, H$3&gt;0), H$3 * VLOOKUP($A57, Data_All!$A$8:$CA$153, MATCH(H$2, Data_All!$B$2:$CA$2, 0)+1), "")</f>
        <v/>
      </c>
      <c r="I57" s="206" t="str">
        <f>IF(AND($A57&gt;=SYear_O, $A57&lt;=EYear_O, I$3&gt;0), I$3 * VLOOKUP($A57, Data_All!$A$8:$CA$153, MATCH(I$2, Data_All!$B$2:$CA$2, 0)+1), "")</f>
        <v/>
      </c>
      <c r="J57" s="206" t="str">
        <f>IF(AND($A57&gt;=SYear_O, $A57&lt;=EYear_O, J$3&gt;0), J$3 * VLOOKUP($A57, Data_All!$A$8:$CA$153, MATCH(J$2, Data_All!$B$2:$CA$2, 0)+1), "")</f>
        <v/>
      </c>
      <c r="K57" s="206" t="str">
        <f>IF(AND($A57&gt;=SYear_O, $A57&lt;=EYear_O, K$3&gt;0), K$3 * VLOOKUP($A57, Data_All!$A$8:$CA$153, MATCH(K$2, Data_All!$B$2:$CA$2, 0)+1), "")</f>
        <v/>
      </c>
      <c r="L57" s="206" t="str">
        <f>IF(AND($A57&gt;=SYear_O, $A57&lt;=EYear_O, L$3&gt;0), L$3 * VLOOKUP($A57, Data_All!$A$8:$CA$153, MATCH(L$2, Data_All!$B$2:$CA$2, 0)+1), "")</f>
        <v/>
      </c>
      <c r="M57" s="206" t="str">
        <f>IF(AND($A57&gt;=SYear_O, $A57&lt;=EYear_O, M$3&gt;0), M$3 * VLOOKUP($A57, Data_All!$A$8:$CA$153, MATCH(M$2, Data_All!$B$2:$CA$2, 0)+1), "")</f>
        <v/>
      </c>
      <c r="N57" s="206" t="str">
        <f>IF(AND($A57&gt;=SYear_O, $A57&lt;=EYear_O, N$3&gt;0), N$3 * VLOOKUP($A57, Data_All!$A$8:$CA$153, MATCH(N$2, Data_All!$B$2:$CA$2, 0)+1), "")</f>
        <v/>
      </c>
      <c r="O57" s="206" t="str">
        <f>IF(AND($A57&gt;=SYear_O, $A57&lt;=EYear_O, O$3&gt;0), O$3 * VLOOKUP($A57, Data_All!$A$8:$CA$153, MATCH(O$2, Data_All!$B$2:$CA$2, 0)+1), "")</f>
        <v/>
      </c>
      <c r="P57" s="206" t="str">
        <f>IF(AND($A57&gt;=SYear_O, $A57&lt;=EYear_O, P$3&gt;0), P$3 * VLOOKUP($A57, Data_All!$A$8:$CA$153, MATCH(P$2, Data_All!$B$2:$CA$2, 0)+1), "")</f>
        <v/>
      </c>
      <c r="Q57" s="206" t="str">
        <f>IF(AND($A57&gt;=SYear_O, $A57&lt;=EYear_O, Q$3&gt;0), Q$3 * VLOOKUP($A57, Data_All!$A$8:$CA$153, MATCH(Q$2, Data_All!$B$2:$CA$2, 0)+1), "")</f>
        <v/>
      </c>
      <c r="R57" s="206" t="str">
        <f>IF(AND($A57&gt;=SYear_O, $A57&lt;=EYear_O, R$3&gt;0), R$3 * VLOOKUP($A57, Data_All!$A$8:$CA$153, MATCH(R$2, Data_All!$B$2:$CA$2, 0)+1), "")</f>
        <v/>
      </c>
      <c r="S57" s="206" t="str">
        <f>IF(AND($A57&gt;=SYear_O, $A57&lt;=EYear_O, S$3&gt;0), S$3 * VLOOKUP($A57, Data_All!$A$8:$CA$153, MATCH(S$2, Data_All!$B$2:$CA$2, 0)+1), "")</f>
        <v/>
      </c>
      <c r="T57" s="206" t="str">
        <f>IF(AND($A57&gt;=SYear_O, $A57&lt;=EYear_O, T$3&gt;0), T$3 * VLOOKUP($A57, Data_All!$A$8:$CA$153, MATCH(T$2, Data_All!$B$2:$CA$2, 0)+1), "")</f>
        <v/>
      </c>
      <c r="U57" s="206" t="str">
        <f>IF(AND($A57&gt;=SYear_O, $A57&lt;=EYear_O, U$3&gt;0), U$3 * VLOOKUP($A57, Data_All!$A$8:$CA$153, MATCH(U$2, Data_All!$B$2:$CA$2, 0)+1), "")</f>
        <v/>
      </c>
      <c r="V57" s="206" t="str">
        <f>IF(AND($A57&gt;=SYear_O, $A57&lt;=EYear_O, V$3&gt;0), V$3 * VLOOKUP($A57, Data_All!$A$8:$CA$153, MATCH(V$2, Data_All!$B$2:$CA$2, 0)+1), "")</f>
        <v/>
      </c>
      <c r="W57" s="206" t="str">
        <f>IF(AND($A57&gt;=SYear_O, $A57&lt;=EYear_O, W$3&gt;0), W$3 * VLOOKUP($A57, Data_All!$A$8:$CA$153, MATCH(W$2, Data_All!$B$2:$CA$2, 0)+1), "")</f>
        <v/>
      </c>
      <c r="X57" s="206" t="str">
        <f>IF(AND($A57&gt;=SYear_O, $A57&lt;=EYear_O, X$3&gt;0), X$3 * VLOOKUP($A57, Data_All!$A$8:$CA$153, MATCH(X$2, Data_All!$B$2:$CA$2, 0)+1), "")</f>
        <v/>
      </c>
      <c r="Y57" s="206" t="str">
        <f>IF(AND($A57&gt;=SYear_O, $A57&lt;=EYear_O, Y$3&gt;0), Y$3 * VLOOKUP($A57, Data_All!$A$8:$CA$153, MATCH(Y$2, Data_All!$B$2:$CA$2, 0)+1), "")</f>
        <v/>
      </c>
      <c r="Z57" s="206" t="str">
        <f>IF(AND($A57&gt;=SYear_O, $A57&lt;=EYear_O, Z$3&gt;0), Z$3 * VLOOKUP($A57, Data_All!$A$8:$CA$153, MATCH(Z$2, Data_All!$B$2:$CA$2, 0)+1), "")</f>
        <v/>
      </c>
      <c r="AA57" s="206" t="str">
        <f>IF(AND($A57&gt;=SYear_O, $A57&lt;=EYear_O, AA$3&gt;0), AA$3 * VLOOKUP($A57, Data_All!$A$8:$CA$153, MATCH(AA$2, Data_All!$B$2:$CA$2, 0)+1), "")</f>
        <v/>
      </c>
      <c r="AB57" s="206" t="str">
        <f>IF(AND($A57&gt;=SYear_O, $A57&lt;=EYear_O, AB$3&gt;0), AB$3 * VLOOKUP($A57, Data_All!$A$8:$CA$153, MATCH(AB$2, Data_All!$B$2:$CA$2, 0)+1), "")</f>
        <v/>
      </c>
      <c r="AC57" s="206" t="str">
        <f>IF(AND($A57&gt;=SYear_O, $A57&lt;=EYear_O, AC$3&gt;0), AC$3 * VLOOKUP($A57, Data_All!$A$8:$CA$153, MATCH(AC$2, Data_All!$B$2:$CA$2, 0)+1), "")</f>
        <v/>
      </c>
      <c r="AD57" s="206" t="str">
        <f>IF(AND($A57&gt;=SYear_O, $A57&lt;=EYear_O, AD$3&gt;0), AD$3 * VLOOKUP($A57, Data_All!$A$8:$CA$153, MATCH(AD$2, Data_All!$B$2:$CA$2, 0)+1), "")</f>
        <v/>
      </c>
      <c r="AE57" s="206" t="str">
        <f>IF(AND($A57&gt;=SYear_O, $A57&lt;=EYear_O, AE$3&gt;0), AE$3 * VLOOKUP($A57, Data_All!$A$8:$CA$153, MATCH(AE$2, Data_All!$B$2:$CA$2, 0)+1), "")</f>
        <v/>
      </c>
      <c r="AF57" s="206" t="str">
        <f>IF(AND($A57&gt;=SYear_O, $A57&lt;=EYear_O, AF$3&gt;0), AF$3 * VLOOKUP($A57, Data_All!$A$8:$CA$153, MATCH(AF$2, Data_All!$B$2:$CA$2, 0)+1), "")</f>
        <v/>
      </c>
      <c r="AG57" s="206" t="str">
        <f>IF(AND($A57&gt;=SYear_O, $A57&lt;=EYear_O, AG$3&gt;0), AG$3 * VLOOKUP($A57, Data_All!$A$8:$CA$153, MATCH(AG$2, Data_All!$B$2:$CA$2, 0)+1), "")</f>
        <v/>
      </c>
      <c r="AH57" s="206" t="str">
        <f>IF(AND($A57&gt;=SYear_O, $A57&lt;=EYear_O, AH$3&gt;0), AH$3 * VLOOKUP($A57, Data_All!$A$8:$CA$153, MATCH(AH$2, Data_All!$B$2:$CA$2, 0)+1), "")</f>
        <v/>
      </c>
      <c r="AI57" s="206" t="str">
        <f>IF(AND($A57&gt;=SYear_O, $A57&lt;=EYear_O, AI$3&gt;0), AI$3 * VLOOKUP($A57, Data_All!$A$8:$CA$153, MATCH(AI$2, Data_All!$B$2:$CA$2, 0)+1), "")</f>
        <v/>
      </c>
      <c r="AJ57" s="206" t="str">
        <f>IF(AND($A57&gt;=SYear_O, $A57&lt;=EYear_O, AJ$3&gt;0), AJ$3 * VLOOKUP($A57, Data_All!$A$8:$CA$153, MATCH(AJ$2, Data_All!$B$2:$CA$2, 0)+1), "")</f>
        <v/>
      </c>
      <c r="AK57" s="206" t="str">
        <f>IF(AND($A57&gt;=SYear_O, $A57&lt;=EYear_O, AK$3&gt;0), AK$3 * VLOOKUP($A57, Data_All!$A$8:$CA$153, MATCH(AK$2, Data_All!$B$2:$CA$2, 0)+1), "")</f>
        <v/>
      </c>
      <c r="AL57" s="206" t="str">
        <f>IF(AND($A57&gt;=SYear_O, $A57&lt;=EYear_O, AL$3&gt;0), AL$3 * VLOOKUP($A57, Data_All!$A$8:$CA$153, MATCH(AL$2, Data_All!$B$2:$CA$2, 0)+1), "")</f>
        <v/>
      </c>
      <c r="AM57" s="206" t="str">
        <f>IF(AND($A57&gt;=SYear_O, $A57&lt;=EYear_O, AM$3&gt;0), AM$3 * VLOOKUP($A57, Data_All!$A$8:$CA$153, MATCH(AM$2, Data_All!$B$2:$CA$2, 0)+1), "")</f>
        <v/>
      </c>
      <c r="AN57" s="206" t="str">
        <f>IF(AND($A57&gt;=SYear_O, $A57&lt;=EYear_O, AN$3&gt;0), AN$3 * VLOOKUP($A57, Data_All!$A$8:$CA$153, MATCH(AN$2, Data_All!$B$2:$CA$2, 0)+1), "")</f>
        <v/>
      </c>
      <c r="AO57" s="206" t="str">
        <f>IF(AND($A57&gt;=SYear_O, $A57&lt;=EYear_O, AO$3&gt;0), AO$3 * VLOOKUP($A57, Data_All!$A$8:$CA$153, MATCH(AO$2, Data_All!$B$2:$CA$2, 0)+1), "")</f>
        <v/>
      </c>
      <c r="AP57" s="206" t="str">
        <f>IF(AND($A57&gt;=SYear_O, $A57&lt;=EYear_O, AP$3&gt;0), AP$3 * VLOOKUP($A57, Data_All!$A$8:$CA$153, MATCH(AP$2, Data_All!$B$2:$CA$2, 0)+1), "")</f>
        <v/>
      </c>
      <c r="AQ57" s="206" t="str">
        <f>IF(AND($A57&gt;=SYear_O, $A57&lt;=EYear_O, AQ$3&gt;0), AQ$3 * VLOOKUP($A57, Data_All!$A$8:$CA$153, MATCH(AQ$2, Data_All!$B$2:$CA$2, 0)+1), "")</f>
        <v/>
      </c>
      <c r="AR57" s="206" t="str">
        <f>IF(AND($A57&gt;=SYear_O, $A57&lt;=EYear_O, AR$3&gt;0), AR$3 * VLOOKUP($A57, Data_All!$A$8:$CA$153, MATCH(AR$2, Data_All!$B$2:$CA$2, 0)+1), "")</f>
        <v/>
      </c>
      <c r="AS57" s="206" t="str">
        <f>IF(AND($A57&gt;=SYear_O, $A57&lt;=EYear_O, AS$3&gt;0), AS$3 * VLOOKUP($A57, Data_All!$A$8:$CA$153, MATCH(AS$2, Data_All!$B$2:$CA$2, 0)+1), "")</f>
        <v/>
      </c>
      <c r="AT57" s="206" t="str">
        <f>IF(AND($A57&gt;=SYear_O, $A57&lt;=EYear_O, AT$3&gt;0), AT$3 * VLOOKUP($A57, Data_All!$A$8:$CA$153, MATCH(AT$2, Data_All!$B$2:$CA$2, 0)+1), "")</f>
        <v/>
      </c>
      <c r="AU57" s="206" t="str">
        <f>IF(AND($A57&gt;=SYear_O, $A57&lt;=EYear_O, AU$3&gt;0), AU$3 * VLOOKUP($A57, Data_All!$A$8:$CA$153, MATCH(AU$2, Data_All!$B$2:$CA$2, 0)+1), "")</f>
        <v/>
      </c>
      <c r="AV57" s="206" t="str">
        <f>IF(AND($A57&gt;=SYear_O, $A57&lt;=EYear_O, AV$3&gt;0), AV$3 * VLOOKUP($A57, Data_All!$A$8:$CA$153, MATCH(AV$2, Data_All!$B$2:$CA$2, 0)+1), "")</f>
        <v/>
      </c>
      <c r="AW57" s="206" t="str">
        <f>IF(AND($A57&gt;=SYear_O, $A57&lt;=EYear_O, AW$3&gt;0), AW$3 * VLOOKUP($A57, Data_All!$A$8:$CA$153, MATCH(AW$2, Data_All!$B$2:$CA$2, 0)+1), "")</f>
        <v/>
      </c>
      <c r="AX57" s="206" t="str">
        <f>IF(AND($A57&gt;=SYear_O, $A57&lt;=EYear_O, AX$3&gt;0), AX$3 * VLOOKUP($A57, Data_All!$A$8:$CA$153, MATCH(AX$2, Data_All!$B$2:$CA$2, 0)+1), "")</f>
        <v/>
      </c>
      <c r="AY57" s="206" t="str">
        <f>IF(AND($A57&gt;=SYear_O, $A57&lt;=EYear_O, AY$3&gt;0), AY$3 * VLOOKUP($A57, Data_All!$A$8:$CA$153, MATCH(AY$2, Data_All!$B$2:$CA$2, 0)+1), "")</f>
        <v/>
      </c>
      <c r="AZ57" s="206" t="str">
        <f>IF(AND($A57&gt;=SYear_O, $A57&lt;=EYear_O, AZ$3&gt;0), AZ$3 * VLOOKUP($A57, Data_All!$A$8:$CA$153, MATCH(AZ$2, Data_All!$B$2:$CA$2, 0)+1), "")</f>
        <v/>
      </c>
      <c r="BA57" s="206" t="str">
        <f>IF(AND($A57&gt;=SYear_O, $A57&lt;=EYear_O, BA$3&gt;0), BA$3 * VLOOKUP($A57, Data_All!$A$8:$CA$153, MATCH(BA$2, Data_All!$B$2:$CA$2, 0)+1), "")</f>
        <v/>
      </c>
      <c r="BB57" s="206" t="str">
        <f>IF(AND($A57&gt;=SYear_O, $A57&lt;=EYear_O, BB$3&gt;0), BB$3 * VLOOKUP($A57, Data_All!$A$8:$CA$153, MATCH(BB$2, Data_All!$B$2:$CA$2, 0)+1), "")</f>
        <v/>
      </c>
      <c r="BC57" s="206" t="str">
        <f>IF(AND($A57&gt;=SYear_O, $A57&lt;=EYear_O, BC$3&gt;0), BC$3 * VLOOKUP($A57, Data_All!$A$8:$CA$153, MATCH(BC$2, Data_All!$B$2:$CA$2, 0)+1), "")</f>
        <v/>
      </c>
      <c r="BD57" s="206" t="str">
        <f>IF(AND($A57&gt;=SYear_O, $A57&lt;=EYear_O, BD$3&gt;0), BD$3 * VLOOKUP($A57, Data_All!$A$8:$CA$153, MATCH(BD$2, Data_All!$B$2:$CA$2, 0)+1), "")</f>
        <v/>
      </c>
      <c r="BE57" s="206" t="str">
        <f>IF(AND($A57&gt;=SYear_O, $A57&lt;=EYear_O, BE$3&gt;0), BE$3 * VLOOKUP($A57, Data_All!$A$8:$CA$153, MATCH(BE$2, Data_All!$B$2:$CA$2, 0)+1), "")</f>
        <v/>
      </c>
      <c r="BF57" s="206" t="str">
        <f>IF(AND($A57&gt;=SYear_O, $A57&lt;=EYear_O, BF$3&gt;0), BF$3 * VLOOKUP($A57, Data_All!$A$8:$CA$153, MATCH(BF$2, Data_All!$B$2:$CA$2, 0)+1), "")</f>
        <v/>
      </c>
      <c r="BG57" s="206" t="str">
        <f>IF(AND($A57&gt;=SYear_O, $A57&lt;=EYear_O, BG$3&gt;0), BG$3 * VLOOKUP($A57, Data_All!$A$8:$CA$153, MATCH(BG$2, Data_All!$B$2:$CA$2, 0)+1), "")</f>
        <v/>
      </c>
      <c r="BH57" s="206" t="str">
        <f>IF(AND($A57&gt;=SYear_O, $A57&lt;=EYear_O, BH$3&gt;0), BH$3 * VLOOKUP($A57, Data_All!$A$8:$CA$153, MATCH(BH$2, Data_All!$B$2:$CA$2, 0)+1), "")</f>
        <v/>
      </c>
      <c r="BI57" s="206" t="str">
        <f>IF(AND($A57&gt;=SYear_O, $A57&lt;=EYear_O, BI$3&gt;0), BI$3 * VLOOKUP($A57, Data_All!$A$8:$CA$153, MATCH(BI$2, Data_All!$B$2:$CA$2, 0)+1), "")</f>
        <v/>
      </c>
      <c r="BJ57" s="206" t="str">
        <f>IF(AND($A57&gt;=SYear_O, $A57&lt;=EYear_O, BJ$3&gt;0), BJ$3 * VLOOKUP($A57, Data_All!$A$8:$CA$153, MATCH(BJ$2, Data_All!$B$2:$CA$2, 0)+1), "")</f>
        <v/>
      </c>
      <c r="BK57" s="206" t="str">
        <f>IF(AND($A57&gt;=SYear_O, $A57&lt;=EYear_O, BK$3&gt;0), BK$3 * VLOOKUP($A57, Data_All!$A$8:$CA$153, MATCH(BK$2, Data_All!$B$2:$CA$2, 0)+1), "")</f>
        <v/>
      </c>
      <c r="BL57" s="206" t="str">
        <f>IF(AND($A57&gt;=SYear_O, $A57&lt;=EYear_O, BL$3&gt;0), BL$3 * VLOOKUP($A57, Data_All!$A$8:$CA$153, MATCH(BL$2, Data_All!$B$2:$CA$2, 0)+1), "")</f>
        <v/>
      </c>
      <c r="BM57" s="206" t="str">
        <f>IF(AND($A57&gt;=SYear_O, $A57&lt;=EYear_O, BM$3&gt;0), BM$3 * VLOOKUP($A57, Data_All!$A$8:$CA$153, MATCH(BM$2, Data_All!$B$2:$CA$2, 0)+1), "")</f>
        <v/>
      </c>
      <c r="BN57" s="206" t="str">
        <f>IF(AND($A57&gt;=SYear_O, $A57&lt;=EYear_O, BN$3&gt;0), BN$3 * VLOOKUP($A57, Data_All!$A$8:$CA$153, MATCH(BN$2, Data_All!$B$2:$CA$2, 0)+1), "")</f>
        <v/>
      </c>
      <c r="BO57" s="206" t="str">
        <f>IF(AND($A57&gt;=SYear_O, $A57&lt;=EYear_O, BO$3&gt;0), BO$3 * VLOOKUP($A57, Data_All!$A$8:$CA$153, MATCH(BO$2, Data_All!$B$2:$CA$2, 0)+1), "")</f>
        <v/>
      </c>
      <c r="BP57" s="206" t="str">
        <f>IF(AND($A57&gt;=SYear_O, $A57&lt;=EYear_O, BP$3&gt;0), BP$3 * VLOOKUP($A57, Data_All!$A$8:$CA$153, MATCH(BP$2, Data_All!$B$2:$CA$2, 0)+1), "")</f>
        <v/>
      </c>
      <c r="BQ57" s="206" t="str">
        <f>IF(AND($A57&gt;=SYear_O, $A57&lt;=EYear_O, BQ$3&gt;0), BQ$3 * VLOOKUP($A57, Data_All!$A$8:$CA$153, MATCH(BQ$2, Data_All!$B$2:$CA$2, 0)+1), "")</f>
        <v/>
      </c>
      <c r="BR57" s="206" t="str">
        <f>IF(AND($A57&gt;=SYear_O, $A57&lt;=EYear_O, BR$3&gt;0), BR$3 * VLOOKUP($A57, Data_All!$A$8:$CA$153, MATCH(BR$2, Data_All!$B$2:$CA$2, 0)+1), "")</f>
        <v/>
      </c>
      <c r="BS57" s="206" t="str">
        <f>IF(AND($A57&gt;=SYear_O, $A57&lt;=EYear_O, BS$3&gt;0), BS$3 * VLOOKUP($A57, Data_All!$A$8:$CA$153, MATCH(BS$2, Data_All!$B$2:$CA$2, 0)+1), "")</f>
        <v/>
      </c>
      <c r="BT57" s="206" t="str">
        <f>IF(AND($A57&gt;=SYear_O, $A57&lt;=EYear_O, BT$3&gt;0), BT$3 * VLOOKUP($A57, Data_All!$A$8:$CA$153, MATCH(BT$2, Data_All!$B$2:$CA$2, 0)+1), "")</f>
        <v/>
      </c>
      <c r="BU57" s="206" t="str">
        <f>IF(AND($A57&gt;=SYear_O, $A57&lt;=EYear_O, BU$3&gt;0), BU$3 * VLOOKUP($A57, Data_All!$A$8:$CA$153, MATCH(BU$2, Data_All!$B$2:$CA$2, 0)+1), "")</f>
        <v/>
      </c>
      <c r="BV57" s="206" t="str">
        <f>IF(AND($A57&gt;=SYear_O, $A57&lt;=EYear_O, BV$3&gt;0), BV$3 * VLOOKUP($A57, Data_All!$A$8:$CA$153, MATCH(BV$2, Data_All!$B$2:$CA$2, 0)+1), "")</f>
        <v/>
      </c>
      <c r="BW57" s="206" t="str">
        <f>IF(AND($A57&gt;=SYear_O, $A57&lt;=EYear_O, BW$3&gt;0), BW$3 * VLOOKUP($A57, Data_All!$A$8:$CA$153, MATCH(BW$2, Data_All!$B$2:$CA$2, 0)+1), "")</f>
        <v/>
      </c>
      <c r="BX57" s="206">
        <f>IF(AND($A57&gt;=SYear_O, $A57&lt;=EYear_O, BX$3&gt;0), BX$3 * VLOOKUP($A57, Data_All!$A$8:$CA$153, MATCH(BX$2, Data_All!$B$2:$CA$2, 0)+1), "")</f>
        <v>5.4852320675105428</v>
      </c>
      <c r="BY57" s="206">
        <f>IF(AND($A57&gt;=SYear_O, $A57&lt;=EYear_O, BY$3&gt;0), BY$3 * VLOOKUP($A57, Data_All!$A$8:$CA$153, MATCH(BY$2, Data_All!$B$2:$CA$2, 0)+1), "")</f>
        <v>4.918545222759434</v>
      </c>
      <c r="BZ57" s="206" t="str">
        <f>IF(AND($A57&gt;=SYear_O, $A57&lt;=EYear_O, BZ$3&gt;0), BZ$3 * VLOOKUP($A57, Data_All!$A$8:$CA$153, MATCH(BZ$2, Data_All!$B$2:$CA$2, 0)+1), "")</f>
        <v/>
      </c>
      <c r="CA57" s="565">
        <f t="shared" si="19"/>
        <v>10.403777290269977</v>
      </c>
      <c r="CB57" s="427">
        <f t="shared" si="20"/>
        <v>161671.18061766829</v>
      </c>
      <c r="CC57" s="565">
        <f>IF(AND($A57&gt;=SYear_O,$A57&lt;=EYear_O),(CA57-Data_All!CA58)/(1+Data_All!CA58%),"")</f>
        <v>24.122589852966261</v>
      </c>
      <c r="CD57" s="436">
        <f t="shared" si="21"/>
        <v>119235.47083790743</v>
      </c>
      <c r="CE57" s="438">
        <f t="shared" si="22"/>
        <v>14.663453012531681</v>
      </c>
      <c r="CF57" s="438">
        <f>IF(AND($A57&gt;=SYear_O,$A57&lt;=EYear_O),MAX($CE$7:CE57),"")</f>
        <v>14.663453012531681</v>
      </c>
      <c r="CG57" s="209">
        <f t="shared" si="23"/>
        <v>0</v>
      </c>
      <c r="CI57" s="143">
        <f>IF(AND($A57&gt;=SYear_O,$A57&lt;=EYear_O),Data_All!V58,"")</f>
        <v>7.343390948146669</v>
      </c>
      <c r="CJ57" s="143">
        <f>IF(AND($A57&gt;=SYear_O,$A57&lt;=EYear_O),Data_All!CA58,"")</f>
        <v>-11.052631578947381</v>
      </c>
      <c r="CK57" s="143">
        <f t="shared" si="24"/>
        <v>20.68191881744302</v>
      </c>
      <c r="CN57" s="61">
        <f t="shared" si="25"/>
        <v>0.10403777290269978</v>
      </c>
      <c r="CO57" s="61">
        <f t="shared" si="26"/>
        <v>0.11443533917538073</v>
      </c>
      <c r="CP57" s="61">
        <f t="shared" si="27"/>
        <v>0.13709488269304315</v>
      </c>
      <c r="CQ57" s="61">
        <f t="shared" si="28"/>
        <v>0.11015614124493878</v>
      </c>
      <c r="CR57" s="61">
        <f t="shared" si="29"/>
        <v>9.005662747706733E-2</v>
      </c>
      <c r="CU57" s="61">
        <f t="shared" si="30"/>
        <v>0.2412258985296627</v>
      </c>
      <c r="CV57" s="61">
        <f t="shared" si="31"/>
        <v>0.14980459850394756</v>
      </c>
      <c r="CW57" s="61">
        <f t="shared" si="32"/>
        <v>0.15073896536527309</v>
      </c>
      <c r="CX57" s="61">
        <f t="shared" si="33"/>
        <v>0.13010738616533524</v>
      </c>
      <c r="CY57" s="61">
        <f t="shared" si="34"/>
        <v>0.11354394491119879</v>
      </c>
    </row>
    <row r="58" spans="1:103">
      <c r="A58" s="204">
        <f t="shared" si="18"/>
        <v>1922</v>
      </c>
      <c r="B58" s="206" t="str">
        <f>IF(AND($A58&gt;=SYear_O, $A58&lt;=EYear_O, B$3&gt;0), B$3 * VLOOKUP($A58, Data_All!$A$8:$CA$153, MATCH(B$2, Data_All!$B$2:$CA$2, 0)+1), "")</f>
        <v/>
      </c>
      <c r="C58" s="206" t="str">
        <f>IF(AND($A58&gt;=SYear_O, $A58&lt;=EYear_O, C$3&gt;0), C$3 * VLOOKUP($A58, Data_All!$A$8:$CA$153, MATCH(C$2, Data_All!$B$2:$CA$2, 0)+1), "")</f>
        <v/>
      </c>
      <c r="D58" s="206" t="str">
        <f>IF(AND($A58&gt;=SYear_O, $A58&lt;=EYear_O, D$3&gt;0), D$3 * VLOOKUP($A58, Data_All!$A$8:$CA$153, MATCH(D$2, Data_All!$B$2:$CA$2, 0)+1), "")</f>
        <v/>
      </c>
      <c r="E58" s="206" t="str">
        <f>IF(AND($A58&gt;=SYear_O, $A58&lt;=EYear_O, E$3&gt;0), E$3 * VLOOKUP($A58, Data_All!$A$8:$CA$153, MATCH(E$2, Data_All!$B$2:$CA$2, 0)+1), "")</f>
        <v/>
      </c>
      <c r="F58" s="206" t="str">
        <f>IF(AND($A58&gt;=SYear_O, $A58&lt;=EYear_O, F$3&gt;0), F$3 * VLOOKUP($A58, Data_All!$A$8:$CA$153, MATCH(F$2, Data_All!$B$2:$CA$2, 0)+1), "")</f>
        <v/>
      </c>
      <c r="G58" s="206" t="str">
        <f>IF(AND($A58&gt;=SYear_O, $A58&lt;=EYear_O, G$3&gt;0), G$3 * VLOOKUP($A58, Data_All!$A$8:$CA$153, MATCH(G$2, Data_All!$B$2:$CA$2, 0)+1), "")</f>
        <v/>
      </c>
      <c r="H58" s="206" t="str">
        <f>IF(AND($A58&gt;=SYear_O, $A58&lt;=EYear_O, H$3&gt;0), H$3 * VLOOKUP($A58, Data_All!$A$8:$CA$153, MATCH(H$2, Data_All!$B$2:$CA$2, 0)+1), "")</f>
        <v/>
      </c>
      <c r="I58" s="206" t="str">
        <f>IF(AND($A58&gt;=SYear_O, $A58&lt;=EYear_O, I$3&gt;0), I$3 * VLOOKUP($A58, Data_All!$A$8:$CA$153, MATCH(I$2, Data_All!$B$2:$CA$2, 0)+1), "")</f>
        <v/>
      </c>
      <c r="J58" s="206" t="str">
        <f>IF(AND($A58&gt;=SYear_O, $A58&lt;=EYear_O, J$3&gt;0), J$3 * VLOOKUP($A58, Data_All!$A$8:$CA$153, MATCH(J$2, Data_All!$B$2:$CA$2, 0)+1), "")</f>
        <v/>
      </c>
      <c r="K58" s="206" t="str">
        <f>IF(AND($A58&gt;=SYear_O, $A58&lt;=EYear_O, K$3&gt;0), K$3 * VLOOKUP($A58, Data_All!$A$8:$CA$153, MATCH(K$2, Data_All!$B$2:$CA$2, 0)+1), "")</f>
        <v/>
      </c>
      <c r="L58" s="206" t="str">
        <f>IF(AND($A58&gt;=SYear_O, $A58&lt;=EYear_O, L$3&gt;0), L$3 * VLOOKUP($A58, Data_All!$A$8:$CA$153, MATCH(L$2, Data_All!$B$2:$CA$2, 0)+1), "")</f>
        <v/>
      </c>
      <c r="M58" s="206" t="str">
        <f>IF(AND($A58&gt;=SYear_O, $A58&lt;=EYear_O, M$3&gt;0), M$3 * VLOOKUP($A58, Data_All!$A$8:$CA$153, MATCH(M$2, Data_All!$B$2:$CA$2, 0)+1), "")</f>
        <v/>
      </c>
      <c r="N58" s="206" t="str">
        <f>IF(AND($A58&gt;=SYear_O, $A58&lt;=EYear_O, N$3&gt;0), N$3 * VLOOKUP($A58, Data_All!$A$8:$CA$153, MATCH(N$2, Data_All!$B$2:$CA$2, 0)+1), "")</f>
        <v/>
      </c>
      <c r="O58" s="206" t="str">
        <f>IF(AND($A58&gt;=SYear_O, $A58&lt;=EYear_O, O$3&gt;0), O$3 * VLOOKUP($A58, Data_All!$A$8:$CA$153, MATCH(O$2, Data_All!$B$2:$CA$2, 0)+1), "")</f>
        <v/>
      </c>
      <c r="P58" s="206" t="str">
        <f>IF(AND($A58&gt;=SYear_O, $A58&lt;=EYear_O, P$3&gt;0), P$3 * VLOOKUP($A58, Data_All!$A$8:$CA$153, MATCH(P$2, Data_All!$B$2:$CA$2, 0)+1), "")</f>
        <v/>
      </c>
      <c r="Q58" s="206" t="str">
        <f>IF(AND($A58&gt;=SYear_O, $A58&lt;=EYear_O, Q$3&gt;0), Q$3 * VLOOKUP($A58, Data_All!$A$8:$CA$153, MATCH(Q$2, Data_All!$B$2:$CA$2, 0)+1), "")</f>
        <v/>
      </c>
      <c r="R58" s="206" t="str">
        <f>IF(AND($A58&gt;=SYear_O, $A58&lt;=EYear_O, R$3&gt;0), R$3 * VLOOKUP($A58, Data_All!$A$8:$CA$153, MATCH(R$2, Data_All!$B$2:$CA$2, 0)+1), "")</f>
        <v/>
      </c>
      <c r="S58" s="206" t="str">
        <f>IF(AND($A58&gt;=SYear_O, $A58&lt;=EYear_O, S$3&gt;0), S$3 * VLOOKUP($A58, Data_All!$A$8:$CA$153, MATCH(S$2, Data_All!$B$2:$CA$2, 0)+1), "")</f>
        <v/>
      </c>
      <c r="T58" s="206" t="str">
        <f>IF(AND($A58&gt;=SYear_O, $A58&lt;=EYear_O, T$3&gt;0), T$3 * VLOOKUP($A58, Data_All!$A$8:$CA$153, MATCH(T$2, Data_All!$B$2:$CA$2, 0)+1), "")</f>
        <v/>
      </c>
      <c r="U58" s="206" t="str">
        <f>IF(AND($A58&gt;=SYear_O, $A58&lt;=EYear_O, U$3&gt;0), U$3 * VLOOKUP($A58, Data_All!$A$8:$CA$153, MATCH(U$2, Data_All!$B$2:$CA$2, 0)+1), "")</f>
        <v/>
      </c>
      <c r="V58" s="206" t="str">
        <f>IF(AND($A58&gt;=SYear_O, $A58&lt;=EYear_O, V$3&gt;0), V$3 * VLOOKUP($A58, Data_All!$A$8:$CA$153, MATCH(V$2, Data_All!$B$2:$CA$2, 0)+1), "")</f>
        <v/>
      </c>
      <c r="W58" s="206" t="str">
        <f>IF(AND($A58&gt;=SYear_O, $A58&lt;=EYear_O, W$3&gt;0), W$3 * VLOOKUP($A58, Data_All!$A$8:$CA$153, MATCH(W$2, Data_All!$B$2:$CA$2, 0)+1), "")</f>
        <v/>
      </c>
      <c r="X58" s="206" t="str">
        <f>IF(AND($A58&gt;=SYear_O, $A58&lt;=EYear_O, X$3&gt;0), X$3 * VLOOKUP($A58, Data_All!$A$8:$CA$153, MATCH(X$2, Data_All!$B$2:$CA$2, 0)+1), "")</f>
        <v/>
      </c>
      <c r="Y58" s="206" t="str">
        <f>IF(AND($A58&gt;=SYear_O, $A58&lt;=EYear_O, Y$3&gt;0), Y$3 * VLOOKUP($A58, Data_All!$A$8:$CA$153, MATCH(Y$2, Data_All!$B$2:$CA$2, 0)+1), "")</f>
        <v/>
      </c>
      <c r="Z58" s="206" t="str">
        <f>IF(AND($A58&gt;=SYear_O, $A58&lt;=EYear_O, Z$3&gt;0), Z$3 * VLOOKUP($A58, Data_All!$A$8:$CA$153, MATCH(Z$2, Data_All!$B$2:$CA$2, 0)+1), "")</f>
        <v/>
      </c>
      <c r="AA58" s="206" t="str">
        <f>IF(AND($A58&gt;=SYear_O, $A58&lt;=EYear_O, AA$3&gt;0), AA$3 * VLOOKUP($A58, Data_All!$A$8:$CA$153, MATCH(AA$2, Data_All!$B$2:$CA$2, 0)+1), "")</f>
        <v/>
      </c>
      <c r="AB58" s="206" t="str">
        <f>IF(AND($A58&gt;=SYear_O, $A58&lt;=EYear_O, AB$3&gt;0), AB$3 * VLOOKUP($A58, Data_All!$A$8:$CA$153, MATCH(AB$2, Data_All!$B$2:$CA$2, 0)+1), "")</f>
        <v/>
      </c>
      <c r="AC58" s="206" t="str">
        <f>IF(AND($A58&gt;=SYear_O, $A58&lt;=EYear_O, AC$3&gt;0), AC$3 * VLOOKUP($A58, Data_All!$A$8:$CA$153, MATCH(AC$2, Data_All!$B$2:$CA$2, 0)+1), "")</f>
        <v/>
      </c>
      <c r="AD58" s="206" t="str">
        <f>IF(AND($A58&gt;=SYear_O, $A58&lt;=EYear_O, AD$3&gt;0), AD$3 * VLOOKUP($A58, Data_All!$A$8:$CA$153, MATCH(AD$2, Data_All!$B$2:$CA$2, 0)+1), "")</f>
        <v/>
      </c>
      <c r="AE58" s="206" t="str">
        <f>IF(AND($A58&gt;=SYear_O, $A58&lt;=EYear_O, AE$3&gt;0), AE$3 * VLOOKUP($A58, Data_All!$A$8:$CA$153, MATCH(AE$2, Data_All!$B$2:$CA$2, 0)+1), "")</f>
        <v/>
      </c>
      <c r="AF58" s="206" t="str">
        <f>IF(AND($A58&gt;=SYear_O, $A58&lt;=EYear_O, AF$3&gt;0), AF$3 * VLOOKUP($A58, Data_All!$A$8:$CA$153, MATCH(AF$2, Data_All!$B$2:$CA$2, 0)+1), "")</f>
        <v/>
      </c>
      <c r="AG58" s="206" t="str">
        <f>IF(AND($A58&gt;=SYear_O, $A58&lt;=EYear_O, AG$3&gt;0), AG$3 * VLOOKUP($A58, Data_All!$A$8:$CA$153, MATCH(AG$2, Data_All!$B$2:$CA$2, 0)+1), "")</f>
        <v/>
      </c>
      <c r="AH58" s="206" t="str">
        <f>IF(AND($A58&gt;=SYear_O, $A58&lt;=EYear_O, AH$3&gt;0), AH$3 * VLOOKUP($A58, Data_All!$A$8:$CA$153, MATCH(AH$2, Data_All!$B$2:$CA$2, 0)+1), "")</f>
        <v/>
      </c>
      <c r="AI58" s="206" t="str">
        <f>IF(AND($A58&gt;=SYear_O, $A58&lt;=EYear_O, AI$3&gt;0), AI$3 * VLOOKUP($A58, Data_All!$A$8:$CA$153, MATCH(AI$2, Data_All!$B$2:$CA$2, 0)+1), "")</f>
        <v/>
      </c>
      <c r="AJ58" s="206" t="str">
        <f>IF(AND($A58&gt;=SYear_O, $A58&lt;=EYear_O, AJ$3&gt;0), AJ$3 * VLOOKUP($A58, Data_All!$A$8:$CA$153, MATCH(AJ$2, Data_All!$B$2:$CA$2, 0)+1), "")</f>
        <v/>
      </c>
      <c r="AK58" s="206" t="str">
        <f>IF(AND($A58&gt;=SYear_O, $A58&lt;=EYear_O, AK$3&gt;0), AK$3 * VLOOKUP($A58, Data_All!$A$8:$CA$153, MATCH(AK$2, Data_All!$B$2:$CA$2, 0)+1), "")</f>
        <v/>
      </c>
      <c r="AL58" s="206" t="str">
        <f>IF(AND($A58&gt;=SYear_O, $A58&lt;=EYear_O, AL$3&gt;0), AL$3 * VLOOKUP($A58, Data_All!$A$8:$CA$153, MATCH(AL$2, Data_All!$B$2:$CA$2, 0)+1), "")</f>
        <v/>
      </c>
      <c r="AM58" s="206" t="str">
        <f>IF(AND($A58&gt;=SYear_O, $A58&lt;=EYear_O, AM$3&gt;0), AM$3 * VLOOKUP($A58, Data_All!$A$8:$CA$153, MATCH(AM$2, Data_All!$B$2:$CA$2, 0)+1), "")</f>
        <v/>
      </c>
      <c r="AN58" s="206" t="str">
        <f>IF(AND($A58&gt;=SYear_O, $A58&lt;=EYear_O, AN$3&gt;0), AN$3 * VLOOKUP($A58, Data_All!$A$8:$CA$153, MATCH(AN$2, Data_All!$B$2:$CA$2, 0)+1), "")</f>
        <v/>
      </c>
      <c r="AO58" s="206" t="str">
        <f>IF(AND($A58&gt;=SYear_O, $A58&lt;=EYear_O, AO$3&gt;0), AO$3 * VLOOKUP($A58, Data_All!$A$8:$CA$153, MATCH(AO$2, Data_All!$B$2:$CA$2, 0)+1), "")</f>
        <v/>
      </c>
      <c r="AP58" s="206" t="str">
        <f>IF(AND($A58&gt;=SYear_O, $A58&lt;=EYear_O, AP$3&gt;0), AP$3 * VLOOKUP($A58, Data_All!$A$8:$CA$153, MATCH(AP$2, Data_All!$B$2:$CA$2, 0)+1), "")</f>
        <v/>
      </c>
      <c r="AQ58" s="206" t="str">
        <f>IF(AND($A58&gt;=SYear_O, $A58&lt;=EYear_O, AQ$3&gt;0), AQ$3 * VLOOKUP($A58, Data_All!$A$8:$CA$153, MATCH(AQ$2, Data_All!$B$2:$CA$2, 0)+1), "")</f>
        <v/>
      </c>
      <c r="AR58" s="206" t="str">
        <f>IF(AND($A58&gt;=SYear_O, $A58&lt;=EYear_O, AR$3&gt;0), AR$3 * VLOOKUP($A58, Data_All!$A$8:$CA$153, MATCH(AR$2, Data_All!$B$2:$CA$2, 0)+1), "")</f>
        <v/>
      </c>
      <c r="AS58" s="206" t="str">
        <f>IF(AND($A58&gt;=SYear_O, $A58&lt;=EYear_O, AS$3&gt;0), AS$3 * VLOOKUP($A58, Data_All!$A$8:$CA$153, MATCH(AS$2, Data_All!$B$2:$CA$2, 0)+1), "")</f>
        <v/>
      </c>
      <c r="AT58" s="206" t="str">
        <f>IF(AND($A58&gt;=SYear_O, $A58&lt;=EYear_O, AT$3&gt;0), AT$3 * VLOOKUP($A58, Data_All!$A$8:$CA$153, MATCH(AT$2, Data_All!$B$2:$CA$2, 0)+1), "")</f>
        <v/>
      </c>
      <c r="AU58" s="206" t="str">
        <f>IF(AND($A58&gt;=SYear_O, $A58&lt;=EYear_O, AU$3&gt;0), AU$3 * VLOOKUP($A58, Data_All!$A$8:$CA$153, MATCH(AU$2, Data_All!$B$2:$CA$2, 0)+1), "")</f>
        <v/>
      </c>
      <c r="AV58" s="206" t="str">
        <f>IF(AND($A58&gt;=SYear_O, $A58&lt;=EYear_O, AV$3&gt;0), AV$3 * VLOOKUP($A58, Data_All!$A$8:$CA$153, MATCH(AV$2, Data_All!$B$2:$CA$2, 0)+1), "")</f>
        <v/>
      </c>
      <c r="AW58" s="206" t="str">
        <f>IF(AND($A58&gt;=SYear_O, $A58&lt;=EYear_O, AW$3&gt;0), AW$3 * VLOOKUP($A58, Data_All!$A$8:$CA$153, MATCH(AW$2, Data_All!$B$2:$CA$2, 0)+1), "")</f>
        <v/>
      </c>
      <c r="AX58" s="206" t="str">
        <f>IF(AND($A58&gt;=SYear_O, $A58&lt;=EYear_O, AX$3&gt;0), AX$3 * VLOOKUP($A58, Data_All!$A$8:$CA$153, MATCH(AX$2, Data_All!$B$2:$CA$2, 0)+1), "")</f>
        <v/>
      </c>
      <c r="AY58" s="206" t="str">
        <f>IF(AND($A58&gt;=SYear_O, $A58&lt;=EYear_O, AY$3&gt;0), AY$3 * VLOOKUP($A58, Data_All!$A$8:$CA$153, MATCH(AY$2, Data_All!$B$2:$CA$2, 0)+1), "")</f>
        <v/>
      </c>
      <c r="AZ58" s="206" t="str">
        <f>IF(AND($A58&gt;=SYear_O, $A58&lt;=EYear_O, AZ$3&gt;0), AZ$3 * VLOOKUP($A58, Data_All!$A$8:$CA$153, MATCH(AZ$2, Data_All!$B$2:$CA$2, 0)+1), "")</f>
        <v/>
      </c>
      <c r="BA58" s="206" t="str">
        <f>IF(AND($A58&gt;=SYear_O, $A58&lt;=EYear_O, BA$3&gt;0), BA$3 * VLOOKUP($A58, Data_All!$A$8:$CA$153, MATCH(BA$2, Data_All!$B$2:$CA$2, 0)+1), "")</f>
        <v/>
      </c>
      <c r="BB58" s="206" t="str">
        <f>IF(AND($A58&gt;=SYear_O, $A58&lt;=EYear_O, BB$3&gt;0), BB$3 * VLOOKUP($A58, Data_All!$A$8:$CA$153, MATCH(BB$2, Data_All!$B$2:$CA$2, 0)+1), "")</f>
        <v/>
      </c>
      <c r="BC58" s="206" t="str">
        <f>IF(AND($A58&gt;=SYear_O, $A58&lt;=EYear_O, BC$3&gt;0), BC$3 * VLOOKUP($A58, Data_All!$A$8:$CA$153, MATCH(BC$2, Data_All!$B$2:$CA$2, 0)+1), "")</f>
        <v/>
      </c>
      <c r="BD58" s="206" t="str">
        <f>IF(AND($A58&gt;=SYear_O, $A58&lt;=EYear_O, BD$3&gt;0), BD$3 * VLOOKUP($A58, Data_All!$A$8:$CA$153, MATCH(BD$2, Data_All!$B$2:$CA$2, 0)+1), "")</f>
        <v/>
      </c>
      <c r="BE58" s="206" t="str">
        <f>IF(AND($A58&gt;=SYear_O, $A58&lt;=EYear_O, BE$3&gt;0), BE$3 * VLOOKUP($A58, Data_All!$A$8:$CA$153, MATCH(BE$2, Data_All!$B$2:$CA$2, 0)+1), "")</f>
        <v/>
      </c>
      <c r="BF58" s="206" t="str">
        <f>IF(AND($A58&gt;=SYear_O, $A58&lt;=EYear_O, BF$3&gt;0), BF$3 * VLOOKUP($A58, Data_All!$A$8:$CA$153, MATCH(BF$2, Data_All!$B$2:$CA$2, 0)+1), "")</f>
        <v/>
      </c>
      <c r="BG58" s="206" t="str">
        <f>IF(AND($A58&gt;=SYear_O, $A58&lt;=EYear_O, BG$3&gt;0), BG$3 * VLOOKUP($A58, Data_All!$A$8:$CA$153, MATCH(BG$2, Data_All!$B$2:$CA$2, 0)+1), "")</f>
        <v/>
      </c>
      <c r="BH58" s="206" t="str">
        <f>IF(AND($A58&gt;=SYear_O, $A58&lt;=EYear_O, BH$3&gt;0), BH$3 * VLOOKUP($A58, Data_All!$A$8:$CA$153, MATCH(BH$2, Data_All!$B$2:$CA$2, 0)+1), "")</f>
        <v/>
      </c>
      <c r="BI58" s="206" t="str">
        <f>IF(AND($A58&gt;=SYear_O, $A58&lt;=EYear_O, BI$3&gt;0), BI$3 * VLOOKUP($A58, Data_All!$A$8:$CA$153, MATCH(BI$2, Data_All!$B$2:$CA$2, 0)+1), "")</f>
        <v/>
      </c>
      <c r="BJ58" s="206" t="str">
        <f>IF(AND($A58&gt;=SYear_O, $A58&lt;=EYear_O, BJ$3&gt;0), BJ$3 * VLOOKUP($A58, Data_All!$A$8:$CA$153, MATCH(BJ$2, Data_All!$B$2:$CA$2, 0)+1), "")</f>
        <v/>
      </c>
      <c r="BK58" s="206" t="str">
        <f>IF(AND($A58&gt;=SYear_O, $A58&lt;=EYear_O, BK$3&gt;0), BK$3 * VLOOKUP($A58, Data_All!$A$8:$CA$153, MATCH(BK$2, Data_All!$B$2:$CA$2, 0)+1), "")</f>
        <v/>
      </c>
      <c r="BL58" s="206" t="str">
        <f>IF(AND($A58&gt;=SYear_O, $A58&lt;=EYear_O, BL$3&gt;0), BL$3 * VLOOKUP($A58, Data_All!$A$8:$CA$153, MATCH(BL$2, Data_All!$B$2:$CA$2, 0)+1), "")</f>
        <v/>
      </c>
      <c r="BM58" s="206" t="str">
        <f>IF(AND($A58&gt;=SYear_O, $A58&lt;=EYear_O, BM$3&gt;0), BM$3 * VLOOKUP($A58, Data_All!$A$8:$CA$153, MATCH(BM$2, Data_All!$B$2:$CA$2, 0)+1), "")</f>
        <v/>
      </c>
      <c r="BN58" s="206" t="str">
        <f>IF(AND($A58&gt;=SYear_O, $A58&lt;=EYear_O, BN$3&gt;0), BN$3 * VLOOKUP($A58, Data_All!$A$8:$CA$153, MATCH(BN$2, Data_All!$B$2:$CA$2, 0)+1), "")</f>
        <v/>
      </c>
      <c r="BO58" s="206" t="str">
        <f>IF(AND($A58&gt;=SYear_O, $A58&lt;=EYear_O, BO$3&gt;0), BO$3 * VLOOKUP($A58, Data_All!$A$8:$CA$153, MATCH(BO$2, Data_All!$B$2:$CA$2, 0)+1), "")</f>
        <v/>
      </c>
      <c r="BP58" s="206" t="str">
        <f>IF(AND($A58&gt;=SYear_O, $A58&lt;=EYear_O, BP$3&gt;0), BP$3 * VLOOKUP($A58, Data_All!$A$8:$CA$153, MATCH(BP$2, Data_All!$B$2:$CA$2, 0)+1), "")</f>
        <v/>
      </c>
      <c r="BQ58" s="206" t="str">
        <f>IF(AND($A58&gt;=SYear_O, $A58&lt;=EYear_O, BQ$3&gt;0), BQ$3 * VLOOKUP($A58, Data_All!$A$8:$CA$153, MATCH(BQ$2, Data_All!$B$2:$CA$2, 0)+1), "")</f>
        <v/>
      </c>
      <c r="BR58" s="206" t="str">
        <f>IF(AND($A58&gt;=SYear_O, $A58&lt;=EYear_O, BR$3&gt;0), BR$3 * VLOOKUP($A58, Data_All!$A$8:$CA$153, MATCH(BR$2, Data_All!$B$2:$CA$2, 0)+1), "")</f>
        <v/>
      </c>
      <c r="BS58" s="206" t="str">
        <f>IF(AND($A58&gt;=SYear_O, $A58&lt;=EYear_O, BS$3&gt;0), BS$3 * VLOOKUP($A58, Data_All!$A$8:$CA$153, MATCH(BS$2, Data_All!$B$2:$CA$2, 0)+1), "")</f>
        <v/>
      </c>
      <c r="BT58" s="206" t="str">
        <f>IF(AND($A58&gt;=SYear_O, $A58&lt;=EYear_O, BT$3&gt;0), BT$3 * VLOOKUP($A58, Data_All!$A$8:$CA$153, MATCH(BT$2, Data_All!$B$2:$CA$2, 0)+1), "")</f>
        <v/>
      </c>
      <c r="BU58" s="206" t="str">
        <f>IF(AND($A58&gt;=SYear_O, $A58&lt;=EYear_O, BU$3&gt;0), BU$3 * VLOOKUP($A58, Data_All!$A$8:$CA$153, MATCH(BU$2, Data_All!$B$2:$CA$2, 0)+1), "")</f>
        <v/>
      </c>
      <c r="BV58" s="206" t="str">
        <f>IF(AND($A58&gt;=SYear_O, $A58&lt;=EYear_O, BV$3&gt;0), BV$3 * VLOOKUP($A58, Data_All!$A$8:$CA$153, MATCH(BV$2, Data_All!$B$2:$CA$2, 0)+1), "")</f>
        <v/>
      </c>
      <c r="BW58" s="206" t="str">
        <f>IF(AND($A58&gt;=SYear_O, $A58&lt;=EYear_O, BW$3&gt;0), BW$3 * VLOOKUP($A58, Data_All!$A$8:$CA$153, MATCH(BW$2, Data_All!$B$2:$CA$2, 0)+1), "")</f>
        <v/>
      </c>
      <c r="BX58" s="206">
        <f>IF(AND($A58&gt;=SYear_O, $A58&lt;=EYear_O, BX$3&gt;0), BX$3 * VLOOKUP($A58, Data_All!$A$8:$CA$153, MATCH(BX$2, Data_All!$B$2:$CA$2, 0)+1), "")</f>
        <v>17.342465753424662</v>
      </c>
      <c r="BY58" s="206">
        <f>IF(AND($A58&gt;=SYear_O, $A58&lt;=EYear_O, BY$3&gt;0), BY$3 * VLOOKUP($A58, Data_All!$A$8:$CA$153, MATCH(BY$2, Data_All!$B$2:$CA$2, 0)+1), "")</f>
        <v>1.3770009821573925</v>
      </c>
      <c r="BZ58" s="206" t="str">
        <f>IF(AND($A58&gt;=SYear_O, $A58&lt;=EYear_O, BZ$3&gt;0), BZ$3 * VLOOKUP($A58, Data_All!$A$8:$CA$153, MATCH(BZ$2, Data_All!$B$2:$CA$2, 0)+1), "")</f>
        <v/>
      </c>
      <c r="CA58" s="565">
        <f t="shared" si="19"/>
        <v>18.719466735582053</v>
      </c>
      <c r="CB58" s="427">
        <f t="shared" si="20"/>
        <v>191935.16349441546</v>
      </c>
      <c r="CC58" s="565">
        <f>IF(AND($A58&gt;=SYear_O,$A58&lt;=EYear_O),(CA58-Data_All!CA59)/(1+Data_All!CA59%),"")</f>
        <v>19.426130228055747</v>
      </c>
      <c r="CD58" s="436">
        <f t="shared" si="21"/>
        <v>142398.30868091475</v>
      </c>
      <c r="CE58" s="438">
        <f t="shared" si="22"/>
        <v>17.408373221500252</v>
      </c>
      <c r="CF58" s="438">
        <f>IF(AND($A58&gt;=SYear_O,$A58&lt;=EYear_O),MAX($CE$7:CE58),"")</f>
        <v>17.408373221500252</v>
      </c>
      <c r="CG58" s="209">
        <f t="shared" si="23"/>
        <v>0</v>
      </c>
      <c r="CI58" s="143">
        <f>IF(AND($A58&gt;=SYear_O,$A58&lt;=EYear_O),Data_All!V59,"")</f>
        <v>4.4859626336297342</v>
      </c>
      <c r="CJ58" s="143">
        <f>IF(AND($A58&gt;=SYear_O,$A58&lt;=EYear_O),Data_All!CA59,"")</f>
        <v>-0.59171597633135287</v>
      </c>
      <c r="CK58" s="143">
        <f t="shared" si="24"/>
        <v>5.1079028874013312</v>
      </c>
      <c r="CN58" s="61">
        <f t="shared" si="25"/>
        <v>0.18719466735582047</v>
      </c>
      <c r="CO58" s="61">
        <f t="shared" si="26"/>
        <v>0.13879179309166534</v>
      </c>
      <c r="CP58" s="61">
        <f t="shared" si="27"/>
        <v>0.13350801012388858</v>
      </c>
      <c r="CQ58" s="61">
        <f t="shared" si="28"/>
        <v>6.7427785452605526E-2</v>
      </c>
      <c r="CR58" s="61">
        <f t="shared" si="29"/>
        <v>9.6644103238203494E-2</v>
      </c>
      <c r="CU58" s="61">
        <f t="shared" si="30"/>
        <v>0.19426130228055749</v>
      </c>
      <c r="CV58" s="61">
        <f t="shared" si="31"/>
        <v>0.12994645115451875</v>
      </c>
      <c r="CW58" s="61">
        <f t="shared" si="32"/>
        <v>0.12562654087976011</v>
      </c>
      <c r="CX58" s="61">
        <f t="shared" si="33"/>
        <v>8.5409379376561123E-2</v>
      </c>
      <c r="CY58" s="61">
        <f t="shared" si="34"/>
        <v>0.10996737497625597</v>
      </c>
    </row>
    <row r="59" spans="1:103">
      <c r="A59" s="204">
        <f t="shared" si="18"/>
        <v>1923</v>
      </c>
      <c r="B59" s="206" t="str">
        <f>IF(AND($A59&gt;=SYear_O, $A59&lt;=EYear_O, B$3&gt;0), B$3 * VLOOKUP($A59, Data_All!$A$8:$CA$153, MATCH(B$2, Data_All!$B$2:$CA$2, 0)+1), "")</f>
        <v/>
      </c>
      <c r="C59" s="206" t="str">
        <f>IF(AND($A59&gt;=SYear_O, $A59&lt;=EYear_O, C$3&gt;0), C$3 * VLOOKUP($A59, Data_All!$A$8:$CA$153, MATCH(C$2, Data_All!$B$2:$CA$2, 0)+1), "")</f>
        <v/>
      </c>
      <c r="D59" s="206" t="str">
        <f>IF(AND($A59&gt;=SYear_O, $A59&lt;=EYear_O, D$3&gt;0), D$3 * VLOOKUP($A59, Data_All!$A$8:$CA$153, MATCH(D$2, Data_All!$B$2:$CA$2, 0)+1), "")</f>
        <v/>
      </c>
      <c r="E59" s="206" t="str">
        <f>IF(AND($A59&gt;=SYear_O, $A59&lt;=EYear_O, E$3&gt;0), E$3 * VLOOKUP($A59, Data_All!$A$8:$CA$153, MATCH(E$2, Data_All!$B$2:$CA$2, 0)+1), "")</f>
        <v/>
      </c>
      <c r="F59" s="206" t="str">
        <f>IF(AND($A59&gt;=SYear_O, $A59&lt;=EYear_O, F$3&gt;0), F$3 * VLOOKUP($A59, Data_All!$A$8:$CA$153, MATCH(F$2, Data_All!$B$2:$CA$2, 0)+1), "")</f>
        <v/>
      </c>
      <c r="G59" s="206" t="str">
        <f>IF(AND($A59&gt;=SYear_O, $A59&lt;=EYear_O, G$3&gt;0), G$3 * VLOOKUP($A59, Data_All!$A$8:$CA$153, MATCH(G$2, Data_All!$B$2:$CA$2, 0)+1), "")</f>
        <v/>
      </c>
      <c r="H59" s="206" t="str">
        <f>IF(AND($A59&gt;=SYear_O, $A59&lt;=EYear_O, H$3&gt;0), H$3 * VLOOKUP($A59, Data_All!$A$8:$CA$153, MATCH(H$2, Data_All!$B$2:$CA$2, 0)+1), "")</f>
        <v/>
      </c>
      <c r="I59" s="206" t="str">
        <f>IF(AND($A59&gt;=SYear_O, $A59&lt;=EYear_O, I$3&gt;0), I$3 * VLOOKUP($A59, Data_All!$A$8:$CA$153, MATCH(I$2, Data_All!$B$2:$CA$2, 0)+1), "")</f>
        <v/>
      </c>
      <c r="J59" s="206" t="str">
        <f>IF(AND($A59&gt;=SYear_O, $A59&lt;=EYear_O, J$3&gt;0), J$3 * VLOOKUP($A59, Data_All!$A$8:$CA$153, MATCH(J$2, Data_All!$B$2:$CA$2, 0)+1), "")</f>
        <v/>
      </c>
      <c r="K59" s="206" t="str">
        <f>IF(AND($A59&gt;=SYear_O, $A59&lt;=EYear_O, K$3&gt;0), K$3 * VLOOKUP($A59, Data_All!$A$8:$CA$153, MATCH(K$2, Data_All!$B$2:$CA$2, 0)+1), "")</f>
        <v/>
      </c>
      <c r="L59" s="206" t="str">
        <f>IF(AND($A59&gt;=SYear_O, $A59&lt;=EYear_O, L$3&gt;0), L$3 * VLOOKUP($A59, Data_All!$A$8:$CA$153, MATCH(L$2, Data_All!$B$2:$CA$2, 0)+1), "")</f>
        <v/>
      </c>
      <c r="M59" s="206" t="str">
        <f>IF(AND($A59&gt;=SYear_O, $A59&lt;=EYear_O, M$3&gt;0), M$3 * VLOOKUP($A59, Data_All!$A$8:$CA$153, MATCH(M$2, Data_All!$B$2:$CA$2, 0)+1), "")</f>
        <v/>
      </c>
      <c r="N59" s="206" t="str">
        <f>IF(AND($A59&gt;=SYear_O, $A59&lt;=EYear_O, N$3&gt;0), N$3 * VLOOKUP($A59, Data_All!$A$8:$CA$153, MATCH(N$2, Data_All!$B$2:$CA$2, 0)+1), "")</f>
        <v/>
      </c>
      <c r="O59" s="206" t="str">
        <f>IF(AND($A59&gt;=SYear_O, $A59&lt;=EYear_O, O$3&gt;0), O$3 * VLOOKUP($A59, Data_All!$A$8:$CA$153, MATCH(O$2, Data_All!$B$2:$CA$2, 0)+1), "")</f>
        <v/>
      </c>
      <c r="P59" s="206" t="str">
        <f>IF(AND($A59&gt;=SYear_O, $A59&lt;=EYear_O, P$3&gt;0), P$3 * VLOOKUP($A59, Data_All!$A$8:$CA$153, MATCH(P$2, Data_All!$B$2:$CA$2, 0)+1), "")</f>
        <v/>
      </c>
      <c r="Q59" s="206" t="str">
        <f>IF(AND($A59&gt;=SYear_O, $A59&lt;=EYear_O, Q$3&gt;0), Q$3 * VLOOKUP($A59, Data_All!$A$8:$CA$153, MATCH(Q$2, Data_All!$B$2:$CA$2, 0)+1), "")</f>
        <v/>
      </c>
      <c r="R59" s="206" t="str">
        <f>IF(AND($A59&gt;=SYear_O, $A59&lt;=EYear_O, R$3&gt;0), R$3 * VLOOKUP($A59, Data_All!$A$8:$CA$153, MATCH(R$2, Data_All!$B$2:$CA$2, 0)+1), "")</f>
        <v/>
      </c>
      <c r="S59" s="206" t="str">
        <f>IF(AND($A59&gt;=SYear_O, $A59&lt;=EYear_O, S$3&gt;0), S$3 * VLOOKUP($A59, Data_All!$A$8:$CA$153, MATCH(S$2, Data_All!$B$2:$CA$2, 0)+1), "")</f>
        <v/>
      </c>
      <c r="T59" s="206" t="str">
        <f>IF(AND($A59&gt;=SYear_O, $A59&lt;=EYear_O, T$3&gt;0), T$3 * VLOOKUP($A59, Data_All!$A$8:$CA$153, MATCH(T$2, Data_All!$B$2:$CA$2, 0)+1), "")</f>
        <v/>
      </c>
      <c r="U59" s="206" t="str">
        <f>IF(AND($A59&gt;=SYear_O, $A59&lt;=EYear_O, U$3&gt;0), U$3 * VLOOKUP($A59, Data_All!$A$8:$CA$153, MATCH(U$2, Data_All!$B$2:$CA$2, 0)+1), "")</f>
        <v/>
      </c>
      <c r="V59" s="206" t="str">
        <f>IF(AND($A59&gt;=SYear_O, $A59&lt;=EYear_O, V$3&gt;0), V$3 * VLOOKUP($A59, Data_All!$A$8:$CA$153, MATCH(V$2, Data_All!$B$2:$CA$2, 0)+1), "")</f>
        <v/>
      </c>
      <c r="W59" s="206" t="str">
        <f>IF(AND($A59&gt;=SYear_O, $A59&lt;=EYear_O, W$3&gt;0), W$3 * VLOOKUP($A59, Data_All!$A$8:$CA$153, MATCH(W$2, Data_All!$B$2:$CA$2, 0)+1), "")</f>
        <v/>
      </c>
      <c r="X59" s="206" t="str">
        <f>IF(AND($A59&gt;=SYear_O, $A59&lt;=EYear_O, X$3&gt;0), X$3 * VLOOKUP($A59, Data_All!$A$8:$CA$153, MATCH(X$2, Data_All!$B$2:$CA$2, 0)+1), "")</f>
        <v/>
      </c>
      <c r="Y59" s="206" t="str">
        <f>IF(AND($A59&gt;=SYear_O, $A59&lt;=EYear_O, Y$3&gt;0), Y$3 * VLOOKUP($A59, Data_All!$A$8:$CA$153, MATCH(Y$2, Data_All!$B$2:$CA$2, 0)+1), "")</f>
        <v/>
      </c>
      <c r="Z59" s="206" t="str">
        <f>IF(AND($A59&gt;=SYear_O, $A59&lt;=EYear_O, Z$3&gt;0), Z$3 * VLOOKUP($A59, Data_All!$A$8:$CA$153, MATCH(Z$2, Data_All!$B$2:$CA$2, 0)+1), "")</f>
        <v/>
      </c>
      <c r="AA59" s="206" t="str">
        <f>IF(AND($A59&gt;=SYear_O, $A59&lt;=EYear_O, AA$3&gt;0), AA$3 * VLOOKUP($A59, Data_All!$A$8:$CA$153, MATCH(AA$2, Data_All!$B$2:$CA$2, 0)+1), "")</f>
        <v/>
      </c>
      <c r="AB59" s="206" t="str">
        <f>IF(AND($A59&gt;=SYear_O, $A59&lt;=EYear_O, AB$3&gt;0), AB$3 * VLOOKUP($A59, Data_All!$A$8:$CA$153, MATCH(AB$2, Data_All!$B$2:$CA$2, 0)+1), "")</f>
        <v/>
      </c>
      <c r="AC59" s="206" t="str">
        <f>IF(AND($A59&gt;=SYear_O, $A59&lt;=EYear_O, AC$3&gt;0), AC$3 * VLOOKUP($A59, Data_All!$A$8:$CA$153, MATCH(AC$2, Data_All!$B$2:$CA$2, 0)+1), "")</f>
        <v/>
      </c>
      <c r="AD59" s="206" t="str">
        <f>IF(AND($A59&gt;=SYear_O, $A59&lt;=EYear_O, AD$3&gt;0), AD$3 * VLOOKUP($A59, Data_All!$A$8:$CA$153, MATCH(AD$2, Data_All!$B$2:$CA$2, 0)+1), "")</f>
        <v/>
      </c>
      <c r="AE59" s="206" t="str">
        <f>IF(AND($A59&gt;=SYear_O, $A59&lt;=EYear_O, AE$3&gt;0), AE$3 * VLOOKUP($A59, Data_All!$A$8:$CA$153, MATCH(AE$2, Data_All!$B$2:$CA$2, 0)+1), "")</f>
        <v/>
      </c>
      <c r="AF59" s="206" t="str">
        <f>IF(AND($A59&gt;=SYear_O, $A59&lt;=EYear_O, AF$3&gt;0), AF$3 * VLOOKUP($A59, Data_All!$A$8:$CA$153, MATCH(AF$2, Data_All!$B$2:$CA$2, 0)+1), "")</f>
        <v/>
      </c>
      <c r="AG59" s="206" t="str">
        <f>IF(AND($A59&gt;=SYear_O, $A59&lt;=EYear_O, AG$3&gt;0), AG$3 * VLOOKUP($A59, Data_All!$A$8:$CA$153, MATCH(AG$2, Data_All!$B$2:$CA$2, 0)+1), "")</f>
        <v/>
      </c>
      <c r="AH59" s="206" t="str">
        <f>IF(AND($A59&gt;=SYear_O, $A59&lt;=EYear_O, AH$3&gt;0), AH$3 * VLOOKUP($A59, Data_All!$A$8:$CA$153, MATCH(AH$2, Data_All!$B$2:$CA$2, 0)+1), "")</f>
        <v/>
      </c>
      <c r="AI59" s="206" t="str">
        <f>IF(AND($A59&gt;=SYear_O, $A59&lt;=EYear_O, AI$3&gt;0), AI$3 * VLOOKUP($A59, Data_All!$A$8:$CA$153, MATCH(AI$2, Data_All!$B$2:$CA$2, 0)+1), "")</f>
        <v/>
      </c>
      <c r="AJ59" s="206" t="str">
        <f>IF(AND($A59&gt;=SYear_O, $A59&lt;=EYear_O, AJ$3&gt;0), AJ$3 * VLOOKUP($A59, Data_All!$A$8:$CA$153, MATCH(AJ$2, Data_All!$B$2:$CA$2, 0)+1), "")</f>
        <v/>
      </c>
      <c r="AK59" s="206" t="str">
        <f>IF(AND($A59&gt;=SYear_O, $A59&lt;=EYear_O, AK$3&gt;0), AK$3 * VLOOKUP($A59, Data_All!$A$8:$CA$153, MATCH(AK$2, Data_All!$B$2:$CA$2, 0)+1), "")</f>
        <v/>
      </c>
      <c r="AL59" s="206" t="str">
        <f>IF(AND($A59&gt;=SYear_O, $A59&lt;=EYear_O, AL$3&gt;0), AL$3 * VLOOKUP($A59, Data_All!$A$8:$CA$153, MATCH(AL$2, Data_All!$B$2:$CA$2, 0)+1), "")</f>
        <v/>
      </c>
      <c r="AM59" s="206" t="str">
        <f>IF(AND($A59&gt;=SYear_O, $A59&lt;=EYear_O, AM$3&gt;0), AM$3 * VLOOKUP($A59, Data_All!$A$8:$CA$153, MATCH(AM$2, Data_All!$B$2:$CA$2, 0)+1), "")</f>
        <v/>
      </c>
      <c r="AN59" s="206" t="str">
        <f>IF(AND($A59&gt;=SYear_O, $A59&lt;=EYear_O, AN$3&gt;0), AN$3 * VLOOKUP($A59, Data_All!$A$8:$CA$153, MATCH(AN$2, Data_All!$B$2:$CA$2, 0)+1), "")</f>
        <v/>
      </c>
      <c r="AO59" s="206" t="str">
        <f>IF(AND($A59&gt;=SYear_O, $A59&lt;=EYear_O, AO$3&gt;0), AO$3 * VLOOKUP($A59, Data_All!$A$8:$CA$153, MATCH(AO$2, Data_All!$B$2:$CA$2, 0)+1), "")</f>
        <v/>
      </c>
      <c r="AP59" s="206" t="str">
        <f>IF(AND($A59&gt;=SYear_O, $A59&lt;=EYear_O, AP$3&gt;0), AP$3 * VLOOKUP($A59, Data_All!$A$8:$CA$153, MATCH(AP$2, Data_All!$B$2:$CA$2, 0)+1), "")</f>
        <v/>
      </c>
      <c r="AQ59" s="206" t="str">
        <f>IF(AND($A59&gt;=SYear_O, $A59&lt;=EYear_O, AQ$3&gt;0), AQ$3 * VLOOKUP($A59, Data_All!$A$8:$CA$153, MATCH(AQ$2, Data_All!$B$2:$CA$2, 0)+1), "")</f>
        <v/>
      </c>
      <c r="AR59" s="206" t="str">
        <f>IF(AND($A59&gt;=SYear_O, $A59&lt;=EYear_O, AR$3&gt;0), AR$3 * VLOOKUP($A59, Data_All!$A$8:$CA$153, MATCH(AR$2, Data_All!$B$2:$CA$2, 0)+1), "")</f>
        <v/>
      </c>
      <c r="AS59" s="206" t="str">
        <f>IF(AND($A59&gt;=SYear_O, $A59&lt;=EYear_O, AS$3&gt;0), AS$3 * VLOOKUP($A59, Data_All!$A$8:$CA$153, MATCH(AS$2, Data_All!$B$2:$CA$2, 0)+1), "")</f>
        <v/>
      </c>
      <c r="AT59" s="206" t="str">
        <f>IF(AND($A59&gt;=SYear_O, $A59&lt;=EYear_O, AT$3&gt;0), AT$3 * VLOOKUP($A59, Data_All!$A$8:$CA$153, MATCH(AT$2, Data_All!$B$2:$CA$2, 0)+1), "")</f>
        <v/>
      </c>
      <c r="AU59" s="206" t="str">
        <f>IF(AND($A59&gt;=SYear_O, $A59&lt;=EYear_O, AU$3&gt;0), AU$3 * VLOOKUP($A59, Data_All!$A$8:$CA$153, MATCH(AU$2, Data_All!$B$2:$CA$2, 0)+1), "")</f>
        <v/>
      </c>
      <c r="AV59" s="206" t="str">
        <f>IF(AND($A59&gt;=SYear_O, $A59&lt;=EYear_O, AV$3&gt;0), AV$3 * VLOOKUP($A59, Data_All!$A$8:$CA$153, MATCH(AV$2, Data_All!$B$2:$CA$2, 0)+1), "")</f>
        <v/>
      </c>
      <c r="AW59" s="206" t="str">
        <f>IF(AND($A59&gt;=SYear_O, $A59&lt;=EYear_O, AW$3&gt;0), AW$3 * VLOOKUP($A59, Data_All!$A$8:$CA$153, MATCH(AW$2, Data_All!$B$2:$CA$2, 0)+1), "")</f>
        <v/>
      </c>
      <c r="AX59" s="206" t="str">
        <f>IF(AND($A59&gt;=SYear_O, $A59&lt;=EYear_O, AX$3&gt;0), AX$3 * VLOOKUP($A59, Data_All!$A$8:$CA$153, MATCH(AX$2, Data_All!$B$2:$CA$2, 0)+1), "")</f>
        <v/>
      </c>
      <c r="AY59" s="206" t="str">
        <f>IF(AND($A59&gt;=SYear_O, $A59&lt;=EYear_O, AY$3&gt;0), AY$3 * VLOOKUP($A59, Data_All!$A$8:$CA$153, MATCH(AY$2, Data_All!$B$2:$CA$2, 0)+1), "")</f>
        <v/>
      </c>
      <c r="AZ59" s="206" t="str">
        <f>IF(AND($A59&gt;=SYear_O, $A59&lt;=EYear_O, AZ$3&gt;0), AZ$3 * VLOOKUP($A59, Data_All!$A$8:$CA$153, MATCH(AZ$2, Data_All!$B$2:$CA$2, 0)+1), "")</f>
        <v/>
      </c>
      <c r="BA59" s="206" t="str">
        <f>IF(AND($A59&gt;=SYear_O, $A59&lt;=EYear_O, BA$3&gt;0), BA$3 * VLOOKUP($A59, Data_All!$A$8:$CA$153, MATCH(BA$2, Data_All!$B$2:$CA$2, 0)+1), "")</f>
        <v/>
      </c>
      <c r="BB59" s="206" t="str">
        <f>IF(AND($A59&gt;=SYear_O, $A59&lt;=EYear_O, BB$3&gt;0), BB$3 * VLOOKUP($A59, Data_All!$A$8:$CA$153, MATCH(BB$2, Data_All!$B$2:$CA$2, 0)+1), "")</f>
        <v/>
      </c>
      <c r="BC59" s="206" t="str">
        <f>IF(AND($A59&gt;=SYear_O, $A59&lt;=EYear_O, BC$3&gt;0), BC$3 * VLOOKUP($A59, Data_All!$A$8:$CA$153, MATCH(BC$2, Data_All!$B$2:$CA$2, 0)+1), "")</f>
        <v/>
      </c>
      <c r="BD59" s="206" t="str">
        <f>IF(AND($A59&gt;=SYear_O, $A59&lt;=EYear_O, BD$3&gt;0), BD$3 * VLOOKUP($A59, Data_All!$A$8:$CA$153, MATCH(BD$2, Data_All!$B$2:$CA$2, 0)+1), "")</f>
        <v/>
      </c>
      <c r="BE59" s="206" t="str">
        <f>IF(AND($A59&gt;=SYear_O, $A59&lt;=EYear_O, BE$3&gt;0), BE$3 * VLOOKUP($A59, Data_All!$A$8:$CA$153, MATCH(BE$2, Data_All!$B$2:$CA$2, 0)+1), "")</f>
        <v/>
      </c>
      <c r="BF59" s="206" t="str">
        <f>IF(AND($A59&gt;=SYear_O, $A59&lt;=EYear_O, BF$3&gt;0), BF$3 * VLOOKUP($A59, Data_All!$A$8:$CA$153, MATCH(BF$2, Data_All!$B$2:$CA$2, 0)+1), "")</f>
        <v/>
      </c>
      <c r="BG59" s="206" t="str">
        <f>IF(AND($A59&gt;=SYear_O, $A59&lt;=EYear_O, BG$3&gt;0), BG$3 * VLOOKUP($A59, Data_All!$A$8:$CA$153, MATCH(BG$2, Data_All!$B$2:$CA$2, 0)+1), "")</f>
        <v/>
      </c>
      <c r="BH59" s="206" t="str">
        <f>IF(AND($A59&gt;=SYear_O, $A59&lt;=EYear_O, BH$3&gt;0), BH$3 * VLOOKUP($A59, Data_All!$A$8:$CA$153, MATCH(BH$2, Data_All!$B$2:$CA$2, 0)+1), "")</f>
        <v/>
      </c>
      <c r="BI59" s="206" t="str">
        <f>IF(AND($A59&gt;=SYear_O, $A59&lt;=EYear_O, BI$3&gt;0), BI$3 * VLOOKUP($A59, Data_All!$A$8:$CA$153, MATCH(BI$2, Data_All!$B$2:$CA$2, 0)+1), "")</f>
        <v/>
      </c>
      <c r="BJ59" s="206" t="str">
        <f>IF(AND($A59&gt;=SYear_O, $A59&lt;=EYear_O, BJ$3&gt;0), BJ$3 * VLOOKUP($A59, Data_All!$A$8:$CA$153, MATCH(BJ$2, Data_All!$B$2:$CA$2, 0)+1), "")</f>
        <v/>
      </c>
      <c r="BK59" s="206" t="str">
        <f>IF(AND($A59&gt;=SYear_O, $A59&lt;=EYear_O, BK$3&gt;0), BK$3 * VLOOKUP($A59, Data_All!$A$8:$CA$153, MATCH(BK$2, Data_All!$B$2:$CA$2, 0)+1), "")</f>
        <v/>
      </c>
      <c r="BL59" s="206" t="str">
        <f>IF(AND($A59&gt;=SYear_O, $A59&lt;=EYear_O, BL$3&gt;0), BL$3 * VLOOKUP($A59, Data_All!$A$8:$CA$153, MATCH(BL$2, Data_All!$B$2:$CA$2, 0)+1), "")</f>
        <v/>
      </c>
      <c r="BM59" s="206" t="str">
        <f>IF(AND($A59&gt;=SYear_O, $A59&lt;=EYear_O, BM$3&gt;0), BM$3 * VLOOKUP($A59, Data_All!$A$8:$CA$153, MATCH(BM$2, Data_All!$B$2:$CA$2, 0)+1), "")</f>
        <v/>
      </c>
      <c r="BN59" s="206" t="str">
        <f>IF(AND($A59&gt;=SYear_O, $A59&lt;=EYear_O, BN$3&gt;0), BN$3 * VLOOKUP($A59, Data_All!$A$8:$CA$153, MATCH(BN$2, Data_All!$B$2:$CA$2, 0)+1), "")</f>
        <v/>
      </c>
      <c r="BO59" s="206" t="str">
        <f>IF(AND($A59&gt;=SYear_O, $A59&lt;=EYear_O, BO$3&gt;0), BO$3 * VLOOKUP($A59, Data_All!$A$8:$CA$153, MATCH(BO$2, Data_All!$B$2:$CA$2, 0)+1), "")</f>
        <v/>
      </c>
      <c r="BP59" s="206" t="str">
        <f>IF(AND($A59&gt;=SYear_O, $A59&lt;=EYear_O, BP$3&gt;0), BP$3 * VLOOKUP($A59, Data_All!$A$8:$CA$153, MATCH(BP$2, Data_All!$B$2:$CA$2, 0)+1), "")</f>
        <v/>
      </c>
      <c r="BQ59" s="206" t="str">
        <f>IF(AND($A59&gt;=SYear_O, $A59&lt;=EYear_O, BQ$3&gt;0), BQ$3 * VLOOKUP($A59, Data_All!$A$8:$CA$153, MATCH(BQ$2, Data_All!$B$2:$CA$2, 0)+1), "")</f>
        <v/>
      </c>
      <c r="BR59" s="206" t="str">
        <f>IF(AND($A59&gt;=SYear_O, $A59&lt;=EYear_O, BR$3&gt;0), BR$3 * VLOOKUP($A59, Data_All!$A$8:$CA$153, MATCH(BR$2, Data_All!$B$2:$CA$2, 0)+1), "")</f>
        <v/>
      </c>
      <c r="BS59" s="206" t="str">
        <f>IF(AND($A59&gt;=SYear_O, $A59&lt;=EYear_O, BS$3&gt;0), BS$3 * VLOOKUP($A59, Data_All!$A$8:$CA$153, MATCH(BS$2, Data_All!$B$2:$CA$2, 0)+1), "")</f>
        <v/>
      </c>
      <c r="BT59" s="206" t="str">
        <f>IF(AND($A59&gt;=SYear_O, $A59&lt;=EYear_O, BT$3&gt;0), BT$3 * VLOOKUP($A59, Data_All!$A$8:$CA$153, MATCH(BT$2, Data_All!$B$2:$CA$2, 0)+1), "")</f>
        <v/>
      </c>
      <c r="BU59" s="206" t="str">
        <f>IF(AND($A59&gt;=SYear_O, $A59&lt;=EYear_O, BU$3&gt;0), BU$3 * VLOOKUP($A59, Data_All!$A$8:$CA$153, MATCH(BU$2, Data_All!$B$2:$CA$2, 0)+1), "")</f>
        <v/>
      </c>
      <c r="BV59" s="206" t="str">
        <f>IF(AND($A59&gt;=SYear_O, $A59&lt;=EYear_O, BV$3&gt;0), BV$3 * VLOOKUP($A59, Data_All!$A$8:$CA$153, MATCH(BV$2, Data_All!$B$2:$CA$2, 0)+1), "")</f>
        <v/>
      </c>
      <c r="BW59" s="206" t="str">
        <f>IF(AND($A59&gt;=SYear_O, $A59&lt;=EYear_O, BW$3&gt;0), BW$3 * VLOOKUP($A59, Data_All!$A$8:$CA$153, MATCH(BW$2, Data_All!$B$2:$CA$2, 0)+1), "")</f>
        <v/>
      </c>
      <c r="BX59" s="206">
        <f>IF(AND($A59&gt;=SYear_O, $A59&lt;=EYear_O, BX$3&gt;0), BX$3 * VLOOKUP($A59, Data_All!$A$8:$CA$153, MATCH(BX$2, Data_All!$B$2:$CA$2, 0)+1), "")</f>
        <v>3.1011235955056149</v>
      </c>
      <c r="BY59" s="206">
        <f>IF(AND($A59&gt;=SYear_O, $A59&lt;=EYear_O, BY$3&gt;0), BY$3 * VLOOKUP($A59, Data_All!$A$8:$CA$153, MATCH(BY$2, Data_All!$B$2:$CA$2, 0)+1), "")</f>
        <v>2.4976212863116842</v>
      </c>
      <c r="BZ59" s="206" t="str">
        <f>IF(AND($A59&gt;=SYear_O, $A59&lt;=EYear_O, BZ$3&gt;0), BZ$3 * VLOOKUP($A59, Data_All!$A$8:$CA$153, MATCH(BZ$2, Data_All!$B$2:$CA$2, 0)+1), "")</f>
        <v/>
      </c>
      <c r="CA59" s="565">
        <f t="shared" si="19"/>
        <v>5.5987448818172991</v>
      </c>
      <c r="CB59" s="427">
        <f t="shared" si="20"/>
        <v>202681.12363696675</v>
      </c>
      <c r="CC59" s="565">
        <f>IF(AND($A59&gt;=SYear_O,$A59&lt;=EYear_O),(CA59-Data_All!CA60)/(1+Data_All!CA60%),"")</f>
        <v>2.5467580355220121</v>
      </c>
      <c r="CD59" s="436">
        <f t="shared" si="21"/>
        <v>146024.84904969341</v>
      </c>
      <c r="CE59" s="438">
        <f t="shared" si="22"/>
        <v>18.383023626246651</v>
      </c>
      <c r="CF59" s="438">
        <f>IF(AND($A59&gt;=SYear_O,$A59&lt;=EYear_O),MAX($CE$7:CE59),"")</f>
        <v>18.383023626246651</v>
      </c>
      <c r="CG59" s="209">
        <f t="shared" si="23"/>
        <v>0</v>
      </c>
      <c r="CI59" s="143">
        <f>IF(AND($A59&gt;=SYear_O,$A59&lt;=EYear_O),Data_All!V60,"")</f>
        <v>4.8656209411529625</v>
      </c>
      <c r="CJ59" s="143">
        <f>IF(AND($A59&gt;=SYear_O,$A59&lt;=EYear_O),Data_All!CA60,"")</f>
        <v>2.9761904761904656</v>
      </c>
      <c r="CK59" s="143">
        <f t="shared" si="24"/>
        <v>1.8348226480560665</v>
      </c>
      <c r="CN59" s="61">
        <f t="shared" si="25"/>
        <v>5.598744881817308E-2</v>
      </c>
      <c r="CO59" s="61">
        <f t="shared" si="26"/>
        <v>0.13194645909470082</v>
      </c>
      <c r="CP59" s="61">
        <f t="shared" si="27"/>
        <v>0.14152698239680905</v>
      </c>
      <c r="CQ59" s="61">
        <f t="shared" si="28"/>
        <v>4.7375239920806944E-2</v>
      </c>
      <c r="CR59" s="61">
        <f t="shared" si="29"/>
        <v>7.0432449559559851E-2</v>
      </c>
      <c r="CU59" s="61">
        <f t="shared" si="30"/>
        <v>2.5467580355220232E-2</v>
      </c>
      <c r="CV59" s="61">
        <f t="shared" si="31"/>
        <v>0.10826759647590478</v>
      </c>
      <c r="CW59" s="61">
        <f t="shared" si="32"/>
        <v>0.13485092802060761</v>
      </c>
      <c r="CX59" s="61">
        <f t="shared" si="33"/>
        <v>7.5410469210496656E-2</v>
      </c>
      <c r="CY59" s="61">
        <f t="shared" si="34"/>
        <v>8.2498562999831604E-2</v>
      </c>
    </row>
    <row r="60" spans="1:103">
      <c r="A60" s="204">
        <f t="shared" si="18"/>
        <v>1924</v>
      </c>
      <c r="B60" s="206" t="str">
        <f>IF(AND($A60&gt;=SYear_O, $A60&lt;=EYear_O, B$3&gt;0), B$3 * VLOOKUP($A60, Data_All!$A$8:$CA$153, MATCH(B$2, Data_All!$B$2:$CA$2, 0)+1), "")</f>
        <v/>
      </c>
      <c r="C60" s="206" t="str">
        <f>IF(AND($A60&gt;=SYear_O, $A60&lt;=EYear_O, C$3&gt;0), C$3 * VLOOKUP($A60, Data_All!$A$8:$CA$153, MATCH(C$2, Data_All!$B$2:$CA$2, 0)+1), "")</f>
        <v/>
      </c>
      <c r="D60" s="206" t="str">
        <f>IF(AND($A60&gt;=SYear_O, $A60&lt;=EYear_O, D$3&gt;0), D$3 * VLOOKUP($A60, Data_All!$A$8:$CA$153, MATCH(D$2, Data_All!$B$2:$CA$2, 0)+1), "")</f>
        <v/>
      </c>
      <c r="E60" s="206" t="str">
        <f>IF(AND($A60&gt;=SYear_O, $A60&lt;=EYear_O, E$3&gt;0), E$3 * VLOOKUP($A60, Data_All!$A$8:$CA$153, MATCH(E$2, Data_All!$B$2:$CA$2, 0)+1), "")</f>
        <v/>
      </c>
      <c r="F60" s="206" t="str">
        <f>IF(AND($A60&gt;=SYear_O, $A60&lt;=EYear_O, F$3&gt;0), F$3 * VLOOKUP($A60, Data_All!$A$8:$CA$153, MATCH(F$2, Data_All!$B$2:$CA$2, 0)+1), "")</f>
        <v/>
      </c>
      <c r="G60" s="206" t="str">
        <f>IF(AND($A60&gt;=SYear_O, $A60&lt;=EYear_O, G$3&gt;0), G$3 * VLOOKUP($A60, Data_All!$A$8:$CA$153, MATCH(G$2, Data_All!$B$2:$CA$2, 0)+1), "")</f>
        <v/>
      </c>
      <c r="H60" s="206" t="str">
        <f>IF(AND($A60&gt;=SYear_O, $A60&lt;=EYear_O, H$3&gt;0), H$3 * VLOOKUP($A60, Data_All!$A$8:$CA$153, MATCH(H$2, Data_All!$B$2:$CA$2, 0)+1), "")</f>
        <v/>
      </c>
      <c r="I60" s="206" t="str">
        <f>IF(AND($A60&gt;=SYear_O, $A60&lt;=EYear_O, I$3&gt;0), I$3 * VLOOKUP($A60, Data_All!$A$8:$CA$153, MATCH(I$2, Data_All!$B$2:$CA$2, 0)+1), "")</f>
        <v/>
      </c>
      <c r="J60" s="206" t="str">
        <f>IF(AND($A60&gt;=SYear_O, $A60&lt;=EYear_O, J$3&gt;0), J$3 * VLOOKUP($A60, Data_All!$A$8:$CA$153, MATCH(J$2, Data_All!$B$2:$CA$2, 0)+1), "")</f>
        <v/>
      </c>
      <c r="K60" s="206" t="str">
        <f>IF(AND($A60&gt;=SYear_O, $A60&lt;=EYear_O, K$3&gt;0), K$3 * VLOOKUP($A60, Data_All!$A$8:$CA$153, MATCH(K$2, Data_All!$B$2:$CA$2, 0)+1), "")</f>
        <v/>
      </c>
      <c r="L60" s="206" t="str">
        <f>IF(AND($A60&gt;=SYear_O, $A60&lt;=EYear_O, L$3&gt;0), L$3 * VLOOKUP($A60, Data_All!$A$8:$CA$153, MATCH(L$2, Data_All!$B$2:$CA$2, 0)+1), "")</f>
        <v/>
      </c>
      <c r="M60" s="206" t="str">
        <f>IF(AND($A60&gt;=SYear_O, $A60&lt;=EYear_O, M$3&gt;0), M$3 * VLOOKUP($A60, Data_All!$A$8:$CA$153, MATCH(M$2, Data_All!$B$2:$CA$2, 0)+1), "")</f>
        <v/>
      </c>
      <c r="N60" s="206" t="str">
        <f>IF(AND($A60&gt;=SYear_O, $A60&lt;=EYear_O, N$3&gt;0), N$3 * VLOOKUP($A60, Data_All!$A$8:$CA$153, MATCH(N$2, Data_All!$B$2:$CA$2, 0)+1), "")</f>
        <v/>
      </c>
      <c r="O60" s="206" t="str">
        <f>IF(AND($A60&gt;=SYear_O, $A60&lt;=EYear_O, O$3&gt;0), O$3 * VLOOKUP($A60, Data_All!$A$8:$CA$153, MATCH(O$2, Data_All!$B$2:$CA$2, 0)+1), "")</f>
        <v/>
      </c>
      <c r="P60" s="206" t="str">
        <f>IF(AND($A60&gt;=SYear_O, $A60&lt;=EYear_O, P$3&gt;0), P$3 * VLOOKUP($A60, Data_All!$A$8:$CA$153, MATCH(P$2, Data_All!$B$2:$CA$2, 0)+1), "")</f>
        <v/>
      </c>
      <c r="Q60" s="206" t="str">
        <f>IF(AND($A60&gt;=SYear_O, $A60&lt;=EYear_O, Q$3&gt;0), Q$3 * VLOOKUP($A60, Data_All!$A$8:$CA$153, MATCH(Q$2, Data_All!$B$2:$CA$2, 0)+1), "")</f>
        <v/>
      </c>
      <c r="R60" s="206" t="str">
        <f>IF(AND($A60&gt;=SYear_O, $A60&lt;=EYear_O, R$3&gt;0), R$3 * VLOOKUP($A60, Data_All!$A$8:$CA$153, MATCH(R$2, Data_All!$B$2:$CA$2, 0)+1), "")</f>
        <v/>
      </c>
      <c r="S60" s="206" t="str">
        <f>IF(AND($A60&gt;=SYear_O, $A60&lt;=EYear_O, S$3&gt;0), S$3 * VLOOKUP($A60, Data_All!$A$8:$CA$153, MATCH(S$2, Data_All!$B$2:$CA$2, 0)+1), "")</f>
        <v/>
      </c>
      <c r="T60" s="206" t="str">
        <f>IF(AND($A60&gt;=SYear_O, $A60&lt;=EYear_O, T$3&gt;0), T$3 * VLOOKUP($A60, Data_All!$A$8:$CA$153, MATCH(T$2, Data_All!$B$2:$CA$2, 0)+1), "")</f>
        <v/>
      </c>
      <c r="U60" s="206" t="str">
        <f>IF(AND($A60&gt;=SYear_O, $A60&lt;=EYear_O, U$3&gt;0), U$3 * VLOOKUP($A60, Data_All!$A$8:$CA$153, MATCH(U$2, Data_All!$B$2:$CA$2, 0)+1), "")</f>
        <v/>
      </c>
      <c r="V60" s="206" t="str">
        <f>IF(AND($A60&gt;=SYear_O, $A60&lt;=EYear_O, V$3&gt;0), V$3 * VLOOKUP($A60, Data_All!$A$8:$CA$153, MATCH(V$2, Data_All!$B$2:$CA$2, 0)+1), "")</f>
        <v/>
      </c>
      <c r="W60" s="206" t="str">
        <f>IF(AND($A60&gt;=SYear_O, $A60&lt;=EYear_O, W$3&gt;0), W$3 * VLOOKUP($A60, Data_All!$A$8:$CA$153, MATCH(W$2, Data_All!$B$2:$CA$2, 0)+1), "")</f>
        <v/>
      </c>
      <c r="X60" s="206" t="str">
        <f>IF(AND($A60&gt;=SYear_O, $A60&lt;=EYear_O, X$3&gt;0), X$3 * VLOOKUP($A60, Data_All!$A$8:$CA$153, MATCH(X$2, Data_All!$B$2:$CA$2, 0)+1), "")</f>
        <v/>
      </c>
      <c r="Y60" s="206" t="str">
        <f>IF(AND($A60&gt;=SYear_O, $A60&lt;=EYear_O, Y$3&gt;0), Y$3 * VLOOKUP($A60, Data_All!$A$8:$CA$153, MATCH(Y$2, Data_All!$B$2:$CA$2, 0)+1), "")</f>
        <v/>
      </c>
      <c r="Z60" s="206" t="str">
        <f>IF(AND($A60&gt;=SYear_O, $A60&lt;=EYear_O, Z$3&gt;0), Z$3 * VLOOKUP($A60, Data_All!$A$8:$CA$153, MATCH(Z$2, Data_All!$B$2:$CA$2, 0)+1), "")</f>
        <v/>
      </c>
      <c r="AA60" s="206" t="str">
        <f>IF(AND($A60&gt;=SYear_O, $A60&lt;=EYear_O, AA$3&gt;0), AA$3 * VLOOKUP($A60, Data_All!$A$8:$CA$153, MATCH(AA$2, Data_All!$B$2:$CA$2, 0)+1), "")</f>
        <v/>
      </c>
      <c r="AB60" s="206" t="str">
        <f>IF(AND($A60&gt;=SYear_O, $A60&lt;=EYear_O, AB$3&gt;0), AB$3 * VLOOKUP($A60, Data_All!$A$8:$CA$153, MATCH(AB$2, Data_All!$B$2:$CA$2, 0)+1), "")</f>
        <v/>
      </c>
      <c r="AC60" s="206" t="str">
        <f>IF(AND($A60&gt;=SYear_O, $A60&lt;=EYear_O, AC$3&gt;0), AC$3 * VLOOKUP($A60, Data_All!$A$8:$CA$153, MATCH(AC$2, Data_All!$B$2:$CA$2, 0)+1), "")</f>
        <v/>
      </c>
      <c r="AD60" s="206" t="str">
        <f>IF(AND($A60&gt;=SYear_O, $A60&lt;=EYear_O, AD$3&gt;0), AD$3 * VLOOKUP($A60, Data_All!$A$8:$CA$153, MATCH(AD$2, Data_All!$B$2:$CA$2, 0)+1), "")</f>
        <v/>
      </c>
      <c r="AE60" s="206" t="str">
        <f>IF(AND($A60&gt;=SYear_O, $A60&lt;=EYear_O, AE$3&gt;0), AE$3 * VLOOKUP($A60, Data_All!$A$8:$CA$153, MATCH(AE$2, Data_All!$B$2:$CA$2, 0)+1), "")</f>
        <v/>
      </c>
      <c r="AF60" s="206" t="str">
        <f>IF(AND($A60&gt;=SYear_O, $A60&lt;=EYear_O, AF$3&gt;0), AF$3 * VLOOKUP($A60, Data_All!$A$8:$CA$153, MATCH(AF$2, Data_All!$B$2:$CA$2, 0)+1), "")</f>
        <v/>
      </c>
      <c r="AG60" s="206" t="str">
        <f>IF(AND($A60&gt;=SYear_O, $A60&lt;=EYear_O, AG$3&gt;0), AG$3 * VLOOKUP($A60, Data_All!$A$8:$CA$153, MATCH(AG$2, Data_All!$B$2:$CA$2, 0)+1), "")</f>
        <v/>
      </c>
      <c r="AH60" s="206" t="str">
        <f>IF(AND($A60&gt;=SYear_O, $A60&lt;=EYear_O, AH$3&gt;0), AH$3 * VLOOKUP($A60, Data_All!$A$8:$CA$153, MATCH(AH$2, Data_All!$B$2:$CA$2, 0)+1), "")</f>
        <v/>
      </c>
      <c r="AI60" s="206" t="str">
        <f>IF(AND($A60&gt;=SYear_O, $A60&lt;=EYear_O, AI$3&gt;0), AI$3 * VLOOKUP($A60, Data_All!$A$8:$CA$153, MATCH(AI$2, Data_All!$B$2:$CA$2, 0)+1), "")</f>
        <v/>
      </c>
      <c r="AJ60" s="206" t="str">
        <f>IF(AND($A60&gt;=SYear_O, $A60&lt;=EYear_O, AJ$3&gt;0), AJ$3 * VLOOKUP($A60, Data_All!$A$8:$CA$153, MATCH(AJ$2, Data_All!$B$2:$CA$2, 0)+1), "")</f>
        <v/>
      </c>
      <c r="AK60" s="206" t="str">
        <f>IF(AND($A60&gt;=SYear_O, $A60&lt;=EYear_O, AK$3&gt;0), AK$3 * VLOOKUP($A60, Data_All!$A$8:$CA$153, MATCH(AK$2, Data_All!$B$2:$CA$2, 0)+1), "")</f>
        <v/>
      </c>
      <c r="AL60" s="206" t="str">
        <f>IF(AND($A60&gt;=SYear_O, $A60&lt;=EYear_O, AL$3&gt;0), AL$3 * VLOOKUP($A60, Data_All!$A$8:$CA$153, MATCH(AL$2, Data_All!$B$2:$CA$2, 0)+1), "")</f>
        <v/>
      </c>
      <c r="AM60" s="206" t="str">
        <f>IF(AND($A60&gt;=SYear_O, $A60&lt;=EYear_O, AM$3&gt;0), AM$3 * VLOOKUP($A60, Data_All!$A$8:$CA$153, MATCH(AM$2, Data_All!$B$2:$CA$2, 0)+1), "")</f>
        <v/>
      </c>
      <c r="AN60" s="206" t="str">
        <f>IF(AND($A60&gt;=SYear_O, $A60&lt;=EYear_O, AN$3&gt;0), AN$3 * VLOOKUP($A60, Data_All!$A$8:$CA$153, MATCH(AN$2, Data_All!$B$2:$CA$2, 0)+1), "")</f>
        <v/>
      </c>
      <c r="AO60" s="206" t="str">
        <f>IF(AND($A60&gt;=SYear_O, $A60&lt;=EYear_O, AO$3&gt;0), AO$3 * VLOOKUP($A60, Data_All!$A$8:$CA$153, MATCH(AO$2, Data_All!$B$2:$CA$2, 0)+1), "")</f>
        <v/>
      </c>
      <c r="AP60" s="206" t="str">
        <f>IF(AND($A60&gt;=SYear_O, $A60&lt;=EYear_O, AP$3&gt;0), AP$3 * VLOOKUP($A60, Data_All!$A$8:$CA$153, MATCH(AP$2, Data_All!$B$2:$CA$2, 0)+1), "")</f>
        <v/>
      </c>
      <c r="AQ60" s="206" t="str">
        <f>IF(AND($A60&gt;=SYear_O, $A60&lt;=EYear_O, AQ$3&gt;0), AQ$3 * VLOOKUP($A60, Data_All!$A$8:$CA$153, MATCH(AQ$2, Data_All!$B$2:$CA$2, 0)+1), "")</f>
        <v/>
      </c>
      <c r="AR60" s="206" t="str">
        <f>IF(AND($A60&gt;=SYear_O, $A60&lt;=EYear_O, AR$3&gt;0), AR$3 * VLOOKUP($A60, Data_All!$A$8:$CA$153, MATCH(AR$2, Data_All!$B$2:$CA$2, 0)+1), "")</f>
        <v/>
      </c>
      <c r="AS60" s="206" t="str">
        <f>IF(AND($A60&gt;=SYear_O, $A60&lt;=EYear_O, AS$3&gt;0), AS$3 * VLOOKUP($A60, Data_All!$A$8:$CA$153, MATCH(AS$2, Data_All!$B$2:$CA$2, 0)+1), "")</f>
        <v/>
      </c>
      <c r="AT60" s="206" t="str">
        <f>IF(AND($A60&gt;=SYear_O, $A60&lt;=EYear_O, AT$3&gt;0), AT$3 * VLOOKUP($A60, Data_All!$A$8:$CA$153, MATCH(AT$2, Data_All!$B$2:$CA$2, 0)+1), "")</f>
        <v/>
      </c>
      <c r="AU60" s="206" t="str">
        <f>IF(AND($A60&gt;=SYear_O, $A60&lt;=EYear_O, AU$3&gt;0), AU$3 * VLOOKUP($A60, Data_All!$A$8:$CA$153, MATCH(AU$2, Data_All!$B$2:$CA$2, 0)+1), "")</f>
        <v/>
      </c>
      <c r="AV60" s="206" t="str">
        <f>IF(AND($A60&gt;=SYear_O, $A60&lt;=EYear_O, AV$3&gt;0), AV$3 * VLOOKUP($A60, Data_All!$A$8:$CA$153, MATCH(AV$2, Data_All!$B$2:$CA$2, 0)+1), "")</f>
        <v/>
      </c>
      <c r="AW60" s="206" t="str">
        <f>IF(AND($A60&gt;=SYear_O, $A60&lt;=EYear_O, AW$3&gt;0), AW$3 * VLOOKUP($A60, Data_All!$A$8:$CA$153, MATCH(AW$2, Data_All!$B$2:$CA$2, 0)+1), "")</f>
        <v/>
      </c>
      <c r="AX60" s="206" t="str">
        <f>IF(AND($A60&gt;=SYear_O, $A60&lt;=EYear_O, AX$3&gt;0), AX$3 * VLOOKUP($A60, Data_All!$A$8:$CA$153, MATCH(AX$2, Data_All!$B$2:$CA$2, 0)+1), "")</f>
        <v/>
      </c>
      <c r="AY60" s="206" t="str">
        <f>IF(AND($A60&gt;=SYear_O, $A60&lt;=EYear_O, AY$3&gt;0), AY$3 * VLOOKUP($A60, Data_All!$A$8:$CA$153, MATCH(AY$2, Data_All!$B$2:$CA$2, 0)+1), "")</f>
        <v/>
      </c>
      <c r="AZ60" s="206" t="str">
        <f>IF(AND($A60&gt;=SYear_O, $A60&lt;=EYear_O, AZ$3&gt;0), AZ$3 * VLOOKUP($A60, Data_All!$A$8:$CA$153, MATCH(AZ$2, Data_All!$B$2:$CA$2, 0)+1), "")</f>
        <v/>
      </c>
      <c r="BA60" s="206" t="str">
        <f>IF(AND($A60&gt;=SYear_O, $A60&lt;=EYear_O, BA$3&gt;0), BA$3 * VLOOKUP($A60, Data_All!$A$8:$CA$153, MATCH(BA$2, Data_All!$B$2:$CA$2, 0)+1), "")</f>
        <v/>
      </c>
      <c r="BB60" s="206" t="str">
        <f>IF(AND($A60&gt;=SYear_O, $A60&lt;=EYear_O, BB$3&gt;0), BB$3 * VLOOKUP($A60, Data_All!$A$8:$CA$153, MATCH(BB$2, Data_All!$B$2:$CA$2, 0)+1), "")</f>
        <v/>
      </c>
      <c r="BC60" s="206" t="str">
        <f>IF(AND($A60&gt;=SYear_O, $A60&lt;=EYear_O, BC$3&gt;0), BC$3 * VLOOKUP($A60, Data_All!$A$8:$CA$153, MATCH(BC$2, Data_All!$B$2:$CA$2, 0)+1), "")</f>
        <v/>
      </c>
      <c r="BD60" s="206" t="str">
        <f>IF(AND($A60&gt;=SYear_O, $A60&lt;=EYear_O, BD$3&gt;0), BD$3 * VLOOKUP($A60, Data_All!$A$8:$CA$153, MATCH(BD$2, Data_All!$B$2:$CA$2, 0)+1), "")</f>
        <v/>
      </c>
      <c r="BE60" s="206" t="str">
        <f>IF(AND($A60&gt;=SYear_O, $A60&lt;=EYear_O, BE$3&gt;0), BE$3 * VLOOKUP($A60, Data_All!$A$8:$CA$153, MATCH(BE$2, Data_All!$B$2:$CA$2, 0)+1), "")</f>
        <v/>
      </c>
      <c r="BF60" s="206" t="str">
        <f>IF(AND($A60&gt;=SYear_O, $A60&lt;=EYear_O, BF$3&gt;0), BF$3 * VLOOKUP($A60, Data_All!$A$8:$CA$153, MATCH(BF$2, Data_All!$B$2:$CA$2, 0)+1), "")</f>
        <v/>
      </c>
      <c r="BG60" s="206" t="str">
        <f>IF(AND($A60&gt;=SYear_O, $A60&lt;=EYear_O, BG$3&gt;0), BG$3 * VLOOKUP($A60, Data_All!$A$8:$CA$153, MATCH(BG$2, Data_All!$B$2:$CA$2, 0)+1), "")</f>
        <v/>
      </c>
      <c r="BH60" s="206" t="str">
        <f>IF(AND($A60&gt;=SYear_O, $A60&lt;=EYear_O, BH$3&gt;0), BH$3 * VLOOKUP($A60, Data_All!$A$8:$CA$153, MATCH(BH$2, Data_All!$B$2:$CA$2, 0)+1), "")</f>
        <v/>
      </c>
      <c r="BI60" s="206" t="str">
        <f>IF(AND($A60&gt;=SYear_O, $A60&lt;=EYear_O, BI$3&gt;0), BI$3 * VLOOKUP($A60, Data_All!$A$8:$CA$153, MATCH(BI$2, Data_All!$B$2:$CA$2, 0)+1), "")</f>
        <v/>
      </c>
      <c r="BJ60" s="206" t="str">
        <f>IF(AND($A60&gt;=SYear_O, $A60&lt;=EYear_O, BJ$3&gt;0), BJ$3 * VLOOKUP($A60, Data_All!$A$8:$CA$153, MATCH(BJ$2, Data_All!$B$2:$CA$2, 0)+1), "")</f>
        <v/>
      </c>
      <c r="BK60" s="206" t="str">
        <f>IF(AND($A60&gt;=SYear_O, $A60&lt;=EYear_O, BK$3&gt;0), BK$3 * VLOOKUP($A60, Data_All!$A$8:$CA$153, MATCH(BK$2, Data_All!$B$2:$CA$2, 0)+1), "")</f>
        <v/>
      </c>
      <c r="BL60" s="206" t="str">
        <f>IF(AND($A60&gt;=SYear_O, $A60&lt;=EYear_O, BL$3&gt;0), BL$3 * VLOOKUP($A60, Data_All!$A$8:$CA$153, MATCH(BL$2, Data_All!$B$2:$CA$2, 0)+1), "")</f>
        <v/>
      </c>
      <c r="BM60" s="206" t="str">
        <f>IF(AND($A60&gt;=SYear_O, $A60&lt;=EYear_O, BM$3&gt;0), BM$3 * VLOOKUP($A60, Data_All!$A$8:$CA$153, MATCH(BM$2, Data_All!$B$2:$CA$2, 0)+1), "")</f>
        <v/>
      </c>
      <c r="BN60" s="206" t="str">
        <f>IF(AND($A60&gt;=SYear_O, $A60&lt;=EYear_O, BN$3&gt;0), BN$3 * VLOOKUP($A60, Data_All!$A$8:$CA$153, MATCH(BN$2, Data_All!$B$2:$CA$2, 0)+1), "")</f>
        <v/>
      </c>
      <c r="BO60" s="206" t="str">
        <f>IF(AND($A60&gt;=SYear_O, $A60&lt;=EYear_O, BO$3&gt;0), BO$3 * VLOOKUP($A60, Data_All!$A$8:$CA$153, MATCH(BO$2, Data_All!$B$2:$CA$2, 0)+1), "")</f>
        <v/>
      </c>
      <c r="BP60" s="206" t="str">
        <f>IF(AND($A60&gt;=SYear_O, $A60&lt;=EYear_O, BP$3&gt;0), BP$3 * VLOOKUP($A60, Data_All!$A$8:$CA$153, MATCH(BP$2, Data_All!$B$2:$CA$2, 0)+1), "")</f>
        <v/>
      </c>
      <c r="BQ60" s="206" t="str">
        <f>IF(AND($A60&gt;=SYear_O, $A60&lt;=EYear_O, BQ$3&gt;0), BQ$3 * VLOOKUP($A60, Data_All!$A$8:$CA$153, MATCH(BQ$2, Data_All!$B$2:$CA$2, 0)+1), "")</f>
        <v/>
      </c>
      <c r="BR60" s="206" t="str">
        <f>IF(AND($A60&gt;=SYear_O, $A60&lt;=EYear_O, BR$3&gt;0), BR$3 * VLOOKUP($A60, Data_All!$A$8:$CA$153, MATCH(BR$2, Data_All!$B$2:$CA$2, 0)+1), "")</f>
        <v/>
      </c>
      <c r="BS60" s="206" t="str">
        <f>IF(AND($A60&gt;=SYear_O, $A60&lt;=EYear_O, BS$3&gt;0), BS$3 * VLOOKUP($A60, Data_All!$A$8:$CA$153, MATCH(BS$2, Data_All!$B$2:$CA$2, 0)+1), "")</f>
        <v/>
      </c>
      <c r="BT60" s="206" t="str">
        <f>IF(AND($A60&gt;=SYear_O, $A60&lt;=EYear_O, BT$3&gt;0), BT$3 * VLOOKUP($A60, Data_All!$A$8:$CA$153, MATCH(BT$2, Data_All!$B$2:$CA$2, 0)+1), "")</f>
        <v/>
      </c>
      <c r="BU60" s="206" t="str">
        <f>IF(AND($A60&gt;=SYear_O, $A60&lt;=EYear_O, BU$3&gt;0), BU$3 * VLOOKUP($A60, Data_All!$A$8:$CA$153, MATCH(BU$2, Data_All!$B$2:$CA$2, 0)+1), "")</f>
        <v/>
      </c>
      <c r="BV60" s="206" t="str">
        <f>IF(AND($A60&gt;=SYear_O, $A60&lt;=EYear_O, BV$3&gt;0), BV$3 * VLOOKUP($A60, Data_All!$A$8:$CA$153, MATCH(BV$2, Data_All!$B$2:$CA$2, 0)+1), "")</f>
        <v/>
      </c>
      <c r="BW60" s="206" t="str">
        <f>IF(AND($A60&gt;=SYear_O, $A60&lt;=EYear_O, BW$3&gt;0), BW$3 * VLOOKUP($A60, Data_All!$A$8:$CA$153, MATCH(BW$2, Data_All!$B$2:$CA$2, 0)+1), "")</f>
        <v/>
      </c>
      <c r="BX60" s="206">
        <f>IF(AND($A60&gt;=SYear_O, $A60&lt;=EYear_O, BX$3&gt;0), BX$3 * VLOOKUP($A60, Data_All!$A$8:$CA$153, MATCH(BX$2, Data_All!$B$2:$CA$2, 0)+1), "")</f>
        <v>15.628539071347678</v>
      </c>
      <c r="BY60" s="206">
        <f>IF(AND($A60&gt;=SYear_O, $A60&lt;=EYear_O, BY$3&gt;0), BY$3 * VLOOKUP($A60, Data_All!$A$8:$CA$153, MATCH(BY$2, Data_All!$B$2:$CA$2, 0)+1), "")</f>
        <v>2.1733602109798333</v>
      </c>
      <c r="BZ60" s="206" t="str">
        <f>IF(AND($A60&gt;=SYear_O, $A60&lt;=EYear_O, BZ$3&gt;0), BZ$3 * VLOOKUP($A60, Data_All!$A$8:$CA$153, MATCH(BZ$2, Data_All!$B$2:$CA$2, 0)+1), "")</f>
        <v/>
      </c>
      <c r="CA60" s="565">
        <f t="shared" si="19"/>
        <v>17.801899282327511</v>
      </c>
      <c r="CB60" s="427">
        <f t="shared" si="20"/>
        <v>238762.21313110928</v>
      </c>
      <c r="CC60" s="565">
        <f>IF(AND($A60&gt;=SYear_O,$A60&lt;=EYear_O),(CA60-Data_All!CA61)/(1+Data_All!CA61%),"")</f>
        <v>17.801899282327511</v>
      </c>
      <c r="CD60" s="436">
        <f t="shared" si="21"/>
        <v>172020.04560469062</v>
      </c>
      <c r="CE60" s="438">
        <f t="shared" si="22"/>
        <v>21.655550977237549</v>
      </c>
      <c r="CF60" s="438">
        <f>IF(AND($A60&gt;=SYear_O,$A60&lt;=EYear_O),MAX($CE$7:CE60),"")</f>
        <v>21.655550977237549</v>
      </c>
      <c r="CG60" s="209">
        <f t="shared" si="23"/>
        <v>0</v>
      </c>
      <c r="CI60" s="143">
        <f>IF(AND($A60&gt;=SYear_O,$A60&lt;=EYear_O),Data_All!V61,"")</f>
        <v>4.2461784394045363</v>
      </c>
      <c r="CJ60" s="143">
        <f>IF(AND($A60&gt;=SYear_O,$A60&lt;=EYear_O),Data_All!CA61,"")</f>
        <v>0</v>
      </c>
      <c r="CK60" s="143">
        <f t="shared" si="24"/>
        <v>4.2461784394045363</v>
      </c>
      <c r="CN60" s="61">
        <f t="shared" si="25"/>
        <v>0.17801899282327516</v>
      </c>
      <c r="CO60" s="61">
        <f t="shared" si="26"/>
        <v>0.1428276991037043</v>
      </c>
      <c r="CP60" s="61">
        <f t="shared" si="27"/>
        <v>0.18634070742293729</v>
      </c>
      <c r="CQ60" s="61">
        <f t="shared" si="28"/>
        <v>7.3317051043271464E-2</v>
      </c>
      <c r="CR60" s="61">
        <f t="shared" si="29"/>
        <v>7.3728824529448511E-2</v>
      </c>
      <c r="CU60" s="61">
        <f t="shared" si="30"/>
        <v>0.17801899282327516</v>
      </c>
      <c r="CV60" s="61">
        <f t="shared" si="31"/>
        <v>0.13845737840689698</v>
      </c>
      <c r="CW60" s="61">
        <f t="shared" si="32"/>
        <v>0.18910288100816786</v>
      </c>
      <c r="CX60" s="61">
        <f t="shared" si="33"/>
        <v>0.10274537742053758</v>
      </c>
      <c r="CY60" s="61">
        <f t="shared" si="34"/>
        <v>8.8986468082976833E-2</v>
      </c>
    </row>
    <row r="61" spans="1:103">
      <c r="A61" s="204">
        <f t="shared" si="18"/>
        <v>1925</v>
      </c>
      <c r="B61" s="206" t="str">
        <f>IF(AND($A61&gt;=SYear_O, $A61&lt;=EYear_O, B$3&gt;0), B$3 * VLOOKUP($A61, Data_All!$A$8:$CA$153, MATCH(B$2, Data_All!$B$2:$CA$2, 0)+1), "")</f>
        <v/>
      </c>
      <c r="C61" s="206" t="str">
        <f>IF(AND($A61&gt;=SYear_O, $A61&lt;=EYear_O, C$3&gt;0), C$3 * VLOOKUP($A61, Data_All!$A$8:$CA$153, MATCH(C$2, Data_All!$B$2:$CA$2, 0)+1), "")</f>
        <v/>
      </c>
      <c r="D61" s="206" t="str">
        <f>IF(AND($A61&gt;=SYear_O, $A61&lt;=EYear_O, D$3&gt;0), D$3 * VLOOKUP($A61, Data_All!$A$8:$CA$153, MATCH(D$2, Data_All!$B$2:$CA$2, 0)+1), "")</f>
        <v/>
      </c>
      <c r="E61" s="206" t="str">
        <f>IF(AND($A61&gt;=SYear_O, $A61&lt;=EYear_O, E$3&gt;0), E$3 * VLOOKUP($A61, Data_All!$A$8:$CA$153, MATCH(E$2, Data_All!$B$2:$CA$2, 0)+1), "")</f>
        <v/>
      </c>
      <c r="F61" s="206" t="str">
        <f>IF(AND($A61&gt;=SYear_O, $A61&lt;=EYear_O, F$3&gt;0), F$3 * VLOOKUP($A61, Data_All!$A$8:$CA$153, MATCH(F$2, Data_All!$B$2:$CA$2, 0)+1), "")</f>
        <v/>
      </c>
      <c r="G61" s="206" t="str">
        <f>IF(AND($A61&gt;=SYear_O, $A61&lt;=EYear_O, G$3&gt;0), G$3 * VLOOKUP($A61, Data_All!$A$8:$CA$153, MATCH(G$2, Data_All!$B$2:$CA$2, 0)+1), "")</f>
        <v/>
      </c>
      <c r="H61" s="206" t="str">
        <f>IF(AND($A61&gt;=SYear_O, $A61&lt;=EYear_O, H$3&gt;0), H$3 * VLOOKUP($A61, Data_All!$A$8:$CA$153, MATCH(H$2, Data_All!$B$2:$CA$2, 0)+1), "")</f>
        <v/>
      </c>
      <c r="I61" s="206" t="str">
        <f>IF(AND($A61&gt;=SYear_O, $A61&lt;=EYear_O, I$3&gt;0), I$3 * VLOOKUP($A61, Data_All!$A$8:$CA$153, MATCH(I$2, Data_All!$B$2:$CA$2, 0)+1), "")</f>
        <v/>
      </c>
      <c r="J61" s="206" t="str">
        <f>IF(AND($A61&gt;=SYear_O, $A61&lt;=EYear_O, J$3&gt;0), J$3 * VLOOKUP($A61, Data_All!$A$8:$CA$153, MATCH(J$2, Data_All!$B$2:$CA$2, 0)+1), "")</f>
        <v/>
      </c>
      <c r="K61" s="206" t="str">
        <f>IF(AND($A61&gt;=SYear_O, $A61&lt;=EYear_O, K$3&gt;0), K$3 * VLOOKUP($A61, Data_All!$A$8:$CA$153, MATCH(K$2, Data_All!$B$2:$CA$2, 0)+1), "")</f>
        <v/>
      </c>
      <c r="L61" s="206" t="str">
        <f>IF(AND($A61&gt;=SYear_O, $A61&lt;=EYear_O, L$3&gt;0), L$3 * VLOOKUP($A61, Data_All!$A$8:$CA$153, MATCH(L$2, Data_All!$B$2:$CA$2, 0)+1), "")</f>
        <v/>
      </c>
      <c r="M61" s="206" t="str">
        <f>IF(AND($A61&gt;=SYear_O, $A61&lt;=EYear_O, M$3&gt;0), M$3 * VLOOKUP($A61, Data_All!$A$8:$CA$153, MATCH(M$2, Data_All!$B$2:$CA$2, 0)+1), "")</f>
        <v/>
      </c>
      <c r="N61" s="206" t="str">
        <f>IF(AND($A61&gt;=SYear_O, $A61&lt;=EYear_O, N$3&gt;0), N$3 * VLOOKUP($A61, Data_All!$A$8:$CA$153, MATCH(N$2, Data_All!$B$2:$CA$2, 0)+1), "")</f>
        <v/>
      </c>
      <c r="O61" s="206" t="str">
        <f>IF(AND($A61&gt;=SYear_O, $A61&lt;=EYear_O, O$3&gt;0), O$3 * VLOOKUP($A61, Data_All!$A$8:$CA$153, MATCH(O$2, Data_All!$B$2:$CA$2, 0)+1), "")</f>
        <v/>
      </c>
      <c r="P61" s="206" t="str">
        <f>IF(AND($A61&gt;=SYear_O, $A61&lt;=EYear_O, P$3&gt;0), P$3 * VLOOKUP($A61, Data_All!$A$8:$CA$153, MATCH(P$2, Data_All!$B$2:$CA$2, 0)+1), "")</f>
        <v/>
      </c>
      <c r="Q61" s="206" t="str">
        <f>IF(AND($A61&gt;=SYear_O, $A61&lt;=EYear_O, Q$3&gt;0), Q$3 * VLOOKUP($A61, Data_All!$A$8:$CA$153, MATCH(Q$2, Data_All!$B$2:$CA$2, 0)+1), "")</f>
        <v/>
      </c>
      <c r="R61" s="206" t="str">
        <f>IF(AND($A61&gt;=SYear_O, $A61&lt;=EYear_O, R$3&gt;0), R$3 * VLOOKUP($A61, Data_All!$A$8:$CA$153, MATCH(R$2, Data_All!$B$2:$CA$2, 0)+1), "")</f>
        <v/>
      </c>
      <c r="S61" s="206" t="str">
        <f>IF(AND($A61&gt;=SYear_O, $A61&lt;=EYear_O, S$3&gt;0), S$3 * VLOOKUP($A61, Data_All!$A$8:$CA$153, MATCH(S$2, Data_All!$B$2:$CA$2, 0)+1), "")</f>
        <v/>
      </c>
      <c r="T61" s="206" t="str">
        <f>IF(AND($A61&gt;=SYear_O, $A61&lt;=EYear_O, T$3&gt;0), T$3 * VLOOKUP($A61, Data_All!$A$8:$CA$153, MATCH(T$2, Data_All!$B$2:$CA$2, 0)+1), "")</f>
        <v/>
      </c>
      <c r="U61" s="206" t="str">
        <f>IF(AND($A61&gt;=SYear_O, $A61&lt;=EYear_O, U$3&gt;0), U$3 * VLOOKUP($A61, Data_All!$A$8:$CA$153, MATCH(U$2, Data_All!$B$2:$CA$2, 0)+1), "")</f>
        <v/>
      </c>
      <c r="V61" s="206" t="str">
        <f>IF(AND($A61&gt;=SYear_O, $A61&lt;=EYear_O, V$3&gt;0), V$3 * VLOOKUP($A61, Data_All!$A$8:$CA$153, MATCH(V$2, Data_All!$B$2:$CA$2, 0)+1), "")</f>
        <v/>
      </c>
      <c r="W61" s="206" t="str">
        <f>IF(AND($A61&gt;=SYear_O, $A61&lt;=EYear_O, W$3&gt;0), W$3 * VLOOKUP($A61, Data_All!$A$8:$CA$153, MATCH(W$2, Data_All!$B$2:$CA$2, 0)+1), "")</f>
        <v/>
      </c>
      <c r="X61" s="206" t="str">
        <f>IF(AND($A61&gt;=SYear_O, $A61&lt;=EYear_O, X$3&gt;0), X$3 * VLOOKUP($A61, Data_All!$A$8:$CA$153, MATCH(X$2, Data_All!$B$2:$CA$2, 0)+1), "")</f>
        <v/>
      </c>
      <c r="Y61" s="206" t="str">
        <f>IF(AND($A61&gt;=SYear_O, $A61&lt;=EYear_O, Y$3&gt;0), Y$3 * VLOOKUP($A61, Data_All!$A$8:$CA$153, MATCH(Y$2, Data_All!$B$2:$CA$2, 0)+1), "")</f>
        <v/>
      </c>
      <c r="Z61" s="206" t="str">
        <f>IF(AND($A61&gt;=SYear_O, $A61&lt;=EYear_O, Z$3&gt;0), Z$3 * VLOOKUP($A61, Data_All!$A$8:$CA$153, MATCH(Z$2, Data_All!$B$2:$CA$2, 0)+1), "")</f>
        <v/>
      </c>
      <c r="AA61" s="206" t="str">
        <f>IF(AND($A61&gt;=SYear_O, $A61&lt;=EYear_O, AA$3&gt;0), AA$3 * VLOOKUP($A61, Data_All!$A$8:$CA$153, MATCH(AA$2, Data_All!$B$2:$CA$2, 0)+1), "")</f>
        <v/>
      </c>
      <c r="AB61" s="206" t="str">
        <f>IF(AND($A61&gt;=SYear_O, $A61&lt;=EYear_O, AB$3&gt;0), AB$3 * VLOOKUP($A61, Data_All!$A$8:$CA$153, MATCH(AB$2, Data_All!$B$2:$CA$2, 0)+1), "")</f>
        <v/>
      </c>
      <c r="AC61" s="206" t="str">
        <f>IF(AND($A61&gt;=SYear_O, $A61&lt;=EYear_O, AC$3&gt;0), AC$3 * VLOOKUP($A61, Data_All!$A$8:$CA$153, MATCH(AC$2, Data_All!$B$2:$CA$2, 0)+1), "")</f>
        <v/>
      </c>
      <c r="AD61" s="206" t="str">
        <f>IF(AND($A61&gt;=SYear_O, $A61&lt;=EYear_O, AD$3&gt;0), AD$3 * VLOOKUP($A61, Data_All!$A$8:$CA$153, MATCH(AD$2, Data_All!$B$2:$CA$2, 0)+1), "")</f>
        <v/>
      </c>
      <c r="AE61" s="206" t="str">
        <f>IF(AND($A61&gt;=SYear_O, $A61&lt;=EYear_O, AE$3&gt;0), AE$3 * VLOOKUP($A61, Data_All!$A$8:$CA$153, MATCH(AE$2, Data_All!$B$2:$CA$2, 0)+1), "")</f>
        <v/>
      </c>
      <c r="AF61" s="206" t="str">
        <f>IF(AND($A61&gt;=SYear_O, $A61&lt;=EYear_O, AF$3&gt;0), AF$3 * VLOOKUP($A61, Data_All!$A$8:$CA$153, MATCH(AF$2, Data_All!$B$2:$CA$2, 0)+1), "")</f>
        <v/>
      </c>
      <c r="AG61" s="206" t="str">
        <f>IF(AND($A61&gt;=SYear_O, $A61&lt;=EYear_O, AG$3&gt;0), AG$3 * VLOOKUP($A61, Data_All!$A$8:$CA$153, MATCH(AG$2, Data_All!$B$2:$CA$2, 0)+1), "")</f>
        <v/>
      </c>
      <c r="AH61" s="206" t="str">
        <f>IF(AND($A61&gt;=SYear_O, $A61&lt;=EYear_O, AH$3&gt;0), AH$3 * VLOOKUP($A61, Data_All!$A$8:$CA$153, MATCH(AH$2, Data_All!$B$2:$CA$2, 0)+1), "")</f>
        <v/>
      </c>
      <c r="AI61" s="206" t="str">
        <f>IF(AND($A61&gt;=SYear_O, $A61&lt;=EYear_O, AI$3&gt;0), AI$3 * VLOOKUP($A61, Data_All!$A$8:$CA$153, MATCH(AI$2, Data_All!$B$2:$CA$2, 0)+1), "")</f>
        <v/>
      </c>
      <c r="AJ61" s="206" t="str">
        <f>IF(AND($A61&gt;=SYear_O, $A61&lt;=EYear_O, AJ$3&gt;0), AJ$3 * VLOOKUP($A61, Data_All!$A$8:$CA$153, MATCH(AJ$2, Data_All!$B$2:$CA$2, 0)+1), "")</f>
        <v/>
      </c>
      <c r="AK61" s="206" t="str">
        <f>IF(AND($A61&gt;=SYear_O, $A61&lt;=EYear_O, AK$3&gt;0), AK$3 * VLOOKUP($A61, Data_All!$A$8:$CA$153, MATCH(AK$2, Data_All!$B$2:$CA$2, 0)+1), "")</f>
        <v/>
      </c>
      <c r="AL61" s="206" t="str">
        <f>IF(AND($A61&gt;=SYear_O, $A61&lt;=EYear_O, AL$3&gt;0), AL$3 * VLOOKUP($A61, Data_All!$A$8:$CA$153, MATCH(AL$2, Data_All!$B$2:$CA$2, 0)+1), "")</f>
        <v/>
      </c>
      <c r="AM61" s="206" t="str">
        <f>IF(AND($A61&gt;=SYear_O, $A61&lt;=EYear_O, AM$3&gt;0), AM$3 * VLOOKUP($A61, Data_All!$A$8:$CA$153, MATCH(AM$2, Data_All!$B$2:$CA$2, 0)+1), "")</f>
        <v/>
      </c>
      <c r="AN61" s="206" t="str">
        <f>IF(AND($A61&gt;=SYear_O, $A61&lt;=EYear_O, AN$3&gt;0), AN$3 * VLOOKUP($A61, Data_All!$A$8:$CA$153, MATCH(AN$2, Data_All!$B$2:$CA$2, 0)+1), "")</f>
        <v/>
      </c>
      <c r="AO61" s="206" t="str">
        <f>IF(AND($A61&gt;=SYear_O, $A61&lt;=EYear_O, AO$3&gt;0), AO$3 * VLOOKUP($A61, Data_All!$A$8:$CA$153, MATCH(AO$2, Data_All!$B$2:$CA$2, 0)+1), "")</f>
        <v/>
      </c>
      <c r="AP61" s="206" t="str">
        <f>IF(AND($A61&gt;=SYear_O, $A61&lt;=EYear_O, AP$3&gt;0), AP$3 * VLOOKUP($A61, Data_All!$A$8:$CA$153, MATCH(AP$2, Data_All!$B$2:$CA$2, 0)+1), "")</f>
        <v/>
      </c>
      <c r="AQ61" s="206" t="str">
        <f>IF(AND($A61&gt;=SYear_O, $A61&lt;=EYear_O, AQ$3&gt;0), AQ$3 * VLOOKUP($A61, Data_All!$A$8:$CA$153, MATCH(AQ$2, Data_All!$B$2:$CA$2, 0)+1), "")</f>
        <v/>
      </c>
      <c r="AR61" s="206" t="str">
        <f>IF(AND($A61&gt;=SYear_O, $A61&lt;=EYear_O, AR$3&gt;0), AR$3 * VLOOKUP($A61, Data_All!$A$8:$CA$153, MATCH(AR$2, Data_All!$B$2:$CA$2, 0)+1), "")</f>
        <v/>
      </c>
      <c r="AS61" s="206" t="str">
        <f>IF(AND($A61&gt;=SYear_O, $A61&lt;=EYear_O, AS$3&gt;0), AS$3 * VLOOKUP($A61, Data_All!$A$8:$CA$153, MATCH(AS$2, Data_All!$B$2:$CA$2, 0)+1), "")</f>
        <v/>
      </c>
      <c r="AT61" s="206" t="str">
        <f>IF(AND($A61&gt;=SYear_O, $A61&lt;=EYear_O, AT$3&gt;0), AT$3 * VLOOKUP($A61, Data_All!$A$8:$CA$153, MATCH(AT$2, Data_All!$B$2:$CA$2, 0)+1), "")</f>
        <v/>
      </c>
      <c r="AU61" s="206" t="str">
        <f>IF(AND($A61&gt;=SYear_O, $A61&lt;=EYear_O, AU$3&gt;0), AU$3 * VLOOKUP($A61, Data_All!$A$8:$CA$153, MATCH(AU$2, Data_All!$B$2:$CA$2, 0)+1), "")</f>
        <v/>
      </c>
      <c r="AV61" s="206" t="str">
        <f>IF(AND($A61&gt;=SYear_O, $A61&lt;=EYear_O, AV$3&gt;0), AV$3 * VLOOKUP($A61, Data_All!$A$8:$CA$153, MATCH(AV$2, Data_All!$B$2:$CA$2, 0)+1), "")</f>
        <v/>
      </c>
      <c r="AW61" s="206" t="str">
        <f>IF(AND($A61&gt;=SYear_O, $A61&lt;=EYear_O, AW$3&gt;0), AW$3 * VLOOKUP($A61, Data_All!$A$8:$CA$153, MATCH(AW$2, Data_All!$B$2:$CA$2, 0)+1), "")</f>
        <v/>
      </c>
      <c r="AX61" s="206" t="str">
        <f>IF(AND($A61&gt;=SYear_O, $A61&lt;=EYear_O, AX$3&gt;0), AX$3 * VLOOKUP($A61, Data_All!$A$8:$CA$153, MATCH(AX$2, Data_All!$B$2:$CA$2, 0)+1), "")</f>
        <v/>
      </c>
      <c r="AY61" s="206" t="str">
        <f>IF(AND($A61&gt;=SYear_O, $A61&lt;=EYear_O, AY$3&gt;0), AY$3 * VLOOKUP($A61, Data_All!$A$8:$CA$153, MATCH(AY$2, Data_All!$B$2:$CA$2, 0)+1), "")</f>
        <v/>
      </c>
      <c r="AZ61" s="206" t="str">
        <f>IF(AND($A61&gt;=SYear_O, $A61&lt;=EYear_O, AZ$3&gt;0), AZ$3 * VLOOKUP($A61, Data_All!$A$8:$CA$153, MATCH(AZ$2, Data_All!$B$2:$CA$2, 0)+1), "")</f>
        <v/>
      </c>
      <c r="BA61" s="206" t="str">
        <f>IF(AND($A61&gt;=SYear_O, $A61&lt;=EYear_O, BA$3&gt;0), BA$3 * VLOOKUP($A61, Data_All!$A$8:$CA$153, MATCH(BA$2, Data_All!$B$2:$CA$2, 0)+1), "")</f>
        <v/>
      </c>
      <c r="BB61" s="206" t="str">
        <f>IF(AND($A61&gt;=SYear_O, $A61&lt;=EYear_O, BB$3&gt;0), BB$3 * VLOOKUP($A61, Data_All!$A$8:$CA$153, MATCH(BB$2, Data_All!$B$2:$CA$2, 0)+1), "")</f>
        <v/>
      </c>
      <c r="BC61" s="206" t="str">
        <f>IF(AND($A61&gt;=SYear_O, $A61&lt;=EYear_O, BC$3&gt;0), BC$3 * VLOOKUP($A61, Data_All!$A$8:$CA$153, MATCH(BC$2, Data_All!$B$2:$CA$2, 0)+1), "")</f>
        <v/>
      </c>
      <c r="BD61" s="206" t="str">
        <f>IF(AND($A61&gt;=SYear_O, $A61&lt;=EYear_O, BD$3&gt;0), BD$3 * VLOOKUP($A61, Data_All!$A$8:$CA$153, MATCH(BD$2, Data_All!$B$2:$CA$2, 0)+1), "")</f>
        <v/>
      </c>
      <c r="BE61" s="206" t="str">
        <f>IF(AND($A61&gt;=SYear_O, $A61&lt;=EYear_O, BE$3&gt;0), BE$3 * VLOOKUP($A61, Data_All!$A$8:$CA$153, MATCH(BE$2, Data_All!$B$2:$CA$2, 0)+1), "")</f>
        <v/>
      </c>
      <c r="BF61" s="206" t="str">
        <f>IF(AND($A61&gt;=SYear_O, $A61&lt;=EYear_O, BF$3&gt;0), BF$3 * VLOOKUP($A61, Data_All!$A$8:$CA$153, MATCH(BF$2, Data_All!$B$2:$CA$2, 0)+1), "")</f>
        <v/>
      </c>
      <c r="BG61" s="206" t="str">
        <f>IF(AND($A61&gt;=SYear_O, $A61&lt;=EYear_O, BG$3&gt;0), BG$3 * VLOOKUP($A61, Data_All!$A$8:$CA$153, MATCH(BG$2, Data_All!$B$2:$CA$2, 0)+1), "")</f>
        <v/>
      </c>
      <c r="BH61" s="206" t="str">
        <f>IF(AND($A61&gt;=SYear_O, $A61&lt;=EYear_O, BH$3&gt;0), BH$3 * VLOOKUP($A61, Data_All!$A$8:$CA$153, MATCH(BH$2, Data_All!$B$2:$CA$2, 0)+1), "")</f>
        <v/>
      </c>
      <c r="BI61" s="206" t="str">
        <f>IF(AND($A61&gt;=SYear_O, $A61&lt;=EYear_O, BI$3&gt;0), BI$3 * VLOOKUP($A61, Data_All!$A$8:$CA$153, MATCH(BI$2, Data_All!$B$2:$CA$2, 0)+1), "")</f>
        <v/>
      </c>
      <c r="BJ61" s="206" t="str">
        <f>IF(AND($A61&gt;=SYear_O, $A61&lt;=EYear_O, BJ$3&gt;0), BJ$3 * VLOOKUP($A61, Data_All!$A$8:$CA$153, MATCH(BJ$2, Data_All!$B$2:$CA$2, 0)+1), "")</f>
        <v/>
      </c>
      <c r="BK61" s="206" t="str">
        <f>IF(AND($A61&gt;=SYear_O, $A61&lt;=EYear_O, BK$3&gt;0), BK$3 * VLOOKUP($A61, Data_All!$A$8:$CA$153, MATCH(BK$2, Data_All!$B$2:$CA$2, 0)+1), "")</f>
        <v/>
      </c>
      <c r="BL61" s="206" t="str">
        <f>IF(AND($A61&gt;=SYear_O, $A61&lt;=EYear_O, BL$3&gt;0), BL$3 * VLOOKUP($A61, Data_All!$A$8:$CA$153, MATCH(BL$2, Data_All!$B$2:$CA$2, 0)+1), "")</f>
        <v/>
      </c>
      <c r="BM61" s="206" t="str">
        <f>IF(AND($A61&gt;=SYear_O, $A61&lt;=EYear_O, BM$3&gt;0), BM$3 * VLOOKUP($A61, Data_All!$A$8:$CA$153, MATCH(BM$2, Data_All!$B$2:$CA$2, 0)+1), "")</f>
        <v/>
      </c>
      <c r="BN61" s="206" t="str">
        <f>IF(AND($A61&gt;=SYear_O, $A61&lt;=EYear_O, BN$3&gt;0), BN$3 * VLOOKUP($A61, Data_All!$A$8:$CA$153, MATCH(BN$2, Data_All!$B$2:$CA$2, 0)+1), "")</f>
        <v/>
      </c>
      <c r="BO61" s="206" t="str">
        <f>IF(AND($A61&gt;=SYear_O, $A61&lt;=EYear_O, BO$3&gt;0), BO$3 * VLOOKUP($A61, Data_All!$A$8:$CA$153, MATCH(BO$2, Data_All!$B$2:$CA$2, 0)+1), "")</f>
        <v/>
      </c>
      <c r="BP61" s="206" t="str">
        <f>IF(AND($A61&gt;=SYear_O, $A61&lt;=EYear_O, BP$3&gt;0), BP$3 * VLOOKUP($A61, Data_All!$A$8:$CA$153, MATCH(BP$2, Data_All!$B$2:$CA$2, 0)+1), "")</f>
        <v/>
      </c>
      <c r="BQ61" s="206" t="str">
        <f>IF(AND($A61&gt;=SYear_O, $A61&lt;=EYear_O, BQ$3&gt;0), BQ$3 * VLOOKUP($A61, Data_All!$A$8:$CA$153, MATCH(BQ$2, Data_All!$B$2:$CA$2, 0)+1), "")</f>
        <v/>
      </c>
      <c r="BR61" s="206" t="str">
        <f>IF(AND($A61&gt;=SYear_O, $A61&lt;=EYear_O, BR$3&gt;0), BR$3 * VLOOKUP($A61, Data_All!$A$8:$CA$153, MATCH(BR$2, Data_All!$B$2:$CA$2, 0)+1), "")</f>
        <v/>
      </c>
      <c r="BS61" s="206" t="str">
        <f>IF(AND($A61&gt;=SYear_O, $A61&lt;=EYear_O, BS$3&gt;0), BS$3 * VLOOKUP($A61, Data_All!$A$8:$CA$153, MATCH(BS$2, Data_All!$B$2:$CA$2, 0)+1), "")</f>
        <v/>
      </c>
      <c r="BT61" s="206" t="str">
        <f>IF(AND($A61&gt;=SYear_O, $A61&lt;=EYear_O, BT$3&gt;0), BT$3 * VLOOKUP($A61, Data_All!$A$8:$CA$153, MATCH(BT$2, Data_All!$B$2:$CA$2, 0)+1), "")</f>
        <v/>
      </c>
      <c r="BU61" s="206" t="str">
        <f>IF(AND($A61&gt;=SYear_O, $A61&lt;=EYear_O, BU$3&gt;0), BU$3 * VLOOKUP($A61, Data_All!$A$8:$CA$153, MATCH(BU$2, Data_All!$B$2:$CA$2, 0)+1), "")</f>
        <v/>
      </c>
      <c r="BV61" s="206" t="str">
        <f>IF(AND($A61&gt;=SYear_O, $A61&lt;=EYear_O, BV$3&gt;0), BV$3 * VLOOKUP($A61, Data_All!$A$8:$CA$153, MATCH(BV$2, Data_All!$B$2:$CA$2, 0)+1), "")</f>
        <v/>
      </c>
      <c r="BW61" s="206" t="str">
        <f>IF(AND($A61&gt;=SYear_O, $A61&lt;=EYear_O, BW$3&gt;0), BW$3 * VLOOKUP($A61, Data_All!$A$8:$CA$153, MATCH(BW$2, Data_All!$B$2:$CA$2, 0)+1), "")</f>
        <v/>
      </c>
      <c r="BX61" s="206">
        <f>IF(AND($A61&gt;=SYear_O, $A61&lt;=EYear_O, BX$3&gt;0), BX$3 * VLOOKUP($A61, Data_All!$A$8:$CA$153, MATCH(BX$2, Data_All!$B$2:$CA$2, 0)+1), "")</f>
        <v>15.14177693761815</v>
      </c>
      <c r="BY61" s="206">
        <f>IF(AND($A61&gt;=SYear_O, $A61&lt;=EYear_O, BY$3&gt;0), BY$3 * VLOOKUP($A61, Data_All!$A$8:$CA$153, MATCH(BY$2, Data_All!$B$2:$CA$2, 0)+1), "")</f>
        <v>1.4496471605233996</v>
      </c>
      <c r="BZ61" s="206" t="str">
        <f>IF(AND($A61&gt;=SYear_O, $A61&lt;=EYear_O, BZ$3&gt;0), BZ$3 * VLOOKUP($A61, Data_All!$A$8:$CA$153, MATCH(BZ$2, Data_All!$B$2:$CA$2, 0)+1), "")</f>
        <v/>
      </c>
      <c r="CA61" s="565">
        <f t="shared" si="19"/>
        <v>16.591424098141552</v>
      </c>
      <c r="CB61" s="427">
        <f t="shared" si="20"/>
        <v>278376.26449780026</v>
      </c>
      <c r="CC61" s="565">
        <f>IF(AND($A61&gt;=SYear_O,$A61&lt;=EYear_O),(CA61-Data_All!CA62)/(1+Data_All!CA62%),"")</f>
        <v>12.683331670270899</v>
      </c>
      <c r="CD61" s="436">
        <f t="shared" si="21"/>
        <v>193837.91852808479</v>
      </c>
      <c r="CE61" s="438">
        <f t="shared" si="22"/>
        <v>25.248515280660271</v>
      </c>
      <c r="CF61" s="438">
        <f>IF(AND($A61&gt;=SYear_O,$A61&lt;=EYear_O),MAX($CE$7:CE61),"")</f>
        <v>25.248515280660271</v>
      </c>
      <c r="CG61" s="209">
        <f t="shared" si="23"/>
        <v>0</v>
      </c>
      <c r="CI61" s="143">
        <f>IF(AND($A61&gt;=SYear_O,$A61&lt;=EYear_O),Data_All!V62,"")</f>
        <v>3.7766010590468584</v>
      </c>
      <c r="CJ61" s="143">
        <f>IF(AND($A61&gt;=SYear_O,$A61&lt;=EYear_O),Data_All!CA62,"")</f>
        <v>3.4682080924855363</v>
      </c>
      <c r="CK61" s="143">
        <f t="shared" si="24"/>
        <v>0.29805577215144541</v>
      </c>
      <c r="CN61" s="61">
        <f t="shared" si="25"/>
        <v>0.16591424098141561</v>
      </c>
      <c r="CO61" s="61">
        <f t="shared" si="26"/>
        <v>0.15932878582653531</v>
      </c>
      <c r="CP61" s="61">
        <f t="shared" si="27"/>
        <v>0.14302481839262637</v>
      </c>
      <c r="CQ61" s="61">
        <f t="shared" si="28"/>
        <v>5.2864728926094173E-2</v>
      </c>
      <c r="CR61" s="61">
        <f t="shared" si="29"/>
        <v>6.4298596590454116E-2</v>
      </c>
      <c r="CU61" s="61">
        <f t="shared" si="30"/>
        <v>0.12683331670270892</v>
      </c>
      <c r="CV61" s="61">
        <f t="shared" si="31"/>
        <v>0.15932878582653531</v>
      </c>
      <c r="CW61" s="61">
        <f t="shared" si="32"/>
        <v>0.14568613899038763</v>
      </c>
      <c r="CX61" s="61">
        <f t="shared" si="33"/>
        <v>7.8507815239009071E-2</v>
      </c>
      <c r="CY61" s="61">
        <f t="shared" si="34"/>
        <v>7.9938215395962908E-2</v>
      </c>
    </row>
    <row r="62" spans="1:103">
      <c r="A62" s="204">
        <f t="shared" si="18"/>
        <v>1926</v>
      </c>
      <c r="B62" s="206" t="str">
        <f>IF(AND($A62&gt;=SYear_O, $A62&lt;=EYear_O, B$3&gt;0), B$3 * VLOOKUP($A62, Data_All!$A$8:$CA$153, MATCH(B$2, Data_All!$B$2:$CA$2, 0)+1), "")</f>
        <v/>
      </c>
      <c r="C62" s="206" t="str">
        <f>IF(AND($A62&gt;=SYear_O, $A62&lt;=EYear_O, C$3&gt;0), C$3 * VLOOKUP($A62, Data_All!$A$8:$CA$153, MATCH(C$2, Data_All!$B$2:$CA$2, 0)+1), "")</f>
        <v/>
      </c>
      <c r="D62" s="206" t="str">
        <f>IF(AND($A62&gt;=SYear_O, $A62&lt;=EYear_O, D$3&gt;0), D$3 * VLOOKUP($A62, Data_All!$A$8:$CA$153, MATCH(D$2, Data_All!$B$2:$CA$2, 0)+1), "")</f>
        <v/>
      </c>
      <c r="E62" s="206" t="str">
        <f>IF(AND($A62&gt;=SYear_O, $A62&lt;=EYear_O, E$3&gt;0), E$3 * VLOOKUP($A62, Data_All!$A$8:$CA$153, MATCH(E$2, Data_All!$B$2:$CA$2, 0)+1), "")</f>
        <v/>
      </c>
      <c r="F62" s="206" t="str">
        <f>IF(AND($A62&gt;=SYear_O, $A62&lt;=EYear_O, F$3&gt;0), F$3 * VLOOKUP($A62, Data_All!$A$8:$CA$153, MATCH(F$2, Data_All!$B$2:$CA$2, 0)+1), "")</f>
        <v/>
      </c>
      <c r="G62" s="206" t="str">
        <f>IF(AND($A62&gt;=SYear_O, $A62&lt;=EYear_O, G$3&gt;0), G$3 * VLOOKUP($A62, Data_All!$A$8:$CA$153, MATCH(G$2, Data_All!$B$2:$CA$2, 0)+1), "")</f>
        <v/>
      </c>
      <c r="H62" s="206" t="str">
        <f>IF(AND($A62&gt;=SYear_O, $A62&lt;=EYear_O, H$3&gt;0), H$3 * VLOOKUP($A62, Data_All!$A$8:$CA$153, MATCH(H$2, Data_All!$B$2:$CA$2, 0)+1), "")</f>
        <v/>
      </c>
      <c r="I62" s="206" t="str">
        <f>IF(AND($A62&gt;=SYear_O, $A62&lt;=EYear_O, I$3&gt;0), I$3 * VLOOKUP($A62, Data_All!$A$8:$CA$153, MATCH(I$2, Data_All!$B$2:$CA$2, 0)+1), "")</f>
        <v/>
      </c>
      <c r="J62" s="206" t="str">
        <f>IF(AND($A62&gt;=SYear_O, $A62&lt;=EYear_O, J$3&gt;0), J$3 * VLOOKUP($A62, Data_All!$A$8:$CA$153, MATCH(J$2, Data_All!$B$2:$CA$2, 0)+1), "")</f>
        <v/>
      </c>
      <c r="K62" s="206" t="str">
        <f>IF(AND($A62&gt;=SYear_O, $A62&lt;=EYear_O, K$3&gt;0), K$3 * VLOOKUP($A62, Data_All!$A$8:$CA$153, MATCH(K$2, Data_All!$B$2:$CA$2, 0)+1), "")</f>
        <v/>
      </c>
      <c r="L62" s="206" t="str">
        <f>IF(AND($A62&gt;=SYear_O, $A62&lt;=EYear_O, L$3&gt;0), L$3 * VLOOKUP($A62, Data_All!$A$8:$CA$153, MATCH(L$2, Data_All!$B$2:$CA$2, 0)+1), "")</f>
        <v/>
      </c>
      <c r="M62" s="206" t="str">
        <f>IF(AND($A62&gt;=SYear_O, $A62&lt;=EYear_O, M$3&gt;0), M$3 * VLOOKUP($A62, Data_All!$A$8:$CA$153, MATCH(M$2, Data_All!$B$2:$CA$2, 0)+1), "")</f>
        <v/>
      </c>
      <c r="N62" s="206" t="str">
        <f>IF(AND($A62&gt;=SYear_O, $A62&lt;=EYear_O, N$3&gt;0), N$3 * VLOOKUP($A62, Data_All!$A$8:$CA$153, MATCH(N$2, Data_All!$B$2:$CA$2, 0)+1), "")</f>
        <v/>
      </c>
      <c r="O62" s="206" t="str">
        <f>IF(AND($A62&gt;=SYear_O, $A62&lt;=EYear_O, O$3&gt;0), O$3 * VLOOKUP($A62, Data_All!$A$8:$CA$153, MATCH(O$2, Data_All!$B$2:$CA$2, 0)+1), "")</f>
        <v/>
      </c>
      <c r="P62" s="206" t="str">
        <f>IF(AND($A62&gt;=SYear_O, $A62&lt;=EYear_O, P$3&gt;0), P$3 * VLOOKUP($A62, Data_All!$A$8:$CA$153, MATCH(P$2, Data_All!$B$2:$CA$2, 0)+1), "")</f>
        <v/>
      </c>
      <c r="Q62" s="206" t="str">
        <f>IF(AND($A62&gt;=SYear_O, $A62&lt;=EYear_O, Q$3&gt;0), Q$3 * VLOOKUP($A62, Data_All!$A$8:$CA$153, MATCH(Q$2, Data_All!$B$2:$CA$2, 0)+1), "")</f>
        <v/>
      </c>
      <c r="R62" s="206" t="str">
        <f>IF(AND($A62&gt;=SYear_O, $A62&lt;=EYear_O, R$3&gt;0), R$3 * VLOOKUP($A62, Data_All!$A$8:$CA$153, MATCH(R$2, Data_All!$B$2:$CA$2, 0)+1), "")</f>
        <v/>
      </c>
      <c r="S62" s="206" t="str">
        <f>IF(AND($A62&gt;=SYear_O, $A62&lt;=EYear_O, S$3&gt;0), S$3 * VLOOKUP($A62, Data_All!$A$8:$CA$153, MATCH(S$2, Data_All!$B$2:$CA$2, 0)+1), "")</f>
        <v/>
      </c>
      <c r="T62" s="206" t="str">
        <f>IF(AND($A62&gt;=SYear_O, $A62&lt;=EYear_O, T$3&gt;0), T$3 * VLOOKUP($A62, Data_All!$A$8:$CA$153, MATCH(T$2, Data_All!$B$2:$CA$2, 0)+1), "")</f>
        <v/>
      </c>
      <c r="U62" s="206" t="str">
        <f>IF(AND($A62&gt;=SYear_O, $A62&lt;=EYear_O, U$3&gt;0), U$3 * VLOOKUP($A62, Data_All!$A$8:$CA$153, MATCH(U$2, Data_All!$B$2:$CA$2, 0)+1), "")</f>
        <v/>
      </c>
      <c r="V62" s="206" t="str">
        <f>IF(AND($A62&gt;=SYear_O, $A62&lt;=EYear_O, V$3&gt;0), V$3 * VLOOKUP($A62, Data_All!$A$8:$CA$153, MATCH(V$2, Data_All!$B$2:$CA$2, 0)+1), "")</f>
        <v/>
      </c>
      <c r="W62" s="206" t="str">
        <f>IF(AND($A62&gt;=SYear_O, $A62&lt;=EYear_O, W$3&gt;0), W$3 * VLOOKUP($A62, Data_All!$A$8:$CA$153, MATCH(W$2, Data_All!$B$2:$CA$2, 0)+1), "")</f>
        <v/>
      </c>
      <c r="X62" s="206" t="str">
        <f>IF(AND($A62&gt;=SYear_O, $A62&lt;=EYear_O, X$3&gt;0), X$3 * VLOOKUP($A62, Data_All!$A$8:$CA$153, MATCH(X$2, Data_All!$B$2:$CA$2, 0)+1), "")</f>
        <v/>
      </c>
      <c r="Y62" s="206" t="str">
        <f>IF(AND($A62&gt;=SYear_O, $A62&lt;=EYear_O, Y$3&gt;0), Y$3 * VLOOKUP($A62, Data_All!$A$8:$CA$153, MATCH(Y$2, Data_All!$B$2:$CA$2, 0)+1), "")</f>
        <v/>
      </c>
      <c r="Z62" s="206" t="str">
        <f>IF(AND($A62&gt;=SYear_O, $A62&lt;=EYear_O, Z$3&gt;0), Z$3 * VLOOKUP($A62, Data_All!$A$8:$CA$153, MATCH(Z$2, Data_All!$B$2:$CA$2, 0)+1), "")</f>
        <v/>
      </c>
      <c r="AA62" s="206" t="str">
        <f>IF(AND($A62&gt;=SYear_O, $A62&lt;=EYear_O, AA$3&gt;0), AA$3 * VLOOKUP($A62, Data_All!$A$8:$CA$153, MATCH(AA$2, Data_All!$B$2:$CA$2, 0)+1), "")</f>
        <v/>
      </c>
      <c r="AB62" s="206" t="str">
        <f>IF(AND($A62&gt;=SYear_O, $A62&lt;=EYear_O, AB$3&gt;0), AB$3 * VLOOKUP($A62, Data_All!$A$8:$CA$153, MATCH(AB$2, Data_All!$B$2:$CA$2, 0)+1), "")</f>
        <v/>
      </c>
      <c r="AC62" s="206" t="str">
        <f>IF(AND($A62&gt;=SYear_O, $A62&lt;=EYear_O, AC$3&gt;0), AC$3 * VLOOKUP($A62, Data_All!$A$8:$CA$153, MATCH(AC$2, Data_All!$B$2:$CA$2, 0)+1), "")</f>
        <v/>
      </c>
      <c r="AD62" s="206" t="str">
        <f>IF(AND($A62&gt;=SYear_O, $A62&lt;=EYear_O, AD$3&gt;0), AD$3 * VLOOKUP($A62, Data_All!$A$8:$CA$153, MATCH(AD$2, Data_All!$B$2:$CA$2, 0)+1), "")</f>
        <v/>
      </c>
      <c r="AE62" s="206" t="str">
        <f>IF(AND($A62&gt;=SYear_O, $A62&lt;=EYear_O, AE$3&gt;0), AE$3 * VLOOKUP($A62, Data_All!$A$8:$CA$153, MATCH(AE$2, Data_All!$B$2:$CA$2, 0)+1), "")</f>
        <v/>
      </c>
      <c r="AF62" s="206" t="str">
        <f>IF(AND($A62&gt;=SYear_O, $A62&lt;=EYear_O, AF$3&gt;0), AF$3 * VLOOKUP($A62, Data_All!$A$8:$CA$153, MATCH(AF$2, Data_All!$B$2:$CA$2, 0)+1), "")</f>
        <v/>
      </c>
      <c r="AG62" s="206" t="str">
        <f>IF(AND($A62&gt;=SYear_O, $A62&lt;=EYear_O, AG$3&gt;0), AG$3 * VLOOKUP($A62, Data_All!$A$8:$CA$153, MATCH(AG$2, Data_All!$B$2:$CA$2, 0)+1), "")</f>
        <v/>
      </c>
      <c r="AH62" s="206" t="str">
        <f>IF(AND($A62&gt;=SYear_O, $A62&lt;=EYear_O, AH$3&gt;0), AH$3 * VLOOKUP($A62, Data_All!$A$8:$CA$153, MATCH(AH$2, Data_All!$B$2:$CA$2, 0)+1), "")</f>
        <v/>
      </c>
      <c r="AI62" s="206" t="str">
        <f>IF(AND($A62&gt;=SYear_O, $A62&lt;=EYear_O, AI$3&gt;0), AI$3 * VLOOKUP($A62, Data_All!$A$8:$CA$153, MATCH(AI$2, Data_All!$B$2:$CA$2, 0)+1), "")</f>
        <v/>
      </c>
      <c r="AJ62" s="206" t="str">
        <f>IF(AND($A62&gt;=SYear_O, $A62&lt;=EYear_O, AJ$3&gt;0), AJ$3 * VLOOKUP($A62, Data_All!$A$8:$CA$153, MATCH(AJ$2, Data_All!$B$2:$CA$2, 0)+1), "")</f>
        <v/>
      </c>
      <c r="AK62" s="206" t="str">
        <f>IF(AND($A62&gt;=SYear_O, $A62&lt;=EYear_O, AK$3&gt;0), AK$3 * VLOOKUP($A62, Data_All!$A$8:$CA$153, MATCH(AK$2, Data_All!$B$2:$CA$2, 0)+1), "")</f>
        <v/>
      </c>
      <c r="AL62" s="206" t="str">
        <f>IF(AND($A62&gt;=SYear_O, $A62&lt;=EYear_O, AL$3&gt;0), AL$3 * VLOOKUP($A62, Data_All!$A$8:$CA$153, MATCH(AL$2, Data_All!$B$2:$CA$2, 0)+1), "")</f>
        <v/>
      </c>
      <c r="AM62" s="206" t="str">
        <f>IF(AND($A62&gt;=SYear_O, $A62&lt;=EYear_O, AM$3&gt;0), AM$3 * VLOOKUP($A62, Data_All!$A$8:$CA$153, MATCH(AM$2, Data_All!$B$2:$CA$2, 0)+1), "")</f>
        <v/>
      </c>
      <c r="AN62" s="206" t="str">
        <f>IF(AND($A62&gt;=SYear_O, $A62&lt;=EYear_O, AN$3&gt;0), AN$3 * VLOOKUP($A62, Data_All!$A$8:$CA$153, MATCH(AN$2, Data_All!$B$2:$CA$2, 0)+1), "")</f>
        <v/>
      </c>
      <c r="AO62" s="206" t="str">
        <f>IF(AND($A62&gt;=SYear_O, $A62&lt;=EYear_O, AO$3&gt;0), AO$3 * VLOOKUP($A62, Data_All!$A$8:$CA$153, MATCH(AO$2, Data_All!$B$2:$CA$2, 0)+1), "")</f>
        <v/>
      </c>
      <c r="AP62" s="206" t="str">
        <f>IF(AND($A62&gt;=SYear_O, $A62&lt;=EYear_O, AP$3&gt;0), AP$3 * VLOOKUP($A62, Data_All!$A$8:$CA$153, MATCH(AP$2, Data_All!$B$2:$CA$2, 0)+1), "")</f>
        <v/>
      </c>
      <c r="AQ62" s="206" t="str">
        <f>IF(AND($A62&gt;=SYear_O, $A62&lt;=EYear_O, AQ$3&gt;0), AQ$3 * VLOOKUP($A62, Data_All!$A$8:$CA$153, MATCH(AQ$2, Data_All!$B$2:$CA$2, 0)+1), "")</f>
        <v/>
      </c>
      <c r="AR62" s="206" t="str">
        <f>IF(AND($A62&gt;=SYear_O, $A62&lt;=EYear_O, AR$3&gt;0), AR$3 * VLOOKUP($A62, Data_All!$A$8:$CA$153, MATCH(AR$2, Data_All!$B$2:$CA$2, 0)+1), "")</f>
        <v/>
      </c>
      <c r="AS62" s="206" t="str">
        <f>IF(AND($A62&gt;=SYear_O, $A62&lt;=EYear_O, AS$3&gt;0), AS$3 * VLOOKUP($A62, Data_All!$A$8:$CA$153, MATCH(AS$2, Data_All!$B$2:$CA$2, 0)+1), "")</f>
        <v/>
      </c>
      <c r="AT62" s="206" t="str">
        <f>IF(AND($A62&gt;=SYear_O, $A62&lt;=EYear_O, AT$3&gt;0), AT$3 * VLOOKUP($A62, Data_All!$A$8:$CA$153, MATCH(AT$2, Data_All!$B$2:$CA$2, 0)+1), "")</f>
        <v/>
      </c>
      <c r="AU62" s="206" t="str">
        <f>IF(AND($A62&gt;=SYear_O, $A62&lt;=EYear_O, AU$3&gt;0), AU$3 * VLOOKUP($A62, Data_All!$A$8:$CA$153, MATCH(AU$2, Data_All!$B$2:$CA$2, 0)+1), "")</f>
        <v/>
      </c>
      <c r="AV62" s="206" t="str">
        <f>IF(AND($A62&gt;=SYear_O, $A62&lt;=EYear_O, AV$3&gt;0), AV$3 * VLOOKUP($A62, Data_All!$A$8:$CA$153, MATCH(AV$2, Data_All!$B$2:$CA$2, 0)+1), "")</f>
        <v/>
      </c>
      <c r="AW62" s="206" t="str">
        <f>IF(AND($A62&gt;=SYear_O, $A62&lt;=EYear_O, AW$3&gt;0), AW$3 * VLOOKUP($A62, Data_All!$A$8:$CA$153, MATCH(AW$2, Data_All!$B$2:$CA$2, 0)+1), "")</f>
        <v/>
      </c>
      <c r="AX62" s="206" t="str">
        <f>IF(AND($A62&gt;=SYear_O, $A62&lt;=EYear_O, AX$3&gt;0), AX$3 * VLOOKUP($A62, Data_All!$A$8:$CA$153, MATCH(AX$2, Data_All!$B$2:$CA$2, 0)+1), "")</f>
        <v/>
      </c>
      <c r="AY62" s="206" t="str">
        <f>IF(AND($A62&gt;=SYear_O, $A62&lt;=EYear_O, AY$3&gt;0), AY$3 * VLOOKUP($A62, Data_All!$A$8:$CA$153, MATCH(AY$2, Data_All!$B$2:$CA$2, 0)+1), "")</f>
        <v/>
      </c>
      <c r="AZ62" s="206" t="str">
        <f>IF(AND($A62&gt;=SYear_O, $A62&lt;=EYear_O, AZ$3&gt;0), AZ$3 * VLOOKUP($A62, Data_All!$A$8:$CA$153, MATCH(AZ$2, Data_All!$B$2:$CA$2, 0)+1), "")</f>
        <v/>
      </c>
      <c r="BA62" s="206" t="str">
        <f>IF(AND($A62&gt;=SYear_O, $A62&lt;=EYear_O, BA$3&gt;0), BA$3 * VLOOKUP($A62, Data_All!$A$8:$CA$153, MATCH(BA$2, Data_All!$B$2:$CA$2, 0)+1), "")</f>
        <v/>
      </c>
      <c r="BB62" s="206" t="str">
        <f>IF(AND($A62&gt;=SYear_O, $A62&lt;=EYear_O, BB$3&gt;0), BB$3 * VLOOKUP($A62, Data_All!$A$8:$CA$153, MATCH(BB$2, Data_All!$B$2:$CA$2, 0)+1), "")</f>
        <v/>
      </c>
      <c r="BC62" s="206" t="str">
        <f>IF(AND($A62&gt;=SYear_O, $A62&lt;=EYear_O, BC$3&gt;0), BC$3 * VLOOKUP($A62, Data_All!$A$8:$CA$153, MATCH(BC$2, Data_All!$B$2:$CA$2, 0)+1), "")</f>
        <v/>
      </c>
      <c r="BD62" s="206" t="str">
        <f>IF(AND($A62&gt;=SYear_O, $A62&lt;=EYear_O, BD$3&gt;0), BD$3 * VLOOKUP($A62, Data_All!$A$8:$CA$153, MATCH(BD$2, Data_All!$B$2:$CA$2, 0)+1), "")</f>
        <v/>
      </c>
      <c r="BE62" s="206" t="str">
        <f>IF(AND($A62&gt;=SYear_O, $A62&lt;=EYear_O, BE$3&gt;0), BE$3 * VLOOKUP($A62, Data_All!$A$8:$CA$153, MATCH(BE$2, Data_All!$B$2:$CA$2, 0)+1), "")</f>
        <v/>
      </c>
      <c r="BF62" s="206" t="str">
        <f>IF(AND($A62&gt;=SYear_O, $A62&lt;=EYear_O, BF$3&gt;0), BF$3 * VLOOKUP($A62, Data_All!$A$8:$CA$153, MATCH(BF$2, Data_All!$B$2:$CA$2, 0)+1), "")</f>
        <v/>
      </c>
      <c r="BG62" s="206" t="str">
        <f>IF(AND($A62&gt;=SYear_O, $A62&lt;=EYear_O, BG$3&gt;0), BG$3 * VLOOKUP($A62, Data_All!$A$8:$CA$153, MATCH(BG$2, Data_All!$B$2:$CA$2, 0)+1), "")</f>
        <v/>
      </c>
      <c r="BH62" s="206" t="str">
        <f>IF(AND($A62&gt;=SYear_O, $A62&lt;=EYear_O, BH$3&gt;0), BH$3 * VLOOKUP($A62, Data_All!$A$8:$CA$153, MATCH(BH$2, Data_All!$B$2:$CA$2, 0)+1), "")</f>
        <v/>
      </c>
      <c r="BI62" s="206" t="str">
        <f>IF(AND($A62&gt;=SYear_O, $A62&lt;=EYear_O, BI$3&gt;0), BI$3 * VLOOKUP($A62, Data_All!$A$8:$CA$153, MATCH(BI$2, Data_All!$B$2:$CA$2, 0)+1), "")</f>
        <v/>
      </c>
      <c r="BJ62" s="206" t="str">
        <f>IF(AND($A62&gt;=SYear_O, $A62&lt;=EYear_O, BJ$3&gt;0), BJ$3 * VLOOKUP($A62, Data_All!$A$8:$CA$153, MATCH(BJ$2, Data_All!$B$2:$CA$2, 0)+1), "")</f>
        <v/>
      </c>
      <c r="BK62" s="206" t="str">
        <f>IF(AND($A62&gt;=SYear_O, $A62&lt;=EYear_O, BK$3&gt;0), BK$3 * VLOOKUP($A62, Data_All!$A$8:$CA$153, MATCH(BK$2, Data_All!$B$2:$CA$2, 0)+1), "")</f>
        <v/>
      </c>
      <c r="BL62" s="206" t="str">
        <f>IF(AND($A62&gt;=SYear_O, $A62&lt;=EYear_O, BL$3&gt;0), BL$3 * VLOOKUP($A62, Data_All!$A$8:$CA$153, MATCH(BL$2, Data_All!$B$2:$CA$2, 0)+1), "")</f>
        <v/>
      </c>
      <c r="BM62" s="206" t="str">
        <f>IF(AND($A62&gt;=SYear_O, $A62&lt;=EYear_O, BM$3&gt;0), BM$3 * VLOOKUP($A62, Data_All!$A$8:$CA$153, MATCH(BM$2, Data_All!$B$2:$CA$2, 0)+1), "")</f>
        <v/>
      </c>
      <c r="BN62" s="206" t="str">
        <f>IF(AND($A62&gt;=SYear_O, $A62&lt;=EYear_O, BN$3&gt;0), BN$3 * VLOOKUP($A62, Data_All!$A$8:$CA$153, MATCH(BN$2, Data_All!$B$2:$CA$2, 0)+1), "")</f>
        <v/>
      </c>
      <c r="BO62" s="206" t="str">
        <f>IF(AND($A62&gt;=SYear_O, $A62&lt;=EYear_O, BO$3&gt;0), BO$3 * VLOOKUP($A62, Data_All!$A$8:$CA$153, MATCH(BO$2, Data_All!$B$2:$CA$2, 0)+1), "")</f>
        <v/>
      </c>
      <c r="BP62" s="206" t="str">
        <f>IF(AND($A62&gt;=SYear_O, $A62&lt;=EYear_O, BP$3&gt;0), BP$3 * VLOOKUP($A62, Data_All!$A$8:$CA$153, MATCH(BP$2, Data_All!$B$2:$CA$2, 0)+1), "")</f>
        <v/>
      </c>
      <c r="BQ62" s="206" t="str">
        <f>IF(AND($A62&gt;=SYear_O, $A62&lt;=EYear_O, BQ$3&gt;0), BQ$3 * VLOOKUP($A62, Data_All!$A$8:$CA$153, MATCH(BQ$2, Data_All!$B$2:$CA$2, 0)+1), "")</f>
        <v/>
      </c>
      <c r="BR62" s="206" t="str">
        <f>IF(AND($A62&gt;=SYear_O, $A62&lt;=EYear_O, BR$3&gt;0), BR$3 * VLOOKUP($A62, Data_All!$A$8:$CA$153, MATCH(BR$2, Data_All!$B$2:$CA$2, 0)+1), "")</f>
        <v/>
      </c>
      <c r="BS62" s="206" t="str">
        <f>IF(AND($A62&gt;=SYear_O, $A62&lt;=EYear_O, BS$3&gt;0), BS$3 * VLOOKUP($A62, Data_All!$A$8:$CA$153, MATCH(BS$2, Data_All!$B$2:$CA$2, 0)+1), "")</f>
        <v/>
      </c>
      <c r="BT62" s="206" t="str">
        <f>IF(AND($A62&gt;=SYear_O, $A62&lt;=EYear_O, BT$3&gt;0), BT$3 * VLOOKUP($A62, Data_All!$A$8:$CA$153, MATCH(BT$2, Data_All!$B$2:$CA$2, 0)+1), "")</f>
        <v/>
      </c>
      <c r="BU62" s="206" t="str">
        <f>IF(AND($A62&gt;=SYear_O, $A62&lt;=EYear_O, BU$3&gt;0), BU$3 * VLOOKUP($A62, Data_All!$A$8:$CA$153, MATCH(BU$2, Data_All!$B$2:$CA$2, 0)+1), "")</f>
        <v/>
      </c>
      <c r="BV62" s="206" t="str">
        <f>IF(AND($A62&gt;=SYear_O, $A62&lt;=EYear_O, BV$3&gt;0), BV$3 * VLOOKUP($A62, Data_All!$A$8:$CA$153, MATCH(BV$2, Data_All!$B$2:$CA$2, 0)+1), "")</f>
        <v/>
      </c>
      <c r="BW62" s="206" t="str">
        <f>IF(AND($A62&gt;=SYear_O, $A62&lt;=EYear_O, BW$3&gt;0), BW$3 * VLOOKUP($A62, Data_All!$A$8:$CA$153, MATCH(BW$2, Data_All!$B$2:$CA$2, 0)+1), "")</f>
        <v/>
      </c>
      <c r="BX62" s="206">
        <f>IF(AND($A62&gt;=SYear_O, $A62&lt;=EYear_O, BX$3&gt;0), BX$3 * VLOOKUP($A62, Data_All!$A$8:$CA$153, MATCH(BX$2, Data_All!$B$2:$CA$2, 0)+1), "")</f>
        <v>6.8300395256917001</v>
      </c>
      <c r="BY62" s="206">
        <f>IF(AND($A62&gt;=SYear_O, $A62&lt;=EYear_O, BY$3&gt;0), BY$3 * VLOOKUP($A62, Data_All!$A$8:$CA$153, MATCH(BY$2, Data_All!$B$2:$CA$2, 0)+1), "")</f>
        <v>1.8433904181792471</v>
      </c>
      <c r="BZ62" s="206" t="str">
        <f>IF(AND($A62&gt;=SYear_O, $A62&lt;=EYear_O, BZ$3&gt;0), BZ$3 * VLOOKUP($A62, Data_All!$A$8:$CA$153, MATCH(BZ$2, Data_All!$B$2:$CA$2, 0)+1), "")</f>
        <v/>
      </c>
      <c r="CA62" s="565">
        <f t="shared" si="19"/>
        <v>8.6734299438709463</v>
      </c>
      <c r="CB62" s="427">
        <f t="shared" si="20"/>
        <v>302521.03477938188</v>
      </c>
      <c r="CC62" s="565">
        <f>IF(AND($A62&gt;=SYear_O,$A62&lt;=EYear_O),(CA62-Data_All!CA63)/(1+Data_All!CA63%),"")</f>
        <v>11.157394056873709</v>
      </c>
      <c r="CD62" s="436">
        <f t="shared" si="21"/>
        <v>215465.178929905</v>
      </c>
      <c r="CE62" s="438">
        <f t="shared" si="22"/>
        <v>27.438427565395891</v>
      </c>
      <c r="CF62" s="438">
        <f>IF(AND($A62&gt;=SYear_O,$A62&lt;=EYear_O),MAX($CE$7:CE62),"")</f>
        <v>27.438427565395891</v>
      </c>
      <c r="CG62" s="209">
        <f t="shared" si="23"/>
        <v>0</v>
      </c>
      <c r="CI62" s="143">
        <f>IF(AND($A62&gt;=SYear_O,$A62&lt;=EYear_O),Data_All!V63,"")</f>
        <v>4.1862323908482377</v>
      </c>
      <c r="CJ62" s="143">
        <f>IF(AND($A62&gt;=SYear_O,$A62&lt;=EYear_O),Data_All!CA63,"")</f>
        <v>-2.2346368715083775</v>
      </c>
      <c r="CK62" s="143">
        <f t="shared" si="24"/>
        <v>6.5676319883533374</v>
      </c>
      <c r="CN62" s="61">
        <f t="shared" si="25"/>
        <v>8.6734299438709472E-2</v>
      </c>
      <c r="CO62" s="61">
        <f t="shared" si="26"/>
        <v>0.19603187719198956</v>
      </c>
      <c r="CP62" s="61">
        <f t="shared" si="27"/>
        <v>8.3855601412067049E-2</v>
      </c>
      <c r="CQ62" s="61">
        <f t="shared" si="28"/>
        <v>6.7272298009652953E-2</v>
      </c>
      <c r="CR62" s="61">
        <f t="shared" si="29"/>
        <v>5.0602527077217463E-2</v>
      </c>
      <c r="CU62" s="61">
        <f t="shared" si="30"/>
        <v>0.11157394056873704</v>
      </c>
      <c r="CV62" s="61">
        <f t="shared" si="31"/>
        <v>0.21439991555541993</v>
      </c>
      <c r="CW62" s="61">
        <f t="shared" si="32"/>
        <v>0.10984571019549105</v>
      </c>
      <c r="CX62" s="61">
        <f t="shared" si="33"/>
        <v>9.539973501922705E-2</v>
      </c>
      <c r="CY62" s="61">
        <f t="shared" si="34"/>
        <v>6.744957584724709E-2</v>
      </c>
    </row>
    <row r="63" spans="1:103">
      <c r="A63" s="204">
        <f t="shared" si="18"/>
        <v>1927</v>
      </c>
      <c r="B63" s="206" t="str">
        <f>IF(AND($A63&gt;=SYear_O, $A63&lt;=EYear_O, B$3&gt;0), B$3 * VLOOKUP($A63, Data_All!$A$8:$CA$153, MATCH(B$2, Data_All!$B$2:$CA$2, 0)+1), "")</f>
        <v/>
      </c>
      <c r="C63" s="206" t="str">
        <f>IF(AND($A63&gt;=SYear_O, $A63&lt;=EYear_O, C$3&gt;0), C$3 * VLOOKUP($A63, Data_All!$A$8:$CA$153, MATCH(C$2, Data_All!$B$2:$CA$2, 0)+1), "")</f>
        <v/>
      </c>
      <c r="D63" s="206" t="str">
        <f>IF(AND($A63&gt;=SYear_O, $A63&lt;=EYear_O, D$3&gt;0), D$3 * VLOOKUP($A63, Data_All!$A$8:$CA$153, MATCH(D$2, Data_All!$B$2:$CA$2, 0)+1), "")</f>
        <v/>
      </c>
      <c r="E63" s="206" t="str">
        <f>IF(AND($A63&gt;=SYear_O, $A63&lt;=EYear_O, E$3&gt;0), E$3 * VLOOKUP($A63, Data_All!$A$8:$CA$153, MATCH(E$2, Data_All!$B$2:$CA$2, 0)+1), "")</f>
        <v/>
      </c>
      <c r="F63" s="206" t="str">
        <f>IF(AND($A63&gt;=SYear_O, $A63&lt;=EYear_O, F$3&gt;0), F$3 * VLOOKUP($A63, Data_All!$A$8:$CA$153, MATCH(F$2, Data_All!$B$2:$CA$2, 0)+1), "")</f>
        <v/>
      </c>
      <c r="G63" s="206" t="str">
        <f>IF(AND($A63&gt;=SYear_O, $A63&lt;=EYear_O, G$3&gt;0), G$3 * VLOOKUP($A63, Data_All!$A$8:$CA$153, MATCH(G$2, Data_All!$B$2:$CA$2, 0)+1), "")</f>
        <v/>
      </c>
      <c r="H63" s="206" t="str">
        <f>IF(AND($A63&gt;=SYear_O, $A63&lt;=EYear_O, H$3&gt;0), H$3 * VLOOKUP($A63, Data_All!$A$8:$CA$153, MATCH(H$2, Data_All!$B$2:$CA$2, 0)+1), "")</f>
        <v/>
      </c>
      <c r="I63" s="206" t="str">
        <f>IF(AND($A63&gt;=SYear_O, $A63&lt;=EYear_O, I$3&gt;0), I$3 * VLOOKUP($A63, Data_All!$A$8:$CA$153, MATCH(I$2, Data_All!$B$2:$CA$2, 0)+1), "")</f>
        <v/>
      </c>
      <c r="J63" s="206" t="str">
        <f>IF(AND($A63&gt;=SYear_O, $A63&lt;=EYear_O, J$3&gt;0), J$3 * VLOOKUP($A63, Data_All!$A$8:$CA$153, MATCH(J$2, Data_All!$B$2:$CA$2, 0)+1), "")</f>
        <v/>
      </c>
      <c r="K63" s="206" t="str">
        <f>IF(AND($A63&gt;=SYear_O, $A63&lt;=EYear_O, K$3&gt;0), K$3 * VLOOKUP($A63, Data_All!$A$8:$CA$153, MATCH(K$2, Data_All!$B$2:$CA$2, 0)+1), "")</f>
        <v/>
      </c>
      <c r="L63" s="206" t="str">
        <f>IF(AND($A63&gt;=SYear_O, $A63&lt;=EYear_O, L$3&gt;0), L$3 * VLOOKUP($A63, Data_All!$A$8:$CA$153, MATCH(L$2, Data_All!$B$2:$CA$2, 0)+1), "")</f>
        <v/>
      </c>
      <c r="M63" s="206" t="str">
        <f>IF(AND($A63&gt;=SYear_O, $A63&lt;=EYear_O, M$3&gt;0), M$3 * VLOOKUP($A63, Data_All!$A$8:$CA$153, MATCH(M$2, Data_All!$B$2:$CA$2, 0)+1), "")</f>
        <v/>
      </c>
      <c r="N63" s="206" t="str">
        <f>IF(AND($A63&gt;=SYear_O, $A63&lt;=EYear_O, N$3&gt;0), N$3 * VLOOKUP($A63, Data_All!$A$8:$CA$153, MATCH(N$2, Data_All!$B$2:$CA$2, 0)+1), "")</f>
        <v/>
      </c>
      <c r="O63" s="206" t="str">
        <f>IF(AND($A63&gt;=SYear_O, $A63&lt;=EYear_O, O$3&gt;0), O$3 * VLOOKUP($A63, Data_All!$A$8:$CA$153, MATCH(O$2, Data_All!$B$2:$CA$2, 0)+1), "")</f>
        <v/>
      </c>
      <c r="P63" s="206" t="str">
        <f>IF(AND($A63&gt;=SYear_O, $A63&lt;=EYear_O, P$3&gt;0), P$3 * VLOOKUP($A63, Data_All!$A$8:$CA$153, MATCH(P$2, Data_All!$B$2:$CA$2, 0)+1), "")</f>
        <v/>
      </c>
      <c r="Q63" s="206" t="str">
        <f>IF(AND($A63&gt;=SYear_O, $A63&lt;=EYear_O, Q$3&gt;0), Q$3 * VLOOKUP($A63, Data_All!$A$8:$CA$153, MATCH(Q$2, Data_All!$B$2:$CA$2, 0)+1), "")</f>
        <v/>
      </c>
      <c r="R63" s="206" t="str">
        <f>IF(AND($A63&gt;=SYear_O, $A63&lt;=EYear_O, R$3&gt;0), R$3 * VLOOKUP($A63, Data_All!$A$8:$CA$153, MATCH(R$2, Data_All!$B$2:$CA$2, 0)+1), "")</f>
        <v/>
      </c>
      <c r="S63" s="206" t="str">
        <f>IF(AND($A63&gt;=SYear_O, $A63&lt;=EYear_O, S$3&gt;0), S$3 * VLOOKUP($A63, Data_All!$A$8:$CA$153, MATCH(S$2, Data_All!$B$2:$CA$2, 0)+1), "")</f>
        <v/>
      </c>
      <c r="T63" s="206" t="str">
        <f>IF(AND($A63&gt;=SYear_O, $A63&lt;=EYear_O, T$3&gt;0), T$3 * VLOOKUP($A63, Data_All!$A$8:$CA$153, MATCH(T$2, Data_All!$B$2:$CA$2, 0)+1), "")</f>
        <v/>
      </c>
      <c r="U63" s="206" t="str">
        <f>IF(AND($A63&gt;=SYear_O, $A63&lt;=EYear_O, U$3&gt;0), U$3 * VLOOKUP($A63, Data_All!$A$8:$CA$153, MATCH(U$2, Data_All!$B$2:$CA$2, 0)+1), "")</f>
        <v/>
      </c>
      <c r="V63" s="206" t="str">
        <f>IF(AND($A63&gt;=SYear_O, $A63&lt;=EYear_O, V$3&gt;0), V$3 * VLOOKUP($A63, Data_All!$A$8:$CA$153, MATCH(V$2, Data_All!$B$2:$CA$2, 0)+1), "")</f>
        <v/>
      </c>
      <c r="W63" s="206" t="str">
        <f>IF(AND($A63&gt;=SYear_O, $A63&lt;=EYear_O, W$3&gt;0), W$3 * VLOOKUP($A63, Data_All!$A$8:$CA$153, MATCH(W$2, Data_All!$B$2:$CA$2, 0)+1), "")</f>
        <v/>
      </c>
      <c r="X63" s="206" t="str">
        <f>IF(AND($A63&gt;=SYear_O, $A63&lt;=EYear_O, X$3&gt;0), X$3 * VLOOKUP($A63, Data_All!$A$8:$CA$153, MATCH(X$2, Data_All!$B$2:$CA$2, 0)+1), "")</f>
        <v/>
      </c>
      <c r="Y63" s="206" t="str">
        <f>IF(AND($A63&gt;=SYear_O, $A63&lt;=EYear_O, Y$3&gt;0), Y$3 * VLOOKUP($A63, Data_All!$A$8:$CA$153, MATCH(Y$2, Data_All!$B$2:$CA$2, 0)+1), "")</f>
        <v/>
      </c>
      <c r="Z63" s="206" t="str">
        <f>IF(AND($A63&gt;=SYear_O, $A63&lt;=EYear_O, Z$3&gt;0), Z$3 * VLOOKUP($A63, Data_All!$A$8:$CA$153, MATCH(Z$2, Data_All!$B$2:$CA$2, 0)+1), "")</f>
        <v/>
      </c>
      <c r="AA63" s="206" t="str">
        <f>IF(AND($A63&gt;=SYear_O, $A63&lt;=EYear_O, AA$3&gt;0), AA$3 * VLOOKUP($A63, Data_All!$A$8:$CA$153, MATCH(AA$2, Data_All!$B$2:$CA$2, 0)+1), "")</f>
        <v/>
      </c>
      <c r="AB63" s="206" t="str">
        <f>IF(AND($A63&gt;=SYear_O, $A63&lt;=EYear_O, AB$3&gt;0), AB$3 * VLOOKUP($A63, Data_All!$A$8:$CA$153, MATCH(AB$2, Data_All!$B$2:$CA$2, 0)+1), "")</f>
        <v/>
      </c>
      <c r="AC63" s="206" t="str">
        <f>IF(AND($A63&gt;=SYear_O, $A63&lt;=EYear_O, AC$3&gt;0), AC$3 * VLOOKUP($A63, Data_All!$A$8:$CA$153, MATCH(AC$2, Data_All!$B$2:$CA$2, 0)+1), "")</f>
        <v/>
      </c>
      <c r="AD63" s="206" t="str">
        <f>IF(AND($A63&gt;=SYear_O, $A63&lt;=EYear_O, AD$3&gt;0), AD$3 * VLOOKUP($A63, Data_All!$A$8:$CA$153, MATCH(AD$2, Data_All!$B$2:$CA$2, 0)+1), "")</f>
        <v/>
      </c>
      <c r="AE63" s="206" t="str">
        <f>IF(AND($A63&gt;=SYear_O, $A63&lt;=EYear_O, AE$3&gt;0), AE$3 * VLOOKUP($A63, Data_All!$A$8:$CA$153, MATCH(AE$2, Data_All!$B$2:$CA$2, 0)+1), "")</f>
        <v/>
      </c>
      <c r="AF63" s="206" t="str">
        <f>IF(AND($A63&gt;=SYear_O, $A63&lt;=EYear_O, AF$3&gt;0), AF$3 * VLOOKUP($A63, Data_All!$A$8:$CA$153, MATCH(AF$2, Data_All!$B$2:$CA$2, 0)+1), "")</f>
        <v/>
      </c>
      <c r="AG63" s="206" t="str">
        <f>IF(AND($A63&gt;=SYear_O, $A63&lt;=EYear_O, AG$3&gt;0), AG$3 * VLOOKUP($A63, Data_All!$A$8:$CA$153, MATCH(AG$2, Data_All!$B$2:$CA$2, 0)+1), "")</f>
        <v/>
      </c>
      <c r="AH63" s="206" t="str">
        <f>IF(AND($A63&gt;=SYear_O, $A63&lt;=EYear_O, AH$3&gt;0), AH$3 * VLOOKUP($A63, Data_All!$A$8:$CA$153, MATCH(AH$2, Data_All!$B$2:$CA$2, 0)+1), "")</f>
        <v/>
      </c>
      <c r="AI63" s="206" t="str">
        <f>IF(AND($A63&gt;=SYear_O, $A63&lt;=EYear_O, AI$3&gt;0), AI$3 * VLOOKUP($A63, Data_All!$A$8:$CA$153, MATCH(AI$2, Data_All!$B$2:$CA$2, 0)+1), "")</f>
        <v/>
      </c>
      <c r="AJ63" s="206" t="str">
        <f>IF(AND($A63&gt;=SYear_O, $A63&lt;=EYear_O, AJ$3&gt;0), AJ$3 * VLOOKUP($A63, Data_All!$A$8:$CA$153, MATCH(AJ$2, Data_All!$B$2:$CA$2, 0)+1), "")</f>
        <v/>
      </c>
      <c r="AK63" s="206" t="str">
        <f>IF(AND($A63&gt;=SYear_O, $A63&lt;=EYear_O, AK$3&gt;0), AK$3 * VLOOKUP($A63, Data_All!$A$8:$CA$153, MATCH(AK$2, Data_All!$B$2:$CA$2, 0)+1), "")</f>
        <v/>
      </c>
      <c r="AL63" s="206" t="str">
        <f>IF(AND($A63&gt;=SYear_O, $A63&lt;=EYear_O, AL$3&gt;0), AL$3 * VLOOKUP($A63, Data_All!$A$8:$CA$153, MATCH(AL$2, Data_All!$B$2:$CA$2, 0)+1), "")</f>
        <v/>
      </c>
      <c r="AM63" s="206" t="str">
        <f>IF(AND($A63&gt;=SYear_O, $A63&lt;=EYear_O, AM$3&gt;0), AM$3 * VLOOKUP($A63, Data_All!$A$8:$CA$153, MATCH(AM$2, Data_All!$B$2:$CA$2, 0)+1), "")</f>
        <v/>
      </c>
      <c r="AN63" s="206" t="str">
        <f>IF(AND($A63&gt;=SYear_O, $A63&lt;=EYear_O, AN$3&gt;0), AN$3 * VLOOKUP($A63, Data_All!$A$8:$CA$153, MATCH(AN$2, Data_All!$B$2:$CA$2, 0)+1), "")</f>
        <v/>
      </c>
      <c r="AO63" s="206" t="str">
        <f>IF(AND($A63&gt;=SYear_O, $A63&lt;=EYear_O, AO$3&gt;0), AO$3 * VLOOKUP($A63, Data_All!$A$8:$CA$153, MATCH(AO$2, Data_All!$B$2:$CA$2, 0)+1), "")</f>
        <v/>
      </c>
      <c r="AP63" s="206" t="str">
        <f>IF(AND($A63&gt;=SYear_O, $A63&lt;=EYear_O, AP$3&gt;0), AP$3 * VLOOKUP($A63, Data_All!$A$8:$CA$153, MATCH(AP$2, Data_All!$B$2:$CA$2, 0)+1), "")</f>
        <v/>
      </c>
      <c r="AQ63" s="206" t="str">
        <f>IF(AND($A63&gt;=SYear_O, $A63&lt;=EYear_O, AQ$3&gt;0), AQ$3 * VLOOKUP($A63, Data_All!$A$8:$CA$153, MATCH(AQ$2, Data_All!$B$2:$CA$2, 0)+1), "")</f>
        <v/>
      </c>
      <c r="AR63" s="206" t="str">
        <f>IF(AND($A63&gt;=SYear_O, $A63&lt;=EYear_O, AR$3&gt;0), AR$3 * VLOOKUP($A63, Data_All!$A$8:$CA$153, MATCH(AR$2, Data_All!$B$2:$CA$2, 0)+1), "")</f>
        <v/>
      </c>
      <c r="AS63" s="206" t="str">
        <f>IF(AND($A63&gt;=SYear_O, $A63&lt;=EYear_O, AS$3&gt;0), AS$3 * VLOOKUP($A63, Data_All!$A$8:$CA$153, MATCH(AS$2, Data_All!$B$2:$CA$2, 0)+1), "")</f>
        <v/>
      </c>
      <c r="AT63" s="206" t="str">
        <f>IF(AND($A63&gt;=SYear_O, $A63&lt;=EYear_O, AT$3&gt;0), AT$3 * VLOOKUP($A63, Data_All!$A$8:$CA$153, MATCH(AT$2, Data_All!$B$2:$CA$2, 0)+1), "")</f>
        <v/>
      </c>
      <c r="AU63" s="206" t="str">
        <f>IF(AND($A63&gt;=SYear_O, $A63&lt;=EYear_O, AU$3&gt;0), AU$3 * VLOOKUP($A63, Data_All!$A$8:$CA$153, MATCH(AU$2, Data_All!$B$2:$CA$2, 0)+1), "")</f>
        <v/>
      </c>
      <c r="AV63" s="206" t="str">
        <f>IF(AND($A63&gt;=SYear_O, $A63&lt;=EYear_O, AV$3&gt;0), AV$3 * VLOOKUP($A63, Data_All!$A$8:$CA$153, MATCH(AV$2, Data_All!$B$2:$CA$2, 0)+1), "")</f>
        <v/>
      </c>
      <c r="AW63" s="206" t="str">
        <f>IF(AND($A63&gt;=SYear_O, $A63&lt;=EYear_O, AW$3&gt;0), AW$3 * VLOOKUP($A63, Data_All!$A$8:$CA$153, MATCH(AW$2, Data_All!$B$2:$CA$2, 0)+1), "")</f>
        <v/>
      </c>
      <c r="AX63" s="206" t="str">
        <f>IF(AND($A63&gt;=SYear_O, $A63&lt;=EYear_O, AX$3&gt;0), AX$3 * VLOOKUP($A63, Data_All!$A$8:$CA$153, MATCH(AX$2, Data_All!$B$2:$CA$2, 0)+1), "")</f>
        <v/>
      </c>
      <c r="AY63" s="206" t="str">
        <f>IF(AND($A63&gt;=SYear_O, $A63&lt;=EYear_O, AY$3&gt;0), AY$3 * VLOOKUP($A63, Data_All!$A$8:$CA$153, MATCH(AY$2, Data_All!$B$2:$CA$2, 0)+1), "")</f>
        <v/>
      </c>
      <c r="AZ63" s="206" t="str">
        <f>IF(AND($A63&gt;=SYear_O, $A63&lt;=EYear_O, AZ$3&gt;0), AZ$3 * VLOOKUP($A63, Data_All!$A$8:$CA$153, MATCH(AZ$2, Data_All!$B$2:$CA$2, 0)+1), "")</f>
        <v/>
      </c>
      <c r="BA63" s="206" t="str">
        <f>IF(AND($A63&gt;=SYear_O, $A63&lt;=EYear_O, BA$3&gt;0), BA$3 * VLOOKUP($A63, Data_All!$A$8:$CA$153, MATCH(BA$2, Data_All!$B$2:$CA$2, 0)+1), "")</f>
        <v/>
      </c>
      <c r="BB63" s="206" t="str">
        <f>IF(AND($A63&gt;=SYear_O, $A63&lt;=EYear_O, BB$3&gt;0), BB$3 * VLOOKUP($A63, Data_All!$A$8:$CA$153, MATCH(BB$2, Data_All!$B$2:$CA$2, 0)+1), "")</f>
        <v/>
      </c>
      <c r="BC63" s="206" t="str">
        <f>IF(AND($A63&gt;=SYear_O, $A63&lt;=EYear_O, BC$3&gt;0), BC$3 * VLOOKUP($A63, Data_All!$A$8:$CA$153, MATCH(BC$2, Data_All!$B$2:$CA$2, 0)+1), "")</f>
        <v/>
      </c>
      <c r="BD63" s="206" t="str">
        <f>IF(AND($A63&gt;=SYear_O, $A63&lt;=EYear_O, BD$3&gt;0), BD$3 * VLOOKUP($A63, Data_All!$A$8:$CA$153, MATCH(BD$2, Data_All!$B$2:$CA$2, 0)+1), "")</f>
        <v/>
      </c>
      <c r="BE63" s="206" t="str">
        <f>IF(AND($A63&gt;=SYear_O, $A63&lt;=EYear_O, BE$3&gt;0), BE$3 * VLOOKUP($A63, Data_All!$A$8:$CA$153, MATCH(BE$2, Data_All!$B$2:$CA$2, 0)+1), "")</f>
        <v/>
      </c>
      <c r="BF63" s="206" t="str">
        <f>IF(AND($A63&gt;=SYear_O, $A63&lt;=EYear_O, BF$3&gt;0), BF$3 * VLOOKUP($A63, Data_All!$A$8:$CA$153, MATCH(BF$2, Data_All!$B$2:$CA$2, 0)+1), "")</f>
        <v/>
      </c>
      <c r="BG63" s="206" t="str">
        <f>IF(AND($A63&gt;=SYear_O, $A63&lt;=EYear_O, BG$3&gt;0), BG$3 * VLOOKUP($A63, Data_All!$A$8:$CA$153, MATCH(BG$2, Data_All!$B$2:$CA$2, 0)+1), "")</f>
        <v/>
      </c>
      <c r="BH63" s="206" t="str">
        <f>IF(AND($A63&gt;=SYear_O, $A63&lt;=EYear_O, BH$3&gt;0), BH$3 * VLOOKUP($A63, Data_All!$A$8:$CA$153, MATCH(BH$2, Data_All!$B$2:$CA$2, 0)+1), "")</f>
        <v/>
      </c>
      <c r="BI63" s="206" t="str">
        <f>IF(AND($A63&gt;=SYear_O, $A63&lt;=EYear_O, BI$3&gt;0), BI$3 * VLOOKUP($A63, Data_All!$A$8:$CA$153, MATCH(BI$2, Data_All!$B$2:$CA$2, 0)+1), "")</f>
        <v/>
      </c>
      <c r="BJ63" s="206" t="str">
        <f>IF(AND($A63&gt;=SYear_O, $A63&lt;=EYear_O, BJ$3&gt;0), BJ$3 * VLOOKUP($A63, Data_All!$A$8:$CA$153, MATCH(BJ$2, Data_All!$B$2:$CA$2, 0)+1), "")</f>
        <v/>
      </c>
      <c r="BK63" s="206" t="str">
        <f>IF(AND($A63&gt;=SYear_O, $A63&lt;=EYear_O, BK$3&gt;0), BK$3 * VLOOKUP($A63, Data_All!$A$8:$CA$153, MATCH(BK$2, Data_All!$B$2:$CA$2, 0)+1), "")</f>
        <v/>
      </c>
      <c r="BL63" s="206" t="str">
        <f>IF(AND($A63&gt;=SYear_O, $A63&lt;=EYear_O, BL$3&gt;0), BL$3 * VLOOKUP($A63, Data_All!$A$8:$CA$153, MATCH(BL$2, Data_All!$B$2:$CA$2, 0)+1), "")</f>
        <v/>
      </c>
      <c r="BM63" s="206" t="str">
        <f>IF(AND($A63&gt;=SYear_O, $A63&lt;=EYear_O, BM$3&gt;0), BM$3 * VLOOKUP($A63, Data_All!$A$8:$CA$153, MATCH(BM$2, Data_All!$B$2:$CA$2, 0)+1), "")</f>
        <v/>
      </c>
      <c r="BN63" s="206" t="str">
        <f>IF(AND($A63&gt;=SYear_O, $A63&lt;=EYear_O, BN$3&gt;0), BN$3 * VLOOKUP($A63, Data_All!$A$8:$CA$153, MATCH(BN$2, Data_All!$B$2:$CA$2, 0)+1), "")</f>
        <v/>
      </c>
      <c r="BO63" s="206" t="str">
        <f>IF(AND($A63&gt;=SYear_O, $A63&lt;=EYear_O, BO$3&gt;0), BO$3 * VLOOKUP($A63, Data_All!$A$8:$CA$153, MATCH(BO$2, Data_All!$B$2:$CA$2, 0)+1), "")</f>
        <v/>
      </c>
      <c r="BP63" s="206" t="str">
        <f>IF(AND($A63&gt;=SYear_O, $A63&lt;=EYear_O, BP$3&gt;0), BP$3 * VLOOKUP($A63, Data_All!$A$8:$CA$153, MATCH(BP$2, Data_All!$B$2:$CA$2, 0)+1), "")</f>
        <v/>
      </c>
      <c r="BQ63" s="206" t="str">
        <f>IF(AND($A63&gt;=SYear_O, $A63&lt;=EYear_O, BQ$3&gt;0), BQ$3 * VLOOKUP($A63, Data_All!$A$8:$CA$153, MATCH(BQ$2, Data_All!$B$2:$CA$2, 0)+1), "")</f>
        <v/>
      </c>
      <c r="BR63" s="206" t="str">
        <f>IF(AND($A63&gt;=SYear_O, $A63&lt;=EYear_O, BR$3&gt;0), BR$3 * VLOOKUP($A63, Data_All!$A$8:$CA$153, MATCH(BR$2, Data_All!$B$2:$CA$2, 0)+1), "")</f>
        <v/>
      </c>
      <c r="BS63" s="206" t="str">
        <f>IF(AND($A63&gt;=SYear_O, $A63&lt;=EYear_O, BS$3&gt;0), BS$3 * VLOOKUP($A63, Data_All!$A$8:$CA$153, MATCH(BS$2, Data_All!$B$2:$CA$2, 0)+1), "")</f>
        <v/>
      </c>
      <c r="BT63" s="206" t="str">
        <f>IF(AND($A63&gt;=SYear_O, $A63&lt;=EYear_O, BT$3&gt;0), BT$3 * VLOOKUP($A63, Data_All!$A$8:$CA$153, MATCH(BT$2, Data_All!$B$2:$CA$2, 0)+1), "")</f>
        <v/>
      </c>
      <c r="BU63" s="206" t="str">
        <f>IF(AND($A63&gt;=SYear_O, $A63&lt;=EYear_O, BU$3&gt;0), BU$3 * VLOOKUP($A63, Data_All!$A$8:$CA$153, MATCH(BU$2, Data_All!$B$2:$CA$2, 0)+1), "")</f>
        <v/>
      </c>
      <c r="BV63" s="206" t="str">
        <f>IF(AND($A63&gt;=SYear_O, $A63&lt;=EYear_O, BV$3&gt;0), BV$3 * VLOOKUP($A63, Data_All!$A$8:$CA$153, MATCH(BV$2, Data_All!$B$2:$CA$2, 0)+1), "")</f>
        <v/>
      </c>
      <c r="BW63" s="206" t="str">
        <f>IF(AND($A63&gt;=SYear_O, $A63&lt;=EYear_O, BW$3&gt;0), BW$3 * VLOOKUP($A63, Data_All!$A$8:$CA$153, MATCH(BW$2, Data_All!$B$2:$CA$2, 0)+1), "")</f>
        <v/>
      </c>
      <c r="BX63" s="206">
        <f>IF(AND($A63&gt;=SYear_O, $A63&lt;=EYear_O, BX$3&gt;0), BX$3 * VLOOKUP($A63, Data_All!$A$8:$CA$153, MATCH(BX$2, Data_All!$B$2:$CA$2, 0)+1), "")</f>
        <v>21.940298507462689</v>
      </c>
      <c r="BY63" s="206">
        <f>IF(AND($A63&gt;=SYear_O, $A63&lt;=EYear_O, BY$3&gt;0), BY$3 * VLOOKUP($A63, Data_All!$A$8:$CA$153, MATCH(BY$2, Data_All!$B$2:$CA$2, 0)+1), "")</f>
        <v>1.0383955366608077</v>
      </c>
      <c r="BZ63" s="206" t="str">
        <f>IF(AND($A63&gt;=SYear_O, $A63&lt;=EYear_O, BZ$3&gt;0), BZ$3 * VLOOKUP($A63, Data_All!$A$8:$CA$153, MATCH(BZ$2, Data_All!$B$2:$CA$2, 0)+1), "")</f>
        <v/>
      </c>
      <c r="CA63" s="565">
        <f t="shared" si="19"/>
        <v>22.978694044123497</v>
      </c>
      <c r="CB63" s="427">
        <f t="shared" si="20"/>
        <v>372036.41778045247</v>
      </c>
      <c r="CC63" s="565">
        <f>IF(AND($A63&gt;=SYear_O,$A63&lt;=EYear_O),(CA63-Data_All!CA64)/(1+Data_All!CA64%),"")</f>
        <v>24.400413050413931</v>
      </c>
      <c r="CD63" s="436">
        <f t="shared" si="21"/>
        <v>268039.57256861526</v>
      </c>
      <c r="CE63" s="438">
        <f t="shared" si="22"/>
        <v>33.743419886166656</v>
      </c>
      <c r="CF63" s="438">
        <f>IF(AND($A63&gt;=SYear_O,$A63&lt;=EYear_O),MAX($CE$7:CE63),"")</f>
        <v>33.743419886166656</v>
      </c>
      <c r="CG63" s="209">
        <f t="shared" si="23"/>
        <v>0</v>
      </c>
      <c r="CI63" s="143">
        <f>IF(AND($A63&gt;=SYear_O,$A63&lt;=EYear_O),Data_All!V64,"")</f>
        <v>4.1662503746628037</v>
      </c>
      <c r="CJ63" s="143">
        <f>IF(AND($A63&gt;=SYear_O,$A63&lt;=EYear_O),Data_All!CA64,"")</f>
        <v>-1.1428571428571344</v>
      </c>
      <c r="CK63" s="143">
        <f t="shared" si="24"/>
        <v>5.370484483040399</v>
      </c>
      <c r="CN63" s="61">
        <f t="shared" si="25"/>
        <v>0.22978694044123493</v>
      </c>
      <c r="CO63" s="61">
        <f t="shared" si="26"/>
        <v>0.15477163244618697</v>
      </c>
      <c r="CP63" s="61">
        <f t="shared" si="27"/>
        <v>5.1998459470266045E-3</v>
      </c>
      <c r="CQ63" s="61">
        <f t="shared" si="28"/>
        <v>7.8664199388919442E-2</v>
      </c>
      <c r="CR63" s="61">
        <f t="shared" si="29"/>
        <v>4.1233043896532262E-2</v>
      </c>
      <c r="CU63" s="61">
        <f t="shared" si="30"/>
        <v>0.24400413050413916</v>
      </c>
      <c r="CV63" s="61">
        <f t="shared" si="31"/>
        <v>0.16370639098851036</v>
      </c>
      <c r="CW63" s="61">
        <f t="shared" si="32"/>
        <v>4.6629124361112995E-2</v>
      </c>
      <c r="CX63" s="61">
        <f t="shared" si="33"/>
        <v>0.10221967342355698</v>
      </c>
      <c r="CY63" s="61">
        <f t="shared" si="34"/>
        <v>4.8794743180308631E-2</v>
      </c>
    </row>
    <row r="64" spans="1:103">
      <c r="A64" s="204">
        <f t="shared" si="18"/>
        <v>1928</v>
      </c>
      <c r="B64" s="206" t="str">
        <f>IF(AND($A64&gt;=SYear_O, $A64&lt;=EYear_O, B$3&gt;0), B$3 * VLOOKUP($A64, Data_All!$A$8:$CA$153, MATCH(B$2, Data_All!$B$2:$CA$2, 0)+1), "")</f>
        <v/>
      </c>
      <c r="C64" s="206" t="str">
        <f>IF(AND($A64&gt;=SYear_O, $A64&lt;=EYear_O, C$3&gt;0), C$3 * VLOOKUP($A64, Data_All!$A$8:$CA$153, MATCH(C$2, Data_All!$B$2:$CA$2, 0)+1), "")</f>
        <v/>
      </c>
      <c r="D64" s="206" t="str">
        <f>IF(AND($A64&gt;=SYear_O, $A64&lt;=EYear_O, D$3&gt;0), D$3 * VLOOKUP($A64, Data_All!$A$8:$CA$153, MATCH(D$2, Data_All!$B$2:$CA$2, 0)+1), "")</f>
        <v/>
      </c>
      <c r="E64" s="206" t="str">
        <f>IF(AND($A64&gt;=SYear_O, $A64&lt;=EYear_O, E$3&gt;0), E$3 * VLOOKUP($A64, Data_All!$A$8:$CA$153, MATCH(E$2, Data_All!$B$2:$CA$2, 0)+1), "")</f>
        <v/>
      </c>
      <c r="F64" s="206" t="str">
        <f>IF(AND($A64&gt;=SYear_O, $A64&lt;=EYear_O, F$3&gt;0), F$3 * VLOOKUP($A64, Data_All!$A$8:$CA$153, MATCH(F$2, Data_All!$B$2:$CA$2, 0)+1), "")</f>
        <v/>
      </c>
      <c r="G64" s="206" t="str">
        <f>IF(AND($A64&gt;=SYear_O, $A64&lt;=EYear_O, G$3&gt;0), G$3 * VLOOKUP($A64, Data_All!$A$8:$CA$153, MATCH(G$2, Data_All!$B$2:$CA$2, 0)+1), "")</f>
        <v/>
      </c>
      <c r="H64" s="206" t="str">
        <f>IF(AND($A64&gt;=SYear_O, $A64&lt;=EYear_O, H$3&gt;0), H$3 * VLOOKUP($A64, Data_All!$A$8:$CA$153, MATCH(H$2, Data_All!$B$2:$CA$2, 0)+1), "")</f>
        <v/>
      </c>
      <c r="I64" s="206" t="str">
        <f>IF(AND($A64&gt;=SYear_O, $A64&lt;=EYear_O, I$3&gt;0), I$3 * VLOOKUP($A64, Data_All!$A$8:$CA$153, MATCH(I$2, Data_All!$B$2:$CA$2, 0)+1), "")</f>
        <v/>
      </c>
      <c r="J64" s="206" t="str">
        <f>IF(AND($A64&gt;=SYear_O, $A64&lt;=EYear_O, J$3&gt;0), J$3 * VLOOKUP($A64, Data_All!$A$8:$CA$153, MATCH(J$2, Data_All!$B$2:$CA$2, 0)+1), "")</f>
        <v/>
      </c>
      <c r="K64" s="206" t="str">
        <f>IF(AND($A64&gt;=SYear_O, $A64&lt;=EYear_O, K$3&gt;0), K$3 * VLOOKUP($A64, Data_All!$A$8:$CA$153, MATCH(K$2, Data_All!$B$2:$CA$2, 0)+1), "")</f>
        <v/>
      </c>
      <c r="L64" s="206" t="str">
        <f>IF(AND($A64&gt;=SYear_O, $A64&lt;=EYear_O, L$3&gt;0), L$3 * VLOOKUP($A64, Data_All!$A$8:$CA$153, MATCH(L$2, Data_All!$B$2:$CA$2, 0)+1), "")</f>
        <v/>
      </c>
      <c r="M64" s="206" t="str">
        <f>IF(AND($A64&gt;=SYear_O, $A64&lt;=EYear_O, M$3&gt;0), M$3 * VLOOKUP($A64, Data_All!$A$8:$CA$153, MATCH(M$2, Data_All!$B$2:$CA$2, 0)+1), "")</f>
        <v/>
      </c>
      <c r="N64" s="206" t="str">
        <f>IF(AND($A64&gt;=SYear_O, $A64&lt;=EYear_O, N$3&gt;0), N$3 * VLOOKUP($A64, Data_All!$A$8:$CA$153, MATCH(N$2, Data_All!$B$2:$CA$2, 0)+1), "")</f>
        <v/>
      </c>
      <c r="O64" s="206" t="str">
        <f>IF(AND($A64&gt;=SYear_O, $A64&lt;=EYear_O, O$3&gt;0), O$3 * VLOOKUP($A64, Data_All!$A$8:$CA$153, MATCH(O$2, Data_All!$B$2:$CA$2, 0)+1), "")</f>
        <v/>
      </c>
      <c r="P64" s="206" t="str">
        <f>IF(AND($A64&gt;=SYear_O, $A64&lt;=EYear_O, P$3&gt;0), P$3 * VLOOKUP($A64, Data_All!$A$8:$CA$153, MATCH(P$2, Data_All!$B$2:$CA$2, 0)+1), "")</f>
        <v/>
      </c>
      <c r="Q64" s="206" t="str">
        <f>IF(AND($A64&gt;=SYear_O, $A64&lt;=EYear_O, Q$3&gt;0), Q$3 * VLOOKUP($A64, Data_All!$A$8:$CA$153, MATCH(Q$2, Data_All!$B$2:$CA$2, 0)+1), "")</f>
        <v/>
      </c>
      <c r="R64" s="206" t="str">
        <f>IF(AND($A64&gt;=SYear_O, $A64&lt;=EYear_O, R$3&gt;0), R$3 * VLOOKUP($A64, Data_All!$A$8:$CA$153, MATCH(R$2, Data_All!$B$2:$CA$2, 0)+1), "")</f>
        <v/>
      </c>
      <c r="S64" s="206" t="str">
        <f>IF(AND($A64&gt;=SYear_O, $A64&lt;=EYear_O, S$3&gt;0), S$3 * VLOOKUP($A64, Data_All!$A$8:$CA$153, MATCH(S$2, Data_All!$B$2:$CA$2, 0)+1), "")</f>
        <v/>
      </c>
      <c r="T64" s="206" t="str">
        <f>IF(AND($A64&gt;=SYear_O, $A64&lt;=EYear_O, T$3&gt;0), T$3 * VLOOKUP($A64, Data_All!$A$8:$CA$153, MATCH(T$2, Data_All!$B$2:$CA$2, 0)+1), "")</f>
        <v/>
      </c>
      <c r="U64" s="206" t="str">
        <f>IF(AND($A64&gt;=SYear_O, $A64&lt;=EYear_O, U$3&gt;0), U$3 * VLOOKUP($A64, Data_All!$A$8:$CA$153, MATCH(U$2, Data_All!$B$2:$CA$2, 0)+1), "")</f>
        <v/>
      </c>
      <c r="V64" s="206" t="str">
        <f>IF(AND($A64&gt;=SYear_O, $A64&lt;=EYear_O, V$3&gt;0), V$3 * VLOOKUP($A64, Data_All!$A$8:$CA$153, MATCH(V$2, Data_All!$B$2:$CA$2, 0)+1), "")</f>
        <v/>
      </c>
      <c r="W64" s="206" t="str">
        <f>IF(AND($A64&gt;=SYear_O, $A64&lt;=EYear_O, W$3&gt;0), W$3 * VLOOKUP($A64, Data_All!$A$8:$CA$153, MATCH(W$2, Data_All!$B$2:$CA$2, 0)+1), "")</f>
        <v/>
      </c>
      <c r="X64" s="206" t="str">
        <f>IF(AND($A64&gt;=SYear_O, $A64&lt;=EYear_O, X$3&gt;0), X$3 * VLOOKUP($A64, Data_All!$A$8:$CA$153, MATCH(X$2, Data_All!$B$2:$CA$2, 0)+1), "")</f>
        <v/>
      </c>
      <c r="Y64" s="206" t="str">
        <f>IF(AND($A64&gt;=SYear_O, $A64&lt;=EYear_O, Y$3&gt;0), Y$3 * VLOOKUP($A64, Data_All!$A$8:$CA$153, MATCH(Y$2, Data_All!$B$2:$CA$2, 0)+1), "")</f>
        <v/>
      </c>
      <c r="Z64" s="206" t="str">
        <f>IF(AND($A64&gt;=SYear_O, $A64&lt;=EYear_O, Z$3&gt;0), Z$3 * VLOOKUP($A64, Data_All!$A$8:$CA$153, MATCH(Z$2, Data_All!$B$2:$CA$2, 0)+1), "")</f>
        <v/>
      </c>
      <c r="AA64" s="206" t="str">
        <f>IF(AND($A64&gt;=SYear_O, $A64&lt;=EYear_O, AA$3&gt;0), AA$3 * VLOOKUP($A64, Data_All!$A$8:$CA$153, MATCH(AA$2, Data_All!$B$2:$CA$2, 0)+1), "")</f>
        <v/>
      </c>
      <c r="AB64" s="206" t="str">
        <f>IF(AND($A64&gt;=SYear_O, $A64&lt;=EYear_O, AB$3&gt;0), AB$3 * VLOOKUP($A64, Data_All!$A$8:$CA$153, MATCH(AB$2, Data_All!$B$2:$CA$2, 0)+1), "")</f>
        <v/>
      </c>
      <c r="AC64" s="206" t="str">
        <f>IF(AND($A64&gt;=SYear_O, $A64&lt;=EYear_O, AC$3&gt;0), AC$3 * VLOOKUP($A64, Data_All!$A$8:$CA$153, MATCH(AC$2, Data_All!$B$2:$CA$2, 0)+1), "")</f>
        <v/>
      </c>
      <c r="AD64" s="206" t="str">
        <f>IF(AND($A64&gt;=SYear_O, $A64&lt;=EYear_O, AD$3&gt;0), AD$3 * VLOOKUP($A64, Data_All!$A$8:$CA$153, MATCH(AD$2, Data_All!$B$2:$CA$2, 0)+1), "")</f>
        <v/>
      </c>
      <c r="AE64" s="206" t="str">
        <f>IF(AND($A64&gt;=SYear_O, $A64&lt;=EYear_O, AE$3&gt;0), AE$3 * VLOOKUP($A64, Data_All!$A$8:$CA$153, MATCH(AE$2, Data_All!$B$2:$CA$2, 0)+1), "")</f>
        <v/>
      </c>
      <c r="AF64" s="206" t="str">
        <f>IF(AND($A64&gt;=SYear_O, $A64&lt;=EYear_O, AF$3&gt;0), AF$3 * VLOOKUP($A64, Data_All!$A$8:$CA$153, MATCH(AF$2, Data_All!$B$2:$CA$2, 0)+1), "")</f>
        <v/>
      </c>
      <c r="AG64" s="206" t="str">
        <f>IF(AND($A64&gt;=SYear_O, $A64&lt;=EYear_O, AG$3&gt;0), AG$3 * VLOOKUP($A64, Data_All!$A$8:$CA$153, MATCH(AG$2, Data_All!$B$2:$CA$2, 0)+1), "")</f>
        <v/>
      </c>
      <c r="AH64" s="206" t="str">
        <f>IF(AND($A64&gt;=SYear_O, $A64&lt;=EYear_O, AH$3&gt;0), AH$3 * VLOOKUP($A64, Data_All!$A$8:$CA$153, MATCH(AH$2, Data_All!$B$2:$CA$2, 0)+1), "")</f>
        <v/>
      </c>
      <c r="AI64" s="206" t="str">
        <f>IF(AND($A64&gt;=SYear_O, $A64&lt;=EYear_O, AI$3&gt;0), AI$3 * VLOOKUP($A64, Data_All!$A$8:$CA$153, MATCH(AI$2, Data_All!$B$2:$CA$2, 0)+1), "")</f>
        <v/>
      </c>
      <c r="AJ64" s="206" t="str">
        <f>IF(AND($A64&gt;=SYear_O, $A64&lt;=EYear_O, AJ$3&gt;0), AJ$3 * VLOOKUP($A64, Data_All!$A$8:$CA$153, MATCH(AJ$2, Data_All!$B$2:$CA$2, 0)+1), "")</f>
        <v/>
      </c>
      <c r="AK64" s="206" t="str">
        <f>IF(AND($A64&gt;=SYear_O, $A64&lt;=EYear_O, AK$3&gt;0), AK$3 * VLOOKUP($A64, Data_All!$A$8:$CA$153, MATCH(AK$2, Data_All!$B$2:$CA$2, 0)+1), "")</f>
        <v/>
      </c>
      <c r="AL64" s="206" t="str">
        <f>IF(AND($A64&gt;=SYear_O, $A64&lt;=EYear_O, AL$3&gt;0), AL$3 * VLOOKUP($A64, Data_All!$A$8:$CA$153, MATCH(AL$2, Data_All!$B$2:$CA$2, 0)+1), "")</f>
        <v/>
      </c>
      <c r="AM64" s="206" t="str">
        <f>IF(AND($A64&gt;=SYear_O, $A64&lt;=EYear_O, AM$3&gt;0), AM$3 * VLOOKUP($A64, Data_All!$A$8:$CA$153, MATCH(AM$2, Data_All!$B$2:$CA$2, 0)+1), "")</f>
        <v/>
      </c>
      <c r="AN64" s="206" t="str">
        <f>IF(AND($A64&gt;=SYear_O, $A64&lt;=EYear_O, AN$3&gt;0), AN$3 * VLOOKUP($A64, Data_All!$A$8:$CA$153, MATCH(AN$2, Data_All!$B$2:$CA$2, 0)+1), "")</f>
        <v/>
      </c>
      <c r="AO64" s="206" t="str">
        <f>IF(AND($A64&gt;=SYear_O, $A64&lt;=EYear_O, AO$3&gt;0), AO$3 * VLOOKUP($A64, Data_All!$A$8:$CA$153, MATCH(AO$2, Data_All!$B$2:$CA$2, 0)+1), "")</f>
        <v/>
      </c>
      <c r="AP64" s="206" t="str">
        <f>IF(AND($A64&gt;=SYear_O, $A64&lt;=EYear_O, AP$3&gt;0), AP$3 * VLOOKUP($A64, Data_All!$A$8:$CA$153, MATCH(AP$2, Data_All!$B$2:$CA$2, 0)+1), "")</f>
        <v/>
      </c>
      <c r="AQ64" s="206" t="str">
        <f>IF(AND($A64&gt;=SYear_O, $A64&lt;=EYear_O, AQ$3&gt;0), AQ$3 * VLOOKUP($A64, Data_All!$A$8:$CA$153, MATCH(AQ$2, Data_All!$B$2:$CA$2, 0)+1), "")</f>
        <v/>
      </c>
      <c r="AR64" s="206" t="str">
        <f>IF(AND($A64&gt;=SYear_O, $A64&lt;=EYear_O, AR$3&gt;0), AR$3 * VLOOKUP($A64, Data_All!$A$8:$CA$153, MATCH(AR$2, Data_All!$B$2:$CA$2, 0)+1), "")</f>
        <v/>
      </c>
      <c r="AS64" s="206" t="str">
        <f>IF(AND($A64&gt;=SYear_O, $A64&lt;=EYear_O, AS$3&gt;0), AS$3 * VLOOKUP($A64, Data_All!$A$8:$CA$153, MATCH(AS$2, Data_All!$B$2:$CA$2, 0)+1), "")</f>
        <v/>
      </c>
      <c r="AT64" s="206" t="str">
        <f>IF(AND($A64&gt;=SYear_O, $A64&lt;=EYear_O, AT$3&gt;0), AT$3 * VLOOKUP($A64, Data_All!$A$8:$CA$153, MATCH(AT$2, Data_All!$B$2:$CA$2, 0)+1), "")</f>
        <v/>
      </c>
      <c r="AU64" s="206" t="str">
        <f>IF(AND($A64&gt;=SYear_O, $A64&lt;=EYear_O, AU$3&gt;0), AU$3 * VLOOKUP($A64, Data_All!$A$8:$CA$153, MATCH(AU$2, Data_All!$B$2:$CA$2, 0)+1), "")</f>
        <v/>
      </c>
      <c r="AV64" s="206" t="str">
        <f>IF(AND($A64&gt;=SYear_O, $A64&lt;=EYear_O, AV$3&gt;0), AV$3 * VLOOKUP($A64, Data_All!$A$8:$CA$153, MATCH(AV$2, Data_All!$B$2:$CA$2, 0)+1), "")</f>
        <v/>
      </c>
      <c r="AW64" s="206" t="str">
        <f>IF(AND($A64&gt;=SYear_O, $A64&lt;=EYear_O, AW$3&gt;0), AW$3 * VLOOKUP($A64, Data_All!$A$8:$CA$153, MATCH(AW$2, Data_All!$B$2:$CA$2, 0)+1), "")</f>
        <v/>
      </c>
      <c r="AX64" s="206" t="str">
        <f>IF(AND($A64&gt;=SYear_O, $A64&lt;=EYear_O, AX$3&gt;0), AX$3 * VLOOKUP($A64, Data_All!$A$8:$CA$153, MATCH(AX$2, Data_All!$B$2:$CA$2, 0)+1), "")</f>
        <v/>
      </c>
      <c r="AY64" s="206" t="str">
        <f>IF(AND($A64&gt;=SYear_O, $A64&lt;=EYear_O, AY$3&gt;0), AY$3 * VLOOKUP($A64, Data_All!$A$8:$CA$153, MATCH(AY$2, Data_All!$B$2:$CA$2, 0)+1), "")</f>
        <v/>
      </c>
      <c r="AZ64" s="206" t="str">
        <f>IF(AND($A64&gt;=SYear_O, $A64&lt;=EYear_O, AZ$3&gt;0), AZ$3 * VLOOKUP($A64, Data_All!$A$8:$CA$153, MATCH(AZ$2, Data_All!$B$2:$CA$2, 0)+1), "")</f>
        <v/>
      </c>
      <c r="BA64" s="206" t="str">
        <f>IF(AND($A64&gt;=SYear_O, $A64&lt;=EYear_O, BA$3&gt;0), BA$3 * VLOOKUP($A64, Data_All!$A$8:$CA$153, MATCH(BA$2, Data_All!$B$2:$CA$2, 0)+1), "")</f>
        <v/>
      </c>
      <c r="BB64" s="206" t="str">
        <f>IF(AND($A64&gt;=SYear_O, $A64&lt;=EYear_O, BB$3&gt;0), BB$3 * VLOOKUP($A64, Data_All!$A$8:$CA$153, MATCH(BB$2, Data_All!$B$2:$CA$2, 0)+1), "")</f>
        <v/>
      </c>
      <c r="BC64" s="206" t="str">
        <f>IF(AND($A64&gt;=SYear_O, $A64&lt;=EYear_O, BC$3&gt;0), BC$3 * VLOOKUP($A64, Data_All!$A$8:$CA$153, MATCH(BC$2, Data_All!$B$2:$CA$2, 0)+1), "")</f>
        <v/>
      </c>
      <c r="BD64" s="206" t="str">
        <f>IF(AND($A64&gt;=SYear_O, $A64&lt;=EYear_O, BD$3&gt;0), BD$3 * VLOOKUP($A64, Data_All!$A$8:$CA$153, MATCH(BD$2, Data_All!$B$2:$CA$2, 0)+1), "")</f>
        <v/>
      </c>
      <c r="BE64" s="206" t="str">
        <f>IF(AND($A64&gt;=SYear_O, $A64&lt;=EYear_O, BE$3&gt;0), BE$3 * VLOOKUP($A64, Data_All!$A$8:$CA$153, MATCH(BE$2, Data_All!$B$2:$CA$2, 0)+1), "")</f>
        <v/>
      </c>
      <c r="BF64" s="206" t="str">
        <f>IF(AND($A64&gt;=SYear_O, $A64&lt;=EYear_O, BF$3&gt;0), BF$3 * VLOOKUP($A64, Data_All!$A$8:$CA$153, MATCH(BF$2, Data_All!$B$2:$CA$2, 0)+1), "")</f>
        <v/>
      </c>
      <c r="BG64" s="206" t="str">
        <f>IF(AND($A64&gt;=SYear_O, $A64&lt;=EYear_O, BG$3&gt;0), BG$3 * VLOOKUP($A64, Data_All!$A$8:$CA$153, MATCH(BG$2, Data_All!$B$2:$CA$2, 0)+1), "")</f>
        <v/>
      </c>
      <c r="BH64" s="206" t="str">
        <f>IF(AND($A64&gt;=SYear_O, $A64&lt;=EYear_O, BH$3&gt;0), BH$3 * VLOOKUP($A64, Data_All!$A$8:$CA$153, MATCH(BH$2, Data_All!$B$2:$CA$2, 0)+1), "")</f>
        <v/>
      </c>
      <c r="BI64" s="206" t="str">
        <f>IF(AND($A64&gt;=SYear_O, $A64&lt;=EYear_O, BI$3&gt;0), BI$3 * VLOOKUP($A64, Data_All!$A$8:$CA$153, MATCH(BI$2, Data_All!$B$2:$CA$2, 0)+1), "")</f>
        <v/>
      </c>
      <c r="BJ64" s="206" t="str">
        <f>IF(AND($A64&gt;=SYear_O, $A64&lt;=EYear_O, BJ$3&gt;0), BJ$3 * VLOOKUP($A64, Data_All!$A$8:$CA$153, MATCH(BJ$2, Data_All!$B$2:$CA$2, 0)+1), "")</f>
        <v/>
      </c>
      <c r="BK64" s="206" t="str">
        <f>IF(AND($A64&gt;=SYear_O, $A64&lt;=EYear_O, BK$3&gt;0), BK$3 * VLOOKUP($A64, Data_All!$A$8:$CA$153, MATCH(BK$2, Data_All!$B$2:$CA$2, 0)+1), "")</f>
        <v/>
      </c>
      <c r="BL64" s="206" t="str">
        <f>IF(AND($A64&gt;=SYear_O, $A64&lt;=EYear_O, BL$3&gt;0), BL$3 * VLOOKUP($A64, Data_All!$A$8:$CA$153, MATCH(BL$2, Data_All!$B$2:$CA$2, 0)+1), "")</f>
        <v/>
      </c>
      <c r="BM64" s="206" t="str">
        <f>IF(AND($A64&gt;=SYear_O, $A64&lt;=EYear_O, BM$3&gt;0), BM$3 * VLOOKUP($A64, Data_All!$A$8:$CA$153, MATCH(BM$2, Data_All!$B$2:$CA$2, 0)+1), "")</f>
        <v/>
      </c>
      <c r="BN64" s="206" t="str">
        <f>IF(AND($A64&gt;=SYear_O, $A64&lt;=EYear_O, BN$3&gt;0), BN$3 * VLOOKUP($A64, Data_All!$A$8:$CA$153, MATCH(BN$2, Data_All!$B$2:$CA$2, 0)+1), "")</f>
        <v/>
      </c>
      <c r="BO64" s="206" t="str">
        <f>IF(AND($A64&gt;=SYear_O, $A64&lt;=EYear_O, BO$3&gt;0), BO$3 * VLOOKUP($A64, Data_All!$A$8:$CA$153, MATCH(BO$2, Data_All!$B$2:$CA$2, 0)+1), "")</f>
        <v/>
      </c>
      <c r="BP64" s="206" t="str">
        <f>IF(AND($A64&gt;=SYear_O, $A64&lt;=EYear_O, BP$3&gt;0), BP$3 * VLOOKUP($A64, Data_All!$A$8:$CA$153, MATCH(BP$2, Data_All!$B$2:$CA$2, 0)+1), "")</f>
        <v/>
      </c>
      <c r="BQ64" s="206" t="str">
        <f>IF(AND($A64&gt;=SYear_O, $A64&lt;=EYear_O, BQ$3&gt;0), BQ$3 * VLOOKUP($A64, Data_All!$A$8:$CA$153, MATCH(BQ$2, Data_All!$B$2:$CA$2, 0)+1), "")</f>
        <v/>
      </c>
      <c r="BR64" s="206" t="str">
        <f>IF(AND($A64&gt;=SYear_O, $A64&lt;=EYear_O, BR$3&gt;0), BR$3 * VLOOKUP($A64, Data_All!$A$8:$CA$153, MATCH(BR$2, Data_All!$B$2:$CA$2, 0)+1), "")</f>
        <v/>
      </c>
      <c r="BS64" s="206" t="str">
        <f>IF(AND($A64&gt;=SYear_O, $A64&lt;=EYear_O, BS$3&gt;0), BS$3 * VLOOKUP($A64, Data_All!$A$8:$CA$153, MATCH(BS$2, Data_All!$B$2:$CA$2, 0)+1), "")</f>
        <v/>
      </c>
      <c r="BT64" s="206" t="str">
        <f>IF(AND($A64&gt;=SYear_O, $A64&lt;=EYear_O, BT$3&gt;0), BT$3 * VLOOKUP($A64, Data_All!$A$8:$CA$153, MATCH(BT$2, Data_All!$B$2:$CA$2, 0)+1), "")</f>
        <v/>
      </c>
      <c r="BU64" s="206" t="str">
        <f>IF(AND($A64&gt;=SYear_O, $A64&lt;=EYear_O, BU$3&gt;0), BU$3 * VLOOKUP($A64, Data_All!$A$8:$CA$153, MATCH(BU$2, Data_All!$B$2:$CA$2, 0)+1), "")</f>
        <v/>
      </c>
      <c r="BV64" s="206" t="str">
        <f>IF(AND($A64&gt;=SYear_O, $A64&lt;=EYear_O, BV$3&gt;0), BV$3 * VLOOKUP($A64, Data_All!$A$8:$CA$153, MATCH(BV$2, Data_All!$B$2:$CA$2, 0)+1), "")</f>
        <v/>
      </c>
      <c r="BW64" s="206" t="str">
        <f>IF(AND($A64&gt;=SYear_O, $A64&lt;=EYear_O, BW$3&gt;0), BW$3 * VLOOKUP($A64, Data_All!$A$8:$CA$153, MATCH(BW$2, Data_All!$B$2:$CA$2, 0)+1), "")</f>
        <v/>
      </c>
      <c r="BX64" s="206">
        <f>IF(AND($A64&gt;=SYear_O, $A64&lt;=EYear_O, BX$3&gt;0), BX$3 * VLOOKUP($A64, Data_All!$A$8:$CA$153, MATCH(BX$2, Data_All!$B$2:$CA$2, 0)+1), "")</f>
        <v>27.997718197375917</v>
      </c>
      <c r="BY64" s="206">
        <f>IF(AND($A64&gt;=SYear_O, $A64&lt;=EYear_O, BY$3&gt;0), BY$3 * VLOOKUP($A64, Data_All!$A$8:$CA$153, MATCH(BY$2, Data_All!$B$2:$CA$2, 0)+1), "")</f>
        <v>2.1453587330837465E-2</v>
      </c>
      <c r="BZ64" s="206" t="str">
        <f>IF(AND($A64&gt;=SYear_O, $A64&lt;=EYear_O, BZ$3&gt;0), BZ$3 * VLOOKUP($A64, Data_All!$A$8:$CA$153, MATCH(BZ$2, Data_All!$B$2:$CA$2, 0)+1), "")</f>
        <v/>
      </c>
      <c r="CA64" s="565">
        <f t="shared" si="19"/>
        <v>28.019171784706757</v>
      </c>
      <c r="CB64" s="427">
        <f t="shared" si="20"/>
        <v>476277.94078002678</v>
      </c>
      <c r="CC64" s="565">
        <f>IF(AND($A64&gt;=SYear_O,$A64&lt;=EYear_O),(CA64-Data_All!CA65)/(1+Data_All!CA65%),"")</f>
        <v>29.516472039498645</v>
      </c>
      <c r="CD64" s="436">
        <f t="shared" si="21"/>
        <v>347155.39806062228</v>
      </c>
      <c r="CE64" s="438">
        <f t="shared" si="22"/>
        <v>43.198046670106592</v>
      </c>
      <c r="CF64" s="438">
        <f>IF(AND($A64&gt;=SYear_O,$A64&lt;=EYear_O),MAX($CE$7:CE64),"")</f>
        <v>43.198046670106592</v>
      </c>
      <c r="CG64" s="209">
        <f t="shared" si="23"/>
        <v>0</v>
      </c>
      <c r="CI64" s="143">
        <f>IF(AND($A64&gt;=SYear_O,$A64&lt;=EYear_O),Data_All!V65,"")</f>
        <v>4.5459086821860328</v>
      </c>
      <c r="CJ64" s="143">
        <f>IF(AND($A64&gt;=SYear_O,$A64&lt;=EYear_O),Data_All!CA65,"")</f>
        <v>-1.1560693641618491</v>
      </c>
      <c r="CK64" s="143">
        <f t="shared" si="24"/>
        <v>5.7686678480595539</v>
      </c>
      <c r="CN64" s="61">
        <f t="shared" si="25"/>
        <v>0.28019171784706765</v>
      </c>
      <c r="CO64" s="61">
        <f t="shared" si="26"/>
        <v>3.824845516839126E-2</v>
      </c>
      <c r="CP64" s="61">
        <f t="shared" si="27"/>
        <v>-3.9010982556136664E-2</v>
      </c>
      <c r="CQ64" s="61">
        <f t="shared" si="28"/>
        <v>3.6563252118736012E-2</v>
      </c>
      <c r="CR64" s="61">
        <f t="shared" si="29"/>
        <v>3.5226042366808041E-2</v>
      </c>
      <c r="CU64" s="61">
        <f t="shared" si="30"/>
        <v>0.29516472039498654</v>
      </c>
      <c r="CV64" s="61">
        <f t="shared" si="31"/>
        <v>6.7868116370123355E-2</v>
      </c>
      <c r="CW64" s="61">
        <f t="shared" si="32"/>
        <v>1.9083342782920676E-2</v>
      </c>
      <c r="CX64" s="61">
        <f t="shared" si="33"/>
        <v>5.7235126783020895E-2</v>
      </c>
      <c r="CY64" s="61">
        <f t="shared" si="34"/>
        <v>3.6841763127491101E-2</v>
      </c>
    </row>
    <row r="65" spans="1:103">
      <c r="A65" s="204">
        <f t="shared" si="18"/>
        <v>1929</v>
      </c>
      <c r="B65" s="206" t="str">
        <f>IF(AND($A65&gt;=SYear_O, $A65&lt;=EYear_O, B$3&gt;0), B$3 * VLOOKUP($A65, Data_All!$A$8:$CA$153, MATCH(B$2, Data_All!$B$2:$CA$2, 0)+1), "")</f>
        <v/>
      </c>
      <c r="C65" s="206" t="str">
        <f>IF(AND($A65&gt;=SYear_O, $A65&lt;=EYear_O, C$3&gt;0), C$3 * VLOOKUP($A65, Data_All!$A$8:$CA$153, MATCH(C$2, Data_All!$B$2:$CA$2, 0)+1), "")</f>
        <v/>
      </c>
      <c r="D65" s="206" t="str">
        <f>IF(AND($A65&gt;=SYear_O, $A65&lt;=EYear_O, D$3&gt;0), D$3 * VLOOKUP($A65, Data_All!$A$8:$CA$153, MATCH(D$2, Data_All!$B$2:$CA$2, 0)+1), "")</f>
        <v/>
      </c>
      <c r="E65" s="206" t="str">
        <f>IF(AND($A65&gt;=SYear_O, $A65&lt;=EYear_O, E$3&gt;0), E$3 * VLOOKUP($A65, Data_All!$A$8:$CA$153, MATCH(E$2, Data_All!$B$2:$CA$2, 0)+1), "")</f>
        <v/>
      </c>
      <c r="F65" s="206" t="str">
        <f>IF(AND($A65&gt;=SYear_O, $A65&lt;=EYear_O, F$3&gt;0), F$3 * VLOOKUP($A65, Data_All!$A$8:$CA$153, MATCH(F$2, Data_All!$B$2:$CA$2, 0)+1), "")</f>
        <v/>
      </c>
      <c r="G65" s="206" t="str">
        <f>IF(AND($A65&gt;=SYear_O, $A65&lt;=EYear_O, G$3&gt;0), G$3 * VLOOKUP($A65, Data_All!$A$8:$CA$153, MATCH(G$2, Data_All!$B$2:$CA$2, 0)+1), "")</f>
        <v/>
      </c>
      <c r="H65" s="206" t="str">
        <f>IF(AND($A65&gt;=SYear_O, $A65&lt;=EYear_O, H$3&gt;0), H$3 * VLOOKUP($A65, Data_All!$A$8:$CA$153, MATCH(H$2, Data_All!$B$2:$CA$2, 0)+1), "")</f>
        <v/>
      </c>
      <c r="I65" s="206" t="str">
        <f>IF(AND($A65&gt;=SYear_O, $A65&lt;=EYear_O, I$3&gt;0), I$3 * VLOOKUP($A65, Data_All!$A$8:$CA$153, MATCH(I$2, Data_All!$B$2:$CA$2, 0)+1), "")</f>
        <v/>
      </c>
      <c r="J65" s="206" t="str">
        <f>IF(AND($A65&gt;=SYear_O, $A65&lt;=EYear_O, J$3&gt;0), J$3 * VLOOKUP($A65, Data_All!$A$8:$CA$153, MATCH(J$2, Data_All!$B$2:$CA$2, 0)+1), "")</f>
        <v/>
      </c>
      <c r="K65" s="206" t="str">
        <f>IF(AND($A65&gt;=SYear_O, $A65&lt;=EYear_O, K$3&gt;0), K$3 * VLOOKUP($A65, Data_All!$A$8:$CA$153, MATCH(K$2, Data_All!$B$2:$CA$2, 0)+1), "")</f>
        <v/>
      </c>
      <c r="L65" s="206" t="str">
        <f>IF(AND($A65&gt;=SYear_O, $A65&lt;=EYear_O, L$3&gt;0), L$3 * VLOOKUP($A65, Data_All!$A$8:$CA$153, MATCH(L$2, Data_All!$B$2:$CA$2, 0)+1), "")</f>
        <v/>
      </c>
      <c r="M65" s="206" t="str">
        <f>IF(AND($A65&gt;=SYear_O, $A65&lt;=EYear_O, M$3&gt;0), M$3 * VLOOKUP($A65, Data_All!$A$8:$CA$153, MATCH(M$2, Data_All!$B$2:$CA$2, 0)+1), "")</f>
        <v/>
      </c>
      <c r="N65" s="206" t="str">
        <f>IF(AND($A65&gt;=SYear_O, $A65&lt;=EYear_O, N$3&gt;0), N$3 * VLOOKUP($A65, Data_All!$A$8:$CA$153, MATCH(N$2, Data_All!$B$2:$CA$2, 0)+1), "")</f>
        <v/>
      </c>
      <c r="O65" s="206" t="str">
        <f>IF(AND($A65&gt;=SYear_O, $A65&lt;=EYear_O, O$3&gt;0), O$3 * VLOOKUP($A65, Data_All!$A$8:$CA$153, MATCH(O$2, Data_All!$B$2:$CA$2, 0)+1), "")</f>
        <v/>
      </c>
      <c r="P65" s="206" t="str">
        <f>IF(AND($A65&gt;=SYear_O, $A65&lt;=EYear_O, P$3&gt;0), P$3 * VLOOKUP($A65, Data_All!$A$8:$CA$153, MATCH(P$2, Data_All!$B$2:$CA$2, 0)+1), "")</f>
        <v/>
      </c>
      <c r="Q65" s="206" t="str">
        <f>IF(AND($A65&gt;=SYear_O, $A65&lt;=EYear_O, Q$3&gt;0), Q$3 * VLOOKUP($A65, Data_All!$A$8:$CA$153, MATCH(Q$2, Data_All!$B$2:$CA$2, 0)+1), "")</f>
        <v/>
      </c>
      <c r="R65" s="206" t="str">
        <f>IF(AND($A65&gt;=SYear_O, $A65&lt;=EYear_O, R$3&gt;0), R$3 * VLOOKUP($A65, Data_All!$A$8:$CA$153, MATCH(R$2, Data_All!$B$2:$CA$2, 0)+1), "")</f>
        <v/>
      </c>
      <c r="S65" s="206" t="str">
        <f>IF(AND($A65&gt;=SYear_O, $A65&lt;=EYear_O, S$3&gt;0), S$3 * VLOOKUP($A65, Data_All!$A$8:$CA$153, MATCH(S$2, Data_All!$B$2:$CA$2, 0)+1), "")</f>
        <v/>
      </c>
      <c r="T65" s="206" t="str">
        <f>IF(AND($A65&gt;=SYear_O, $A65&lt;=EYear_O, T$3&gt;0), T$3 * VLOOKUP($A65, Data_All!$A$8:$CA$153, MATCH(T$2, Data_All!$B$2:$CA$2, 0)+1), "")</f>
        <v/>
      </c>
      <c r="U65" s="206" t="str">
        <f>IF(AND($A65&gt;=SYear_O, $A65&lt;=EYear_O, U$3&gt;0), U$3 * VLOOKUP($A65, Data_All!$A$8:$CA$153, MATCH(U$2, Data_All!$B$2:$CA$2, 0)+1), "")</f>
        <v/>
      </c>
      <c r="V65" s="206" t="str">
        <f>IF(AND($A65&gt;=SYear_O, $A65&lt;=EYear_O, V$3&gt;0), V$3 * VLOOKUP($A65, Data_All!$A$8:$CA$153, MATCH(V$2, Data_All!$B$2:$CA$2, 0)+1), "")</f>
        <v/>
      </c>
      <c r="W65" s="206" t="str">
        <f>IF(AND($A65&gt;=SYear_O, $A65&lt;=EYear_O, W$3&gt;0), W$3 * VLOOKUP($A65, Data_All!$A$8:$CA$153, MATCH(W$2, Data_All!$B$2:$CA$2, 0)+1), "")</f>
        <v/>
      </c>
      <c r="X65" s="206" t="str">
        <f>IF(AND($A65&gt;=SYear_O, $A65&lt;=EYear_O, X$3&gt;0), X$3 * VLOOKUP($A65, Data_All!$A$8:$CA$153, MATCH(X$2, Data_All!$B$2:$CA$2, 0)+1), "")</f>
        <v/>
      </c>
      <c r="Y65" s="206" t="str">
        <f>IF(AND($A65&gt;=SYear_O, $A65&lt;=EYear_O, Y$3&gt;0), Y$3 * VLOOKUP($A65, Data_All!$A$8:$CA$153, MATCH(Y$2, Data_All!$B$2:$CA$2, 0)+1), "")</f>
        <v/>
      </c>
      <c r="Z65" s="206" t="str">
        <f>IF(AND($A65&gt;=SYear_O, $A65&lt;=EYear_O, Z$3&gt;0), Z$3 * VLOOKUP($A65, Data_All!$A$8:$CA$153, MATCH(Z$2, Data_All!$B$2:$CA$2, 0)+1), "")</f>
        <v/>
      </c>
      <c r="AA65" s="206" t="str">
        <f>IF(AND($A65&gt;=SYear_O, $A65&lt;=EYear_O, AA$3&gt;0), AA$3 * VLOOKUP($A65, Data_All!$A$8:$CA$153, MATCH(AA$2, Data_All!$B$2:$CA$2, 0)+1), "")</f>
        <v/>
      </c>
      <c r="AB65" s="206" t="str">
        <f>IF(AND($A65&gt;=SYear_O, $A65&lt;=EYear_O, AB$3&gt;0), AB$3 * VLOOKUP($A65, Data_All!$A$8:$CA$153, MATCH(AB$2, Data_All!$B$2:$CA$2, 0)+1), "")</f>
        <v/>
      </c>
      <c r="AC65" s="206" t="str">
        <f>IF(AND($A65&gt;=SYear_O, $A65&lt;=EYear_O, AC$3&gt;0), AC$3 * VLOOKUP($A65, Data_All!$A$8:$CA$153, MATCH(AC$2, Data_All!$B$2:$CA$2, 0)+1), "")</f>
        <v/>
      </c>
      <c r="AD65" s="206" t="str">
        <f>IF(AND($A65&gt;=SYear_O, $A65&lt;=EYear_O, AD$3&gt;0), AD$3 * VLOOKUP($A65, Data_All!$A$8:$CA$153, MATCH(AD$2, Data_All!$B$2:$CA$2, 0)+1), "")</f>
        <v/>
      </c>
      <c r="AE65" s="206" t="str">
        <f>IF(AND($A65&gt;=SYear_O, $A65&lt;=EYear_O, AE$3&gt;0), AE$3 * VLOOKUP($A65, Data_All!$A$8:$CA$153, MATCH(AE$2, Data_All!$B$2:$CA$2, 0)+1), "")</f>
        <v/>
      </c>
      <c r="AF65" s="206" t="str">
        <f>IF(AND($A65&gt;=SYear_O, $A65&lt;=EYear_O, AF$3&gt;0), AF$3 * VLOOKUP($A65, Data_All!$A$8:$CA$153, MATCH(AF$2, Data_All!$B$2:$CA$2, 0)+1), "")</f>
        <v/>
      </c>
      <c r="AG65" s="206" t="str">
        <f>IF(AND($A65&gt;=SYear_O, $A65&lt;=EYear_O, AG$3&gt;0), AG$3 * VLOOKUP($A65, Data_All!$A$8:$CA$153, MATCH(AG$2, Data_All!$B$2:$CA$2, 0)+1), "")</f>
        <v/>
      </c>
      <c r="AH65" s="206" t="str">
        <f>IF(AND($A65&gt;=SYear_O, $A65&lt;=EYear_O, AH$3&gt;0), AH$3 * VLOOKUP($A65, Data_All!$A$8:$CA$153, MATCH(AH$2, Data_All!$B$2:$CA$2, 0)+1), "")</f>
        <v/>
      </c>
      <c r="AI65" s="206" t="str">
        <f>IF(AND($A65&gt;=SYear_O, $A65&lt;=EYear_O, AI$3&gt;0), AI$3 * VLOOKUP($A65, Data_All!$A$8:$CA$153, MATCH(AI$2, Data_All!$B$2:$CA$2, 0)+1), "")</f>
        <v/>
      </c>
      <c r="AJ65" s="206" t="str">
        <f>IF(AND($A65&gt;=SYear_O, $A65&lt;=EYear_O, AJ$3&gt;0), AJ$3 * VLOOKUP($A65, Data_All!$A$8:$CA$153, MATCH(AJ$2, Data_All!$B$2:$CA$2, 0)+1), "")</f>
        <v/>
      </c>
      <c r="AK65" s="206" t="str">
        <f>IF(AND($A65&gt;=SYear_O, $A65&lt;=EYear_O, AK$3&gt;0), AK$3 * VLOOKUP($A65, Data_All!$A$8:$CA$153, MATCH(AK$2, Data_All!$B$2:$CA$2, 0)+1), "")</f>
        <v/>
      </c>
      <c r="AL65" s="206" t="str">
        <f>IF(AND($A65&gt;=SYear_O, $A65&lt;=EYear_O, AL$3&gt;0), AL$3 * VLOOKUP($A65, Data_All!$A$8:$CA$153, MATCH(AL$2, Data_All!$B$2:$CA$2, 0)+1), "")</f>
        <v/>
      </c>
      <c r="AM65" s="206" t="str">
        <f>IF(AND($A65&gt;=SYear_O, $A65&lt;=EYear_O, AM$3&gt;0), AM$3 * VLOOKUP($A65, Data_All!$A$8:$CA$153, MATCH(AM$2, Data_All!$B$2:$CA$2, 0)+1), "")</f>
        <v/>
      </c>
      <c r="AN65" s="206" t="str">
        <f>IF(AND($A65&gt;=SYear_O, $A65&lt;=EYear_O, AN$3&gt;0), AN$3 * VLOOKUP($A65, Data_All!$A$8:$CA$153, MATCH(AN$2, Data_All!$B$2:$CA$2, 0)+1), "")</f>
        <v/>
      </c>
      <c r="AO65" s="206" t="str">
        <f>IF(AND($A65&gt;=SYear_O, $A65&lt;=EYear_O, AO$3&gt;0), AO$3 * VLOOKUP($A65, Data_All!$A$8:$CA$153, MATCH(AO$2, Data_All!$B$2:$CA$2, 0)+1), "")</f>
        <v/>
      </c>
      <c r="AP65" s="206" t="str">
        <f>IF(AND($A65&gt;=SYear_O, $A65&lt;=EYear_O, AP$3&gt;0), AP$3 * VLOOKUP($A65, Data_All!$A$8:$CA$153, MATCH(AP$2, Data_All!$B$2:$CA$2, 0)+1), "")</f>
        <v/>
      </c>
      <c r="AQ65" s="206" t="str">
        <f>IF(AND($A65&gt;=SYear_O, $A65&lt;=EYear_O, AQ$3&gt;0), AQ$3 * VLOOKUP($A65, Data_All!$A$8:$CA$153, MATCH(AQ$2, Data_All!$B$2:$CA$2, 0)+1), "")</f>
        <v/>
      </c>
      <c r="AR65" s="206" t="str">
        <f>IF(AND($A65&gt;=SYear_O, $A65&lt;=EYear_O, AR$3&gt;0), AR$3 * VLOOKUP($A65, Data_All!$A$8:$CA$153, MATCH(AR$2, Data_All!$B$2:$CA$2, 0)+1), "")</f>
        <v/>
      </c>
      <c r="AS65" s="206" t="str">
        <f>IF(AND($A65&gt;=SYear_O, $A65&lt;=EYear_O, AS$3&gt;0), AS$3 * VLOOKUP($A65, Data_All!$A$8:$CA$153, MATCH(AS$2, Data_All!$B$2:$CA$2, 0)+1), "")</f>
        <v/>
      </c>
      <c r="AT65" s="206" t="str">
        <f>IF(AND($A65&gt;=SYear_O, $A65&lt;=EYear_O, AT$3&gt;0), AT$3 * VLOOKUP($A65, Data_All!$A$8:$CA$153, MATCH(AT$2, Data_All!$B$2:$CA$2, 0)+1), "")</f>
        <v/>
      </c>
      <c r="AU65" s="206" t="str">
        <f>IF(AND($A65&gt;=SYear_O, $A65&lt;=EYear_O, AU$3&gt;0), AU$3 * VLOOKUP($A65, Data_All!$A$8:$CA$153, MATCH(AU$2, Data_All!$B$2:$CA$2, 0)+1), "")</f>
        <v/>
      </c>
      <c r="AV65" s="206" t="str">
        <f>IF(AND($A65&gt;=SYear_O, $A65&lt;=EYear_O, AV$3&gt;0), AV$3 * VLOOKUP($A65, Data_All!$A$8:$CA$153, MATCH(AV$2, Data_All!$B$2:$CA$2, 0)+1), "")</f>
        <v/>
      </c>
      <c r="AW65" s="206" t="str">
        <f>IF(AND($A65&gt;=SYear_O, $A65&lt;=EYear_O, AW$3&gt;0), AW$3 * VLOOKUP($A65, Data_All!$A$8:$CA$153, MATCH(AW$2, Data_All!$B$2:$CA$2, 0)+1), "")</f>
        <v/>
      </c>
      <c r="AX65" s="206" t="str">
        <f>IF(AND($A65&gt;=SYear_O, $A65&lt;=EYear_O, AX$3&gt;0), AX$3 * VLOOKUP($A65, Data_All!$A$8:$CA$153, MATCH(AX$2, Data_All!$B$2:$CA$2, 0)+1), "")</f>
        <v/>
      </c>
      <c r="AY65" s="206" t="str">
        <f>IF(AND($A65&gt;=SYear_O, $A65&lt;=EYear_O, AY$3&gt;0), AY$3 * VLOOKUP($A65, Data_All!$A$8:$CA$153, MATCH(AY$2, Data_All!$B$2:$CA$2, 0)+1), "")</f>
        <v/>
      </c>
      <c r="AZ65" s="206" t="str">
        <f>IF(AND($A65&gt;=SYear_O, $A65&lt;=EYear_O, AZ$3&gt;0), AZ$3 * VLOOKUP($A65, Data_All!$A$8:$CA$153, MATCH(AZ$2, Data_All!$B$2:$CA$2, 0)+1), "")</f>
        <v/>
      </c>
      <c r="BA65" s="206" t="str">
        <f>IF(AND($A65&gt;=SYear_O, $A65&lt;=EYear_O, BA$3&gt;0), BA$3 * VLOOKUP($A65, Data_All!$A$8:$CA$153, MATCH(BA$2, Data_All!$B$2:$CA$2, 0)+1), "")</f>
        <v/>
      </c>
      <c r="BB65" s="206" t="str">
        <f>IF(AND($A65&gt;=SYear_O, $A65&lt;=EYear_O, BB$3&gt;0), BB$3 * VLOOKUP($A65, Data_All!$A$8:$CA$153, MATCH(BB$2, Data_All!$B$2:$CA$2, 0)+1), "")</f>
        <v/>
      </c>
      <c r="BC65" s="206" t="str">
        <f>IF(AND($A65&gt;=SYear_O, $A65&lt;=EYear_O, BC$3&gt;0), BC$3 * VLOOKUP($A65, Data_All!$A$8:$CA$153, MATCH(BC$2, Data_All!$B$2:$CA$2, 0)+1), "")</f>
        <v/>
      </c>
      <c r="BD65" s="206" t="str">
        <f>IF(AND($A65&gt;=SYear_O, $A65&lt;=EYear_O, BD$3&gt;0), BD$3 * VLOOKUP($A65, Data_All!$A$8:$CA$153, MATCH(BD$2, Data_All!$B$2:$CA$2, 0)+1), "")</f>
        <v/>
      </c>
      <c r="BE65" s="206" t="str">
        <f>IF(AND($A65&gt;=SYear_O, $A65&lt;=EYear_O, BE$3&gt;0), BE$3 * VLOOKUP($A65, Data_All!$A$8:$CA$153, MATCH(BE$2, Data_All!$B$2:$CA$2, 0)+1), "")</f>
        <v/>
      </c>
      <c r="BF65" s="206" t="str">
        <f>IF(AND($A65&gt;=SYear_O, $A65&lt;=EYear_O, BF$3&gt;0), BF$3 * VLOOKUP($A65, Data_All!$A$8:$CA$153, MATCH(BF$2, Data_All!$B$2:$CA$2, 0)+1), "")</f>
        <v/>
      </c>
      <c r="BG65" s="206" t="str">
        <f>IF(AND($A65&gt;=SYear_O, $A65&lt;=EYear_O, BG$3&gt;0), BG$3 * VLOOKUP($A65, Data_All!$A$8:$CA$153, MATCH(BG$2, Data_All!$B$2:$CA$2, 0)+1), "")</f>
        <v/>
      </c>
      <c r="BH65" s="206" t="str">
        <f>IF(AND($A65&gt;=SYear_O, $A65&lt;=EYear_O, BH$3&gt;0), BH$3 * VLOOKUP($A65, Data_All!$A$8:$CA$153, MATCH(BH$2, Data_All!$B$2:$CA$2, 0)+1), "")</f>
        <v/>
      </c>
      <c r="BI65" s="206" t="str">
        <f>IF(AND($A65&gt;=SYear_O, $A65&lt;=EYear_O, BI$3&gt;0), BI$3 * VLOOKUP($A65, Data_All!$A$8:$CA$153, MATCH(BI$2, Data_All!$B$2:$CA$2, 0)+1), "")</f>
        <v/>
      </c>
      <c r="BJ65" s="206" t="str">
        <f>IF(AND($A65&gt;=SYear_O, $A65&lt;=EYear_O, BJ$3&gt;0), BJ$3 * VLOOKUP($A65, Data_All!$A$8:$CA$153, MATCH(BJ$2, Data_All!$B$2:$CA$2, 0)+1), "")</f>
        <v/>
      </c>
      <c r="BK65" s="206" t="str">
        <f>IF(AND($A65&gt;=SYear_O, $A65&lt;=EYear_O, BK$3&gt;0), BK$3 * VLOOKUP($A65, Data_All!$A$8:$CA$153, MATCH(BK$2, Data_All!$B$2:$CA$2, 0)+1), "")</f>
        <v/>
      </c>
      <c r="BL65" s="206" t="str">
        <f>IF(AND($A65&gt;=SYear_O, $A65&lt;=EYear_O, BL$3&gt;0), BL$3 * VLOOKUP($A65, Data_All!$A$8:$CA$153, MATCH(BL$2, Data_All!$B$2:$CA$2, 0)+1), "")</f>
        <v/>
      </c>
      <c r="BM65" s="206" t="str">
        <f>IF(AND($A65&gt;=SYear_O, $A65&lt;=EYear_O, BM$3&gt;0), BM$3 * VLOOKUP($A65, Data_All!$A$8:$CA$153, MATCH(BM$2, Data_All!$B$2:$CA$2, 0)+1), "")</f>
        <v/>
      </c>
      <c r="BN65" s="206" t="str">
        <f>IF(AND($A65&gt;=SYear_O, $A65&lt;=EYear_O, BN$3&gt;0), BN$3 * VLOOKUP($A65, Data_All!$A$8:$CA$153, MATCH(BN$2, Data_All!$B$2:$CA$2, 0)+1), "")</f>
        <v/>
      </c>
      <c r="BO65" s="206" t="str">
        <f>IF(AND($A65&gt;=SYear_O, $A65&lt;=EYear_O, BO$3&gt;0), BO$3 * VLOOKUP($A65, Data_All!$A$8:$CA$153, MATCH(BO$2, Data_All!$B$2:$CA$2, 0)+1), "")</f>
        <v/>
      </c>
      <c r="BP65" s="206" t="str">
        <f>IF(AND($A65&gt;=SYear_O, $A65&lt;=EYear_O, BP$3&gt;0), BP$3 * VLOOKUP($A65, Data_All!$A$8:$CA$153, MATCH(BP$2, Data_All!$B$2:$CA$2, 0)+1), "")</f>
        <v/>
      </c>
      <c r="BQ65" s="206" t="str">
        <f>IF(AND($A65&gt;=SYear_O, $A65&lt;=EYear_O, BQ$3&gt;0), BQ$3 * VLOOKUP($A65, Data_All!$A$8:$CA$153, MATCH(BQ$2, Data_All!$B$2:$CA$2, 0)+1), "")</f>
        <v/>
      </c>
      <c r="BR65" s="206" t="str">
        <f>IF(AND($A65&gt;=SYear_O, $A65&lt;=EYear_O, BR$3&gt;0), BR$3 * VLOOKUP($A65, Data_All!$A$8:$CA$153, MATCH(BR$2, Data_All!$B$2:$CA$2, 0)+1), "")</f>
        <v/>
      </c>
      <c r="BS65" s="206" t="str">
        <f>IF(AND($A65&gt;=SYear_O, $A65&lt;=EYear_O, BS$3&gt;0), BS$3 * VLOOKUP($A65, Data_All!$A$8:$CA$153, MATCH(BS$2, Data_All!$B$2:$CA$2, 0)+1), "")</f>
        <v/>
      </c>
      <c r="BT65" s="206" t="str">
        <f>IF(AND($A65&gt;=SYear_O, $A65&lt;=EYear_O, BT$3&gt;0), BT$3 * VLOOKUP($A65, Data_All!$A$8:$CA$153, MATCH(BT$2, Data_All!$B$2:$CA$2, 0)+1), "")</f>
        <v/>
      </c>
      <c r="BU65" s="206" t="str">
        <f>IF(AND($A65&gt;=SYear_O, $A65&lt;=EYear_O, BU$3&gt;0), BU$3 * VLOOKUP($A65, Data_All!$A$8:$CA$153, MATCH(BU$2, Data_All!$B$2:$CA$2, 0)+1), "")</f>
        <v/>
      </c>
      <c r="BV65" s="206" t="str">
        <f>IF(AND($A65&gt;=SYear_O, $A65&lt;=EYear_O, BV$3&gt;0), BV$3 * VLOOKUP($A65, Data_All!$A$8:$CA$153, MATCH(BV$2, Data_All!$B$2:$CA$2, 0)+1), "")</f>
        <v/>
      </c>
      <c r="BW65" s="206" t="str">
        <f>IF(AND($A65&gt;=SYear_O, $A65&lt;=EYear_O, BW$3&gt;0), BW$3 * VLOOKUP($A65, Data_All!$A$8:$CA$153, MATCH(BW$2, Data_All!$B$2:$CA$2, 0)+1), "")</f>
        <v/>
      </c>
      <c r="BX65" s="206">
        <f>IF(AND($A65&gt;=SYear_O, $A65&lt;=EYear_O, BX$3&gt;0), BX$3 * VLOOKUP($A65, Data_All!$A$8:$CA$153, MATCH(BX$2, Data_All!$B$2:$CA$2, 0)+1), "")</f>
        <v>-5.2614641995172979</v>
      </c>
      <c r="BY65" s="206">
        <f>IF(AND($A65&gt;=SYear_O, $A65&lt;=EYear_O, BY$3&gt;0), BY$3 * VLOOKUP($A65, Data_All!$A$8:$CA$153, MATCH(BY$2, Data_All!$B$2:$CA$2, 0)+1), "")</f>
        <v>3.071502733839111</v>
      </c>
      <c r="BZ65" s="206" t="str">
        <f>IF(AND($A65&gt;=SYear_O, $A65&lt;=EYear_O, BZ$3&gt;0), BZ$3 * VLOOKUP($A65, Data_All!$A$8:$CA$153, MATCH(BZ$2, Data_All!$B$2:$CA$2, 0)+1), "")</f>
        <v/>
      </c>
      <c r="CA65" s="565">
        <f t="shared" si="19"/>
        <v>-2.1899614656781869</v>
      </c>
      <c r="CB65" s="427">
        <f t="shared" si="20"/>
        <v>465847.63740741857</v>
      </c>
      <c r="CC65" s="565">
        <f>IF(AND($A65&gt;=SYear_O,$A65&lt;=EYear_O),(CA65-Data_All!CA66)/(1+Data_All!CA66%),"")</f>
        <v>-2.1899614656781869</v>
      </c>
      <c r="CD65" s="436">
        <f t="shared" si="21"/>
        <v>339552.8286170729</v>
      </c>
      <c r="CE65" s="438">
        <f t="shared" si="22"/>
        <v>42.252026094105574</v>
      </c>
      <c r="CF65" s="438">
        <f>IF(AND($A65&gt;=SYear_O,$A65&lt;=EYear_O),MAX($CE$7:CE65),"")</f>
        <v>43.198046670106592</v>
      </c>
      <c r="CG65" s="209">
        <f t="shared" si="23"/>
        <v>2.1899614656782029E-2</v>
      </c>
      <c r="CI65" s="143">
        <f>IF(AND($A65&gt;=SYear_O,$A65&lt;=EYear_O),Data_All!V66,"")</f>
        <v>5.9146767908882012</v>
      </c>
      <c r="CJ65" s="143">
        <f>IF(AND($A65&gt;=SYear_O,$A65&lt;=EYear_O),Data_All!CA66,"")</f>
        <v>0</v>
      </c>
      <c r="CK65" s="143">
        <f t="shared" si="24"/>
        <v>5.9146767908882012</v>
      </c>
      <c r="CN65" s="61">
        <f t="shared" si="25"/>
        <v>-2.1899614656781918E-2</v>
      </c>
      <c r="CO65" s="61">
        <f t="shared" si="26"/>
        <v>-0.13293352969166028</v>
      </c>
      <c r="CP65" s="61">
        <f t="shared" si="27"/>
        <v>-2.8938748496028066E-2</v>
      </c>
      <c r="CQ65" s="61">
        <f t="shared" si="28"/>
        <v>2.1497249603025237E-2</v>
      </c>
      <c r="CR65" s="61">
        <f t="shared" si="29"/>
        <v>2.7920889029831919E-2</v>
      </c>
      <c r="CU65" s="61">
        <f t="shared" si="30"/>
        <v>-2.1899614656781918E-2</v>
      </c>
      <c r="CV65" s="61">
        <f t="shared" si="31"/>
        <v>-7.9679526993045036E-2</v>
      </c>
      <c r="CW65" s="61">
        <f t="shared" si="32"/>
        <v>2.2659508142265583E-2</v>
      </c>
      <c r="CX65" s="61">
        <f t="shared" si="33"/>
        <v>4.2135065313457787E-2</v>
      </c>
      <c r="CY65" s="61">
        <f t="shared" si="34"/>
        <v>2.672975731646976E-2</v>
      </c>
    </row>
    <row r="66" spans="1:103">
      <c r="A66" s="204">
        <f t="shared" si="18"/>
        <v>1930</v>
      </c>
      <c r="B66" s="206" t="str">
        <f>IF(AND($A66&gt;=SYear_O, $A66&lt;=EYear_O, B$3&gt;0), B$3 * VLOOKUP($A66, Data_All!$A$8:$CA$153, MATCH(B$2, Data_All!$B$2:$CA$2, 0)+1), "")</f>
        <v/>
      </c>
      <c r="C66" s="206" t="str">
        <f>IF(AND($A66&gt;=SYear_O, $A66&lt;=EYear_O, C$3&gt;0), C$3 * VLOOKUP($A66, Data_All!$A$8:$CA$153, MATCH(C$2, Data_All!$B$2:$CA$2, 0)+1), "")</f>
        <v/>
      </c>
      <c r="D66" s="206" t="str">
        <f>IF(AND($A66&gt;=SYear_O, $A66&lt;=EYear_O, D$3&gt;0), D$3 * VLOOKUP($A66, Data_All!$A$8:$CA$153, MATCH(D$2, Data_All!$B$2:$CA$2, 0)+1), "")</f>
        <v/>
      </c>
      <c r="E66" s="206" t="str">
        <f>IF(AND($A66&gt;=SYear_O, $A66&lt;=EYear_O, E$3&gt;0), E$3 * VLOOKUP($A66, Data_All!$A$8:$CA$153, MATCH(E$2, Data_All!$B$2:$CA$2, 0)+1), "")</f>
        <v/>
      </c>
      <c r="F66" s="206" t="str">
        <f>IF(AND($A66&gt;=SYear_O, $A66&lt;=EYear_O, F$3&gt;0), F$3 * VLOOKUP($A66, Data_All!$A$8:$CA$153, MATCH(F$2, Data_All!$B$2:$CA$2, 0)+1), "")</f>
        <v/>
      </c>
      <c r="G66" s="206" t="str">
        <f>IF(AND($A66&gt;=SYear_O, $A66&lt;=EYear_O, G$3&gt;0), G$3 * VLOOKUP($A66, Data_All!$A$8:$CA$153, MATCH(G$2, Data_All!$B$2:$CA$2, 0)+1), "")</f>
        <v/>
      </c>
      <c r="H66" s="206" t="str">
        <f>IF(AND($A66&gt;=SYear_O, $A66&lt;=EYear_O, H$3&gt;0), H$3 * VLOOKUP($A66, Data_All!$A$8:$CA$153, MATCH(H$2, Data_All!$B$2:$CA$2, 0)+1), "")</f>
        <v/>
      </c>
      <c r="I66" s="206" t="str">
        <f>IF(AND($A66&gt;=SYear_O, $A66&lt;=EYear_O, I$3&gt;0), I$3 * VLOOKUP($A66, Data_All!$A$8:$CA$153, MATCH(I$2, Data_All!$B$2:$CA$2, 0)+1), "")</f>
        <v/>
      </c>
      <c r="J66" s="206" t="str">
        <f>IF(AND($A66&gt;=SYear_O, $A66&lt;=EYear_O, J$3&gt;0), J$3 * VLOOKUP($A66, Data_All!$A$8:$CA$153, MATCH(J$2, Data_All!$B$2:$CA$2, 0)+1), "")</f>
        <v/>
      </c>
      <c r="K66" s="206" t="str">
        <f>IF(AND($A66&gt;=SYear_O, $A66&lt;=EYear_O, K$3&gt;0), K$3 * VLOOKUP($A66, Data_All!$A$8:$CA$153, MATCH(K$2, Data_All!$B$2:$CA$2, 0)+1), "")</f>
        <v/>
      </c>
      <c r="L66" s="206" t="str">
        <f>IF(AND($A66&gt;=SYear_O, $A66&lt;=EYear_O, L$3&gt;0), L$3 * VLOOKUP($A66, Data_All!$A$8:$CA$153, MATCH(L$2, Data_All!$B$2:$CA$2, 0)+1), "")</f>
        <v/>
      </c>
      <c r="M66" s="206" t="str">
        <f>IF(AND($A66&gt;=SYear_O, $A66&lt;=EYear_O, M$3&gt;0), M$3 * VLOOKUP($A66, Data_All!$A$8:$CA$153, MATCH(M$2, Data_All!$B$2:$CA$2, 0)+1), "")</f>
        <v/>
      </c>
      <c r="N66" s="206" t="str">
        <f>IF(AND($A66&gt;=SYear_O, $A66&lt;=EYear_O, N$3&gt;0), N$3 * VLOOKUP($A66, Data_All!$A$8:$CA$153, MATCH(N$2, Data_All!$B$2:$CA$2, 0)+1), "")</f>
        <v/>
      </c>
      <c r="O66" s="206" t="str">
        <f>IF(AND($A66&gt;=SYear_O, $A66&lt;=EYear_O, O$3&gt;0), O$3 * VLOOKUP($A66, Data_All!$A$8:$CA$153, MATCH(O$2, Data_All!$B$2:$CA$2, 0)+1), "")</f>
        <v/>
      </c>
      <c r="P66" s="206" t="str">
        <f>IF(AND($A66&gt;=SYear_O, $A66&lt;=EYear_O, P$3&gt;0), P$3 * VLOOKUP($A66, Data_All!$A$8:$CA$153, MATCH(P$2, Data_All!$B$2:$CA$2, 0)+1), "")</f>
        <v/>
      </c>
      <c r="Q66" s="206" t="str">
        <f>IF(AND($A66&gt;=SYear_O, $A66&lt;=EYear_O, Q$3&gt;0), Q$3 * VLOOKUP($A66, Data_All!$A$8:$CA$153, MATCH(Q$2, Data_All!$B$2:$CA$2, 0)+1), "")</f>
        <v/>
      </c>
      <c r="R66" s="206" t="str">
        <f>IF(AND($A66&gt;=SYear_O, $A66&lt;=EYear_O, R$3&gt;0), R$3 * VLOOKUP($A66, Data_All!$A$8:$CA$153, MATCH(R$2, Data_All!$B$2:$CA$2, 0)+1), "")</f>
        <v/>
      </c>
      <c r="S66" s="206" t="str">
        <f>IF(AND($A66&gt;=SYear_O, $A66&lt;=EYear_O, S$3&gt;0), S$3 * VLOOKUP($A66, Data_All!$A$8:$CA$153, MATCH(S$2, Data_All!$B$2:$CA$2, 0)+1), "")</f>
        <v/>
      </c>
      <c r="T66" s="206" t="str">
        <f>IF(AND($A66&gt;=SYear_O, $A66&lt;=EYear_O, T$3&gt;0), T$3 * VLOOKUP($A66, Data_All!$A$8:$CA$153, MATCH(T$2, Data_All!$B$2:$CA$2, 0)+1), "")</f>
        <v/>
      </c>
      <c r="U66" s="206" t="str">
        <f>IF(AND($A66&gt;=SYear_O, $A66&lt;=EYear_O, U$3&gt;0), U$3 * VLOOKUP($A66, Data_All!$A$8:$CA$153, MATCH(U$2, Data_All!$B$2:$CA$2, 0)+1), "")</f>
        <v/>
      </c>
      <c r="V66" s="206" t="str">
        <f>IF(AND($A66&gt;=SYear_O, $A66&lt;=EYear_O, V$3&gt;0), V$3 * VLOOKUP($A66, Data_All!$A$8:$CA$153, MATCH(V$2, Data_All!$B$2:$CA$2, 0)+1), "")</f>
        <v/>
      </c>
      <c r="W66" s="206" t="str">
        <f>IF(AND($A66&gt;=SYear_O, $A66&lt;=EYear_O, W$3&gt;0), W$3 * VLOOKUP($A66, Data_All!$A$8:$CA$153, MATCH(W$2, Data_All!$B$2:$CA$2, 0)+1), "")</f>
        <v/>
      </c>
      <c r="X66" s="206" t="str">
        <f>IF(AND($A66&gt;=SYear_O, $A66&lt;=EYear_O, X$3&gt;0), X$3 * VLOOKUP($A66, Data_All!$A$8:$CA$153, MATCH(X$2, Data_All!$B$2:$CA$2, 0)+1), "")</f>
        <v/>
      </c>
      <c r="Y66" s="206" t="str">
        <f>IF(AND($A66&gt;=SYear_O, $A66&lt;=EYear_O, Y$3&gt;0), Y$3 * VLOOKUP($A66, Data_All!$A$8:$CA$153, MATCH(Y$2, Data_All!$B$2:$CA$2, 0)+1), "")</f>
        <v/>
      </c>
      <c r="Z66" s="206" t="str">
        <f>IF(AND($A66&gt;=SYear_O, $A66&lt;=EYear_O, Z$3&gt;0), Z$3 * VLOOKUP($A66, Data_All!$A$8:$CA$153, MATCH(Z$2, Data_All!$B$2:$CA$2, 0)+1), "")</f>
        <v/>
      </c>
      <c r="AA66" s="206" t="str">
        <f>IF(AND($A66&gt;=SYear_O, $A66&lt;=EYear_O, AA$3&gt;0), AA$3 * VLOOKUP($A66, Data_All!$A$8:$CA$153, MATCH(AA$2, Data_All!$B$2:$CA$2, 0)+1), "")</f>
        <v/>
      </c>
      <c r="AB66" s="206" t="str">
        <f>IF(AND($A66&gt;=SYear_O, $A66&lt;=EYear_O, AB$3&gt;0), AB$3 * VLOOKUP($A66, Data_All!$A$8:$CA$153, MATCH(AB$2, Data_All!$B$2:$CA$2, 0)+1), "")</f>
        <v/>
      </c>
      <c r="AC66" s="206" t="str">
        <f>IF(AND($A66&gt;=SYear_O, $A66&lt;=EYear_O, AC$3&gt;0), AC$3 * VLOOKUP($A66, Data_All!$A$8:$CA$153, MATCH(AC$2, Data_All!$B$2:$CA$2, 0)+1), "")</f>
        <v/>
      </c>
      <c r="AD66" s="206" t="str">
        <f>IF(AND($A66&gt;=SYear_O, $A66&lt;=EYear_O, AD$3&gt;0), AD$3 * VLOOKUP($A66, Data_All!$A$8:$CA$153, MATCH(AD$2, Data_All!$B$2:$CA$2, 0)+1), "")</f>
        <v/>
      </c>
      <c r="AE66" s="206" t="str">
        <f>IF(AND($A66&gt;=SYear_O, $A66&lt;=EYear_O, AE$3&gt;0), AE$3 * VLOOKUP($A66, Data_All!$A$8:$CA$153, MATCH(AE$2, Data_All!$B$2:$CA$2, 0)+1), "")</f>
        <v/>
      </c>
      <c r="AF66" s="206" t="str">
        <f>IF(AND($A66&gt;=SYear_O, $A66&lt;=EYear_O, AF$3&gt;0), AF$3 * VLOOKUP($A66, Data_All!$A$8:$CA$153, MATCH(AF$2, Data_All!$B$2:$CA$2, 0)+1), "")</f>
        <v/>
      </c>
      <c r="AG66" s="206" t="str">
        <f>IF(AND($A66&gt;=SYear_O, $A66&lt;=EYear_O, AG$3&gt;0), AG$3 * VLOOKUP($A66, Data_All!$A$8:$CA$153, MATCH(AG$2, Data_All!$B$2:$CA$2, 0)+1), "")</f>
        <v/>
      </c>
      <c r="AH66" s="206" t="str">
        <f>IF(AND($A66&gt;=SYear_O, $A66&lt;=EYear_O, AH$3&gt;0), AH$3 * VLOOKUP($A66, Data_All!$A$8:$CA$153, MATCH(AH$2, Data_All!$B$2:$CA$2, 0)+1), "")</f>
        <v/>
      </c>
      <c r="AI66" s="206" t="str">
        <f>IF(AND($A66&gt;=SYear_O, $A66&lt;=EYear_O, AI$3&gt;0), AI$3 * VLOOKUP($A66, Data_All!$A$8:$CA$153, MATCH(AI$2, Data_All!$B$2:$CA$2, 0)+1), "")</f>
        <v/>
      </c>
      <c r="AJ66" s="206" t="str">
        <f>IF(AND($A66&gt;=SYear_O, $A66&lt;=EYear_O, AJ$3&gt;0), AJ$3 * VLOOKUP($A66, Data_All!$A$8:$CA$153, MATCH(AJ$2, Data_All!$B$2:$CA$2, 0)+1), "")</f>
        <v/>
      </c>
      <c r="AK66" s="206" t="str">
        <f>IF(AND($A66&gt;=SYear_O, $A66&lt;=EYear_O, AK$3&gt;0), AK$3 * VLOOKUP($A66, Data_All!$A$8:$CA$153, MATCH(AK$2, Data_All!$B$2:$CA$2, 0)+1), "")</f>
        <v/>
      </c>
      <c r="AL66" s="206" t="str">
        <f>IF(AND($A66&gt;=SYear_O, $A66&lt;=EYear_O, AL$3&gt;0), AL$3 * VLOOKUP($A66, Data_All!$A$8:$CA$153, MATCH(AL$2, Data_All!$B$2:$CA$2, 0)+1), "")</f>
        <v/>
      </c>
      <c r="AM66" s="206" t="str">
        <f>IF(AND($A66&gt;=SYear_O, $A66&lt;=EYear_O, AM$3&gt;0), AM$3 * VLOOKUP($A66, Data_All!$A$8:$CA$153, MATCH(AM$2, Data_All!$B$2:$CA$2, 0)+1), "")</f>
        <v/>
      </c>
      <c r="AN66" s="206" t="str">
        <f>IF(AND($A66&gt;=SYear_O, $A66&lt;=EYear_O, AN$3&gt;0), AN$3 * VLOOKUP($A66, Data_All!$A$8:$CA$153, MATCH(AN$2, Data_All!$B$2:$CA$2, 0)+1), "")</f>
        <v/>
      </c>
      <c r="AO66" s="206" t="str">
        <f>IF(AND($A66&gt;=SYear_O, $A66&lt;=EYear_O, AO$3&gt;0), AO$3 * VLOOKUP($A66, Data_All!$A$8:$CA$153, MATCH(AO$2, Data_All!$B$2:$CA$2, 0)+1), "")</f>
        <v/>
      </c>
      <c r="AP66" s="206" t="str">
        <f>IF(AND($A66&gt;=SYear_O, $A66&lt;=EYear_O, AP$3&gt;0), AP$3 * VLOOKUP($A66, Data_All!$A$8:$CA$153, MATCH(AP$2, Data_All!$B$2:$CA$2, 0)+1), "")</f>
        <v/>
      </c>
      <c r="AQ66" s="206" t="str">
        <f>IF(AND($A66&gt;=SYear_O, $A66&lt;=EYear_O, AQ$3&gt;0), AQ$3 * VLOOKUP($A66, Data_All!$A$8:$CA$153, MATCH(AQ$2, Data_All!$B$2:$CA$2, 0)+1), "")</f>
        <v/>
      </c>
      <c r="AR66" s="206" t="str">
        <f>IF(AND($A66&gt;=SYear_O, $A66&lt;=EYear_O, AR$3&gt;0), AR$3 * VLOOKUP($A66, Data_All!$A$8:$CA$153, MATCH(AR$2, Data_All!$B$2:$CA$2, 0)+1), "")</f>
        <v/>
      </c>
      <c r="AS66" s="206" t="str">
        <f>IF(AND($A66&gt;=SYear_O, $A66&lt;=EYear_O, AS$3&gt;0), AS$3 * VLOOKUP($A66, Data_All!$A$8:$CA$153, MATCH(AS$2, Data_All!$B$2:$CA$2, 0)+1), "")</f>
        <v/>
      </c>
      <c r="AT66" s="206" t="str">
        <f>IF(AND($A66&gt;=SYear_O, $A66&lt;=EYear_O, AT$3&gt;0), AT$3 * VLOOKUP($A66, Data_All!$A$8:$CA$153, MATCH(AT$2, Data_All!$B$2:$CA$2, 0)+1), "")</f>
        <v/>
      </c>
      <c r="AU66" s="206" t="str">
        <f>IF(AND($A66&gt;=SYear_O, $A66&lt;=EYear_O, AU$3&gt;0), AU$3 * VLOOKUP($A66, Data_All!$A$8:$CA$153, MATCH(AU$2, Data_All!$B$2:$CA$2, 0)+1), "")</f>
        <v/>
      </c>
      <c r="AV66" s="206" t="str">
        <f>IF(AND($A66&gt;=SYear_O, $A66&lt;=EYear_O, AV$3&gt;0), AV$3 * VLOOKUP($A66, Data_All!$A$8:$CA$153, MATCH(AV$2, Data_All!$B$2:$CA$2, 0)+1), "")</f>
        <v/>
      </c>
      <c r="AW66" s="206" t="str">
        <f>IF(AND($A66&gt;=SYear_O, $A66&lt;=EYear_O, AW$3&gt;0), AW$3 * VLOOKUP($A66, Data_All!$A$8:$CA$153, MATCH(AW$2, Data_All!$B$2:$CA$2, 0)+1), "")</f>
        <v/>
      </c>
      <c r="AX66" s="206" t="str">
        <f>IF(AND($A66&gt;=SYear_O, $A66&lt;=EYear_O, AX$3&gt;0), AX$3 * VLOOKUP($A66, Data_All!$A$8:$CA$153, MATCH(AX$2, Data_All!$B$2:$CA$2, 0)+1), "")</f>
        <v/>
      </c>
      <c r="AY66" s="206" t="str">
        <f>IF(AND($A66&gt;=SYear_O, $A66&lt;=EYear_O, AY$3&gt;0), AY$3 * VLOOKUP($A66, Data_All!$A$8:$CA$153, MATCH(AY$2, Data_All!$B$2:$CA$2, 0)+1), "")</f>
        <v/>
      </c>
      <c r="AZ66" s="206" t="str">
        <f>IF(AND($A66&gt;=SYear_O, $A66&lt;=EYear_O, AZ$3&gt;0), AZ$3 * VLOOKUP($A66, Data_All!$A$8:$CA$153, MATCH(AZ$2, Data_All!$B$2:$CA$2, 0)+1), "")</f>
        <v/>
      </c>
      <c r="BA66" s="206" t="str">
        <f>IF(AND($A66&gt;=SYear_O, $A66&lt;=EYear_O, BA$3&gt;0), BA$3 * VLOOKUP($A66, Data_All!$A$8:$CA$153, MATCH(BA$2, Data_All!$B$2:$CA$2, 0)+1), "")</f>
        <v/>
      </c>
      <c r="BB66" s="206" t="str">
        <f>IF(AND($A66&gt;=SYear_O, $A66&lt;=EYear_O, BB$3&gt;0), BB$3 * VLOOKUP($A66, Data_All!$A$8:$CA$153, MATCH(BB$2, Data_All!$B$2:$CA$2, 0)+1), "")</f>
        <v/>
      </c>
      <c r="BC66" s="206" t="str">
        <f>IF(AND($A66&gt;=SYear_O, $A66&lt;=EYear_O, BC$3&gt;0), BC$3 * VLOOKUP($A66, Data_All!$A$8:$CA$153, MATCH(BC$2, Data_All!$B$2:$CA$2, 0)+1), "")</f>
        <v/>
      </c>
      <c r="BD66" s="206" t="str">
        <f>IF(AND($A66&gt;=SYear_O, $A66&lt;=EYear_O, BD$3&gt;0), BD$3 * VLOOKUP($A66, Data_All!$A$8:$CA$153, MATCH(BD$2, Data_All!$B$2:$CA$2, 0)+1), "")</f>
        <v/>
      </c>
      <c r="BE66" s="206" t="str">
        <f>IF(AND($A66&gt;=SYear_O, $A66&lt;=EYear_O, BE$3&gt;0), BE$3 * VLOOKUP($A66, Data_All!$A$8:$CA$153, MATCH(BE$2, Data_All!$B$2:$CA$2, 0)+1), "")</f>
        <v/>
      </c>
      <c r="BF66" s="206" t="str">
        <f>IF(AND($A66&gt;=SYear_O, $A66&lt;=EYear_O, BF$3&gt;0), BF$3 * VLOOKUP($A66, Data_All!$A$8:$CA$153, MATCH(BF$2, Data_All!$B$2:$CA$2, 0)+1), "")</f>
        <v/>
      </c>
      <c r="BG66" s="206" t="str">
        <f>IF(AND($A66&gt;=SYear_O, $A66&lt;=EYear_O, BG$3&gt;0), BG$3 * VLOOKUP($A66, Data_All!$A$8:$CA$153, MATCH(BG$2, Data_All!$B$2:$CA$2, 0)+1), "")</f>
        <v/>
      </c>
      <c r="BH66" s="206" t="str">
        <f>IF(AND($A66&gt;=SYear_O, $A66&lt;=EYear_O, BH$3&gt;0), BH$3 * VLOOKUP($A66, Data_All!$A$8:$CA$153, MATCH(BH$2, Data_All!$B$2:$CA$2, 0)+1), "")</f>
        <v/>
      </c>
      <c r="BI66" s="206" t="str">
        <f>IF(AND($A66&gt;=SYear_O, $A66&lt;=EYear_O, BI$3&gt;0), BI$3 * VLOOKUP($A66, Data_All!$A$8:$CA$153, MATCH(BI$2, Data_All!$B$2:$CA$2, 0)+1), "")</f>
        <v/>
      </c>
      <c r="BJ66" s="206" t="str">
        <f>IF(AND($A66&gt;=SYear_O, $A66&lt;=EYear_O, BJ$3&gt;0), BJ$3 * VLOOKUP($A66, Data_All!$A$8:$CA$153, MATCH(BJ$2, Data_All!$B$2:$CA$2, 0)+1), "")</f>
        <v/>
      </c>
      <c r="BK66" s="206" t="str">
        <f>IF(AND($A66&gt;=SYear_O, $A66&lt;=EYear_O, BK$3&gt;0), BK$3 * VLOOKUP($A66, Data_All!$A$8:$CA$153, MATCH(BK$2, Data_All!$B$2:$CA$2, 0)+1), "")</f>
        <v/>
      </c>
      <c r="BL66" s="206" t="str">
        <f>IF(AND($A66&gt;=SYear_O, $A66&lt;=EYear_O, BL$3&gt;0), BL$3 * VLOOKUP($A66, Data_All!$A$8:$CA$153, MATCH(BL$2, Data_All!$B$2:$CA$2, 0)+1), "")</f>
        <v/>
      </c>
      <c r="BM66" s="206" t="str">
        <f>IF(AND($A66&gt;=SYear_O, $A66&lt;=EYear_O, BM$3&gt;0), BM$3 * VLOOKUP($A66, Data_All!$A$8:$CA$153, MATCH(BM$2, Data_All!$B$2:$CA$2, 0)+1), "")</f>
        <v/>
      </c>
      <c r="BN66" s="206" t="str">
        <f>IF(AND($A66&gt;=SYear_O, $A66&lt;=EYear_O, BN$3&gt;0), BN$3 * VLOOKUP($A66, Data_All!$A$8:$CA$153, MATCH(BN$2, Data_All!$B$2:$CA$2, 0)+1), "")</f>
        <v/>
      </c>
      <c r="BO66" s="206" t="str">
        <f>IF(AND($A66&gt;=SYear_O, $A66&lt;=EYear_O, BO$3&gt;0), BO$3 * VLOOKUP($A66, Data_All!$A$8:$CA$153, MATCH(BO$2, Data_All!$B$2:$CA$2, 0)+1), "")</f>
        <v/>
      </c>
      <c r="BP66" s="206" t="str">
        <f>IF(AND($A66&gt;=SYear_O, $A66&lt;=EYear_O, BP$3&gt;0), BP$3 * VLOOKUP($A66, Data_All!$A$8:$CA$153, MATCH(BP$2, Data_All!$B$2:$CA$2, 0)+1), "")</f>
        <v/>
      </c>
      <c r="BQ66" s="206" t="str">
        <f>IF(AND($A66&gt;=SYear_O, $A66&lt;=EYear_O, BQ$3&gt;0), BQ$3 * VLOOKUP($A66, Data_All!$A$8:$CA$153, MATCH(BQ$2, Data_All!$B$2:$CA$2, 0)+1), "")</f>
        <v/>
      </c>
      <c r="BR66" s="206" t="str">
        <f>IF(AND($A66&gt;=SYear_O, $A66&lt;=EYear_O, BR$3&gt;0), BR$3 * VLOOKUP($A66, Data_All!$A$8:$CA$153, MATCH(BR$2, Data_All!$B$2:$CA$2, 0)+1), "")</f>
        <v/>
      </c>
      <c r="BS66" s="206" t="str">
        <f>IF(AND($A66&gt;=SYear_O, $A66&lt;=EYear_O, BS$3&gt;0), BS$3 * VLOOKUP($A66, Data_All!$A$8:$CA$153, MATCH(BS$2, Data_All!$B$2:$CA$2, 0)+1), "")</f>
        <v/>
      </c>
      <c r="BT66" s="206" t="str">
        <f>IF(AND($A66&gt;=SYear_O, $A66&lt;=EYear_O, BT$3&gt;0), BT$3 * VLOOKUP($A66, Data_All!$A$8:$CA$153, MATCH(BT$2, Data_All!$B$2:$CA$2, 0)+1), "")</f>
        <v/>
      </c>
      <c r="BU66" s="206" t="str">
        <f>IF(AND($A66&gt;=SYear_O, $A66&lt;=EYear_O, BU$3&gt;0), BU$3 * VLOOKUP($A66, Data_All!$A$8:$CA$153, MATCH(BU$2, Data_All!$B$2:$CA$2, 0)+1), "")</f>
        <v/>
      </c>
      <c r="BV66" s="206" t="str">
        <f>IF(AND($A66&gt;=SYear_O, $A66&lt;=EYear_O, BV$3&gt;0), BV$3 * VLOOKUP($A66, Data_All!$A$8:$CA$153, MATCH(BV$2, Data_All!$B$2:$CA$2, 0)+1), "")</f>
        <v/>
      </c>
      <c r="BW66" s="206" t="str">
        <f>IF(AND($A66&gt;=SYear_O, $A66&lt;=EYear_O, BW$3&gt;0), BW$3 * VLOOKUP($A66, Data_All!$A$8:$CA$153, MATCH(BW$2, Data_All!$B$2:$CA$2, 0)+1), "")</f>
        <v/>
      </c>
      <c r="BX66" s="206">
        <f>IF(AND($A66&gt;=SYear_O, $A66&lt;=EYear_O, BX$3&gt;0), BX$3 * VLOOKUP($A66, Data_All!$A$8:$CA$153, MATCH(BX$2, Data_All!$B$2:$CA$2, 0)+1), "")</f>
        <v>-13.127590971902348</v>
      </c>
      <c r="BY66" s="206">
        <f>IF(AND($A66&gt;=SYear_O, $A66&lt;=EYear_O, BY$3&gt;0), BY$3 * VLOOKUP($A66, Data_All!$A$8:$CA$153, MATCH(BY$2, Data_All!$B$2:$CA$2, 0)+1), "")</f>
        <v>2.5086379521479163</v>
      </c>
      <c r="BZ66" s="206" t="str">
        <f>IF(AND($A66&gt;=SYear_O, $A66&lt;=EYear_O, BZ$3&gt;0), BZ$3 * VLOOKUP($A66, Data_All!$A$8:$CA$153, MATCH(BZ$2, Data_All!$B$2:$CA$2, 0)+1), "")</f>
        <v/>
      </c>
      <c r="CA66" s="565">
        <f t="shared" si="19"/>
        <v>-10.618953019754432</v>
      </c>
      <c r="CB66" s="427">
        <f t="shared" si="20"/>
        <v>416379.49564748886</v>
      </c>
      <c r="CC66" s="565">
        <f>IF(AND($A66&gt;=SYear_O,$A66&lt;=EYear_O),(CA66-Data_All!CA67)/(1+Data_All!CA67%),"")</f>
        <v>-3.8732136250189062</v>
      </c>
      <c r="CD66" s="436">
        <f t="shared" si="21"/>
        <v>326401.22219493933</v>
      </c>
      <c r="CE66" s="438">
        <f t="shared" si="22"/>
        <v>37.765303293278123</v>
      </c>
      <c r="CF66" s="438">
        <f>IF(AND($A66&gt;=SYear_O,$A66&lt;=EYear_O),MAX($CE$7:CE66),"")</f>
        <v>43.198046670106592</v>
      </c>
      <c r="CG66" s="209">
        <f t="shared" si="23"/>
        <v>0.12576363506241528</v>
      </c>
      <c r="CI66" s="143">
        <f>IF(AND($A66&gt;=SYear_O,$A66&lt;=EYear_O),Data_All!V67,"")</f>
        <v>4.0563492856429226</v>
      </c>
      <c r="CJ66" s="143">
        <f>IF(AND($A66&gt;=SYear_O,$A66&lt;=EYear_O),Data_All!CA67,"")</f>
        <v>-7.017543859649134</v>
      </c>
      <c r="CK66" s="143">
        <f t="shared" si="24"/>
        <v>11.90965866569146</v>
      </c>
      <c r="CN66" s="61">
        <f t="shared" si="25"/>
        <v>-0.10618953019754429</v>
      </c>
      <c r="CO66" s="61">
        <f t="shared" si="26"/>
        <v>-0.13175046456341644</v>
      </c>
      <c r="CP66" s="61">
        <f t="shared" si="27"/>
        <v>-3.0183667424234062E-2</v>
      </c>
      <c r="CQ66" s="61">
        <f t="shared" si="28"/>
        <v>2.6992812296778856E-2</v>
      </c>
      <c r="CR66" s="61">
        <f t="shared" si="29"/>
        <v>3.7684410914434086E-2</v>
      </c>
      <c r="CU66" s="61">
        <f t="shared" si="30"/>
        <v>-3.873213625018912E-2</v>
      </c>
      <c r="CV66" s="61">
        <f t="shared" si="31"/>
        <v>-4.6223334670281835E-2</v>
      </c>
      <c r="CW66" s="61">
        <f t="shared" si="32"/>
        <v>1.5268552133002267E-2</v>
      </c>
      <c r="CX66" s="61">
        <f t="shared" si="33"/>
        <v>4.8492999358702438E-2</v>
      </c>
      <c r="CY66" s="61">
        <f t="shared" si="34"/>
        <v>3.4912659846591865E-2</v>
      </c>
    </row>
    <row r="67" spans="1:103">
      <c r="A67" s="204">
        <f t="shared" si="18"/>
        <v>1931</v>
      </c>
      <c r="B67" s="206" t="str">
        <f>IF(AND($A67&gt;=SYear_O, $A67&lt;=EYear_O, B$3&gt;0), B$3 * VLOOKUP($A67, Data_All!$A$8:$CA$153, MATCH(B$2, Data_All!$B$2:$CA$2, 0)+1), "")</f>
        <v/>
      </c>
      <c r="C67" s="206" t="str">
        <f>IF(AND($A67&gt;=SYear_O, $A67&lt;=EYear_O, C$3&gt;0), C$3 * VLOOKUP($A67, Data_All!$A$8:$CA$153, MATCH(C$2, Data_All!$B$2:$CA$2, 0)+1), "")</f>
        <v/>
      </c>
      <c r="D67" s="206" t="str">
        <f>IF(AND($A67&gt;=SYear_O, $A67&lt;=EYear_O, D$3&gt;0), D$3 * VLOOKUP($A67, Data_All!$A$8:$CA$153, MATCH(D$2, Data_All!$B$2:$CA$2, 0)+1), "")</f>
        <v/>
      </c>
      <c r="E67" s="206" t="str">
        <f>IF(AND($A67&gt;=SYear_O, $A67&lt;=EYear_O, E$3&gt;0), E$3 * VLOOKUP($A67, Data_All!$A$8:$CA$153, MATCH(E$2, Data_All!$B$2:$CA$2, 0)+1), "")</f>
        <v/>
      </c>
      <c r="F67" s="206" t="str">
        <f>IF(AND($A67&gt;=SYear_O, $A67&lt;=EYear_O, F$3&gt;0), F$3 * VLOOKUP($A67, Data_All!$A$8:$CA$153, MATCH(F$2, Data_All!$B$2:$CA$2, 0)+1), "")</f>
        <v/>
      </c>
      <c r="G67" s="206" t="str">
        <f>IF(AND($A67&gt;=SYear_O, $A67&lt;=EYear_O, G$3&gt;0), G$3 * VLOOKUP($A67, Data_All!$A$8:$CA$153, MATCH(G$2, Data_All!$B$2:$CA$2, 0)+1), "")</f>
        <v/>
      </c>
      <c r="H67" s="206" t="str">
        <f>IF(AND($A67&gt;=SYear_O, $A67&lt;=EYear_O, H$3&gt;0), H$3 * VLOOKUP($A67, Data_All!$A$8:$CA$153, MATCH(H$2, Data_All!$B$2:$CA$2, 0)+1), "")</f>
        <v/>
      </c>
      <c r="I67" s="206" t="str">
        <f>IF(AND($A67&gt;=SYear_O, $A67&lt;=EYear_O, I$3&gt;0), I$3 * VLOOKUP($A67, Data_All!$A$8:$CA$153, MATCH(I$2, Data_All!$B$2:$CA$2, 0)+1), "")</f>
        <v/>
      </c>
      <c r="J67" s="206" t="str">
        <f>IF(AND($A67&gt;=SYear_O, $A67&lt;=EYear_O, J$3&gt;0), J$3 * VLOOKUP($A67, Data_All!$A$8:$CA$153, MATCH(J$2, Data_All!$B$2:$CA$2, 0)+1), "")</f>
        <v/>
      </c>
      <c r="K67" s="206" t="str">
        <f>IF(AND($A67&gt;=SYear_O, $A67&lt;=EYear_O, K$3&gt;0), K$3 * VLOOKUP($A67, Data_All!$A$8:$CA$153, MATCH(K$2, Data_All!$B$2:$CA$2, 0)+1), "")</f>
        <v/>
      </c>
      <c r="L67" s="206" t="str">
        <f>IF(AND($A67&gt;=SYear_O, $A67&lt;=EYear_O, L$3&gt;0), L$3 * VLOOKUP($A67, Data_All!$A$8:$CA$153, MATCH(L$2, Data_All!$B$2:$CA$2, 0)+1), "")</f>
        <v/>
      </c>
      <c r="M67" s="206" t="str">
        <f>IF(AND($A67&gt;=SYear_O, $A67&lt;=EYear_O, M$3&gt;0), M$3 * VLOOKUP($A67, Data_All!$A$8:$CA$153, MATCH(M$2, Data_All!$B$2:$CA$2, 0)+1), "")</f>
        <v/>
      </c>
      <c r="N67" s="206" t="str">
        <f>IF(AND($A67&gt;=SYear_O, $A67&lt;=EYear_O, N$3&gt;0), N$3 * VLOOKUP($A67, Data_All!$A$8:$CA$153, MATCH(N$2, Data_All!$B$2:$CA$2, 0)+1), "")</f>
        <v/>
      </c>
      <c r="O67" s="206" t="str">
        <f>IF(AND($A67&gt;=SYear_O, $A67&lt;=EYear_O, O$3&gt;0), O$3 * VLOOKUP($A67, Data_All!$A$8:$CA$153, MATCH(O$2, Data_All!$B$2:$CA$2, 0)+1), "")</f>
        <v/>
      </c>
      <c r="P67" s="206" t="str">
        <f>IF(AND($A67&gt;=SYear_O, $A67&lt;=EYear_O, P$3&gt;0), P$3 * VLOOKUP($A67, Data_All!$A$8:$CA$153, MATCH(P$2, Data_All!$B$2:$CA$2, 0)+1), "")</f>
        <v/>
      </c>
      <c r="Q67" s="206" t="str">
        <f>IF(AND($A67&gt;=SYear_O, $A67&lt;=EYear_O, Q$3&gt;0), Q$3 * VLOOKUP($A67, Data_All!$A$8:$CA$153, MATCH(Q$2, Data_All!$B$2:$CA$2, 0)+1), "")</f>
        <v/>
      </c>
      <c r="R67" s="206" t="str">
        <f>IF(AND($A67&gt;=SYear_O, $A67&lt;=EYear_O, R$3&gt;0), R$3 * VLOOKUP($A67, Data_All!$A$8:$CA$153, MATCH(R$2, Data_All!$B$2:$CA$2, 0)+1), "")</f>
        <v/>
      </c>
      <c r="S67" s="206" t="str">
        <f>IF(AND($A67&gt;=SYear_O, $A67&lt;=EYear_O, S$3&gt;0), S$3 * VLOOKUP($A67, Data_All!$A$8:$CA$153, MATCH(S$2, Data_All!$B$2:$CA$2, 0)+1), "")</f>
        <v/>
      </c>
      <c r="T67" s="206" t="str">
        <f>IF(AND($A67&gt;=SYear_O, $A67&lt;=EYear_O, T$3&gt;0), T$3 * VLOOKUP($A67, Data_All!$A$8:$CA$153, MATCH(T$2, Data_All!$B$2:$CA$2, 0)+1), "")</f>
        <v/>
      </c>
      <c r="U67" s="206" t="str">
        <f>IF(AND($A67&gt;=SYear_O, $A67&lt;=EYear_O, U$3&gt;0), U$3 * VLOOKUP($A67, Data_All!$A$8:$CA$153, MATCH(U$2, Data_All!$B$2:$CA$2, 0)+1), "")</f>
        <v/>
      </c>
      <c r="V67" s="206" t="str">
        <f>IF(AND($A67&gt;=SYear_O, $A67&lt;=EYear_O, V$3&gt;0), V$3 * VLOOKUP($A67, Data_All!$A$8:$CA$153, MATCH(V$2, Data_All!$B$2:$CA$2, 0)+1), "")</f>
        <v/>
      </c>
      <c r="W67" s="206" t="str">
        <f>IF(AND($A67&gt;=SYear_O, $A67&lt;=EYear_O, W$3&gt;0), W$3 * VLOOKUP($A67, Data_All!$A$8:$CA$153, MATCH(W$2, Data_All!$B$2:$CA$2, 0)+1), "")</f>
        <v/>
      </c>
      <c r="X67" s="206" t="str">
        <f>IF(AND($A67&gt;=SYear_O, $A67&lt;=EYear_O, X$3&gt;0), X$3 * VLOOKUP($A67, Data_All!$A$8:$CA$153, MATCH(X$2, Data_All!$B$2:$CA$2, 0)+1), "")</f>
        <v/>
      </c>
      <c r="Y67" s="206" t="str">
        <f>IF(AND($A67&gt;=SYear_O, $A67&lt;=EYear_O, Y$3&gt;0), Y$3 * VLOOKUP($A67, Data_All!$A$8:$CA$153, MATCH(Y$2, Data_All!$B$2:$CA$2, 0)+1), "")</f>
        <v/>
      </c>
      <c r="Z67" s="206" t="str">
        <f>IF(AND($A67&gt;=SYear_O, $A67&lt;=EYear_O, Z$3&gt;0), Z$3 * VLOOKUP($A67, Data_All!$A$8:$CA$153, MATCH(Z$2, Data_All!$B$2:$CA$2, 0)+1), "")</f>
        <v/>
      </c>
      <c r="AA67" s="206" t="str">
        <f>IF(AND($A67&gt;=SYear_O, $A67&lt;=EYear_O, AA$3&gt;0), AA$3 * VLOOKUP($A67, Data_All!$A$8:$CA$153, MATCH(AA$2, Data_All!$B$2:$CA$2, 0)+1), "")</f>
        <v/>
      </c>
      <c r="AB67" s="206" t="str">
        <f>IF(AND($A67&gt;=SYear_O, $A67&lt;=EYear_O, AB$3&gt;0), AB$3 * VLOOKUP($A67, Data_All!$A$8:$CA$153, MATCH(AB$2, Data_All!$B$2:$CA$2, 0)+1), "")</f>
        <v/>
      </c>
      <c r="AC67" s="206" t="str">
        <f>IF(AND($A67&gt;=SYear_O, $A67&lt;=EYear_O, AC$3&gt;0), AC$3 * VLOOKUP($A67, Data_All!$A$8:$CA$153, MATCH(AC$2, Data_All!$B$2:$CA$2, 0)+1), "")</f>
        <v/>
      </c>
      <c r="AD67" s="206" t="str">
        <f>IF(AND($A67&gt;=SYear_O, $A67&lt;=EYear_O, AD$3&gt;0), AD$3 * VLOOKUP($A67, Data_All!$A$8:$CA$153, MATCH(AD$2, Data_All!$B$2:$CA$2, 0)+1), "")</f>
        <v/>
      </c>
      <c r="AE67" s="206" t="str">
        <f>IF(AND($A67&gt;=SYear_O, $A67&lt;=EYear_O, AE$3&gt;0), AE$3 * VLOOKUP($A67, Data_All!$A$8:$CA$153, MATCH(AE$2, Data_All!$B$2:$CA$2, 0)+1), "")</f>
        <v/>
      </c>
      <c r="AF67" s="206" t="str">
        <f>IF(AND($A67&gt;=SYear_O, $A67&lt;=EYear_O, AF$3&gt;0), AF$3 * VLOOKUP($A67, Data_All!$A$8:$CA$153, MATCH(AF$2, Data_All!$B$2:$CA$2, 0)+1), "")</f>
        <v/>
      </c>
      <c r="AG67" s="206" t="str">
        <f>IF(AND($A67&gt;=SYear_O, $A67&lt;=EYear_O, AG$3&gt;0), AG$3 * VLOOKUP($A67, Data_All!$A$8:$CA$153, MATCH(AG$2, Data_All!$B$2:$CA$2, 0)+1), "")</f>
        <v/>
      </c>
      <c r="AH67" s="206" t="str">
        <f>IF(AND($A67&gt;=SYear_O, $A67&lt;=EYear_O, AH$3&gt;0), AH$3 * VLOOKUP($A67, Data_All!$A$8:$CA$153, MATCH(AH$2, Data_All!$B$2:$CA$2, 0)+1), "")</f>
        <v/>
      </c>
      <c r="AI67" s="206" t="str">
        <f>IF(AND($A67&gt;=SYear_O, $A67&lt;=EYear_O, AI$3&gt;0), AI$3 * VLOOKUP($A67, Data_All!$A$8:$CA$153, MATCH(AI$2, Data_All!$B$2:$CA$2, 0)+1), "")</f>
        <v/>
      </c>
      <c r="AJ67" s="206" t="str">
        <f>IF(AND($A67&gt;=SYear_O, $A67&lt;=EYear_O, AJ$3&gt;0), AJ$3 * VLOOKUP($A67, Data_All!$A$8:$CA$153, MATCH(AJ$2, Data_All!$B$2:$CA$2, 0)+1), "")</f>
        <v/>
      </c>
      <c r="AK67" s="206" t="str">
        <f>IF(AND($A67&gt;=SYear_O, $A67&lt;=EYear_O, AK$3&gt;0), AK$3 * VLOOKUP($A67, Data_All!$A$8:$CA$153, MATCH(AK$2, Data_All!$B$2:$CA$2, 0)+1), "")</f>
        <v/>
      </c>
      <c r="AL67" s="206" t="str">
        <f>IF(AND($A67&gt;=SYear_O, $A67&lt;=EYear_O, AL$3&gt;0), AL$3 * VLOOKUP($A67, Data_All!$A$8:$CA$153, MATCH(AL$2, Data_All!$B$2:$CA$2, 0)+1), "")</f>
        <v/>
      </c>
      <c r="AM67" s="206" t="str">
        <f>IF(AND($A67&gt;=SYear_O, $A67&lt;=EYear_O, AM$3&gt;0), AM$3 * VLOOKUP($A67, Data_All!$A$8:$CA$153, MATCH(AM$2, Data_All!$B$2:$CA$2, 0)+1), "")</f>
        <v/>
      </c>
      <c r="AN67" s="206" t="str">
        <f>IF(AND($A67&gt;=SYear_O, $A67&lt;=EYear_O, AN$3&gt;0), AN$3 * VLOOKUP($A67, Data_All!$A$8:$CA$153, MATCH(AN$2, Data_All!$B$2:$CA$2, 0)+1), "")</f>
        <v/>
      </c>
      <c r="AO67" s="206" t="str">
        <f>IF(AND($A67&gt;=SYear_O, $A67&lt;=EYear_O, AO$3&gt;0), AO$3 * VLOOKUP($A67, Data_All!$A$8:$CA$153, MATCH(AO$2, Data_All!$B$2:$CA$2, 0)+1), "")</f>
        <v/>
      </c>
      <c r="AP67" s="206" t="str">
        <f>IF(AND($A67&gt;=SYear_O, $A67&lt;=EYear_O, AP$3&gt;0), AP$3 * VLOOKUP($A67, Data_All!$A$8:$CA$153, MATCH(AP$2, Data_All!$B$2:$CA$2, 0)+1), "")</f>
        <v/>
      </c>
      <c r="AQ67" s="206" t="str">
        <f>IF(AND($A67&gt;=SYear_O, $A67&lt;=EYear_O, AQ$3&gt;0), AQ$3 * VLOOKUP($A67, Data_All!$A$8:$CA$153, MATCH(AQ$2, Data_All!$B$2:$CA$2, 0)+1), "")</f>
        <v/>
      </c>
      <c r="AR67" s="206" t="str">
        <f>IF(AND($A67&gt;=SYear_O, $A67&lt;=EYear_O, AR$3&gt;0), AR$3 * VLOOKUP($A67, Data_All!$A$8:$CA$153, MATCH(AR$2, Data_All!$B$2:$CA$2, 0)+1), "")</f>
        <v/>
      </c>
      <c r="AS67" s="206" t="str">
        <f>IF(AND($A67&gt;=SYear_O, $A67&lt;=EYear_O, AS$3&gt;0), AS$3 * VLOOKUP($A67, Data_All!$A$8:$CA$153, MATCH(AS$2, Data_All!$B$2:$CA$2, 0)+1), "")</f>
        <v/>
      </c>
      <c r="AT67" s="206" t="str">
        <f>IF(AND($A67&gt;=SYear_O, $A67&lt;=EYear_O, AT$3&gt;0), AT$3 * VLOOKUP($A67, Data_All!$A$8:$CA$153, MATCH(AT$2, Data_All!$B$2:$CA$2, 0)+1), "")</f>
        <v/>
      </c>
      <c r="AU67" s="206" t="str">
        <f>IF(AND($A67&gt;=SYear_O, $A67&lt;=EYear_O, AU$3&gt;0), AU$3 * VLOOKUP($A67, Data_All!$A$8:$CA$153, MATCH(AU$2, Data_All!$B$2:$CA$2, 0)+1), "")</f>
        <v/>
      </c>
      <c r="AV67" s="206" t="str">
        <f>IF(AND($A67&gt;=SYear_O, $A67&lt;=EYear_O, AV$3&gt;0), AV$3 * VLOOKUP($A67, Data_All!$A$8:$CA$153, MATCH(AV$2, Data_All!$B$2:$CA$2, 0)+1), "")</f>
        <v/>
      </c>
      <c r="AW67" s="206" t="str">
        <f>IF(AND($A67&gt;=SYear_O, $A67&lt;=EYear_O, AW$3&gt;0), AW$3 * VLOOKUP($A67, Data_All!$A$8:$CA$153, MATCH(AW$2, Data_All!$B$2:$CA$2, 0)+1), "")</f>
        <v/>
      </c>
      <c r="AX67" s="206" t="str">
        <f>IF(AND($A67&gt;=SYear_O, $A67&lt;=EYear_O, AX$3&gt;0), AX$3 * VLOOKUP($A67, Data_All!$A$8:$CA$153, MATCH(AX$2, Data_All!$B$2:$CA$2, 0)+1), "")</f>
        <v/>
      </c>
      <c r="AY67" s="206" t="str">
        <f>IF(AND($A67&gt;=SYear_O, $A67&lt;=EYear_O, AY$3&gt;0), AY$3 * VLOOKUP($A67, Data_All!$A$8:$CA$153, MATCH(AY$2, Data_All!$B$2:$CA$2, 0)+1), "")</f>
        <v/>
      </c>
      <c r="AZ67" s="206" t="str">
        <f>IF(AND($A67&gt;=SYear_O, $A67&lt;=EYear_O, AZ$3&gt;0), AZ$3 * VLOOKUP($A67, Data_All!$A$8:$CA$153, MATCH(AZ$2, Data_All!$B$2:$CA$2, 0)+1), "")</f>
        <v/>
      </c>
      <c r="BA67" s="206" t="str">
        <f>IF(AND($A67&gt;=SYear_O, $A67&lt;=EYear_O, BA$3&gt;0), BA$3 * VLOOKUP($A67, Data_All!$A$8:$CA$153, MATCH(BA$2, Data_All!$B$2:$CA$2, 0)+1), "")</f>
        <v/>
      </c>
      <c r="BB67" s="206" t="str">
        <f>IF(AND($A67&gt;=SYear_O, $A67&lt;=EYear_O, BB$3&gt;0), BB$3 * VLOOKUP($A67, Data_All!$A$8:$CA$153, MATCH(BB$2, Data_All!$B$2:$CA$2, 0)+1), "")</f>
        <v/>
      </c>
      <c r="BC67" s="206" t="str">
        <f>IF(AND($A67&gt;=SYear_O, $A67&lt;=EYear_O, BC$3&gt;0), BC$3 * VLOOKUP($A67, Data_All!$A$8:$CA$153, MATCH(BC$2, Data_All!$B$2:$CA$2, 0)+1), "")</f>
        <v/>
      </c>
      <c r="BD67" s="206" t="str">
        <f>IF(AND($A67&gt;=SYear_O, $A67&lt;=EYear_O, BD$3&gt;0), BD$3 * VLOOKUP($A67, Data_All!$A$8:$CA$153, MATCH(BD$2, Data_All!$B$2:$CA$2, 0)+1), "")</f>
        <v/>
      </c>
      <c r="BE67" s="206" t="str">
        <f>IF(AND($A67&gt;=SYear_O, $A67&lt;=EYear_O, BE$3&gt;0), BE$3 * VLOOKUP($A67, Data_All!$A$8:$CA$153, MATCH(BE$2, Data_All!$B$2:$CA$2, 0)+1), "")</f>
        <v/>
      </c>
      <c r="BF67" s="206" t="str">
        <f>IF(AND($A67&gt;=SYear_O, $A67&lt;=EYear_O, BF$3&gt;0), BF$3 * VLOOKUP($A67, Data_All!$A$8:$CA$153, MATCH(BF$2, Data_All!$B$2:$CA$2, 0)+1), "")</f>
        <v/>
      </c>
      <c r="BG67" s="206" t="str">
        <f>IF(AND($A67&gt;=SYear_O, $A67&lt;=EYear_O, BG$3&gt;0), BG$3 * VLOOKUP($A67, Data_All!$A$8:$CA$153, MATCH(BG$2, Data_All!$B$2:$CA$2, 0)+1), "")</f>
        <v/>
      </c>
      <c r="BH67" s="206" t="str">
        <f>IF(AND($A67&gt;=SYear_O, $A67&lt;=EYear_O, BH$3&gt;0), BH$3 * VLOOKUP($A67, Data_All!$A$8:$CA$153, MATCH(BH$2, Data_All!$B$2:$CA$2, 0)+1), "")</f>
        <v/>
      </c>
      <c r="BI67" s="206" t="str">
        <f>IF(AND($A67&gt;=SYear_O, $A67&lt;=EYear_O, BI$3&gt;0), BI$3 * VLOOKUP($A67, Data_All!$A$8:$CA$153, MATCH(BI$2, Data_All!$B$2:$CA$2, 0)+1), "")</f>
        <v/>
      </c>
      <c r="BJ67" s="206" t="str">
        <f>IF(AND($A67&gt;=SYear_O, $A67&lt;=EYear_O, BJ$3&gt;0), BJ$3 * VLOOKUP($A67, Data_All!$A$8:$CA$153, MATCH(BJ$2, Data_All!$B$2:$CA$2, 0)+1), "")</f>
        <v/>
      </c>
      <c r="BK67" s="206" t="str">
        <f>IF(AND($A67&gt;=SYear_O, $A67&lt;=EYear_O, BK$3&gt;0), BK$3 * VLOOKUP($A67, Data_All!$A$8:$CA$153, MATCH(BK$2, Data_All!$B$2:$CA$2, 0)+1), "")</f>
        <v/>
      </c>
      <c r="BL67" s="206" t="str">
        <f>IF(AND($A67&gt;=SYear_O, $A67&lt;=EYear_O, BL$3&gt;0), BL$3 * VLOOKUP($A67, Data_All!$A$8:$CA$153, MATCH(BL$2, Data_All!$B$2:$CA$2, 0)+1), "")</f>
        <v/>
      </c>
      <c r="BM67" s="206" t="str">
        <f>IF(AND($A67&gt;=SYear_O, $A67&lt;=EYear_O, BM$3&gt;0), BM$3 * VLOOKUP($A67, Data_All!$A$8:$CA$153, MATCH(BM$2, Data_All!$B$2:$CA$2, 0)+1), "")</f>
        <v/>
      </c>
      <c r="BN67" s="206" t="str">
        <f>IF(AND($A67&gt;=SYear_O, $A67&lt;=EYear_O, BN$3&gt;0), BN$3 * VLOOKUP($A67, Data_All!$A$8:$CA$153, MATCH(BN$2, Data_All!$B$2:$CA$2, 0)+1), "")</f>
        <v/>
      </c>
      <c r="BO67" s="206" t="str">
        <f>IF(AND($A67&gt;=SYear_O, $A67&lt;=EYear_O, BO$3&gt;0), BO$3 * VLOOKUP($A67, Data_All!$A$8:$CA$153, MATCH(BO$2, Data_All!$B$2:$CA$2, 0)+1), "")</f>
        <v/>
      </c>
      <c r="BP67" s="206" t="str">
        <f>IF(AND($A67&gt;=SYear_O, $A67&lt;=EYear_O, BP$3&gt;0), BP$3 * VLOOKUP($A67, Data_All!$A$8:$CA$153, MATCH(BP$2, Data_All!$B$2:$CA$2, 0)+1), "")</f>
        <v/>
      </c>
      <c r="BQ67" s="206" t="str">
        <f>IF(AND($A67&gt;=SYear_O, $A67&lt;=EYear_O, BQ$3&gt;0), BQ$3 * VLOOKUP($A67, Data_All!$A$8:$CA$153, MATCH(BQ$2, Data_All!$B$2:$CA$2, 0)+1), "")</f>
        <v/>
      </c>
      <c r="BR67" s="206" t="str">
        <f>IF(AND($A67&gt;=SYear_O, $A67&lt;=EYear_O, BR$3&gt;0), BR$3 * VLOOKUP($A67, Data_All!$A$8:$CA$153, MATCH(BR$2, Data_All!$B$2:$CA$2, 0)+1), "")</f>
        <v/>
      </c>
      <c r="BS67" s="206" t="str">
        <f>IF(AND($A67&gt;=SYear_O, $A67&lt;=EYear_O, BS$3&gt;0), BS$3 * VLOOKUP($A67, Data_All!$A$8:$CA$153, MATCH(BS$2, Data_All!$B$2:$CA$2, 0)+1), "")</f>
        <v/>
      </c>
      <c r="BT67" s="206" t="str">
        <f>IF(AND($A67&gt;=SYear_O, $A67&lt;=EYear_O, BT$3&gt;0), BT$3 * VLOOKUP($A67, Data_All!$A$8:$CA$153, MATCH(BT$2, Data_All!$B$2:$CA$2, 0)+1), "")</f>
        <v/>
      </c>
      <c r="BU67" s="206" t="str">
        <f>IF(AND($A67&gt;=SYear_O, $A67&lt;=EYear_O, BU$3&gt;0), BU$3 * VLOOKUP($A67, Data_All!$A$8:$CA$153, MATCH(BU$2, Data_All!$B$2:$CA$2, 0)+1), "")</f>
        <v/>
      </c>
      <c r="BV67" s="206" t="str">
        <f>IF(AND($A67&gt;=SYear_O, $A67&lt;=EYear_O, BV$3&gt;0), BV$3 * VLOOKUP($A67, Data_All!$A$8:$CA$153, MATCH(BV$2, Data_All!$B$2:$CA$2, 0)+1), "")</f>
        <v/>
      </c>
      <c r="BW67" s="206" t="str">
        <f>IF(AND($A67&gt;=SYear_O, $A67&lt;=EYear_O, BW$3&gt;0), BW$3 * VLOOKUP($A67, Data_All!$A$8:$CA$153, MATCH(BW$2, Data_All!$B$2:$CA$2, 0)+1), "")</f>
        <v/>
      </c>
      <c r="BX67" s="206">
        <f>IF(AND($A67&gt;=SYear_O, $A67&lt;=EYear_O, BX$3&gt;0), BX$3 * VLOOKUP($A67, Data_All!$A$8:$CA$153, MATCH(BX$2, Data_All!$B$2:$CA$2, 0)+1), "")</f>
        <v>-25.757196495619525</v>
      </c>
      <c r="BY67" s="206">
        <f>IF(AND($A67&gt;=SYear_O, $A67&lt;=EYear_O, BY$3&gt;0), BY$3 * VLOOKUP($A67, Data_All!$A$8:$CA$153, MATCH(BY$2, Data_All!$B$2:$CA$2, 0)+1), "")</f>
        <v>0.32104394408992043</v>
      </c>
      <c r="BZ67" s="206" t="str">
        <f>IF(AND($A67&gt;=SYear_O, $A67&lt;=EYear_O, BZ$3&gt;0), BZ$3 * VLOOKUP($A67, Data_All!$A$8:$CA$153, MATCH(BZ$2, Data_All!$B$2:$CA$2, 0)+1), "")</f>
        <v/>
      </c>
      <c r="CA67" s="565">
        <f t="shared" si="19"/>
        <v>-25.436152551529602</v>
      </c>
      <c r="CB67" s="427">
        <f t="shared" si="20"/>
        <v>310468.57194130402</v>
      </c>
      <c r="CC67" s="565">
        <f>IF(AND($A67&gt;=SYear_O,$A67&lt;=EYear_O),(CA67-Data_All!CA68)/(1+Data_All!CA68%),"")</f>
        <v>-17.093344445407041</v>
      </c>
      <c r="CD67" s="436">
        <f t="shared" si="21"/>
        <v>270608.33701113996</v>
      </c>
      <c r="CE67" s="438">
        <f t="shared" si="22"/>
        <v>28.159263136052068</v>
      </c>
      <c r="CF67" s="438">
        <f>IF(AND($A67&gt;=SYear_O,$A67&lt;=EYear_O),MAX($CE$7:CE67),"")</f>
        <v>43.198046670106592</v>
      </c>
      <c r="CG67" s="209">
        <f t="shared" si="23"/>
        <v>0.34813573050888635</v>
      </c>
      <c r="CI67" s="143">
        <f>IF(AND($A67&gt;=SYear_O,$A67&lt;=EYear_O),Data_All!V68,"")</f>
        <v>2.3378958936956744</v>
      </c>
      <c r="CJ67" s="143">
        <f>IF(AND($A67&gt;=SYear_O,$A67&lt;=EYear_O),Data_All!CA68,"")</f>
        <v>-10.062893081761004</v>
      </c>
      <c r="CK67" s="143">
        <f t="shared" si="24"/>
        <v>13.788289839843438</v>
      </c>
      <c r="CN67" s="61">
        <f t="shared" si="25"/>
        <v>-0.25436152551529601</v>
      </c>
      <c r="CO67" s="61">
        <f t="shared" si="26"/>
        <v>-4.1328228518537902E-3</v>
      </c>
      <c r="CP67" s="61">
        <f t="shared" si="27"/>
        <v>5.0942723933708134E-2</v>
      </c>
      <c r="CQ67" s="61">
        <f t="shared" si="28"/>
        <v>3.4360550099485021E-2</v>
      </c>
      <c r="CR67" s="61">
        <f t="shared" si="29"/>
        <v>6.0750572078087206E-2</v>
      </c>
      <c r="CU67" s="61">
        <f t="shared" si="30"/>
        <v>-0.17093344445407044</v>
      </c>
      <c r="CV67" s="61">
        <f t="shared" si="31"/>
        <v>5.9601301431474019E-2</v>
      </c>
      <c r="CW67" s="61">
        <f t="shared" si="32"/>
        <v>8.1141791563837495E-2</v>
      </c>
      <c r="CX67" s="61">
        <f t="shared" si="33"/>
        <v>4.6862756812234618E-2</v>
      </c>
      <c r="CY67" s="61">
        <f t="shared" si="34"/>
        <v>5.1239466302889891E-2</v>
      </c>
    </row>
    <row r="68" spans="1:103">
      <c r="A68" s="204">
        <f t="shared" si="18"/>
        <v>1932</v>
      </c>
      <c r="B68" s="206" t="str">
        <f>IF(AND($A68&gt;=SYear_O, $A68&lt;=EYear_O, B$3&gt;0), B$3 * VLOOKUP($A68, Data_All!$A$8:$CA$153, MATCH(B$2, Data_All!$B$2:$CA$2, 0)+1), "")</f>
        <v/>
      </c>
      <c r="C68" s="206" t="str">
        <f>IF(AND($A68&gt;=SYear_O, $A68&lt;=EYear_O, C$3&gt;0), C$3 * VLOOKUP($A68, Data_All!$A$8:$CA$153, MATCH(C$2, Data_All!$B$2:$CA$2, 0)+1), "")</f>
        <v/>
      </c>
      <c r="D68" s="206" t="str">
        <f>IF(AND($A68&gt;=SYear_O, $A68&lt;=EYear_O, D$3&gt;0), D$3 * VLOOKUP($A68, Data_All!$A$8:$CA$153, MATCH(D$2, Data_All!$B$2:$CA$2, 0)+1), "")</f>
        <v/>
      </c>
      <c r="E68" s="206" t="str">
        <f>IF(AND($A68&gt;=SYear_O, $A68&lt;=EYear_O, E$3&gt;0), E$3 * VLOOKUP($A68, Data_All!$A$8:$CA$153, MATCH(E$2, Data_All!$B$2:$CA$2, 0)+1), "")</f>
        <v/>
      </c>
      <c r="F68" s="206" t="str">
        <f>IF(AND($A68&gt;=SYear_O, $A68&lt;=EYear_O, F$3&gt;0), F$3 * VLOOKUP($A68, Data_All!$A$8:$CA$153, MATCH(F$2, Data_All!$B$2:$CA$2, 0)+1), "")</f>
        <v/>
      </c>
      <c r="G68" s="206" t="str">
        <f>IF(AND($A68&gt;=SYear_O, $A68&lt;=EYear_O, G$3&gt;0), G$3 * VLOOKUP($A68, Data_All!$A$8:$CA$153, MATCH(G$2, Data_All!$B$2:$CA$2, 0)+1), "")</f>
        <v/>
      </c>
      <c r="H68" s="206" t="str">
        <f>IF(AND($A68&gt;=SYear_O, $A68&lt;=EYear_O, H$3&gt;0), H$3 * VLOOKUP($A68, Data_All!$A$8:$CA$153, MATCH(H$2, Data_All!$B$2:$CA$2, 0)+1), "")</f>
        <v/>
      </c>
      <c r="I68" s="206" t="str">
        <f>IF(AND($A68&gt;=SYear_O, $A68&lt;=EYear_O, I$3&gt;0), I$3 * VLOOKUP($A68, Data_All!$A$8:$CA$153, MATCH(I$2, Data_All!$B$2:$CA$2, 0)+1), "")</f>
        <v/>
      </c>
      <c r="J68" s="206" t="str">
        <f>IF(AND($A68&gt;=SYear_O, $A68&lt;=EYear_O, J$3&gt;0), J$3 * VLOOKUP($A68, Data_All!$A$8:$CA$153, MATCH(J$2, Data_All!$B$2:$CA$2, 0)+1), "")</f>
        <v/>
      </c>
      <c r="K68" s="206" t="str">
        <f>IF(AND($A68&gt;=SYear_O, $A68&lt;=EYear_O, K$3&gt;0), K$3 * VLOOKUP($A68, Data_All!$A$8:$CA$153, MATCH(K$2, Data_All!$B$2:$CA$2, 0)+1), "")</f>
        <v/>
      </c>
      <c r="L68" s="206" t="str">
        <f>IF(AND($A68&gt;=SYear_O, $A68&lt;=EYear_O, L$3&gt;0), L$3 * VLOOKUP($A68, Data_All!$A$8:$CA$153, MATCH(L$2, Data_All!$B$2:$CA$2, 0)+1), "")</f>
        <v/>
      </c>
      <c r="M68" s="206" t="str">
        <f>IF(AND($A68&gt;=SYear_O, $A68&lt;=EYear_O, M$3&gt;0), M$3 * VLOOKUP($A68, Data_All!$A$8:$CA$153, MATCH(M$2, Data_All!$B$2:$CA$2, 0)+1), "")</f>
        <v/>
      </c>
      <c r="N68" s="206" t="str">
        <f>IF(AND($A68&gt;=SYear_O, $A68&lt;=EYear_O, N$3&gt;0), N$3 * VLOOKUP($A68, Data_All!$A$8:$CA$153, MATCH(N$2, Data_All!$B$2:$CA$2, 0)+1), "")</f>
        <v/>
      </c>
      <c r="O68" s="206" t="str">
        <f>IF(AND($A68&gt;=SYear_O, $A68&lt;=EYear_O, O$3&gt;0), O$3 * VLOOKUP($A68, Data_All!$A$8:$CA$153, MATCH(O$2, Data_All!$B$2:$CA$2, 0)+1), "")</f>
        <v/>
      </c>
      <c r="P68" s="206" t="str">
        <f>IF(AND($A68&gt;=SYear_O, $A68&lt;=EYear_O, P$3&gt;0), P$3 * VLOOKUP($A68, Data_All!$A$8:$CA$153, MATCH(P$2, Data_All!$B$2:$CA$2, 0)+1), "")</f>
        <v/>
      </c>
      <c r="Q68" s="206" t="str">
        <f>IF(AND($A68&gt;=SYear_O, $A68&lt;=EYear_O, Q$3&gt;0), Q$3 * VLOOKUP($A68, Data_All!$A$8:$CA$153, MATCH(Q$2, Data_All!$B$2:$CA$2, 0)+1), "")</f>
        <v/>
      </c>
      <c r="R68" s="206" t="str">
        <f>IF(AND($A68&gt;=SYear_O, $A68&lt;=EYear_O, R$3&gt;0), R$3 * VLOOKUP($A68, Data_All!$A$8:$CA$153, MATCH(R$2, Data_All!$B$2:$CA$2, 0)+1), "")</f>
        <v/>
      </c>
      <c r="S68" s="206" t="str">
        <f>IF(AND($A68&gt;=SYear_O, $A68&lt;=EYear_O, S$3&gt;0), S$3 * VLOOKUP($A68, Data_All!$A$8:$CA$153, MATCH(S$2, Data_All!$B$2:$CA$2, 0)+1), "")</f>
        <v/>
      </c>
      <c r="T68" s="206" t="str">
        <f>IF(AND($A68&gt;=SYear_O, $A68&lt;=EYear_O, T$3&gt;0), T$3 * VLOOKUP($A68, Data_All!$A$8:$CA$153, MATCH(T$2, Data_All!$B$2:$CA$2, 0)+1), "")</f>
        <v/>
      </c>
      <c r="U68" s="206" t="str">
        <f>IF(AND($A68&gt;=SYear_O, $A68&lt;=EYear_O, U$3&gt;0), U$3 * VLOOKUP($A68, Data_All!$A$8:$CA$153, MATCH(U$2, Data_All!$B$2:$CA$2, 0)+1), "")</f>
        <v/>
      </c>
      <c r="V68" s="206" t="str">
        <f>IF(AND($A68&gt;=SYear_O, $A68&lt;=EYear_O, V$3&gt;0), V$3 * VLOOKUP($A68, Data_All!$A$8:$CA$153, MATCH(V$2, Data_All!$B$2:$CA$2, 0)+1), "")</f>
        <v/>
      </c>
      <c r="W68" s="206" t="str">
        <f>IF(AND($A68&gt;=SYear_O, $A68&lt;=EYear_O, W$3&gt;0), W$3 * VLOOKUP($A68, Data_All!$A$8:$CA$153, MATCH(W$2, Data_All!$B$2:$CA$2, 0)+1), "")</f>
        <v/>
      </c>
      <c r="X68" s="206" t="str">
        <f>IF(AND($A68&gt;=SYear_O, $A68&lt;=EYear_O, X$3&gt;0), X$3 * VLOOKUP($A68, Data_All!$A$8:$CA$153, MATCH(X$2, Data_All!$B$2:$CA$2, 0)+1), "")</f>
        <v/>
      </c>
      <c r="Y68" s="206" t="str">
        <f>IF(AND($A68&gt;=SYear_O, $A68&lt;=EYear_O, Y$3&gt;0), Y$3 * VLOOKUP($A68, Data_All!$A$8:$CA$153, MATCH(Y$2, Data_All!$B$2:$CA$2, 0)+1), "")</f>
        <v/>
      </c>
      <c r="Z68" s="206" t="str">
        <f>IF(AND($A68&gt;=SYear_O, $A68&lt;=EYear_O, Z$3&gt;0), Z$3 * VLOOKUP($A68, Data_All!$A$8:$CA$153, MATCH(Z$2, Data_All!$B$2:$CA$2, 0)+1), "")</f>
        <v/>
      </c>
      <c r="AA68" s="206" t="str">
        <f>IF(AND($A68&gt;=SYear_O, $A68&lt;=EYear_O, AA$3&gt;0), AA$3 * VLOOKUP($A68, Data_All!$A$8:$CA$153, MATCH(AA$2, Data_All!$B$2:$CA$2, 0)+1), "")</f>
        <v/>
      </c>
      <c r="AB68" s="206" t="str">
        <f>IF(AND($A68&gt;=SYear_O, $A68&lt;=EYear_O, AB$3&gt;0), AB$3 * VLOOKUP($A68, Data_All!$A$8:$CA$153, MATCH(AB$2, Data_All!$B$2:$CA$2, 0)+1), "")</f>
        <v/>
      </c>
      <c r="AC68" s="206" t="str">
        <f>IF(AND($A68&gt;=SYear_O, $A68&lt;=EYear_O, AC$3&gt;0), AC$3 * VLOOKUP($A68, Data_All!$A$8:$CA$153, MATCH(AC$2, Data_All!$B$2:$CA$2, 0)+1), "")</f>
        <v/>
      </c>
      <c r="AD68" s="206" t="str">
        <f>IF(AND($A68&gt;=SYear_O, $A68&lt;=EYear_O, AD$3&gt;0), AD$3 * VLOOKUP($A68, Data_All!$A$8:$CA$153, MATCH(AD$2, Data_All!$B$2:$CA$2, 0)+1), "")</f>
        <v/>
      </c>
      <c r="AE68" s="206" t="str">
        <f>IF(AND($A68&gt;=SYear_O, $A68&lt;=EYear_O, AE$3&gt;0), AE$3 * VLOOKUP($A68, Data_All!$A$8:$CA$153, MATCH(AE$2, Data_All!$B$2:$CA$2, 0)+1), "")</f>
        <v/>
      </c>
      <c r="AF68" s="206" t="str">
        <f>IF(AND($A68&gt;=SYear_O, $A68&lt;=EYear_O, AF$3&gt;0), AF$3 * VLOOKUP($A68, Data_All!$A$8:$CA$153, MATCH(AF$2, Data_All!$B$2:$CA$2, 0)+1), "")</f>
        <v/>
      </c>
      <c r="AG68" s="206" t="str">
        <f>IF(AND($A68&gt;=SYear_O, $A68&lt;=EYear_O, AG$3&gt;0), AG$3 * VLOOKUP($A68, Data_All!$A$8:$CA$153, MATCH(AG$2, Data_All!$B$2:$CA$2, 0)+1), "")</f>
        <v/>
      </c>
      <c r="AH68" s="206" t="str">
        <f>IF(AND($A68&gt;=SYear_O, $A68&lt;=EYear_O, AH$3&gt;0), AH$3 * VLOOKUP($A68, Data_All!$A$8:$CA$153, MATCH(AH$2, Data_All!$B$2:$CA$2, 0)+1), "")</f>
        <v/>
      </c>
      <c r="AI68" s="206" t="str">
        <f>IF(AND($A68&gt;=SYear_O, $A68&lt;=EYear_O, AI$3&gt;0), AI$3 * VLOOKUP($A68, Data_All!$A$8:$CA$153, MATCH(AI$2, Data_All!$B$2:$CA$2, 0)+1), "")</f>
        <v/>
      </c>
      <c r="AJ68" s="206" t="str">
        <f>IF(AND($A68&gt;=SYear_O, $A68&lt;=EYear_O, AJ$3&gt;0), AJ$3 * VLOOKUP($A68, Data_All!$A$8:$CA$153, MATCH(AJ$2, Data_All!$B$2:$CA$2, 0)+1), "")</f>
        <v/>
      </c>
      <c r="AK68" s="206" t="str">
        <f>IF(AND($A68&gt;=SYear_O, $A68&lt;=EYear_O, AK$3&gt;0), AK$3 * VLOOKUP($A68, Data_All!$A$8:$CA$153, MATCH(AK$2, Data_All!$B$2:$CA$2, 0)+1), "")</f>
        <v/>
      </c>
      <c r="AL68" s="206" t="str">
        <f>IF(AND($A68&gt;=SYear_O, $A68&lt;=EYear_O, AL$3&gt;0), AL$3 * VLOOKUP($A68, Data_All!$A$8:$CA$153, MATCH(AL$2, Data_All!$B$2:$CA$2, 0)+1), "")</f>
        <v/>
      </c>
      <c r="AM68" s="206" t="str">
        <f>IF(AND($A68&gt;=SYear_O, $A68&lt;=EYear_O, AM$3&gt;0), AM$3 * VLOOKUP($A68, Data_All!$A$8:$CA$153, MATCH(AM$2, Data_All!$B$2:$CA$2, 0)+1), "")</f>
        <v/>
      </c>
      <c r="AN68" s="206" t="str">
        <f>IF(AND($A68&gt;=SYear_O, $A68&lt;=EYear_O, AN$3&gt;0), AN$3 * VLOOKUP($A68, Data_All!$A$8:$CA$153, MATCH(AN$2, Data_All!$B$2:$CA$2, 0)+1), "")</f>
        <v/>
      </c>
      <c r="AO68" s="206" t="str">
        <f>IF(AND($A68&gt;=SYear_O, $A68&lt;=EYear_O, AO$3&gt;0), AO$3 * VLOOKUP($A68, Data_All!$A$8:$CA$153, MATCH(AO$2, Data_All!$B$2:$CA$2, 0)+1), "")</f>
        <v/>
      </c>
      <c r="AP68" s="206" t="str">
        <f>IF(AND($A68&gt;=SYear_O, $A68&lt;=EYear_O, AP$3&gt;0), AP$3 * VLOOKUP($A68, Data_All!$A$8:$CA$153, MATCH(AP$2, Data_All!$B$2:$CA$2, 0)+1), "")</f>
        <v/>
      </c>
      <c r="AQ68" s="206" t="str">
        <f>IF(AND($A68&gt;=SYear_O, $A68&lt;=EYear_O, AQ$3&gt;0), AQ$3 * VLOOKUP($A68, Data_All!$A$8:$CA$153, MATCH(AQ$2, Data_All!$B$2:$CA$2, 0)+1), "")</f>
        <v/>
      </c>
      <c r="AR68" s="206" t="str">
        <f>IF(AND($A68&gt;=SYear_O, $A68&lt;=EYear_O, AR$3&gt;0), AR$3 * VLOOKUP($A68, Data_All!$A$8:$CA$153, MATCH(AR$2, Data_All!$B$2:$CA$2, 0)+1), "")</f>
        <v/>
      </c>
      <c r="AS68" s="206" t="str">
        <f>IF(AND($A68&gt;=SYear_O, $A68&lt;=EYear_O, AS$3&gt;0), AS$3 * VLOOKUP($A68, Data_All!$A$8:$CA$153, MATCH(AS$2, Data_All!$B$2:$CA$2, 0)+1), "")</f>
        <v/>
      </c>
      <c r="AT68" s="206" t="str">
        <f>IF(AND($A68&gt;=SYear_O, $A68&lt;=EYear_O, AT$3&gt;0), AT$3 * VLOOKUP($A68, Data_All!$A$8:$CA$153, MATCH(AT$2, Data_All!$B$2:$CA$2, 0)+1), "")</f>
        <v/>
      </c>
      <c r="AU68" s="206" t="str">
        <f>IF(AND($A68&gt;=SYear_O, $A68&lt;=EYear_O, AU$3&gt;0), AU$3 * VLOOKUP($A68, Data_All!$A$8:$CA$153, MATCH(AU$2, Data_All!$B$2:$CA$2, 0)+1), "")</f>
        <v/>
      </c>
      <c r="AV68" s="206" t="str">
        <f>IF(AND($A68&gt;=SYear_O, $A68&lt;=EYear_O, AV$3&gt;0), AV$3 * VLOOKUP($A68, Data_All!$A$8:$CA$153, MATCH(AV$2, Data_All!$B$2:$CA$2, 0)+1), "")</f>
        <v/>
      </c>
      <c r="AW68" s="206" t="str">
        <f>IF(AND($A68&gt;=SYear_O, $A68&lt;=EYear_O, AW$3&gt;0), AW$3 * VLOOKUP($A68, Data_All!$A$8:$CA$153, MATCH(AW$2, Data_All!$B$2:$CA$2, 0)+1), "")</f>
        <v/>
      </c>
      <c r="AX68" s="206" t="str">
        <f>IF(AND($A68&gt;=SYear_O, $A68&lt;=EYear_O, AX$3&gt;0), AX$3 * VLOOKUP($A68, Data_All!$A$8:$CA$153, MATCH(AX$2, Data_All!$B$2:$CA$2, 0)+1), "")</f>
        <v/>
      </c>
      <c r="AY68" s="206" t="str">
        <f>IF(AND($A68&gt;=SYear_O, $A68&lt;=EYear_O, AY$3&gt;0), AY$3 * VLOOKUP($A68, Data_All!$A$8:$CA$153, MATCH(AY$2, Data_All!$B$2:$CA$2, 0)+1), "")</f>
        <v/>
      </c>
      <c r="AZ68" s="206" t="str">
        <f>IF(AND($A68&gt;=SYear_O, $A68&lt;=EYear_O, AZ$3&gt;0), AZ$3 * VLOOKUP($A68, Data_All!$A$8:$CA$153, MATCH(AZ$2, Data_All!$B$2:$CA$2, 0)+1), "")</f>
        <v/>
      </c>
      <c r="BA68" s="206" t="str">
        <f>IF(AND($A68&gt;=SYear_O, $A68&lt;=EYear_O, BA$3&gt;0), BA$3 * VLOOKUP($A68, Data_All!$A$8:$CA$153, MATCH(BA$2, Data_All!$B$2:$CA$2, 0)+1), "")</f>
        <v/>
      </c>
      <c r="BB68" s="206" t="str">
        <f>IF(AND($A68&gt;=SYear_O, $A68&lt;=EYear_O, BB$3&gt;0), BB$3 * VLOOKUP($A68, Data_All!$A$8:$CA$153, MATCH(BB$2, Data_All!$B$2:$CA$2, 0)+1), "")</f>
        <v/>
      </c>
      <c r="BC68" s="206" t="str">
        <f>IF(AND($A68&gt;=SYear_O, $A68&lt;=EYear_O, BC$3&gt;0), BC$3 * VLOOKUP($A68, Data_All!$A$8:$CA$153, MATCH(BC$2, Data_All!$B$2:$CA$2, 0)+1), "")</f>
        <v/>
      </c>
      <c r="BD68" s="206" t="str">
        <f>IF(AND($A68&gt;=SYear_O, $A68&lt;=EYear_O, BD$3&gt;0), BD$3 * VLOOKUP($A68, Data_All!$A$8:$CA$153, MATCH(BD$2, Data_All!$B$2:$CA$2, 0)+1), "")</f>
        <v/>
      </c>
      <c r="BE68" s="206" t="str">
        <f>IF(AND($A68&gt;=SYear_O, $A68&lt;=EYear_O, BE$3&gt;0), BE$3 * VLOOKUP($A68, Data_All!$A$8:$CA$153, MATCH(BE$2, Data_All!$B$2:$CA$2, 0)+1), "")</f>
        <v/>
      </c>
      <c r="BF68" s="206" t="str">
        <f>IF(AND($A68&gt;=SYear_O, $A68&lt;=EYear_O, BF$3&gt;0), BF$3 * VLOOKUP($A68, Data_All!$A$8:$CA$153, MATCH(BF$2, Data_All!$B$2:$CA$2, 0)+1), "")</f>
        <v/>
      </c>
      <c r="BG68" s="206" t="str">
        <f>IF(AND($A68&gt;=SYear_O, $A68&lt;=EYear_O, BG$3&gt;0), BG$3 * VLOOKUP($A68, Data_All!$A$8:$CA$153, MATCH(BG$2, Data_All!$B$2:$CA$2, 0)+1), "")</f>
        <v/>
      </c>
      <c r="BH68" s="206" t="str">
        <f>IF(AND($A68&gt;=SYear_O, $A68&lt;=EYear_O, BH$3&gt;0), BH$3 * VLOOKUP($A68, Data_All!$A$8:$CA$153, MATCH(BH$2, Data_All!$B$2:$CA$2, 0)+1), "")</f>
        <v/>
      </c>
      <c r="BI68" s="206" t="str">
        <f>IF(AND($A68&gt;=SYear_O, $A68&lt;=EYear_O, BI$3&gt;0), BI$3 * VLOOKUP($A68, Data_All!$A$8:$CA$153, MATCH(BI$2, Data_All!$B$2:$CA$2, 0)+1), "")</f>
        <v/>
      </c>
      <c r="BJ68" s="206" t="str">
        <f>IF(AND($A68&gt;=SYear_O, $A68&lt;=EYear_O, BJ$3&gt;0), BJ$3 * VLOOKUP($A68, Data_All!$A$8:$CA$153, MATCH(BJ$2, Data_All!$B$2:$CA$2, 0)+1), "")</f>
        <v/>
      </c>
      <c r="BK68" s="206" t="str">
        <f>IF(AND($A68&gt;=SYear_O, $A68&lt;=EYear_O, BK$3&gt;0), BK$3 * VLOOKUP($A68, Data_All!$A$8:$CA$153, MATCH(BK$2, Data_All!$B$2:$CA$2, 0)+1), "")</f>
        <v/>
      </c>
      <c r="BL68" s="206" t="str">
        <f>IF(AND($A68&gt;=SYear_O, $A68&lt;=EYear_O, BL$3&gt;0), BL$3 * VLOOKUP($A68, Data_All!$A$8:$CA$153, MATCH(BL$2, Data_All!$B$2:$CA$2, 0)+1), "")</f>
        <v/>
      </c>
      <c r="BM68" s="206" t="str">
        <f>IF(AND($A68&gt;=SYear_O, $A68&lt;=EYear_O, BM$3&gt;0), BM$3 * VLOOKUP($A68, Data_All!$A$8:$CA$153, MATCH(BM$2, Data_All!$B$2:$CA$2, 0)+1), "")</f>
        <v/>
      </c>
      <c r="BN68" s="206" t="str">
        <f>IF(AND($A68&gt;=SYear_O, $A68&lt;=EYear_O, BN$3&gt;0), BN$3 * VLOOKUP($A68, Data_All!$A$8:$CA$153, MATCH(BN$2, Data_All!$B$2:$CA$2, 0)+1), "")</f>
        <v/>
      </c>
      <c r="BO68" s="206" t="str">
        <f>IF(AND($A68&gt;=SYear_O, $A68&lt;=EYear_O, BO$3&gt;0), BO$3 * VLOOKUP($A68, Data_All!$A$8:$CA$153, MATCH(BO$2, Data_All!$B$2:$CA$2, 0)+1), "")</f>
        <v/>
      </c>
      <c r="BP68" s="206" t="str">
        <f>IF(AND($A68&gt;=SYear_O, $A68&lt;=EYear_O, BP$3&gt;0), BP$3 * VLOOKUP($A68, Data_All!$A$8:$CA$153, MATCH(BP$2, Data_All!$B$2:$CA$2, 0)+1), "")</f>
        <v/>
      </c>
      <c r="BQ68" s="206" t="str">
        <f>IF(AND($A68&gt;=SYear_O, $A68&lt;=EYear_O, BQ$3&gt;0), BQ$3 * VLOOKUP($A68, Data_All!$A$8:$CA$153, MATCH(BQ$2, Data_All!$B$2:$CA$2, 0)+1), "")</f>
        <v/>
      </c>
      <c r="BR68" s="206" t="str">
        <f>IF(AND($A68&gt;=SYear_O, $A68&lt;=EYear_O, BR$3&gt;0), BR$3 * VLOOKUP($A68, Data_All!$A$8:$CA$153, MATCH(BR$2, Data_All!$B$2:$CA$2, 0)+1), "")</f>
        <v/>
      </c>
      <c r="BS68" s="206" t="str">
        <f>IF(AND($A68&gt;=SYear_O, $A68&lt;=EYear_O, BS$3&gt;0), BS$3 * VLOOKUP($A68, Data_All!$A$8:$CA$153, MATCH(BS$2, Data_All!$B$2:$CA$2, 0)+1), "")</f>
        <v/>
      </c>
      <c r="BT68" s="206" t="str">
        <f>IF(AND($A68&gt;=SYear_O, $A68&lt;=EYear_O, BT$3&gt;0), BT$3 * VLOOKUP($A68, Data_All!$A$8:$CA$153, MATCH(BT$2, Data_All!$B$2:$CA$2, 0)+1), "")</f>
        <v/>
      </c>
      <c r="BU68" s="206" t="str">
        <f>IF(AND($A68&gt;=SYear_O, $A68&lt;=EYear_O, BU$3&gt;0), BU$3 * VLOOKUP($A68, Data_All!$A$8:$CA$153, MATCH(BU$2, Data_All!$B$2:$CA$2, 0)+1), "")</f>
        <v/>
      </c>
      <c r="BV68" s="206" t="str">
        <f>IF(AND($A68&gt;=SYear_O, $A68&lt;=EYear_O, BV$3&gt;0), BV$3 * VLOOKUP($A68, Data_All!$A$8:$CA$153, MATCH(BV$2, Data_All!$B$2:$CA$2, 0)+1), "")</f>
        <v/>
      </c>
      <c r="BW68" s="206" t="str">
        <f>IF(AND($A68&gt;=SYear_O, $A68&lt;=EYear_O, BW$3&gt;0), BW$3 * VLOOKUP($A68, Data_All!$A$8:$CA$153, MATCH(BW$2, Data_All!$B$2:$CA$2, 0)+1), "")</f>
        <v/>
      </c>
      <c r="BX68" s="206">
        <f>IF(AND($A68&gt;=SYear_O, $A68&lt;=EYear_O, BX$3&gt;0), BX$3 * VLOOKUP($A68, Data_All!$A$8:$CA$153, MATCH(BX$2, Data_All!$B$2:$CA$2, 0)+1), "")</f>
        <v>-5.1325301204819329</v>
      </c>
      <c r="BY68" s="206">
        <f>IF(AND($A68&gt;=SYear_O, $A68&lt;=EYear_O, BY$3&gt;0), BY$3 * VLOOKUP($A68, Data_All!$A$8:$CA$153, MATCH(BY$2, Data_All!$B$2:$CA$2, 0)+1), "")</f>
        <v>3.3434846489402048</v>
      </c>
      <c r="BZ68" s="206" t="str">
        <f>IF(AND($A68&gt;=SYear_O, $A68&lt;=EYear_O, BZ$3&gt;0), BZ$3 * VLOOKUP($A68, Data_All!$A$8:$CA$153, MATCH(BZ$2, Data_All!$B$2:$CA$2, 0)+1), "")</f>
        <v/>
      </c>
      <c r="CA68" s="565">
        <f t="shared" si="19"/>
        <v>-1.7890454715417281</v>
      </c>
      <c r="CB68" s="427">
        <f t="shared" si="20"/>
        <v>304914.14801442786</v>
      </c>
      <c r="CC68" s="565">
        <f>IF(AND($A68&gt;=SYear_O,$A68&lt;=EYear_O),(CA68-Data_All!CA69)/(1+Data_All!CA69%),"")</f>
        <v>8.8695077330971568</v>
      </c>
      <c r="CD68" s="436">
        <f t="shared" si="21"/>
        <v>294609.96438874863</v>
      </c>
      <c r="CE68" s="438">
        <f t="shared" si="22"/>
        <v>27.655481114097011</v>
      </c>
      <c r="CF68" s="438">
        <f>IF(AND($A68&gt;=SYear_O,$A68&lt;=EYear_O),MAX($CE$7:CE68),"")</f>
        <v>43.198046670106592</v>
      </c>
      <c r="CG68" s="209">
        <f t="shared" si="23"/>
        <v>0.35979787870281565</v>
      </c>
      <c r="CI68" s="143">
        <f>IF(AND($A68&gt;=SYear_O,$A68&lt;=EYear_O),Data_All!V69,"")</f>
        <v>3.2670596463183137</v>
      </c>
      <c r="CJ68" s="143">
        <f>IF(AND($A68&gt;=SYear_O,$A68&lt;=EYear_O),Data_All!CA69,"")</f>
        <v>-9.7902097902097918</v>
      </c>
      <c r="CK68" s="143">
        <f t="shared" si="24"/>
        <v>14.474337437391622</v>
      </c>
      <c r="CN68" s="61">
        <f t="shared" si="25"/>
        <v>-1.7890454715417281E-2</v>
      </c>
      <c r="CO68" s="61">
        <f t="shared" si="26"/>
        <v>8.7822174395488339E-2</v>
      </c>
      <c r="CP68" s="61">
        <f t="shared" si="27"/>
        <v>0.15749764560216106</v>
      </c>
      <c r="CQ68" s="61">
        <f t="shared" si="28"/>
        <v>5.9731165255672902E-2</v>
      </c>
      <c r="CR68" s="61">
        <f t="shared" si="29"/>
        <v>7.7015291141923736E-2</v>
      </c>
      <c r="CU68" s="61">
        <f t="shared" si="30"/>
        <v>8.8695077330971595E-2</v>
      </c>
      <c r="CV68" s="61">
        <f t="shared" si="31"/>
        <v>0.10617443456118969</v>
      </c>
      <c r="CW68" s="61">
        <f t="shared" si="32"/>
        <v>0.16076285305315663</v>
      </c>
      <c r="CX68" s="61">
        <f t="shared" si="33"/>
        <v>4.9879232371456528E-2</v>
      </c>
      <c r="CY68" s="61">
        <f t="shared" si="34"/>
        <v>4.8129733193277735E-2</v>
      </c>
    </row>
    <row r="69" spans="1:103">
      <c r="A69" s="204">
        <f t="shared" si="18"/>
        <v>1933</v>
      </c>
      <c r="B69" s="206" t="str">
        <f>IF(AND($A69&gt;=SYear_O, $A69&lt;=EYear_O, B$3&gt;0), B$3 * VLOOKUP($A69, Data_All!$A$8:$CA$153, MATCH(B$2, Data_All!$B$2:$CA$2, 0)+1), "")</f>
        <v/>
      </c>
      <c r="C69" s="206" t="str">
        <f>IF(AND($A69&gt;=SYear_O, $A69&lt;=EYear_O, C$3&gt;0), C$3 * VLOOKUP($A69, Data_All!$A$8:$CA$153, MATCH(C$2, Data_All!$B$2:$CA$2, 0)+1), "")</f>
        <v/>
      </c>
      <c r="D69" s="206" t="str">
        <f>IF(AND($A69&gt;=SYear_O, $A69&lt;=EYear_O, D$3&gt;0), D$3 * VLOOKUP($A69, Data_All!$A$8:$CA$153, MATCH(D$2, Data_All!$B$2:$CA$2, 0)+1), "")</f>
        <v/>
      </c>
      <c r="E69" s="206" t="str">
        <f>IF(AND($A69&gt;=SYear_O, $A69&lt;=EYear_O, E$3&gt;0), E$3 * VLOOKUP($A69, Data_All!$A$8:$CA$153, MATCH(E$2, Data_All!$B$2:$CA$2, 0)+1), "")</f>
        <v/>
      </c>
      <c r="F69" s="206" t="str">
        <f>IF(AND($A69&gt;=SYear_O, $A69&lt;=EYear_O, F$3&gt;0), F$3 * VLOOKUP($A69, Data_All!$A$8:$CA$153, MATCH(F$2, Data_All!$B$2:$CA$2, 0)+1), "")</f>
        <v/>
      </c>
      <c r="G69" s="206" t="str">
        <f>IF(AND($A69&gt;=SYear_O, $A69&lt;=EYear_O, G$3&gt;0), G$3 * VLOOKUP($A69, Data_All!$A$8:$CA$153, MATCH(G$2, Data_All!$B$2:$CA$2, 0)+1), "")</f>
        <v/>
      </c>
      <c r="H69" s="206" t="str">
        <f>IF(AND($A69&gt;=SYear_O, $A69&lt;=EYear_O, H$3&gt;0), H$3 * VLOOKUP($A69, Data_All!$A$8:$CA$153, MATCH(H$2, Data_All!$B$2:$CA$2, 0)+1), "")</f>
        <v/>
      </c>
      <c r="I69" s="206" t="str">
        <f>IF(AND($A69&gt;=SYear_O, $A69&lt;=EYear_O, I$3&gt;0), I$3 * VLOOKUP($A69, Data_All!$A$8:$CA$153, MATCH(I$2, Data_All!$B$2:$CA$2, 0)+1), "")</f>
        <v/>
      </c>
      <c r="J69" s="206" t="str">
        <f>IF(AND($A69&gt;=SYear_O, $A69&lt;=EYear_O, J$3&gt;0), J$3 * VLOOKUP($A69, Data_All!$A$8:$CA$153, MATCH(J$2, Data_All!$B$2:$CA$2, 0)+1), "")</f>
        <v/>
      </c>
      <c r="K69" s="206" t="str">
        <f>IF(AND($A69&gt;=SYear_O, $A69&lt;=EYear_O, K$3&gt;0), K$3 * VLOOKUP($A69, Data_All!$A$8:$CA$153, MATCH(K$2, Data_All!$B$2:$CA$2, 0)+1), "")</f>
        <v/>
      </c>
      <c r="L69" s="206" t="str">
        <f>IF(AND($A69&gt;=SYear_O, $A69&lt;=EYear_O, L$3&gt;0), L$3 * VLOOKUP($A69, Data_All!$A$8:$CA$153, MATCH(L$2, Data_All!$B$2:$CA$2, 0)+1), "")</f>
        <v/>
      </c>
      <c r="M69" s="206" t="str">
        <f>IF(AND($A69&gt;=SYear_O, $A69&lt;=EYear_O, M$3&gt;0), M$3 * VLOOKUP($A69, Data_All!$A$8:$CA$153, MATCH(M$2, Data_All!$B$2:$CA$2, 0)+1), "")</f>
        <v/>
      </c>
      <c r="N69" s="206" t="str">
        <f>IF(AND($A69&gt;=SYear_O, $A69&lt;=EYear_O, N$3&gt;0), N$3 * VLOOKUP($A69, Data_All!$A$8:$CA$153, MATCH(N$2, Data_All!$B$2:$CA$2, 0)+1), "")</f>
        <v/>
      </c>
      <c r="O69" s="206" t="str">
        <f>IF(AND($A69&gt;=SYear_O, $A69&lt;=EYear_O, O$3&gt;0), O$3 * VLOOKUP($A69, Data_All!$A$8:$CA$153, MATCH(O$2, Data_All!$B$2:$CA$2, 0)+1), "")</f>
        <v/>
      </c>
      <c r="P69" s="206" t="str">
        <f>IF(AND($A69&gt;=SYear_O, $A69&lt;=EYear_O, P$3&gt;0), P$3 * VLOOKUP($A69, Data_All!$A$8:$CA$153, MATCH(P$2, Data_All!$B$2:$CA$2, 0)+1), "")</f>
        <v/>
      </c>
      <c r="Q69" s="206" t="str">
        <f>IF(AND($A69&gt;=SYear_O, $A69&lt;=EYear_O, Q$3&gt;0), Q$3 * VLOOKUP($A69, Data_All!$A$8:$CA$153, MATCH(Q$2, Data_All!$B$2:$CA$2, 0)+1), "")</f>
        <v/>
      </c>
      <c r="R69" s="206" t="str">
        <f>IF(AND($A69&gt;=SYear_O, $A69&lt;=EYear_O, R$3&gt;0), R$3 * VLOOKUP($A69, Data_All!$A$8:$CA$153, MATCH(R$2, Data_All!$B$2:$CA$2, 0)+1), "")</f>
        <v/>
      </c>
      <c r="S69" s="206" t="str">
        <f>IF(AND($A69&gt;=SYear_O, $A69&lt;=EYear_O, S$3&gt;0), S$3 * VLOOKUP($A69, Data_All!$A$8:$CA$153, MATCH(S$2, Data_All!$B$2:$CA$2, 0)+1), "")</f>
        <v/>
      </c>
      <c r="T69" s="206" t="str">
        <f>IF(AND($A69&gt;=SYear_O, $A69&lt;=EYear_O, T$3&gt;0), T$3 * VLOOKUP($A69, Data_All!$A$8:$CA$153, MATCH(T$2, Data_All!$B$2:$CA$2, 0)+1), "")</f>
        <v/>
      </c>
      <c r="U69" s="206" t="str">
        <f>IF(AND($A69&gt;=SYear_O, $A69&lt;=EYear_O, U$3&gt;0), U$3 * VLOOKUP($A69, Data_All!$A$8:$CA$153, MATCH(U$2, Data_All!$B$2:$CA$2, 0)+1), "")</f>
        <v/>
      </c>
      <c r="V69" s="206" t="str">
        <f>IF(AND($A69&gt;=SYear_O, $A69&lt;=EYear_O, V$3&gt;0), V$3 * VLOOKUP($A69, Data_All!$A$8:$CA$153, MATCH(V$2, Data_All!$B$2:$CA$2, 0)+1), "")</f>
        <v/>
      </c>
      <c r="W69" s="206" t="str">
        <f>IF(AND($A69&gt;=SYear_O, $A69&lt;=EYear_O, W$3&gt;0), W$3 * VLOOKUP($A69, Data_All!$A$8:$CA$153, MATCH(W$2, Data_All!$B$2:$CA$2, 0)+1), "")</f>
        <v/>
      </c>
      <c r="X69" s="206" t="str">
        <f>IF(AND($A69&gt;=SYear_O, $A69&lt;=EYear_O, X$3&gt;0), X$3 * VLOOKUP($A69, Data_All!$A$8:$CA$153, MATCH(X$2, Data_All!$B$2:$CA$2, 0)+1), "")</f>
        <v/>
      </c>
      <c r="Y69" s="206" t="str">
        <f>IF(AND($A69&gt;=SYear_O, $A69&lt;=EYear_O, Y$3&gt;0), Y$3 * VLOOKUP($A69, Data_All!$A$8:$CA$153, MATCH(Y$2, Data_All!$B$2:$CA$2, 0)+1), "")</f>
        <v/>
      </c>
      <c r="Z69" s="206" t="str">
        <f>IF(AND($A69&gt;=SYear_O, $A69&lt;=EYear_O, Z$3&gt;0), Z$3 * VLOOKUP($A69, Data_All!$A$8:$CA$153, MATCH(Z$2, Data_All!$B$2:$CA$2, 0)+1), "")</f>
        <v/>
      </c>
      <c r="AA69" s="206" t="str">
        <f>IF(AND($A69&gt;=SYear_O, $A69&lt;=EYear_O, AA$3&gt;0), AA$3 * VLOOKUP($A69, Data_All!$A$8:$CA$153, MATCH(AA$2, Data_All!$B$2:$CA$2, 0)+1), "")</f>
        <v/>
      </c>
      <c r="AB69" s="206" t="str">
        <f>IF(AND($A69&gt;=SYear_O, $A69&lt;=EYear_O, AB$3&gt;0), AB$3 * VLOOKUP($A69, Data_All!$A$8:$CA$153, MATCH(AB$2, Data_All!$B$2:$CA$2, 0)+1), "")</f>
        <v/>
      </c>
      <c r="AC69" s="206" t="str">
        <f>IF(AND($A69&gt;=SYear_O, $A69&lt;=EYear_O, AC$3&gt;0), AC$3 * VLOOKUP($A69, Data_All!$A$8:$CA$153, MATCH(AC$2, Data_All!$B$2:$CA$2, 0)+1), "")</f>
        <v/>
      </c>
      <c r="AD69" s="206" t="str">
        <f>IF(AND($A69&gt;=SYear_O, $A69&lt;=EYear_O, AD$3&gt;0), AD$3 * VLOOKUP($A69, Data_All!$A$8:$CA$153, MATCH(AD$2, Data_All!$B$2:$CA$2, 0)+1), "")</f>
        <v/>
      </c>
      <c r="AE69" s="206" t="str">
        <f>IF(AND($A69&gt;=SYear_O, $A69&lt;=EYear_O, AE$3&gt;0), AE$3 * VLOOKUP($A69, Data_All!$A$8:$CA$153, MATCH(AE$2, Data_All!$B$2:$CA$2, 0)+1), "")</f>
        <v/>
      </c>
      <c r="AF69" s="206" t="str">
        <f>IF(AND($A69&gt;=SYear_O, $A69&lt;=EYear_O, AF$3&gt;0), AF$3 * VLOOKUP($A69, Data_All!$A$8:$CA$153, MATCH(AF$2, Data_All!$B$2:$CA$2, 0)+1), "")</f>
        <v/>
      </c>
      <c r="AG69" s="206" t="str">
        <f>IF(AND($A69&gt;=SYear_O, $A69&lt;=EYear_O, AG$3&gt;0), AG$3 * VLOOKUP($A69, Data_All!$A$8:$CA$153, MATCH(AG$2, Data_All!$B$2:$CA$2, 0)+1), "")</f>
        <v/>
      </c>
      <c r="AH69" s="206" t="str">
        <f>IF(AND($A69&gt;=SYear_O, $A69&lt;=EYear_O, AH$3&gt;0), AH$3 * VLOOKUP($A69, Data_All!$A$8:$CA$153, MATCH(AH$2, Data_All!$B$2:$CA$2, 0)+1), "")</f>
        <v/>
      </c>
      <c r="AI69" s="206" t="str">
        <f>IF(AND($A69&gt;=SYear_O, $A69&lt;=EYear_O, AI$3&gt;0), AI$3 * VLOOKUP($A69, Data_All!$A$8:$CA$153, MATCH(AI$2, Data_All!$B$2:$CA$2, 0)+1), "")</f>
        <v/>
      </c>
      <c r="AJ69" s="206" t="str">
        <f>IF(AND($A69&gt;=SYear_O, $A69&lt;=EYear_O, AJ$3&gt;0), AJ$3 * VLOOKUP($A69, Data_All!$A$8:$CA$153, MATCH(AJ$2, Data_All!$B$2:$CA$2, 0)+1), "")</f>
        <v/>
      </c>
      <c r="AK69" s="206" t="str">
        <f>IF(AND($A69&gt;=SYear_O, $A69&lt;=EYear_O, AK$3&gt;0), AK$3 * VLOOKUP($A69, Data_All!$A$8:$CA$153, MATCH(AK$2, Data_All!$B$2:$CA$2, 0)+1), "")</f>
        <v/>
      </c>
      <c r="AL69" s="206" t="str">
        <f>IF(AND($A69&gt;=SYear_O, $A69&lt;=EYear_O, AL$3&gt;0), AL$3 * VLOOKUP($A69, Data_All!$A$8:$CA$153, MATCH(AL$2, Data_All!$B$2:$CA$2, 0)+1), "")</f>
        <v/>
      </c>
      <c r="AM69" s="206" t="str">
        <f>IF(AND($A69&gt;=SYear_O, $A69&lt;=EYear_O, AM$3&gt;0), AM$3 * VLOOKUP($A69, Data_All!$A$8:$CA$153, MATCH(AM$2, Data_All!$B$2:$CA$2, 0)+1), "")</f>
        <v/>
      </c>
      <c r="AN69" s="206" t="str">
        <f>IF(AND($A69&gt;=SYear_O, $A69&lt;=EYear_O, AN$3&gt;0), AN$3 * VLOOKUP($A69, Data_All!$A$8:$CA$153, MATCH(AN$2, Data_All!$B$2:$CA$2, 0)+1), "")</f>
        <v/>
      </c>
      <c r="AO69" s="206" t="str">
        <f>IF(AND($A69&gt;=SYear_O, $A69&lt;=EYear_O, AO$3&gt;0), AO$3 * VLOOKUP($A69, Data_All!$A$8:$CA$153, MATCH(AO$2, Data_All!$B$2:$CA$2, 0)+1), "")</f>
        <v/>
      </c>
      <c r="AP69" s="206" t="str">
        <f>IF(AND($A69&gt;=SYear_O, $A69&lt;=EYear_O, AP$3&gt;0), AP$3 * VLOOKUP($A69, Data_All!$A$8:$CA$153, MATCH(AP$2, Data_All!$B$2:$CA$2, 0)+1), "")</f>
        <v/>
      </c>
      <c r="AQ69" s="206" t="str">
        <f>IF(AND($A69&gt;=SYear_O, $A69&lt;=EYear_O, AQ$3&gt;0), AQ$3 * VLOOKUP($A69, Data_All!$A$8:$CA$153, MATCH(AQ$2, Data_All!$B$2:$CA$2, 0)+1), "")</f>
        <v/>
      </c>
      <c r="AR69" s="206" t="str">
        <f>IF(AND($A69&gt;=SYear_O, $A69&lt;=EYear_O, AR$3&gt;0), AR$3 * VLOOKUP($A69, Data_All!$A$8:$CA$153, MATCH(AR$2, Data_All!$B$2:$CA$2, 0)+1), "")</f>
        <v/>
      </c>
      <c r="AS69" s="206" t="str">
        <f>IF(AND($A69&gt;=SYear_O, $A69&lt;=EYear_O, AS$3&gt;0), AS$3 * VLOOKUP($A69, Data_All!$A$8:$CA$153, MATCH(AS$2, Data_All!$B$2:$CA$2, 0)+1), "")</f>
        <v/>
      </c>
      <c r="AT69" s="206" t="str">
        <f>IF(AND($A69&gt;=SYear_O, $A69&lt;=EYear_O, AT$3&gt;0), AT$3 * VLOOKUP($A69, Data_All!$A$8:$CA$153, MATCH(AT$2, Data_All!$B$2:$CA$2, 0)+1), "")</f>
        <v/>
      </c>
      <c r="AU69" s="206" t="str">
        <f>IF(AND($A69&gt;=SYear_O, $A69&lt;=EYear_O, AU$3&gt;0), AU$3 * VLOOKUP($A69, Data_All!$A$8:$CA$153, MATCH(AU$2, Data_All!$B$2:$CA$2, 0)+1), "")</f>
        <v/>
      </c>
      <c r="AV69" s="206" t="str">
        <f>IF(AND($A69&gt;=SYear_O, $A69&lt;=EYear_O, AV$3&gt;0), AV$3 * VLOOKUP($A69, Data_All!$A$8:$CA$153, MATCH(AV$2, Data_All!$B$2:$CA$2, 0)+1), "")</f>
        <v/>
      </c>
      <c r="AW69" s="206" t="str">
        <f>IF(AND($A69&gt;=SYear_O, $A69&lt;=EYear_O, AW$3&gt;0), AW$3 * VLOOKUP($A69, Data_All!$A$8:$CA$153, MATCH(AW$2, Data_All!$B$2:$CA$2, 0)+1), "")</f>
        <v/>
      </c>
      <c r="AX69" s="206" t="str">
        <f>IF(AND($A69&gt;=SYear_O, $A69&lt;=EYear_O, AX$3&gt;0), AX$3 * VLOOKUP($A69, Data_All!$A$8:$CA$153, MATCH(AX$2, Data_All!$B$2:$CA$2, 0)+1), "")</f>
        <v/>
      </c>
      <c r="AY69" s="206" t="str">
        <f>IF(AND($A69&gt;=SYear_O, $A69&lt;=EYear_O, AY$3&gt;0), AY$3 * VLOOKUP($A69, Data_All!$A$8:$CA$153, MATCH(AY$2, Data_All!$B$2:$CA$2, 0)+1), "")</f>
        <v/>
      </c>
      <c r="AZ69" s="206" t="str">
        <f>IF(AND($A69&gt;=SYear_O, $A69&lt;=EYear_O, AZ$3&gt;0), AZ$3 * VLOOKUP($A69, Data_All!$A$8:$CA$153, MATCH(AZ$2, Data_All!$B$2:$CA$2, 0)+1), "")</f>
        <v/>
      </c>
      <c r="BA69" s="206" t="str">
        <f>IF(AND($A69&gt;=SYear_O, $A69&lt;=EYear_O, BA$3&gt;0), BA$3 * VLOOKUP($A69, Data_All!$A$8:$CA$153, MATCH(BA$2, Data_All!$B$2:$CA$2, 0)+1), "")</f>
        <v/>
      </c>
      <c r="BB69" s="206" t="str">
        <f>IF(AND($A69&gt;=SYear_O, $A69&lt;=EYear_O, BB$3&gt;0), BB$3 * VLOOKUP($A69, Data_All!$A$8:$CA$153, MATCH(BB$2, Data_All!$B$2:$CA$2, 0)+1), "")</f>
        <v/>
      </c>
      <c r="BC69" s="206" t="str">
        <f>IF(AND($A69&gt;=SYear_O, $A69&lt;=EYear_O, BC$3&gt;0), BC$3 * VLOOKUP($A69, Data_All!$A$8:$CA$153, MATCH(BC$2, Data_All!$B$2:$CA$2, 0)+1), "")</f>
        <v/>
      </c>
      <c r="BD69" s="206" t="str">
        <f>IF(AND($A69&gt;=SYear_O, $A69&lt;=EYear_O, BD$3&gt;0), BD$3 * VLOOKUP($A69, Data_All!$A$8:$CA$153, MATCH(BD$2, Data_All!$B$2:$CA$2, 0)+1), "")</f>
        <v/>
      </c>
      <c r="BE69" s="206" t="str">
        <f>IF(AND($A69&gt;=SYear_O, $A69&lt;=EYear_O, BE$3&gt;0), BE$3 * VLOOKUP($A69, Data_All!$A$8:$CA$153, MATCH(BE$2, Data_All!$B$2:$CA$2, 0)+1), "")</f>
        <v/>
      </c>
      <c r="BF69" s="206" t="str">
        <f>IF(AND($A69&gt;=SYear_O, $A69&lt;=EYear_O, BF$3&gt;0), BF$3 * VLOOKUP($A69, Data_All!$A$8:$CA$153, MATCH(BF$2, Data_All!$B$2:$CA$2, 0)+1), "")</f>
        <v/>
      </c>
      <c r="BG69" s="206" t="str">
        <f>IF(AND($A69&gt;=SYear_O, $A69&lt;=EYear_O, BG$3&gt;0), BG$3 * VLOOKUP($A69, Data_All!$A$8:$CA$153, MATCH(BG$2, Data_All!$B$2:$CA$2, 0)+1), "")</f>
        <v/>
      </c>
      <c r="BH69" s="206" t="str">
        <f>IF(AND($A69&gt;=SYear_O, $A69&lt;=EYear_O, BH$3&gt;0), BH$3 * VLOOKUP($A69, Data_All!$A$8:$CA$153, MATCH(BH$2, Data_All!$B$2:$CA$2, 0)+1), "")</f>
        <v/>
      </c>
      <c r="BI69" s="206" t="str">
        <f>IF(AND($A69&gt;=SYear_O, $A69&lt;=EYear_O, BI$3&gt;0), BI$3 * VLOOKUP($A69, Data_All!$A$8:$CA$153, MATCH(BI$2, Data_All!$B$2:$CA$2, 0)+1), "")</f>
        <v/>
      </c>
      <c r="BJ69" s="206" t="str">
        <f>IF(AND($A69&gt;=SYear_O, $A69&lt;=EYear_O, BJ$3&gt;0), BJ$3 * VLOOKUP($A69, Data_All!$A$8:$CA$153, MATCH(BJ$2, Data_All!$B$2:$CA$2, 0)+1), "")</f>
        <v/>
      </c>
      <c r="BK69" s="206" t="str">
        <f>IF(AND($A69&gt;=SYear_O, $A69&lt;=EYear_O, BK$3&gt;0), BK$3 * VLOOKUP($A69, Data_All!$A$8:$CA$153, MATCH(BK$2, Data_All!$B$2:$CA$2, 0)+1), "")</f>
        <v/>
      </c>
      <c r="BL69" s="206" t="str">
        <f>IF(AND($A69&gt;=SYear_O, $A69&lt;=EYear_O, BL$3&gt;0), BL$3 * VLOOKUP($A69, Data_All!$A$8:$CA$153, MATCH(BL$2, Data_All!$B$2:$CA$2, 0)+1), "")</f>
        <v/>
      </c>
      <c r="BM69" s="206" t="str">
        <f>IF(AND($A69&gt;=SYear_O, $A69&lt;=EYear_O, BM$3&gt;0), BM$3 * VLOOKUP($A69, Data_All!$A$8:$CA$153, MATCH(BM$2, Data_All!$B$2:$CA$2, 0)+1), "")</f>
        <v/>
      </c>
      <c r="BN69" s="206" t="str">
        <f>IF(AND($A69&gt;=SYear_O, $A69&lt;=EYear_O, BN$3&gt;0), BN$3 * VLOOKUP($A69, Data_All!$A$8:$CA$153, MATCH(BN$2, Data_All!$B$2:$CA$2, 0)+1), "")</f>
        <v/>
      </c>
      <c r="BO69" s="206" t="str">
        <f>IF(AND($A69&gt;=SYear_O, $A69&lt;=EYear_O, BO$3&gt;0), BO$3 * VLOOKUP($A69, Data_All!$A$8:$CA$153, MATCH(BO$2, Data_All!$B$2:$CA$2, 0)+1), "")</f>
        <v/>
      </c>
      <c r="BP69" s="206" t="str">
        <f>IF(AND($A69&gt;=SYear_O, $A69&lt;=EYear_O, BP$3&gt;0), BP$3 * VLOOKUP($A69, Data_All!$A$8:$CA$153, MATCH(BP$2, Data_All!$B$2:$CA$2, 0)+1), "")</f>
        <v/>
      </c>
      <c r="BQ69" s="206" t="str">
        <f>IF(AND($A69&gt;=SYear_O, $A69&lt;=EYear_O, BQ$3&gt;0), BQ$3 * VLOOKUP($A69, Data_All!$A$8:$CA$153, MATCH(BQ$2, Data_All!$B$2:$CA$2, 0)+1), "")</f>
        <v/>
      </c>
      <c r="BR69" s="206" t="str">
        <f>IF(AND($A69&gt;=SYear_O, $A69&lt;=EYear_O, BR$3&gt;0), BR$3 * VLOOKUP($A69, Data_All!$A$8:$CA$153, MATCH(BR$2, Data_All!$B$2:$CA$2, 0)+1), "")</f>
        <v/>
      </c>
      <c r="BS69" s="206" t="str">
        <f>IF(AND($A69&gt;=SYear_O, $A69&lt;=EYear_O, BS$3&gt;0), BS$3 * VLOOKUP($A69, Data_All!$A$8:$CA$153, MATCH(BS$2, Data_All!$B$2:$CA$2, 0)+1), "")</f>
        <v/>
      </c>
      <c r="BT69" s="206" t="str">
        <f>IF(AND($A69&gt;=SYear_O, $A69&lt;=EYear_O, BT$3&gt;0), BT$3 * VLOOKUP($A69, Data_All!$A$8:$CA$153, MATCH(BT$2, Data_All!$B$2:$CA$2, 0)+1), "")</f>
        <v/>
      </c>
      <c r="BU69" s="206" t="str">
        <f>IF(AND($A69&gt;=SYear_O, $A69&lt;=EYear_O, BU$3&gt;0), BU$3 * VLOOKUP($A69, Data_All!$A$8:$CA$153, MATCH(BU$2, Data_All!$B$2:$CA$2, 0)+1), "")</f>
        <v/>
      </c>
      <c r="BV69" s="206" t="str">
        <f>IF(AND($A69&gt;=SYear_O, $A69&lt;=EYear_O, BV$3&gt;0), BV$3 * VLOOKUP($A69, Data_All!$A$8:$CA$153, MATCH(BV$2, Data_All!$B$2:$CA$2, 0)+1), "")</f>
        <v/>
      </c>
      <c r="BW69" s="206" t="str">
        <f>IF(AND($A69&gt;=SYear_O, $A69&lt;=EYear_O, BW$3&gt;0), BW$3 * VLOOKUP($A69, Data_All!$A$8:$CA$153, MATCH(BW$2, Data_All!$B$2:$CA$2, 0)+1), "")</f>
        <v/>
      </c>
      <c r="BX69" s="206">
        <f>IF(AND($A69&gt;=SYear_O, $A69&lt;=EYear_O, BX$3&gt;0), BX$3 * VLOOKUP($A69, Data_All!$A$8:$CA$153, MATCH(BX$2, Data_All!$B$2:$CA$2, 0)+1), "")</f>
        <v>32.91960507757404</v>
      </c>
      <c r="BY69" s="206">
        <f>IF(AND($A69&gt;=SYear_O, $A69&lt;=EYear_O, BY$3&gt;0), BY$3 * VLOOKUP($A69, Data_All!$A$8:$CA$153, MATCH(BY$2, Data_All!$B$2:$CA$2, 0)+1), "")</f>
        <v>1.9505990161025721</v>
      </c>
      <c r="BZ69" s="206" t="str">
        <f>IF(AND($A69&gt;=SYear_O, $A69&lt;=EYear_O, BZ$3&gt;0), BZ$3 * VLOOKUP($A69, Data_All!$A$8:$CA$153, MATCH(BZ$2, Data_All!$B$2:$CA$2, 0)+1), "")</f>
        <v/>
      </c>
      <c r="CA69" s="565">
        <f t="shared" si="19"/>
        <v>34.870204093676612</v>
      </c>
      <c r="CB69" s="427">
        <f t="shared" si="20"/>
        <v>411238.33373755403</v>
      </c>
      <c r="CC69" s="565">
        <f>IF(AND($A69&gt;=SYear_O,$A69&lt;=EYear_O),(CA69-Data_All!CA70)/(1+Data_All!CA70%),"")</f>
        <v>31.804972182456712</v>
      </c>
      <c r="CD69" s="436">
        <f t="shared" si="21"/>
        <v>388310.58160933573</v>
      </c>
      <c r="CE69" s="438">
        <f t="shared" si="22"/>
        <v>37.29900382167083</v>
      </c>
      <c r="CF69" s="438">
        <f>IF(AND($A69&gt;=SYear_O,$A69&lt;=EYear_O),MAX($CE$7:CE69),"")</f>
        <v>43.198046670106592</v>
      </c>
      <c r="CG69" s="209">
        <f t="shared" si="23"/>
        <v>0.13655809239444039</v>
      </c>
      <c r="CI69" s="143">
        <f>IF(AND($A69&gt;=SYear_O,$A69&lt;=EYear_O),Data_All!V70,"")</f>
        <v>1.3687681087021681</v>
      </c>
      <c r="CJ69" s="143">
        <f>IF(AND($A69&gt;=SYear_O,$A69&lt;=EYear_O),Data_All!CA70,"")</f>
        <v>2.3255813953488191</v>
      </c>
      <c r="CK69" s="143">
        <f t="shared" si="24"/>
        <v>-0.93506753013195454</v>
      </c>
      <c r="CN69" s="61">
        <f t="shared" si="25"/>
        <v>0.34870204093676604</v>
      </c>
      <c r="CO69" s="61">
        <f t="shared" si="26"/>
        <v>0.20522740738959011</v>
      </c>
      <c r="CP69" s="61">
        <f t="shared" si="27"/>
        <v>0.11808080648094976</v>
      </c>
      <c r="CQ69" s="61">
        <f t="shared" si="28"/>
        <v>7.4468210321978479E-2</v>
      </c>
      <c r="CR69" s="61">
        <f t="shared" si="29"/>
        <v>7.994034442833553E-2</v>
      </c>
      <c r="CU69" s="61">
        <f t="shared" si="30"/>
        <v>0.31804972182456703</v>
      </c>
      <c r="CV69" s="61">
        <f t="shared" si="31"/>
        <v>0.17843565405013218</v>
      </c>
      <c r="CW69" s="61">
        <f t="shared" si="32"/>
        <v>9.681521263173698E-2</v>
      </c>
      <c r="CX69" s="61">
        <f t="shared" si="33"/>
        <v>4.5836684463341326E-2</v>
      </c>
      <c r="CY69" s="61">
        <f t="shared" si="34"/>
        <v>3.7024913814114768E-2</v>
      </c>
    </row>
    <row r="70" spans="1:103">
      <c r="A70" s="204">
        <f t="shared" si="18"/>
        <v>1934</v>
      </c>
      <c r="B70" s="206" t="str">
        <f>IF(AND($A70&gt;=SYear_O, $A70&lt;=EYear_O, B$3&gt;0), B$3 * VLOOKUP($A70, Data_All!$A$8:$CA$153, MATCH(B$2, Data_All!$B$2:$CA$2, 0)+1), "")</f>
        <v/>
      </c>
      <c r="C70" s="206" t="str">
        <f>IF(AND($A70&gt;=SYear_O, $A70&lt;=EYear_O, C$3&gt;0), C$3 * VLOOKUP($A70, Data_All!$A$8:$CA$153, MATCH(C$2, Data_All!$B$2:$CA$2, 0)+1), "")</f>
        <v/>
      </c>
      <c r="D70" s="206" t="str">
        <f>IF(AND($A70&gt;=SYear_O, $A70&lt;=EYear_O, D$3&gt;0), D$3 * VLOOKUP($A70, Data_All!$A$8:$CA$153, MATCH(D$2, Data_All!$B$2:$CA$2, 0)+1), "")</f>
        <v/>
      </c>
      <c r="E70" s="206" t="str">
        <f>IF(AND($A70&gt;=SYear_O, $A70&lt;=EYear_O, E$3&gt;0), E$3 * VLOOKUP($A70, Data_All!$A$8:$CA$153, MATCH(E$2, Data_All!$B$2:$CA$2, 0)+1), "")</f>
        <v/>
      </c>
      <c r="F70" s="206" t="str">
        <f>IF(AND($A70&gt;=SYear_O, $A70&lt;=EYear_O, F$3&gt;0), F$3 * VLOOKUP($A70, Data_All!$A$8:$CA$153, MATCH(F$2, Data_All!$B$2:$CA$2, 0)+1), "")</f>
        <v/>
      </c>
      <c r="G70" s="206" t="str">
        <f>IF(AND($A70&gt;=SYear_O, $A70&lt;=EYear_O, G$3&gt;0), G$3 * VLOOKUP($A70, Data_All!$A$8:$CA$153, MATCH(G$2, Data_All!$B$2:$CA$2, 0)+1), "")</f>
        <v/>
      </c>
      <c r="H70" s="206" t="str">
        <f>IF(AND($A70&gt;=SYear_O, $A70&lt;=EYear_O, H$3&gt;0), H$3 * VLOOKUP($A70, Data_All!$A$8:$CA$153, MATCH(H$2, Data_All!$B$2:$CA$2, 0)+1), "")</f>
        <v/>
      </c>
      <c r="I70" s="206" t="str">
        <f>IF(AND($A70&gt;=SYear_O, $A70&lt;=EYear_O, I$3&gt;0), I$3 * VLOOKUP($A70, Data_All!$A$8:$CA$153, MATCH(I$2, Data_All!$B$2:$CA$2, 0)+1), "")</f>
        <v/>
      </c>
      <c r="J70" s="206" t="str">
        <f>IF(AND($A70&gt;=SYear_O, $A70&lt;=EYear_O, J$3&gt;0), J$3 * VLOOKUP($A70, Data_All!$A$8:$CA$153, MATCH(J$2, Data_All!$B$2:$CA$2, 0)+1), "")</f>
        <v/>
      </c>
      <c r="K70" s="206" t="str">
        <f>IF(AND($A70&gt;=SYear_O, $A70&lt;=EYear_O, K$3&gt;0), K$3 * VLOOKUP($A70, Data_All!$A$8:$CA$153, MATCH(K$2, Data_All!$B$2:$CA$2, 0)+1), "")</f>
        <v/>
      </c>
      <c r="L70" s="206" t="str">
        <f>IF(AND($A70&gt;=SYear_O, $A70&lt;=EYear_O, L$3&gt;0), L$3 * VLOOKUP($A70, Data_All!$A$8:$CA$153, MATCH(L$2, Data_All!$B$2:$CA$2, 0)+1), "")</f>
        <v/>
      </c>
      <c r="M70" s="206" t="str">
        <f>IF(AND($A70&gt;=SYear_O, $A70&lt;=EYear_O, M$3&gt;0), M$3 * VLOOKUP($A70, Data_All!$A$8:$CA$153, MATCH(M$2, Data_All!$B$2:$CA$2, 0)+1), "")</f>
        <v/>
      </c>
      <c r="N70" s="206" t="str">
        <f>IF(AND($A70&gt;=SYear_O, $A70&lt;=EYear_O, N$3&gt;0), N$3 * VLOOKUP($A70, Data_All!$A$8:$CA$153, MATCH(N$2, Data_All!$B$2:$CA$2, 0)+1), "")</f>
        <v/>
      </c>
      <c r="O70" s="206" t="str">
        <f>IF(AND($A70&gt;=SYear_O, $A70&lt;=EYear_O, O$3&gt;0), O$3 * VLOOKUP($A70, Data_All!$A$8:$CA$153, MATCH(O$2, Data_All!$B$2:$CA$2, 0)+1), "")</f>
        <v/>
      </c>
      <c r="P70" s="206" t="str">
        <f>IF(AND($A70&gt;=SYear_O, $A70&lt;=EYear_O, P$3&gt;0), P$3 * VLOOKUP($A70, Data_All!$A$8:$CA$153, MATCH(P$2, Data_All!$B$2:$CA$2, 0)+1), "")</f>
        <v/>
      </c>
      <c r="Q70" s="206" t="str">
        <f>IF(AND($A70&gt;=SYear_O, $A70&lt;=EYear_O, Q$3&gt;0), Q$3 * VLOOKUP($A70, Data_All!$A$8:$CA$153, MATCH(Q$2, Data_All!$B$2:$CA$2, 0)+1), "")</f>
        <v/>
      </c>
      <c r="R70" s="206" t="str">
        <f>IF(AND($A70&gt;=SYear_O, $A70&lt;=EYear_O, R$3&gt;0), R$3 * VLOOKUP($A70, Data_All!$A$8:$CA$153, MATCH(R$2, Data_All!$B$2:$CA$2, 0)+1), "")</f>
        <v/>
      </c>
      <c r="S70" s="206" t="str">
        <f>IF(AND($A70&gt;=SYear_O, $A70&lt;=EYear_O, S$3&gt;0), S$3 * VLOOKUP($A70, Data_All!$A$8:$CA$153, MATCH(S$2, Data_All!$B$2:$CA$2, 0)+1), "")</f>
        <v/>
      </c>
      <c r="T70" s="206" t="str">
        <f>IF(AND($A70&gt;=SYear_O, $A70&lt;=EYear_O, T$3&gt;0), T$3 * VLOOKUP($A70, Data_All!$A$8:$CA$153, MATCH(T$2, Data_All!$B$2:$CA$2, 0)+1), "")</f>
        <v/>
      </c>
      <c r="U70" s="206" t="str">
        <f>IF(AND($A70&gt;=SYear_O, $A70&lt;=EYear_O, U$3&gt;0), U$3 * VLOOKUP($A70, Data_All!$A$8:$CA$153, MATCH(U$2, Data_All!$B$2:$CA$2, 0)+1), "")</f>
        <v/>
      </c>
      <c r="V70" s="206" t="str">
        <f>IF(AND($A70&gt;=SYear_O, $A70&lt;=EYear_O, V$3&gt;0), V$3 * VLOOKUP($A70, Data_All!$A$8:$CA$153, MATCH(V$2, Data_All!$B$2:$CA$2, 0)+1), "")</f>
        <v/>
      </c>
      <c r="W70" s="206" t="str">
        <f>IF(AND($A70&gt;=SYear_O, $A70&lt;=EYear_O, W$3&gt;0), W$3 * VLOOKUP($A70, Data_All!$A$8:$CA$153, MATCH(W$2, Data_All!$B$2:$CA$2, 0)+1), "")</f>
        <v/>
      </c>
      <c r="X70" s="206" t="str">
        <f>IF(AND($A70&gt;=SYear_O, $A70&lt;=EYear_O, X$3&gt;0), X$3 * VLOOKUP($A70, Data_All!$A$8:$CA$153, MATCH(X$2, Data_All!$B$2:$CA$2, 0)+1), "")</f>
        <v/>
      </c>
      <c r="Y70" s="206" t="str">
        <f>IF(AND($A70&gt;=SYear_O, $A70&lt;=EYear_O, Y$3&gt;0), Y$3 * VLOOKUP($A70, Data_All!$A$8:$CA$153, MATCH(Y$2, Data_All!$B$2:$CA$2, 0)+1), "")</f>
        <v/>
      </c>
      <c r="Z70" s="206" t="str">
        <f>IF(AND($A70&gt;=SYear_O, $A70&lt;=EYear_O, Z$3&gt;0), Z$3 * VLOOKUP($A70, Data_All!$A$8:$CA$153, MATCH(Z$2, Data_All!$B$2:$CA$2, 0)+1), "")</f>
        <v/>
      </c>
      <c r="AA70" s="206" t="str">
        <f>IF(AND($A70&gt;=SYear_O, $A70&lt;=EYear_O, AA$3&gt;0), AA$3 * VLOOKUP($A70, Data_All!$A$8:$CA$153, MATCH(AA$2, Data_All!$B$2:$CA$2, 0)+1), "")</f>
        <v/>
      </c>
      <c r="AB70" s="206" t="str">
        <f>IF(AND($A70&gt;=SYear_O, $A70&lt;=EYear_O, AB$3&gt;0), AB$3 * VLOOKUP($A70, Data_All!$A$8:$CA$153, MATCH(AB$2, Data_All!$B$2:$CA$2, 0)+1), "")</f>
        <v/>
      </c>
      <c r="AC70" s="206" t="str">
        <f>IF(AND($A70&gt;=SYear_O, $A70&lt;=EYear_O, AC$3&gt;0), AC$3 * VLOOKUP($A70, Data_All!$A$8:$CA$153, MATCH(AC$2, Data_All!$B$2:$CA$2, 0)+1), "")</f>
        <v/>
      </c>
      <c r="AD70" s="206" t="str">
        <f>IF(AND($A70&gt;=SYear_O, $A70&lt;=EYear_O, AD$3&gt;0), AD$3 * VLOOKUP($A70, Data_All!$A$8:$CA$153, MATCH(AD$2, Data_All!$B$2:$CA$2, 0)+1), "")</f>
        <v/>
      </c>
      <c r="AE70" s="206" t="str">
        <f>IF(AND($A70&gt;=SYear_O, $A70&lt;=EYear_O, AE$3&gt;0), AE$3 * VLOOKUP($A70, Data_All!$A$8:$CA$153, MATCH(AE$2, Data_All!$B$2:$CA$2, 0)+1), "")</f>
        <v/>
      </c>
      <c r="AF70" s="206" t="str">
        <f>IF(AND($A70&gt;=SYear_O, $A70&lt;=EYear_O, AF$3&gt;0), AF$3 * VLOOKUP($A70, Data_All!$A$8:$CA$153, MATCH(AF$2, Data_All!$B$2:$CA$2, 0)+1), "")</f>
        <v/>
      </c>
      <c r="AG70" s="206" t="str">
        <f>IF(AND($A70&gt;=SYear_O, $A70&lt;=EYear_O, AG$3&gt;0), AG$3 * VLOOKUP($A70, Data_All!$A$8:$CA$153, MATCH(AG$2, Data_All!$B$2:$CA$2, 0)+1), "")</f>
        <v/>
      </c>
      <c r="AH70" s="206" t="str">
        <f>IF(AND($A70&gt;=SYear_O, $A70&lt;=EYear_O, AH$3&gt;0), AH$3 * VLOOKUP($A70, Data_All!$A$8:$CA$153, MATCH(AH$2, Data_All!$B$2:$CA$2, 0)+1), "")</f>
        <v/>
      </c>
      <c r="AI70" s="206" t="str">
        <f>IF(AND($A70&gt;=SYear_O, $A70&lt;=EYear_O, AI$3&gt;0), AI$3 * VLOOKUP($A70, Data_All!$A$8:$CA$153, MATCH(AI$2, Data_All!$B$2:$CA$2, 0)+1), "")</f>
        <v/>
      </c>
      <c r="AJ70" s="206" t="str">
        <f>IF(AND($A70&gt;=SYear_O, $A70&lt;=EYear_O, AJ$3&gt;0), AJ$3 * VLOOKUP($A70, Data_All!$A$8:$CA$153, MATCH(AJ$2, Data_All!$B$2:$CA$2, 0)+1), "")</f>
        <v/>
      </c>
      <c r="AK70" s="206" t="str">
        <f>IF(AND($A70&gt;=SYear_O, $A70&lt;=EYear_O, AK$3&gt;0), AK$3 * VLOOKUP($A70, Data_All!$A$8:$CA$153, MATCH(AK$2, Data_All!$B$2:$CA$2, 0)+1), "")</f>
        <v/>
      </c>
      <c r="AL70" s="206" t="str">
        <f>IF(AND($A70&gt;=SYear_O, $A70&lt;=EYear_O, AL$3&gt;0), AL$3 * VLOOKUP($A70, Data_All!$A$8:$CA$153, MATCH(AL$2, Data_All!$B$2:$CA$2, 0)+1), "")</f>
        <v/>
      </c>
      <c r="AM70" s="206" t="str">
        <f>IF(AND($A70&gt;=SYear_O, $A70&lt;=EYear_O, AM$3&gt;0), AM$3 * VLOOKUP($A70, Data_All!$A$8:$CA$153, MATCH(AM$2, Data_All!$B$2:$CA$2, 0)+1), "")</f>
        <v/>
      </c>
      <c r="AN70" s="206" t="str">
        <f>IF(AND($A70&gt;=SYear_O, $A70&lt;=EYear_O, AN$3&gt;0), AN$3 * VLOOKUP($A70, Data_All!$A$8:$CA$153, MATCH(AN$2, Data_All!$B$2:$CA$2, 0)+1), "")</f>
        <v/>
      </c>
      <c r="AO70" s="206" t="str">
        <f>IF(AND($A70&gt;=SYear_O, $A70&lt;=EYear_O, AO$3&gt;0), AO$3 * VLOOKUP($A70, Data_All!$A$8:$CA$153, MATCH(AO$2, Data_All!$B$2:$CA$2, 0)+1), "")</f>
        <v/>
      </c>
      <c r="AP70" s="206" t="str">
        <f>IF(AND($A70&gt;=SYear_O, $A70&lt;=EYear_O, AP$3&gt;0), AP$3 * VLOOKUP($A70, Data_All!$A$8:$CA$153, MATCH(AP$2, Data_All!$B$2:$CA$2, 0)+1), "")</f>
        <v/>
      </c>
      <c r="AQ70" s="206" t="str">
        <f>IF(AND($A70&gt;=SYear_O, $A70&lt;=EYear_O, AQ$3&gt;0), AQ$3 * VLOOKUP($A70, Data_All!$A$8:$CA$153, MATCH(AQ$2, Data_All!$B$2:$CA$2, 0)+1), "")</f>
        <v/>
      </c>
      <c r="AR70" s="206" t="str">
        <f>IF(AND($A70&gt;=SYear_O, $A70&lt;=EYear_O, AR$3&gt;0), AR$3 * VLOOKUP($A70, Data_All!$A$8:$CA$153, MATCH(AR$2, Data_All!$B$2:$CA$2, 0)+1), "")</f>
        <v/>
      </c>
      <c r="AS70" s="206" t="str">
        <f>IF(AND($A70&gt;=SYear_O, $A70&lt;=EYear_O, AS$3&gt;0), AS$3 * VLOOKUP($A70, Data_All!$A$8:$CA$153, MATCH(AS$2, Data_All!$B$2:$CA$2, 0)+1), "")</f>
        <v/>
      </c>
      <c r="AT70" s="206" t="str">
        <f>IF(AND($A70&gt;=SYear_O, $A70&lt;=EYear_O, AT$3&gt;0), AT$3 * VLOOKUP($A70, Data_All!$A$8:$CA$153, MATCH(AT$2, Data_All!$B$2:$CA$2, 0)+1), "")</f>
        <v/>
      </c>
      <c r="AU70" s="206" t="str">
        <f>IF(AND($A70&gt;=SYear_O, $A70&lt;=EYear_O, AU$3&gt;0), AU$3 * VLOOKUP($A70, Data_All!$A$8:$CA$153, MATCH(AU$2, Data_All!$B$2:$CA$2, 0)+1), "")</f>
        <v/>
      </c>
      <c r="AV70" s="206" t="str">
        <f>IF(AND($A70&gt;=SYear_O, $A70&lt;=EYear_O, AV$3&gt;0), AV$3 * VLOOKUP($A70, Data_All!$A$8:$CA$153, MATCH(AV$2, Data_All!$B$2:$CA$2, 0)+1), "")</f>
        <v/>
      </c>
      <c r="AW70" s="206" t="str">
        <f>IF(AND($A70&gt;=SYear_O, $A70&lt;=EYear_O, AW$3&gt;0), AW$3 * VLOOKUP($A70, Data_All!$A$8:$CA$153, MATCH(AW$2, Data_All!$B$2:$CA$2, 0)+1), "")</f>
        <v/>
      </c>
      <c r="AX70" s="206" t="str">
        <f>IF(AND($A70&gt;=SYear_O, $A70&lt;=EYear_O, AX$3&gt;0), AX$3 * VLOOKUP($A70, Data_All!$A$8:$CA$153, MATCH(AX$2, Data_All!$B$2:$CA$2, 0)+1), "")</f>
        <v/>
      </c>
      <c r="AY70" s="206" t="str">
        <f>IF(AND($A70&gt;=SYear_O, $A70&lt;=EYear_O, AY$3&gt;0), AY$3 * VLOOKUP($A70, Data_All!$A$8:$CA$153, MATCH(AY$2, Data_All!$B$2:$CA$2, 0)+1), "")</f>
        <v/>
      </c>
      <c r="AZ70" s="206" t="str">
        <f>IF(AND($A70&gt;=SYear_O, $A70&lt;=EYear_O, AZ$3&gt;0), AZ$3 * VLOOKUP($A70, Data_All!$A$8:$CA$153, MATCH(AZ$2, Data_All!$B$2:$CA$2, 0)+1), "")</f>
        <v/>
      </c>
      <c r="BA70" s="206" t="str">
        <f>IF(AND($A70&gt;=SYear_O, $A70&lt;=EYear_O, BA$3&gt;0), BA$3 * VLOOKUP($A70, Data_All!$A$8:$CA$153, MATCH(BA$2, Data_All!$B$2:$CA$2, 0)+1), "")</f>
        <v/>
      </c>
      <c r="BB70" s="206" t="str">
        <f>IF(AND($A70&gt;=SYear_O, $A70&lt;=EYear_O, BB$3&gt;0), BB$3 * VLOOKUP($A70, Data_All!$A$8:$CA$153, MATCH(BB$2, Data_All!$B$2:$CA$2, 0)+1), "")</f>
        <v/>
      </c>
      <c r="BC70" s="206" t="str">
        <f>IF(AND($A70&gt;=SYear_O, $A70&lt;=EYear_O, BC$3&gt;0), BC$3 * VLOOKUP($A70, Data_All!$A$8:$CA$153, MATCH(BC$2, Data_All!$B$2:$CA$2, 0)+1), "")</f>
        <v/>
      </c>
      <c r="BD70" s="206" t="str">
        <f>IF(AND($A70&gt;=SYear_O, $A70&lt;=EYear_O, BD$3&gt;0), BD$3 * VLOOKUP($A70, Data_All!$A$8:$CA$153, MATCH(BD$2, Data_All!$B$2:$CA$2, 0)+1), "")</f>
        <v/>
      </c>
      <c r="BE70" s="206" t="str">
        <f>IF(AND($A70&gt;=SYear_O, $A70&lt;=EYear_O, BE$3&gt;0), BE$3 * VLOOKUP($A70, Data_All!$A$8:$CA$153, MATCH(BE$2, Data_All!$B$2:$CA$2, 0)+1), "")</f>
        <v/>
      </c>
      <c r="BF70" s="206" t="str">
        <f>IF(AND($A70&gt;=SYear_O, $A70&lt;=EYear_O, BF$3&gt;0), BF$3 * VLOOKUP($A70, Data_All!$A$8:$CA$153, MATCH(BF$2, Data_All!$B$2:$CA$2, 0)+1), "")</f>
        <v/>
      </c>
      <c r="BG70" s="206" t="str">
        <f>IF(AND($A70&gt;=SYear_O, $A70&lt;=EYear_O, BG$3&gt;0), BG$3 * VLOOKUP($A70, Data_All!$A$8:$CA$153, MATCH(BG$2, Data_All!$B$2:$CA$2, 0)+1), "")</f>
        <v/>
      </c>
      <c r="BH70" s="206" t="str">
        <f>IF(AND($A70&gt;=SYear_O, $A70&lt;=EYear_O, BH$3&gt;0), BH$3 * VLOOKUP($A70, Data_All!$A$8:$CA$153, MATCH(BH$2, Data_All!$B$2:$CA$2, 0)+1), "")</f>
        <v/>
      </c>
      <c r="BI70" s="206" t="str">
        <f>IF(AND($A70&gt;=SYear_O, $A70&lt;=EYear_O, BI$3&gt;0), BI$3 * VLOOKUP($A70, Data_All!$A$8:$CA$153, MATCH(BI$2, Data_All!$B$2:$CA$2, 0)+1), "")</f>
        <v/>
      </c>
      <c r="BJ70" s="206" t="str">
        <f>IF(AND($A70&gt;=SYear_O, $A70&lt;=EYear_O, BJ$3&gt;0), BJ$3 * VLOOKUP($A70, Data_All!$A$8:$CA$153, MATCH(BJ$2, Data_All!$B$2:$CA$2, 0)+1), "")</f>
        <v/>
      </c>
      <c r="BK70" s="206" t="str">
        <f>IF(AND($A70&gt;=SYear_O, $A70&lt;=EYear_O, BK$3&gt;0), BK$3 * VLOOKUP($A70, Data_All!$A$8:$CA$153, MATCH(BK$2, Data_All!$B$2:$CA$2, 0)+1), "")</f>
        <v/>
      </c>
      <c r="BL70" s="206" t="str">
        <f>IF(AND($A70&gt;=SYear_O, $A70&lt;=EYear_O, BL$3&gt;0), BL$3 * VLOOKUP($A70, Data_All!$A$8:$CA$153, MATCH(BL$2, Data_All!$B$2:$CA$2, 0)+1), "")</f>
        <v/>
      </c>
      <c r="BM70" s="206" t="str">
        <f>IF(AND($A70&gt;=SYear_O, $A70&lt;=EYear_O, BM$3&gt;0), BM$3 * VLOOKUP($A70, Data_All!$A$8:$CA$153, MATCH(BM$2, Data_All!$B$2:$CA$2, 0)+1), "")</f>
        <v/>
      </c>
      <c r="BN70" s="206" t="str">
        <f>IF(AND($A70&gt;=SYear_O, $A70&lt;=EYear_O, BN$3&gt;0), BN$3 * VLOOKUP($A70, Data_All!$A$8:$CA$153, MATCH(BN$2, Data_All!$B$2:$CA$2, 0)+1), "")</f>
        <v/>
      </c>
      <c r="BO70" s="206" t="str">
        <f>IF(AND($A70&gt;=SYear_O, $A70&lt;=EYear_O, BO$3&gt;0), BO$3 * VLOOKUP($A70, Data_All!$A$8:$CA$153, MATCH(BO$2, Data_All!$B$2:$CA$2, 0)+1), "")</f>
        <v/>
      </c>
      <c r="BP70" s="206" t="str">
        <f>IF(AND($A70&gt;=SYear_O, $A70&lt;=EYear_O, BP$3&gt;0), BP$3 * VLOOKUP($A70, Data_All!$A$8:$CA$153, MATCH(BP$2, Data_All!$B$2:$CA$2, 0)+1), "")</f>
        <v/>
      </c>
      <c r="BQ70" s="206" t="str">
        <f>IF(AND($A70&gt;=SYear_O, $A70&lt;=EYear_O, BQ$3&gt;0), BQ$3 * VLOOKUP($A70, Data_All!$A$8:$CA$153, MATCH(BQ$2, Data_All!$B$2:$CA$2, 0)+1), "")</f>
        <v/>
      </c>
      <c r="BR70" s="206" t="str">
        <f>IF(AND($A70&gt;=SYear_O, $A70&lt;=EYear_O, BR$3&gt;0), BR$3 * VLOOKUP($A70, Data_All!$A$8:$CA$153, MATCH(BR$2, Data_All!$B$2:$CA$2, 0)+1), "")</f>
        <v/>
      </c>
      <c r="BS70" s="206" t="str">
        <f>IF(AND($A70&gt;=SYear_O, $A70&lt;=EYear_O, BS$3&gt;0), BS$3 * VLOOKUP($A70, Data_All!$A$8:$CA$153, MATCH(BS$2, Data_All!$B$2:$CA$2, 0)+1), "")</f>
        <v/>
      </c>
      <c r="BT70" s="206" t="str">
        <f>IF(AND($A70&gt;=SYear_O, $A70&lt;=EYear_O, BT$3&gt;0), BT$3 * VLOOKUP($A70, Data_All!$A$8:$CA$153, MATCH(BT$2, Data_All!$B$2:$CA$2, 0)+1), "")</f>
        <v/>
      </c>
      <c r="BU70" s="206" t="str">
        <f>IF(AND($A70&gt;=SYear_O, $A70&lt;=EYear_O, BU$3&gt;0), BU$3 * VLOOKUP($A70, Data_All!$A$8:$CA$153, MATCH(BU$2, Data_All!$B$2:$CA$2, 0)+1), "")</f>
        <v/>
      </c>
      <c r="BV70" s="206" t="str">
        <f>IF(AND($A70&gt;=SYear_O, $A70&lt;=EYear_O, BV$3&gt;0), BV$3 * VLOOKUP($A70, Data_All!$A$8:$CA$153, MATCH(BV$2, Data_All!$B$2:$CA$2, 0)+1), "")</f>
        <v/>
      </c>
      <c r="BW70" s="206" t="str">
        <f>IF(AND($A70&gt;=SYear_O, $A70&lt;=EYear_O, BW$3&gt;0), BW$3 * VLOOKUP($A70, Data_All!$A$8:$CA$153, MATCH(BW$2, Data_All!$B$2:$CA$2, 0)+1), "")</f>
        <v/>
      </c>
      <c r="BX70" s="206">
        <f>IF(AND($A70&gt;=SYear_O, $A70&lt;=EYear_O, BX$3&gt;0), BX$3 * VLOOKUP($A70, Data_All!$A$8:$CA$153, MATCH(BX$2, Data_All!$B$2:$CA$2, 0)+1), "")</f>
        <v>-4.7248576850094866</v>
      </c>
      <c r="BY70" s="206">
        <f>IF(AND($A70&gt;=SYear_O, $A70&lt;=EYear_O, BY$3&gt;0), BY$3 * VLOOKUP($A70, Data_All!$A$8:$CA$153, MATCH(BY$2, Data_All!$B$2:$CA$2, 0)+1), "")</f>
        <v>1.9095301230951112</v>
      </c>
      <c r="BZ70" s="206" t="str">
        <f>IF(AND($A70&gt;=SYear_O, $A70&lt;=EYear_O, BZ$3&gt;0), BZ$3 * VLOOKUP($A70, Data_All!$A$8:$CA$153, MATCH(BZ$2, Data_All!$B$2:$CA$2, 0)+1), "")</f>
        <v/>
      </c>
      <c r="CA70" s="565">
        <f t="shared" si="19"/>
        <v>-2.8153275619143754</v>
      </c>
      <c r="CB70" s="427">
        <f t="shared" si="20"/>
        <v>399660.62758268329</v>
      </c>
      <c r="CC70" s="565">
        <f>IF(AND($A70&gt;=SYear_O,$A70&lt;=EYear_O),(CA70-Data_All!CA71)/(1+Data_All!CA71%),"")</f>
        <v>-5.6737002806815973</v>
      </c>
      <c r="CD70" s="436">
        <f t="shared" si="21"/>
        <v>366279.00305065053</v>
      </c>
      <c r="CE70" s="438">
        <f t="shared" si="22"/>
        <v>36.248914686759839</v>
      </c>
      <c r="CF70" s="438">
        <f>IF(AND($A70&gt;=SYear_O,$A70&lt;=EYear_O),MAX($CE$7:CE70),"")</f>
        <v>43.198046670106592</v>
      </c>
      <c r="CG70" s="209">
        <f t="shared" si="23"/>
        <v>0.16086681040037887</v>
      </c>
      <c r="CI70" s="143">
        <f>IF(AND($A70&gt;=SYear_O,$A70&lt;=EYear_O),Data_All!V71,"")</f>
        <v>0.91917274452992315</v>
      </c>
      <c r="CJ70" s="143">
        <f>IF(AND($A70&gt;=SYear_O,$A70&lt;=EYear_O),Data_All!CA71,"")</f>
        <v>3.0303030303030276</v>
      </c>
      <c r="CK70" s="143">
        <f t="shared" si="24"/>
        <v>-2.0490382185444838</v>
      </c>
      <c r="CN70" s="61">
        <f t="shared" si="25"/>
        <v>-2.8153275619143603E-2</v>
      </c>
      <c r="CO70" s="61">
        <f t="shared" si="26"/>
        <v>0.16191639099258759</v>
      </c>
      <c r="CP70" s="61">
        <f t="shared" si="27"/>
        <v>7.4552845487808383E-2</v>
      </c>
      <c r="CQ70" s="61">
        <f t="shared" si="28"/>
        <v>5.7587295775955782E-2</v>
      </c>
      <c r="CR70" s="61">
        <f t="shared" si="29"/>
        <v>6.33329785842911E-2</v>
      </c>
      <c r="CU70" s="61">
        <f t="shared" si="30"/>
        <v>-5.6737002806815928E-2</v>
      </c>
      <c r="CV70" s="61">
        <f t="shared" si="31"/>
        <v>0.13664928861606462</v>
      </c>
      <c r="CW70" s="61">
        <f t="shared" si="32"/>
        <v>6.1981515557181455E-2</v>
      </c>
      <c r="CX70" s="61">
        <f t="shared" si="33"/>
        <v>2.8770952822707585E-2</v>
      </c>
      <c r="CY70" s="61">
        <f t="shared" si="34"/>
        <v>2.1786427054667934E-2</v>
      </c>
    </row>
    <row r="71" spans="1:103">
      <c r="A71" s="204">
        <f t="shared" si="18"/>
        <v>1935</v>
      </c>
      <c r="B71" s="206" t="str">
        <f>IF(AND($A71&gt;=SYear_O, $A71&lt;=EYear_O, B$3&gt;0), B$3 * VLOOKUP($A71, Data_All!$A$8:$CA$153, MATCH(B$2, Data_All!$B$2:$CA$2, 0)+1), "")</f>
        <v/>
      </c>
      <c r="C71" s="206" t="str">
        <f>IF(AND($A71&gt;=SYear_O, $A71&lt;=EYear_O, C$3&gt;0), C$3 * VLOOKUP($A71, Data_All!$A$8:$CA$153, MATCH(C$2, Data_All!$B$2:$CA$2, 0)+1), "")</f>
        <v/>
      </c>
      <c r="D71" s="206" t="str">
        <f>IF(AND($A71&gt;=SYear_O, $A71&lt;=EYear_O, D$3&gt;0), D$3 * VLOOKUP($A71, Data_All!$A$8:$CA$153, MATCH(D$2, Data_All!$B$2:$CA$2, 0)+1), "")</f>
        <v/>
      </c>
      <c r="E71" s="206" t="str">
        <f>IF(AND($A71&gt;=SYear_O, $A71&lt;=EYear_O, E$3&gt;0), E$3 * VLOOKUP($A71, Data_All!$A$8:$CA$153, MATCH(E$2, Data_All!$B$2:$CA$2, 0)+1), "")</f>
        <v/>
      </c>
      <c r="F71" s="206" t="str">
        <f>IF(AND($A71&gt;=SYear_O, $A71&lt;=EYear_O, F$3&gt;0), F$3 * VLOOKUP($A71, Data_All!$A$8:$CA$153, MATCH(F$2, Data_All!$B$2:$CA$2, 0)+1), "")</f>
        <v/>
      </c>
      <c r="G71" s="206" t="str">
        <f>IF(AND($A71&gt;=SYear_O, $A71&lt;=EYear_O, G$3&gt;0), G$3 * VLOOKUP($A71, Data_All!$A$8:$CA$153, MATCH(G$2, Data_All!$B$2:$CA$2, 0)+1), "")</f>
        <v/>
      </c>
      <c r="H71" s="206" t="str">
        <f>IF(AND($A71&gt;=SYear_O, $A71&lt;=EYear_O, H$3&gt;0), H$3 * VLOOKUP($A71, Data_All!$A$8:$CA$153, MATCH(H$2, Data_All!$B$2:$CA$2, 0)+1), "")</f>
        <v/>
      </c>
      <c r="I71" s="206" t="str">
        <f>IF(AND($A71&gt;=SYear_O, $A71&lt;=EYear_O, I$3&gt;0), I$3 * VLOOKUP($A71, Data_All!$A$8:$CA$153, MATCH(I$2, Data_All!$B$2:$CA$2, 0)+1), "")</f>
        <v/>
      </c>
      <c r="J71" s="206" t="str">
        <f>IF(AND($A71&gt;=SYear_O, $A71&lt;=EYear_O, J$3&gt;0), J$3 * VLOOKUP($A71, Data_All!$A$8:$CA$153, MATCH(J$2, Data_All!$B$2:$CA$2, 0)+1), "")</f>
        <v/>
      </c>
      <c r="K71" s="206" t="str">
        <f>IF(AND($A71&gt;=SYear_O, $A71&lt;=EYear_O, K$3&gt;0), K$3 * VLOOKUP($A71, Data_All!$A$8:$CA$153, MATCH(K$2, Data_All!$B$2:$CA$2, 0)+1), "")</f>
        <v/>
      </c>
      <c r="L71" s="206" t="str">
        <f>IF(AND($A71&gt;=SYear_O, $A71&lt;=EYear_O, L$3&gt;0), L$3 * VLOOKUP($A71, Data_All!$A$8:$CA$153, MATCH(L$2, Data_All!$B$2:$CA$2, 0)+1), "")</f>
        <v/>
      </c>
      <c r="M71" s="206" t="str">
        <f>IF(AND($A71&gt;=SYear_O, $A71&lt;=EYear_O, M$3&gt;0), M$3 * VLOOKUP($A71, Data_All!$A$8:$CA$153, MATCH(M$2, Data_All!$B$2:$CA$2, 0)+1), "")</f>
        <v/>
      </c>
      <c r="N71" s="206" t="str">
        <f>IF(AND($A71&gt;=SYear_O, $A71&lt;=EYear_O, N$3&gt;0), N$3 * VLOOKUP($A71, Data_All!$A$8:$CA$153, MATCH(N$2, Data_All!$B$2:$CA$2, 0)+1), "")</f>
        <v/>
      </c>
      <c r="O71" s="206" t="str">
        <f>IF(AND($A71&gt;=SYear_O, $A71&lt;=EYear_O, O$3&gt;0), O$3 * VLOOKUP($A71, Data_All!$A$8:$CA$153, MATCH(O$2, Data_All!$B$2:$CA$2, 0)+1), "")</f>
        <v/>
      </c>
      <c r="P71" s="206" t="str">
        <f>IF(AND($A71&gt;=SYear_O, $A71&lt;=EYear_O, P$3&gt;0), P$3 * VLOOKUP($A71, Data_All!$A$8:$CA$153, MATCH(P$2, Data_All!$B$2:$CA$2, 0)+1), "")</f>
        <v/>
      </c>
      <c r="Q71" s="206" t="str">
        <f>IF(AND($A71&gt;=SYear_O, $A71&lt;=EYear_O, Q$3&gt;0), Q$3 * VLOOKUP($A71, Data_All!$A$8:$CA$153, MATCH(Q$2, Data_All!$B$2:$CA$2, 0)+1), "")</f>
        <v/>
      </c>
      <c r="R71" s="206" t="str">
        <f>IF(AND($A71&gt;=SYear_O, $A71&lt;=EYear_O, R$3&gt;0), R$3 * VLOOKUP($A71, Data_All!$A$8:$CA$153, MATCH(R$2, Data_All!$B$2:$CA$2, 0)+1), "")</f>
        <v/>
      </c>
      <c r="S71" s="206" t="str">
        <f>IF(AND($A71&gt;=SYear_O, $A71&lt;=EYear_O, S$3&gt;0), S$3 * VLOOKUP($A71, Data_All!$A$8:$CA$153, MATCH(S$2, Data_All!$B$2:$CA$2, 0)+1), "")</f>
        <v/>
      </c>
      <c r="T71" s="206" t="str">
        <f>IF(AND($A71&gt;=SYear_O, $A71&lt;=EYear_O, T$3&gt;0), T$3 * VLOOKUP($A71, Data_All!$A$8:$CA$153, MATCH(T$2, Data_All!$B$2:$CA$2, 0)+1), "")</f>
        <v/>
      </c>
      <c r="U71" s="206" t="str">
        <f>IF(AND($A71&gt;=SYear_O, $A71&lt;=EYear_O, U$3&gt;0), U$3 * VLOOKUP($A71, Data_All!$A$8:$CA$153, MATCH(U$2, Data_All!$B$2:$CA$2, 0)+1), "")</f>
        <v/>
      </c>
      <c r="V71" s="206" t="str">
        <f>IF(AND($A71&gt;=SYear_O, $A71&lt;=EYear_O, V$3&gt;0), V$3 * VLOOKUP($A71, Data_All!$A$8:$CA$153, MATCH(V$2, Data_All!$B$2:$CA$2, 0)+1), "")</f>
        <v/>
      </c>
      <c r="W71" s="206" t="str">
        <f>IF(AND($A71&gt;=SYear_O, $A71&lt;=EYear_O, W$3&gt;0), W$3 * VLOOKUP($A71, Data_All!$A$8:$CA$153, MATCH(W$2, Data_All!$B$2:$CA$2, 0)+1), "")</f>
        <v/>
      </c>
      <c r="X71" s="206" t="str">
        <f>IF(AND($A71&gt;=SYear_O, $A71&lt;=EYear_O, X$3&gt;0), X$3 * VLOOKUP($A71, Data_All!$A$8:$CA$153, MATCH(X$2, Data_All!$B$2:$CA$2, 0)+1), "")</f>
        <v/>
      </c>
      <c r="Y71" s="206" t="str">
        <f>IF(AND($A71&gt;=SYear_O, $A71&lt;=EYear_O, Y$3&gt;0), Y$3 * VLOOKUP($A71, Data_All!$A$8:$CA$153, MATCH(Y$2, Data_All!$B$2:$CA$2, 0)+1), "")</f>
        <v/>
      </c>
      <c r="Z71" s="206" t="str">
        <f>IF(AND($A71&gt;=SYear_O, $A71&lt;=EYear_O, Z$3&gt;0), Z$3 * VLOOKUP($A71, Data_All!$A$8:$CA$153, MATCH(Z$2, Data_All!$B$2:$CA$2, 0)+1), "")</f>
        <v/>
      </c>
      <c r="AA71" s="206" t="str">
        <f>IF(AND($A71&gt;=SYear_O, $A71&lt;=EYear_O, AA$3&gt;0), AA$3 * VLOOKUP($A71, Data_All!$A$8:$CA$153, MATCH(AA$2, Data_All!$B$2:$CA$2, 0)+1), "")</f>
        <v/>
      </c>
      <c r="AB71" s="206" t="str">
        <f>IF(AND($A71&gt;=SYear_O, $A71&lt;=EYear_O, AB$3&gt;0), AB$3 * VLOOKUP($A71, Data_All!$A$8:$CA$153, MATCH(AB$2, Data_All!$B$2:$CA$2, 0)+1), "")</f>
        <v/>
      </c>
      <c r="AC71" s="206" t="str">
        <f>IF(AND($A71&gt;=SYear_O, $A71&lt;=EYear_O, AC$3&gt;0), AC$3 * VLOOKUP($A71, Data_All!$A$8:$CA$153, MATCH(AC$2, Data_All!$B$2:$CA$2, 0)+1), "")</f>
        <v/>
      </c>
      <c r="AD71" s="206" t="str">
        <f>IF(AND($A71&gt;=SYear_O, $A71&lt;=EYear_O, AD$3&gt;0), AD$3 * VLOOKUP($A71, Data_All!$A$8:$CA$153, MATCH(AD$2, Data_All!$B$2:$CA$2, 0)+1), "")</f>
        <v/>
      </c>
      <c r="AE71" s="206" t="str">
        <f>IF(AND($A71&gt;=SYear_O, $A71&lt;=EYear_O, AE$3&gt;0), AE$3 * VLOOKUP($A71, Data_All!$A$8:$CA$153, MATCH(AE$2, Data_All!$B$2:$CA$2, 0)+1), "")</f>
        <v/>
      </c>
      <c r="AF71" s="206" t="str">
        <f>IF(AND($A71&gt;=SYear_O, $A71&lt;=EYear_O, AF$3&gt;0), AF$3 * VLOOKUP($A71, Data_All!$A$8:$CA$153, MATCH(AF$2, Data_All!$B$2:$CA$2, 0)+1), "")</f>
        <v/>
      </c>
      <c r="AG71" s="206" t="str">
        <f>IF(AND($A71&gt;=SYear_O, $A71&lt;=EYear_O, AG$3&gt;0), AG$3 * VLOOKUP($A71, Data_All!$A$8:$CA$153, MATCH(AG$2, Data_All!$B$2:$CA$2, 0)+1), "")</f>
        <v/>
      </c>
      <c r="AH71" s="206" t="str">
        <f>IF(AND($A71&gt;=SYear_O, $A71&lt;=EYear_O, AH$3&gt;0), AH$3 * VLOOKUP($A71, Data_All!$A$8:$CA$153, MATCH(AH$2, Data_All!$B$2:$CA$2, 0)+1), "")</f>
        <v/>
      </c>
      <c r="AI71" s="206" t="str">
        <f>IF(AND($A71&gt;=SYear_O, $A71&lt;=EYear_O, AI$3&gt;0), AI$3 * VLOOKUP($A71, Data_All!$A$8:$CA$153, MATCH(AI$2, Data_All!$B$2:$CA$2, 0)+1), "")</f>
        <v/>
      </c>
      <c r="AJ71" s="206" t="str">
        <f>IF(AND($A71&gt;=SYear_O, $A71&lt;=EYear_O, AJ$3&gt;0), AJ$3 * VLOOKUP($A71, Data_All!$A$8:$CA$153, MATCH(AJ$2, Data_All!$B$2:$CA$2, 0)+1), "")</f>
        <v/>
      </c>
      <c r="AK71" s="206" t="str">
        <f>IF(AND($A71&gt;=SYear_O, $A71&lt;=EYear_O, AK$3&gt;0), AK$3 * VLOOKUP($A71, Data_All!$A$8:$CA$153, MATCH(AK$2, Data_All!$B$2:$CA$2, 0)+1), "")</f>
        <v/>
      </c>
      <c r="AL71" s="206" t="str">
        <f>IF(AND($A71&gt;=SYear_O, $A71&lt;=EYear_O, AL$3&gt;0), AL$3 * VLOOKUP($A71, Data_All!$A$8:$CA$153, MATCH(AL$2, Data_All!$B$2:$CA$2, 0)+1), "")</f>
        <v/>
      </c>
      <c r="AM71" s="206" t="str">
        <f>IF(AND($A71&gt;=SYear_O, $A71&lt;=EYear_O, AM$3&gt;0), AM$3 * VLOOKUP($A71, Data_All!$A$8:$CA$153, MATCH(AM$2, Data_All!$B$2:$CA$2, 0)+1), "")</f>
        <v/>
      </c>
      <c r="AN71" s="206" t="str">
        <f>IF(AND($A71&gt;=SYear_O, $A71&lt;=EYear_O, AN$3&gt;0), AN$3 * VLOOKUP($A71, Data_All!$A$8:$CA$153, MATCH(AN$2, Data_All!$B$2:$CA$2, 0)+1), "")</f>
        <v/>
      </c>
      <c r="AO71" s="206" t="str">
        <f>IF(AND($A71&gt;=SYear_O, $A71&lt;=EYear_O, AO$3&gt;0), AO$3 * VLOOKUP($A71, Data_All!$A$8:$CA$153, MATCH(AO$2, Data_All!$B$2:$CA$2, 0)+1), "")</f>
        <v/>
      </c>
      <c r="AP71" s="206" t="str">
        <f>IF(AND($A71&gt;=SYear_O, $A71&lt;=EYear_O, AP$3&gt;0), AP$3 * VLOOKUP($A71, Data_All!$A$8:$CA$153, MATCH(AP$2, Data_All!$B$2:$CA$2, 0)+1), "")</f>
        <v/>
      </c>
      <c r="AQ71" s="206" t="str">
        <f>IF(AND($A71&gt;=SYear_O, $A71&lt;=EYear_O, AQ$3&gt;0), AQ$3 * VLOOKUP($A71, Data_All!$A$8:$CA$153, MATCH(AQ$2, Data_All!$B$2:$CA$2, 0)+1), "")</f>
        <v/>
      </c>
      <c r="AR71" s="206" t="str">
        <f>IF(AND($A71&gt;=SYear_O, $A71&lt;=EYear_O, AR$3&gt;0), AR$3 * VLOOKUP($A71, Data_All!$A$8:$CA$153, MATCH(AR$2, Data_All!$B$2:$CA$2, 0)+1), "")</f>
        <v/>
      </c>
      <c r="AS71" s="206" t="str">
        <f>IF(AND($A71&gt;=SYear_O, $A71&lt;=EYear_O, AS$3&gt;0), AS$3 * VLOOKUP($A71, Data_All!$A$8:$CA$153, MATCH(AS$2, Data_All!$B$2:$CA$2, 0)+1), "")</f>
        <v/>
      </c>
      <c r="AT71" s="206" t="str">
        <f>IF(AND($A71&gt;=SYear_O, $A71&lt;=EYear_O, AT$3&gt;0), AT$3 * VLOOKUP($A71, Data_All!$A$8:$CA$153, MATCH(AT$2, Data_All!$B$2:$CA$2, 0)+1), "")</f>
        <v/>
      </c>
      <c r="AU71" s="206" t="str">
        <f>IF(AND($A71&gt;=SYear_O, $A71&lt;=EYear_O, AU$3&gt;0), AU$3 * VLOOKUP($A71, Data_All!$A$8:$CA$153, MATCH(AU$2, Data_All!$B$2:$CA$2, 0)+1), "")</f>
        <v/>
      </c>
      <c r="AV71" s="206" t="str">
        <f>IF(AND($A71&gt;=SYear_O, $A71&lt;=EYear_O, AV$3&gt;0), AV$3 * VLOOKUP($A71, Data_All!$A$8:$CA$153, MATCH(AV$2, Data_All!$B$2:$CA$2, 0)+1), "")</f>
        <v/>
      </c>
      <c r="AW71" s="206" t="str">
        <f>IF(AND($A71&gt;=SYear_O, $A71&lt;=EYear_O, AW$3&gt;0), AW$3 * VLOOKUP($A71, Data_All!$A$8:$CA$153, MATCH(AW$2, Data_All!$B$2:$CA$2, 0)+1), "")</f>
        <v/>
      </c>
      <c r="AX71" s="206" t="str">
        <f>IF(AND($A71&gt;=SYear_O, $A71&lt;=EYear_O, AX$3&gt;0), AX$3 * VLOOKUP($A71, Data_All!$A$8:$CA$153, MATCH(AX$2, Data_All!$B$2:$CA$2, 0)+1), "")</f>
        <v/>
      </c>
      <c r="AY71" s="206" t="str">
        <f>IF(AND($A71&gt;=SYear_O, $A71&lt;=EYear_O, AY$3&gt;0), AY$3 * VLOOKUP($A71, Data_All!$A$8:$CA$153, MATCH(AY$2, Data_All!$B$2:$CA$2, 0)+1), "")</f>
        <v/>
      </c>
      <c r="AZ71" s="206" t="str">
        <f>IF(AND($A71&gt;=SYear_O, $A71&lt;=EYear_O, AZ$3&gt;0), AZ$3 * VLOOKUP($A71, Data_All!$A$8:$CA$153, MATCH(AZ$2, Data_All!$B$2:$CA$2, 0)+1), "")</f>
        <v/>
      </c>
      <c r="BA71" s="206" t="str">
        <f>IF(AND($A71&gt;=SYear_O, $A71&lt;=EYear_O, BA$3&gt;0), BA$3 * VLOOKUP($A71, Data_All!$A$8:$CA$153, MATCH(BA$2, Data_All!$B$2:$CA$2, 0)+1), "")</f>
        <v/>
      </c>
      <c r="BB71" s="206" t="str">
        <f>IF(AND($A71&gt;=SYear_O, $A71&lt;=EYear_O, BB$3&gt;0), BB$3 * VLOOKUP($A71, Data_All!$A$8:$CA$153, MATCH(BB$2, Data_All!$B$2:$CA$2, 0)+1), "")</f>
        <v/>
      </c>
      <c r="BC71" s="206" t="str">
        <f>IF(AND($A71&gt;=SYear_O, $A71&lt;=EYear_O, BC$3&gt;0), BC$3 * VLOOKUP($A71, Data_All!$A$8:$CA$153, MATCH(BC$2, Data_All!$B$2:$CA$2, 0)+1), "")</f>
        <v/>
      </c>
      <c r="BD71" s="206" t="str">
        <f>IF(AND($A71&gt;=SYear_O, $A71&lt;=EYear_O, BD$3&gt;0), BD$3 * VLOOKUP($A71, Data_All!$A$8:$CA$153, MATCH(BD$2, Data_All!$B$2:$CA$2, 0)+1), "")</f>
        <v/>
      </c>
      <c r="BE71" s="206" t="str">
        <f>IF(AND($A71&gt;=SYear_O, $A71&lt;=EYear_O, BE$3&gt;0), BE$3 * VLOOKUP($A71, Data_All!$A$8:$CA$153, MATCH(BE$2, Data_All!$B$2:$CA$2, 0)+1), "")</f>
        <v/>
      </c>
      <c r="BF71" s="206" t="str">
        <f>IF(AND($A71&gt;=SYear_O, $A71&lt;=EYear_O, BF$3&gt;0), BF$3 * VLOOKUP($A71, Data_All!$A$8:$CA$153, MATCH(BF$2, Data_All!$B$2:$CA$2, 0)+1), "")</f>
        <v/>
      </c>
      <c r="BG71" s="206" t="str">
        <f>IF(AND($A71&gt;=SYear_O, $A71&lt;=EYear_O, BG$3&gt;0), BG$3 * VLOOKUP($A71, Data_All!$A$8:$CA$153, MATCH(BG$2, Data_All!$B$2:$CA$2, 0)+1), "")</f>
        <v/>
      </c>
      <c r="BH71" s="206" t="str">
        <f>IF(AND($A71&gt;=SYear_O, $A71&lt;=EYear_O, BH$3&gt;0), BH$3 * VLOOKUP($A71, Data_All!$A$8:$CA$153, MATCH(BH$2, Data_All!$B$2:$CA$2, 0)+1), "")</f>
        <v/>
      </c>
      <c r="BI71" s="206" t="str">
        <f>IF(AND($A71&gt;=SYear_O, $A71&lt;=EYear_O, BI$3&gt;0), BI$3 * VLOOKUP($A71, Data_All!$A$8:$CA$153, MATCH(BI$2, Data_All!$B$2:$CA$2, 0)+1), "")</f>
        <v/>
      </c>
      <c r="BJ71" s="206" t="str">
        <f>IF(AND($A71&gt;=SYear_O, $A71&lt;=EYear_O, BJ$3&gt;0), BJ$3 * VLOOKUP($A71, Data_All!$A$8:$CA$153, MATCH(BJ$2, Data_All!$B$2:$CA$2, 0)+1), "")</f>
        <v/>
      </c>
      <c r="BK71" s="206" t="str">
        <f>IF(AND($A71&gt;=SYear_O, $A71&lt;=EYear_O, BK$3&gt;0), BK$3 * VLOOKUP($A71, Data_All!$A$8:$CA$153, MATCH(BK$2, Data_All!$B$2:$CA$2, 0)+1), "")</f>
        <v/>
      </c>
      <c r="BL71" s="206" t="str">
        <f>IF(AND($A71&gt;=SYear_O, $A71&lt;=EYear_O, BL$3&gt;0), BL$3 * VLOOKUP($A71, Data_All!$A$8:$CA$153, MATCH(BL$2, Data_All!$B$2:$CA$2, 0)+1), "")</f>
        <v/>
      </c>
      <c r="BM71" s="206" t="str">
        <f>IF(AND($A71&gt;=SYear_O, $A71&lt;=EYear_O, BM$3&gt;0), BM$3 * VLOOKUP($A71, Data_All!$A$8:$CA$153, MATCH(BM$2, Data_All!$B$2:$CA$2, 0)+1), "")</f>
        <v/>
      </c>
      <c r="BN71" s="206" t="str">
        <f>IF(AND($A71&gt;=SYear_O, $A71&lt;=EYear_O, BN$3&gt;0), BN$3 * VLOOKUP($A71, Data_All!$A$8:$CA$153, MATCH(BN$2, Data_All!$B$2:$CA$2, 0)+1), "")</f>
        <v/>
      </c>
      <c r="BO71" s="206" t="str">
        <f>IF(AND($A71&gt;=SYear_O, $A71&lt;=EYear_O, BO$3&gt;0), BO$3 * VLOOKUP($A71, Data_All!$A$8:$CA$153, MATCH(BO$2, Data_All!$B$2:$CA$2, 0)+1), "")</f>
        <v/>
      </c>
      <c r="BP71" s="206" t="str">
        <f>IF(AND($A71&gt;=SYear_O, $A71&lt;=EYear_O, BP$3&gt;0), BP$3 * VLOOKUP($A71, Data_All!$A$8:$CA$153, MATCH(BP$2, Data_All!$B$2:$CA$2, 0)+1), "")</f>
        <v/>
      </c>
      <c r="BQ71" s="206" t="str">
        <f>IF(AND($A71&gt;=SYear_O, $A71&lt;=EYear_O, BQ$3&gt;0), BQ$3 * VLOOKUP($A71, Data_All!$A$8:$CA$153, MATCH(BQ$2, Data_All!$B$2:$CA$2, 0)+1), "")</f>
        <v/>
      </c>
      <c r="BR71" s="206" t="str">
        <f>IF(AND($A71&gt;=SYear_O, $A71&lt;=EYear_O, BR$3&gt;0), BR$3 * VLOOKUP($A71, Data_All!$A$8:$CA$153, MATCH(BR$2, Data_All!$B$2:$CA$2, 0)+1), "")</f>
        <v/>
      </c>
      <c r="BS71" s="206" t="str">
        <f>IF(AND($A71&gt;=SYear_O, $A71&lt;=EYear_O, BS$3&gt;0), BS$3 * VLOOKUP($A71, Data_All!$A$8:$CA$153, MATCH(BS$2, Data_All!$B$2:$CA$2, 0)+1), "")</f>
        <v/>
      </c>
      <c r="BT71" s="206" t="str">
        <f>IF(AND($A71&gt;=SYear_O, $A71&lt;=EYear_O, BT$3&gt;0), BT$3 * VLOOKUP($A71, Data_All!$A$8:$CA$153, MATCH(BT$2, Data_All!$B$2:$CA$2, 0)+1), "")</f>
        <v/>
      </c>
      <c r="BU71" s="206" t="str">
        <f>IF(AND($A71&gt;=SYear_O, $A71&lt;=EYear_O, BU$3&gt;0), BU$3 * VLOOKUP($A71, Data_All!$A$8:$CA$153, MATCH(BU$2, Data_All!$B$2:$CA$2, 0)+1), "")</f>
        <v/>
      </c>
      <c r="BV71" s="206" t="str">
        <f>IF(AND($A71&gt;=SYear_O, $A71&lt;=EYear_O, BV$3&gt;0), BV$3 * VLOOKUP($A71, Data_All!$A$8:$CA$153, MATCH(BV$2, Data_All!$B$2:$CA$2, 0)+1), "")</f>
        <v/>
      </c>
      <c r="BW71" s="206" t="str">
        <f>IF(AND($A71&gt;=SYear_O, $A71&lt;=EYear_O, BW$3&gt;0), BW$3 * VLOOKUP($A71, Data_All!$A$8:$CA$153, MATCH(BW$2, Data_All!$B$2:$CA$2, 0)+1), "")</f>
        <v/>
      </c>
      <c r="BX71" s="206">
        <f>IF(AND($A71&gt;=SYear_O, $A71&lt;=EYear_O, BX$3&gt;0), BX$3 * VLOOKUP($A71, Data_All!$A$8:$CA$153, MATCH(BX$2, Data_All!$B$2:$CA$2, 0)+1), "")</f>
        <v>32.203023758099356</v>
      </c>
      <c r="BY71" s="206">
        <f>IF(AND($A71&gt;=SYear_O, $A71&lt;=EYear_O, BY$3&gt;0), BY$3 * VLOOKUP($A71, Data_All!$A$8:$CA$153, MATCH(BY$2, Data_All!$B$2:$CA$2, 0)+1), "")</f>
        <v>1.3621420314042876</v>
      </c>
      <c r="BZ71" s="206" t="str">
        <f>IF(AND($A71&gt;=SYear_O, $A71&lt;=EYear_O, BZ$3&gt;0), BZ$3 * VLOOKUP($A71, Data_All!$A$8:$CA$153, MATCH(BZ$2, Data_All!$B$2:$CA$2, 0)+1), "")</f>
        <v/>
      </c>
      <c r="CA71" s="565">
        <f t="shared" ref="CA71:CA102" si="35">IF(AND($A71&gt;=SYear_O,$A71&lt;=EYear_O),SUM(B71:BZ71),"")</f>
        <v>33.565165789503645</v>
      </c>
      <c r="CB71" s="427">
        <f t="shared" ref="CB71:CB102" si="36">IF(AND($A71&gt;=SYear_O,$A71&lt;=EYear_O),IF($A71=SYear_O,$CB$4*(1+CA71%),$CB70*(1+CA71%)),"")</f>
        <v>533807.37982618168</v>
      </c>
      <c r="CC71" s="565">
        <f>IF(AND($A71&gt;=SYear_O,$A71&lt;=EYear_O),(CA71-Data_All!CA72)/(1+Data_All!CA72%),"")</f>
        <v>31.62943874907603</v>
      </c>
      <c r="CD71" s="436">
        <f t="shared" ref="CD71:CD102" si="37">IF(AND($A71&gt;=SYear_O,$A71&lt;=EYear_O),IF($A71=SYear_O,$CD$4*(1+CC71%),$CD70*(1+CC71%)),"")</f>
        <v>482130.9959712823</v>
      </c>
      <c r="CE71" s="438">
        <f t="shared" ref="CE71:CE102" si="38">IF(AND($A71&gt;=SYear_O,$A71&lt;=EYear_O),IF($A71=SYear_O,CE$2,CE70*(1+CA71%)),"")</f>
        <v>48.41592299826651</v>
      </c>
      <c r="CF71" s="438">
        <f>IF(AND($A71&gt;=SYear_O,$A71&lt;=EYear_O),MAX($CE$7:CE71),"")</f>
        <v>48.41592299826651</v>
      </c>
      <c r="CG71" s="209">
        <f t="shared" ref="CG71:CG102" si="39">IF(AND($A71&gt;=SYear_O,$A71&lt;=EYear_O),1-(CE71/CF71),"")</f>
        <v>0</v>
      </c>
      <c r="CI71" s="143">
        <f>IF(AND($A71&gt;=SYear_O,$A71&lt;=EYear_O),Data_All!V72,"")</f>
        <v>0.65940653411929273</v>
      </c>
      <c r="CJ71" s="143">
        <f>IF(AND($A71&gt;=SYear_O,$A71&lt;=EYear_O),Data_All!CA72,"")</f>
        <v>1.4705882352941346</v>
      </c>
      <c r="CK71" s="143">
        <f t="shared" ref="CK71:CK102" si="40">IF(AND($A71&gt;=SYear_O,$A71&lt;=EYear_O),(CI71-CJ71)/(1+CJ71%),"")</f>
        <v>-0.7994254446360759</v>
      </c>
      <c r="CN71" s="61">
        <f t="shared" ref="CN71:CN102" si="41">IF(AND($A71&gt;=SYear_O,$A71&lt;=EYear_O),IF($A71=SYear_O,($CB71/$CB$4)-1,($CB71/$CB70)-1),"")</f>
        <v>0.33565165789503659</v>
      </c>
      <c r="CO71" s="61">
        <f t="shared" ref="CO71:CO102" si="42">IF(AND($A71&gt;=SYear_O,$A71&lt;=EYear_O),IF($A71=SYear_O,(($CB73/$CB$4)^(1/(1+($A73-$A71)))-1),(($CB73/$CB70)^(1/(1+($A73-$A71)))-1)),"")</f>
        <v>0.10056929051516805</v>
      </c>
      <c r="CP71" s="61">
        <f t="shared" ref="CP71:CP102" si="43">IF(AND($A71&gt;=SYear_O,$A71&lt;=EYear_O),IF($A71=SYear_O,(($CB75/$CB$4)^(1/(1+($A75-$A71)))-1),(($CB75/$CB70)^(1/(1+($A75-$A71)))-1)),"")</f>
        <v>8.7540187849794338E-2</v>
      </c>
      <c r="CQ71" s="61">
        <f t="shared" ref="CQ71:CQ102" si="44">IF(AND($A71&gt;=SYear_O,$A71&lt;=EYear_O),IF($A71=SYear_O,(($CB80/$CB$4)^(1/(1+($A80-$A71)))-1),(($CB80/$CB70)^(1/(1+($A80-$A71)))-1)),"")</f>
        <v>7.3379240706359594E-2</v>
      </c>
      <c r="CR71" s="61">
        <f t="shared" ref="CR71:CR102" si="45">IF(AND($A71&gt;=SYear_O,$A71&lt;=EYear_O),IF($A71=SYear_O,(($CB85/$CB$4)^(1/(1+($A85-$A71)))-1),(($CB85/$CB70)^(1/(1+($A85-$A71)))-1)),"")</f>
        <v>7.3138772949672859E-2</v>
      </c>
      <c r="CU71" s="61">
        <f t="shared" ref="CU71:CU102" si="46">IF(AND($A71&gt;=SYear_O,$A71&lt;=EYear_O),IF($A71=SYear_O,($CD71/$CD$4)-1,($CD71/$CD70)-1),"")</f>
        <v>0.31629438749076022</v>
      </c>
      <c r="CV71" s="61">
        <f t="shared" ref="CV71:CV102" si="47">IF(AND($A71&gt;=SYear_O,$A71&lt;=EYear_O),IF($A71=SYear_O,(($CD73/$CD$4)^(1/(1+($A73-$A71)))-1),(($CD73/$CD70)^(1/(1+($A73-$A71)))-1)),"")</f>
        <v>8.4844717029844086E-2</v>
      </c>
      <c r="CW71" s="61">
        <f t="shared" ref="CW71:CW102" si="48">IF(AND($A71&gt;=SYear_O,$A71&lt;=EYear_O),IF($A71=SYear_O,(($CD75/$CD$4)^(1/(1+($A75-$A71)))-1),(($CD75/$CD70)^(1/(1+($A75-$A71)))-1)),"")</f>
        <v>8.280470954663488E-2</v>
      </c>
      <c r="CX71" s="61">
        <f t="shared" ref="CX71:CX102" si="49">IF(AND($A71&gt;=SYear_O,$A71&lt;=EYear_O),IF($A71=SYear_O,(($CD80/$CD$4)^(1/(1+($A80-$A71)))-1),(($CD80/$CD70)^(1/(1+($A80-$A71)))-1)),"")</f>
        <v>4.4876790212211137E-2</v>
      </c>
      <c r="CY71" s="61">
        <f t="shared" ref="CY71:CY102" si="50">IF(AND($A71&gt;=SYear_O,$A71&lt;=EYear_O),IF($A71=SYear_O,(($CD85/$CD$4)^(1/(1+($A85-$A71)))-1),(($CD85/$CD70)^(1/(1+($A85-$A71)))-1)),"")</f>
        <v>3.4714708878718303E-2</v>
      </c>
    </row>
    <row r="72" spans="1:103">
      <c r="A72" s="204">
        <f t="shared" si="18"/>
        <v>1936</v>
      </c>
      <c r="B72" s="206" t="str">
        <f>IF(AND($A72&gt;=SYear_O, $A72&lt;=EYear_O, B$3&gt;0), B$3 * VLOOKUP($A72, Data_All!$A$8:$CA$153, MATCH(B$2, Data_All!$B$2:$CA$2, 0)+1), "")</f>
        <v/>
      </c>
      <c r="C72" s="206" t="str">
        <f>IF(AND($A72&gt;=SYear_O, $A72&lt;=EYear_O, C$3&gt;0), C$3 * VLOOKUP($A72, Data_All!$A$8:$CA$153, MATCH(C$2, Data_All!$B$2:$CA$2, 0)+1), "")</f>
        <v/>
      </c>
      <c r="D72" s="206" t="str">
        <f>IF(AND($A72&gt;=SYear_O, $A72&lt;=EYear_O, D$3&gt;0), D$3 * VLOOKUP($A72, Data_All!$A$8:$CA$153, MATCH(D$2, Data_All!$B$2:$CA$2, 0)+1), "")</f>
        <v/>
      </c>
      <c r="E72" s="206" t="str">
        <f>IF(AND($A72&gt;=SYear_O, $A72&lt;=EYear_O, E$3&gt;0), E$3 * VLOOKUP($A72, Data_All!$A$8:$CA$153, MATCH(E$2, Data_All!$B$2:$CA$2, 0)+1), "")</f>
        <v/>
      </c>
      <c r="F72" s="206" t="str">
        <f>IF(AND($A72&gt;=SYear_O, $A72&lt;=EYear_O, F$3&gt;0), F$3 * VLOOKUP($A72, Data_All!$A$8:$CA$153, MATCH(F$2, Data_All!$B$2:$CA$2, 0)+1), "")</f>
        <v/>
      </c>
      <c r="G72" s="206" t="str">
        <f>IF(AND($A72&gt;=SYear_O, $A72&lt;=EYear_O, G$3&gt;0), G$3 * VLOOKUP($A72, Data_All!$A$8:$CA$153, MATCH(G$2, Data_All!$B$2:$CA$2, 0)+1), "")</f>
        <v/>
      </c>
      <c r="H72" s="206" t="str">
        <f>IF(AND($A72&gt;=SYear_O, $A72&lt;=EYear_O, H$3&gt;0), H$3 * VLOOKUP($A72, Data_All!$A$8:$CA$153, MATCH(H$2, Data_All!$B$2:$CA$2, 0)+1), "")</f>
        <v/>
      </c>
      <c r="I72" s="206" t="str">
        <f>IF(AND($A72&gt;=SYear_O, $A72&lt;=EYear_O, I$3&gt;0), I$3 * VLOOKUP($A72, Data_All!$A$8:$CA$153, MATCH(I$2, Data_All!$B$2:$CA$2, 0)+1), "")</f>
        <v/>
      </c>
      <c r="J72" s="206" t="str">
        <f>IF(AND($A72&gt;=SYear_O, $A72&lt;=EYear_O, J$3&gt;0), J$3 * VLOOKUP($A72, Data_All!$A$8:$CA$153, MATCH(J$2, Data_All!$B$2:$CA$2, 0)+1), "")</f>
        <v/>
      </c>
      <c r="K72" s="206" t="str">
        <f>IF(AND($A72&gt;=SYear_O, $A72&lt;=EYear_O, K$3&gt;0), K$3 * VLOOKUP($A72, Data_All!$A$8:$CA$153, MATCH(K$2, Data_All!$B$2:$CA$2, 0)+1), "")</f>
        <v/>
      </c>
      <c r="L72" s="206" t="str">
        <f>IF(AND($A72&gt;=SYear_O, $A72&lt;=EYear_O, L$3&gt;0), L$3 * VLOOKUP($A72, Data_All!$A$8:$CA$153, MATCH(L$2, Data_All!$B$2:$CA$2, 0)+1), "")</f>
        <v/>
      </c>
      <c r="M72" s="206" t="str">
        <f>IF(AND($A72&gt;=SYear_O, $A72&lt;=EYear_O, M$3&gt;0), M$3 * VLOOKUP($A72, Data_All!$A$8:$CA$153, MATCH(M$2, Data_All!$B$2:$CA$2, 0)+1), "")</f>
        <v/>
      </c>
      <c r="N72" s="206" t="str">
        <f>IF(AND($A72&gt;=SYear_O, $A72&lt;=EYear_O, N$3&gt;0), N$3 * VLOOKUP($A72, Data_All!$A$8:$CA$153, MATCH(N$2, Data_All!$B$2:$CA$2, 0)+1), "")</f>
        <v/>
      </c>
      <c r="O72" s="206" t="str">
        <f>IF(AND($A72&gt;=SYear_O, $A72&lt;=EYear_O, O$3&gt;0), O$3 * VLOOKUP($A72, Data_All!$A$8:$CA$153, MATCH(O$2, Data_All!$B$2:$CA$2, 0)+1), "")</f>
        <v/>
      </c>
      <c r="P72" s="206" t="str">
        <f>IF(AND($A72&gt;=SYear_O, $A72&lt;=EYear_O, P$3&gt;0), P$3 * VLOOKUP($A72, Data_All!$A$8:$CA$153, MATCH(P$2, Data_All!$B$2:$CA$2, 0)+1), "")</f>
        <v/>
      </c>
      <c r="Q72" s="206" t="str">
        <f>IF(AND($A72&gt;=SYear_O, $A72&lt;=EYear_O, Q$3&gt;0), Q$3 * VLOOKUP($A72, Data_All!$A$8:$CA$153, MATCH(Q$2, Data_All!$B$2:$CA$2, 0)+1), "")</f>
        <v/>
      </c>
      <c r="R72" s="206" t="str">
        <f>IF(AND($A72&gt;=SYear_O, $A72&lt;=EYear_O, R$3&gt;0), R$3 * VLOOKUP($A72, Data_All!$A$8:$CA$153, MATCH(R$2, Data_All!$B$2:$CA$2, 0)+1), "")</f>
        <v/>
      </c>
      <c r="S72" s="206" t="str">
        <f>IF(AND($A72&gt;=SYear_O, $A72&lt;=EYear_O, S$3&gt;0), S$3 * VLOOKUP($A72, Data_All!$A$8:$CA$153, MATCH(S$2, Data_All!$B$2:$CA$2, 0)+1), "")</f>
        <v/>
      </c>
      <c r="T72" s="206" t="str">
        <f>IF(AND($A72&gt;=SYear_O, $A72&lt;=EYear_O, T$3&gt;0), T$3 * VLOOKUP($A72, Data_All!$A$8:$CA$153, MATCH(T$2, Data_All!$B$2:$CA$2, 0)+1), "")</f>
        <v/>
      </c>
      <c r="U72" s="206" t="str">
        <f>IF(AND($A72&gt;=SYear_O, $A72&lt;=EYear_O, U$3&gt;0), U$3 * VLOOKUP($A72, Data_All!$A$8:$CA$153, MATCH(U$2, Data_All!$B$2:$CA$2, 0)+1), "")</f>
        <v/>
      </c>
      <c r="V72" s="206" t="str">
        <f>IF(AND($A72&gt;=SYear_O, $A72&lt;=EYear_O, V$3&gt;0), V$3 * VLOOKUP($A72, Data_All!$A$8:$CA$153, MATCH(V$2, Data_All!$B$2:$CA$2, 0)+1), "")</f>
        <v/>
      </c>
      <c r="W72" s="206" t="str">
        <f>IF(AND($A72&gt;=SYear_O, $A72&lt;=EYear_O, W$3&gt;0), W$3 * VLOOKUP($A72, Data_All!$A$8:$CA$153, MATCH(W$2, Data_All!$B$2:$CA$2, 0)+1), "")</f>
        <v/>
      </c>
      <c r="X72" s="206" t="str">
        <f>IF(AND($A72&gt;=SYear_O, $A72&lt;=EYear_O, X$3&gt;0), X$3 * VLOOKUP($A72, Data_All!$A$8:$CA$153, MATCH(X$2, Data_All!$B$2:$CA$2, 0)+1), "")</f>
        <v/>
      </c>
      <c r="Y72" s="206" t="str">
        <f>IF(AND($A72&gt;=SYear_O, $A72&lt;=EYear_O, Y$3&gt;0), Y$3 * VLOOKUP($A72, Data_All!$A$8:$CA$153, MATCH(Y$2, Data_All!$B$2:$CA$2, 0)+1), "")</f>
        <v/>
      </c>
      <c r="Z72" s="206" t="str">
        <f>IF(AND($A72&gt;=SYear_O, $A72&lt;=EYear_O, Z$3&gt;0), Z$3 * VLOOKUP($A72, Data_All!$A$8:$CA$153, MATCH(Z$2, Data_All!$B$2:$CA$2, 0)+1), "")</f>
        <v/>
      </c>
      <c r="AA72" s="206" t="str">
        <f>IF(AND($A72&gt;=SYear_O, $A72&lt;=EYear_O, AA$3&gt;0), AA$3 * VLOOKUP($A72, Data_All!$A$8:$CA$153, MATCH(AA$2, Data_All!$B$2:$CA$2, 0)+1), "")</f>
        <v/>
      </c>
      <c r="AB72" s="206" t="str">
        <f>IF(AND($A72&gt;=SYear_O, $A72&lt;=EYear_O, AB$3&gt;0), AB$3 * VLOOKUP($A72, Data_All!$A$8:$CA$153, MATCH(AB$2, Data_All!$B$2:$CA$2, 0)+1), "")</f>
        <v/>
      </c>
      <c r="AC72" s="206" t="str">
        <f>IF(AND($A72&gt;=SYear_O, $A72&lt;=EYear_O, AC$3&gt;0), AC$3 * VLOOKUP($A72, Data_All!$A$8:$CA$153, MATCH(AC$2, Data_All!$B$2:$CA$2, 0)+1), "")</f>
        <v/>
      </c>
      <c r="AD72" s="206" t="str">
        <f>IF(AND($A72&gt;=SYear_O, $A72&lt;=EYear_O, AD$3&gt;0), AD$3 * VLOOKUP($A72, Data_All!$A$8:$CA$153, MATCH(AD$2, Data_All!$B$2:$CA$2, 0)+1), "")</f>
        <v/>
      </c>
      <c r="AE72" s="206" t="str">
        <f>IF(AND($A72&gt;=SYear_O, $A72&lt;=EYear_O, AE$3&gt;0), AE$3 * VLOOKUP($A72, Data_All!$A$8:$CA$153, MATCH(AE$2, Data_All!$B$2:$CA$2, 0)+1), "")</f>
        <v/>
      </c>
      <c r="AF72" s="206" t="str">
        <f>IF(AND($A72&gt;=SYear_O, $A72&lt;=EYear_O, AF$3&gt;0), AF$3 * VLOOKUP($A72, Data_All!$A$8:$CA$153, MATCH(AF$2, Data_All!$B$2:$CA$2, 0)+1), "")</f>
        <v/>
      </c>
      <c r="AG72" s="206" t="str">
        <f>IF(AND($A72&gt;=SYear_O, $A72&lt;=EYear_O, AG$3&gt;0), AG$3 * VLOOKUP($A72, Data_All!$A$8:$CA$153, MATCH(AG$2, Data_All!$B$2:$CA$2, 0)+1), "")</f>
        <v/>
      </c>
      <c r="AH72" s="206" t="str">
        <f>IF(AND($A72&gt;=SYear_O, $A72&lt;=EYear_O, AH$3&gt;0), AH$3 * VLOOKUP($A72, Data_All!$A$8:$CA$153, MATCH(AH$2, Data_All!$B$2:$CA$2, 0)+1), "")</f>
        <v/>
      </c>
      <c r="AI72" s="206" t="str">
        <f>IF(AND($A72&gt;=SYear_O, $A72&lt;=EYear_O, AI$3&gt;0), AI$3 * VLOOKUP($A72, Data_All!$A$8:$CA$153, MATCH(AI$2, Data_All!$B$2:$CA$2, 0)+1), "")</f>
        <v/>
      </c>
      <c r="AJ72" s="206" t="str">
        <f>IF(AND($A72&gt;=SYear_O, $A72&lt;=EYear_O, AJ$3&gt;0), AJ$3 * VLOOKUP($A72, Data_All!$A$8:$CA$153, MATCH(AJ$2, Data_All!$B$2:$CA$2, 0)+1), "")</f>
        <v/>
      </c>
      <c r="AK72" s="206" t="str">
        <f>IF(AND($A72&gt;=SYear_O, $A72&lt;=EYear_O, AK$3&gt;0), AK$3 * VLOOKUP($A72, Data_All!$A$8:$CA$153, MATCH(AK$2, Data_All!$B$2:$CA$2, 0)+1), "")</f>
        <v/>
      </c>
      <c r="AL72" s="206" t="str">
        <f>IF(AND($A72&gt;=SYear_O, $A72&lt;=EYear_O, AL$3&gt;0), AL$3 * VLOOKUP($A72, Data_All!$A$8:$CA$153, MATCH(AL$2, Data_All!$B$2:$CA$2, 0)+1), "")</f>
        <v/>
      </c>
      <c r="AM72" s="206" t="str">
        <f>IF(AND($A72&gt;=SYear_O, $A72&lt;=EYear_O, AM$3&gt;0), AM$3 * VLOOKUP($A72, Data_All!$A$8:$CA$153, MATCH(AM$2, Data_All!$B$2:$CA$2, 0)+1), "")</f>
        <v/>
      </c>
      <c r="AN72" s="206" t="str">
        <f>IF(AND($A72&gt;=SYear_O, $A72&lt;=EYear_O, AN$3&gt;0), AN$3 * VLOOKUP($A72, Data_All!$A$8:$CA$153, MATCH(AN$2, Data_All!$B$2:$CA$2, 0)+1), "")</f>
        <v/>
      </c>
      <c r="AO72" s="206" t="str">
        <f>IF(AND($A72&gt;=SYear_O, $A72&lt;=EYear_O, AO$3&gt;0), AO$3 * VLOOKUP($A72, Data_All!$A$8:$CA$153, MATCH(AO$2, Data_All!$B$2:$CA$2, 0)+1), "")</f>
        <v/>
      </c>
      <c r="AP72" s="206" t="str">
        <f>IF(AND($A72&gt;=SYear_O, $A72&lt;=EYear_O, AP$3&gt;0), AP$3 * VLOOKUP($A72, Data_All!$A$8:$CA$153, MATCH(AP$2, Data_All!$B$2:$CA$2, 0)+1), "")</f>
        <v/>
      </c>
      <c r="AQ72" s="206" t="str">
        <f>IF(AND($A72&gt;=SYear_O, $A72&lt;=EYear_O, AQ$3&gt;0), AQ$3 * VLOOKUP($A72, Data_All!$A$8:$CA$153, MATCH(AQ$2, Data_All!$B$2:$CA$2, 0)+1), "")</f>
        <v/>
      </c>
      <c r="AR72" s="206" t="str">
        <f>IF(AND($A72&gt;=SYear_O, $A72&lt;=EYear_O, AR$3&gt;0), AR$3 * VLOOKUP($A72, Data_All!$A$8:$CA$153, MATCH(AR$2, Data_All!$B$2:$CA$2, 0)+1), "")</f>
        <v/>
      </c>
      <c r="AS72" s="206" t="str">
        <f>IF(AND($A72&gt;=SYear_O, $A72&lt;=EYear_O, AS$3&gt;0), AS$3 * VLOOKUP($A72, Data_All!$A$8:$CA$153, MATCH(AS$2, Data_All!$B$2:$CA$2, 0)+1), "")</f>
        <v/>
      </c>
      <c r="AT72" s="206" t="str">
        <f>IF(AND($A72&gt;=SYear_O, $A72&lt;=EYear_O, AT$3&gt;0), AT$3 * VLOOKUP($A72, Data_All!$A$8:$CA$153, MATCH(AT$2, Data_All!$B$2:$CA$2, 0)+1), "")</f>
        <v/>
      </c>
      <c r="AU72" s="206" t="str">
        <f>IF(AND($A72&gt;=SYear_O, $A72&lt;=EYear_O, AU$3&gt;0), AU$3 * VLOOKUP($A72, Data_All!$A$8:$CA$153, MATCH(AU$2, Data_All!$B$2:$CA$2, 0)+1), "")</f>
        <v/>
      </c>
      <c r="AV72" s="206" t="str">
        <f>IF(AND($A72&gt;=SYear_O, $A72&lt;=EYear_O, AV$3&gt;0), AV$3 * VLOOKUP($A72, Data_All!$A$8:$CA$153, MATCH(AV$2, Data_All!$B$2:$CA$2, 0)+1), "")</f>
        <v/>
      </c>
      <c r="AW72" s="206" t="str">
        <f>IF(AND($A72&gt;=SYear_O, $A72&lt;=EYear_O, AW$3&gt;0), AW$3 * VLOOKUP($A72, Data_All!$A$8:$CA$153, MATCH(AW$2, Data_All!$B$2:$CA$2, 0)+1), "")</f>
        <v/>
      </c>
      <c r="AX72" s="206" t="str">
        <f>IF(AND($A72&gt;=SYear_O, $A72&lt;=EYear_O, AX$3&gt;0), AX$3 * VLOOKUP($A72, Data_All!$A$8:$CA$153, MATCH(AX$2, Data_All!$B$2:$CA$2, 0)+1), "")</f>
        <v/>
      </c>
      <c r="AY72" s="206" t="str">
        <f>IF(AND($A72&gt;=SYear_O, $A72&lt;=EYear_O, AY$3&gt;0), AY$3 * VLOOKUP($A72, Data_All!$A$8:$CA$153, MATCH(AY$2, Data_All!$B$2:$CA$2, 0)+1), "")</f>
        <v/>
      </c>
      <c r="AZ72" s="206" t="str">
        <f>IF(AND($A72&gt;=SYear_O, $A72&lt;=EYear_O, AZ$3&gt;0), AZ$3 * VLOOKUP($A72, Data_All!$A$8:$CA$153, MATCH(AZ$2, Data_All!$B$2:$CA$2, 0)+1), "")</f>
        <v/>
      </c>
      <c r="BA72" s="206" t="str">
        <f>IF(AND($A72&gt;=SYear_O, $A72&lt;=EYear_O, BA$3&gt;0), BA$3 * VLOOKUP($A72, Data_All!$A$8:$CA$153, MATCH(BA$2, Data_All!$B$2:$CA$2, 0)+1), "")</f>
        <v/>
      </c>
      <c r="BB72" s="206" t="str">
        <f>IF(AND($A72&gt;=SYear_O, $A72&lt;=EYear_O, BB$3&gt;0), BB$3 * VLOOKUP($A72, Data_All!$A$8:$CA$153, MATCH(BB$2, Data_All!$B$2:$CA$2, 0)+1), "")</f>
        <v/>
      </c>
      <c r="BC72" s="206" t="str">
        <f>IF(AND($A72&gt;=SYear_O, $A72&lt;=EYear_O, BC$3&gt;0), BC$3 * VLOOKUP($A72, Data_All!$A$8:$CA$153, MATCH(BC$2, Data_All!$B$2:$CA$2, 0)+1), "")</f>
        <v/>
      </c>
      <c r="BD72" s="206" t="str">
        <f>IF(AND($A72&gt;=SYear_O, $A72&lt;=EYear_O, BD$3&gt;0), BD$3 * VLOOKUP($A72, Data_All!$A$8:$CA$153, MATCH(BD$2, Data_All!$B$2:$CA$2, 0)+1), "")</f>
        <v/>
      </c>
      <c r="BE72" s="206" t="str">
        <f>IF(AND($A72&gt;=SYear_O, $A72&lt;=EYear_O, BE$3&gt;0), BE$3 * VLOOKUP($A72, Data_All!$A$8:$CA$153, MATCH(BE$2, Data_All!$B$2:$CA$2, 0)+1), "")</f>
        <v/>
      </c>
      <c r="BF72" s="206" t="str">
        <f>IF(AND($A72&gt;=SYear_O, $A72&lt;=EYear_O, BF$3&gt;0), BF$3 * VLOOKUP($A72, Data_All!$A$8:$CA$153, MATCH(BF$2, Data_All!$B$2:$CA$2, 0)+1), "")</f>
        <v/>
      </c>
      <c r="BG72" s="206" t="str">
        <f>IF(AND($A72&gt;=SYear_O, $A72&lt;=EYear_O, BG$3&gt;0), BG$3 * VLOOKUP($A72, Data_All!$A$8:$CA$153, MATCH(BG$2, Data_All!$B$2:$CA$2, 0)+1), "")</f>
        <v/>
      </c>
      <c r="BH72" s="206" t="str">
        <f>IF(AND($A72&gt;=SYear_O, $A72&lt;=EYear_O, BH$3&gt;0), BH$3 * VLOOKUP($A72, Data_All!$A$8:$CA$153, MATCH(BH$2, Data_All!$B$2:$CA$2, 0)+1), "")</f>
        <v/>
      </c>
      <c r="BI72" s="206" t="str">
        <f>IF(AND($A72&gt;=SYear_O, $A72&lt;=EYear_O, BI$3&gt;0), BI$3 * VLOOKUP($A72, Data_All!$A$8:$CA$153, MATCH(BI$2, Data_All!$B$2:$CA$2, 0)+1), "")</f>
        <v/>
      </c>
      <c r="BJ72" s="206" t="str">
        <f>IF(AND($A72&gt;=SYear_O, $A72&lt;=EYear_O, BJ$3&gt;0), BJ$3 * VLOOKUP($A72, Data_All!$A$8:$CA$153, MATCH(BJ$2, Data_All!$B$2:$CA$2, 0)+1), "")</f>
        <v/>
      </c>
      <c r="BK72" s="206" t="str">
        <f>IF(AND($A72&gt;=SYear_O, $A72&lt;=EYear_O, BK$3&gt;0), BK$3 * VLOOKUP($A72, Data_All!$A$8:$CA$153, MATCH(BK$2, Data_All!$B$2:$CA$2, 0)+1), "")</f>
        <v/>
      </c>
      <c r="BL72" s="206" t="str">
        <f>IF(AND($A72&gt;=SYear_O, $A72&lt;=EYear_O, BL$3&gt;0), BL$3 * VLOOKUP($A72, Data_All!$A$8:$CA$153, MATCH(BL$2, Data_All!$B$2:$CA$2, 0)+1), "")</f>
        <v/>
      </c>
      <c r="BM72" s="206" t="str">
        <f>IF(AND($A72&gt;=SYear_O, $A72&lt;=EYear_O, BM$3&gt;0), BM$3 * VLOOKUP($A72, Data_All!$A$8:$CA$153, MATCH(BM$2, Data_All!$B$2:$CA$2, 0)+1), "")</f>
        <v/>
      </c>
      <c r="BN72" s="206" t="str">
        <f>IF(AND($A72&gt;=SYear_O, $A72&lt;=EYear_O, BN$3&gt;0), BN$3 * VLOOKUP($A72, Data_All!$A$8:$CA$153, MATCH(BN$2, Data_All!$B$2:$CA$2, 0)+1), "")</f>
        <v/>
      </c>
      <c r="BO72" s="206" t="str">
        <f>IF(AND($A72&gt;=SYear_O, $A72&lt;=EYear_O, BO$3&gt;0), BO$3 * VLOOKUP($A72, Data_All!$A$8:$CA$153, MATCH(BO$2, Data_All!$B$2:$CA$2, 0)+1), "")</f>
        <v/>
      </c>
      <c r="BP72" s="206" t="str">
        <f>IF(AND($A72&gt;=SYear_O, $A72&lt;=EYear_O, BP$3&gt;0), BP$3 * VLOOKUP($A72, Data_All!$A$8:$CA$153, MATCH(BP$2, Data_All!$B$2:$CA$2, 0)+1), "")</f>
        <v/>
      </c>
      <c r="BQ72" s="206" t="str">
        <f>IF(AND($A72&gt;=SYear_O, $A72&lt;=EYear_O, BQ$3&gt;0), BQ$3 * VLOOKUP($A72, Data_All!$A$8:$CA$153, MATCH(BQ$2, Data_All!$B$2:$CA$2, 0)+1), "")</f>
        <v/>
      </c>
      <c r="BR72" s="206" t="str">
        <f>IF(AND($A72&gt;=SYear_O, $A72&lt;=EYear_O, BR$3&gt;0), BR$3 * VLOOKUP($A72, Data_All!$A$8:$CA$153, MATCH(BR$2, Data_All!$B$2:$CA$2, 0)+1), "")</f>
        <v/>
      </c>
      <c r="BS72" s="206" t="str">
        <f>IF(AND($A72&gt;=SYear_O, $A72&lt;=EYear_O, BS$3&gt;0), BS$3 * VLOOKUP($A72, Data_All!$A$8:$CA$153, MATCH(BS$2, Data_All!$B$2:$CA$2, 0)+1), "")</f>
        <v/>
      </c>
      <c r="BT72" s="206" t="str">
        <f>IF(AND($A72&gt;=SYear_O, $A72&lt;=EYear_O, BT$3&gt;0), BT$3 * VLOOKUP($A72, Data_All!$A$8:$CA$153, MATCH(BT$2, Data_All!$B$2:$CA$2, 0)+1), "")</f>
        <v/>
      </c>
      <c r="BU72" s="206" t="str">
        <f>IF(AND($A72&gt;=SYear_O, $A72&lt;=EYear_O, BU$3&gt;0), BU$3 * VLOOKUP($A72, Data_All!$A$8:$CA$153, MATCH(BU$2, Data_All!$B$2:$CA$2, 0)+1), "")</f>
        <v/>
      </c>
      <c r="BV72" s="206" t="str">
        <f>IF(AND($A72&gt;=SYear_O, $A72&lt;=EYear_O, BV$3&gt;0), BV$3 * VLOOKUP($A72, Data_All!$A$8:$CA$153, MATCH(BV$2, Data_All!$B$2:$CA$2, 0)+1), "")</f>
        <v/>
      </c>
      <c r="BW72" s="206" t="str">
        <f>IF(AND($A72&gt;=SYear_O, $A72&lt;=EYear_O, BW$3&gt;0), BW$3 * VLOOKUP($A72, Data_All!$A$8:$CA$153, MATCH(BW$2, Data_All!$B$2:$CA$2, 0)+1), "")</f>
        <v/>
      </c>
      <c r="BX72" s="206">
        <f>IF(AND($A72&gt;=SYear_O, $A72&lt;=EYear_O, BX$3&gt;0), BX$3 * VLOOKUP($A72, Data_All!$A$8:$CA$153, MATCH(BX$2, Data_All!$B$2:$CA$2, 0)+1), "")</f>
        <v>19.840116279069758</v>
      </c>
      <c r="BY72" s="206">
        <f>IF(AND($A72&gt;=SYear_O, $A72&lt;=EYear_O, BY$3&gt;0), BY$3 * VLOOKUP($A72, Data_All!$A$8:$CA$153, MATCH(BY$2, Data_All!$B$2:$CA$2, 0)+1), "")</f>
        <v>1.0062655566457579</v>
      </c>
      <c r="BZ72" s="206" t="str">
        <f>IF(AND($A72&gt;=SYear_O, $A72&lt;=EYear_O, BZ$3&gt;0), BZ$3 * VLOOKUP($A72, Data_All!$A$8:$CA$153, MATCH(BZ$2, Data_All!$B$2:$CA$2, 0)+1), "")</f>
        <v/>
      </c>
      <c r="CA72" s="565">
        <f t="shared" si="35"/>
        <v>20.846381835715516</v>
      </c>
      <c r="CB72" s="427">
        <f t="shared" si="36"/>
        <v>645086.90449197579</v>
      </c>
      <c r="CC72" s="565">
        <f>IF(AND($A72&gt;=SYear_O,$A72&lt;=EYear_O),(CA72-Data_All!CA73)/(1+Data_All!CA73%),"")</f>
        <v>18.27518222218967</v>
      </c>
      <c r="CD72" s="436">
        <f t="shared" si="37"/>
        <v>570241.31403469201</v>
      </c>
      <c r="CE72" s="438">
        <f t="shared" si="38"/>
        <v>58.508891175771154</v>
      </c>
      <c r="CF72" s="438">
        <f>IF(AND($A72&gt;=SYear_O,$A72&lt;=EYear_O),MAX($CE$7:CE72),"")</f>
        <v>58.508891175771154</v>
      </c>
      <c r="CG72" s="209">
        <f t="shared" si="39"/>
        <v>0</v>
      </c>
      <c r="CI72" s="143">
        <f>IF(AND($A72&gt;=SYear_O,$A72&lt;=EYear_O),Data_All!V73,"")</f>
        <v>0.65940653411929273</v>
      </c>
      <c r="CJ72" s="143">
        <f>IF(AND($A72&gt;=SYear_O,$A72&lt;=EYear_O),Data_All!CA73,"")</f>
        <v>2.1739130434782483</v>
      </c>
      <c r="CK72" s="143">
        <f t="shared" si="40"/>
        <v>-1.4822829666066375</v>
      </c>
      <c r="CN72" s="61">
        <f t="shared" si="41"/>
        <v>0.20846381835715522</v>
      </c>
      <c r="CO72" s="61">
        <f t="shared" si="42"/>
        <v>3.3433740405724999E-2</v>
      </c>
      <c r="CP72" s="61">
        <f t="shared" si="43"/>
        <v>1.8040016108049173E-2</v>
      </c>
      <c r="CQ72" s="61">
        <f t="shared" si="44"/>
        <v>6.5688767089999267E-2</v>
      </c>
      <c r="CR72" s="61">
        <f t="shared" si="45"/>
        <v>6.5916756735609372E-2</v>
      </c>
      <c r="CU72" s="61">
        <f t="shared" si="46"/>
        <v>0.18275182222189645</v>
      </c>
      <c r="CV72" s="61">
        <f t="shared" si="47"/>
        <v>2.8489005711368476E-2</v>
      </c>
      <c r="CW72" s="61">
        <f t="shared" si="48"/>
        <v>1.3670584332232671E-2</v>
      </c>
      <c r="CX72" s="61">
        <f t="shared" si="49"/>
        <v>3.6599888895587185E-2</v>
      </c>
      <c r="CY72" s="61">
        <f t="shared" si="50"/>
        <v>2.3433544683715501E-2</v>
      </c>
    </row>
    <row r="73" spans="1:103">
      <c r="A73" s="204">
        <f t="shared" ref="A73:A152" si="51">A72+1</f>
        <v>1937</v>
      </c>
      <c r="B73" s="206" t="str">
        <f>IF(AND($A73&gt;=SYear_O, $A73&lt;=EYear_O, B$3&gt;0), B$3 * VLOOKUP($A73, Data_All!$A$8:$CA$153, MATCH(B$2, Data_All!$B$2:$CA$2, 0)+1), "")</f>
        <v/>
      </c>
      <c r="C73" s="206" t="str">
        <f>IF(AND($A73&gt;=SYear_O, $A73&lt;=EYear_O, C$3&gt;0), C$3 * VLOOKUP($A73, Data_All!$A$8:$CA$153, MATCH(C$2, Data_All!$B$2:$CA$2, 0)+1), "")</f>
        <v/>
      </c>
      <c r="D73" s="206" t="str">
        <f>IF(AND($A73&gt;=SYear_O, $A73&lt;=EYear_O, D$3&gt;0), D$3 * VLOOKUP($A73, Data_All!$A$8:$CA$153, MATCH(D$2, Data_All!$B$2:$CA$2, 0)+1), "")</f>
        <v/>
      </c>
      <c r="E73" s="206" t="str">
        <f>IF(AND($A73&gt;=SYear_O, $A73&lt;=EYear_O, E$3&gt;0), E$3 * VLOOKUP($A73, Data_All!$A$8:$CA$153, MATCH(E$2, Data_All!$B$2:$CA$2, 0)+1), "")</f>
        <v/>
      </c>
      <c r="F73" s="206" t="str">
        <f>IF(AND($A73&gt;=SYear_O, $A73&lt;=EYear_O, F$3&gt;0), F$3 * VLOOKUP($A73, Data_All!$A$8:$CA$153, MATCH(F$2, Data_All!$B$2:$CA$2, 0)+1), "")</f>
        <v/>
      </c>
      <c r="G73" s="206" t="str">
        <f>IF(AND($A73&gt;=SYear_O, $A73&lt;=EYear_O, G$3&gt;0), G$3 * VLOOKUP($A73, Data_All!$A$8:$CA$153, MATCH(G$2, Data_All!$B$2:$CA$2, 0)+1), "")</f>
        <v/>
      </c>
      <c r="H73" s="206" t="str">
        <f>IF(AND($A73&gt;=SYear_O, $A73&lt;=EYear_O, H$3&gt;0), H$3 * VLOOKUP($A73, Data_All!$A$8:$CA$153, MATCH(H$2, Data_All!$B$2:$CA$2, 0)+1), "")</f>
        <v/>
      </c>
      <c r="I73" s="206" t="str">
        <f>IF(AND($A73&gt;=SYear_O, $A73&lt;=EYear_O, I$3&gt;0), I$3 * VLOOKUP($A73, Data_All!$A$8:$CA$153, MATCH(I$2, Data_All!$B$2:$CA$2, 0)+1), "")</f>
        <v/>
      </c>
      <c r="J73" s="206" t="str">
        <f>IF(AND($A73&gt;=SYear_O, $A73&lt;=EYear_O, J$3&gt;0), J$3 * VLOOKUP($A73, Data_All!$A$8:$CA$153, MATCH(J$2, Data_All!$B$2:$CA$2, 0)+1), "")</f>
        <v/>
      </c>
      <c r="K73" s="206" t="str">
        <f>IF(AND($A73&gt;=SYear_O, $A73&lt;=EYear_O, K$3&gt;0), K$3 * VLOOKUP($A73, Data_All!$A$8:$CA$153, MATCH(K$2, Data_All!$B$2:$CA$2, 0)+1), "")</f>
        <v/>
      </c>
      <c r="L73" s="206" t="str">
        <f>IF(AND($A73&gt;=SYear_O, $A73&lt;=EYear_O, L$3&gt;0), L$3 * VLOOKUP($A73, Data_All!$A$8:$CA$153, MATCH(L$2, Data_All!$B$2:$CA$2, 0)+1), "")</f>
        <v/>
      </c>
      <c r="M73" s="206" t="str">
        <f>IF(AND($A73&gt;=SYear_O, $A73&lt;=EYear_O, M$3&gt;0), M$3 * VLOOKUP($A73, Data_All!$A$8:$CA$153, MATCH(M$2, Data_All!$B$2:$CA$2, 0)+1), "")</f>
        <v/>
      </c>
      <c r="N73" s="206" t="str">
        <f>IF(AND($A73&gt;=SYear_O, $A73&lt;=EYear_O, N$3&gt;0), N$3 * VLOOKUP($A73, Data_All!$A$8:$CA$153, MATCH(N$2, Data_All!$B$2:$CA$2, 0)+1), "")</f>
        <v/>
      </c>
      <c r="O73" s="206" t="str">
        <f>IF(AND($A73&gt;=SYear_O, $A73&lt;=EYear_O, O$3&gt;0), O$3 * VLOOKUP($A73, Data_All!$A$8:$CA$153, MATCH(O$2, Data_All!$B$2:$CA$2, 0)+1), "")</f>
        <v/>
      </c>
      <c r="P73" s="206" t="str">
        <f>IF(AND($A73&gt;=SYear_O, $A73&lt;=EYear_O, P$3&gt;0), P$3 * VLOOKUP($A73, Data_All!$A$8:$CA$153, MATCH(P$2, Data_All!$B$2:$CA$2, 0)+1), "")</f>
        <v/>
      </c>
      <c r="Q73" s="206" t="str">
        <f>IF(AND($A73&gt;=SYear_O, $A73&lt;=EYear_O, Q$3&gt;0), Q$3 * VLOOKUP($A73, Data_All!$A$8:$CA$153, MATCH(Q$2, Data_All!$B$2:$CA$2, 0)+1), "")</f>
        <v/>
      </c>
      <c r="R73" s="206" t="str">
        <f>IF(AND($A73&gt;=SYear_O, $A73&lt;=EYear_O, R$3&gt;0), R$3 * VLOOKUP($A73, Data_All!$A$8:$CA$153, MATCH(R$2, Data_All!$B$2:$CA$2, 0)+1), "")</f>
        <v/>
      </c>
      <c r="S73" s="206" t="str">
        <f>IF(AND($A73&gt;=SYear_O, $A73&lt;=EYear_O, S$3&gt;0), S$3 * VLOOKUP($A73, Data_All!$A$8:$CA$153, MATCH(S$2, Data_All!$B$2:$CA$2, 0)+1), "")</f>
        <v/>
      </c>
      <c r="T73" s="206" t="str">
        <f>IF(AND($A73&gt;=SYear_O, $A73&lt;=EYear_O, T$3&gt;0), T$3 * VLOOKUP($A73, Data_All!$A$8:$CA$153, MATCH(T$2, Data_All!$B$2:$CA$2, 0)+1), "")</f>
        <v/>
      </c>
      <c r="U73" s="206" t="str">
        <f>IF(AND($A73&gt;=SYear_O, $A73&lt;=EYear_O, U$3&gt;0), U$3 * VLOOKUP($A73, Data_All!$A$8:$CA$153, MATCH(U$2, Data_All!$B$2:$CA$2, 0)+1), "")</f>
        <v/>
      </c>
      <c r="V73" s="206" t="str">
        <f>IF(AND($A73&gt;=SYear_O, $A73&lt;=EYear_O, V$3&gt;0), V$3 * VLOOKUP($A73, Data_All!$A$8:$CA$153, MATCH(V$2, Data_All!$B$2:$CA$2, 0)+1), "")</f>
        <v/>
      </c>
      <c r="W73" s="206" t="str">
        <f>IF(AND($A73&gt;=SYear_O, $A73&lt;=EYear_O, W$3&gt;0), W$3 * VLOOKUP($A73, Data_All!$A$8:$CA$153, MATCH(W$2, Data_All!$B$2:$CA$2, 0)+1), "")</f>
        <v/>
      </c>
      <c r="X73" s="206" t="str">
        <f>IF(AND($A73&gt;=SYear_O, $A73&lt;=EYear_O, X$3&gt;0), X$3 * VLOOKUP($A73, Data_All!$A$8:$CA$153, MATCH(X$2, Data_All!$B$2:$CA$2, 0)+1), "")</f>
        <v/>
      </c>
      <c r="Y73" s="206" t="str">
        <f>IF(AND($A73&gt;=SYear_O, $A73&lt;=EYear_O, Y$3&gt;0), Y$3 * VLOOKUP($A73, Data_All!$A$8:$CA$153, MATCH(Y$2, Data_All!$B$2:$CA$2, 0)+1), "")</f>
        <v/>
      </c>
      <c r="Z73" s="206" t="str">
        <f>IF(AND($A73&gt;=SYear_O, $A73&lt;=EYear_O, Z$3&gt;0), Z$3 * VLOOKUP($A73, Data_All!$A$8:$CA$153, MATCH(Z$2, Data_All!$B$2:$CA$2, 0)+1), "")</f>
        <v/>
      </c>
      <c r="AA73" s="206" t="str">
        <f>IF(AND($A73&gt;=SYear_O, $A73&lt;=EYear_O, AA$3&gt;0), AA$3 * VLOOKUP($A73, Data_All!$A$8:$CA$153, MATCH(AA$2, Data_All!$B$2:$CA$2, 0)+1), "")</f>
        <v/>
      </c>
      <c r="AB73" s="206" t="str">
        <f>IF(AND($A73&gt;=SYear_O, $A73&lt;=EYear_O, AB$3&gt;0), AB$3 * VLOOKUP($A73, Data_All!$A$8:$CA$153, MATCH(AB$2, Data_All!$B$2:$CA$2, 0)+1), "")</f>
        <v/>
      </c>
      <c r="AC73" s="206" t="str">
        <f>IF(AND($A73&gt;=SYear_O, $A73&lt;=EYear_O, AC$3&gt;0), AC$3 * VLOOKUP($A73, Data_All!$A$8:$CA$153, MATCH(AC$2, Data_All!$B$2:$CA$2, 0)+1), "")</f>
        <v/>
      </c>
      <c r="AD73" s="206" t="str">
        <f>IF(AND($A73&gt;=SYear_O, $A73&lt;=EYear_O, AD$3&gt;0), AD$3 * VLOOKUP($A73, Data_All!$A$8:$CA$153, MATCH(AD$2, Data_All!$B$2:$CA$2, 0)+1), "")</f>
        <v/>
      </c>
      <c r="AE73" s="206" t="str">
        <f>IF(AND($A73&gt;=SYear_O, $A73&lt;=EYear_O, AE$3&gt;0), AE$3 * VLOOKUP($A73, Data_All!$A$8:$CA$153, MATCH(AE$2, Data_All!$B$2:$CA$2, 0)+1), "")</f>
        <v/>
      </c>
      <c r="AF73" s="206" t="str">
        <f>IF(AND($A73&gt;=SYear_O, $A73&lt;=EYear_O, AF$3&gt;0), AF$3 * VLOOKUP($A73, Data_All!$A$8:$CA$153, MATCH(AF$2, Data_All!$B$2:$CA$2, 0)+1), "")</f>
        <v/>
      </c>
      <c r="AG73" s="206" t="str">
        <f>IF(AND($A73&gt;=SYear_O, $A73&lt;=EYear_O, AG$3&gt;0), AG$3 * VLOOKUP($A73, Data_All!$A$8:$CA$153, MATCH(AG$2, Data_All!$B$2:$CA$2, 0)+1), "")</f>
        <v/>
      </c>
      <c r="AH73" s="206" t="str">
        <f>IF(AND($A73&gt;=SYear_O, $A73&lt;=EYear_O, AH$3&gt;0), AH$3 * VLOOKUP($A73, Data_All!$A$8:$CA$153, MATCH(AH$2, Data_All!$B$2:$CA$2, 0)+1), "")</f>
        <v/>
      </c>
      <c r="AI73" s="206" t="str">
        <f>IF(AND($A73&gt;=SYear_O, $A73&lt;=EYear_O, AI$3&gt;0), AI$3 * VLOOKUP($A73, Data_All!$A$8:$CA$153, MATCH(AI$2, Data_All!$B$2:$CA$2, 0)+1), "")</f>
        <v/>
      </c>
      <c r="AJ73" s="206" t="str">
        <f>IF(AND($A73&gt;=SYear_O, $A73&lt;=EYear_O, AJ$3&gt;0), AJ$3 * VLOOKUP($A73, Data_All!$A$8:$CA$153, MATCH(AJ$2, Data_All!$B$2:$CA$2, 0)+1), "")</f>
        <v/>
      </c>
      <c r="AK73" s="206" t="str">
        <f>IF(AND($A73&gt;=SYear_O, $A73&lt;=EYear_O, AK$3&gt;0), AK$3 * VLOOKUP($A73, Data_All!$A$8:$CA$153, MATCH(AK$2, Data_All!$B$2:$CA$2, 0)+1), "")</f>
        <v/>
      </c>
      <c r="AL73" s="206" t="str">
        <f>IF(AND($A73&gt;=SYear_O, $A73&lt;=EYear_O, AL$3&gt;0), AL$3 * VLOOKUP($A73, Data_All!$A$8:$CA$153, MATCH(AL$2, Data_All!$B$2:$CA$2, 0)+1), "")</f>
        <v/>
      </c>
      <c r="AM73" s="206" t="str">
        <f>IF(AND($A73&gt;=SYear_O, $A73&lt;=EYear_O, AM$3&gt;0), AM$3 * VLOOKUP($A73, Data_All!$A$8:$CA$153, MATCH(AM$2, Data_All!$B$2:$CA$2, 0)+1), "")</f>
        <v/>
      </c>
      <c r="AN73" s="206" t="str">
        <f>IF(AND($A73&gt;=SYear_O, $A73&lt;=EYear_O, AN$3&gt;0), AN$3 * VLOOKUP($A73, Data_All!$A$8:$CA$153, MATCH(AN$2, Data_All!$B$2:$CA$2, 0)+1), "")</f>
        <v/>
      </c>
      <c r="AO73" s="206" t="str">
        <f>IF(AND($A73&gt;=SYear_O, $A73&lt;=EYear_O, AO$3&gt;0), AO$3 * VLOOKUP($A73, Data_All!$A$8:$CA$153, MATCH(AO$2, Data_All!$B$2:$CA$2, 0)+1), "")</f>
        <v/>
      </c>
      <c r="AP73" s="206" t="str">
        <f>IF(AND($A73&gt;=SYear_O, $A73&lt;=EYear_O, AP$3&gt;0), AP$3 * VLOOKUP($A73, Data_All!$A$8:$CA$153, MATCH(AP$2, Data_All!$B$2:$CA$2, 0)+1), "")</f>
        <v/>
      </c>
      <c r="AQ73" s="206" t="str">
        <f>IF(AND($A73&gt;=SYear_O, $A73&lt;=EYear_O, AQ$3&gt;0), AQ$3 * VLOOKUP($A73, Data_All!$A$8:$CA$153, MATCH(AQ$2, Data_All!$B$2:$CA$2, 0)+1), "")</f>
        <v/>
      </c>
      <c r="AR73" s="206" t="str">
        <f>IF(AND($A73&gt;=SYear_O, $A73&lt;=EYear_O, AR$3&gt;0), AR$3 * VLOOKUP($A73, Data_All!$A$8:$CA$153, MATCH(AR$2, Data_All!$B$2:$CA$2, 0)+1), "")</f>
        <v/>
      </c>
      <c r="AS73" s="206" t="str">
        <f>IF(AND($A73&gt;=SYear_O, $A73&lt;=EYear_O, AS$3&gt;0), AS$3 * VLOOKUP($A73, Data_All!$A$8:$CA$153, MATCH(AS$2, Data_All!$B$2:$CA$2, 0)+1), "")</f>
        <v/>
      </c>
      <c r="AT73" s="206" t="str">
        <f>IF(AND($A73&gt;=SYear_O, $A73&lt;=EYear_O, AT$3&gt;0), AT$3 * VLOOKUP($A73, Data_All!$A$8:$CA$153, MATCH(AT$2, Data_All!$B$2:$CA$2, 0)+1), "")</f>
        <v/>
      </c>
      <c r="AU73" s="206" t="str">
        <f>IF(AND($A73&gt;=SYear_O, $A73&lt;=EYear_O, AU$3&gt;0), AU$3 * VLOOKUP($A73, Data_All!$A$8:$CA$153, MATCH(AU$2, Data_All!$B$2:$CA$2, 0)+1), "")</f>
        <v/>
      </c>
      <c r="AV73" s="206" t="str">
        <f>IF(AND($A73&gt;=SYear_O, $A73&lt;=EYear_O, AV$3&gt;0), AV$3 * VLOOKUP($A73, Data_All!$A$8:$CA$153, MATCH(AV$2, Data_All!$B$2:$CA$2, 0)+1), "")</f>
        <v/>
      </c>
      <c r="AW73" s="206" t="str">
        <f>IF(AND($A73&gt;=SYear_O, $A73&lt;=EYear_O, AW$3&gt;0), AW$3 * VLOOKUP($A73, Data_All!$A$8:$CA$153, MATCH(AW$2, Data_All!$B$2:$CA$2, 0)+1), "")</f>
        <v/>
      </c>
      <c r="AX73" s="206" t="str">
        <f>IF(AND($A73&gt;=SYear_O, $A73&lt;=EYear_O, AX$3&gt;0), AX$3 * VLOOKUP($A73, Data_All!$A$8:$CA$153, MATCH(AX$2, Data_All!$B$2:$CA$2, 0)+1), "")</f>
        <v/>
      </c>
      <c r="AY73" s="206" t="str">
        <f>IF(AND($A73&gt;=SYear_O, $A73&lt;=EYear_O, AY$3&gt;0), AY$3 * VLOOKUP($A73, Data_All!$A$8:$CA$153, MATCH(AY$2, Data_All!$B$2:$CA$2, 0)+1), "")</f>
        <v/>
      </c>
      <c r="AZ73" s="206" t="str">
        <f>IF(AND($A73&gt;=SYear_O, $A73&lt;=EYear_O, AZ$3&gt;0), AZ$3 * VLOOKUP($A73, Data_All!$A$8:$CA$153, MATCH(AZ$2, Data_All!$B$2:$CA$2, 0)+1), "")</f>
        <v/>
      </c>
      <c r="BA73" s="206" t="str">
        <f>IF(AND($A73&gt;=SYear_O, $A73&lt;=EYear_O, BA$3&gt;0), BA$3 * VLOOKUP($A73, Data_All!$A$8:$CA$153, MATCH(BA$2, Data_All!$B$2:$CA$2, 0)+1), "")</f>
        <v/>
      </c>
      <c r="BB73" s="206" t="str">
        <f>IF(AND($A73&gt;=SYear_O, $A73&lt;=EYear_O, BB$3&gt;0), BB$3 * VLOOKUP($A73, Data_All!$A$8:$CA$153, MATCH(BB$2, Data_All!$B$2:$CA$2, 0)+1), "")</f>
        <v/>
      </c>
      <c r="BC73" s="206" t="str">
        <f>IF(AND($A73&gt;=SYear_O, $A73&lt;=EYear_O, BC$3&gt;0), BC$3 * VLOOKUP($A73, Data_All!$A$8:$CA$153, MATCH(BC$2, Data_All!$B$2:$CA$2, 0)+1), "")</f>
        <v/>
      </c>
      <c r="BD73" s="206" t="str">
        <f>IF(AND($A73&gt;=SYear_O, $A73&lt;=EYear_O, BD$3&gt;0), BD$3 * VLOOKUP($A73, Data_All!$A$8:$CA$153, MATCH(BD$2, Data_All!$B$2:$CA$2, 0)+1), "")</f>
        <v/>
      </c>
      <c r="BE73" s="206" t="str">
        <f>IF(AND($A73&gt;=SYear_O, $A73&lt;=EYear_O, BE$3&gt;0), BE$3 * VLOOKUP($A73, Data_All!$A$8:$CA$153, MATCH(BE$2, Data_All!$B$2:$CA$2, 0)+1), "")</f>
        <v/>
      </c>
      <c r="BF73" s="206" t="str">
        <f>IF(AND($A73&gt;=SYear_O, $A73&lt;=EYear_O, BF$3&gt;0), BF$3 * VLOOKUP($A73, Data_All!$A$8:$CA$153, MATCH(BF$2, Data_All!$B$2:$CA$2, 0)+1), "")</f>
        <v/>
      </c>
      <c r="BG73" s="206" t="str">
        <f>IF(AND($A73&gt;=SYear_O, $A73&lt;=EYear_O, BG$3&gt;0), BG$3 * VLOOKUP($A73, Data_All!$A$8:$CA$153, MATCH(BG$2, Data_All!$B$2:$CA$2, 0)+1), "")</f>
        <v/>
      </c>
      <c r="BH73" s="206" t="str">
        <f>IF(AND($A73&gt;=SYear_O, $A73&lt;=EYear_O, BH$3&gt;0), BH$3 * VLOOKUP($A73, Data_All!$A$8:$CA$153, MATCH(BH$2, Data_All!$B$2:$CA$2, 0)+1), "")</f>
        <v/>
      </c>
      <c r="BI73" s="206" t="str">
        <f>IF(AND($A73&gt;=SYear_O, $A73&lt;=EYear_O, BI$3&gt;0), BI$3 * VLOOKUP($A73, Data_All!$A$8:$CA$153, MATCH(BI$2, Data_All!$B$2:$CA$2, 0)+1), "")</f>
        <v/>
      </c>
      <c r="BJ73" s="206" t="str">
        <f>IF(AND($A73&gt;=SYear_O, $A73&lt;=EYear_O, BJ$3&gt;0), BJ$3 * VLOOKUP($A73, Data_All!$A$8:$CA$153, MATCH(BJ$2, Data_All!$B$2:$CA$2, 0)+1), "")</f>
        <v/>
      </c>
      <c r="BK73" s="206" t="str">
        <f>IF(AND($A73&gt;=SYear_O, $A73&lt;=EYear_O, BK$3&gt;0), BK$3 * VLOOKUP($A73, Data_All!$A$8:$CA$153, MATCH(BK$2, Data_All!$B$2:$CA$2, 0)+1), "")</f>
        <v/>
      </c>
      <c r="BL73" s="206" t="str">
        <f>IF(AND($A73&gt;=SYear_O, $A73&lt;=EYear_O, BL$3&gt;0), BL$3 * VLOOKUP($A73, Data_All!$A$8:$CA$153, MATCH(BL$2, Data_All!$B$2:$CA$2, 0)+1), "")</f>
        <v/>
      </c>
      <c r="BM73" s="206" t="str">
        <f>IF(AND($A73&gt;=SYear_O, $A73&lt;=EYear_O, BM$3&gt;0), BM$3 * VLOOKUP($A73, Data_All!$A$8:$CA$153, MATCH(BM$2, Data_All!$B$2:$CA$2, 0)+1), "")</f>
        <v/>
      </c>
      <c r="BN73" s="206" t="str">
        <f>IF(AND($A73&gt;=SYear_O, $A73&lt;=EYear_O, BN$3&gt;0), BN$3 * VLOOKUP($A73, Data_All!$A$8:$CA$153, MATCH(BN$2, Data_All!$B$2:$CA$2, 0)+1), "")</f>
        <v/>
      </c>
      <c r="BO73" s="206" t="str">
        <f>IF(AND($A73&gt;=SYear_O, $A73&lt;=EYear_O, BO$3&gt;0), BO$3 * VLOOKUP($A73, Data_All!$A$8:$CA$153, MATCH(BO$2, Data_All!$B$2:$CA$2, 0)+1), "")</f>
        <v/>
      </c>
      <c r="BP73" s="206" t="str">
        <f>IF(AND($A73&gt;=SYear_O, $A73&lt;=EYear_O, BP$3&gt;0), BP$3 * VLOOKUP($A73, Data_All!$A$8:$CA$153, MATCH(BP$2, Data_All!$B$2:$CA$2, 0)+1), "")</f>
        <v/>
      </c>
      <c r="BQ73" s="206" t="str">
        <f>IF(AND($A73&gt;=SYear_O, $A73&lt;=EYear_O, BQ$3&gt;0), BQ$3 * VLOOKUP($A73, Data_All!$A$8:$CA$153, MATCH(BQ$2, Data_All!$B$2:$CA$2, 0)+1), "")</f>
        <v/>
      </c>
      <c r="BR73" s="206" t="str">
        <f>IF(AND($A73&gt;=SYear_O, $A73&lt;=EYear_O, BR$3&gt;0), BR$3 * VLOOKUP($A73, Data_All!$A$8:$CA$153, MATCH(BR$2, Data_All!$B$2:$CA$2, 0)+1), "")</f>
        <v/>
      </c>
      <c r="BS73" s="206" t="str">
        <f>IF(AND($A73&gt;=SYear_O, $A73&lt;=EYear_O, BS$3&gt;0), BS$3 * VLOOKUP($A73, Data_All!$A$8:$CA$153, MATCH(BS$2, Data_All!$B$2:$CA$2, 0)+1), "")</f>
        <v/>
      </c>
      <c r="BT73" s="206" t="str">
        <f>IF(AND($A73&gt;=SYear_O, $A73&lt;=EYear_O, BT$3&gt;0), BT$3 * VLOOKUP($A73, Data_All!$A$8:$CA$153, MATCH(BT$2, Data_All!$B$2:$CA$2, 0)+1), "")</f>
        <v/>
      </c>
      <c r="BU73" s="206" t="str">
        <f>IF(AND($A73&gt;=SYear_O, $A73&lt;=EYear_O, BU$3&gt;0), BU$3 * VLOOKUP($A73, Data_All!$A$8:$CA$153, MATCH(BU$2, Data_All!$B$2:$CA$2, 0)+1), "")</f>
        <v/>
      </c>
      <c r="BV73" s="206" t="str">
        <f>IF(AND($A73&gt;=SYear_O, $A73&lt;=EYear_O, BV$3&gt;0), BV$3 * VLOOKUP($A73, Data_All!$A$8:$CA$153, MATCH(BV$2, Data_All!$B$2:$CA$2, 0)+1), "")</f>
        <v/>
      </c>
      <c r="BW73" s="206" t="str">
        <f>IF(AND($A73&gt;=SYear_O, $A73&lt;=EYear_O, BW$3&gt;0), BW$3 * VLOOKUP($A73, Data_All!$A$8:$CA$153, MATCH(BW$2, Data_All!$B$2:$CA$2, 0)+1), "")</f>
        <v/>
      </c>
      <c r="BX73" s="206">
        <f>IF(AND($A73&gt;=SYear_O, $A73&lt;=EYear_O, BX$3&gt;0), BX$3 * VLOOKUP($A73, Data_All!$A$8:$CA$153, MATCH(BX$2, Data_All!$B$2:$CA$2, 0)+1), "")</f>
        <v>-18.692438885730525</v>
      </c>
      <c r="BY73" s="206">
        <f>IF(AND($A73&gt;=SYear_O, $A73&lt;=EYear_O, BY$3&gt;0), BY$3 * VLOOKUP($A73, Data_All!$A$8:$CA$153, MATCH(BY$2, Data_All!$B$2:$CA$2, 0)+1), "")</f>
        <v>1.2820291596986522</v>
      </c>
      <c r="BZ73" s="206" t="str">
        <f>IF(AND($A73&gt;=SYear_O, $A73&lt;=EYear_O, BZ$3&gt;0), BZ$3 * VLOOKUP($A73, Data_All!$A$8:$CA$153, MATCH(BZ$2, Data_All!$B$2:$CA$2, 0)+1), "")</f>
        <v/>
      </c>
      <c r="CA73" s="565">
        <f t="shared" si="35"/>
        <v>-17.410409726031872</v>
      </c>
      <c r="CB73" s="427">
        <f t="shared" si="36"/>
        <v>532774.63133094693</v>
      </c>
      <c r="CC73" s="565">
        <f>IF(AND($A73&gt;=SYear_O,$A73&lt;=EYear_O),(CA73-Data_All!CA74)/(1+Data_All!CA74%),"")</f>
        <v>-17.992026558947131</v>
      </c>
      <c r="CD73" s="436">
        <f t="shared" si="37"/>
        <v>467643.34536348114</v>
      </c>
      <c r="CE73" s="438">
        <f t="shared" si="38"/>
        <v>48.322253495911291</v>
      </c>
      <c r="CF73" s="438">
        <f>IF(AND($A73&gt;=SYear_O,$A73&lt;=EYear_O),MAX($CE$7:CE73),"")</f>
        <v>58.508891175771154</v>
      </c>
      <c r="CG73" s="209">
        <f t="shared" si="39"/>
        <v>0.17410409726031872</v>
      </c>
      <c r="CI73" s="143">
        <f>IF(AND($A73&gt;=SYear_O,$A73&lt;=EYear_O),Data_All!V74,"")</f>
        <v>0.78928963932460794</v>
      </c>
      <c r="CJ73" s="143">
        <f>IF(AND($A73&gt;=SYear_O,$A73&lt;=EYear_O),Data_All!CA74,"")</f>
        <v>0.70921985815601829</v>
      </c>
      <c r="CK73" s="143">
        <f t="shared" si="40"/>
        <v>7.9505909470219308E-2</v>
      </c>
      <c r="CN73" s="61">
        <f t="shared" si="41"/>
        <v>-0.17410409726031872</v>
      </c>
      <c r="CO73" s="61">
        <f t="shared" si="42"/>
        <v>-1.953242106032016E-2</v>
      </c>
      <c r="CP73" s="61">
        <f t="shared" si="43"/>
        <v>-2.9777600947156868E-2</v>
      </c>
      <c r="CQ73" s="61">
        <f t="shared" si="44"/>
        <v>3.8897606794071837E-2</v>
      </c>
      <c r="CR73" s="61">
        <f t="shared" si="45"/>
        <v>6.1242075961227549E-2</v>
      </c>
      <c r="CU73" s="61">
        <f t="shared" si="46"/>
        <v>-0.17992026558947127</v>
      </c>
      <c r="CV73" s="61">
        <f t="shared" si="47"/>
        <v>-1.4852313964286323E-2</v>
      </c>
      <c r="CW73" s="61">
        <f t="shared" si="48"/>
        <v>-5.0412063355027126E-2</v>
      </c>
      <c r="CX73" s="61">
        <f t="shared" si="49"/>
        <v>-4.0195561502379684E-3</v>
      </c>
      <c r="CY73" s="61">
        <f t="shared" si="50"/>
        <v>1.7527158662373976E-2</v>
      </c>
    </row>
    <row r="74" spans="1:103">
      <c r="A74" s="204">
        <f t="shared" si="51"/>
        <v>1938</v>
      </c>
      <c r="B74" s="206" t="str">
        <f>IF(AND($A74&gt;=SYear_O, $A74&lt;=EYear_O, B$3&gt;0), B$3 * VLOOKUP($A74, Data_All!$A$8:$CA$153, MATCH(B$2, Data_All!$B$2:$CA$2, 0)+1), "")</f>
        <v/>
      </c>
      <c r="C74" s="206" t="str">
        <f>IF(AND($A74&gt;=SYear_O, $A74&lt;=EYear_O, C$3&gt;0), C$3 * VLOOKUP($A74, Data_All!$A$8:$CA$153, MATCH(C$2, Data_All!$B$2:$CA$2, 0)+1), "")</f>
        <v/>
      </c>
      <c r="D74" s="206" t="str">
        <f>IF(AND($A74&gt;=SYear_O, $A74&lt;=EYear_O, D$3&gt;0), D$3 * VLOOKUP($A74, Data_All!$A$8:$CA$153, MATCH(D$2, Data_All!$B$2:$CA$2, 0)+1), "")</f>
        <v/>
      </c>
      <c r="E74" s="206" t="str">
        <f>IF(AND($A74&gt;=SYear_O, $A74&lt;=EYear_O, E$3&gt;0), E$3 * VLOOKUP($A74, Data_All!$A$8:$CA$153, MATCH(E$2, Data_All!$B$2:$CA$2, 0)+1), "")</f>
        <v/>
      </c>
      <c r="F74" s="206" t="str">
        <f>IF(AND($A74&gt;=SYear_O, $A74&lt;=EYear_O, F$3&gt;0), F$3 * VLOOKUP($A74, Data_All!$A$8:$CA$153, MATCH(F$2, Data_All!$B$2:$CA$2, 0)+1), "")</f>
        <v/>
      </c>
      <c r="G74" s="206" t="str">
        <f>IF(AND($A74&gt;=SYear_O, $A74&lt;=EYear_O, G$3&gt;0), G$3 * VLOOKUP($A74, Data_All!$A$8:$CA$153, MATCH(G$2, Data_All!$B$2:$CA$2, 0)+1), "")</f>
        <v/>
      </c>
      <c r="H74" s="206" t="str">
        <f>IF(AND($A74&gt;=SYear_O, $A74&lt;=EYear_O, H$3&gt;0), H$3 * VLOOKUP($A74, Data_All!$A$8:$CA$153, MATCH(H$2, Data_All!$B$2:$CA$2, 0)+1), "")</f>
        <v/>
      </c>
      <c r="I74" s="206" t="str">
        <f>IF(AND($A74&gt;=SYear_O, $A74&lt;=EYear_O, I$3&gt;0), I$3 * VLOOKUP($A74, Data_All!$A$8:$CA$153, MATCH(I$2, Data_All!$B$2:$CA$2, 0)+1), "")</f>
        <v/>
      </c>
      <c r="J74" s="206" t="str">
        <f>IF(AND($A74&gt;=SYear_O, $A74&lt;=EYear_O, J$3&gt;0), J$3 * VLOOKUP($A74, Data_All!$A$8:$CA$153, MATCH(J$2, Data_All!$B$2:$CA$2, 0)+1), "")</f>
        <v/>
      </c>
      <c r="K74" s="206" t="str">
        <f>IF(AND($A74&gt;=SYear_O, $A74&lt;=EYear_O, K$3&gt;0), K$3 * VLOOKUP($A74, Data_All!$A$8:$CA$153, MATCH(K$2, Data_All!$B$2:$CA$2, 0)+1), "")</f>
        <v/>
      </c>
      <c r="L74" s="206" t="str">
        <f>IF(AND($A74&gt;=SYear_O, $A74&lt;=EYear_O, L$3&gt;0), L$3 * VLOOKUP($A74, Data_All!$A$8:$CA$153, MATCH(L$2, Data_All!$B$2:$CA$2, 0)+1), "")</f>
        <v/>
      </c>
      <c r="M74" s="206" t="str">
        <f>IF(AND($A74&gt;=SYear_O, $A74&lt;=EYear_O, M$3&gt;0), M$3 * VLOOKUP($A74, Data_All!$A$8:$CA$153, MATCH(M$2, Data_All!$B$2:$CA$2, 0)+1), "")</f>
        <v/>
      </c>
      <c r="N74" s="206" t="str">
        <f>IF(AND($A74&gt;=SYear_O, $A74&lt;=EYear_O, N$3&gt;0), N$3 * VLOOKUP($A74, Data_All!$A$8:$CA$153, MATCH(N$2, Data_All!$B$2:$CA$2, 0)+1), "")</f>
        <v/>
      </c>
      <c r="O74" s="206" t="str">
        <f>IF(AND($A74&gt;=SYear_O, $A74&lt;=EYear_O, O$3&gt;0), O$3 * VLOOKUP($A74, Data_All!$A$8:$CA$153, MATCH(O$2, Data_All!$B$2:$CA$2, 0)+1), "")</f>
        <v/>
      </c>
      <c r="P74" s="206" t="str">
        <f>IF(AND($A74&gt;=SYear_O, $A74&lt;=EYear_O, P$3&gt;0), P$3 * VLOOKUP($A74, Data_All!$A$8:$CA$153, MATCH(P$2, Data_All!$B$2:$CA$2, 0)+1), "")</f>
        <v/>
      </c>
      <c r="Q74" s="206" t="str">
        <f>IF(AND($A74&gt;=SYear_O, $A74&lt;=EYear_O, Q$3&gt;0), Q$3 * VLOOKUP($A74, Data_All!$A$8:$CA$153, MATCH(Q$2, Data_All!$B$2:$CA$2, 0)+1), "")</f>
        <v/>
      </c>
      <c r="R74" s="206" t="str">
        <f>IF(AND($A74&gt;=SYear_O, $A74&lt;=EYear_O, R$3&gt;0), R$3 * VLOOKUP($A74, Data_All!$A$8:$CA$153, MATCH(R$2, Data_All!$B$2:$CA$2, 0)+1), "")</f>
        <v/>
      </c>
      <c r="S74" s="206" t="str">
        <f>IF(AND($A74&gt;=SYear_O, $A74&lt;=EYear_O, S$3&gt;0), S$3 * VLOOKUP($A74, Data_All!$A$8:$CA$153, MATCH(S$2, Data_All!$B$2:$CA$2, 0)+1), "")</f>
        <v/>
      </c>
      <c r="T74" s="206" t="str">
        <f>IF(AND($A74&gt;=SYear_O, $A74&lt;=EYear_O, T$3&gt;0), T$3 * VLOOKUP($A74, Data_All!$A$8:$CA$153, MATCH(T$2, Data_All!$B$2:$CA$2, 0)+1), "")</f>
        <v/>
      </c>
      <c r="U74" s="206" t="str">
        <f>IF(AND($A74&gt;=SYear_O, $A74&lt;=EYear_O, U$3&gt;0), U$3 * VLOOKUP($A74, Data_All!$A$8:$CA$153, MATCH(U$2, Data_All!$B$2:$CA$2, 0)+1), "")</f>
        <v/>
      </c>
      <c r="V74" s="206" t="str">
        <f>IF(AND($A74&gt;=SYear_O, $A74&lt;=EYear_O, V$3&gt;0), V$3 * VLOOKUP($A74, Data_All!$A$8:$CA$153, MATCH(V$2, Data_All!$B$2:$CA$2, 0)+1), "")</f>
        <v/>
      </c>
      <c r="W74" s="206" t="str">
        <f>IF(AND($A74&gt;=SYear_O, $A74&lt;=EYear_O, W$3&gt;0), W$3 * VLOOKUP($A74, Data_All!$A$8:$CA$153, MATCH(W$2, Data_All!$B$2:$CA$2, 0)+1), "")</f>
        <v/>
      </c>
      <c r="X74" s="206" t="str">
        <f>IF(AND($A74&gt;=SYear_O, $A74&lt;=EYear_O, X$3&gt;0), X$3 * VLOOKUP($A74, Data_All!$A$8:$CA$153, MATCH(X$2, Data_All!$B$2:$CA$2, 0)+1), "")</f>
        <v/>
      </c>
      <c r="Y74" s="206" t="str">
        <f>IF(AND($A74&gt;=SYear_O, $A74&lt;=EYear_O, Y$3&gt;0), Y$3 * VLOOKUP($A74, Data_All!$A$8:$CA$153, MATCH(Y$2, Data_All!$B$2:$CA$2, 0)+1), "")</f>
        <v/>
      </c>
      <c r="Z74" s="206" t="str">
        <f>IF(AND($A74&gt;=SYear_O, $A74&lt;=EYear_O, Z$3&gt;0), Z$3 * VLOOKUP($A74, Data_All!$A$8:$CA$153, MATCH(Z$2, Data_All!$B$2:$CA$2, 0)+1), "")</f>
        <v/>
      </c>
      <c r="AA74" s="206" t="str">
        <f>IF(AND($A74&gt;=SYear_O, $A74&lt;=EYear_O, AA$3&gt;0), AA$3 * VLOOKUP($A74, Data_All!$A$8:$CA$153, MATCH(AA$2, Data_All!$B$2:$CA$2, 0)+1), "")</f>
        <v/>
      </c>
      <c r="AB74" s="206" t="str">
        <f>IF(AND($A74&gt;=SYear_O, $A74&lt;=EYear_O, AB$3&gt;0), AB$3 * VLOOKUP($A74, Data_All!$A$8:$CA$153, MATCH(AB$2, Data_All!$B$2:$CA$2, 0)+1), "")</f>
        <v/>
      </c>
      <c r="AC74" s="206" t="str">
        <f>IF(AND($A74&gt;=SYear_O, $A74&lt;=EYear_O, AC$3&gt;0), AC$3 * VLOOKUP($A74, Data_All!$A$8:$CA$153, MATCH(AC$2, Data_All!$B$2:$CA$2, 0)+1), "")</f>
        <v/>
      </c>
      <c r="AD74" s="206" t="str">
        <f>IF(AND($A74&gt;=SYear_O, $A74&lt;=EYear_O, AD$3&gt;0), AD$3 * VLOOKUP($A74, Data_All!$A$8:$CA$153, MATCH(AD$2, Data_All!$B$2:$CA$2, 0)+1), "")</f>
        <v/>
      </c>
      <c r="AE74" s="206" t="str">
        <f>IF(AND($A74&gt;=SYear_O, $A74&lt;=EYear_O, AE$3&gt;0), AE$3 * VLOOKUP($A74, Data_All!$A$8:$CA$153, MATCH(AE$2, Data_All!$B$2:$CA$2, 0)+1), "")</f>
        <v/>
      </c>
      <c r="AF74" s="206" t="str">
        <f>IF(AND($A74&gt;=SYear_O, $A74&lt;=EYear_O, AF$3&gt;0), AF$3 * VLOOKUP($A74, Data_All!$A$8:$CA$153, MATCH(AF$2, Data_All!$B$2:$CA$2, 0)+1), "")</f>
        <v/>
      </c>
      <c r="AG74" s="206" t="str">
        <f>IF(AND($A74&gt;=SYear_O, $A74&lt;=EYear_O, AG$3&gt;0), AG$3 * VLOOKUP($A74, Data_All!$A$8:$CA$153, MATCH(AG$2, Data_All!$B$2:$CA$2, 0)+1), "")</f>
        <v/>
      </c>
      <c r="AH74" s="206" t="str">
        <f>IF(AND($A74&gt;=SYear_O, $A74&lt;=EYear_O, AH$3&gt;0), AH$3 * VLOOKUP($A74, Data_All!$A$8:$CA$153, MATCH(AH$2, Data_All!$B$2:$CA$2, 0)+1), "")</f>
        <v/>
      </c>
      <c r="AI74" s="206" t="str">
        <f>IF(AND($A74&gt;=SYear_O, $A74&lt;=EYear_O, AI$3&gt;0), AI$3 * VLOOKUP($A74, Data_All!$A$8:$CA$153, MATCH(AI$2, Data_All!$B$2:$CA$2, 0)+1), "")</f>
        <v/>
      </c>
      <c r="AJ74" s="206" t="str">
        <f>IF(AND($A74&gt;=SYear_O, $A74&lt;=EYear_O, AJ$3&gt;0), AJ$3 * VLOOKUP($A74, Data_All!$A$8:$CA$153, MATCH(AJ$2, Data_All!$B$2:$CA$2, 0)+1), "")</f>
        <v/>
      </c>
      <c r="AK74" s="206" t="str">
        <f>IF(AND($A74&gt;=SYear_O, $A74&lt;=EYear_O, AK$3&gt;0), AK$3 * VLOOKUP($A74, Data_All!$A$8:$CA$153, MATCH(AK$2, Data_All!$B$2:$CA$2, 0)+1), "")</f>
        <v/>
      </c>
      <c r="AL74" s="206" t="str">
        <f>IF(AND($A74&gt;=SYear_O, $A74&lt;=EYear_O, AL$3&gt;0), AL$3 * VLOOKUP($A74, Data_All!$A$8:$CA$153, MATCH(AL$2, Data_All!$B$2:$CA$2, 0)+1), "")</f>
        <v/>
      </c>
      <c r="AM74" s="206" t="str">
        <f>IF(AND($A74&gt;=SYear_O, $A74&lt;=EYear_O, AM$3&gt;0), AM$3 * VLOOKUP($A74, Data_All!$A$8:$CA$153, MATCH(AM$2, Data_All!$B$2:$CA$2, 0)+1), "")</f>
        <v/>
      </c>
      <c r="AN74" s="206" t="str">
        <f>IF(AND($A74&gt;=SYear_O, $A74&lt;=EYear_O, AN$3&gt;0), AN$3 * VLOOKUP($A74, Data_All!$A$8:$CA$153, MATCH(AN$2, Data_All!$B$2:$CA$2, 0)+1), "")</f>
        <v/>
      </c>
      <c r="AO74" s="206" t="str">
        <f>IF(AND($A74&gt;=SYear_O, $A74&lt;=EYear_O, AO$3&gt;0), AO$3 * VLOOKUP($A74, Data_All!$A$8:$CA$153, MATCH(AO$2, Data_All!$B$2:$CA$2, 0)+1), "")</f>
        <v/>
      </c>
      <c r="AP74" s="206" t="str">
        <f>IF(AND($A74&gt;=SYear_O, $A74&lt;=EYear_O, AP$3&gt;0), AP$3 * VLOOKUP($A74, Data_All!$A$8:$CA$153, MATCH(AP$2, Data_All!$B$2:$CA$2, 0)+1), "")</f>
        <v/>
      </c>
      <c r="AQ74" s="206" t="str">
        <f>IF(AND($A74&gt;=SYear_O, $A74&lt;=EYear_O, AQ$3&gt;0), AQ$3 * VLOOKUP($A74, Data_All!$A$8:$CA$153, MATCH(AQ$2, Data_All!$B$2:$CA$2, 0)+1), "")</f>
        <v/>
      </c>
      <c r="AR74" s="206" t="str">
        <f>IF(AND($A74&gt;=SYear_O, $A74&lt;=EYear_O, AR$3&gt;0), AR$3 * VLOOKUP($A74, Data_All!$A$8:$CA$153, MATCH(AR$2, Data_All!$B$2:$CA$2, 0)+1), "")</f>
        <v/>
      </c>
      <c r="AS74" s="206" t="str">
        <f>IF(AND($A74&gt;=SYear_O, $A74&lt;=EYear_O, AS$3&gt;0), AS$3 * VLOOKUP($A74, Data_All!$A$8:$CA$153, MATCH(AS$2, Data_All!$B$2:$CA$2, 0)+1), "")</f>
        <v/>
      </c>
      <c r="AT74" s="206" t="str">
        <f>IF(AND($A74&gt;=SYear_O, $A74&lt;=EYear_O, AT$3&gt;0), AT$3 * VLOOKUP($A74, Data_All!$A$8:$CA$153, MATCH(AT$2, Data_All!$B$2:$CA$2, 0)+1), "")</f>
        <v/>
      </c>
      <c r="AU74" s="206" t="str">
        <f>IF(AND($A74&gt;=SYear_O, $A74&lt;=EYear_O, AU$3&gt;0), AU$3 * VLOOKUP($A74, Data_All!$A$8:$CA$153, MATCH(AU$2, Data_All!$B$2:$CA$2, 0)+1), "")</f>
        <v/>
      </c>
      <c r="AV74" s="206" t="str">
        <f>IF(AND($A74&gt;=SYear_O, $A74&lt;=EYear_O, AV$3&gt;0), AV$3 * VLOOKUP($A74, Data_All!$A$8:$CA$153, MATCH(AV$2, Data_All!$B$2:$CA$2, 0)+1), "")</f>
        <v/>
      </c>
      <c r="AW74" s="206" t="str">
        <f>IF(AND($A74&gt;=SYear_O, $A74&lt;=EYear_O, AW$3&gt;0), AW$3 * VLOOKUP($A74, Data_All!$A$8:$CA$153, MATCH(AW$2, Data_All!$B$2:$CA$2, 0)+1), "")</f>
        <v/>
      </c>
      <c r="AX74" s="206" t="str">
        <f>IF(AND($A74&gt;=SYear_O, $A74&lt;=EYear_O, AX$3&gt;0), AX$3 * VLOOKUP($A74, Data_All!$A$8:$CA$153, MATCH(AX$2, Data_All!$B$2:$CA$2, 0)+1), "")</f>
        <v/>
      </c>
      <c r="AY74" s="206" t="str">
        <f>IF(AND($A74&gt;=SYear_O, $A74&lt;=EYear_O, AY$3&gt;0), AY$3 * VLOOKUP($A74, Data_All!$A$8:$CA$153, MATCH(AY$2, Data_All!$B$2:$CA$2, 0)+1), "")</f>
        <v/>
      </c>
      <c r="AZ74" s="206" t="str">
        <f>IF(AND($A74&gt;=SYear_O, $A74&lt;=EYear_O, AZ$3&gt;0), AZ$3 * VLOOKUP($A74, Data_All!$A$8:$CA$153, MATCH(AZ$2, Data_All!$B$2:$CA$2, 0)+1), "")</f>
        <v/>
      </c>
      <c r="BA74" s="206" t="str">
        <f>IF(AND($A74&gt;=SYear_O, $A74&lt;=EYear_O, BA$3&gt;0), BA$3 * VLOOKUP($A74, Data_All!$A$8:$CA$153, MATCH(BA$2, Data_All!$B$2:$CA$2, 0)+1), "")</f>
        <v/>
      </c>
      <c r="BB74" s="206" t="str">
        <f>IF(AND($A74&gt;=SYear_O, $A74&lt;=EYear_O, BB$3&gt;0), BB$3 * VLOOKUP($A74, Data_All!$A$8:$CA$153, MATCH(BB$2, Data_All!$B$2:$CA$2, 0)+1), "")</f>
        <v/>
      </c>
      <c r="BC74" s="206" t="str">
        <f>IF(AND($A74&gt;=SYear_O, $A74&lt;=EYear_O, BC$3&gt;0), BC$3 * VLOOKUP($A74, Data_All!$A$8:$CA$153, MATCH(BC$2, Data_All!$B$2:$CA$2, 0)+1), "")</f>
        <v/>
      </c>
      <c r="BD74" s="206" t="str">
        <f>IF(AND($A74&gt;=SYear_O, $A74&lt;=EYear_O, BD$3&gt;0), BD$3 * VLOOKUP($A74, Data_All!$A$8:$CA$153, MATCH(BD$2, Data_All!$B$2:$CA$2, 0)+1), "")</f>
        <v/>
      </c>
      <c r="BE74" s="206" t="str">
        <f>IF(AND($A74&gt;=SYear_O, $A74&lt;=EYear_O, BE$3&gt;0), BE$3 * VLOOKUP($A74, Data_All!$A$8:$CA$153, MATCH(BE$2, Data_All!$B$2:$CA$2, 0)+1), "")</f>
        <v/>
      </c>
      <c r="BF74" s="206" t="str">
        <f>IF(AND($A74&gt;=SYear_O, $A74&lt;=EYear_O, BF$3&gt;0), BF$3 * VLOOKUP($A74, Data_All!$A$8:$CA$153, MATCH(BF$2, Data_All!$B$2:$CA$2, 0)+1), "")</f>
        <v/>
      </c>
      <c r="BG74" s="206" t="str">
        <f>IF(AND($A74&gt;=SYear_O, $A74&lt;=EYear_O, BG$3&gt;0), BG$3 * VLOOKUP($A74, Data_All!$A$8:$CA$153, MATCH(BG$2, Data_All!$B$2:$CA$2, 0)+1), "")</f>
        <v/>
      </c>
      <c r="BH74" s="206" t="str">
        <f>IF(AND($A74&gt;=SYear_O, $A74&lt;=EYear_O, BH$3&gt;0), BH$3 * VLOOKUP($A74, Data_All!$A$8:$CA$153, MATCH(BH$2, Data_All!$B$2:$CA$2, 0)+1), "")</f>
        <v/>
      </c>
      <c r="BI74" s="206" t="str">
        <f>IF(AND($A74&gt;=SYear_O, $A74&lt;=EYear_O, BI$3&gt;0), BI$3 * VLOOKUP($A74, Data_All!$A$8:$CA$153, MATCH(BI$2, Data_All!$B$2:$CA$2, 0)+1), "")</f>
        <v/>
      </c>
      <c r="BJ74" s="206" t="str">
        <f>IF(AND($A74&gt;=SYear_O, $A74&lt;=EYear_O, BJ$3&gt;0), BJ$3 * VLOOKUP($A74, Data_All!$A$8:$CA$153, MATCH(BJ$2, Data_All!$B$2:$CA$2, 0)+1), "")</f>
        <v/>
      </c>
      <c r="BK74" s="206" t="str">
        <f>IF(AND($A74&gt;=SYear_O, $A74&lt;=EYear_O, BK$3&gt;0), BK$3 * VLOOKUP($A74, Data_All!$A$8:$CA$153, MATCH(BK$2, Data_All!$B$2:$CA$2, 0)+1), "")</f>
        <v/>
      </c>
      <c r="BL74" s="206" t="str">
        <f>IF(AND($A74&gt;=SYear_O, $A74&lt;=EYear_O, BL$3&gt;0), BL$3 * VLOOKUP($A74, Data_All!$A$8:$CA$153, MATCH(BL$2, Data_All!$B$2:$CA$2, 0)+1), "")</f>
        <v/>
      </c>
      <c r="BM74" s="206" t="str">
        <f>IF(AND($A74&gt;=SYear_O, $A74&lt;=EYear_O, BM$3&gt;0), BM$3 * VLOOKUP($A74, Data_All!$A$8:$CA$153, MATCH(BM$2, Data_All!$B$2:$CA$2, 0)+1), "")</f>
        <v/>
      </c>
      <c r="BN74" s="206" t="str">
        <f>IF(AND($A74&gt;=SYear_O, $A74&lt;=EYear_O, BN$3&gt;0), BN$3 * VLOOKUP($A74, Data_All!$A$8:$CA$153, MATCH(BN$2, Data_All!$B$2:$CA$2, 0)+1), "")</f>
        <v/>
      </c>
      <c r="BO74" s="206" t="str">
        <f>IF(AND($A74&gt;=SYear_O, $A74&lt;=EYear_O, BO$3&gt;0), BO$3 * VLOOKUP($A74, Data_All!$A$8:$CA$153, MATCH(BO$2, Data_All!$B$2:$CA$2, 0)+1), "")</f>
        <v/>
      </c>
      <c r="BP74" s="206" t="str">
        <f>IF(AND($A74&gt;=SYear_O, $A74&lt;=EYear_O, BP$3&gt;0), BP$3 * VLOOKUP($A74, Data_All!$A$8:$CA$153, MATCH(BP$2, Data_All!$B$2:$CA$2, 0)+1), "")</f>
        <v/>
      </c>
      <c r="BQ74" s="206" t="str">
        <f>IF(AND($A74&gt;=SYear_O, $A74&lt;=EYear_O, BQ$3&gt;0), BQ$3 * VLOOKUP($A74, Data_All!$A$8:$CA$153, MATCH(BQ$2, Data_All!$B$2:$CA$2, 0)+1), "")</f>
        <v/>
      </c>
      <c r="BR74" s="206" t="str">
        <f>IF(AND($A74&gt;=SYear_O, $A74&lt;=EYear_O, BR$3&gt;0), BR$3 * VLOOKUP($A74, Data_All!$A$8:$CA$153, MATCH(BR$2, Data_All!$B$2:$CA$2, 0)+1), "")</f>
        <v/>
      </c>
      <c r="BS74" s="206" t="str">
        <f>IF(AND($A74&gt;=SYear_O, $A74&lt;=EYear_O, BS$3&gt;0), BS$3 * VLOOKUP($A74, Data_All!$A$8:$CA$153, MATCH(BS$2, Data_All!$B$2:$CA$2, 0)+1), "")</f>
        <v/>
      </c>
      <c r="BT74" s="206" t="str">
        <f>IF(AND($A74&gt;=SYear_O, $A74&lt;=EYear_O, BT$3&gt;0), BT$3 * VLOOKUP($A74, Data_All!$A$8:$CA$153, MATCH(BT$2, Data_All!$B$2:$CA$2, 0)+1), "")</f>
        <v/>
      </c>
      <c r="BU74" s="206" t="str">
        <f>IF(AND($A74&gt;=SYear_O, $A74&lt;=EYear_O, BU$3&gt;0), BU$3 * VLOOKUP($A74, Data_All!$A$8:$CA$153, MATCH(BU$2, Data_All!$B$2:$CA$2, 0)+1), "")</f>
        <v/>
      </c>
      <c r="BV74" s="206" t="str">
        <f>IF(AND($A74&gt;=SYear_O, $A74&lt;=EYear_O, BV$3&gt;0), BV$3 * VLOOKUP($A74, Data_All!$A$8:$CA$153, MATCH(BV$2, Data_All!$B$2:$CA$2, 0)+1), "")</f>
        <v/>
      </c>
      <c r="BW74" s="206" t="str">
        <f>IF(AND($A74&gt;=SYear_O, $A74&lt;=EYear_O, BW$3&gt;0), BW$3 * VLOOKUP($A74, Data_All!$A$8:$CA$153, MATCH(BW$2, Data_All!$B$2:$CA$2, 0)+1), "")</f>
        <v/>
      </c>
      <c r="BX74" s="206">
        <f>IF(AND($A74&gt;=SYear_O, $A74&lt;=EYear_O, BX$3&gt;0), BX$3 * VLOOKUP($A74, Data_All!$A$8:$CA$153, MATCH(BX$2, Data_All!$B$2:$CA$2, 0)+1), "")</f>
        <v>9.0185676392572844</v>
      </c>
      <c r="BY74" s="206">
        <f>IF(AND($A74&gt;=SYear_O, $A74&lt;=EYear_O, BY$3&gt;0), BY$3 * VLOOKUP($A74, Data_All!$A$8:$CA$153, MATCH(BY$2, Data_All!$B$2:$CA$2, 0)+1), "")</f>
        <v>1.5645796801019518</v>
      </c>
      <c r="BZ74" s="206" t="str">
        <f>IF(AND($A74&gt;=SYear_O, $A74&lt;=EYear_O, BZ$3&gt;0), BZ$3 * VLOOKUP($A74, Data_All!$A$8:$CA$153, MATCH(BZ$2, Data_All!$B$2:$CA$2, 0)+1), "")</f>
        <v/>
      </c>
      <c r="CA74" s="565">
        <f t="shared" si="35"/>
        <v>10.583147319359236</v>
      </c>
      <c r="CB74" s="427">
        <f t="shared" si="36"/>
        <v>589158.95544487401</v>
      </c>
      <c r="CC74" s="565">
        <f>IF(AND($A74&gt;=SYear_O,$A74&lt;=EYear_O),(CA74-Data_All!CA75)/(1+Data_All!CA75%),"")</f>
        <v>12.162906566778652</v>
      </c>
      <c r="CD74" s="436">
        <f t="shared" si="37"/>
        <v>524522.36852579936</v>
      </c>
      <c r="CE74" s="438">
        <f t="shared" si="38"/>
        <v>53.436268771417801</v>
      </c>
      <c r="CF74" s="438">
        <f>IF(AND($A74&gt;=SYear_O,$A74&lt;=EYear_O),MAX($CE$7:CE74),"")</f>
        <v>58.508891175771154</v>
      </c>
      <c r="CG74" s="209">
        <f t="shared" si="39"/>
        <v>8.6698317168826367E-2</v>
      </c>
      <c r="CI74" s="143">
        <f>IF(AND($A74&gt;=SYear_O,$A74&lt;=EYear_O),Data_All!V75,"")</f>
        <v>0.78928963932460794</v>
      </c>
      <c r="CJ74" s="143">
        <f>IF(AND($A74&gt;=SYear_O,$A74&lt;=EYear_O),Data_All!CA75,"")</f>
        <v>-1.4084507042253502</v>
      </c>
      <c r="CK74" s="143">
        <f t="shared" si="40"/>
        <v>2.2291366341721006</v>
      </c>
      <c r="CN74" s="61">
        <f t="shared" si="41"/>
        <v>0.10583147319359232</v>
      </c>
      <c r="CO74" s="61">
        <f t="shared" si="42"/>
        <v>3.0912393525559079E-2</v>
      </c>
      <c r="CP74" s="61">
        <f t="shared" si="43"/>
        <v>3.2556795806319982E-2</v>
      </c>
      <c r="CQ74" s="61">
        <f t="shared" si="44"/>
        <v>6.1360822461557163E-2</v>
      </c>
      <c r="CR74" s="61">
        <f t="shared" si="45"/>
        <v>8.119036855306061E-2</v>
      </c>
      <c r="CU74" s="61">
        <f t="shared" si="46"/>
        <v>0.12162906566778653</v>
      </c>
      <c r="CV74" s="61">
        <f t="shared" si="47"/>
        <v>3.3343799685938036E-2</v>
      </c>
      <c r="CW74" s="61">
        <f t="shared" si="48"/>
        <v>-2.7724287805658276E-3</v>
      </c>
      <c r="CX74" s="61">
        <f t="shared" si="49"/>
        <v>8.3633502209101707E-3</v>
      </c>
      <c r="CY74" s="61">
        <f t="shared" si="50"/>
        <v>3.6881873015093714E-2</v>
      </c>
    </row>
    <row r="75" spans="1:103">
      <c r="A75" s="204">
        <f t="shared" si="51"/>
        <v>1939</v>
      </c>
      <c r="B75" s="206" t="str">
        <f>IF(AND($A75&gt;=SYear_O, $A75&lt;=EYear_O, B$3&gt;0), B$3 * VLOOKUP($A75, Data_All!$A$8:$CA$153, MATCH(B$2, Data_All!$B$2:$CA$2, 0)+1), "")</f>
        <v/>
      </c>
      <c r="C75" s="206" t="str">
        <f>IF(AND($A75&gt;=SYear_O, $A75&lt;=EYear_O, C$3&gt;0), C$3 * VLOOKUP($A75, Data_All!$A$8:$CA$153, MATCH(C$2, Data_All!$B$2:$CA$2, 0)+1), "")</f>
        <v/>
      </c>
      <c r="D75" s="206" t="str">
        <f>IF(AND($A75&gt;=SYear_O, $A75&lt;=EYear_O, D$3&gt;0), D$3 * VLOOKUP($A75, Data_All!$A$8:$CA$153, MATCH(D$2, Data_All!$B$2:$CA$2, 0)+1), "")</f>
        <v/>
      </c>
      <c r="E75" s="206" t="str">
        <f>IF(AND($A75&gt;=SYear_O, $A75&lt;=EYear_O, E$3&gt;0), E$3 * VLOOKUP($A75, Data_All!$A$8:$CA$153, MATCH(E$2, Data_All!$B$2:$CA$2, 0)+1), "")</f>
        <v/>
      </c>
      <c r="F75" s="206" t="str">
        <f>IF(AND($A75&gt;=SYear_O, $A75&lt;=EYear_O, F$3&gt;0), F$3 * VLOOKUP($A75, Data_All!$A$8:$CA$153, MATCH(F$2, Data_All!$B$2:$CA$2, 0)+1), "")</f>
        <v/>
      </c>
      <c r="G75" s="206" t="str">
        <f>IF(AND($A75&gt;=SYear_O, $A75&lt;=EYear_O, G$3&gt;0), G$3 * VLOOKUP($A75, Data_All!$A$8:$CA$153, MATCH(G$2, Data_All!$B$2:$CA$2, 0)+1), "")</f>
        <v/>
      </c>
      <c r="H75" s="206" t="str">
        <f>IF(AND($A75&gt;=SYear_O, $A75&lt;=EYear_O, H$3&gt;0), H$3 * VLOOKUP($A75, Data_All!$A$8:$CA$153, MATCH(H$2, Data_All!$B$2:$CA$2, 0)+1), "")</f>
        <v/>
      </c>
      <c r="I75" s="206" t="str">
        <f>IF(AND($A75&gt;=SYear_O, $A75&lt;=EYear_O, I$3&gt;0), I$3 * VLOOKUP($A75, Data_All!$A$8:$CA$153, MATCH(I$2, Data_All!$B$2:$CA$2, 0)+1), "")</f>
        <v/>
      </c>
      <c r="J75" s="206" t="str">
        <f>IF(AND($A75&gt;=SYear_O, $A75&lt;=EYear_O, J$3&gt;0), J$3 * VLOOKUP($A75, Data_All!$A$8:$CA$153, MATCH(J$2, Data_All!$B$2:$CA$2, 0)+1), "")</f>
        <v/>
      </c>
      <c r="K75" s="206" t="str">
        <f>IF(AND($A75&gt;=SYear_O, $A75&lt;=EYear_O, K$3&gt;0), K$3 * VLOOKUP($A75, Data_All!$A$8:$CA$153, MATCH(K$2, Data_All!$B$2:$CA$2, 0)+1), "")</f>
        <v/>
      </c>
      <c r="L75" s="206" t="str">
        <f>IF(AND($A75&gt;=SYear_O, $A75&lt;=EYear_O, L$3&gt;0), L$3 * VLOOKUP($A75, Data_All!$A$8:$CA$153, MATCH(L$2, Data_All!$B$2:$CA$2, 0)+1), "")</f>
        <v/>
      </c>
      <c r="M75" s="206" t="str">
        <f>IF(AND($A75&gt;=SYear_O, $A75&lt;=EYear_O, M$3&gt;0), M$3 * VLOOKUP($A75, Data_All!$A$8:$CA$153, MATCH(M$2, Data_All!$B$2:$CA$2, 0)+1), "")</f>
        <v/>
      </c>
      <c r="N75" s="206" t="str">
        <f>IF(AND($A75&gt;=SYear_O, $A75&lt;=EYear_O, N$3&gt;0), N$3 * VLOOKUP($A75, Data_All!$A$8:$CA$153, MATCH(N$2, Data_All!$B$2:$CA$2, 0)+1), "")</f>
        <v/>
      </c>
      <c r="O75" s="206" t="str">
        <f>IF(AND($A75&gt;=SYear_O, $A75&lt;=EYear_O, O$3&gt;0), O$3 * VLOOKUP($A75, Data_All!$A$8:$CA$153, MATCH(O$2, Data_All!$B$2:$CA$2, 0)+1), "")</f>
        <v/>
      </c>
      <c r="P75" s="206" t="str">
        <f>IF(AND($A75&gt;=SYear_O, $A75&lt;=EYear_O, P$3&gt;0), P$3 * VLOOKUP($A75, Data_All!$A$8:$CA$153, MATCH(P$2, Data_All!$B$2:$CA$2, 0)+1), "")</f>
        <v/>
      </c>
      <c r="Q75" s="206" t="str">
        <f>IF(AND($A75&gt;=SYear_O, $A75&lt;=EYear_O, Q$3&gt;0), Q$3 * VLOOKUP($A75, Data_All!$A$8:$CA$153, MATCH(Q$2, Data_All!$B$2:$CA$2, 0)+1), "")</f>
        <v/>
      </c>
      <c r="R75" s="206" t="str">
        <f>IF(AND($A75&gt;=SYear_O, $A75&lt;=EYear_O, R$3&gt;0), R$3 * VLOOKUP($A75, Data_All!$A$8:$CA$153, MATCH(R$2, Data_All!$B$2:$CA$2, 0)+1), "")</f>
        <v/>
      </c>
      <c r="S75" s="206" t="str">
        <f>IF(AND($A75&gt;=SYear_O, $A75&lt;=EYear_O, S$3&gt;0), S$3 * VLOOKUP($A75, Data_All!$A$8:$CA$153, MATCH(S$2, Data_All!$B$2:$CA$2, 0)+1), "")</f>
        <v/>
      </c>
      <c r="T75" s="206" t="str">
        <f>IF(AND($A75&gt;=SYear_O, $A75&lt;=EYear_O, T$3&gt;0), T$3 * VLOOKUP($A75, Data_All!$A$8:$CA$153, MATCH(T$2, Data_All!$B$2:$CA$2, 0)+1), "")</f>
        <v/>
      </c>
      <c r="U75" s="206" t="str">
        <f>IF(AND($A75&gt;=SYear_O, $A75&lt;=EYear_O, U$3&gt;0), U$3 * VLOOKUP($A75, Data_All!$A$8:$CA$153, MATCH(U$2, Data_All!$B$2:$CA$2, 0)+1), "")</f>
        <v/>
      </c>
      <c r="V75" s="206" t="str">
        <f>IF(AND($A75&gt;=SYear_O, $A75&lt;=EYear_O, V$3&gt;0), V$3 * VLOOKUP($A75, Data_All!$A$8:$CA$153, MATCH(V$2, Data_All!$B$2:$CA$2, 0)+1), "")</f>
        <v/>
      </c>
      <c r="W75" s="206" t="str">
        <f>IF(AND($A75&gt;=SYear_O, $A75&lt;=EYear_O, W$3&gt;0), W$3 * VLOOKUP($A75, Data_All!$A$8:$CA$153, MATCH(W$2, Data_All!$B$2:$CA$2, 0)+1), "")</f>
        <v/>
      </c>
      <c r="X75" s="206" t="str">
        <f>IF(AND($A75&gt;=SYear_O, $A75&lt;=EYear_O, X$3&gt;0), X$3 * VLOOKUP($A75, Data_All!$A$8:$CA$153, MATCH(X$2, Data_All!$B$2:$CA$2, 0)+1), "")</f>
        <v/>
      </c>
      <c r="Y75" s="206" t="str">
        <f>IF(AND($A75&gt;=SYear_O, $A75&lt;=EYear_O, Y$3&gt;0), Y$3 * VLOOKUP($A75, Data_All!$A$8:$CA$153, MATCH(Y$2, Data_All!$B$2:$CA$2, 0)+1), "")</f>
        <v/>
      </c>
      <c r="Z75" s="206" t="str">
        <f>IF(AND($A75&gt;=SYear_O, $A75&lt;=EYear_O, Z$3&gt;0), Z$3 * VLOOKUP($A75, Data_All!$A$8:$CA$153, MATCH(Z$2, Data_All!$B$2:$CA$2, 0)+1), "")</f>
        <v/>
      </c>
      <c r="AA75" s="206" t="str">
        <f>IF(AND($A75&gt;=SYear_O, $A75&lt;=EYear_O, AA$3&gt;0), AA$3 * VLOOKUP($A75, Data_All!$A$8:$CA$153, MATCH(AA$2, Data_All!$B$2:$CA$2, 0)+1), "")</f>
        <v/>
      </c>
      <c r="AB75" s="206" t="str">
        <f>IF(AND($A75&gt;=SYear_O, $A75&lt;=EYear_O, AB$3&gt;0), AB$3 * VLOOKUP($A75, Data_All!$A$8:$CA$153, MATCH(AB$2, Data_All!$B$2:$CA$2, 0)+1), "")</f>
        <v/>
      </c>
      <c r="AC75" s="206" t="str">
        <f>IF(AND($A75&gt;=SYear_O, $A75&lt;=EYear_O, AC$3&gt;0), AC$3 * VLOOKUP($A75, Data_All!$A$8:$CA$153, MATCH(AC$2, Data_All!$B$2:$CA$2, 0)+1), "")</f>
        <v/>
      </c>
      <c r="AD75" s="206" t="str">
        <f>IF(AND($A75&gt;=SYear_O, $A75&lt;=EYear_O, AD$3&gt;0), AD$3 * VLOOKUP($A75, Data_All!$A$8:$CA$153, MATCH(AD$2, Data_All!$B$2:$CA$2, 0)+1), "")</f>
        <v/>
      </c>
      <c r="AE75" s="206" t="str">
        <f>IF(AND($A75&gt;=SYear_O, $A75&lt;=EYear_O, AE$3&gt;0), AE$3 * VLOOKUP($A75, Data_All!$A$8:$CA$153, MATCH(AE$2, Data_All!$B$2:$CA$2, 0)+1), "")</f>
        <v/>
      </c>
      <c r="AF75" s="206" t="str">
        <f>IF(AND($A75&gt;=SYear_O, $A75&lt;=EYear_O, AF$3&gt;0), AF$3 * VLOOKUP($A75, Data_All!$A$8:$CA$153, MATCH(AF$2, Data_All!$B$2:$CA$2, 0)+1), "")</f>
        <v/>
      </c>
      <c r="AG75" s="206" t="str">
        <f>IF(AND($A75&gt;=SYear_O, $A75&lt;=EYear_O, AG$3&gt;0), AG$3 * VLOOKUP($A75, Data_All!$A$8:$CA$153, MATCH(AG$2, Data_All!$B$2:$CA$2, 0)+1), "")</f>
        <v/>
      </c>
      <c r="AH75" s="206" t="str">
        <f>IF(AND($A75&gt;=SYear_O, $A75&lt;=EYear_O, AH$3&gt;0), AH$3 * VLOOKUP($A75, Data_All!$A$8:$CA$153, MATCH(AH$2, Data_All!$B$2:$CA$2, 0)+1), "")</f>
        <v/>
      </c>
      <c r="AI75" s="206" t="str">
        <f>IF(AND($A75&gt;=SYear_O, $A75&lt;=EYear_O, AI$3&gt;0), AI$3 * VLOOKUP($A75, Data_All!$A$8:$CA$153, MATCH(AI$2, Data_All!$B$2:$CA$2, 0)+1), "")</f>
        <v/>
      </c>
      <c r="AJ75" s="206" t="str">
        <f>IF(AND($A75&gt;=SYear_O, $A75&lt;=EYear_O, AJ$3&gt;0), AJ$3 * VLOOKUP($A75, Data_All!$A$8:$CA$153, MATCH(AJ$2, Data_All!$B$2:$CA$2, 0)+1), "")</f>
        <v/>
      </c>
      <c r="AK75" s="206" t="str">
        <f>IF(AND($A75&gt;=SYear_O, $A75&lt;=EYear_O, AK$3&gt;0), AK$3 * VLOOKUP($A75, Data_All!$A$8:$CA$153, MATCH(AK$2, Data_All!$B$2:$CA$2, 0)+1), "")</f>
        <v/>
      </c>
      <c r="AL75" s="206" t="str">
        <f>IF(AND($A75&gt;=SYear_O, $A75&lt;=EYear_O, AL$3&gt;0), AL$3 * VLOOKUP($A75, Data_All!$A$8:$CA$153, MATCH(AL$2, Data_All!$B$2:$CA$2, 0)+1), "")</f>
        <v/>
      </c>
      <c r="AM75" s="206" t="str">
        <f>IF(AND($A75&gt;=SYear_O, $A75&lt;=EYear_O, AM$3&gt;0), AM$3 * VLOOKUP($A75, Data_All!$A$8:$CA$153, MATCH(AM$2, Data_All!$B$2:$CA$2, 0)+1), "")</f>
        <v/>
      </c>
      <c r="AN75" s="206" t="str">
        <f>IF(AND($A75&gt;=SYear_O, $A75&lt;=EYear_O, AN$3&gt;0), AN$3 * VLOOKUP($A75, Data_All!$A$8:$CA$153, MATCH(AN$2, Data_All!$B$2:$CA$2, 0)+1), "")</f>
        <v/>
      </c>
      <c r="AO75" s="206" t="str">
        <f>IF(AND($A75&gt;=SYear_O, $A75&lt;=EYear_O, AO$3&gt;0), AO$3 * VLOOKUP($A75, Data_All!$A$8:$CA$153, MATCH(AO$2, Data_All!$B$2:$CA$2, 0)+1), "")</f>
        <v/>
      </c>
      <c r="AP75" s="206" t="str">
        <f>IF(AND($A75&gt;=SYear_O, $A75&lt;=EYear_O, AP$3&gt;0), AP$3 * VLOOKUP($A75, Data_All!$A$8:$CA$153, MATCH(AP$2, Data_All!$B$2:$CA$2, 0)+1), "")</f>
        <v/>
      </c>
      <c r="AQ75" s="206" t="str">
        <f>IF(AND($A75&gt;=SYear_O, $A75&lt;=EYear_O, AQ$3&gt;0), AQ$3 * VLOOKUP($A75, Data_All!$A$8:$CA$153, MATCH(AQ$2, Data_All!$B$2:$CA$2, 0)+1), "")</f>
        <v/>
      </c>
      <c r="AR75" s="206" t="str">
        <f>IF(AND($A75&gt;=SYear_O, $A75&lt;=EYear_O, AR$3&gt;0), AR$3 * VLOOKUP($A75, Data_All!$A$8:$CA$153, MATCH(AR$2, Data_All!$B$2:$CA$2, 0)+1), "")</f>
        <v/>
      </c>
      <c r="AS75" s="206" t="str">
        <f>IF(AND($A75&gt;=SYear_O, $A75&lt;=EYear_O, AS$3&gt;0), AS$3 * VLOOKUP($A75, Data_All!$A$8:$CA$153, MATCH(AS$2, Data_All!$B$2:$CA$2, 0)+1), "")</f>
        <v/>
      </c>
      <c r="AT75" s="206" t="str">
        <f>IF(AND($A75&gt;=SYear_O, $A75&lt;=EYear_O, AT$3&gt;0), AT$3 * VLOOKUP($A75, Data_All!$A$8:$CA$153, MATCH(AT$2, Data_All!$B$2:$CA$2, 0)+1), "")</f>
        <v/>
      </c>
      <c r="AU75" s="206" t="str">
        <f>IF(AND($A75&gt;=SYear_O, $A75&lt;=EYear_O, AU$3&gt;0), AU$3 * VLOOKUP($A75, Data_All!$A$8:$CA$153, MATCH(AU$2, Data_All!$B$2:$CA$2, 0)+1), "")</f>
        <v/>
      </c>
      <c r="AV75" s="206" t="str">
        <f>IF(AND($A75&gt;=SYear_O, $A75&lt;=EYear_O, AV$3&gt;0), AV$3 * VLOOKUP($A75, Data_All!$A$8:$CA$153, MATCH(AV$2, Data_All!$B$2:$CA$2, 0)+1), "")</f>
        <v/>
      </c>
      <c r="AW75" s="206" t="str">
        <f>IF(AND($A75&gt;=SYear_O, $A75&lt;=EYear_O, AW$3&gt;0), AW$3 * VLOOKUP($A75, Data_All!$A$8:$CA$153, MATCH(AW$2, Data_All!$B$2:$CA$2, 0)+1), "")</f>
        <v/>
      </c>
      <c r="AX75" s="206" t="str">
        <f>IF(AND($A75&gt;=SYear_O, $A75&lt;=EYear_O, AX$3&gt;0), AX$3 * VLOOKUP($A75, Data_All!$A$8:$CA$153, MATCH(AX$2, Data_All!$B$2:$CA$2, 0)+1), "")</f>
        <v/>
      </c>
      <c r="AY75" s="206" t="str">
        <f>IF(AND($A75&gt;=SYear_O, $A75&lt;=EYear_O, AY$3&gt;0), AY$3 * VLOOKUP($A75, Data_All!$A$8:$CA$153, MATCH(AY$2, Data_All!$B$2:$CA$2, 0)+1), "")</f>
        <v/>
      </c>
      <c r="AZ75" s="206" t="str">
        <f>IF(AND($A75&gt;=SYear_O, $A75&lt;=EYear_O, AZ$3&gt;0), AZ$3 * VLOOKUP($A75, Data_All!$A$8:$CA$153, MATCH(AZ$2, Data_All!$B$2:$CA$2, 0)+1), "")</f>
        <v/>
      </c>
      <c r="BA75" s="206" t="str">
        <f>IF(AND($A75&gt;=SYear_O, $A75&lt;=EYear_O, BA$3&gt;0), BA$3 * VLOOKUP($A75, Data_All!$A$8:$CA$153, MATCH(BA$2, Data_All!$B$2:$CA$2, 0)+1), "")</f>
        <v/>
      </c>
      <c r="BB75" s="206" t="str">
        <f>IF(AND($A75&gt;=SYear_O, $A75&lt;=EYear_O, BB$3&gt;0), BB$3 * VLOOKUP($A75, Data_All!$A$8:$CA$153, MATCH(BB$2, Data_All!$B$2:$CA$2, 0)+1), "")</f>
        <v/>
      </c>
      <c r="BC75" s="206" t="str">
        <f>IF(AND($A75&gt;=SYear_O, $A75&lt;=EYear_O, BC$3&gt;0), BC$3 * VLOOKUP($A75, Data_All!$A$8:$CA$153, MATCH(BC$2, Data_All!$B$2:$CA$2, 0)+1), "")</f>
        <v/>
      </c>
      <c r="BD75" s="206" t="str">
        <f>IF(AND($A75&gt;=SYear_O, $A75&lt;=EYear_O, BD$3&gt;0), BD$3 * VLOOKUP($A75, Data_All!$A$8:$CA$153, MATCH(BD$2, Data_All!$B$2:$CA$2, 0)+1), "")</f>
        <v/>
      </c>
      <c r="BE75" s="206" t="str">
        <f>IF(AND($A75&gt;=SYear_O, $A75&lt;=EYear_O, BE$3&gt;0), BE$3 * VLOOKUP($A75, Data_All!$A$8:$CA$153, MATCH(BE$2, Data_All!$B$2:$CA$2, 0)+1), "")</f>
        <v/>
      </c>
      <c r="BF75" s="206" t="str">
        <f>IF(AND($A75&gt;=SYear_O, $A75&lt;=EYear_O, BF$3&gt;0), BF$3 * VLOOKUP($A75, Data_All!$A$8:$CA$153, MATCH(BF$2, Data_All!$B$2:$CA$2, 0)+1), "")</f>
        <v/>
      </c>
      <c r="BG75" s="206" t="str">
        <f>IF(AND($A75&gt;=SYear_O, $A75&lt;=EYear_O, BG$3&gt;0), BG$3 * VLOOKUP($A75, Data_All!$A$8:$CA$153, MATCH(BG$2, Data_All!$B$2:$CA$2, 0)+1), "")</f>
        <v/>
      </c>
      <c r="BH75" s="206" t="str">
        <f>IF(AND($A75&gt;=SYear_O, $A75&lt;=EYear_O, BH$3&gt;0), BH$3 * VLOOKUP($A75, Data_All!$A$8:$CA$153, MATCH(BH$2, Data_All!$B$2:$CA$2, 0)+1), "")</f>
        <v/>
      </c>
      <c r="BI75" s="206" t="str">
        <f>IF(AND($A75&gt;=SYear_O, $A75&lt;=EYear_O, BI$3&gt;0), BI$3 * VLOOKUP($A75, Data_All!$A$8:$CA$153, MATCH(BI$2, Data_All!$B$2:$CA$2, 0)+1), "")</f>
        <v/>
      </c>
      <c r="BJ75" s="206" t="str">
        <f>IF(AND($A75&gt;=SYear_O, $A75&lt;=EYear_O, BJ$3&gt;0), BJ$3 * VLOOKUP($A75, Data_All!$A$8:$CA$153, MATCH(BJ$2, Data_All!$B$2:$CA$2, 0)+1), "")</f>
        <v/>
      </c>
      <c r="BK75" s="206" t="str">
        <f>IF(AND($A75&gt;=SYear_O, $A75&lt;=EYear_O, BK$3&gt;0), BK$3 * VLOOKUP($A75, Data_All!$A$8:$CA$153, MATCH(BK$2, Data_All!$B$2:$CA$2, 0)+1), "")</f>
        <v/>
      </c>
      <c r="BL75" s="206" t="str">
        <f>IF(AND($A75&gt;=SYear_O, $A75&lt;=EYear_O, BL$3&gt;0), BL$3 * VLOOKUP($A75, Data_All!$A$8:$CA$153, MATCH(BL$2, Data_All!$B$2:$CA$2, 0)+1), "")</f>
        <v/>
      </c>
      <c r="BM75" s="206" t="str">
        <f>IF(AND($A75&gt;=SYear_O, $A75&lt;=EYear_O, BM$3&gt;0), BM$3 * VLOOKUP($A75, Data_All!$A$8:$CA$153, MATCH(BM$2, Data_All!$B$2:$CA$2, 0)+1), "")</f>
        <v/>
      </c>
      <c r="BN75" s="206" t="str">
        <f>IF(AND($A75&gt;=SYear_O, $A75&lt;=EYear_O, BN$3&gt;0), BN$3 * VLOOKUP($A75, Data_All!$A$8:$CA$153, MATCH(BN$2, Data_All!$B$2:$CA$2, 0)+1), "")</f>
        <v/>
      </c>
      <c r="BO75" s="206" t="str">
        <f>IF(AND($A75&gt;=SYear_O, $A75&lt;=EYear_O, BO$3&gt;0), BO$3 * VLOOKUP($A75, Data_All!$A$8:$CA$153, MATCH(BO$2, Data_All!$B$2:$CA$2, 0)+1), "")</f>
        <v/>
      </c>
      <c r="BP75" s="206" t="str">
        <f>IF(AND($A75&gt;=SYear_O, $A75&lt;=EYear_O, BP$3&gt;0), BP$3 * VLOOKUP($A75, Data_All!$A$8:$CA$153, MATCH(BP$2, Data_All!$B$2:$CA$2, 0)+1), "")</f>
        <v/>
      </c>
      <c r="BQ75" s="206" t="str">
        <f>IF(AND($A75&gt;=SYear_O, $A75&lt;=EYear_O, BQ$3&gt;0), BQ$3 * VLOOKUP($A75, Data_All!$A$8:$CA$153, MATCH(BQ$2, Data_All!$B$2:$CA$2, 0)+1), "")</f>
        <v/>
      </c>
      <c r="BR75" s="206" t="str">
        <f>IF(AND($A75&gt;=SYear_O, $A75&lt;=EYear_O, BR$3&gt;0), BR$3 * VLOOKUP($A75, Data_All!$A$8:$CA$153, MATCH(BR$2, Data_All!$B$2:$CA$2, 0)+1), "")</f>
        <v/>
      </c>
      <c r="BS75" s="206" t="str">
        <f>IF(AND($A75&gt;=SYear_O, $A75&lt;=EYear_O, BS$3&gt;0), BS$3 * VLOOKUP($A75, Data_All!$A$8:$CA$153, MATCH(BS$2, Data_All!$B$2:$CA$2, 0)+1), "")</f>
        <v/>
      </c>
      <c r="BT75" s="206" t="str">
        <f>IF(AND($A75&gt;=SYear_O, $A75&lt;=EYear_O, BT$3&gt;0), BT$3 * VLOOKUP($A75, Data_All!$A$8:$CA$153, MATCH(BT$2, Data_All!$B$2:$CA$2, 0)+1), "")</f>
        <v/>
      </c>
      <c r="BU75" s="206" t="str">
        <f>IF(AND($A75&gt;=SYear_O, $A75&lt;=EYear_O, BU$3&gt;0), BU$3 * VLOOKUP($A75, Data_All!$A$8:$CA$153, MATCH(BU$2, Data_All!$B$2:$CA$2, 0)+1), "")</f>
        <v/>
      </c>
      <c r="BV75" s="206" t="str">
        <f>IF(AND($A75&gt;=SYear_O, $A75&lt;=EYear_O, BV$3&gt;0), BV$3 * VLOOKUP($A75, Data_All!$A$8:$CA$153, MATCH(BV$2, Data_All!$B$2:$CA$2, 0)+1), "")</f>
        <v/>
      </c>
      <c r="BW75" s="206" t="str">
        <f>IF(AND($A75&gt;=SYear_O, $A75&lt;=EYear_O, BW$3&gt;0), BW$3 * VLOOKUP($A75, Data_All!$A$8:$CA$153, MATCH(BW$2, Data_All!$B$2:$CA$2, 0)+1), "")</f>
        <v/>
      </c>
      <c r="BX75" s="206">
        <f>IF(AND($A75&gt;=SYear_O, $A75&lt;=EYear_O, BX$3&gt;0), BX$3 * VLOOKUP($A75, Data_All!$A$8:$CA$153, MATCH(BX$2, Data_All!$B$2:$CA$2, 0)+1), "")</f>
        <v>2.0160000000000045</v>
      </c>
      <c r="BY75" s="206">
        <f>IF(AND($A75&gt;=SYear_O, $A75&lt;=EYear_O, BY$3&gt;0), BY$3 * VLOOKUP($A75, Data_All!$A$8:$CA$153, MATCH(BY$2, Data_All!$B$2:$CA$2, 0)+1), "")</f>
        <v>1.1853680730132155</v>
      </c>
      <c r="BZ75" s="206" t="str">
        <f>IF(AND($A75&gt;=SYear_O, $A75&lt;=EYear_O, BZ$3&gt;0), BZ$3 * VLOOKUP($A75, Data_All!$A$8:$CA$153, MATCH(BZ$2, Data_All!$B$2:$CA$2, 0)+1), "")</f>
        <v/>
      </c>
      <c r="CA75" s="565">
        <f t="shared" si="35"/>
        <v>3.2013680730132199</v>
      </c>
      <c r="CB75" s="427">
        <f t="shared" si="36"/>
        <v>608020.10214378429</v>
      </c>
      <c r="CC75" s="565">
        <f>IF(AND($A75&gt;=SYear_O,$A75&lt;=EYear_O),(CA75-Data_All!CA76)/(1+Data_All!CA76%),"")</f>
        <v>3.9438239584305785</v>
      </c>
      <c r="CD75" s="436">
        <f t="shared" si="37"/>
        <v>545208.60736304743</v>
      </c>
      <c r="CE75" s="438">
        <f t="shared" si="38"/>
        <v>55.146960419275501</v>
      </c>
      <c r="CF75" s="438">
        <f>IF(AND($A75&gt;=SYear_O,$A75&lt;=EYear_O),MAX($CE$7:CE75),"")</f>
        <v>58.508891175771154</v>
      </c>
      <c r="CG75" s="209">
        <f t="shared" si="39"/>
        <v>5.7460168684376756E-2</v>
      </c>
      <c r="CI75" s="143">
        <f>IF(AND($A75&gt;=SYear_O,$A75&lt;=EYear_O),Data_All!V76,"")</f>
        <v>0.46957738035767821</v>
      </c>
      <c r="CJ75" s="143">
        <f>IF(AND($A75&gt;=SYear_O,$A75&lt;=EYear_O),Data_All!CA76,"")</f>
        <v>-0.71428571428571175</v>
      </c>
      <c r="CK75" s="143">
        <f t="shared" si="40"/>
        <v>1.1923800953242776</v>
      </c>
      <c r="CN75" s="61">
        <f t="shared" si="41"/>
        <v>3.201368073013211E-2</v>
      </c>
      <c r="CO75" s="61">
        <f t="shared" si="42"/>
        <v>-1.9951860334955884E-2</v>
      </c>
      <c r="CP75" s="61">
        <f t="shared" si="43"/>
        <v>4.0889606205401829E-2</v>
      </c>
      <c r="CQ75" s="61">
        <f t="shared" si="44"/>
        <v>5.7767053675274349E-2</v>
      </c>
      <c r="CR75" s="61">
        <f t="shared" si="45"/>
        <v>7.663823412758286E-2</v>
      </c>
      <c r="CU75" s="61">
        <f t="shared" si="46"/>
        <v>3.9438239584305812E-2</v>
      </c>
      <c r="CV75" s="61">
        <f t="shared" si="47"/>
        <v>-5.6684719048354926E-2</v>
      </c>
      <c r="CW75" s="61">
        <f t="shared" si="48"/>
        <v>-3.4010405383982922E-3</v>
      </c>
      <c r="CX75" s="61">
        <f t="shared" si="49"/>
        <v>2.2630398280987229E-3</v>
      </c>
      <c r="CY75" s="61">
        <f t="shared" si="50"/>
        <v>3.0769396027552354E-2</v>
      </c>
    </row>
    <row r="76" spans="1:103">
      <c r="A76" s="204">
        <f t="shared" si="51"/>
        <v>1940</v>
      </c>
      <c r="B76" s="206" t="str">
        <f>IF(AND($A76&gt;=SYear_O, $A76&lt;=EYear_O, B$3&gt;0), B$3 * VLOOKUP($A76, Data_All!$A$8:$CA$153, MATCH(B$2, Data_All!$B$2:$CA$2, 0)+1), "")</f>
        <v/>
      </c>
      <c r="C76" s="206" t="str">
        <f>IF(AND($A76&gt;=SYear_O, $A76&lt;=EYear_O, C$3&gt;0), C$3 * VLOOKUP($A76, Data_All!$A$8:$CA$153, MATCH(C$2, Data_All!$B$2:$CA$2, 0)+1), "")</f>
        <v/>
      </c>
      <c r="D76" s="206" t="str">
        <f>IF(AND($A76&gt;=SYear_O, $A76&lt;=EYear_O, D$3&gt;0), D$3 * VLOOKUP($A76, Data_All!$A$8:$CA$153, MATCH(D$2, Data_All!$B$2:$CA$2, 0)+1), "")</f>
        <v/>
      </c>
      <c r="E76" s="206" t="str">
        <f>IF(AND($A76&gt;=SYear_O, $A76&lt;=EYear_O, E$3&gt;0), E$3 * VLOOKUP($A76, Data_All!$A$8:$CA$153, MATCH(E$2, Data_All!$B$2:$CA$2, 0)+1), "")</f>
        <v/>
      </c>
      <c r="F76" s="206" t="str">
        <f>IF(AND($A76&gt;=SYear_O, $A76&lt;=EYear_O, F$3&gt;0), F$3 * VLOOKUP($A76, Data_All!$A$8:$CA$153, MATCH(F$2, Data_All!$B$2:$CA$2, 0)+1), "")</f>
        <v/>
      </c>
      <c r="G76" s="206" t="str">
        <f>IF(AND($A76&gt;=SYear_O, $A76&lt;=EYear_O, G$3&gt;0), G$3 * VLOOKUP($A76, Data_All!$A$8:$CA$153, MATCH(G$2, Data_All!$B$2:$CA$2, 0)+1), "")</f>
        <v/>
      </c>
      <c r="H76" s="206" t="str">
        <f>IF(AND($A76&gt;=SYear_O, $A76&lt;=EYear_O, H$3&gt;0), H$3 * VLOOKUP($A76, Data_All!$A$8:$CA$153, MATCH(H$2, Data_All!$B$2:$CA$2, 0)+1), "")</f>
        <v/>
      </c>
      <c r="I76" s="206" t="str">
        <f>IF(AND($A76&gt;=SYear_O, $A76&lt;=EYear_O, I$3&gt;0), I$3 * VLOOKUP($A76, Data_All!$A$8:$CA$153, MATCH(I$2, Data_All!$B$2:$CA$2, 0)+1), "")</f>
        <v/>
      </c>
      <c r="J76" s="206" t="str">
        <f>IF(AND($A76&gt;=SYear_O, $A76&lt;=EYear_O, J$3&gt;0), J$3 * VLOOKUP($A76, Data_All!$A$8:$CA$153, MATCH(J$2, Data_All!$B$2:$CA$2, 0)+1), "")</f>
        <v/>
      </c>
      <c r="K76" s="206" t="str">
        <f>IF(AND($A76&gt;=SYear_O, $A76&lt;=EYear_O, K$3&gt;0), K$3 * VLOOKUP($A76, Data_All!$A$8:$CA$153, MATCH(K$2, Data_All!$B$2:$CA$2, 0)+1), "")</f>
        <v/>
      </c>
      <c r="L76" s="206" t="str">
        <f>IF(AND($A76&gt;=SYear_O, $A76&lt;=EYear_O, L$3&gt;0), L$3 * VLOOKUP($A76, Data_All!$A$8:$CA$153, MATCH(L$2, Data_All!$B$2:$CA$2, 0)+1), "")</f>
        <v/>
      </c>
      <c r="M76" s="206" t="str">
        <f>IF(AND($A76&gt;=SYear_O, $A76&lt;=EYear_O, M$3&gt;0), M$3 * VLOOKUP($A76, Data_All!$A$8:$CA$153, MATCH(M$2, Data_All!$B$2:$CA$2, 0)+1), "")</f>
        <v/>
      </c>
      <c r="N76" s="206" t="str">
        <f>IF(AND($A76&gt;=SYear_O, $A76&lt;=EYear_O, N$3&gt;0), N$3 * VLOOKUP($A76, Data_All!$A$8:$CA$153, MATCH(N$2, Data_All!$B$2:$CA$2, 0)+1), "")</f>
        <v/>
      </c>
      <c r="O76" s="206" t="str">
        <f>IF(AND($A76&gt;=SYear_O, $A76&lt;=EYear_O, O$3&gt;0), O$3 * VLOOKUP($A76, Data_All!$A$8:$CA$153, MATCH(O$2, Data_All!$B$2:$CA$2, 0)+1), "")</f>
        <v/>
      </c>
      <c r="P76" s="206" t="str">
        <f>IF(AND($A76&gt;=SYear_O, $A76&lt;=EYear_O, P$3&gt;0), P$3 * VLOOKUP($A76, Data_All!$A$8:$CA$153, MATCH(P$2, Data_All!$B$2:$CA$2, 0)+1), "")</f>
        <v/>
      </c>
      <c r="Q76" s="206" t="str">
        <f>IF(AND($A76&gt;=SYear_O, $A76&lt;=EYear_O, Q$3&gt;0), Q$3 * VLOOKUP($A76, Data_All!$A$8:$CA$153, MATCH(Q$2, Data_All!$B$2:$CA$2, 0)+1), "")</f>
        <v/>
      </c>
      <c r="R76" s="206" t="str">
        <f>IF(AND($A76&gt;=SYear_O, $A76&lt;=EYear_O, R$3&gt;0), R$3 * VLOOKUP($A76, Data_All!$A$8:$CA$153, MATCH(R$2, Data_All!$B$2:$CA$2, 0)+1), "")</f>
        <v/>
      </c>
      <c r="S76" s="206" t="str">
        <f>IF(AND($A76&gt;=SYear_O, $A76&lt;=EYear_O, S$3&gt;0), S$3 * VLOOKUP($A76, Data_All!$A$8:$CA$153, MATCH(S$2, Data_All!$B$2:$CA$2, 0)+1), "")</f>
        <v/>
      </c>
      <c r="T76" s="206" t="str">
        <f>IF(AND($A76&gt;=SYear_O, $A76&lt;=EYear_O, T$3&gt;0), T$3 * VLOOKUP($A76, Data_All!$A$8:$CA$153, MATCH(T$2, Data_All!$B$2:$CA$2, 0)+1), "")</f>
        <v/>
      </c>
      <c r="U76" s="206" t="str">
        <f>IF(AND($A76&gt;=SYear_O, $A76&lt;=EYear_O, U$3&gt;0), U$3 * VLOOKUP($A76, Data_All!$A$8:$CA$153, MATCH(U$2, Data_All!$B$2:$CA$2, 0)+1), "")</f>
        <v/>
      </c>
      <c r="V76" s="206" t="str">
        <f>IF(AND($A76&gt;=SYear_O, $A76&lt;=EYear_O, V$3&gt;0), V$3 * VLOOKUP($A76, Data_All!$A$8:$CA$153, MATCH(V$2, Data_All!$B$2:$CA$2, 0)+1), "")</f>
        <v/>
      </c>
      <c r="W76" s="206" t="str">
        <f>IF(AND($A76&gt;=SYear_O, $A76&lt;=EYear_O, W$3&gt;0), W$3 * VLOOKUP($A76, Data_All!$A$8:$CA$153, MATCH(W$2, Data_All!$B$2:$CA$2, 0)+1), "")</f>
        <v/>
      </c>
      <c r="X76" s="206" t="str">
        <f>IF(AND($A76&gt;=SYear_O, $A76&lt;=EYear_O, X$3&gt;0), X$3 * VLOOKUP($A76, Data_All!$A$8:$CA$153, MATCH(X$2, Data_All!$B$2:$CA$2, 0)+1), "")</f>
        <v/>
      </c>
      <c r="Y76" s="206" t="str">
        <f>IF(AND($A76&gt;=SYear_O, $A76&lt;=EYear_O, Y$3&gt;0), Y$3 * VLOOKUP($A76, Data_All!$A$8:$CA$153, MATCH(Y$2, Data_All!$B$2:$CA$2, 0)+1), "")</f>
        <v/>
      </c>
      <c r="Z76" s="206" t="str">
        <f>IF(AND($A76&gt;=SYear_O, $A76&lt;=EYear_O, Z$3&gt;0), Z$3 * VLOOKUP($A76, Data_All!$A$8:$CA$153, MATCH(Z$2, Data_All!$B$2:$CA$2, 0)+1), "")</f>
        <v/>
      </c>
      <c r="AA76" s="206" t="str">
        <f>IF(AND($A76&gt;=SYear_O, $A76&lt;=EYear_O, AA$3&gt;0), AA$3 * VLOOKUP($A76, Data_All!$A$8:$CA$153, MATCH(AA$2, Data_All!$B$2:$CA$2, 0)+1), "")</f>
        <v/>
      </c>
      <c r="AB76" s="206" t="str">
        <f>IF(AND($A76&gt;=SYear_O, $A76&lt;=EYear_O, AB$3&gt;0), AB$3 * VLOOKUP($A76, Data_All!$A$8:$CA$153, MATCH(AB$2, Data_All!$B$2:$CA$2, 0)+1), "")</f>
        <v/>
      </c>
      <c r="AC76" s="206" t="str">
        <f>IF(AND($A76&gt;=SYear_O, $A76&lt;=EYear_O, AC$3&gt;0), AC$3 * VLOOKUP($A76, Data_All!$A$8:$CA$153, MATCH(AC$2, Data_All!$B$2:$CA$2, 0)+1), "")</f>
        <v/>
      </c>
      <c r="AD76" s="206" t="str">
        <f>IF(AND($A76&gt;=SYear_O, $A76&lt;=EYear_O, AD$3&gt;0), AD$3 * VLOOKUP($A76, Data_All!$A$8:$CA$153, MATCH(AD$2, Data_All!$B$2:$CA$2, 0)+1), "")</f>
        <v/>
      </c>
      <c r="AE76" s="206" t="str">
        <f>IF(AND($A76&gt;=SYear_O, $A76&lt;=EYear_O, AE$3&gt;0), AE$3 * VLOOKUP($A76, Data_All!$A$8:$CA$153, MATCH(AE$2, Data_All!$B$2:$CA$2, 0)+1), "")</f>
        <v/>
      </c>
      <c r="AF76" s="206" t="str">
        <f>IF(AND($A76&gt;=SYear_O, $A76&lt;=EYear_O, AF$3&gt;0), AF$3 * VLOOKUP($A76, Data_All!$A$8:$CA$153, MATCH(AF$2, Data_All!$B$2:$CA$2, 0)+1), "")</f>
        <v/>
      </c>
      <c r="AG76" s="206" t="str">
        <f>IF(AND($A76&gt;=SYear_O, $A76&lt;=EYear_O, AG$3&gt;0), AG$3 * VLOOKUP($A76, Data_All!$A$8:$CA$153, MATCH(AG$2, Data_All!$B$2:$CA$2, 0)+1), "")</f>
        <v/>
      </c>
      <c r="AH76" s="206" t="str">
        <f>IF(AND($A76&gt;=SYear_O, $A76&lt;=EYear_O, AH$3&gt;0), AH$3 * VLOOKUP($A76, Data_All!$A$8:$CA$153, MATCH(AH$2, Data_All!$B$2:$CA$2, 0)+1), "")</f>
        <v/>
      </c>
      <c r="AI76" s="206" t="str">
        <f>IF(AND($A76&gt;=SYear_O, $A76&lt;=EYear_O, AI$3&gt;0), AI$3 * VLOOKUP($A76, Data_All!$A$8:$CA$153, MATCH(AI$2, Data_All!$B$2:$CA$2, 0)+1), "")</f>
        <v/>
      </c>
      <c r="AJ76" s="206" t="str">
        <f>IF(AND($A76&gt;=SYear_O, $A76&lt;=EYear_O, AJ$3&gt;0), AJ$3 * VLOOKUP($A76, Data_All!$A$8:$CA$153, MATCH(AJ$2, Data_All!$B$2:$CA$2, 0)+1), "")</f>
        <v/>
      </c>
      <c r="AK76" s="206" t="str">
        <f>IF(AND($A76&gt;=SYear_O, $A76&lt;=EYear_O, AK$3&gt;0), AK$3 * VLOOKUP($A76, Data_All!$A$8:$CA$153, MATCH(AK$2, Data_All!$B$2:$CA$2, 0)+1), "")</f>
        <v/>
      </c>
      <c r="AL76" s="206" t="str">
        <f>IF(AND($A76&gt;=SYear_O, $A76&lt;=EYear_O, AL$3&gt;0), AL$3 * VLOOKUP($A76, Data_All!$A$8:$CA$153, MATCH(AL$2, Data_All!$B$2:$CA$2, 0)+1), "")</f>
        <v/>
      </c>
      <c r="AM76" s="206" t="str">
        <f>IF(AND($A76&gt;=SYear_O, $A76&lt;=EYear_O, AM$3&gt;0), AM$3 * VLOOKUP($A76, Data_All!$A$8:$CA$153, MATCH(AM$2, Data_All!$B$2:$CA$2, 0)+1), "")</f>
        <v/>
      </c>
      <c r="AN76" s="206" t="str">
        <f>IF(AND($A76&gt;=SYear_O, $A76&lt;=EYear_O, AN$3&gt;0), AN$3 * VLOOKUP($A76, Data_All!$A$8:$CA$153, MATCH(AN$2, Data_All!$B$2:$CA$2, 0)+1), "")</f>
        <v/>
      </c>
      <c r="AO76" s="206" t="str">
        <f>IF(AND($A76&gt;=SYear_O, $A76&lt;=EYear_O, AO$3&gt;0), AO$3 * VLOOKUP($A76, Data_All!$A$8:$CA$153, MATCH(AO$2, Data_All!$B$2:$CA$2, 0)+1), "")</f>
        <v/>
      </c>
      <c r="AP76" s="206" t="str">
        <f>IF(AND($A76&gt;=SYear_O, $A76&lt;=EYear_O, AP$3&gt;0), AP$3 * VLOOKUP($A76, Data_All!$A$8:$CA$153, MATCH(AP$2, Data_All!$B$2:$CA$2, 0)+1), "")</f>
        <v/>
      </c>
      <c r="AQ76" s="206" t="str">
        <f>IF(AND($A76&gt;=SYear_O, $A76&lt;=EYear_O, AQ$3&gt;0), AQ$3 * VLOOKUP($A76, Data_All!$A$8:$CA$153, MATCH(AQ$2, Data_All!$B$2:$CA$2, 0)+1), "")</f>
        <v/>
      </c>
      <c r="AR76" s="206" t="str">
        <f>IF(AND($A76&gt;=SYear_O, $A76&lt;=EYear_O, AR$3&gt;0), AR$3 * VLOOKUP($A76, Data_All!$A$8:$CA$153, MATCH(AR$2, Data_All!$B$2:$CA$2, 0)+1), "")</f>
        <v/>
      </c>
      <c r="AS76" s="206" t="str">
        <f>IF(AND($A76&gt;=SYear_O, $A76&lt;=EYear_O, AS$3&gt;0), AS$3 * VLOOKUP($A76, Data_All!$A$8:$CA$153, MATCH(AS$2, Data_All!$B$2:$CA$2, 0)+1), "")</f>
        <v/>
      </c>
      <c r="AT76" s="206" t="str">
        <f>IF(AND($A76&gt;=SYear_O, $A76&lt;=EYear_O, AT$3&gt;0), AT$3 * VLOOKUP($A76, Data_All!$A$8:$CA$153, MATCH(AT$2, Data_All!$B$2:$CA$2, 0)+1), "")</f>
        <v/>
      </c>
      <c r="AU76" s="206" t="str">
        <f>IF(AND($A76&gt;=SYear_O, $A76&lt;=EYear_O, AU$3&gt;0), AU$3 * VLOOKUP($A76, Data_All!$A$8:$CA$153, MATCH(AU$2, Data_All!$B$2:$CA$2, 0)+1), "")</f>
        <v/>
      </c>
      <c r="AV76" s="206" t="str">
        <f>IF(AND($A76&gt;=SYear_O, $A76&lt;=EYear_O, AV$3&gt;0), AV$3 * VLOOKUP($A76, Data_All!$A$8:$CA$153, MATCH(AV$2, Data_All!$B$2:$CA$2, 0)+1), "")</f>
        <v/>
      </c>
      <c r="AW76" s="206" t="str">
        <f>IF(AND($A76&gt;=SYear_O, $A76&lt;=EYear_O, AW$3&gt;0), AW$3 * VLOOKUP($A76, Data_All!$A$8:$CA$153, MATCH(AW$2, Data_All!$B$2:$CA$2, 0)+1), "")</f>
        <v/>
      </c>
      <c r="AX76" s="206" t="str">
        <f>IF(AND($A76&gt;=SYear_O, $A76&lt;=EYear_O, AX$3&gt;0), AX$3 * VLOOKUP($A76, Data_All!$A$8:$CA$153, MATCH(AX$2, Data_All!$B$2:$CA$2, 0)+1), "")</f>
        <v/>
      </c>
      <c r="AY76" s="206" t="str">
        <f>IF(AND($A76&gt;=SYear_O, $A76&lt;=EYear_O, AY$3&gt;0), AY$3 * VLOOKUP($A76, Data_All!$A$8:$CA$153, MATCH(AY$2, Data_All!$B$2:$CA$2, 0)+1), "")</f>
        <v/>
      </c>
      <c r="AZ76" s="206" t="str">
        <f>IF(AND($A76&gt;=SYear_O, $A76&lt;=EYear_O, AZ$3&gt;0), AZ$3 * VLOOKUP($A76, Data_All!$A$8:$CA$153, MATCH(AZ$2, Data_All!$B$2:$CA$2, 0)+1), "")</f>
        <v/>
      </c>
      <c r="BA76" s="206" t="str">
        <f>IF(AND($A76&gt;=SYear_O, $A76&lt;=EYear_O, BA$3&gt;0), BA$3 * VLOOKUP($A76, Data_All!$A$8:$CA$153, MATCH(BA$2, Data_All!$B$2:$CA$2, 0)+1), "")</f>
        <v/>
      </c>
      <c r="BB76" s="206" t="str">
        <f>IF(AND($A76&gt;=SYear_O, $A76&lt;=EYear_O, BB$3&gt;0), BB$3 * VLOOKUP($A76, Data_All!$A$8:$CA$153, MATCH(BB$2, Data_All!$B$2:$CA$2, 0)+1), "")</f>
        <v/>
      </c>
      <c r="BC76" s="206" t="str">
        <f>IF(AND($A76&gt;=SYear_O, $A76&lt;=EYear_O, BC$3&gt;0), BC$3 * VLOOKUP($A76, Data_All!$A$8:$CA$153, MATCH(BC$2, Data_All!$B$2:$CA$2, 0)+1), "")</f>
        <v/>
      </c>
      <c r="BD76" s="206" t="str">
        <f>IF(AND($A76&gt;=SYear_O, $A76&lt;=EYear_O, BD$3&gt;0), BD$3 * VLOOKUP($A76, Data_All!$A$8:$CA$153, MATCH(BD$2, Data_All!$B$2:$CA$2, 0)+1), "")</f>
        <v/>
      </c>
      <c r="BE76" s="206" t="str">
        <f>IF(AND($A76&gt;=SYear_O, $A76&lt;=EYear_O, BE$3&gt;0), BE$3 * VLOOKUP($A76, Data_All!$A$8:$CA$153, MATCH(BE$2, Data_All!$B$2:$CA$2, 0)+1), "")</f>
        <v/>
      </c>
      <c r="BF76" s="206" t="str">
        <f>IF(AND($A76&gt;=SYear_O, $A76&lt;=EYear_O, BF$3&gt;0), BF$3 * VLOOKUP($A76, Data_All!$A$8:$CA$153, MATCH(BF$2, Data_All!$B$2:$CA$2, 0)+1), "")</f>
        <v/>
      </c>
      <c r="BG76" s="206" t="str">
        <f>IF(AND($A76&gt;=SYear_O, $A76&lt;=EYear_O, BG$3&gt;0), BG$3 * VLOOKUP($A76, Data_All!$A$8:$CA$153, MATCH(BG$2, Data_All!$B$2:$CA$2, 0)+1), "")</f>
        <v/>
      </c>
      <c r="BH76" s="206" t="str">
        <f>IF(AND($A76&gt;=SYear_O, $A76&lt;=EYear_O, BH$3&gt;0), BH$3 * VLOOKUP($A76, Data_All!$A$8:$CA$153, MATCH(BH$2, Data_All!$B$2:$CA$2, 0)+1), "")</f>
        <v/>
      </c>
      <c r="BI76" s="206" t="str">
        <f>IF(AND($A76&gt;=SYear_O, $A76&lt;=EYear_O, BI$3&gt;0), BI$3 * VLOOKUP($A76, Data_All!$A$8:$CA$153, MATCH(BI$2, Data_All!$B$2:$CA$2, 0)+1), "")</f>
        <v/>
      </c>
      <c r="BJ76" s="206" t="str">
        <f>IF(AND($A76&gt;=SYear_O, $A76&lt;=EYear_O, BJ$3&gt;0), BJ$3 * VLOOKUP($A76, Data_All!$A$8:$CA$153, MATCH(BJ$2, Data_All!$B$2:$CA$2, 0)+1), "")</f>
        <v/>
      </c>
      <c r="BK76" s="206" t="str">
        <f>IF(AND($A76&gt;=SYear_O, $A76&lt;=EYear_O, BK$3&gt;0), BK$3 * VLOOKUP($A76, Data_All!$A$8:$CA$153, MATCH(BK$2, Data_All!$B$2:$CA$2, 0)+1), "")</f>
        <v/>
      </c>
      <c r="BL76" s="206" t="str">
        <f>IF(AND($A76&gt;=SYear_O, $A76&lt;=EYear_O, BL$3&gt;0), BL$3 * VLOOKUP($A76, Data_All!$A$8:$CA$153, MATCH(BL$2, Data_All!$B$2:$CA$2, 0)+1), "")</f>
        <v/>
      </c>
      <c r="BM76" s="206" t="str">
        <f>IF(AND($A76&gt;=SYear_O, $A76&lt;=EYear_O, BM$3&gt;0), BM$3 * VLOOKUP($A76, Data_All!$A$8:$CA$153, MATCH(BM$2, Data_All!$B$2:$CA$2, 0)+1), "")</f>
        <v/>
      </c>
      <c r="BN76" s="206" t="str">
        <f>IF(AND($A76&gt;=SYear_O, $A76&lt;=EYear_O, BN$3&gt;0), BN$3 * VLOOKUP($A76, Data_All!$A$8:$CA$153, MATCH(BN$2, Data_All!$B$2:$CA$2, 0)+1), "")</f>
        <v/>
      </c>
      <c r="BO76" s="206" t="str">
        <f>IF(AND($A76&gt;=SYear_O, $A76&lt;=EYear_O, BO$3&gt;0), BO$3 * VLOOKUP($A76, Data_All!$A$8:$CA$153, MATCH(BO$2, Data_All!$B$2:$CA$2, 0)+1), "")</f>
        <v/>
      </c>
      <c r="BP76" s="206" t="str">
        <f>IF(AND($A76&gt;=SYear_O, $A76&lt;=EYear_O, BP$3&gt;0), BP$3 * VLOOKUP($A76, Data_All!$A$8:$CA$153, MATCH(BP$2, Data_All!$B$2:$CA$2, 0)+1), "")</f>
        <v/>
      </c>
      <c r="BQ76" s="206" t="str">
        <f>IF(AND($A76&gt;=SYear_O, $A76&lt;=EYear_O, BQ$3&gt;0), BQ$3 * VLOOKUP($A76, Data_All!$A$8:$CA$153, MATCH(BQ$2, Data_All!$B$2:$CA$2, 0)+1), "")</f>
        <v/>
      </c>
      <c r="BR76" s="206" t="str">
        <f>IF(AND($A76&gt;=SYear_O, $A76&lt;=EYear_O, BR$3&gt;0), BR$3 * VLOOKUP($A76, Data_All!$A$8:$CA$153, MATCH(BR$2, Data_All!$B$2:$CA$2, 0)+1), "")</f>
        <v/>
      </c>
      <c r="BS76" s="206" t="str">
        <f>IF(AND($A76&gt;=SYear_O, $A76&lt;=EYear_O, BS$3&gt;0), BS$3 * VLOOKUP($A76, Data_All!$A$8:$CA$153, MATCH(BS$2, Data_All!$B$2:$CA$2, 0)+1), "")</f>
        <v/>
      </c>
      <c r="BT76" s="206" t="str">
        <f>IF(AND($A76&gt;=SYear_O, $A76&lt;=EYear_O, BT$3&gt;0), BT$3 * VLOOKUP($A76, Data_All!$A$8:$CA$153, MATCH(BT$2, Data_All!$B$2:$CA$2, 0)+1), "")</f>
        <v/>
      </c>
      <c r="BU76" s="206" t="str">
        <f>IF(AND($A76&gt;=SYear_O, $A76&lt;=EYear_O, BU$3&gt;0), BU$3 * VLOOKUP($A76, Data_All!$A$8:$CA$153, MATCH(BU$2, Data_All!$B$2:$CA$2, 0)+1), "")</f>
        <v/>
      </c>
      <c r="BV76" s="206" t="str">
        <f>IF(AND($A76&gt;=SYear_O, $A76&lt;=EYear_O, BV$3&gt;0), BV$3 * VLOOKUP($A76, Data_All!$A$8:$CA$153, MATCH(BV$2, Data_All!$B$2:$CA$2, 0)+1), "")</f>
        <v/>
      </c>
      <c r="BW76" s="206" t="str">
        <f>IF(AND($A76&gt;=SYear_O, $A76&lt;=EYear_O, BW$3&gt;0), BW$3 * VLOOKUP($A76, Data_All!$A$8:$CA$153, MATCH(BW$2, Data_All!$B$2:$CA$2, 0)+1), "")</f>
        <v/>
      </c>
      <c r="BX76" s="206">
        <f>IF(AND($A76&gt;=SYear_O, $A76&lt;=EYear_O, BX$3&gt;0), BX$3 * VLOOKUP($A76, Data_All!$A$8:$CA$153, MATCH(BX$2, Data_All!$B$2:$CA$2, 0)+1), "")</f>
        <v>-5.2682926829268277</v>
      </c>
      <c r="BY76" s="206">
        <f>IF(AND($A76&gt;=SYear_O, $A76&lt;=EYear_O, BY$3&gt;0), BY$3 * VLOOKUP($A76, Data_All!$A$8:$CA$153, MATCH(BY$2, Data_All!$B$2:$CA$2, 0)+1), "")</f>
        <v>1.2726360002540815</v>
      </c>
      <c r="BZ76" s="206" t="str">
        <f>IF(AND($A76&gt;=SYear_O, $A76&lt;=EYear_O, BZ$3&gt;0), BZ$3 * VLOOKUP($A76, Data_All!$A$8:$CA$153, MATCH(BZ$2, Data_All!$B$2:$CA$2, 0)+1), "")</f>
        <v/>
      </c>
      <c r="CA76" s="565">
        <f t="shared" si="35"/>
        <v>-3.9956566826727462</v>
      </c>
      <c r="CB76" s="427">
        <f t="shared" si="36"/>
        <v>583725.7063004825</v>
      </c>
      <c r="CC76" s="565">
        <f>IF(AND($A76&gt;=SYear_O,$A76&lt;=EYear_O),(CA76-Data_All!CA77)/(1+Data_All!CA77%),"")</f>
        <v>-5.357420417670288</v>
      </c>
      <c r="CD76" s="436">
        <f t="shared" si="37"/>
        <v>515999.49011328368</v>
      </c>
      <c r="CE76" s="438">
        <f t="shared" si="38"/>
        <v>52.943477209991826</v>
      </c>
      <c r="CF76" s="438">
        <f>IF(AND($A76&gt;=SYear_O,$A76&lt;=EYear_O),MAX($CE$7:CE76),"")</f>
        <v>58.508891175771154</v>
      </c>
      <c r="CG76" s="209">
        <f t="shared" si="39"/>
        <v>9.5120824441191854E-2</v>
      </c>
      <c r="CI76" s="143">
        <f>IF(AND($A76&gt;=SYear_O,$A76&lt;=EYear_O),Data_All!V77,"")</f>
        <v>0.46957738035767821</v>
      </c>
      <c r="CJ76" s="143">
        <f>IF(AND($A76&gt;=SYear_O,$A76&lt;=EYear_O),Data_All!CA77,"")</f>
        <v>1.4388489208633004</v>
      </c>
      <c r="CK76" s="143">
        <f t="shared" si="40"/>
        <v>-0.95552300801618084</v>
      </c>
      <c r="CN76" s="61">
        <f t="shared" si="41"/>
        <v>-3.9956566826727435E-2</v>
      </c>
      <c r="CO76" s="61">
        <f t="shared" si="42"/>
        <v>9.4042183658473721E-3</v>
      </c>
      <c r="CP76" s="61">
        <f t="shared" si="43"/>
        <v>5.9402684380146731E-2</v>
      </c>
      <c r="CQ76" s="61">
        <f t="shared" si="44"/>
        <v>6.6009738981795962E-2</v>
      </c>
      <c r="CR76" s="61">
        <f t="shared" si="45"/>
        <v>9.2386163767856466E-2</v>
      </c>
      <c r="CU76" s="61">
        <f t="shared" si="46"/>
        <v>-5.3574204176702889E-2</v>
      </c>
      <c r="CV76" s="61">
        <f t="shared" si="47"/>
        <v>-5.4254070938095311E-2</v>
      </c>
      <c r="CW76" s="61">
        <f t="shared" si="48"/>
        <v>8.2773902796293708E-3</v>
      </c>
      <c r="CX76" s="61">
        <f t="shared" si="49"/>
        <v>1.1476660898385616E-2</v>
      </c>
      <c r="CY76" s="61">
        <f t="shared" si="50"/>
        <v>4.5866919583051224E-2</v>
      </c>
    </row>
    <row r="77" spans="1:103">
      <c r="A77" s="204">
        <f t="shared" si="51"/>
        <v>1941</v>
      </c>
      <c r="B77" s="206" t="str">
        <f>IF(AND($A77&gt;=SYear_O, $A77&lt;=EYear_O, B$3&gt;0), B$3 * VLOOKUP($A77, Data_All!$A$8:$CA$153, MATCH(B$2, Data_All!$B$2:$CA$2, 0)+1), "")</f>
        <v/>
      </c>
      <c r="C77" s="206" t="str">
        <f>IF(AND($A77&gt;=SYear_O, $A77&lt;=EYear_O, C$3&gt;0), C$3 * VLOOKUP($A77, Data_All!$A$8:$CA$153, MATCH(C$2, Data_All!$B$2:$CA$2, 0)+1), "")</f>
        <v/>
      </c>
      <c r="D77" s="206" t="str">
        <f>IF(AND($A77&gt;=SYear_O, $A77&lt;=EYear_O, D$3&gt;0), D$3 * VLOOKUP($A77, Data_All!$A$8:$CA$153, MATCH(D$2, Data_All!$B$2:$CA$2, 0)+1), "")</f>
        <v/>
      </c>
      <c r="E77" s="206" t="str">
        <f>IF(AND($A77&gt;=SYear_O, $A77&lt;=EYear_O, E$3&gt;0), E$3 * VLOOKUP($A77, Data_All!$A$8:$CA$153, MATCH(E$2, Data_All!$B$2:$CA$2, 0)+1), "")</f>
        <v/>
      </c>
      <c r="F77" s="206" t="str">
        <f>IF(AND($A77&gt;=SYear_O, $A77&lt;=EYear_O, F$3&gt;0), F$3 * VLOOKUP($A77, Data_All!$A$8:$CA$153, MATCH(F$2, Data_All!$B$2:$CA$2, 0)+1), "")</f>
        <v/>
      </c>
      <c r="G77" s="206" t="str">
        <f>IF(AND($A77&gt;=SYear_O, $A77&lt;=EYear_O, G$3&gt;0), G$3 * VLOOKUP($A77, Data_All!$A$8:$CA$153, MATCH(G$2, Data_All!$B$2:$CA$2, 0)+1), "")</f>
        <v/>
      </c>
      <c r="H77" s="206" t="str">
        <f>IF(AND($A77&gt;=SYear_O, $A77&lt;=EYear_O, H$3&gt;0), H$3 * VLOOKUP($A77, Data_All!$A$8:$CA$153, MATCH(H$2, Data_All!$B$2:$CA$2, 0)+1), "")</f>
        <v/>
      </c>
      <c r="I77" s="206" t="str">
        <f>IF(AND($A77&gt;=SYear_O, $A77&lt;=EYear_O, I$3&gt;0), I$3 * VLOOKUP($A77, Data_All!$A$8:$CA$153, MATCH(I$2, Data_All!$B$2:$CA$2, 0)+1), "")</f>
        <v/>
      </c>
      <c r="J77" s="206" t="str">
        <f>IF(AND($A77&gt;=SYear_O, $A77&lt;=EYear_O, J$3&gt;0), J$3 * VLOOKUP($A77, Data_All!$A$8:$CA$153, MATCH(J$2, Data_All!$B$2:$CA$2, 0)+1), "")</f>
        <v/>
      </c>
      <c r="K77" s="206" t="str">
        <f>IF(AND($A77&gt;=SYear_O, $A77&lt;=EYear_O, K$3&gt;0), K$3 * VLOOKUP($A77, Data_All!$A$8:$CA$153, MATCH(K$2, Data_All!$B$2:$CA$2, 0)+1), "")</f>
        <v/>
      </c>
      <c r="L77" s="206" t="str">
        <f>IF(AND($A77&gt;=SYear_O, $A77&lt;=EYear_O, L$3&gt;0), L$3 * VLOOKUP($A77, Data_All!$A$8:$CA$153, MATCH(L$2, Data_All!$B$2:$CA$2, 0)+1), "")</f>
        <v/>
      </c>
      <c r="M77" s="206" t="str">
        <f>IF(AND($A77&gt;=SYear_O, $A77&lt;=EYear_O, M$3&gt;0), M$3 * VLOOKUP($A77, Data_All!$A$8:$CA$153, MATCH(M$2, Data_All!$B$2:$CA$2, 0)+1), "")</f>
        <v/>
      </c>
      <c r="N77" s="206" t="str">
        <f>IF(AND($A77&gt;=SYear_O, $A77&lt;=EYear_O, N$3&gt;0), N$3 * VLOOKUP($A77, Data_All!$A$8:$CA$153, MATCH(N$2, Data_All!$B$2:$CA$2, 0)+1), "")</f>
        <v/>
      </c>
      <c r="O77" s="206" t="str">
        <f>IF(AND($A77&gt;=SYear_O, $A77&lt;=EYear_O, O$3&gt;0), O$3 * VLOOKUP($A77, Data_All!$A$8:$CA$153, MATCH(O$2, Data_All!$B$2:$CA$2, 0)+1), "")</f>
        <v/>
      </c>
      <c r="P77" s="206" t="str">
        <f>IF(AND($A77&gt;=SYear_O, $A77&lt;=EYear_O, P$3&gt;0), P$3 * VLOOKUP($A77, Data_All!$A$8:$CA$153, MATCH(P$2, Data_All!$B$2:$CA$2, 0)+1), "")</f>
        <v/>
      </c>
      <c r="Q77" s="206" t="str">
        <f>IF(AND($A77&gt;=SYear_O, $A77&lt;=EYear_O, Q$3&gt;0), Q$3 * VLOOKUP($A77, Data_All!$A$8:$CA$153, MATCH(Q$2, Data_All!$B$2:$CA$2, 0)+1), "")</f>
        <v/>
      </c>
      <c r="R77" s="206" t="str">
        <f>IF(AND($A77&gt;=SYear_O, $A77&lt;=EYear_O, R$3&gt;0), R$3 * VLOOKUP($A77, Data_All!$A$8:$CA$153, MATCH(R$2, Data_All!$B$2:$CA$2, 0)+1), "")</f>
        <v/>
      </c>
      <c r="S77" s="206" t="str">
        <f>IF(AND($A77&gt;=SYear_O, $A77&lt;=EYear_O, S$3&gt;0), S$3 * VLOOKUP($A77, Data_All!$A$8:$CA$153, MATCH(S$2, Data_All!$B$2:$CA$2, 0)+1), "")</f>
        <v/>
      </c>
      <c r="T77" s="206" t="str">
        <f>IF(AND($A77&gt;=SYear_O, $A77&lt;=EYear_O, T$3&gt;0), T$3 * VLOOKUP($A77, Data_All!$A$8:$CA$153, MATCH(T$2, Data_All!$B$2:$CA$2, 0)+1), "")</f>
        <v/>
      </c>
      <c r="U77" s="206" t="str">
        <f>IF(AND($A77&gt;=SYear_O, $A77&lt;=EYear_O, U$3&gt;0), U$3 * VLOOKUP($A77, Data_All!$A$8:$CA$153, MATCH(U$2, Data_All!$B$2:$CA$2, 0)+1), "")</f>
        <v/>
      </c>
      <c r="V77" s="206" t="str">
        <f>IF(AND($A77&gt;=SYear_O, $A77&lt;=EYear_O, V$3&gt;0), V$3 * VLOOKUP($A77, Data_All!$A$8:$CA$153, MATCH(V$2, Data_All!$B$2:$CA$2, 0)+1), "")</f>
        <v/>
      </c>
      <c r="W77" s="206" t="str">
        <f>IF(AND($A77&gt;=SYear_O, $A77&lt;=EYear_O, W$3&gt;0), W$3 * VLOOKUP($A77, Data_All!$A$8:$CA$153, MATCH(W$2, Data_All!$B$2:$CA$2, 0)+1), "")</f>
        <v/>
      </c>
      <c r="X77" s="206" t="str">
        <f>IF(AND($A77&gt;=SYear_O, $A77&lt;=EYear_O, X$3&gt;0), X$3 * VLOOKUP($A77, Data_All!$A$8:$CA$153, MATCH(X$2, Data_All!$B$2:$CA$2, 0)+1), "")</f>
        <v/>
      </c>
      <c r="Y77" s="206" t="str">
        <f>IF(AND($A77&gt;=SYear_O, $A77&lt;=EYear_O, Y$3&gt;0), Y$3 * VLOOKUP($A77, Data_All!$A$8:$CA$153, MATCH(Y$2, Data_All!$B$2:$CA$2, 0)+1), "")</f>
        <v/>
      </c>
      <c r="Z77" s="206" t="str">
        <f>IF(AND($A77&gt;=SYear_O, $A77&lt;=EYear_O, Z$3&gt;0), Z$3 * VLOOKUP($A77, Data_All!$A$8:$CA$153, MATCH(Z$2, Data_All!$B$2:$CA$2, 0)+1), "")</f>
        <v/>
      </c>
      <c r="AA77" s="206" t="str">
        <f>IF(AND($A77&gt;=SYear_O, $A77&lt;=EYear_O, AA$3&gt;0), AA$3 * VLOOKUP($A77, Data_All!$A$8:$CA$153, MATCH(AA$2, Data_All!$B$2:$CA$2, 0)+1), "")</f>
        <v/>
      </c>
      <c r="AB77" s="206" t="str">
        <f>IF(AND($A77&gt;=SYear_O, $A77&lt;=EYear_O, AB$3&gt;0), AB$3 * VLOOKUP($A77, Data_All!$A$8:$CA$153, MATCH(AB$2, Data_All!$B$2:$CA$2, 0)+1), "")</f>
        <v/>
      </c>
      <c r="AC77" s="206" t="str">
        <f>IF(AND($A77&gt;=SYear_O, $A77&lt;=EYear_O, AC$3&gt;0), AC$3 * VLOOKUP($A77, Data_All!$A$8:$CA$153, MATCH(AC$2, Data_All!$B$2:$CA$2, 0)+1), "")</f>
        <v/>
      </c>
      <c r="AD77" s="206" t="str">
        <f>IF(AND($A77&gt;=SYear_O, $A77&lt;=EYear_O, AD$3&gt;0), AD$3 * VLOOKUP($A77, Data_All!$A$8:$CA$153, MATCH(AD$2, Data_All!$B$2:$CA$2, 0)+1), "")</f>
        <v/>
      </c>
      <c r="AE77" s="206" t="str">
        <f>IF(AND($A77&gt;=SYear_O, $A77&lt;=EYear_O, AE$3&gt;0), AE$3 * VLOOKUP($A77, Data_All!$A$8:$CA$153, MATCH(AE$2, Data_All!$B$2:$CA$2, 0)+1), "")</f>
        <v/>
      </c>
      <c r="AF77" s="206" t="str">
        <f>IF(AND($A77&gt;=SYear_O, $A77&lt;=EYear_O, AF$3&gt;0), AF$3 * VLOOKUP($A77, Data_All!$A$8:$CA$153, MATCH(AF$2, Data_All!$B$2:$CA$2, 0)+1), "")</f>
        <v/>
      </c>
      <c r="AG77" s="206" t="str">
        <f>IF(AND($A77&gt;=SYear_O, $A77&lt;=EYear_O, AG$3&gt;0), AG$3 * VLOOKUP($A77, Data_All!$A$8:$CA$153, MATCH(AG$2, Data_All!$B$2:$CA$2, 0)+1), "")</f>
        <v/>
      </c>
      <c r="AH77" s="206" t="str">
        <f>IF(AND($A77&gt;=SYear_O, $A77&lt;=EYear_O, AH$3&gt;0), AH$3 * VLOOKUP($A77, Data_All!$A$8:$CA$153, MATCH(AH$2, Data_All!$B$2:$CA$2, 0)+1), "")</f>
        <v/>
      </c>
      <c r="AI77" s="206" t="str">
        <f>IF(AND($A77&gt;=SYear_O, $A77&lt;=EYear_O, AI$3&gt;0), AI$3 * VLOOKUP($A77, Data_All!$A$8:$CA$153, MATCH(AI$2, Data_All!$B$2:$CA$2, 0)+1), "")</f>
        <v/>
      </c>
      <c r="AJ77" s="206" t="str">
        <f>IF(AND($A77&gt;=SYear_O, $A77&lt;=EYear_O, AJ$3&gt;0), AJ$3 * VLOOKUP($A77, Data_All!$A$8:$CA$153, MATCH(AJ$2, Data_All!$B$2:$CA$2, 0)+1), "")</f>
        <v/>
      </c>
      <c r="AK77" s="206" t="str">
        <f>IF(AND($A77&gt;=SYear_O, $A77&lt;=EYear_O, AK$3&gt;0), AK$3 * VLOOKUP($A77, Data_All!$A$8:$CA$153, MATCH(AK$2, Data_All!$B$2:$CA$2, 0)+1), "")</f>
        <v/>
      </c>
      <c r="AL77" s="206" t="str">
        <f>IF(AND($A77&gt;=SYear_O, $A77&lt;=EYear_O, AL$3&gt;0), AL$3 * VLOOKUP($A77, Data_All!$A$8:$CA$153, MATCH(AL$2, Data_All!$B$2:$CA$2, 0)+1), "")</f>
        <v/>
      </c>
      <c r="AM77" s="206" t="str">
        <f>IF(AND($A77&gt;=SYear_O, $A77&lt;=EYear_O, AM$3&gt;0), AM$3 * VLOOKUP($A77, Data_All!$A$8:$CA$153, MATCH(AM$2, Data_All!$B$2:$CA$2, 0)+1), "")</f>
        <v/>
      </c>
      <c r="AN77" s="206" t="str">
        <f>IF(AND($A77&gt;=SYear_O, $A77&lt;=EYear_O, AN$3&gt;0), AN$3 * VLOOKUP($A77, Data_All!$A$8:$CA$153, MATCH(AN$2, Data_All!$B$2:$CA$2, 0)+1), "")</f>
        <v/>
      </c>
      <c r="AO77" s="206" t="str">
        <f>IF(AND($A77&gt;=SYear_O, $A77&lt;=EYear_O, AO$3&gt;0), AO$3 * VLOOKUP($A77, Data_All!$A$8:$CA$153, MATCH(AO$2, Data_All!$B$2:$CA$2, 0)+1), "")</f>
        <v/>
      </c>
      <c r="AP77" s="206" t="str">
        <f>IF(AND($A77&gt;=SYear_O, $A77&lt;=EYear_O, AP$3&gt;0), AP$3 * VLOOKUP($A77, Data_All!$A$8:$CA$153, MATCH(AP$2, Data_All!$B$2:$CA$2, 0)+1), "")</f>
        <v/>
      </c>
      <c r="AQ77" s="206" t="str">
        <f>IF(AND($A77&gt;=SYear_O, $A77&lt;=EYear_O, AQ$3&gt;0), AQ$3 * VLOOKUP($A77, Data_All!$A$8:$CA$153, MATCH(AQ$2, Data_All!$B$2:$CA$2, 0)+1), "")</f>
        <v/>
      </c>
      <c r="AR77" s="206" t="str">
        <f>IF(AND($A77&gt;=SYear_O, $A77&lt;=EYear_O, AR$3&gt;0), AR$3 * VLOOKUP($A77, Data_All!$A$8:$CA$153, MATCH(AR$2, Data_All!$B$2:$CA$2, 0)+1), "")</f>
        <v/>
      </c>
      <c r="AS77" s="206" t="str">
        <f>IF(AND($A77&gt;=SYear_O, $A77&lt;=EYear_O, AS$3&gt;0), AS$3 * VLOOKUP($A77, Data_All!$A$8:$CA$153, MATCH(AS$2, Data_All!$B$2:$CA$2, 0)+1), "")</f>
        <v/>
      </c>
      <c r="AT77" s="206" t="str">
        <f>IF(AND($A77&gt;=SYear_O, $A77&lt;=EYear_O, AT$3&gt;0), AT$3 * VLOOKUP($A77, Data_All!$A$8:$CA$153, MATCH(AT$2, Data_All!$B$2:$CA$2, 0)+1), "")</f>
        <v/>
      </c>
      <c r="AU77" s="206" t="str">
        <f>IF(AND($A77&gt;=SYear_O, $A77&lt;=EYear_O, AU$3&gt;0), AU$3 * VLOOKUP($A77, Data_All!$A$8:$CA$153, MATCH(AU$2, Data_All!$B$2:$CA$2, 0)+1), "")</f>
        <v/>
      </c>
      <c r="AV77" s="206" t="str">
        <f>IF(AND($A77&gt;=SYear_O, $A77&lt;=EYear_O, AV$3&gt;0), AV$3 * VLOOKUP($A77, Data_All!$A$8:$CA$153, MATCH(AV$2, Data_All!$B$2:$CA$2, 0)+1), "")</f>
        <v/>
      </c>
      <c r="AW77" s="206" t="str">
        <f>IF(AND($A77&gt;=SYear_O, $A77&lt;=EYear_O, AW$3&gt;0), AW$3 * VLOOKUP($A77, Data_All!$A$8:$CA$153, MATCH(AW$2, Data_All!$B$2:$CA$2, 0)+1), "")</f>
        <v/>
      </c>
      <c r="AX77" s="206" t="str">
        <f>IF(AND($A77&gt;=SYear_O, $A77&lt;=EYear_O, AX$3&gt;0), AX$3 * VLOOKUP($A77, Data_All!$A$8:$CA$153, MATCH(AX$2, Data_All!$B$2:$CA$2, 0)+1), "")</f>
        <v/>
      </c>
      <c r="AY77" s="206" t="str">
        <f>IF(AND($A77&gt;=SYear_O, $A77&lt;=EYear_O, AY$3&gt;0), AY$3 * VLOOKUP($A77, Data_All!$A$8:$CA$153, MATCH(AY$2, Data_All!$B$2:$CA$2, 0)+1), "")</f>
        <v/>
      </c>
      <c r="AZ77" s="206" t="str">
        <f>IF(AND($A77&gt;=SYear_O, $A77&lt;=EYear_O, AZ$3&gt;0), AZ$3 * VLOOKUP($A77, Data_All!$A$8:$CA$153, MATCH(AZ$2, Data_All!$B$2:$CA$2, 0)+1), "")</f>
        <v/>
      </c>
      <c r="BA77" s="206" t="str">
        <f>IF(AND($A77&gt;=SYear_O, $A77&lt;=EYear_O, BA$3&gt;0), BA$3 * VLOOKUP($A77, Data_All!$A$8:$CA$153, MATCH(BA$2, Data_All!$B$2:$CA$2, 0)+1), "")</f>
        <v/>
      </c>
      <c r="BB77" s="206" t="str">
        <f>IF(AND($A77&gt;=SYear_O, $A77&lt;=EYear_O, BB$3&gt;0), BB$3 * VLOOKUP($A77, Data_All!$A$8:$CA$153, MATCH(BB$2, Data_All!$B$2:$CA$2, 0)+1), "")</f>
        <v/>
      </c>
      <c r="BC77" s="206" t="str">
        <f>IF(AND($A77&gt;=SYear_O, $A77&lt;=EYear_O, BC$3&gt;0), BC$3 * VLOOKUP($A77, Data_All!$A$8:$CA$153, MATCH(BC$2, Data_All!$B$2:$CA$2, 0)+1), "")</f>
        <v/>
      </c>
      <c r="BD77" s="206" t="str">
        <f>IF(AND($A77&gt;=SYear_O, $A77&lt;=EYear_O, BD$3&gt;0), BD$3 * VLOOKUP($A77, Data_All!$A$8:$CA$153, MATCH(BD$2, Data_All!$B$2:$CA$2, 0)+1), "")</f>
        <v/>
      </c>
      <c r="BE77" s="206" t="str">
        <f>IF(AND($A77&gt;=SYear_O, $A77&lt;=EYear_O, BE$3&gt;0), BE$3 * VLOOKUP($A77, Data_All!$A$8:$CA$153, MATCH(BE$2, Data_All!$B$2:$CA$2, 0)+1), "")</f>
        <v/>
      </c>
      <c r="BF77" s="206" t="str">
        <f>IF(AND($A77&gt;=SYear_O, $A77&lt;=EYear_O, BF$3&gt;0), BF$3 * VLOOKUP($A77, Data_All!$A$8:$CA$153, MATCH(BF$2, Data_All!$B$2:$CA$2, 0)+1), "")</f>
        <v/>
      </c>
      <c r="BG77" s="206" t="str">
        <f>IF(AND($A77&gt;=SYear_O, $A77&lt;=EYear_O, BG$3&gt;0), BG$3 * VLOOKUP($A77, Data_All!$A$8:$CA$153, MATCH(BG$2, Data_All!$B$2:$CA$2, 0)+1), "")</f>
        <v/>
      </c>
      <c r="BH77" s="206" t="str">
        <f>IF(AND($A77&gt;=SYear_O, $A77&lt;=EYear_O, BH$3&gt;0), BH$3 * VLOOKUP($A77, Data_All!$A$8:$CA$153, MATCH(BH$2, Data_All!$B$2:$CA$2, 0)+1), "")</f>
        <v/>
      </c>
      <c r="BI77" s="206" t="str">
        <f>IF(AND($A77&gt;=SYear_O, $A77&lt;=EYear_O, BI$3&gt;0), BI$3 * VLOOKUP($A77, Data_All!$A$8:$CA$153, MATCH(BI$2, Data_All!$B$2:$CA$2, 0)+1), "")</f>
        <v/>
      </c>
      <c r="BJ77" s="206" t="str">
        <f>IF(AND($A77&gt;=SYear_O, $A77&lt;=EYear_O, BJ$3&gt;0), BJ$3 * VLOOKUP($A77, Data_All!$A$8:$CA$153, MATCH(BJ$2, Data_All!$B$2:$CA$2, 0)+1), "")</f>
        <v/>
      </c>
      <c r="BK77" s="206" t="str">
        <f>IF(AND($A77&gt;=SYear_O, $A77&lt;=EYear_O, BK$3&gt;0), BK$3 * VLOOKUP($A77, Data_All!$A$8:$CA$153, MATCH(BK$2, Data_All!$B$2:$CA$2, 0)+1), "")</f>
        <v/>
      </c>
      <c r="BL77" s="206" t="str">
        <f>IF(AND($A77&gt;=SYear_O, $A77&lt;=EYear_O, BL$3&gt;0), BL$3 * VLOOKUP($A77, Data_All!$A$8:$CA$153, MATCH(BL$2, Data_All!$B$2:$CA$2, 0)+1), "")</f>
        <v/>
      </c>
      <c r="BM77" s="206" t="str">
        <f>IF(AND($A77&gt;=SYear_O, $A77&lt;=EYear_O, BM$3&gt;0), BM$3 * VLOOKUP($A77, Data_All!$A$8:$CA$153, MATCH(BM$2, Data_All!$B$2:$CA$2, 0)+1), "")</f>
        <v/>
      </c>
      <c r="BN77" s="206" t="str">
        <f>IF(AND($A77&gt;=SYear_O, $A77&lt;=EYear_O, BN$3&gt;0), BN$3 * VLOOKUP($A77, Data_All!$A$8:$CA$153, MATCH(BN$2, Data_All!$B$2:$CA$2, 0)+1), "")</f>
        <v/>
      </c>
      <c r="BO77" s="206" t="str">
        <f>IF(AND($A77&gt;=SYear_O, $A77&lt;=EYear_O, BO$3&gt;0), BO$3 * VLOOKUP($A77, Data_All!$A$8:$CA$153, MATCH(BO$2, Data_All!$B$2:$CA$2, 0)+1), "")</f>
        <v/>
      </c>
      <c r="BP77" s="206" t="str">
        <f>IF(AND($A77&gt;=SYear_O, $A77&lt;=EYear_O, BP$3&gt;0), BP$3 * VLOOKUP($A77, Data_All!$A$8:$CA$153, MATCH(BP$2, Data_All!$B$2:$CA$2, 0)+1), "")</f>
        <v/>
      </c>
      <c r="BQ77" s="206" t="str">
        <f>IF(AND($A77&gt;=SYear_O, $A77&lt;=EYear_O, BQ$3&gt;0), BQ$3 * VLOOKUP($A77, Data_All!$A$8:$CA$153, MATCH(BQ$2, Data_All!$B$2:$CA$2, 0)+1), "")</f>
        <v/>
      </c>
      <c r="BR77" s="206" t="str">
        <f>IF(AND($A77&gt;=SYear_O, $A77&lt;=EYear_O, BR$3&gt;0), BR$3 * VLOOKUP($A77, Data_All!$A$8:$CA$153, MATCH(BR$2, Data_All!$B$2:$CA$2, 0)+1), "")</f>
        <v/>
      </c>
      <c r="BS77" s="206" t="str">
        <f>IF(AND($A77&gt;=SYear_O, $A77&lt;=EYear_O, BS$3&gt;0), BS$3 * VLOOKUP($A77, Data_All!$A$8:$CA$153, MATCH(BS$2, Data_All!$B$2:$CA$2, 0)+1), "")</f>
        <v/>
      </c>
      <c r="BT77" s="206" t="str">
        <f>IF(AND($A77&gt;=SYear_O, $A77&lt;=EYear_O, BT$3&gt;0), BT$3 * VLOOKUP($A77, Data_All!$A$8:$CA$153, MATCH(BT$2, Data_All!$B$2:$CA$2, 0)+1), "")</f>
        <v/>
      </c>
      <c r="BU77" s="206" t="str">
        <f>IF(AND($A77&gt;=SYear_O, $A77&lt;=EYear_O, BU$3&gt;0), BU$3 * VLOOKUP($A77, Data_All!$A$8:$CA$153, MATCH(BU$2, Data_All!$B$2:$CA$2, 0)+1), "")</f>
        <v/>
      </c>
      <c r="BV77" s="206" t="str">
        <f>IF(AND($A77&gt;=SYear_O, $A77&lt;=EYear_O, BV$3&gt;0), BV$3 * VLOOKUP($A77, Data_All!$A$8:$CA$153, MATCH(BV$2, Data_All!$B$2:$CA$2, 0)+1), "")</f>
        <v/>
      </c>
      <c r="BW77" s="206" t="str">
        <f>IF(AND($A77&gt;=SYear_O, $A77&lt;=EYear_O, BW$3&gt;0), BW$3 * VLOOKUP($A77, Data_All!$A$8:$CA$153, MATCH(BW$2, Data_All!$B$2:$CA$2, 0)+1), "")</f>
        <v/>
      </c>
      <c r="BX77" s="206">
        <f>IF(AND($A77&gt;=SYear_O, $A77&lt;=EYear_O, BX$3&gt;0), BX$3 * VLOOKUP($A77, Data_All!$A$8:$CA$153, MATCH(BX$2, Data_All!$B$2:$CA$2, 0)+1), "")</f>
        <v>-5.1753554502369665</v>
      </c>
      <c r="BY77" s="206">
        <f>IF(AND($A77&gt;=SYear_O, $A77&lt;=EYear_O, BY$3&gt;0), BY$3 * VLOOKUP($A77, Data_All!$A$8:$CA$153, MATCH(BY$2, Data_All!$B$2:$CA$2, 0)+1), "")</f>
        <v>0.18460550895790462</v>
      </c>
      <c r="BZ77" s="206" t="str">
        <f>IF(AND($A77&gt;=SYear_O, $A77&lt;=EYear_O, BZ$3&gt;0), BZ$3 * VLOOKUP($A77, Data_All!$A$8:$CA$153, MATCH(BZ$2, Data_All!$B$2:$CA$2, 0)+1), "")</f>
        <v/>
      </c>
      <c r="CA77" s="565">
        <f t="shared" si="35"/>
        <v>-4.9907499412790619</v>
      </c>
      <c r="CB77" s="427">
        <f t="shared" si="36"/>
        <v>554593.4159560604</v>
      </c>
      <c r="CC77" s="565">
        <f>IF(AND($A77&gt;=SYear_O,$A77&lt;=EYear_O),(CA77-Data_All!CA78)/(1+Data_All!CA78%),"")</f>
        <v>-14.673221284842976</v>
      </c>
      <c r="CD77" s="436">
        <f t="shared" si="37"/>
        <v>440285.74310030014</v>
      </c>
      <c r="CE77" s="438">
        <f t="shared" si="38"/>
        <v>50.301200652223066</v>
      </c>
      <c r="CF77" s="438">
        <f>IF(AND($A77&gt;=SYear_O,$A77&lt;=EYear_O),MAX($CE$7:CE77),"")</f>
        <v>58.508891175771154</v>
      </c>
      <c r="CG77" s="209">
        <f t="shared" si="39"/>
        <v>0.14028108136403949</v>
      </c>
      <c r="CI77" s="143">
        <f>IF(AND($A77&gt;=SYear_O,$A77&lt;=EYear_O),Data_All!V78,"")</f>
        <v>0.43960435607952852</v>
      </c>
      <c r="CJ77" s="143">
        <f>IF(AND($A77&gt;=SYear_O,$A77&lt;=EYear_O),Data_All!CA78,"")</f>
        <v>11.347517730496449</v>
      </c>
      <c r="CK77" s="143">
        <f t="shared" si="40"/>
        <v>-9.7962788903999112</v>
      </c>
      <c r="CN77" s="61">
        <f t="shared" si="41"/>
        <v>-4.9907499412790601E-2</v>
      </c>
      <c r="CO77" s="61">
        <f t="shared" si="42"/>
        <v>7.2380746127995721E-2</v>
      </c>
      <c r="CP77" s="61">
        <f t="shared" si="43"/>
        <v>0.11556768921867855</v>
      </c>
      <c r="CQ77" s="61">
        <f t="shared" si="44"/>
        <v>9.0692959646894611E-2</v>
      </c>
      <c r="CR77" s="61">
        <f t="shared" si="45"/>
        <v>0.10709628285235806</v>
      </c>
      <c r="CU77" s="61">
        <f t="shared" si="46"/>
        <v>-0.14673221284842974</v>
      </c>
      <c r="CV77" s="61">
        <f t="shared" si="47"/>
        <v>-2.1727278871808142E-4</v>
      </c>
      <c r="CW77" s="61">
        <f t="shared" si="48"/>
        <v>6.0047856046063774E-2</v>
      </c>
      <c r="CX77" s="61">
        <f t="shared" si="49"/>
        <v>2.8350229692443829E-2</v>
      </c>
      <c r="CY77" s="61">
        <f t="shared" si="50"/>
        <v>6.0696202120102516E-2</v>
      </c>
    </row>
    <row r="78" spans="1:103">
      <c r="A78" s="204">
        <f t="shared" si="51"/>
        <v>1942</v>
      </c>
      <c r="B78" s="206" t="str">
        <f>IF(AND($A78&gt;=SYear_O, $A78&lt;=EYear_O, B$3&gt;0), B$3 * VLOOKUP($A78, Data_All!$A$8:$CA$153, MATCH(B$2, Data_All!$B$2:$CA$2, 0)+1), "")</f>
        <v/>
      </c>
      <c r="C78" s="206" t="str">
        <f>IF(AND($A78&gt;=SYear_O, $A78&lt;=EYear_O, C$3&gt;0), C$3 * VLOOKUP($A78, Data_All!$A$8:$CA$153, MATCH(C$2, Data_All!$B$2:$CA$2, 0)+1), "")</f>
        <v/>
      </c>
      <c r="D78" s="206" t="str">
        <f>IF(AND($A78&gt;=SYear_O, $A78&lt;=EYear_O, D$3&gt;0), D$3 * VLOOKUP($A78, Data_All!$A$8:$CA$153, MATCH(D$2, Data_All!$B$2:$CA$2, 0)+1), "")</f>
        <v/>
      </c>
      <c r="E78" s="206" t="str">
        <f>IF(AND($A78&gt;=SYear_O, $A78&lt;=EYear_O, E$3&gt;0), E$3 * VLOOKUP($A78, Data_All!$A$8:$CA$153, MATCH(E$2, Data_All!$B$2:$CA$2, 0)+1), "")</f>
        <v/>
      </c>
      <c r="F78" s="206" t="str">
        <f>IF(AND($A78&gt;=SYear_O, $A78&lt;=EYear_O, F$3&gt;0), F$3 * VLOOKUP($A78, Data_All!$A$8:$CA$153, MATCH(F$2, Data_All!$B$2:$CA$2, 0)+1), "")</f>
        <v/>
      </c>
      <c r="G78" s="206" t="str">
        <f>IF(AND($A78&gt;=SYear_O, $A78&lt;=EYear_O, G$3&gt;0), G$3 * VLOOKUP($A78, Data_All!$A$8:$CA$153, MATCH(G$2, Data_All!$B$2:$CA$2, 0)+1), "")</f>
        <v/>
      </c>
      <c r="H78" s="206" t="str">
        <f>IF(AND($A78&gt;=SYear_O, $A78&lt;=EYear_O, H$3&gt;0), H$3 * VLOOKUP($A78, Data_All!$A$8:$CA$153, MATCH(H$2, Data_All!$B$2:$CA$2, 0)+1), "")</f>
        <v/>
      </c>
      <c r="I78" s="206" t="str">
        <f>IF(AND($A78&gt;=SYear_O, $A78&lt;=EYear_O, I$3&gt;0), I$3 * VLOOKUP($A78, Data_All!$A$8:$CA$153, MATCH(I$2, Data_All!$B$2:$CA$2, 0)+1), "")</f>
        <v/>
      </c>
      <c r="J78" s="206" t="str">
        <f>IF(AND($A78&gt;=SYear_O, $A78&lt;=EYear_O, J$3&gt;0), J$3 * VLOOKUP($A78, Data_All!$A$8:$CA$153, MATCH(J$2, Data_All!$B$2:$CA$2, 0)+1), "")</f>
        <v/>
      </c>
      <c r="K78" s="206" t="str">
        <f>IF(AND($A78&gt;=SYear_O, $A78&lt;=EYear_O, K$3&gt;0), K$3 * VLOOKUP($A78, Data_All!$A$8:$CA$153, MATCH(K$2, Data_All!$B$2:$CA$2, 0)+1), "")</f>
        <v/>
      </c>
      <c r="L78" s="206" t="str">
        <f>IF(AND($A78&gt;=SYear_O, $A78&lt;=EYear_O, L$3&gt;0), L$3 * VLOOKUP($A78, Data_All!$A$8:$CA$153, MATCH(L$2, Data_All!$B$2:$CA$2, 0)+1), "")</f>
        <v/>
      </c>
      <c r="M78" s="206" t="str">
        <f>IF(AND($A78&gt;=SYear_O, $A78&lt;=EYear_O, M$3&gt;0), M$3 * VLOOKUP($A78, Data_All!$A$8:$CA$153, MATCH(M$2, Data_All!$B$2:$CA$2, 0)+1), "")</f>
        <v/>
      </c>
      <c r="N78" s="206" t="str">
        <f>IF(AND($A78&gt;=SYear_O, $A78&lt;=EYear_O, N$3&gt;0), N$3 * VLOOKUP($A78, Data_All!$A$8:$CA$153, MATCH(N$2, Data_All!$B$2:$CA$2, 0)+1), "")</f>
        <v/>
      </c>
      <c r="O78" s="206" t="str">
        <f>IF(AND($A78&gt;=SYear_O, $A78&lt;=EYear_O, O$3&gt;0), O$3 * VLOOKUP($A78, Data_All!$A$8:$CA$153, MATCH(O$2, Data_All!$B$2:$CA$2, 0)+1), "")</f>
        <v/>
      </c>
      <c r="P78" s="206" t="str">
        <f>IF(AND($A78&gt;=SYear_O, $A78&lt;=EYear_O, P$3&gt;0), P$3 * VLOOKUP($A78, Data_All!$A$8:$CA$153, MATCH(P$2, Data_All!$B$2:$CA$2, 0)+1), "")</f>
        <v/>
      </c>
      <c r="Q78" s="206" t="str">
        <f>IF(AND($A78&gt;=SYear_O, $A78&lt;=EYear_O, Q$3&gt;0), Q$3 * VLOOKUP($A78, Data_All!$A$8:$CA$153, MATCH(Q$2, Data_All!$B$2:$CA$2, 0)+1), "")</f>
        <v/>
      </c>
      <c r="R78" s="206" t="str">
        <f>IF(AND($A78&gt;=SYear_O, $A78&lt;=EYear_O, R$3&gt;0), R$3 * VLOOKUP($A78, Data_All!$A$8:$CA$153, MATCH(R$2, Data_All!$B$2:$CA$2, 0)+1), "")</f>
        <v/>
      </c>
      <c r="S78" s="206" t="str">
        <f>IF(AND($A78&gt;=SYear_O, $A78&lt;=EYear_O, S$3&gt;0), S$3 * VLOOKUP($A78, Data_All!$A$8:$CA$153, MATCH(S$2, Data_All!$B$2:$CA$2, 0)+1), "")</f>
        <v/>
      </c>
      <c r="T78" s="206" t="str">
        <f>IF(AND($A78&gt;=SYear_O, $A78&lt;=EYear_O, T$3&gt;0), T$3 * VLOOKUP($A78, Data_All!$A$8:$CA$153, MATCH(T$2, Data_All!$B$2:$CA$2, 0)+1), "")</f>
        <v/>
      </c>
      <c r="U78" s="206" t="str">
        <f>IF(AND($A78&gt;=SYear_O, $A78&lt;=EYear_O, U$3&gt;0), U$3 * VLOOKUP($A78, Data_All!$A$8:$CA$153, MATCH(U$2, Data_All!$B$2:$CA$2, 0)+1), "")</f>
        <v/>
      </c>
      <c r="V78" s="206" t="str">
        <f>IF(AND($A78&gt;=SYear_O, $A78&lt;=EYear_O, V$3&gt;0), V$3 * VLOOKUP($A78, Data_All!$A$8:$CA$153, MATCH(V$2, Data_All!$B$2:$CA$2, 0)+1), "")</f>
        <v/>
      </c>
      <c r="W78" s="206" t="str">
        <f>IF(AND($A78&gt;=SYear_O, $A78&lt;=EYear_O, W$3&gt;0), W$3 * VLOOKUP($A78, Data_All!$A$8:$CA$153, MATCH(W$2, Data_All!$B$2:$CA$2, 0)+1), "")</f>
        <v/>
      </c>
      <c r="X78" s="206" t="str">
        <f>IF(AND($A78&gt;=SYear_O, $A78&lt;=EYear_O, X$3&gt;0), X$3 * VLOOKUP($A78, Data_All!$A$8:$CA$153, MATCH(X$2, Data_All!$B$2:$CA$2, 0)+1), "")</f>
        <v/>
      </c>
      <c r="Y78" s="206" t="str">
        <f>IF(AND($A78&gt;=SYear_O, $A78&lt;=EYear_O, Y$3&gt;0), Y$3 * VLOOKUP($A78, Data_All!$A$8:$CA$153, MATCH(Y$2, Data_All!$B$2:$CA$2, 0)+1), "")</f>
        <v/>
      </c>
      <c r="Z78" s="206" t="str">
        <f>IF(AND($A78&gt;=SYear_O, $A78&lt;=EYear_O, Z$3&gt;0), Z$3 * VLOOKUP($A78, Data_All!$A$8:$CA$153, MATCH(Z$2, Data_All!$B$2:$CA$2, 0)+1), "")</f>
        <v/>
      </c>
      <c r="AA78" s="206" t="str">
        <f>IF(AND($A78&gt;=SYear_O, $A78&lt;=EYear_O, AA$3&gt;0), AA$3 * VLOOKUP($A78, Data_All!$A$8:$CA$153, MATCH(AA$2, Data_All!$B$2:$CA$2, 0)+1), "")</f>
        <v/>
      </c>
      <c r="AB78" s="206" t="str">
        <f>IF(AND($A78&gt;=SYear_O, $A78&lt;=EYear_O, AB$3&gt;0), AB$3 * VLOOKUP($A78, Data_All!$A$8:$CA$153, MATCH(AB$2, Data_All!$B$2:$CA$2, 0)+1), "")</f>
        <v/>
      </c>
      <c r="AC78" s="206" t="str">
        <f>IF(AND($A78&gt;=SYear_O, $A78&lt;=EYear_O, AC$3&gt;0), AC$3 * VLOOKUP($A78, Data_All!$A$8:$CA$153, MATCH(AC$2, Data_All!$B$2:$CA$2, 0)+1), "")</f>
        <v/>
      </c>
      <c r="AD78" s="206" t="str">
        <f>IF(AND($A78&gt;=SYear_O, $A78&lt;=EYear_O, AD$3&gt;0), AD$3 * VLOOKUP($A78, Data_All!$A$8:$CA$153, MATCH(AD$2, Data_All!$B$2:$CA$2, 0)+1), "")</f>
        <v/>
      </c>
      <c r="AE78" s="206" t="str">
        <f>IF(AND($A78&gt;=SYear_O, $A78&lt;=EYear_O, AE$3&gt;0), AE$3 * VLOOKUP($A78, Data_All!$A$8:$CA$153, MATCH(AE$2, Data_All!$B$2:$CA$2, 0)+1), "")</f>
        <v/>
      </c>
      <c r="AF78" s="206" t="str">
        <f>IF(AND($A78&gt;=SYear_O, $A78&lt;=EYear_O, AF$3&gt;0), AF$3 * VLOOKUP($A78, Data_All!$A$8:$CA$153, MATCH(AF$2, Data_All!$B$2:$CA$2, 0)+1), "")</f>
        <v/>
      </c>
      <c r="AG78" s="206" t="str">
        <f>IF(AND($A78&gt;=SYear_O, $A78&lt;=EYear_O, AG$3&gt;0), AG$3 * VLOOKUP($A78, Data_All!$A$8:$CA$153, MATCH(AG$2, Data_All!$B$2:$CA$2, 0)+1), "")</f>
        <v/>
      </c>
      <c r="AH78" s="206" t="str">
        <f>IF(AND($A78&gt;=SYear_O, $A78&lt;=EYear_O, AH$3&gt;0), AH$3 * VLOOKUP($A78, Data_All!$A$8:$CA$153, MATCH(AH$2, Data_All!$B$2:$CA$2, 0)+1), "")</f>
        <v/>
      </c>
      <c r="AI78" s="206" t="str">
        <f>IF(AND($A78&gt;=SYear_O, $A78&lt;=EYear_O, AI$3&gt;0), AI$3 * VLOOKUP($A78, Data_All!$A$8:$CA$153, MATCH(AI$2, Data_All!$B$2:$CA$2, 0)+1), "")</f>
        <v/>
      </c>
      <c r="AJ78" s="206" t="str">
        <f>IF(AND($A78&gt;=SYear_O, $A78&lt;=EYear_O, AJ$3&gt;0), AJ$3 * VLOOKUP($A78, Data_All!$A$8:$CA$153, MATCH(AJ$2, Data_All!$B$2:$CA$2, 0)+1), "")</f>
        <v/>
      </c>
      <c r="AK78" s="206" t="str">
        <f>IF(AND($A78&gt;=SYear_O, $A78&lt;=EYear_O, AK$3&gt;0), AK$3 * VLOOKUP($A78, Data_All!$A$8:$CA$153, MATCH(AK$2, Data_All!$B$2:$CA$2, 0)+1), "")</f>
        <v/>
      </c>
      <c r="AL78" s="206" t="str">
        <f>IF(AND($A78&gt;=SYear_O, $A78&lt;=EYear_O, AL$3&gt;0), AL$3 * VLOOKUP($A78, Data_All!$A$8:$CA$153, MATCH(AL$2, Data_All!$B$2:$CA$2, 0)+1), "")</f>
        <v/>
      </c>
      <c r="AM78" s="206" t="str">
        <f>IF(AND($A78&gt;=SYear_O, $A78&lt;=EYear_O, AM$3&gt;0), AM$3 * VLOOKUP($A78, Data_All!$A$8:$CA$153, MATCH(AM$2, Data_All!$B$2:$CA$2, 0)+1), "")</f>
        <v/>
      </c>
      <c r="AN78" s="206" t="str">
        <f>IF(AND($A78&gt;=SYear_O, $A78&lt;=EYear_O, AN$3&gt;0), AN$3 * VLOOKUP($A78, Data_All!$A$8:$CA$153, MATCH(AN$2, Data_All!$B$2:$CA$2, 0)+1), "")</f>
        <v/>
      </c>
      <c r="AO78" s="206" t="str">
        <f>IF(AND($A78&gt;=SYear_O, $A78&lt;=EYear_O, AO$3&gt;0), AO$3 * VLOOKUP($A78, Data_All!$A$8:$CA$153, MATCH(AO$2, Data_All!$B$2:$CA$2, 0)+1), "")</f>
        <v/>
      </c>
      <c r="AP78" s="206" t="str">
        <f>IF(AND($A78&gt;=SYear_O, $A78&lt;=EYear_O, AP$3&gt;0), AP$3 * VLOOKUP($A78, Data_All!$A$8:$CA$153, MATCH(AP$2, Data_All!$B$2:$CA$2, 0)+1), "")</f>
        <v/>
      </c>
      <c r="AQ78" s="206" t="str">
        <f>IF(AND($A78&gt;=SYear_O, $A78&lt;=EYear_O, AQ$3&gt;0), AQ$3 * VLOOKUP($A78, Data_All!$A$8:$CA$153, MATCH(AQ$2, Data_All!$B$2:$CA$2, 0)+1), "")</f>
        <v/>
      </c>
      <c r="AR78" s="206" t="str">
        <f>IF(AND($A78&gt;=SYear_O, $A78&lt;=EYear_O, AR$3&gt;0), AR$3 * VLOOKUP($A78, Data_All!$A$8:$CA$153, MATCH(AR$2, Data_All!$B$2:$CA$2, 0)+1), "")</f>
        <v/>
      </c>
      <c r="AS78" s="206" t="str">
        <f>IF(AND($A78&gt;=SYear_O, $A78&lt;=EYear_O, AS$3&gt;0), AS$3 * VLOOKUP($A78, Data_All!$A$8:$CA$153, MATCH(AS$2, Data_All!$B$2:$CA$2, 0)+1), "")</f>
        <v/>
      </c>
      <c r="AT78" s="206" t="str">
        <f>IF(AND($A78&gt;=SYear_O, $A78&lt;=EYear_O, AT$3&gt;0), AT$3 * VLOOKUP($A78, Data_All!$A$8:$CA$153, MATCH(AT$2, Data_All!$B$2:$CA$2, 0)+1), "")</f>
        <v/>
      </c>
      <c r="AU78" s="206" t="str">
        <f>IF(AND($A78&gt;=SYear_O, $A78&lt;=EYear_O, AU$3&gt;0), AU$3 * VLOOKUP($A78, Data_All!$A$8:$CA$153, MATCH(AU$2, Data_All!$B$2:$CA$2, 0)+1), "")</f>
        <v/>
      </c>
      <c r="AV78" s="206" t="str">
        <f>IF(AND($A78&gt;=SYear_O, $A78&lt;=EYear_O, AV$3&gt;0), AV$3 * VLOOKUP($A78, Data_All!$A$8:$CA$153, MATCH(AV$2, Data_All!$B$2:$CA$2, 0)+1), "")</f>
        <v/>
      </c>
      <c r="AW78" s="206" t="str">
        <f>IF(AND($A78&gt;=SYear_O, $A78&lt;=EYear_O, AW$3&gt;0), AW$3 * VLOOKUP($A78, Data_All!$A$8:$CA$153, MATCH(AW$2, Data_All!$B$2:$CA$2, 0)+1), "")</f>
        <v/>
      </c>
      <c r="AX78" s="206" t="str">
        <f>IF(AND($A78&gt;=SYear_O, $A78&lt;=EYear_O, AX$3&gt;0), AX$3 * VLOOKUP($A78, Data_All!$A$8:$CA$153, MATCH(AX$2, Data_All!$B$2:$CA$2, 0)+1), "")</f>
        <v/>
      </c>
      <c r="AY78" s="206" t="str">
        <f>IF(AND($A78&gt;=SYear_O, $A78&lt;=EYear_O, AY$3&gt;0), AY$3 * VLOOKUP($A78, Data_All!$A$8:$CA$153, MATCH(AY$2, Data_All!$B$2:$CA$2, 0)+1), "")</f>
        <v/>
      </c>
      <c r="AZ78" s="206" t="str">
        <f>IF(AND($A78&gt;=SYear_O, $A78&lt;=EYear_O, AZ$3&gt;0), AZ$3 * VLOOKUP($A78, Data_All!$A$8:$CA$153, MATCH(AZ$2, Data_All!$B$2:$CA$2, 0)+1), "")</f>
        <v/>
      </c>
      <c r="BA78" s="206" t="str">
        <f>IF(AND($A78&gt;=SYear_O, $A78&lt;=EYear_O, BA$3&gt;0), BA$3 * VLOOKUP($A78, Data_All!$A$8:$CA$153, MATCH(BA$2, Data_All!$B$2:$CA$2, 0)+1), "")</f>
        <v/>
      </c>
      <c r="BB78" s="206" t="str">
        <f>IF(AND($A78&gt;=SYear_O, $A78&lt;=EYear_O, BB$3&gt;0), BB$3 * VLOOKUP($A78, Data_All!$A$8:$CA$153, MATCH(BB$2, Data_All!$B$2:$CA$2, 0)+1), "")</f>
        <v/>
      </c>
      <c r="BC78" s="206" t="str">
        <f>IF(AND($A78&gt;=SYear_O, $A78&lt;=EYear_O, BC$3&gt;0), BC$3 * VLOOKUP($A78, Data_All!$A$8:$CA$153, MATCH(BC$2, Data_All!$B$2:$CA$2, 0)+1), "")</f>
        <v/>
      </c>
      <c r="BD78" s="206" t="str">
        <f>IF(AND($A78&gt;=SYear_O, $A78&lt;=EYear_O, BD$3&gt;0), BD$3 * VLOOKUP($A78, Data_All!$A$8:$CA$153, MATCH(BD$2, Data_All!$B$2:$CA$2, 0)+1), "")</f>
        <v/>
      </c>
      <c r="BE78" s="206" t="str">
        <f>IF(AND($A78&gt;=SYear_O, $A78&lt;=EYear_O, BE$3&gt;0), BE$3 * VLOOKUP($A78, Data_All!$A$8:$CA$153, MATCH(BE$2, Data_All!$B$2:$CA$2, 0)+1), "")</f>
        <v/>
      </c>
      <c r="BF78" s="206" t="str">
        <f>IF(AND($A78&gt;=SYear_O, $A78&lt;=EYear_O, BF$3&gt;0), BF$3 * VLOOKUP($A78, Data_All!$A$8:$CA$153, MATCH(BF$2, Data_All!$B$2:$CA$2, 0)+1), "")</f>
        <v/>
      </c>
      <c r="BG78" s="206" t="str">
        <f>IF(AND($A78&gt;=SYear_O, $A78&lt;=EYear_O, BG$3&gt;0), BG$3 * VLOOKUP($A78, Data_All!$A$8:$CA$153, MATCH(BG$2, Data_All!$B$2:$CA$2, 0)+1), "")</f>
        <v/>
      </c>
      <c r="BH78" s="206" t="str">
        <f>IF(AND($A78&gt;=SYear_O, $A78&lt;=EYear_O, BH$3&gt;0), BH$3 * VLOOKUP($A78, Data_All!$A$8:$CA$153, MATCH(BH$2, Data_All!$B$2:$CA$2, 0)+1), "")</f>
        <v/>
      </c>
      <c r="BI78" s="206" t="str">
        <f>IF(AND($A78&gt;=SYear_O, $A78&lt;=EYear_O, BI$3&gt;0), BI$3 * VLOOKUP($A78, Data_All!$A$8:$CA$153, MATCH(BI$2, Data_All!$B$2:$CA$2, 0)+1), "")</f>
        <v/>
      </c>
      <c r="BJ78" s="206" t="str">
        <f>IF(AND($A78&gt;=SYear_O, $A78&lt;=EYear_O, BJ$3&gt;0), BJ$3 * VLOOKUP($A78, Data_All!$A$8:$CA$153, MATCH(BJ$2, Data_All!$B$2:$CA$2, 0)+1), "")</f>
        <v/>
      </c>
      <c r="BK78" s="206" t="str">
        <f>IF(AND($A78&gt;=SYear_O, $A78&lt;=EYear_O, BK$3&gt;0), BK$3 * VLOOKUP($A78, Data_All!$A$8:$CA$153, MATCH(BK$2, Data_All!$B$2:$CA$2, 0)+1), "")</f>
        <v/>
      </c>
      <c r="BL78" s="206" t="str">
        <f>IF(AND($A78&gt;=SYear_O, $A78&lt;=EYear_O, BL$3&gt;0), BL$3 * VLOOKUP($A78, Data_All!$A$8:$CA$153, MATCH(BL$2, Data_All!$B$2:$CA$2, 0)+1), "")</f>
        <v/>
      </c>
      <c r="BM78" s="206" t="str">
        <f>IF(AND($A78&gt;=SYear_O, $A78&lt;=EYear_O, BM$3&gt;0), BM$3 * VLOOKUP($A78, Data_All!$A$8:$CA$153, MATCH(BM$2, Data_All!$B$2:$CA$2, 0)+1), "")</f>
        <v/>
      </c>
      <c r="BN78" s="206" t="str">
        <f>IF(AND($A78&gt;=SYear_O, $A78&lt;=EYear_O, BN$3&gt;0), BN$3 * VLOOKUP($A78, Data_All!$A$8:$CA$153, MATCH(BN$2, Data_All!$B$2:$CA$2, 0)+1), "")</f>
        <v/>
      </c>
      <c r="BO78" s="206" t="str">
        <f>IF(AND($A78&gt;=SYear_O, $A78&lt;=EYear_O, BO$3&gt;0), BO$3 * VLOOKUP($A78, Data_All!$A$8:$CA$153, MATCH(BO$2, Data_All!$B$2:$CA$2, 0)+1), "")</f>
        <v/>
      </c>
      <c r="BP78" s="206" t="str">
        <f>IF(AND($A78&gt;=SYear_O, $A78&lt;=EYear_O, BP$3&gt;0), BP$3 * VLOOKUP($A78, Data_All!$A$8:$CA$153, MATCH(BP$2, Data_All!$B$2:$CA$2, 0)+1), "")</f>
        <v/>
      </c>
      <c r="BQ78" s="206" t="str">
        <f>IF(AND($A78&gt;=SYear_O, $A78&lt;=EYear_O, BQ$3&gt;0), BQ$3 * VLOOKUP($A78, Data_All!$A$8:$CA$153, MATCH(BQ$2, Data_All!$B$2:$CA$2, 0)+1), "")</f>
        <v/>
      </c>
      <c r="BR78" s="206" t="str">
        <f>IF(AND($A78&gt;=SYear_O, $A78&lt;=EYear_O, BR$3&gt;0), BR$3 * VLOOKUP($A78, Data_All!$A$8:$CA$153, MATCH(BR$2, Data_All!$B$2:$CA$2, 0)+1), "")</f>
        <v/>
      </c>
      <c r="BS78" s="206" t="str">
        <f>IF(AND($A78&gt;=SYear_O, $A78&lt;=EYear_O, BS$3&gt;0), BS$3 * VLOOKUP($A78, Data_All!$A$8:$CA$153, MATCH(BS$2, Data_All!$B$2:$CA$2, 0)+1), "")</f>
        <v/>
      </c>
      <c r="BT78" s="206" t="str">
        <f>IF(AND($A78&gt;=SYear_O, $A78&lt;=EYear_O, BT$3&gt;0), BT$3 * VLOOKUP($A78, Data_All!$A$8:$CA$153, MATCH(BT$2, Data_All!$B$2:$CA$2, 0)+1), "")</f>
        <v/>
      </c>
      <c r="BU78" s="206" t="str">
        <f>IF(AND($A78&gt;=SYear_O, $A78&lt;=EYear_O, BU$3&gt;0), BU$3 * VLOOKUP($A78, Data_All!$A$8:$CA$153, MATCH(BU$2, Data_All!$B$2:$CA$2, 0)+1), "")</f>
        <v/>
      </c>
      <c r="BV78" s="206" t="str">
        <f>IF(AND($A78&gt;=SYear_O, $A78&lt;=EYear_O, BV$3&gt;0), BV$3 * VLOOKUP($A78, Data_All!$A$8:$CA$153, MATCH(BV$2, Data_All!$B$2:$CA$2, 0)+1), "")</f>
        <v/>
      </c>
      <c r="BW78" s="206" t="str">
        <f>IF(AND($A78&gt;=SYear_O, $A78&lt;=EYear_O, BW$3&gt;0), BW$3 * VLOOKUP($A78, Data_All!$A$8:$CA$153, MATCH(BW$2, Data_All!$B$2:$CA$2, 0)+1), "")</f>
        <v/>
      </c>
      <c r="BX78" s="206">
        <f>IF(AND($A78&gt;=SYear_O, $A78&lt;=EYear_O, BX$3&gt;0), BX$3 * VLOOKUP($A78, Data_All!$A$8:$CA$153, MATCH(BX$2, Data_All!$B$2:$CA$2, 0)+1), "")</f>
        <v>11.758118701007833</v>
      </c>
      <c r="BY78" s="206">
        <f>IF(AND($A78&gt;=SYear_O, $A78&lt;=EYear_O, BY$3&gt;0), BY$3 * VLOOKUP($A78, Data_All!$A$8:$CA$153, MATCH(BY$2, Data_All!$B$2:$CA$2, 0)+1), "")</f>
        <v>0.99759926052535697</v>
      </c>
      <c r="BZ78" s="206" t="str">
        <f>IF(AND($A78&gt;=SYear_O, $A78&lt;=EYear_O, BZ$3&gt;0), BZ$3 * VLOOKUP($A78, Data_All!$A$8:$CA$153, MATCH(BZ$2, Data_All!$B$2:$CA$2, 0)+1), "")</f>
        <v/>
      </c>
      <c r="CA78" s="565">
        <f t="shared" si="35"/>
        <v>12.75571796153319</v>
      </c>
      <c r="CB78" s="427">
        <f t="shared" si="36"/>
        <v>625335.78792864806</v>
      </c>
      <c r="CC78" s="565">
        <f>IF(AND($A78&gt;=SYear_O,$A78&lt;=EYear_O),(CA78-Data_All!CA79)/(1+Data_All!CA79%),"")</f>
        <v>4.7493947926669291</v>
      </c>
      <c r="CD78" s="436">
        <f t="shared" si="37"/>
        <v>461196.65125596075</v>
      </c>
      <c r="CE78" s="438">
        <f t="shared" si="38"/>
        <v>56.717479938685536</v>
      </c>
      <c r="CF78" s="438">
        <f>IF(AND($A78&gt;=SYear_O,$A78&lt;=EYear_O),MAX($CE$7:CE78),"")</f>
        <v>58.508891175771154</v>
      </c>
      <c r="CG78" s="209">
        <f t="shared" si="39"/>
        <v>3.0617760840893404E-2</v>
      </c>
      <c r="CI78" s="143">
        <f>IF(AND($A78&gt;=SYear_O,$A78&lt;=EYear_O),Data_All!V79,"")</f>
        <v>0.5395144370066941</v>
      </c>
      <c r="CJ78" s="143">
        <f>IF(AND($A78&gt;=SYear_O,$A78&lt;=EYear_O),Data_All!CA79,"")</f>
        <v>7.6433121019108263</v>
      </c>
      <c r="CK78" s="143">
        <f t="shared" si="40"/>
        <v>-6.5993859963902288</v>
      </c>
      <c r="CN78" s="61">
        <f t="shared" si="41"/>
        <v>0.12755717961533186</v>
      </c>
      <c r="CO78" s="61">
        <f t="shared" si="42"/>
        <v>0.13522738215623109</v>
      </c>
      <c r="CP78" s="61">
        <f t="shared" si="43"/>
        <v>0.11243384862697381</v>
      </c>
      <c r="CQ78" s="61">
        <f t="shared" si="44"/>
        <v>0.1099055993353808</v>
      </c>
      <c r="CR78" s="61">
        <f t="shared" si="45"/>
        <v>0.11389083808634592</v>
      </c>
      <c r="CU78" s="61">
        <f t="shared" si="46"/>
        <v>4.7493947926669389E-2</v>
      </c>
      <c r="CV78" s="61">
        <f t="shared" si="47"/>
        <v>8.8702970722234209E-2</v>
      </c>
      <c r="CW78" s="61">
        <f t="shared" si="48"/>
        <v>4.4639475977298781E-2</v>
      </c>
      <c r="CX78" s="61">
        <f t="shared" si="49"/>
        <v>5.329838965268241E-2</v>
      </c>
      <c r="CY78" s="61">
        <f t="shared" si="50"/>
        <v>7.2775063498583759E-2</v>
      </c>
    </row>
    <row r="79" spans="1:103">
      <c r="A79" s="204">
        <f t="shared" si="51"/>
        <v>1943</v>
      </c>
      <c r="B79" s="206" t="str">
        <f>IF(AND($A79&gt;=SYear_O, $A79&lt;=EYear_O, B$3&gt;0), B$3 * VLOOKUP($A79, Data_All!$A$8:$CA$153, MATCH(B$2, Data_All!$B$2:$CA$2, 0)+1), "")</f>
        <v/>
      </c>
      <c r="C79" s="206" t="str">
        <f>IF(AND($A79&gt;=SYear_O, $A79&lt;=EYear_O, C$3&gt;0), C$3 * VLOOKUP($A79, Data_All!$A$8:$CA$153, MATCH(C$2, Data_All!$B$2:$CA$2, 0)+1), "")</f>
        <v/>
      </c>
      <c r="D79" s="206" t="str">
        <f>IF(AND($A79&gt;=SYear_O, $A79&lt;=EYear_O, D$3&gt;0), D$3 * VLOOKUP($A79, Data_All!$A$8:$CA$153, MATCH(D$2, Data_All!$B$2:$CA$2, 0)+1), "")</f>
        <v/>
      </c>
      <c r="E79" s="206" t="str">
        <f>IF(AND($A79&gt;=SYear_O, $A79&lt;=EYear_O, E$3&gt;0), E$3 * VLOOKUP($A79, Data_All!$A$8:$CA$153, MATCH(E$2, Data_All!$B$2:$CA$2, 0)+1), "")</f>
        <v/>
      </c>
      <c r="F79" s="206" t="str">
        <f>IF(AND($A79&gt;=SYear_O, $A79&lt;=EYear_O, F$3&gt;0), F$3 * VLOOKUP($A79, Data_All!$A$8:$CA$153, MATCH(F$2, Data_All!$B$2:$CA$2, 0)+1), "")</f>
        <v/>
      </c>
      <c r="G79" s="206" t="str">
        <f>IF(AND($A79&gt;=SYear_O, $A79&lt;=EYear_O, G$3&gt;0), G$3 * VLOOKUP($A79, Data_All!$A$8:$CA$153, MATCH(G$2, Data_All!$B$2:$CA$2, 0)+1), "")</f>
        <v/>
      </c>
      <c r="H79" s="206" t="str">
        <f>IF(AND($A79&gt;=SYear_O, $A79&lt;=EYear_O, H$3&gt;0), H$3 * VLOOKUP($A79, Data_All!$A$8:$CA$153, MATCH(H$2, Data_All!$B$2:$CA$2, 0)+1), "")</f>
        <v/>
      </c>
      <c r="I79" s="206" t="str">
        <f>IF(AND($A79&gt;=SYear_O, $A79&lt;=EYear_O, I$3&gt;0), I$3 * VLOOKUP($A79, Data_All!$A$8:$CA$153, MATCH(I$2, Data_All!$B$2:$CA$2, 0)+1), "")</f>
        <v/>
      </c>
      <c r="J79" s="206" t="str">
        <f>IF(AND($A79&gt;=SYear_O, $A79&lt;=EYear_O, J$3&gt;0), J$3 * VLOOKUP($A79, Data_All!$A$8:$CA$153, MATCH(J$2, Data_All!$B$2:$CA$2, 0)+1), "")</f>
        <v/>
      </c>
      <c r="K79" s="206" t="str">
        <f>IF(AND($A79&gt;=SYear_O, $A79&lt;=EYear_O, K$3&gt;0), K$3 * VLOOKUP($A79, Data_All!$A$8:$CA$153, MATCH(K$2, Data_All!$B$2:$CA$2, 0)+1), "")</f>
        <v/>
      </c>
      <c r="L79" s="206" t="str">
        <f>IF(AND($A79&gt;=SYear_O, $A79&lt;=EYear_O, L$3&gt;0), L$3 * VLOOKUP($A79, Data_All!$A$8:$CA$153, MATCH(L$2, Data_All!$B$2:$CA$2, 0)+1), "")</f>
        <v/>
      </c>
      <c r="M79" s="206" t="str">
        <f>IF(AND($A79&gt;=SYear_O, $A79&lt;=EYear_O, M$3&gt;0), M$3 * VLOOKUP($A79, Data_All!$A$8:$CA$153, MATCH(M$2, Data_All!$B$2:$CA$2, 0)+1), "")</f>
        <v/>
      </c>
      <c r="N79" s="206" t="str">
        <f>IF(AND($A79&gt;=SYear_O, $A79&lt;=EYear_O, N$3&gt;0), N$3 * VLOOKUP($A79, Data_All!$A$8:$CA$153, MATCH(N$2, Data_All!$B$2:$CA$2, 0)+1), "")</f>
        <v/>
      </c>
      <c r="O79" s="206" t="str">
        <f>IF(AND($A79&gt;=SYear_O, $A79&lt;=EYear_O, O$3&gt;0), O$3 * VLOOKUP($A79, Data_All!$A$8:$CA$153, MATCH(O$2, Data_All!$B$2:$CA$2, 0)+1), "")</f>
        <v/>
      </c>
      <c r="P79" s="206" t="str">
        <f>IF(AND($A79&gt;=SYear_O, $A79&lt;=EYear_O, P$3&gt;0), P$3 * VLOOKUP($A79, Data_All!$A$8:$CA$153, MATCH(P$2, Data_All!$B$2:$CA$2, 0)+1), "")</f>
        <v/>
      </c>
      <c r="Q79" s="206" t="str">
        <f>IF(AND($A79&gt;=SYear_O, $A79&lt;=EYear_O, Q$3&gt;0), Q$3 * VLOOKUP($A79, Data_All!$A$8:$CA$153, MATCH(Q$2, Data_All!$B$2:$CA$2, 0)+1), "")</f>
        <v/>
      </c>
      <c r="R79" s="206" t="str">
        <f>IF(AND($A79&gt;=SYear_O, $A79&lt;=EYear_O, R$3&gt;0), R$3 * VLOOKUP($A79, Data_All!$A$8:$CA$153, MATCH(R$2, Data_All!$B$2:$CA$2, 0)+1), "")</f>
        <v/>
      </c>
      <c r="S79" s="206" t="str">
        <f>IF(AND($A79&gt;=SYear_O, $A79&lt;=EYear_O, S$3&gt;0), S$3 * VLOOKUP($A79, Data_All!$A$8:$CA$153, MATCH(S$2, Data_All!$B$2:$CA$2, 0)+1), "")</f>
        <v/>
      </c>
      <c r="T79" s="206" t="str">
        <f>IF(AND($A79&gt;=SYear_O, $A79&lt;=EYear_O, T$3&gt;0), T$3 * VLOOKUP($A79, Data_All!$A$8:$CA$153, MATCH(T$2, Data_All!$B$2:$CA$2, 0)+1), "")</f>
        <v/>
      </c>
      <c r="U79" s="206" t="str">
        <f>IF(AND($A79&gt;=SYear_O, $A79&lt;=EYear_O, U$3&gt;0), U$3 * VLOOKUP($A79, Data_All!$A$8:$CA$153, MATCH(U$2, Data_All!$B$2:$CA$2, 0)+1), "")</f>
        <v/>
      </c>
      <c r="V79" s="206" t="str">
        <f>IF(AND($A79&gt;=SYear_O, $A79&lt;=EYear_O, V$3&gt;0), V$3 * VLOOKUP($A79, Data_All!$A$8:$CA$153, MATCH(V$2, Data_All!$B$2:$CA$2, 0)+1), "")</f>
        <v/>
      </c>
      <c r="W79" s="206" t="str">
        <f>IF(AND($A79&gt;=SYear_O, $A79&lt;=EYear_O, W$3&gt;0), W$3 * VLOOKUP($A79, Data_All!$A$8:$CA$153, MATCH(W$2, Data_All!$B$2:$CA$2, 0)+1), "")</f>
        <v/>
      </c>
      <c r="X79" s="206" t="str">
        <f>IF(AND($A79&gt;=SYear_O, $A79&lt;=EYear_O, X$3&gt;0), X$3 * VLOOKUP($A79, Data_All!$A$8:$CA$153, MATCH(X$2, Data_All!$B$2:$CA$2, 0)+1), "")</f>
        <v/>
      </c>
      <c r="Y79" s="206" t="str">
        <f>IF(AND($A79&gt;=SYear_O, $A79&lt;=EYear_O, Y$3&gt;0), Y$3 * VLOOKUP($A79, Data_All!$A$8:$CA$153, MATCH(Y$2, Data_All!$B$2:$CA$2, 0)+1), "")</f>
        <v/>
      </c>
      <c r="Z79" s="206" t="str">
        <f>IF(AND($A79&gt;=SYear_O, $A79&lt;=EYear_O, Z$3&gt;0), Z$3 * VLOOKUP($A79, Data_All!$A$8:$CA$153, MATCH(Z$2, Data_All!$B$2:$CA$2, 0)+1), "")</f>
        <v/>
      </c>
      <c r="AA79" s="206" t="str">
        <f>IF(AND($A79&gt;=SYear_O, $A79&lt;=EYear_O, AA$3&gt;0), AA$3 * VLOOKUP($A79, Data_All!$A$8:$CA$153, MATCH(AA$2, Data_All!$B$2:$CA$2, 0)+1), "")</f>
        <v/>
      </c>
      <c r="AB79" s="206" t="str">
        <f>IF(AND($A79&gt;=SYear_O, $A79&lt;=EYear_O, AB$3&gt;0), AB$3 * VLOOKUP($A79, Data_All!$A$8:$CA$153, MATCH(AB$2, Data_All!$B$2:$CA$2, 0)+1), "")</f>
        <v/>
      </c>
      <c r="AC79" s="206" t="str">
        <f>IF(AND($A79&gt;=SYear_O, $A79&lt;=EYear_O, AC$3&gt;0), AC$3 * VLOOKUP($A79, Data_All!$A$8:$CA$153, MATCH(AC$2, Data_All!$B$2:$CA$2, 0)+1), "")</f>
        <v/>
      </c>
      <c r="AD79" s="206" t="str">
        <f>IF(AND($A79&gt;=SYear_O, $A79&lt;=EYear_O, AD$3&gt;0), AD$3 * VLOOKUP($A79, Data_All!$A$8:$CA$153, MATCH(AD$2, Data_All!$B$2:$CA$2, 0)+1), "")</f>
        <v/>
      </c>
      <c r="AE79" s="206" t="str">
        <f>IF(AND($A79&gt;=SYear_O, $A79&lt;=EYear_O, AE$3&gt;0), AE$3 * VLOOKUP($A79, Data_All!$A$8:$CA$153, MATCH(AE$2, Data_All!$B$2:$CA$2, 0)+1), "")</f>
        <v/>
      </c>
      <c r="AF79" s="206" t="str">
        <f>IF(AND($A79&gt;=SYear_O, $A79&lt;=EYear_O, AF$3&gt;0), AF$3 * VLOOKUP($A79, Data_All!$A$8:$CA$153, MATCH(AF$2, Data_All!$B$2:$CA$2, 0)+1), "")</f>
        <v/>
      </c>
      <c r="AG79" s="206" t="str">
        <f>IF(AND($A79&gt;=SYear_O, $A79&lt;=EYear_O, AG$3&gt;0), AG$3 * VLOOKUP($A79, Data_All!$A$8:$CA$153, MATCH(AG$2, Data_All!$B$2:$CA$2, 0)+1), "")</f>
        <v/>
      </c>
      <c r="AH79" s="206" t="str">
        <f>IF(AND($A79&gt;=SYear_O, $A79&lt;=EYear_O, AH$3&gt;0), AH$3 * VLOOKUP($A79, Data_All!$A$8:$CA$153, MATCH(AH$2, Data_All!$B$2:$CA$2, 0)+1), "")</f>
        <v/>
      </c>
      <c r="AI79" s="206" t="str">
        <f>IF(AND($A79&gt;=SYear_O, $A79&lt;=EYear_O, AI$3&gt;0), AI$3 * VLOOKUP($A79, Data_All!$A$8:$CA$153, MATCH(AI$2, Data_All!$B$2:$CA$2, 0)+1), "")</f>
        <v/>
      </c>
      <c r="AJ79" s="206" t="str">
        <f>IF(AND($A79&gt;=SYear_O, $A79&lt;=EYear_O, AJ$3&gt;0), AJ$3 * VLOOKUP($A79, Data_All!$A$8:$CA$153, MATCH(AJ$2, Data_All!$B$2:$CA$2, 0)+1), "")</f>
        <v/>
      </c>
      <c r="AK79" s="206" t="str">
        <f>IF(AND($A79&gt;=SYear_O, $A79&lt;=EYear_O, AK$3&gt;0), AK$3 * VLOOKUP($A79, Data_All!$A$8:$CA$153, MATCH(AK$2, Data_All!$B$2:$CA$2, 0)+1), "")</f>
        <v/>
      </c>
      <c r="AL79" s="206" t="str">
        <f>IF(AND($A79&gt;=SYear_O, $A79&lt;=EYear_O, AL$3&gt;0), AL$3 * VLOOKUP($A79, Data_All!$A$8:$CA$153, MATCH(AL$2, Data_All!$B$2:$CA$2, 0)+1), "")</f>
        <v/>
      </c>
      <c r="AM79" s="206" t="str">
        <f>IF(AND($A79&gt;=SYear_O, $A79&lt;=EYear_O, AM$3&gt;0), AM$3 * VLOOKUP($A79, Data_All!$A$8:$CA$153, MATCH(AM$2, Data_All!$B$2:$CA$2, 0)+1), "")</f>
        <v/>
      </c>
      <c r="AN79" s="206" t="str">
        <f>IF(AND($A79&gt;=SYear_O, $A79&lt;=EYear_O, AN$3&gt;0), AN$3 * VLOOKUP($A79, Data_All!$A$8:$CA$153, MATCH(AN$2, Data_All!$B$2:$CA$2, 0)+1), "")</f>
        <v/>
      </c>
      <c r="AO79" s="206" t="str">
        <f>IF(AND($A79&gt;=SYear_O, $A79&lt;=EYear_O, AO$3&gt;0), AO$3 * VLOOKUP($A79, Data_All!$A$8:$CA$153, MATCH(AO$2, Data_All!$B$2:$CA$2, 0)+1), "")</f>
        <v/>
      </c>
      <c r="AP79" s="206" t="str">
        <f>IF(AND($A79&gt;=SYear_O, $A79&lt;=EYear_O, AP$3&gt;0), AP$3 * VLOOKUP($A79, Data_All!$A$8:$CA$153, MATCH(AP$2, Data_All!$B$2:$CA$2, 0)+1), "")</f>
        <v/>
      </c>
      <c r="AQ79" s="206" t="str">
        <f>IF(AND($A79&gt;=SYear_O, $A79&lt;=EYear_O, AQ$3&gt;0), AQ$3 * VLOOKUP($A79, Data_All!$A$8:$CA$153, MATCH(AQ$2, Data_All!$B$2:$CA$2, 0)+1), "")</f>
        <v/>
      </c>
      <c r="AR79" s="206" t="str">
        <f>IF(AND($A79&gt;=SYear_O, $A79&lt;=EYear_O, AR$3&gt;0), AR$3 * VLOOKUP($A79, Data_All!$A$8:$CA$153, MATCH(AR$2, Data_All!$B$2:$CA$2, 0)+1), "")</f>
        <v/>
      </c>
      <c r="AS79" s="206" t="str">
        <f>IF(AND($A79&gt;=SYear_O, $A79&lt;=EYear_O, AS$3&gt;0), AS$3 * VLOOKUP($A79, Data_All!$A$8:$CA$153, MATCH(AS$2, Data_All!$B$2:$CA$2, 0)+1), "")</f>
        <v/>
      </c>
      <c r="AT79" s="206" t="str">
        <f>IF(AND($A79&gt;=SYear_O, $A79&lt;=EYear_O, AT$3&gt;0), AT$3 * VLOOKUP($A79, Data_All!$A$8:$CA$153, MATCH(AT$2, Data_All!$B$2:$CA$2, 0)+1), "")</f>
        <v/>
      </c>
      <c r="AU79" s="206" t="str">
        <f>IF(AND($A79&gt;=SYear_O, $A79&lt;=EYear_O, AU$3&gt;0), AU$3 * VLOOKUP($A79, Data_All!$A$8:$CA$153, MATCH(AU$2, Data_All!$B$2:$CA$2, 0)+1), "")</f>
        <v/>
      </c>
      <c r="AV79" s="206" t="str">
        <f>IF(AND($A79&gt;=SYear_O, $A79&lt;=EYear_O, AV$3&gt;0), AV$3 * VLOOKUP($A79, Data_All!$A$8:$CA$153, MATCH(AV$2, Data_All!$B$2:$CA$2, 0)+1), "")</f>
        <v/>
      </c>
      <c r="AW79" s="206" t="str">
        <f>IF(AND($A79&gt;=SYear_O, $A79&lt;=EYear_O, AW$3&gt;0), AW$3 * VLOOKUP($A79, Data_All!$A$8:$CA$153, MATCH(AW$2, Data_All!$B$2:$CA$2, 0)+1), "")</f>
        <v/>
      </c>
      <c r="AX79" s="206" t="str">
        <f>IF(AND($A79&gt;=SYear_O, $A79&lt;=EYear_O, AX$3&gt;0), AX$3 * VLOOKUP($A79, Data_All!$A$8:$CA$153, MATCH(AX$2, Data_All!$B$2:$CA$2, 0)+1), "")</f>
        <v/>
      </c>
      <c r="AY79" s="206" t="str">
        <f>IF(AND($A79&gt;=SYear_O, $A79&lt;=EYear_O, AY$3&gt;0), AY$3 * VLOOKUP($A79, Data_All!$A$8:$CA$153, MATCH(AY$2, Data_All!$B$2:$CA$2, 0)+1), "")</f>
        <v/>
      </c>
      <c r="AZ79" s="206" t="str">
        <f>IF(AND($A79&gt;=SYear_O, $A79&lt;=EYear_O, AZ$3&gt;0), AZ$3 * VLOOKUP($A79, Data_All!$A$8:$CA$153, MATCH(AZ$2, Data_All!$B$2:$CA$2, 0)+1), "")</f>
        <v/>
      </c>
      <c r="BA79" s="206" t="str">
        <f>IF(AND($A79&gt;=SYear_O, $A79&lt;=EYear_O, BA$3&gt;0), BA$3 * VLOOKUP($A79, Data_All!$A$8:$CA$153, MATCH(BA$2, Data_All!$B$2:$CA$2, 0)+1), "")</f>
        <v/>
      </c>
      <c r="BB79" s="206" t="str">
        <f>IF(AND($A79&gt;=SYear_O, $A79&lt;=EYear_O, BB$3&gt;0), BB$3 * VLOOKUP($A79, Data_All!$A$8:$CA$153, MATCH(BB$2, Data_All!$B$2:$CA$2, 0)+1), "")</f>
        <v/>
      </c>
      <c r="BC79" s="206" t="str">
        <f>IF(AND($A79&gt;=SYear_O, $A79&lt;=EYear_O, BC$3&gt;0), BC$3 * VLOOKUP($A79, Data_All!$A$8:$CA$153, MATCH(BC$2, Data_All!$B$2:$CA$2, 0)+1), "")</f>
        <v/>
      </c>
      <c r="BD79" s="206" t="str">
        <f>IF(AND($A79&gt;=SYear_O, $A79&lt;=EYear_O, BD$3&gt;0), BD$3 * VLOOKUP($A79, Data_All!$A$8:$CA$153, MATCH(BD$2, Data_All!$B$2:$CA$2, 0)+1), "")</f>
        <v/>
      </c>
      <c r="BE79" s="206" t="str">
        <f>IF(AND($A79&gt;=SYear_O, $A79&lt;=EYear_O, BE$3&gt;0), BE$3 * VLOOKUP($A79, Data_All!$A$8:$CA$153, MATCH(BE$2, Data_All!$B$2:$CA$2, 0)+1), "")</f>
        <v/>
      </c>
      <c r="BF79" s="206" t="str">
        <f>IF(AND($A79&gt;=SYear_O, $A79&lt;=EYear_O, BF$3&gt;0), BF$3 * VLOOKUP($A79, Data_All!$A$8:$CA$153, MATCH(BF$2, Data_All!$B$2:$CA$2, 0)+1), "")</f>
        <v/>
      </c>
      <c r="BG79" s="206" t="str">
        <f>IF(AND($A79&gt;=SYear_O, $A79&lt;=EYear_O, BG$3&gt;0), BG$3 * VLOOKUP($A79, Data_All!$A$8:$CA$153, MATCH(BG$2, Data_All!$B$2:$CA$2, 0)+1), "")</f>
        <v/>
      </c>
      <c r="BH79" s="206" t="str">
        <f>IF(AND($A79&gt;=SYear_O, $A79&lt;=EYear_O, BH$3&gt;0), BH$3 * VLOOKUP($A79, Data_All!$A$8:$CA$153, MATCH(BH$2, Data_All!$B$2:$CA$2, 0)+1), "")</f>
        <v/>
      </c>
      <c r="BI79" s="206" t="str">
        <f>IF(AND($A79&gt;=SYear_O, $A79&lt;=EYear_O, BI$3&gt;0), BI$3 * VLOOKUP($A79, Data_All!$A$8:$CA$153, MATCH(BI$2, Data_All!$B$2:$CA$2, 0)+1), "")</f>
        <v/>
      </c>
      <c r="BJ79" s="206" t="str">
        <f>IF(AND($A79&gt;=SYear_O, $A79&lt;=EYear_O, BJ$3&gt;0), BJ$3 * VLOOKUP($A79, Data_All!$A$8:$CA$153, MATCH(BJ$2, Data_All!$B$2:$CA$2, 0)+1), "")</f>
        <v/>
      </c>
      <c r="BK79" s="206" t="str">
        <f>IF(AND($A79&gt;=SYear_O, $A79&lt;=EYear_O, BK$3&gt;0), BK$3 * VLOOKUP($A79, Data_All!$A$8:$CA$153, MATCH(BK$2, Data_All!$B$2:$CA$2, 0)+1), "")</f>
        <v/>
      </c>
      <c r="BL79" s="206" t="str">
        <f>IF(AND($A79&gt;=SYear_O, $A79&lt;=EYear_O, BL$3&gt;0), BL$3 * VLOOKUP($A79, Data_All!$A$8:$CA$153, MATCH(BL$2, Data_All!$B$2:$CA$2, 0)+1), "")</f>
        <v/>
      </c>
      <c r="BM79" s="206" t="str">
        <f>IF(AND($A79&gt;=SYear_O, $A79&lt;=EYear_O, BM$3&gt;0), BM$3 * VLOOKUP($A79, Data_All!$A$8:$CA$153, MATCH(BM$2, Data_All!$B$2:$CA$2, 0)+1), "")</f>
        <v/>
      </c>
      <c r="BN79" s="206" t="str">
        <f>IF(AND($A79&gt;=SYear_O, $A79&lt;=EYear_O, BN$3&gt;0), BN$3 * VLOOKUP($A79, Data_All!$A$8:$CA$153, MATCH(BN$2, Data_All!$B$2:$CA$2, 0)+1), "")</f>
        <v/>
      </c>
      <c r="BO79" s="206" t="str">
        <f>IF(AND($A79&gt;=SYear_O, $A79&lt;=EYear_O, BO$3&gt;0), BO$3 * VLOOKUP($A79, Data_All!$A$8:$CA$153, MATCH(BO$2, Data_All!$B$2:$CA$2, 0)+1), "")</f>
        <v/>
      </c>
      <c r="BP79" s="206" t="str">
        <f>IF(AND($A79&gt;=SYear_O, $A79&lt;=EYear_O, BP$3&gt;0), BP$3 * VLOOKUP($A79, Data_All!$A$8:$CA$153, MATCH(BP$2, Data_All!$B$2:$CA$2, 0)+1), "")</f>
        <v/>
      </c>
      <c r="BQ79" s="206" t="str">
        <f>IF(AND($A79&gt;=SYear_O, $A79&lt;=EYear_O, BQ$3&gt;0), BQ$3 * VLOOKUP($A79, Data_All!$A$8:$CA$153, MATCH(BQ$2, Data_All!$B$2:$CA$2, 0)+1), "")</f>
        <v/>
      </c>
      <c r="BR79" s="206" t="str">
        <f>IF(AND($A79&gt;=SYear_O, $A79&lt;=EYear_O, BR$3&gt;0), BR$3 * VLOOKUP($A79, Data_All!$A$8:$CA$153, MATCH(BR$2, Data_All!$B$2:$CA$2, 0)+1), "")</f>
        <v/>
      </c>
      <c r="BS79" s="206" t="str">
        <f>IF(AND($A79&gt;=SYear_O, $A79&lt;=EYear_O, BS$3&gt;0), BS$3 * VLOOKUP($A79, Data_All!$A$8:$CA$153, MATCH(BS$2, Data_All!$B$2:$CA$2, 0)+1), "")</f>
        <v/>
      </c>
      <c r="BT79" s="206" t="str">
        <f>IF(AND($A79&gt;=SYear_O, $A79&lt;=EYear_O, BT$3&gt;0), BT$3 * VLOOKUP($A79, Data_All!$A$8:$CA$153, MATCH(BT$2, Data_All!$B$2:$CA$2, 0)+1), "")</f>
        <v/>
      </c>
      <c r="BU79" s="206" t="str">
        <f>IF(AND($A79&gt;=SYear_O, $A79&lt;=EYear_O, BU$3&gt;0), BU$3 * VLOOKUP($A79, Data_All!$A$8:$CA$153, MATCH(BU$2, Data_All!$B$2:$CA$2, 0)+1), "")</f>
        <v/>
      </c>
      <c r="BV79" s="206" t="str">
        <f>IF(AND($A79&gt;=SYear_O, $A79&lt;=EYear_O, BV$3&gt;0), BV$3 * VLOOKUP($A79, Data_All!$A$8:$CA$153, MATCH(BV$2, Data_All!$B$2:$CA$2, 0)+1), "")</f>
        <v/>
      </c>
      <c r="BW79" s="206" t="str">
        <f>IF(AND($A79&gt;=SYear_O, $A79&lt;=EYear_O, BW$3&gt;0), BW$3 * VLOOKUP($A79, Data_All!$A$8:$CA$153, MATCH(BW$2, Data_All!$B$2:$CA$2, 0)+1), "")</f>
        <v/>
      </c>
      <c r="BX79" s="206">
        <f>IF(AND($A79&gt;=SYear_O, $A79&lt;=EYear_O, BX$3&gt;0), BX$3 * VLOOKUP($A79, Data_All!$A$8:$CA$153, MATCH(BX$2, Data_All!$B$2:$CA$2, 0)+1), "")</f>
        <v>14.093161546085229</v>
      </c>
      <c r="BY79" s="206">
        <f>IF(AND($A79&gt;=SYear_O, $A79&lt;=EYear_O, BY$3&gt;0), BY$3 * VLOOKUP($A79, Data_All!$A$8:$CA$153, MATCH(BY$2, Data_All!$B$2:$CA$2, 0)+1), "")</f>
        <v>1.024659069854934</v>
      </c>
      <c r="BZ79" s="206" t="str">
        <f>IF(AND($A79&gt;=SYear_O, $A79&lt;=EYear_O, BZ$3&gt;0), BZ$3 * VLOOKUP($A79, Data_All!$A$8:$CA$153, MATCH(BZ$2, Data_All!$B$2:$CA$2, 0)+1), "")</f>
        <v/>
      </c>
      <c r="CA79" s="565">
        <f t="shared" si="35"/>
        <v>15.117820615940163</v>
      </c>
      <c r="CB79" s="427">
        <f t="shared" si="36"/>
        <v>719872.93059497699</v>
      </c>
      <c r="CC79" s="565">
        <f>IF(AND($A79&gt;=SYear_O,$A79&lt;=EYear_O),(CA79-Data_All!CA80)/(1+Data_All!CA80%),"")</f>
        <v>11.809837264907408</v>
      </c>
      <c r="CD79" s="436">
        <f t="shared" si="37"/>
        <v>515663.22524049226</v>
      </c>
      <c r="CE79" s="438">
        <f t="shared" si="38"/>
        <v>65.291926813697856</v>
      </c>
      <c r="CF79" s="438">
        <f>IF(AND($A79&gt;=SYear_O,$A79&lt;=EYear_O),MAX($CE$7:CE79),"")</f>
        <v>65.291926813697856</v>
      </c>
      <c r="CG79" s="209">
        <f t="shared" si="39"/>
        <v>0</v>
      </c>
      <c r="CI79" s="143">
        <f>IF(AND($A79&gt;=SYear_O,$A79&lt;=EYear_O),Data_All!V80,"")</f>
        <v>0.59946048556299336</v>
      </c>
      <c r="CJ79" s="143">
        <f>IF(AND($A79&gt;=SYear_O,$A79&lt;=EYear_O),Data_All!CA80,"")</f>
        <v>2.9585798816567976</v>
      </c>
      <c r="CK79" s="143">
        <f t="shared" si="40"/>
        <v>-2.2913286088497293</v>
      </c>
      <c r="CN79" s="61">
        <f t="shared" si="41"/>
        <v>0.15117820615940158</v>
      </c>
      <c r="CO79" s="61">
        <f t="shared" si="42"/>
        <v>0.17271295691589006</v>
      </c>
      <c r="CP79" s="61">
        <f t="shared" si="43"/>
        <v>9.0968361286706267E-2</v>
      </c>
      <c r="CQ79" s="61">
        <f t="shared" si="44"/>
        <v>0.1063595212676185</v>
      </c>
      <c r="CR79" s="61">
        <f t="shared" si="45"/>
        <v>0.10431172566133151</v>
      </c>
      <c r="CU79" s="61">
        <f t="shared" si="46"/>
        <v>0.11809837264907408</v>
      </c>
      <c r="CV79" s="61">
        <f t="shared" si="47"/>
        <v>0.1440987095753572</v>
      </c>
      <c r="CW79" s="61">
        <f t="shared" si="48"/>
        <v>1.9623479548779743E-2</v>
      </c>
      <c r="CX79" s="61">
        <f t="shared" si="49"/>
        <v>5.7296475573726413E-2</v>
      </c>
      <c r="CY79" s="61">
        <f t="shared" si="50"/>
        <v>6.6251679681697428E-2</v>
      </c>
    </row>
    <row r="80" spans="1:103">
      <c r="A80" s="204">
        <f t="shared" si="51"/>
        <v>1944</v>
      </c>
      <c r="B80" s="206" t="str">
        <f>IF(AND($A80&gt;=SYear_O, $A80&lt;=EYear_O, B$3&gt;0), B$3 * VLOOKUP($A80, Data_All!$A$8:$CA$153, MATCH(B$2, Data_All!$B$2:$CA$2, 0)+1), "")</f>
        <v/>
      </c>
      <c r="C80" s="206" t="str">
        <f>IF(AND($A80&gt;=SYear_O, $A80&lt;=EYear_O, C$3&gt;0), C$3 * VLOOKUP($A80, Data_All!$A$8:$CA$153, MATCH(C$2, Data_All!$B$2:$CA$2, 0)+1), "")</f>
        <v/>
      </c>
      <c r="D80" s="206" t="str">
        <f>IF(AND($A80&gt;=SYear_O, $A80&lt;=EYear_O, D$3&gt;0), D$3 * VLOOKUP($A80, Data_All!$A$8:$CA$153, MATCH(D$2, Data_All!$B$2:$CA$2, 0)+1), "")</f>
        <v/>
      </c>
      <c r="E80" s="206" t="str">
        <f>IF(AND($A80&gt;=SYear_O, $A80&lt;=EYear_O, E$3&gt;0), E$3 * VLOOKUP($A80, Data_All!$A$8:$CA$153, MATCH(E$2, Data_All!$B$2:$CA$2, 0)+1), "")</f>
        <v/>
      </c>
      <c r="F80" s="206" t="str">
        <f>IF(AND($A80&gt;=SYear_O, $A80&lt;=EYear_O, F$3&gt;0), F$3 * VLOOKUP($A80, Data_All!$A$8:$CA$153, MATCH(F$2, Data_All!$B$2:$CA$2, 0)+1), "")</f>
        <v/>
      </c>
      <c r="G80" s="206" t="str">
        <f>IF(AND($A80&gt;=SYear_O, $A80&lt;=EYear_O, G$3&gt;0), G$3 * VLOOKUP($A80, Data_All!$A$8:$CA$153, MATCH(G$2, Data_All!$B$2:$CA$2, 0)+1), "")</f>
        <v/>
      </c>
      <c r="H80" s="206" t="str">
        <f>IF(AND($A80&gt;=SYear_O, $A80&lt;=EYear_O, H$3&gt;0), H$3 * VLOOKUP($A80, Data_All!$A$8:$CA$153, MATCH(H$2, Data_All!$B$2:$CA$2, 0)+1), "")</f>
        <v/>
      </c>
      <c r="I80" s="206" t="str">
        <f>IF(AND($A80&gt;=SYear_O, $A80&lt;=EYear_O, I$3&gt;0), I$3 * VLOOKUP($A80, Data_All!$A$8:$CA$153, MATCH(I$2, Data_All!$B$2:$CA$2, 0)+1), "")</f>
        <v/>
      </c>
      <c r="J80" s="206" t="str">
        <f>IF(AND($A80&gt;=SYear_O, $A80&lt;=EYear_O, J$3&gt;0), J$3 * VLOOKUP($A80, Data_All!$A$8:$CA$153, MATCH(J$2, Data_All!$B$2:$CA$2, 0)+1), "")</f>
        <v/>
      </c>
      <c r="K80" s="206" t="str">
        <f>IF(AND($A80&gt;=SYear_O, $A80&lt;=EYear_O, K$3&gt;0), K$3 * VLOOKUP($A80, Data_All!$A$8:$CA$153, MATCH(K$2, Data_All!$B$2:$CA$2, 0)+1), "")</f>
        <v/>
      </c>
      <c r="L80" s="206" t="str">
        <f>IF(AND($A80&gt;=SYear_O, $A80&lt;=EYear_O, L$3&gt;0), L$3 * VLOOKUP($A80, Data_All!$A$8:$CA$153, MATCH(L$2, Data_All!$B$2:$CA$2, 0)+1), "")</f>
        <v/>
      </c>
      <c r="M80" s="206" t="str">
        <f>IF(AND($A80&gt;=SYear_O, $A80&lt;=EYear_O, M$3&gt;0), M$3 * VLOOKUP($A80, Data_All!$A$8:$CA$153, MATCH(M$2, Data_All!$B$2:$CA$2, 0)+1), "")</f>
        <v/>
      </c>
      <c r="N80" s="206" t="str">
        <f>IF(AND($A80&gt;=SYear_O, $A80&lt;=EYear_O, N$3&gt;0), N$3 * VLOOKUP($A80, Data_All!$A$8:$CA$153, MATCH(N$2, Data_All!$B$2:$CA$2, 0)+1), "")</f>
        <v/>
      </c>
      <c r="O80" s="206" t="str">
        <f>IF(AND($A80&gt;=SYear_O, $A80&lt;=EYear_O, O$3&gt;0), O$3 * VLOOKUP($A80, Data_All!$A$8:$CA$153, MATCH(O$2, Data_All!$B$2:$CA$2, 0)+1), "")</f>
        <v/>
      </c>
      <c r="P80" s="206" t="str">
        <f>IF(AND($A80&gt;=SYear_O, $A80&lt;=EYear_O, P$3&gt;0), P$3 * VLOOKUP($A80, Data_All!$A$8:$CA$153, MATCH(P$2, Data_All!$B$2:$CA$2, 0)+1), "")</f>
        <v/>
      </c>
      <c r="Q80" s="206" t="str">
        <f>IF(AND($A80&gt;=SYear_O, $A80&lt;=EYear_O, Q$3&gt;0), Q$3 * VLOOKUP($A80, Data_All!$A$8:$CA$153, MATCH(Q$2, Data_All!$B$2:$CA$2, 0)+1), "")</f>
        <v/>
      </c>
      <c r="R80" s="206" t="str">
        <f>IF(AND($A80&gt;=SYear_O, $A80&lt;=EYear_O, R$3&gt;0), R$3 * VLOOKUP($A80, Data_All!$A$8:$CA$153, MATCH(R$2, Data_All!$B$2:$CA$2, 0)+1), "")</f>
        <v/>
      </c>
      <c r="S80" s="206" t="str">
        <f>IF(AND($A80&gt;=SYear_O, $A80&lt;=EYear_O, S$3&gt;0), S$3 * VLOOKUP($A80, Data_All!$A$8:$CA$153, MATCH(S$2, Data_All!$B$2:$CA$2, 0)+1), "")</f>
        <v/>
      </c>
      <c r="T80" s="206" t="str">
        <f>IF(AND($A80&gt;=SYear_O, $A80&lt;=EYear_O, T$3&gt;0), T$3 * VLOOKUP($A80, Data_All!$A$8:$CA$153, MATCH(T$2, Data_All!$B$2:$CA$2, 0)+1), "")</f>
        <v/>
      </c>
      <c r="U80" s="206" t="str">
        <f>IF(AND($A80&gt;=SYear_O, $A80&lt;=EYear_O, U$3&gt;0), U$3 * VLOOKUP($A80, Data_All!$A$8:$CA$153, MATCH(U$2, Data_All!$B$2:$CA$2, 0)+1), "")</f>
        <v/>
      </c>
      <c r="V80" s="206" t="str">
        <f>IF(AND($A80&gt;=SYear_O, $A80&lt;=EYear_O, V$3&gt;0), V$3 * VLOOKUP($A80, Data_All!$A$8:$CA$153, MATCH(V$2, Data_All!$B$2:$CA$2, 0)+1), "")</f>
        <v/>
      </c>
      <c r="W80" s="206" t="str">
        <f>IF(AND($A80&gt;=SYear_O, $A80&lt;=EYear_O, W$3&gt;0), W$3 * VLOOKUP($A80, Data_All!$A$8:$CA$153, MATCH(W$2, Data_All!$B$2:$CA$2, 0)+1), "")</f>
        <v/>
      </c>
      <c r="X80" s="206" t="str">
        <f>IF(AND($A80&gt;=SYear_O, $A80&lt;=EYear_O, X$3&gt;0), X$3 * VLOOKUP($A80, Data_All!$A$8:$CA$153, MATCH(X$2, Data_All!$B$2:$CA$2, 0)+1), "")</f>
        <v/>
      </c>
      <c r="Y80" s="206" t="str">
        <f>IF(AND($A80&gt;=SYear_O, $A80&lt;=EYear_O, Y$3&gt;0), Y$3 * VLOOKUP($A80, Data_All!$A$8:$CA$153, MATCH(Y$2, Data_All!$B$2:$CA$2, 0)+1), "")</f>
        <v/>
      </c>
      <c r="Z80" s="206" t="str">
        <f>IF(AND($A80&gt;=SYear_O, $A80&lt;=EYear_O, Z$3&gt;0), Z$3 * VLOOKUP($A80, Data_All!$A$8:$CA$153, MATCH(Z$2, Data_All!$B$2:$CA$2, 0)+1), "")</f>
        <v/>
      </c>
      <c r="AA80" s="206" t="str">
        <f>IF(AND($A80&gt;=SYear_O, $A80&lt;=EYear_O, AA$3&gt;0), AA$3 * VLOOKUP($A80, Data_All!$A$8:$CA$153, MATCH(AA$2, Data_All!$B$2:$CA$2, 0)+1), "")</f>
        <v/>
      </c>
      <c r="AB80" s="206" t="str">
        <f>IF(AND($A80&gt;=SYear_O, $A80&lt;=EYear_O, AB$3&gt;0), AB$3 * VLOOKUP($A80, Data_All!$A$8:$CA$153, MATCH(AB$2, Data_All!$B$2:$CA$2, 0)+1), "")</f>
        <v/>
      </c>
      <c r="AC80" s="206" t="str">
        <f>IF(AND($A80&gt;=SYear_O, $A80&lt;=EYear_O, AC$3&gt;0), AC$3 * VLOOKUP($A80, Data_All!$A$8:$CA$153, MATCH(AC$2, Data_All!$B$2:$CA$2, 0)+1), "")</f>
        <v/>
      </c>
      <c r="AD80" s="206" t="str">
        <f>IF(AND($A80&gt;=SYear_O, $A80&lt;=EYear_O, AD$3&gt;0), AD$3 * VLOOKUP($A80, Data_All!$A$8:$CA$153, MATCH(AD$2, Data_All!$B$2:$CA$2, 0)+1), "")</f>
        <v/>
      </c>
      <c r="AE80" s="206" t="str">
        <f>IF(AND($A80&gt;=SYear_O, $A80&lt;=EYear_O, AE$3&gt;0), AE$3 * VLOOKUP($A80, Data_All!$A$8:$CA$153, MATCH(AE$2, Data_All!$B$2:$CA$2, 0)+1), "")</f>
        <v/>
      </c>
      <c r="AF80" s="206" t="str">
        <f>IF(AND($A80&gt;=SYear_O, $A80&lt;=EYear_O, AF$3&gt;0), AF$3 * VLOOKUP($A80, Data_All!$A$8:$CA$153, MATCH(AF$2, Data_All!$B$2:$CA$2, 0)+1), "")</f>
        <v/>
      </c>
      <c r="AG80" s="206" t="str">
        <f>IF(AND($A80&gt;=SYear_O, $A80&lt;=EYear_O, AG$3&gt;0), AG$3 * VLOOKUP($A80, Data_All!$A$8:$CA$153, MATCH(AG$2, Data_All!$B$2:$CA$2, 0)+1), "")</f>
        <v/>
      </c>
      <c r="AH80" s="206" t="str">
        <f>IF(AND($A80&gt;=SYear_O, $A80&lt;=EYear_O, AH$3&gt;0), AH$3 * VLOOKUP($A80, Data_All!$A$8:$CA$153, MATCH(AH$2, Data_All!$B$2:$CA$2, 0)+1), "")</f>
        <v/>
      </c>
      <c r="AI80" s="206" t="str">
        <f>IF(AND($A80&gt;=SYear_O, $A80&lt;=EYear_O, AI$3&gt;0), AI$3 * VLOOKUP($A80, Data_All!$A$8:$CA$153, MATCH(AI$2, Data_All!$B$2:$CA$2, 0)+1), "")</f>
        <v/>
      </c>
      <c r="AJ80" s="206" t="str">
        <f>IF(AND($A80&gt;=SYear_O, $A80&lt;=EYear_O, AJ$3&gt;0), AJ$3 * VLOOKUP($A80, Data_All!$A$8:$CA$153, MATCH(AJ$2, Data_All!$B$2:$CA$2, 0)+1), "")</f>
        <v/>
      </c>
      <c r="AK80" s="206" t="str">
        <f>IF(AND($A80&gt;=SYear_O, $A80&lt;=EYear_O, AK$3&gt;0), AK$3 * VLOOKUP($A80, Data_All!$A$8:$CA$153, MATCH(AK$2, Data_All!$B$2:$CA$2, 0)+1), "")</f>
        <v/>
      </c>
      <c r="AL80" s="206" t="str">
        <f>IF(AND($A80&gt;=SYear_O, $A80&lt;=EYear_O, AL$3&gt;0), AL$3 * VLOOKUP($A80, Data_All!$A$8:$CA$153, MATCH(AL$2, Data_All!$B$2:$CA$2, 0)+1), "")</f>
        <v/>
      </c>
      <c r="AM80" s="206" t="str">
        <f>IF(AND($A80&gt;=SYear_O, $A80&lt;=EYear_O, AM$3&gt;0), AM$3 * VLOOKUP($A80, Data_All!$A$8:$CA$153, MATCH(AM$2, Data_All!$B$2:$CA$2, 0)+1), "")</f>
        <v/>
      </c>
      <c r="AN80" s="206" t="str">
        <f>IF(AND($A80&gt;=SYear_O, $A80&lt;=EYear_O, AN$3&gt;0), AN$3 * VLOOKUP($A80, Data_All!$A$8:$CA$153, MATCH(AN$2, Data_All!$B$2:$CA$2, 0)+1), "")</f>
        <v/>
      </c>
      <c r="AO80" s="206" t="str">
        <f>IF(AND($A80&gt;=SYear_O, $A80&lt;=EYear_O, AO$3&gt;0), AO$3 * VLOOKUP($A80, Data_All!$A$8:$CA$153, MATCH(AO$2, Data_All!$B$2:$CA$2, 0)+1), "")</f>
        <v/>
      </c>
      <c r="AP80" s="206" t="str">
        <f>IF(AND($A80&gt;=SYear_O, $A80&lt;=EYear_O, AP$3&gt;0), AP$3 * VLOOKUP($A80, Data_All!$A$8:$CA$153, MATCH(AP$2, Data_All!$B$2:$CA$2, 0)+1), "")</f>
        <v/>
      </c>
      <c r="AQ80" s="206" t="str">
        <f>IF(AND($A80&gt;=SYear_O, $A80&lt;=EYear_O, AQ$3&gt;0), AQ$3 * VLOOKUP($A80, Data_All!$A$8:$CA$153, MATCH(AQ$2, Data_All!$B$2:$CA$2, 0)+1), "")</f>
        <v/>
      </c>
      <c r="AR80" s="206" t="str">
        <f>IF(AND($A80&gt;=SYear_O, $A80&lt;=EYear_O, AR$3&gt;0), AR$3 * VLOOKUP($A80, Data_All!$A$8:$CA$153, MATCH(AR$2, Data_All!$B$2:$CA$2, 0)+1), "")</f>
        <v/>
      </c>
      <c r="AS80" s="206" t="str">
        <f>IF(AND($A80&gt;=SYear_O, $A80&lt;=EYear_O, AS$3&gt;0), AS$3 * VLOOKUP($A80, Data_All!$A$8:$CA$153, MATCH(AS$2, Data_All!$B$2:$CA$2, 0)+1), "")</f>
        <v/>
      </c>
      <c r="AT80" s="206" t="str">
        <f>IF(AND($A80&gt;=SYear_O, $A80&lt;=EYear_O, AT$3&gt;0), AT$3 * VLOOKUP($A80, Data_All!$A$8:$CA$153, MATCH(AT$2, Data_All!$B$2:$CA$2, 0)+1), "")</f>
        <v/>
      </c>
      <c r="AU80" s="206" t="str">
        <f>IF(AND($A80&gt;=SYear_O, $A80&lt;=EYear_O, AU$3&gt;0), AU$3 * VLOOKUP($A80, Data_All!$A$8:$CA$153, MATCH(AU$2, Data_All!$B$2:$CA$2, 0)+1), "")</f>
        <v/>
      </c>
      <c r="AV80" s="206" t="str">
        <f>IF(AND($A80&gt;=SYear_O, $A80&lt;=EYear_O, AV$3&gt;0), AV$3 * VLOOKUP($A80, Data_All!$A$8:$CA$153, MATCH(AV$2, Data_All!$B$2:$CA$2, 0)+1), "")</f>
        <v/>
      </c>
      <c r="AW80" s="206" t="str">
        <f>IF(AND($A80&gt;=SYear_O, $A80&lt;=EYear_O, AW$3&gt;0), AW$3 * VLOOKUP($A80, Data_All!$A$8:$CA$153, MATCH(AW$2, Data_All!$B$2:$CA$2, 0)+1), "")</f>
        <v/>
      </c>
      <c r="AX80" s="206" t="str">
        <f>IF(AND($A80&gt;=SYear_O, $A80&lt;=EYear_O, AX$3&gt;0), AX$3 * VLOOKUP($A80, Data_All!$A$8:$CA$153, MATCH(AX$2, Data_All!$B$2:$CA$2, 0)+1), "")</f>
        <v/>
      </c>
      <c r="AY80" s="206" t="str">
        <f>IF(AND($A80&gt;=SYear_O, $A80&lt;=EYear_O, AY$3&gt;0), AY$3 * VLOOKUP($A80, Data_All!$A$8:$CA$153, MATCH(AY$2, Data_All!$B$2:$CA$2, 0)+1), "")</f>
        <v/>
      </c>
      <c r="AZ80" s="206" t="str">
        <f>IF(AND($A80&gt;=SYear_O, $A80&lt;=EYear_O, AZ$3&gt;0), AZ$3 * VLOOKUP($A80, Data_All!$A$8:$CA$153, MATCH(AZ$2, Data_All!$B$2:$CA$2, 0)+1), "")</f>
        <v/>
      </c>
      <c r="BA80" s="206" t="str">
        <f>IF(AND($A80&gt;=SYear_O, $A80&lt;=EYear_O, BA$3&gt;0), BA$3 * VLOOKUP($A80, Data_All!$A$8:$CA$153, MATCH(BA$2, Data_All!$B$2:$CA$2, 0)+1), "")</f>
        <v/>
      </c>
      <c r="BB80" s="206" t="str">
        <f>IF(AND($A80&gt;=SYear_O, $A80&lt;=EYear_O, BB$3&gt;0), BB$3 * VLOOKUP($A80, Data_All!$A$8:$CA$153, MATCH(BB$2, Data_All!$B$2:$CA$2, 0)+1), "")</f>
        <v/>
      </c>
      <c r="BC80" s="206" t="str">
        <f>IF(AND($A80&gt;=SYear_O, $A80&lt;=EYear_O, BC$3&gt;0), BC$3 * VLOOKUP($A80, Data_All!$A$8:$CA$153, MATCH(BC$2, Data_All!$B$2:$CA$2, 0)+1), "")</f>
        <v/>
      </c>
      <c r="BD80" s="206" t="str">
        <f>IF(AND($A80&gt;=SYear_O, $A80&lt;=EYear_O, BD$3&gt;0), BD$3 * VLOOKUP($A80, Data_All!$A$8:$CA$153, MATCH(BD$2, Data_All!$B$2:$CA$2, 0)+1), "")</f>
        <v/>
      </c>
      <c r="BE80" s="206" t="str">
        <f>IF(AND($A80&gt;=SYear_O, $A80&lt;=EYear_O, BE$3&gt;0), BE$3 * VLOOKUP($A80, Data_All!$A$8:$CA$153, MATCH(BE$2, Data_All!$B$2:$CA$2, 0)+1), "")</f>
        <v/>
      </c>
      <c r="BF80" s="206" t="str">
        <f>IF(AND($A80&gt;=SYear_O, $A80&lt;=EYear_O, BF$3&gt;0), BF$3 * VLOOKUP($A80, Data_All!$A$8:$CA$153, MATCH(BF$2, Data_All!$B$2:$CA$2, 0)+1), "")</f>
        <v/>
      </c>
      <c r="BG80" s="206" t="str">
        <f>IF(AND($A80&gt;=SYear_O, $A80&lt;=EYear_O, BG$3&gt;0), BG$3 * VLOOKUP($A80, Data_All!$A$8:$CA$153, MATCH(BG$2, Data_All!$B$2:$CA$2, 0)+1), "")</f>
        <v/>
      </c>
      <c r="BH80" s="206" t="str">
        <f>IF(AND($A80&gt;=SYear_O, $A80&lt;=EYear_O, BH$3&gt;0), BH$3 * VLOOKUP($A80, Data_All!$A$8:$CA$153, MATCH(BH$2, Data_All!$B$2:$CA$2, 0)+1), "")</f>
        <v/>
      </c>
      <c r="BI80" s="206" t="str">
        <f>IF(AND($A80&gt;=SYear_O, $A80&lt;=EYear_O, BI$3&gt;0), BI$3 * VLOOKUP($A80, Data_All!$A$8:$CA$153, MATCH(BI$2, Data_All!$B$2:$CA$2, 0)+1), "")</f>
        <v/>
      </c>
      <c r="BJ80" s="206" t="str">
        <f>IF(AND($A80&gt;=SYear_O, $A80&lt;=EYear_O, BJ$3&gt;0), BJ$3 * VLOOKUP($A80, Data_All!$A$8:$CA$153, MATCH(BJ$2, Data_All!$B$2:$CA$2, 0)+1), "")</f>
        <v/>
      </c>
      <c r="BK80" s="206" t="str">
        <f>IF(AND($A80&gt;=SYear_O, $A80&lt;=EYear_O, BK$3&gt;0), BK$3 * VLOOKUP($A80, Data_All!$A$8:$CA$153, MATCH(BK$2, Data_All!$B$2:$CA$2, 0)+1), "")</f>
        <v/>
      </c>
      <c r="BL80" s="206" t="str">
        <f>IF(AND($A80&gt;=SYear_O, $A80&lt;=EYear_O, BL$3&gt;0), BL$3 * VLOOKUP($A80, Data_All!$A$8:$CA$153, MATCH(BL$2, Data_All!$B$2:$CA$2, 0)+1), "")</f>
        <v/>
      </c>
      <c r="BM80" s="206" t="str">
        <f>IF(AND($A80&gt;=SYear_O, $A80&lt;=EYear_O, BM$3&gt;0), BM$3 * VLOOKUP($A80, Data_All!$A$8:$CA$153, MATCH(BM$2, Data_All!$B$2:$CA$2, 0)+1), "")</f>
        <v/>
      </c>
      <c r="BN80" s="206" t="str">
        <f>IF(AND($A80&gt;=SYear_O, $A80&lt;=EYear_O, BN$3&gt;0), BN$3 * VLOOKUP($A80, Data_All!$A$8:$CA$153, MATCH(BN$2, Data_All!$B$2:$CA$2, 0)+1), "")</f>
        <v/>
      </c>
      <c r="BO80" s="206" t="str">
        <f>IF(AND($A80&gt;=SYear_O, $A80&lt;=EYear_O, BO$3&gt;0), BO$3 * VLOOKUP($A80, Data_All!$A$8:$CA$153, MATCH(BO$2, Data_All!$B$2:$CA$2, 0)+1), "")</f>
        <v/>
      </c>
      <c r="BP80" s="206" t="str">
        <f>IF(AND($A80&gt;=SYear_O, $A80&lt;=EYear_O, BP$3&gt;0), BP$3 * VLOOKUP($A80, Data_All!$A$8:$CA$153, MATCH(BP$2, Data_All!$B$2:$CA$2, 0)+1), "")</f>
        <v/>
      </c>
      <c r="BQ80" s="206" t="str">
        <f>IF(AND($A80&gt;=SYear_O, $A80&lt;=EYear_O, BQ$3&gt;0), BQ$3 * VLOOKUP($A80, Data_All!$A$8:$CA$153, MATCH(BQ$2, Data_All!$B$2:$CA$2, 0)+1), "")</f>
        <v/>
      </c>
      <c r="BR80" s="206" t="str">
        <f>IF(AND($A80&gt;=SYear_O, $A80&lt;=EYear_O, BR$3&gt;0), BR$3 * VLOOKUP($A80, Data_All!$A$8:$CA$153, MATCH(BR$2, Data_All!$B$2:$CA$2, 0)+1), "")</f>
        <v/>
      </c>
      <c r="BS80" s="206" t="str">
        <f>IF(AND($A80&gt;=SYear_O, $A80&lt;=EYear_O, BS$3&gt;0), BS$3 * VLOOKUP($A80, Data_All!$A$8:$CA$153, MATCH(BS$2, Data_All!$B$2:$CA$2, 0)+1), "")</f>
        <v/>
      </c>
      <c r="BT80" s="206" t="str">
        <f>IF(AND($A80&gt;=SYear_O, $A80&lt;=EYear_O, BT$3&gt;0), BT$3 * VLOOKUP($A80, Data_All!$A$8:$CA$153, MATCH(BT$2, Data_All!$B$2:$CA$2, 0)+1), "")</f>
        <v/>
      </c>
      <c r="BU80" s="206" t="str">
        <f>IF(AND($A80&gt;=SYear_O, $A80&lt;=EYear_O, BU$3&gt;0), BU$3 * VLOOKUP($A80, Data_All!$A$8:$CA$153, MATCH(BU$2, Data_All!$B$2:$CA$2, 0)+1), "")</f>
        <v/>
      </c>
      <c r="BV80" s="206" t="str">
        <f>IF(AND($A80&gt;=SYear_O, $A80&lt;=EYear_O, BV$3&gt;0), BV$3 * VLOOKUP($A80, Data_All!$A$8:$CA$153, MATCH(BV$2, Data_All!$B$2:$CA$2, 0)+1), "")</f>
        <v/>
      </c>
      <c r="BW80" s="206" t="str">
        <f>IF(AND($A80&gt;=SYear_O, $A80&lt;=EYear_O, BW$3&gt;0), BW$3 * VLOOKUP($A80, Data_All!$A$8:$CA$153, MATCH(BW$2, Data_All!$B$2:$CA$2, 0)+1), "")</f>
        <v/>
      </c>
      <c r="BX80" s="206">
        <f>IF(AND($A80&gt;=SYear_O, $A80&lt;=EYear_O, BX$3&gt;0), BX$3 * VLOOKUP($A80, Data_All!$A$8:$CA$153, MATCH(BX$2, Data_All!$B$2:$CA$2, 0)+1), "")</f>
        <v>11.544303797468363</v>
      </c>
      <c r="BY80" s="206">
        <f>IF(AND($A80&gt;=SYear_O, $A80&lt;=EYear_O, BY$3&gt;0), BY$3 * VLOOKUP($A80, Data_All!$A$8:$CA$153, MATCH(BY$2, Data_All!$B$2:$CA$2, 0)+1), "")</f>
        <v>1.1669913276076382</v>
      </c>
      <c r="BZ80" s="206" t="str">
        <f>IF(AND($A80&gt;=SYear_O, $A80&lt;=EYear_O, BZ$3&gt;0), BZ$3 * VLOOKUP($A80, Data_All!$A$8:$CA$153, MATCH(BZ$2, Data_All!$B$2:$CA$2, 0)+1), "")</f>
        <v/>
      </c>
      <c r="CA80" s="565">
        <f t="shared" si="35"/>
        <v>12.711295125076001</v>
      </c>
      <c r="CB80" s="427">
        <f t="shared" si="36"/>
        <v>811378.10332843813</v>
      </c>
      <c r="CC80" s="565">
        <f>IF(AND($A80&gt;=SYear_O,$A80&lt;=EYear_O),(CA80-Data_All!CA81)/(1+Data_All!CA81%),"")</f>
        <v>10.178457032377644</v>
      </c>
      <c r="CD80" s="436">
        <f t="shared" si="37"/>
        <v>568149.78505336854</v>
      </c>
      <c r="CE80" s="438">
        <f t="shared" si="38"/>
        <v>73.591376323835618</v>
      </c>
      <c r="CF80" s="438">
        <f>IF(AND($A80&gt;=SYear_O,$A80&lt;=EYear_O),MAX($CE$7:CE80),"")</f>
        <v>73.591376323835618</v>
      </c>
      <c r="CG80" s="209">
        <f t="shared" si="39"/>
        <v>0</v>
      </c>
      <c r="CI80" s="143">
        <f>IF(AND($A80&gt;=SYear_O,$A80&lt;=EYear_O),Data_All!V81,"")</f>
        <v>0.62943350984114299</v>
      </c>
      <c r="CJ80" s="143">
        <f>IF(AND($A80&gt;=SYear_O,$A80&lt;=EYear_O),Data_All!CA81,"")</f>
        <v>2.2988505747126631</v>
      </c>
      <c r="CK80" s="143">
        <f t="shared" si="40"/>
        <v>-1.631902074649688</v>
      </c>
      <c r="CN80" s="61">
        <f t="shared" si="41"/>
        <v>0.12711295125076005</v>
      </c>
      <c r="CO80" s="61">
        <f t="shared" si="42"/>
        <v>9.4871825841326585E-2</v>
      </c>
      <c r="CP80" s="61">
        <f t="shared" si="43"/>
        <v>7.4918159592114009E-2</v>
      </c>
      <c r="CQ80" s="61">
        <f t="shared" si="44"/>
        <v>9.4970356684916046E-2</v>
      </c>
      <c r="CR80" s="61">
        <f t="shared" si="45"/>
        <v>0.10925278954708983</v>
      </c>
      <c r="CU80" s="61">
        <f t="shared" si="46"/>
        <v>0.10178457032377652</v>
      </c>
      <c r="CV80" s="61">
        <f t="shared" si="47"/>
        <v>2.0313288869024948E-2</v>
      </c>
      <c r="CW80" s="61">
        <f t="shared" si="48"/>
        <v>7.9593114848768298E-3</v>
      </c>
      <c r="CX80" s="61">
        <f t="shared" si="49"/>
        <v>4.8291486650088755E-2</v>
      </c>
      <c r="CY80" s="61">
        <f t="shared" si="50"/>
        <v>7.211312538675152E-2</v>
      </c>
    </row>
    <row r="81" spans="1:103">
      <c r="A81" s="204">
        <f t="shared" si="51"/>
        <v>1945</v>
      </c>
      <c r="B81" s="206" t="str">
        <f>IF(AND($A81&gt;=SYear_O, $A81&lt;=EYear_O, B$3&gt;0), B$3 * VLOOKUP($A81, Data_All!$A$8:$CA$153, MATCH(B$2, Data_All!$B$2:$CA$2, 0)+1), "")</f>
        <v/>
      </c>
      <c r="C81" s="206" t="str">
        <f>IF(AND($A81&gt;=SYear_O, $A81&lt;=EYear_O, C$3&gt;0), C$3 * VLOOKUP($A81, Data_All!$A$8:$CA$153, MATCH(C$2, Data_All!$B$2:$CA$2, 0)+1), "")</f>
        <v/>
      </c>
      <c r="D81" s="206" t="str">
        <f>IF(AND($A81&gt;=SYear_O, $A81&lt;=EYear_O, D$3&gt;0), D$3 * VLOOKUP($A81, Data_All!$A$8:$CA$153, MATCH(D$2, Data_All!$B$2:$CA$2, 0)+1), "")</f>
        <v/>
      </c>
      <c r="E81" s="206" t="str">
        <f>IF(AND($A81&gt;=SYear_O, $A81&lt;=EYear_O, E$3&gt;0), E$3 * VLOOKUP($A81, Data_All!$A$8:$CA$153, MATCH(E$2, Data_All!$B$2:$CA$2, 0)+1), "")</f>
        <v/>
      </c>
      <c r="F81" s="206" t="str">
        <f>IF(AND($A81&gt;=SYear_O, $A81&lt;=EYear_O, F$3&gt;0), F$3 * VLOOKUP($A81, Data_All!$A$8:$CA$153, MATCH(F$2, Data_All!$B$2:$CA$2, 0)+1), "")</f>
        <v/>
      </c>
      <c r="G81" s="206" t="str">
        <f>IF(AND($A81&gt;=SYear_O, $A81&lt;=EYear_O, G$3&gt;0), G$3 * VLOOKUP($A81, Data_All!$A$8:$CA$153, MATCH(G$2, Data_All!$B$2:$CA$2, 0)+1), "")</f>
        <v/>
      </c>
      <c r="H81" s="206" t="str">
        <f>IF(AND($A81&gt;=SYear_O, $A81&lt;=EYear_O, H$3&gt;0), H$3 * VLOOKUP($A81, Data_All!$A$8:$CA$153, MATCH(H$2, Data_All!$B$2:$CA$2, 0)+1), "")</f>
        <v/>
      </c>
      <c r="I81" s="206" t="str">
        <f>IF(AND($A81&gt;=SYear_O, $A81&lt;=EYear_O, I$3&gt;0), I$3 * VLOOKUP($A81, Data_All!$A$8:$CA$153, MATCH(I$2, Data_All!$B$2:$CA$2, 0)+1), "")</f>
        <v/>
      </c>
      <c r="J81" s="206" t="str">
        <f>IF(AND($A81&gt;=SYear_O, $A81&lt;=EYear_O, J$3&gt;0), J$3 * VLOOKUP($A81, Data_All!$A$8:$CA$153, MATCH(J$2, Data_All!$B$2:$CA$2, 0)+1), "")</f>
        <v/>
      </c>
      <c r="K81" s="206" t="str">
        <f>IF(AND($A81&gt;=SYear_O, $A81&lt;=EYear_O, K$3&gt;0), K$3 * VLOOKUP($A81, Data_All!$A$8:$CA$153, MATCH(K$2, Data_All!$B$2:$CA$2, 0)+1), "")</f>
        <v/>
      </c>
      <c r="L81" s="206" t="str">
        <f>IF(AND($A81&gt;=SYear_O, $A81&lt;=EYear_O, L$3&gt;0), L$3 * VLOOKUP($A81, Data_All!$A$8:$CA$153, MATCH(L$2, Data_All!$B$2:$CA$2, 0)+1), "")</f>
        <v/>
      </c>
      <c r="M81" s="206" t="str">
        <f>IF(AND($A81&gt;=SYear_O, $A81&lt;=EYear_O, M$3&gt;0), M$3 * VLOOKUP($A81, Data_All!$A$8:$CA$153, MATCH(M$2, Data_All!$B$2:$CA$2, 0)+1), "")</f>
        <v/>
      </c>
      <c r="N81" s="206" t="str">
        <f>IF(AND($A81&gt;=SYear_O, $A81&lt;=EYear_O, N$3&gt;0), N$3 * VLOOKUP($A81, Data_All!$A$8:$CA$153, MATCH(N$2, Data_All!$B$2:$CA$2, 0)+1), "")</f>
        <v/>
      </c>
      <c r="O81" s="206" t="str">
        <f>IF(AND($A81&gt;=SYear_O, $A81&lt;=EYear_O, O$3&gt;0), O$3 * VLOOKUP($A81, Data_All!$A$8:$CA$153, MATCH(O$2, Data_All!$B$2:$CA$2, 0)+1), "")</f>
        <v/>
      </c>
      <c r="P81" s="206" t="str">
        <f>IF(AND($A81&gt;=SYear_O, $A81&lt;=EYear_O, P$3&gt;0), P$3 * VLOOKUP($A81, Data_All!$A$8:$CA$153, MATCH(P$2, Data_All!$B$2:$CA$2, 0)+1), "")</f>
        <v/>
      </c>
      <c r="Q81" s="206" t="str">
        <f>IF(AND($A81&gt;=SYear_O, $A81&lt;=EYear_O, Q$3&gt;0), Q$3 * VLOOKUP($A81, Data_All!$A$8:$CA$153, MATCH(Q$2, Data_All!$B$2:$CA$2, 0)+1), "")</f>
        <v/>
      </c>
      <c r="R81" s="206" t="str">
        <f>IF(AND($A81&gt;=SYear_O, $A81&lt;=EYear_O, R$3&gt;0), R$3 * VLOOKUP($A81, Data_All!$A$8:$CA$153, MATCH(R$2, Data_All!$B$2:$CA$2, 0)+1), "")</f>
        <v/>
      </c>
      <c r="S81" s="206" t="str">
        <f>IF(AND($A81&gt;=SYear_O, $A81&lt;=EYear_O, S$3&gt;0), S$3 * VLOOKUP($A81, Data_All!$A$8:$CA$153, MATCH(S$2, Data_All!$B$2:$CA$2, 0)+1), "")</f>
        <v/>
      </c>
      <c r="T81" s="206" t="str">
        <f>IF(AND($A81&gt;=SYear_O, $A81&lt;=EYear_O, T$3&gt;0), T$3 * VLOOKUP($A81, Data_All!$A$8:$CA$153, MATCH(T$2, Data_All!$B$2:$CA$2, 0)+1), "")</f>
        <v/>
      </c>
      <c r="U81" s="206" t="str">
        <f>IF(AND($A81&gt;=SYear_O, $A81&lt;=EYear_O, U$3&gt;0), U$3 * VLOOKUP($A81, Data_All!$A$8:$CA$153, MATCH(U$2, Data_All!$B$2:$CA$2, 0)+1), "")</f>
        <v/>
      </c>
      <c r="V81" s="206" t="str">
        <f>IF(AND($A81&gt;=SYear_O, $A81&lt;=EYear_O, V$3&gt;0), V$3 * VLOOKUP($A81, Data_All!$A$8:$CA$153, MATCH(V$2, Data_All!$B$2:$CA$2, 0)+1), "")</f>
        <v/>
      </c>
      <c r="W81" s="206" t="str">
        <f>IF(AND($A81&gt;=SYear_O, $A81&lt;=EYear_O, W$3&gt;0), W$3 * VLOOKUP($A81, Data_All!$A$8:$CA$153, MATCH(W$2, Data_All!$B$2:$CA$2, 0)+1), "")</f>
        <v/>
      </c>
      <c r="X81" s="206" t="str">
        <f>IF(AND($A81&gt;=SYear_O, $A81&lt;=EYear_O, X$3&gt;0), X$3 * VLOOKUP($A81, Data_All!$A$8:$CA$153, MATCH(X$2, Data_All!$B$2:$CA$2, 0)+1), "")</f>
        <v/>
      </c>
      <c r="Y81" s="206" t="str">
        <f>IF(AND($A81&gt;=SYear_O, $A81&lt;=EYear_O, Y$3&gt;0), Y$3 * VLOOKUP($A81, Data_All!$A$8:$CA$153, MATCH(Y$2, Data_All!$B$2:$CA$2, 0)+1), "")</f>
        <v/>
      </c>
      <c r="Z81" s="206" t="str">
        <f>IF(AND($A81&gt;=SYear_O, $A81&lt;=EYear_O, Z$3&gt;0), Z$3 * VLOOKUP($A81, Data_All!$A$8:$CA$153, MATCH(Z$2, Data_All!$B$2:$CA$2, 0)+1), "")</f>
        <v/>
      </c>
      <c r="AA81" s="206" t="str">
        <f>IF(AND($A81&gt;=SYear_O, $A81&lt;=EYear_O, AA$3&gt;0), AA$3 * VLOOKUP($A81, Data_All!$A$8:$CA$153, MATCH(AA$2, Data_All!$B$2:$CA$2, 0)+1), "")</f>
        <v/>
      </c>
      <c r="AB81" s="206" t="str">
        <f>IF(AND($A81&gt;=SYear_O, $A81&lt;=EYear_O, AB$3&gt;0), AB$3 * VLOOKUP($A81, Data_All!$A$8:$CA$153, MATCH(AB$2, Data_All!$B$2:$CA$2, 0)+1), "")</f>
        <v/>
      </c>
      <c r="AC81" s="206" t="str">
        <f>IF(AND($A81&gt;=SYear_O, $A81&lt;=EYear_O, AC$3&gt;0), AC$3 * VLOOKUP($A81, Data_All!$A$8:$CA$153, MATCH(AC$2, Data_All!$B$2:$CA$2, 0)+1), "")</f>
        <v/>
      </c>
      <c r="AD81" s="206" t="str">
        <f>IF(AND($A81&gt;=SYear_O, $A81&lt;=EYear_O, AD$3&gt;0), AD$3 * VLOOKUP($A81, Data_All!$A$8:$CA$153, MATCH(AD$2, Data_All!$B$2:$CA$2, 0)+1), "")</f>
        <v/>
      </c>
      <c r="AE81" s="206" t="str">
        <f>IF(AND($A81&gt;=SYear_O, $A81&lt;=EYear_O, AE$3&gt;0), AE$3 * VLOOKUP($A81, Data_All!$A$8:$CA$153, MATCH(AE$2, Data_All!$B$2:$CA$2, 0)+1), "")</f>
        <v/>
      </c>
      <c r="AF81" s="206" t="str">
        <f>IF(AND($A81&gt;=SYear_O, $A81&lt;=EYear_O, AF$3&gt;0), AF$3 * VLOOKUP($A81, Data_All!$A$8:$CA$153, MATCH(AF$2, Data_All!$B$2:$CA$2, 0)+1), "")</f>
        <v/>
      </c>
      <c r="AG81" s="206" t="str">
        <f>IF(AND($A81&gt;=SYear_O, $A81&lt;=EYear_O, AG$3&gt;0), AG$3 * VLOOKUP($A81, Data_All!$A$8:$CA$153, MATCH(AG$2, Data_All!$B$2:$CA$2, 0)+1), "")</f>
        <v/>
      </c>
      <c r="AH81" s="206" t="str">
        <f>IF(AND($A81&gt;=SYear_O, $A81&lt;=EYear_O, AH$3&gt;0), AH$3 * VLOOKUP($A81, Data_All!$A$8:$CA$153, MATCH(AH$2, Data_All!$B$2:$CA$2, 0)+1), "")</f>
        <v/>
      </c>
      <c r="AI81" s="206" t="str">
        <f>IF(AND($A81&gt;=SYear_O, $A81&lt;=EYear_O, AI$3&gt;0), AI$3 * VLOOKUP($A81, Data_All!$A$8:$CA$153, MATCH(AI$2, Data_All!$B$2:$CA$2, 0)+1), "")</f>
        <v/>
      </c>
      <c r="AJ81" s="206" t="str">
        <f>IF(AND($A81&gt;=SYear_O, $A81&lt;=EYear_O, AJ$3&gt;0), AJ$3 * VLOOKUP($A81, Data_All!$A$8:$CA$153, MATCH(AJ$2, Data_All!$B$2:$CA$2, 0)+1), "")</f>
        <v/>
      </c>
      <c r="AK81" s="206" t="str">
        <f>IF(AND($A81&gt;=SYear_O, $A81&lt;=EYear_O, AK$3&gt;0), AK$3 * VLOOKUP($A81, Data_All!$A$8:$CA$153, MATCH(AK$2, Data_All!$B$2:$CA$2, 0)+1), "")</f>
        <v/>
      </c>
      <c r="AL81" s="206" t="str">
        <f>IF(AND($A81&gt;=SYear_O, $A81&lt;=EYear_O, AL$3&gt;0), AL$3 * VLOOKUP($A81, Data_All!$A$8:$CA$153, MATCH(AL$2, Data_All!$B$2:$CA$2, 0)+1), "")</f>
        <v/>
      </c>
      <c r="AM81" s="206" t="str">
        <f>IF(AND($A81&gt;=SYear_O, $A81&lt;=EYear_O, AM$3&gt;0), AM$3 * VLOOKUP($A81, Data_All!$A$8:$CA$153, MATCH(AM$2, Data_All!$B$2:$CA$2, 0)+1), "")</f>
        <v/>
      </c>
      <c r="AN81" s="206" t="str">
        <f>IF(AND($A81&gt;=SYear_O, $A81&lt;=EYear_O, AN$3&gt;0), AN$3 * VLOOKUP($A81, Data_All!$A$8:$CA$153, MATCH(AN$2, Data_All!$B$2:$CA$2, 0)+1), "")</f>
        <v/>
      </c>
      <c r="AO81" s="206" t="str">
        <f>IF(AND($A81&gt;=SYear_O, $A81&lt;=EYear_O, AO$3&gt;0), AO$3 * VLOOKUP($A81, Data_All!$A$8:$CA$153, MATCH(AO$2, Data_All!$B$2:$CA$2, 0)+1), "")</f>
        <v/>
      </c>
      <c r="AP81" s="206" t="str">
        <f>IF(AND($A81&gt;=SYear_O, $A81&lt;=EYear_O, AP$3&gt;0), AP$3 * VLOOKUP($A81, Data_All!$A$8:$CA$153, MATCH(AP$2, Data_All!$B$2:$CA$2, 0)+1), "")</f>
        <v/>
      </c>
      <c r="AQ81" s="206" t="str">
        <f>IF(AND($A81&gt;=SYear_O, $A81&lt;=EYear_O, AQ$3&gt;0), AQ$3 * VLOOKUP($A81, Data_All!$A$8:$CA$153, MATCH(AQ$2, Data_All!$B$2:$CA$2, 0)+1), "")</f>
        <v/>
      </c>
      <c r="AR81" s="206" t="str">
        <f>IF(AND($A81&gt;=SYear_O, $A81&lt;=EYear_O, AR$3&gt;0), AR$3 * VLOOKUP($A81, Data_All!$A$8:$CA$153, MATCH(AR$2, Data_All!$B$2:$CA$2, 0)+1), "")</f>
        <v/>
      </c>
      <c r="AS81" s="206" t="str">
        <f>IF(AND($A81&gt;=SYear_O, $A81&lt;=EYear_O, AS$3&gt;0), AS$3 * VLOOKUP($A81, Data_All!$A$8:$CA$153, MATCH(AS$2, Data_All!$B$2:$CA$2, 0)+1), "")</f>
        <v/>
      </c>
      <c r="AT81" s="206" t="str">
        <f>IF(AND($A81&gt;=SYear_O, $A81&lt;=EYear_O, AT$3&gt;0), AT$3 * VLOOKUP($A81, Data_All!$A$8:$CA$153, MATCH(AT$2, Data_All!$B$2:$CA$2, 0)+1), "")</f>
        <v/>
      </c>
      <c r="AU81" s="206" t="str">
        <f>IF(AND($A81&gt;=SYear_O, $A81&lt;=EYear_O, AU$3&gt;0), AU$3 * VLOOKUP($A81, Data_All!$A$8:$CA$153, MATCH(AU$2, Data_All!$B$2:$CA$2, 0)+1), "")</f>
        <v/>
      </c>
      <c r="AV81" s="206" t="str">
        <f>IF(AND($A81&gt;=SYear_O, $A81&lt;=EYear_O, AV$3&gt;0), AV$3 * VLOOKUP($A81, Data_All!$A$8:$CA$153, MATCH(AV$2, Data_All!$B$2:$CA$2, 0)+1), "")</f>
        <v/>
      </c>
      <c r="AW81" s="206" t="str">
        <f>IF(AND($A81&gt;=SYear_O, $A81&lt;=EYear_O, AW$3&gt;0), AW$3 * VLOOKUP($A81, Data_All!$A$8:$CA$153, MATCH(AW$2, Data_All!$B$2:$CA$2, 0)+1), "")</f>
        <v/>
      </c>
      <c r="AX81" s="206" t="str">
        <f>IF(AND($A81&gt;=SYear_O, $A81&lt;=EYear_O, AX$3&gt;0), AX$3 * VLOOKUP($A81, Data_All!$A$8:$CA$153, MATCH(AX$2, Data_All!$B$2:$CA$2, 0)+1), "")</f>
        <v/>
      </c>
      <c r="AY81" s="206" t="str">
        <f>IF(AND($A81&gt;=SYear_O, $A81&lt;=EYear_O, AY$3&gt;0), AY$3 * VLOOKUP($A81, Data_All!$A$8:$CA$153, MATCH(AY$2, Data_All!$B$2:$CA$2, 0)+1), "")</f>
        <v/>
      </c>
      <c r="AZ81" s="206" t="str">
        <f>IF(AND($A81&gt;=SYear_O, $A81&lt;=EYear_O, AZ$3&gt;0), AZ$3 * VLOOKUP($A81, Data_All!$A$8:$CA$153, MATCH(AZ$2, Data_All!$B$2:$CA$2, 0)+1), "")</f>
        <v/>
      </c>
      <c r="BA81" s="206" t="str">
        <f>IF(AND($A81&gt;=SYear_O, $A81&lt;=EYear_O, BA$3&gt;0), BA$3 * VLOOKUP($A81, Data_All!$A$8:$CA$153, MATCH(BA$2, Data_All!$B$2:$CA$2, 0)+1), "")</f>
        <v/>
      </c>
      <c r="BB81" s="206" t="str">
        <f>IF(AND($A81&gt;=SYear_O, $A81&lt;=EYear_O, BB$3&gt;0), BB$3 * VLOOKUP($A81, Data_All!$A$8:$CA$153, MATCH(BB$2, Data_All!$B$2:$CA$2, 0)+1), "")</f>
        <v/>
      </c>
      <c r="BC81" s="206" t="str">
        <f>IF(AND($A81&gt;=SYear_O, $A81&lt;=EYear_O, BC$3&gt;0), BC$3 * VLOOKUP($A81, Data_All!$A$8:$CA$153, MATCH(BC$2, Data_All!$B$2:$CA$2, 0)+1), "")</f>
        <v/>
      </c>
      <c r="BD81" s="206" t="str">
        <f>IF(AND($A81&gt;=SYear_O, $A81&lt;=EYear_O, BD$3&gt;0), BD$3 * VLOOKUP($A81, Data_All!$A$8:$CA$153, MATCH(BD$2, Data_All!$B$2:$CA$2, 0)+1), "")</f>
        <v/>
      </c>
      <c r="BE81" s="206" t="str">
        <f>IF(AND($A81&gt;=SYear_O, $A81&lt;=EYear_O, BE$3&gt;0), BE$3 * VLOOKUP($A81, Data_All!$A$8:$CA$153, MATCH(BE$2, Data_All!$B$2:$CA$2, 0)+1), "")</f>
        <v/>
      </c>
      <c r="BF81" s="206" t="str">
        <f>IF(AND($A81&gt;=SYear_O, $A81&lt;=EYear_O, BF$3&gt;0), BF$3 * VLOOKUP($A81, Data_All!$A$8:$CA$153, MATCH(BF$2, Data_All!$B$2:$CA$2, 0)+1), "")</f>
        <v/>
      </c>
      <c r="BG81" s="206" t="str">
        <f>IF(AND($A81&gt;=SYear_O, $A81&lt;=EYear_O, BG$3&gt;0), BG$3 * VLOOKUP($A81, Data_All!$A$8:$CA$153, MATCH(BG$2, Data_All!$B$2:$CA$2, 0)+1), "")</f>
        <v/>
      </c>
      <c r="BH81" s="206" t="str">
        <f>IF(AND($A81&gt;=SYear_O, $A81&lt;=EYear_O, BH$3&gt;0), BH$3 * VLOOKUP($A81, Data_All!$A$8:$CA$153, MATCH(BH$2, Data_All!$B$2:$CA$2, 0)+1), "")</f>
        <v/>
      </c>
      <c r="BI81" s="206" t="str">
        <f>IF(AND($A81&gt;=SYear_O, $A81&lt;=EYear_O, BI$3&gt;0), BI$3 * VLOOKUP($A81, Data_All!$A$8:$CA$153, MATCH(BI$2, Data_All!$B$2:$CA$2, 0)+1), "")</f>
        <v/>
      </c>
      <c r="BJ81" s="206" t="str">
        <f>IF(AND($A81&gt;=SYear_O, $A81&lt;=EYear_O, BJ$3&gt;0), BJ$3 * VLOOKUP($A81, Data_All!$A$8:$CA$153, MATCH(BJ$2, Data_All!$B$2:$CA$2, 0)+1), "")</f>
        <v/>
      </c>
      <c r="BK81" s="206" t="str">
        <f>IF(AND($A81&gt;=SYear_O, $A81&lt;=EYear_O, BK$3&gt;0), BK$3 * VLOOKUP($A81, Data_All!$A$8:$CA$153, MATCH(BK$2, Data_All!$B$2:$CA$2, 0)+1), "")</f>
        <v/>
      </c>
      <c r="BL81" s="206" t="str">
        <f>IF(AND($A81&gt;=SYear_O, $A81&lt;=EYear_O, BL$3&gt;0), BL$3 * VLOOKUP($A81, Data_All!$A$8:$CA$153, MATCH(BL$2, Data_All!$B$2:$CA$2, 0)+1), "")</f>
        <v/>
      </c>
      <c r="BM81" s="206" t="str">
        <f>IF(AND($A81&gt;=SYear_O, $A81&lt;=EYear_O, BM$3&gt;0), BM$3 * VLOOKUP($A81, Data_All!$A$8:$CA$153, MATCH(BM$2, Data_All!$B$2:$CA$2, 0)+1), "")</f>
        <v/>
      </c>
      <c r="BN81" s="206" t="str">
        <f>IF(AND($A81&gt;=SYear_O, $A81&lt;=EYear_O, BN$3&gt;0), BN$3 * VLOOKUP($A81, Data_All!$A$8:$CA$153, MATCH(BN$2, Data_All!$B$2:$CA$2, 0)+1), "")</f>
        <v/>
      </c>
      <c r="BO81" s="206" t="str">
        <f>IF(AND($A81&gt;=SYear_O, $A81&lt;=EYear_O, BO$3&gt;0), BO$3 * VLOOKUP($A81, Data_All!$A$8:$CA$153, MATCH(BO$2, Data_All!$B$2:$CA$2, 0)+1), "")</f>
        <v/>
      </c>
      <c r="BP81" s="206" t="str">
        <f>IF(AND($A81&gt;=SYear_O, $A81&lt;=EYear_O, BP$3&gt;0), BP$3 * VLOOKUP($A81, Data_All!$A$8:$CA$153, MATCH(BP$2, Data_All!$B$2:$CA$2, 0)+1), "")</f>
        <v/>
      </c>
      <c r="BQ81" s="206" t="str">
        <f>IF(AND($A81&gt;=SYear_O, $A81&lt;=EYear_O, BQ$3&gt;0), BQ$3 * VLOOKUP($A81, Data_All!$A$8:$CA$153, MATCH(BQ$2, Data_All!$B$2:$CA$2, 0)+1), "")</f>
        <v/>
      </c>
      <c r="BR81" s="206" t="str">
        <f>IF(AND($A81&gt;=SYear_O, $A81&lt;=EYear_O, BR$3&gt;0), BR$3 * VLOOKUP($A81, Data_All!$A$8:$CA$153, MATCH(BR$2, Data_All!$B$2:$CA$2, 0)+1), "")</f>
        <v/>
      </c>
      <c r="BS81" s="206" t="str">
        <f>IF(AND($A81&gt;=SYear_O, $A81&lt;=EYear_O, BS$3&gt;0), BS$3 * VLOOKUP($A81, Data_All!$A$8:$CA$153, MATCH(BS$2, Data_All!$B$2:$CA$2, 0)+1), "")</f>
        <v/>
      </c>
      <c r="BT81" s="206" t="str">
        <f>IF(AND($A81&gt;=SYear_O, $A81&lt;=EYear_O, BT$3&gt;0), BT$3 * VLOOKUP($A81, Data_All!$A$8:$CA$153, MATCH(BT$2, Data_All!$B$2:$CA$2, 0)+1), "")</f>
        <v/>
      </c>
      <c r="BU81" s="206" t="str">
        <f>IF(AND($A81&gt;=SYear_O, $A81&lt;=EYear_O, BU$3&gt;0), BU$3 * VLOOKUP($A81, Data_All!$A$8:$CA$153, MATCH(BU$2, Data_All!$B$2:$CA$2, 0)+1), "")</f>
        <v/>
      </c>
      <c r="BV81" s="206" t="str">
        <f>IF(AND($A81&gt;=SYear_O, $A81&lt;=EYear_O, BV$3&gt;0), BV$3 * VLOOKUP($A81, Data_All!$A$8:$CA$153, MATCH(BV$2, Data_All!$B$2:$CA$2, 0)+1), "")</f>
        <v/>
      </c>
      <c r="BW81" s="206" t="str">
        <f>IF(AND($A81&gt;=SYear_O, $A81&lt;=EYear_O, BW$3&gt;0), BW$3 * VLOOKUP($A81, Data_All!$A$8:$CA$153, MATCH(BW$2, Data_All!$B$2:$CA$2, 0)+1), "")</f>
        <v/>
      </c>
      <c r="BX81" s="206">
        <f>IF(AND($A81&gt;=SYear_O, $A81&lt;=EYear_O, BX$3&gt;0), BX$3 * VLOOKUP($A81, Data_All!$A$8:$CA$153, MATCH(BX$2, Data_All!$B$2:$CA$2, 0)+1), "")</f>
        <v>23.083765752409182</v>
      </c>
      <c r="BY81" s="206">
        <f>IF(AND($A81&gt;=SYear_O, $A81&lt;=EYear_O, BY$3&gt;0), BY$3 * VLOOKUP($A81, Data_All!$A$8:$CA$153, MATCH(BY$2, Data_All!$B$2:$CA$2, 0)+1), "")</f>
        <v>1.2145292534203644</v>
      </c>
      <c r="BZ81" s="206" t="str">
        <f>IF(AND($A81&gt;=SYear_O, $A81&lt;=EYear_O, BZ$3&gt;0), BZ$3 * VLOOKUP($A81, Data_All!$A$8:$CA$153, MATCH(BZ$2, Data_All!$B$2:$CA$2, 0)+1), "")</f>
        <v/>
      </c>
      <c r="CA81" s="565">
        <f t="shared" si="35"/>
        <v>24.298295005829544</v>
      </c>
      <c r="CB81" s="427">
        <f t="shared" si="36"/>
        <v>1008529.1484878864</v>
      </c>
      <c r="CC81" s="565">
        <f>IF(AND($A81&gt;=SYear_O,$A81&lt;=EYear_O),(CA81-Data_All!CA82)/(1+Data_All!CA82%),"")</f>
        <v>21.566464346360785</v>
      </c>
      <c r="CD81" s="436">
        <f t="shared" si="37"/>
        <v>690679.60588082869</v>
      </c>
      <c r="CE81" s="438">
        <f t="shared" si="38"/>
        <v>91.472826041851391</v>
      </c>
      <c r="CF81" s="438">
        <f>IF(AND($A81&gt;=SYear_O,$A81&lt;=EYear_O),MAX($CE$7:CE81),"")</f>
        <v>91.472826041851391</v>
      </c>
      <c r="CG81" s="209">
        <f t="shared" si="39"/>
        <v>0</v>
      </c>
      <c r="CI81" s="143">
        <f>IF(AND($A81&gt;=SYear_O,$A81&lt;=EYear_O),Data_All!V82,"")</f>
        <v>0.65940653411929273</v>
      </c>
      <c r="CJ81" s="143">
        <f>IF(AND($A81&gt;=SYear_O,$A81&lt;=EYear_O),Data_All!CA82,"")</f>
        <v>2.2471910112359383</v>
      </c>
      <c r="CK81" s="143">
        <f t="shared" si="40"/>
        <v>-1.552888114982214</v>
      </c>
      <c r="CN81" s="61">
        <f t="shared" si="41"/>
        <v>0.2429829500582954</v>
      </c>
      <c r="CO81" s="61">
        <f t="shared" si="42"/>
        <v>6.0026998939664011E-2</v>
      </c>
      <c r="CP81" s="61">
        <f t="shared" si="43"/>
        <v>7.2657999039267507E-2</v>
      </c>
      <c r="CQ81" s="61">
        <f t="shared" si="44"/>
        <v>0.10926101898716012</v>
      </c>
      <c r="CR81" s="61">
        <f t="shared" si="45"/>
        <v>0.1037583778905713</v>
      </c>
      <c r="CU81" s="61">
        <f t="shared" si="46"/>
        <v>0.21566464346360781</v>
      </c>
      <c r="CV81" s="61">
        <f t="shared" si="47"/>
        <v>-3.6450244207292593E-2</v>
      </c>
      <c r="CW81" s="61">
        <f t="shared" si="48"/>
        <v>1.4686082823310853E-2</v>
      </c>
      <c r="CX81" s="61">
        <f t="shared" si="49"/>
        <v>6.5183978645972473E-2</v>
      </c>
      <c r="CY81" s="61">
        <f t="shared" si="50"/>
        <v>6.7687533441668446E-2</v>
      </c>
    </row>
    <row r="82" spans="1:103">
      <c r="A82" s="204">
        <f t="shared" si="51"/>
        <v>1946</v>
      </c>
      <c r="B82" s="206" t="str">
        <f>IF(AND($A82&gt;=SYear_O, $A82&lt;=EYear_O, B$3&gt;0), B$3 * VLOOKUP($A82, Data_All!$A$8:$CA$153, MATCH(B$2, Data_All!$B$2:$CA$2, 0)+1), "")</f>
        <v/>
      </c>
      <c r="C82" s="206" t="str">
        <f>IF(AND($A82&gt;=SYear_O, $A82&lt;=EYear_O, C$3&gt;0), C$3 * VLOOKUP($A82, Data_All!$A$8:$CA$153, MATCH(C$2, Data_All!$B$2:$CA$2, 0)+1), "")</f>
        <v/>
      </c>
      <c r="D82" s="206" t="str">
        <f>IF(AND($A82&gt;=SYear_O, $A82&lt;=EYear_O, D$3&gt;0), D$3 * VLOOKUP($A82, Data_All!$A$8:$CA$153, MATCH(D$2, Data_All!$B$2:$CA$2, 0)+1), "")</f>
        <v/>
      </c>
      <c r="E82" s="206" t="str">
        <f>IF(AND($A82&gt;=SYear_O, $A82&lt;=EYear_O, E$3&gt;0), E$3 * VLOOKUP($A82, Data_All!$A$8:$CA$153, MATCH(E$2, Data_All!$B$2:$CA$2, 0)+1), "")</f>
        <v/>
      </c>
      <c r="F82" s="206" t="str">
        <f>IF(AND($A82&gt;=SYear_O, $A82&lt;=EYear_O, F$3&gt;0), F$3 * VLOOKUP($A82, Data_All!$A$8:$CA$153, MATCH(F$2, Data_All!$B$2:$CA$2, 0)+1), "")</f>
        <v/>
      </c>
      <c r="G82" s="206" t="str">
        <f>IF(AND($A82&gt;=SYear_O, $A82&lt;=EYear_O, G$3&gt;0), G$3 * VLOOKUP($A82, Data_All!$A$8:$CA$153, MATCH(G$2, Data_All!$B$2:$CA$2, 0)+1), "")</f>
        <v/>
      </c>
      <c r="H82" s="206" t="str">
        <f>IF(AND($A82&gt;=SYear_O, $A82&lt;=EYear_O, H$3&gt;0), H$3 * VLOOKUP($A82, Data_All!$A$8:$CA$153, MATCH(H$2, Data_All!$B$2:$CA$2, 0)+1), "")</f>
        <v/>
      </c>
      <c r="I82" s="206" t="str">
        <f>IF(AND($A82&gt;=SYear_O, $A82&lt;=EYear_O, I$3&gt;0), I$3 * VLOOKUP($A82, Data_All!$A$8:$CA$153, MATCH(I$2, Data_All!$B$2:$CA$2, 0)+1), "")</f>
        <v/>
      </c>
      <c r="J82" s="206" t="str">
        <f>IF(AND($A82&gt;=SYear_O, $A82&lt;=EYear_O, J$3&gt;0), J$3 * VLOOKUP($A82, Data_All!$A$8:$CA$153, MATCH(J$2, Data_All!$B$2:$CA$2, 0)+1), "")</f>
        <v/>
      </c>
      <c r="K82" s="206" t="str">
        <f>IF(AND($A82&gt;=SYear_O, $A82&lt;=EYear_O, K$3&gt;0), K$3 * VLOOKUP($A82, Data_All!$A$8:$CA$153, MATCH(K$2, Data_All!$B$2:$CA$2, 0)+1), "")</f>
        <v/>
      </c>
      <c r="L82" s="206" t="str">
        <f>IF(AND($A82&gt;=SYear_O, $A82&lt;=EYear_O, L$3&gt;0), L$3 * VLOOKUP($A82, Data_All!$A$8:$CA$153, MATCH(L$2, Data_All!$B$2:$CA$2, 0)+1), "")</f>
        <v/>
      </c>
      <c r="M82" s="206" t="str">
        <f>IF(AND($A82&gt;=SYear_O, $A82&lt;=EYear_O, M$3&gt;0), M$3 * VLOOKUP($A82, Data_All!$A$8:$CA$153, MATCH(M$2, Data_All!$B$2:$CA$2, 0)+1), "")</f>
        <v/>
      </c>
      <c r="N82" s="206" t="str">
        <f>IF(AND($A82&gt;=SYear_O, $A82&lt;=EYear_O, N$3&gt;0), N$3 * VLOOKUP($A82, Data_All!$A$8:$CA$153, MATCH(N$2, Data_All!$B$2:$CA$2, 0)+1), "")</f>
        <v/>
      </c>
      <c r="O82" s="206" t="str">
        <f>IF(AND($A82&gt;=SYear_O, $A82&lt;=EYear_O, O$3&gt;0), O$3 * VLOOKUP($A82, Data_All!$A$8:$CA$153, MATCH(O$2, Data_All!$B$2:$CA$2, 0)+1), "")</f>
        <v/>
      </c>
      <c r="P82" s="206" t="str">
        <f>IF(AND($A82&gt;=SYear_O, $A82&lt;=EYear_O, P$3&gt;0), P$3 * VLOOKUP($A82, Data_All!$A$8:$CA$153, MATCH(P$2, Data_All!$B$2:$CA$2, 0)+1), "")</f>
        <v/>
      </c>
      <c r="Q82" s="206" t="str">
        <f>IF(AND($A82&gt;=SYear_O, $A82&lt;=EYear_O, Q$3&gt;0), Q$3 * VLOOKUP($A82, Data_All!$A$8:$CA$153, MATCH(Q$2, Data_All!$B$2:$CA$2, 0)+1), "")</f>
        <v/>
      </c>
      <c r="R82" s="206" t="str">
        <f>IF(AND($A82&gt;=SYear_O, $A82&lt;=EYear_O, R$3&gt;0), R$3 * VLOOKUP($A82, Data_All!$A$8:$CA$153, MATCH(R$2, Data_All!$B$2:$CA$2, 0)+1), "")</f>
        <v/>
      </c>
      <c r="S82" s="206" t="str">
        <f>IF(AND($A82&gt;=SYear_O, $A82&lt;=EYear_O, S$3&gt;0), S$3 * VLOOKUP($A82, Data_All!$A$8:$CA$153, MATCH(S$2, Data_All!$B$2:$CA$2, 0)+1), "")</f>
        <v/>
      </c>
      <c r="T82" s="206" t="str">
        <f>IF(AND($A82&gt;=SYear_O, $A82&lt;=EYear_O, T$3&gt;0), T$3 * VLOOKUP($A82, Data_All!$A$8:$CA$153, MATCH(T$2, Data_All!$B$2:$CA$2, 0)+1), "")</f>
        <v/>
      </c>
      <c r="U82" s="206" t="str">
        <f>IF(AND($A82&gt;=SYear_O, $A82&lt;=EYear_O, U$3&gt;0), U$3 * VLOOKUP($A82, Data_All!$A$8:$CA$153, MATCH(U$2, Data_All!$B$2:$CA$2, 0)+1), "")</f>
        <v/>
      </c>
      <c r="V82" s="206" t="str">
        <f>IF(AND($A82&gt;=SYear_O, $A82&lt;=EYear_O, V$3&gt;0), V$3 * VLOOKUP($A82, Data_All!$A$8:$CA$153, MATCH(V$2, Data_All!$B$2:$CA$2, 0)+1), "")</f>
        <v/>
      </c>
      <c r="W82" s="206" t="str">
        <f>IF(AND($A82&gt;=SYear_O, $A82&lt;=EYear_O, W$3&gt;0), W$3 * VLOOKUP($A82, Data_All!$A$8:$CA$153, MATCH(W$2, Data_All!$B$2:$CA$2, 0)+1), "")</f>
        <v/>
      </c>
      <c r="X82" s="206" t="str">
        <f>IF(AND($A82&gt;=SYear_O, $A82&lt;=EYear_O, X$3&gt;0), X$3 * VLOOKUP($A82, Data_All!$A$8:$CA$153, MATCH(X$2, Data_All!$B$2:$CA$2, 0)+1), "")</f>
        <v/>
      </c>
      <c r="Y82" s="206" t="str">
        <f>IF(AND($A82&gt;=SYear_O, $A82&lt;=EYear_O, Y$3&gt;0), Y$3 * VLOOKUP($A82, Data_All!$A$8:$CA$153, MATCH(Y$2, Data_All!$B$2:$CA$2, 0)+1), "")</f>
        <v/>
      </c>
      <c r="Z82" s="206" t="str">
        <f>IF(AND($A82&gt;=SYear_O, $A82&lt;=EYear_O, Z$3&gt;0), Z$3 * VLOOKUP($A82, Data_All!$A$8:$CA$153, MATCH(Z$2, Data_All!$B$2:$CA$2, 0)+1), "")</f>
        <v/>
      </c>
      <c r="AA82" s="206" t="str">
        <f>IF(AND($A82&gt;=SYear_O, $A82&lt;=EYear_O, AA$3&gt;0), AA$3 * VLOOKUP($A82, Data_All!$A$8:$CA$153, MATCH(AA$2, Data_All!$B$2:$CA$2, 0)+1), "")</f>
        <v/>
      </c>
      <c r="AB82" s="206" t="str">
        <f>IF(AND($A82&gt;=SYear_O, $A82&lt;=EYear_O, AB$3&gt;0), AB$3 * VLOOKUP($A82, Data_All!$A$8:$CA$153, MATCH(AB$2, Data_All!$B$2:$CA$2, 0)+1), "")</f>
        <v/>
      </c>
      <c r="AC82" s="206" t="str">
        <f>IF(AND($A82&gt;=SYear_O, $A82&lt;=EYear_O, AC$3&gt;0), AC$3 * VLOOKUP($A82, Data_All!$A$8:$CA$153, MATCH(AC$2, Data_All!$B$2:$CA$2, 0)+1), "")</f>
        <v/>
      </c>
      <c r="AD82" s="206" t="str">
        <f>IF(AND($A82&gt;=SYear_O, $A82&lt;=EYear_O, AD$3&gt;0), AD$3 * VLOOKUP($A82, Data_All!$A$8:$CA$153, MATCH(AD$2, Data_All!$B$2:$CA$2, 0)+1), "")</f>
        <v/>
      </c>
      <c r="AE82" s="206" t="str">
        <f>IF(AND($A82&gt;=SYear_O, $A82&lt;=EYear_O, AE$3&gt;0), AE$3 * VLOOKUP($A82, Data_All!$A$8:$CA$153, MATCH(AE$2, Data_All!$B$2:$CA$2, 0)+1), "")</f>
        <v/>
      </c>
      <c r="AF82" s="206" t="str">
        <f>IF(AND($A82&gt;=SYear_O, $A82&lt;=EYear_O, AF$3&gt;0), AF$3 * VLOOKUP($A82, Data_All!$A$8:$CA$153, MATCH(AF$2, Data_All!$B$2:$CA$2, 0)+1), "")</f>
        <v/>
      </c>
      <c r="AG82" s="206" t="str">
        <f>IF(AND($A82&gt;=SYear_O, $A82&lt;=EYear_O, AG$3&gt;0), AG$3 * VLOOKUP($A82, Data_All!$A$8:$CA$153, MATCH(AG$2, Data_All!$B$2:$CA$2, 0)+1), "")</f>
        <v/>
      </c>
      <c r="AH82" s="206" t="str">
        <f>IF(AND($A82&gt;=SYear_O, $A82&lt;=EYear_O, AH$3&gt;0), AH$3 * VLOOKUP($A82, Data_All!$A$8:$CA$153, MATCH(AH$2, Data_All!$B$2:$CA$2, 0)+1), "")</f>
        <v/>
      </c>
      <c r="AI82" s="206" t="str">
        <f>IF(AND($A82&gt;=SYear_O, $A82&lt;=EYear_O, AI$3&gt;0), AI$3 * VLOOKUP($A82, Data_All!$A$8:$CA$153, MATCH(AI$2, Data_All!$B$2:$CA$2, 0)+1), "")</f>
        <v/>
      </c>
      <c r="AJ82" s="206" t="str">
        <f>IF(AND($A82&gt;=SYear_O, $A82&lt;=EYear_O, AJ$3&gt;0), AJ$3 * VLOOKUP($A82, Data_All!$A$8:$CA$153, MATCH(AJ$2, Data_All!$B$2:$CA$2, 0)+1), "")</f>
        <v/>
      </c>
      <c r="AK82" s="206" t="str">
        <f>IF(AND($A82&gt;=SYear_O, $A82&lt;=EYear_O, AK$3&gt;0), AK$3 * VLOOKUP($A82, Data_All!$A$8:$CA$153, MATCH(AK$2, Data_All!$B$2:$CA$2, 0)+1), "")</f>
        <v/>
      </c>
      <c r="AL82" s="206" t="str">
        <f>IF(AND($A82&gt;=SYear_O, $A82&lt;=EYear_O, AL$3&gt;0), AL$3 * VLOOKUP($A82, Data_All!$A$8:$CA$153, MATCH(AL$2, Data_All!$B$2:$CA$2, 0)+1), "")</f>
        <v/>
      </c>
      <c r="AM82" s="206" t="str">
        <f>IF(AND($A82&gt;=SYear_O, $A82&lt;=EYear_O, AM$3&gt;0), AM$3 * VLOOKUP($A82, Data_All!$A$8:$CA$153, MATCH(AM$2, Data_All!$B$2:$CA$2, 0)+1), "")</f>
        <v/>
      </c>
      <c r="AN82" s="206" t="str">
        <f>IF(AND($A82&gt;=SYear_O, $A82&lt;=EYear_O, AN$3&gt;0), AN$3 * VLOOKUP($A82, Data_All!$A$8:$CA$153, MATCH(AN$2, Data_All!$B$2:$CA$2, 0)+1), "")</f>
        <v/>
      </c>
      <c r="AO82" s="206" t="str">
        <f>IF(AND($A82&gt;=SYear_O, $A82&lt;=EYear_O, AO$3&gt;0), AO$3 * VLOOKUP($A82, Data_All!$A$8:$CA$153, MATCH(AO$2, Data_All!$B$2:$CA$2, 0)+1), "")</f>
        <v/>
      </c>
      <c r="AP82" s="206" t="str">
        <f>IF(AND($A82&gt;=SYear_O, $A82&lt;=EYear_O, AP$3&gt;0), AP$3 * VLOOKUP($A82, Data_All!$A$8:$CA$153, MATCH(AP$2, Data_All!$B$2:$CA$2, 0)+1), "")</f>
        <v/>
      </c>
      <c r="AQ82" s="206" t="str">
        <f>IF(AND($A82&gt;=SYear_O, $A82&lt;=EYear_O, AQ$3&gt;0), AQ$3 * VLOOKUP($A82, Data_All!$A$8:$CA$153, MATCH(AQ$2, Data_All!$B$2:$CA$2, 0)+1), "")</f>
        <v/>
      </c>
      <c r="AR82" s="206" t="str">
        <f>IF(AND($A82&gt;=SYear_O, $A82&lt;=EYear_O, AR$3&gt;0), AR$3 * VLOOKUP($A82, Data_All!$A$8:$CA$153, MATCH(AR$2, Data_All!$B$2:$CA$2, 0)+1), "")</f>
        <v/>
      </c>
      <c r="AS82" s="206" t="str">
        <f>IF(AND($A82&gt;=SYear_O, $A82&lt;=EYear_O, AS$3&gt;0), AS$3 * VLOOKUP($A82, Data_All!$A$8:$CA$153, MATCH(AS$2, Data_All!$B$2:$CA$2, 0)+1), "")</f>
        <v/>
      </c>
      <c r="AT82" s="206" t="str">
        <f>IF(AND($A82&gt;=SYear_O, $A82&lt;=EYear_O, AT$3&gt;0), AT$3 * VLOOKUP($A82, Data_All!$A$8:$CA$153, MATCH(AT$2, Data_All!$B$2:$CA$2, 0)+1), "")</f>
        <v/>
      </c>
      <c r="AU82" s="206" t="str">
        <f>IF(AND($A82&gt;=SYear_O, $A82&lt;=EYear_O, AU$3&gt;0), AU$3 * VLOOKUP($A82, Data_All!$A$8:$CA$153, MATCH(AU$2, Data_All!$B$2:$CA$2, 0)+1), "")</f>
        <v/>
      </c>
      <c r="AV82" s="206" t="str">
        <f>IF(AND($A82&gt;=SYear_O, $A82&lt;=EYear_O, AV$3&gt;0), AV$3 * VLOOKUP($A82, Data_All!$A$8:$CA$153, MATCH(AV$2, Data_All!$B$2:$CA$2, 0)+1), "")</f>
        <v/>
      </c>
      <c r="AW82" s="206" t="str">
        <f>IF(AND($A82&gt;=SYear_O, $A82&lt;=EYear_O, AW$3&gt;0), AW$3 * VLOOKUP($A82, Data_All!$A$8:$CA$153, MATCH(AW$2, Data_All!$B$2:$CA$2, 0)+1), "")</f>
        <v/>
      </c>
      <c r="AX82" s="206" t="str">
        <f>IF(AND($A82&gt;=SYear_O, $A82&lt;=EYear_O, AX$3&gt;0), AX$3 * VLOOKUP($A82, Data_All!$A$8:$CA$153, MATCH(AX$2, Data_All!$B$2:$CA$2, 0)+1), "")</f>
        <v/>
      </c>
      <c r="AY82" s="206" t="str">
        <f>IF(AND($A82&gt;=SYear_O, $A82&lt;=EYear_O, AY$3&gt;0), AY$3 * VLOOKUP($A82, Data_All!$A$8:$CA$153, MATCH(AY$2, Data_All!$B$2:$CA$2, 0)+1), "")</f>
        <v/>
      </c>
      <c r="AZ82" s="206" t="str">
        <f>IF(AND($A82&gt;=SYear_O, $A82&lt;=EYear_O, AZ$3&gt;0), AZ$3 * VLOOKUP($A82, Data_All!$A$8:$CA$153, MATCH(AZ$2, Data_All!$B$2:$CA$2, 0)+1), "")</f>
        <v/>
      </c>
      <c r="BA82" s="206" t="str">
        <f>IF(AND($A82&gt;=SYear_O, $A82&lt;=EYear_O, BA$3&gt;0), BA$3 * VLOOKUP($A82, Data_All!$A$8:$CA$153, MATCH(BA$2, Data_All!$B$2:$CA$2, 0)+1), "")</f>
        <v/>
      </c>
      <c r="BB82" s="206" t="str">
        <f>IF(AND($A82&gt;=SYear_O, $A82&lt;=EYear_O, BB$3&gt;0), BB$3 * VLOOKUP($A82, Data_All!$A$8:$CA$153, MATCH(BB$2, Data_All!$B$2:$CA$2, 0)+1), "")</f>
        <v/>
      </c>
      <c r="BC82" s="206" t="str">
        <f>IF(AND($A82&gt;=SYear_O, $A82&lt;=EYear_O, BC$3&gt;0), BC$3 * VLOOKUP($A82, Data_All!$A$8:$CA$153, MATCH(BC$2, Data_All!$B$2:$CA$2, 0)+1), "")</f>
        <v/>
      </c>
      <c r="BD82" s="206" t="str">
        <f>IF(AND($A82&gt;=SYear_O, $A82&lt;=EYear_O, BD$3&gt;0), BD$3 * VLOOKUP($A82, Data_All!$A$8:$CA$153, MATCH(BD$2, Data_All!$B$2:$CA$2, 0)+1), "")</f>
        <v/>
      </c>
      <c r="BE82" s="206" t="str">
        <f>IF(AND($A82&gt;=SYear_O, $A82&lt;=EYear_O, BE$3&gt;0), BE$3 * VLOOKUP($A82, Data_All!$A$8:$CA$153, MATCH(BE$2, Data_All!$B$2:$CA$2, 0)+1), "")</f>
        <v/>
      </c>
      <c r="BF82" s="206" t="str">
        <f>IF(AND($A82&gt;=SYear_O, $A82&lt;=EYear_O, BF$3&gt;0), BF$3 * VLOOKUP($A82, Data_All!$A$8:$CA$153, MATCH(BF$2, Data_All!$B$2:$CA$2, 0)+1), "")</f>
        <v/>
      </c>
      <c r="BG82" s="206" t="str">
        <f>IF(AND($A82&gt;=SYear_O, $A82&lt;=EYear_O, BG$3&gt;0), BG$3 * VLOOKUP($A82, Data_All!$A$8:$CA$153, MATCH(BG$2, Data_All!$B$2:$CA$2, 0)+1), "")</f>
        <v/>
      </c>
      <c r="BH82" s="206" t="str">
        <f>IF(AND($A82&gt;=SYear_O, $A82&lt;=EYear_O, BH$3&gt;0), BH$3 * VLOOKUP($A82, Data_All!$A$8:$CA$153, MATCH(BH$2, Data_All!$B$2:$CA$2, 0)+1), "")</f>
        <v/>
      </c>
      <c r="BI82" s="206" t="str">
        <f>IF(AND($A82&gt;=SYear_O, $A82&lt;=EYear_O, BI$3&gt;0), BI$3 * VLOOKUP($A82, Data_All!$A$8:$CA$153, MATCH(BI$2, Data_All!$B$2:$CA$2, 0)+1), "")</f>
        <v/>
      </c>
      <c r="BJ82" s="206" t="str">
        <f>IF(AND($A82&gt;=SYear_O, $A82&lt;=EYear_O, BJ$3&gt;0), BJ$3 * VLOOKUP($A82, Data_All!$A$8:$CA$153, MATCH(BJ$2, Data_All!$B$2:$CA$2, 0)+1), "")</f>
        <v/>
      </c>
      <c r="BK82" s="206" t="str">
        <f>IF(AND($A82&gt;=SYear_O, $A82&lt;=EYear_O, BK$3&gt;0), BK$3 * VLOOKUP($A82, Data_All!$A$8:$CA$153, MATCH(BK$2, Data_All!$B$2:$CA$2, 0)+1), "")</f>
        <v/>
      </c>
      <c r="BL82" s="206" t="str">
        <f>IF(AND($A82&gt;=SYear_O, $A82&lt;=EYear_O, BL$3&gt;0), BL$3 * VLOOKUP($A82, Data_All!$A$8:$CA$153, MATCH(BL$2, Data_All!$B$2:$CA$2, 0)+1), "")</f>
        <v/>
      </c>
      <c r="BM82" s="206" t="str">
        <f>IF(AND($A82&gt;=SYear_O, $A82&lt;=EYear_O, BM$3&gt;0), BM$3 * VLOOKUP($A82, Data_All!$A$8:$CA$153, MATCH(BM$2, Data_All!$B$2:$CA$2, 0)+1), "")</f>
        <v/>
      </c>
      <c r="BN82" s="206" t="str">
        <f>IF(AND($A82&gt;=SYear_O, $A82&lt;=EYear_O, BN$3&gt;0), BN$3 * VLOOKUP($A82, Data_All!$A$8:$CA$153, MATCH(BN$2, Data_All!$B$2:$CA$2, 0)+1), "")</f>
        <v/>
      </c>
      <c r="BO82" s="206" t="str">
        <f>IF(AND($A82&gt;=SYear_O, $A82&lt;=EYear_O, BO$3&gt;0), BO$3 * VLOOKUP($A82, Data_All!$A$8:$CA$153, MATCH(BO$2, Data_All!$B$2:$CA$2, 0)+1), "")</f>
        <v/>
      </c>
      <c r="BP82" s="206" t="str">
        <f>IF(AND($A82&gt;=SYear_O, $A82&lt;=EYear_O, BP$3&gt;0), BP$3 * VLOOKUP($A82, Data_All!$A$8:$CA$153, MATCH(BP$2, Data_All!$B$2:$CA$2, 0)+1), "")</f>
        <v/>
      </c>
      <c r="BQ82" s="206" t="str">
        <f>IF(AND($A82&gt;=SYear_O, $A82&lt;=EYear_O, BQ$3&gt;0), BQ$3 * VLOOKUP($A82, Data_All!$A$8:$CA$153, MATCH(BQ$2, Data_All!$B$2:$CA$2, 0)+1), "")</f>
        <v/>
      </c>
      <c r="BR82" s="206" t="str">
        <f>IF(AND($A82&gt;=SYear_O, $A82&lt;=EYear_O, BR$3&gt;0), BR$3 * VLOOKUP($A82, Data_All!$A$8:$CA$153, MATCH(BR$2, Data_All!$B$2:$CA$2, 0)+1), "")</f>
        <v/>
      </c>
      <c r="BS82" s="206" t="str">
        <f>IF(AND($A82&gt;=SYear_O, $A82&lt;=EYear_O, BS$3&gt;0), BS$3 * VLOOKUP($A82, Data_All!$A$8:$CA$153, MATCH(BS$2, Data_All!$B$2:$CA$2, 0)+1), "")</f>
        <v/>
      </c>
      <c r="BT82" s="206" t="str">
        <f>IF(AND($A82&gt;=SYear_O, $A82&lt;=EYear_O, BT$3&gt;0), BT$3 * VLOOKUP($A82, Data_All!$A$8:$CA$153, MATCH(BT$2, Data_All!$B$2:$CA$2, 0)+1), "")</f>
        <v/>
      </c>
      <c r="BU82" s="206" t="str">
        <f>IF(AND($A82&gt;=SYear_O, $A82&lt;=EYear_O, BU$3&gt;0), BU$3 * VLOOKUP($A82, Data_All!$A$8:$CA$153, MATCH(BU$2, Data_All!$B$2:$CA$2, 0)+1), "")</f>
        <v/>
      </c>
      <c r="BV82" s="206" t="str">
        <f>IF(AND($A82&gt;=SYear_O, $A82&lt;=EYear_O, BV$3&gt;0), BV$3 * VLOOKUP($A82, Data_All!$A$8:$CA$153, MATCH(BV$2, Data_All!$B$2:$CA$2, 0)+1), "")</f>
        <v/>
      </c>
      <c r="BW82" s="206" t="str">
        <f>IF(AND($A82&gt;=SYear_O, $A82&lt;=EYear_O, BW$3&gt;0), BW$3 * VLOOKUP($A82, Data_All!$A$8:$CA$153, MATCH(BW$2, Data_All!$B$2:$CA$2, 0)+1), "")</f>
        <v/>
      </c>
      <c r="BX82" s="206">
        <f>IF(AND($A82&gt;=SYear_O, $A82&lt;=EYear_O, BX$3&gt;0), BX$3 * VLOOKUP($A82, Data_All!$A$8:$CA$153, MATCH(BX$2, Data_All!$B$2:$CA$2, 0)+1), "")</f>
        <v>-6.9922308546059879</v>
      </c>
      <c r="BY82" s="206">
        <f>IF(AND($A82&gt;=SYear_O, $A82&lt;=EYear_O, BY$3&gt;0), BY$3 * VLOOKUP($A82, Data_All!$A$8:$CA$153, MATCH(BY$2, Data_All!$B$2:$CA$2, 0)+1), "")</f>
        <v>0.67446282881806319</v>
      </c>
      <c r="BZ82" s="206" t="str">
        <f>IF(AND($A82&gt;=SYear_O, $A82&lt;=EYear_O, BZ$3&gt;0), BZ$3 * VLOOKUP($A82, Data_All!$A$8:$CA$153, MATCH(BZ$2, Data_All!$B$2:$CA$2, 0)+1), "")</f>
        <v/>
      </c>
      <c r="CA82" s="565">
        <f t="shared" si="35"/>
        <v>-6.3177680257879247</v>
      </c>
      <c r="CB82" s="427">
        <f t="shared" si="36"/>
        <v>944812.61641396745</v>
      </c>
      <c r="CC82" s="565">
        <f>IF(AND($A82&gt;=SYear_O,$A82&lt;=EYear_O),(CA82-Data_All!CA83)/(1+Data_All!CA83%),"")</f>
        <v>-20.696901305550711</v>
      </c>
      <c r="CD82" s="436">
        <f t="shared" si="37"/>
        <v>547730.32951410697</v>
      </c>
      <c r="CE82" s="438">
        <f t="shared" si="38"/>
        <v>85.693785085894689</v>
      </c>
      <c r="CF82" s="438">
        <f>IF(AND($A82&gt;=SYear_O,$A82&lt;=EYear_O),MAX($CE$7:CE82),"")</f>
        <v>91.472826041851391</v>
      </c>
      <c r="CG82" s="209">
        <f t="shared" si="39"/>
        <v>6.3177680257879287E-2</v>
      </c>
      <c r="CI82" s="143">
        <f>IF(AND($A82&gt;=SYear_O,$A82&lt;=EYear_O),Data_All!V83,"")</f>
        <v>0.66939754221200931</v>
      </c>
      <c r="CJ82" s="143">
        <f>IF(AND($A82&gt;=SYear_O,$A82&lt;=EYear_O),Data_All!CA83,"")</f>
        <v>18.131868131868135</v>
      </c>
      <c r="CK82" s="143">
        <f t="shared" si="40"/>
        <v>-14.782184406127509</v>
      </c>
      <c r="CN82" s="61">
        <f t="shared" si="41"/>
        <v>-6.3177680257879287E-2</v>
      </c>
      <c r="CO82" s="61">
        <f t="shared" si="42"/>
        <v>8.0485809779069495E-3</v>
      </c>
      <c r="CP82" s="61">
        <f t="shared" si="43"/>
        <v>6.6372882363133545E-2</v>
      </c>
      <c r="CQ82" s="61">
        <f t="shared" si="44"/>
        <v>0.10288473412461752</v>
      </c>
      <c r="CR82" s="61">
        <f t="shared" si="45"/>
        <v>9.3395608228713511E-2</v>
      </c>
      <c r="CU82" s="61">
        <f t="shared" si="46"/>
        <v>-0.20696901305550708</v>
      </c>
      <c r="CV82" s="61">
        <f t="shared" si="47"/>
        <v>-8.0747446980501181E-2</v>
      </c>
      <c r="CW82" s="61">
        <f t="shared" si="48"/>
        <v>-2.3995719844663865E-3</v>
      </c>
      <c r="CX82" s="61">
        <f t="shared" si="49"/>
        <v>6.1020523844911079E-2</v>
      </c>
      <c r="CY82" s="61">
        <f t="shared" si="50"/>
        <v>5.8037352418600863E-2</v>
      </c>
    </row>
    <row r="83" spans="1:103">
      <c r="A83" s="204">
        <f t="shared" si="51"/>
        <v>1947</v>
      </c>
      <c r="B83" s="206" t="str">
        <f>IF(AND($A83&gt;=SYear_O, $A83&lt;=EYear_O, B$3&gt;0), B$3 * VLOOKUP($A83, Data_All!$A$8:$CA$153, MATCH(B$2, Data_All!$B$2:$CA$2, 0)+1), "")</f>
        <v/>
      </c>
      <c r="C83" s="206" t="str">
        <f>IF(AND($A83&gt;=SYear_O, $A83&lt;=EYear_O, C$3&gt;0), C$3 * VLOOKUP($A83, Data_All!$A$8:$CA$153, MATCH(C$2, Data_All!$B$2:$CA$2, 0)+1), "")</f>
        <v/>
      </c>
      <c r="D83" s="206" t="str">
        <f>IF(AND($A83&gt;=SYear_O, $A83&lt;=EYear_O, D$3&gt;0), D$3 * VLOOKUP($A83, Data_All!$A$8:$CA$153, MATCH(D$2, Data_All!$B$2:$CA$2, 0)+1), "")</f>
        <v/>
      </c>
      <c r="E83" s="206" t="str">
        <f>IF(AND($A83&gt;=SYear_O, $A83&lt;=EYear_O, E$3&gt;0), E$3 * VLOOKUP($A83, Data_All!$A$8:$CA$153, MATCH(E$2, Data_All!$B$2:$CA$2, 0)+1), "")</f>
        <v/>
      </c>
      <c r="F83" s="206" t="str">
        <f>IF(AND($A83&gt;=SYear_O, $A83&lt;=EYear_O, F$3&gt;0), F$3 * VLOOKUP($A83, Data_All!$A$8:$CA$153, MATCH(F$2, Data_All!$B$2:$CA$2, 0)+1), "")</f>
        <v/>
      </c>
      <c r="G83" s="206" t="str">
        <f>IF(AND($A83&gt;=SYear_O, $A83&lt;=EYear_O, G$3&gt;0), G$3 * VLOOKUP($A83, Data_All!$A$8:$CA$153, MATCH(G$2, Data_All!$B$2:$CA$2, 0)+1), "")</f>
        <v/>
      </c>
      <c r="H83" s="206" t="str">
        <f>IF(AND($A83&gt;=SYear_O, $A83&lt;=EYear_O, H$3&gt;0), H$3 * VLOOKUP($A83, Data_All!$A$8:$CA$153, MATCH(H$2, Data_All!$B$2:$CA$2, 0)+1), "")</f>
        <v/>
      </c>
      <c r="I83" s="206" t="str">
        <f>IF(AND($A83&gt;=SYear_O, $A83&lt;=EYear_O, I$3&gt;0), I$3 * VLOOKUP($A83, Data_All!$A$8:$CA$153, MATCH(I$2, Data_All!$B$2:$CA$2, 0)+1), "")</f>
        <v/>
      </c>
      <c r="J83" s="206" t="str">
        <f>IF(AND($A83&gt;=SYear_O, $A83&lt;=EYear_O, J$3&gt;0), J$3 * VLOOKUP($A83, Data_All!$A$8:$CA$153, MATCH(J$2, Data_All!$B$2:$CA$2, 0)+1), "")</f>
        <v/>
      </c>
      <c r="K83" s="206" t="str">
        <f>IF(AND($A83&gt;=SYear_O, $A83&lt;=EYear_O, K$3&gt;0), K$3 * VLOOKUP($A83, Data_All!$A$8:$CA$153, MATCH(K$2, Data_All!$B$2:$CA$2, 0)+1), "")</f>
        <v/>
      </c>
      <c r="L83" s="206" t="str">
        <f>IF(AND($A83&gt;=SYear_O, $A83&lt;=EYear_O, L$3&gt;0), L$3 * VLOOKUP($A83, Data_All!$A$8:$CA$153, MATCH(L$2, Data_All!$B$2:$CA$2, 0)+1), "")</f>
        <v/>
      </c>
      <c r="M83" s="206" t="str">
        <f>IF(AND($A83&gt;=SYear_O, $A83&lt;=EYear_O, M$3&gt;0), M$3 * VLOOKUP($A83, Data_All!$A$8:$CA$153, MATCH(M$2, Data_All!$B$2:$CA$2, 0)+1), "")</f>
        <v/>
      </c>
      <c r="N83" s="206" t="str">
        <f>IF(AND($A83&gt;=SYear_O, $A83&lt;=EYear_O, N$3&gt;0), N$3 * VLOOKUP($A83, Data_All!$A$8:$CA$153, MATCH(N$2, Data_All!$B$2:$CA$2, 0)+1), "")</f>
        <v/>
      </c>
      <c r="O83" s="206" t="str">
        <f>IF(AND($A83&gt;=SYear_O, $A83&lt;=EYear_O, O$3&gt;0), O$3 * VLOOKUP($A83, Data_All!$A$8:$CA$153, MATCH(O$2, Data_All!$B$2:$CA$2, 0)+1), "")</f>
        <v/>
      </c>
      <c r="P83" s="206" t="str">
        <f>IF(AND($A83&gt;=SYear_O, $A83&lt;=EYear_O, P$3&gt;0), P$3 * VLOOKUP($A83, Data_All!$A$8:$CA$153, MATCH(P$2, Data_All!$B$2:$CA$2, 0)+1), "")</f>
        <v/>
      </c>
      <c r="Q83" s="206" t="str">
        <f>IF(AND($A83&gt;=SYear_O, $A83&lt;=EYear_O, Q$3&gt;0), Q$3 * VLOOKUP($A83, Data_All!$A$8:$CA$153, MATCH(Q$2, Data_All!$B$2:$CA$2, 0)+1), "")</f>
        <v/>
      </c>
      <c r="R83" s="206" t="str">
        <f>IF(AND($A83&gt;=SYear_O, $A83&lt;=EYear_O, R$3&gt;0), R$3 * VLOOKUP($A83, Data_All!$A$8:$CA$153, MATCH(R$2, Data_All!$B$2:$CA$2, 0)+1), "")</f>
        <v/>
      </c>
      <c r="S83" s="206" t="str">
        <f>IF(AND($A83&gt;=SYear_O, $A83&lt;=EYear_O, S$3&gt;0), S$3 * VLOOKUP($A83, Data_All!$A$8:$CA$153, MATCH(S$2, Data_All!$B$2:$CA$2, 0)+1), "")</f>
        <v/>
      </c>
      <c r="T83" s="206" t="str">
        <f>IF(AND($A83&gt;=SYear_O, $A83&lt;=EYear_O, T$3&gt;0), T$3 * VLOOKUP($A83, Data_All!$A$8:$CA$153, MATCH(T$2, Data_All!$B$2:$CA$2, 0)+1), "")</f>
        <v/>
      </c>
      <c r="U83" s="206" t="str">
        <f>IF(AND($A83&gt;=SYear_O, $A83&lt;=EYear_O, U$3&gt;0), U$3 * VLOOKUP($A83, Data_All!$A$8:$CA$153, MATCH(U$2, Data_All!$B$2:$CA$2, 0)+1), "")</f>
        <v/>
      </c>
      <c r="V83" s="206" t="str">
        <f>IF(AND($A83&gt;=SYear_O, $A83&lt;=EYear_O, V$3&gt;0), V$3 * VLOOKUP($A83, Data_All!$A$8:$CA$153, MATCH(V$2, Data_All!$B$2:$CA$2, 0)+1), "")</f>
        <v/>
      </c>
      <c r="W83" s="206" t="str">
        <f>IF(AND($A83&gt;=SYear_O, $A83&lt;=EYear_O, W$3&gt;0), W$3 * VLOOKUP($A83, Data_All!$A$8:$CA$153, MATCH(W$2, Data_All!$B$2:$CA$2, 0)+1), "")</f>
        <v/>
      </c>
      <c r="X83" s="206" t="str">
        <f>IF(AND($A83&gt;=SYear_O, $A83&lt;=EYear_O, X$3&gt;0), X$3 * VLOOKUP($A83, Data_All!$A$8:$CA$153, MATCH(X$2, Data_All!$B$2:$CA$2, 0)+1), "")</f>
        <v/>
      </c>
      <c r="Y83" s="206" t="str">
        <f>IF(AND($A83&gt;=SYear_O, $A83&lt;=EYear_O, Y$3&gt;0), Y$3 * VLOOKUP($A83, Data_All!$A$8:$CA$153, MATCH(Y$2, Data_All!$B$2:$CA$2, 0)+1), "")</f>
        <v/>
      </c>
      <c r="Z83" s="206" t="str">
        <f>IF(AND($A83&gt;=SYear_O, $A83&lt;=EYear_O, Z$3&gt;0), Z$3 * VLOOKUP($A83, Data_All!$A$8:$CA$153, MATCH(Z$2, Data_All!$B$2:$CA$2, 0)+1), "")</f>
        <v/>
      </c>
      <c r="AA83" s="206" t="str">
        <f>IF(AND($A83&gt;=SYear_O, $A83&lt;=EYear_O, AA$3&gt;0), AA$3 * VLOOKUP($A83, Data_All!$A$8:$CA$153, MATCH(AA$2, Data_All!$B$2:$CA$2, 0)+1), "")</f>
        <v/>
      </c>
      <c r="AB83" s="206" t="str">
        <f>IF(AND($A83&gt;=SYear_O, $A83&lt;=EYear_O, AB$3&gt;0), AB$3 * VLOOKUP($A83, Data_All!$A$8:$CA$153, MATCH(AB$2, Data_All!$B$2:$CA$2, 0)+1), "")</f>
        <v/>
      </c>
      <c r="AC83" s="206" t="str">
        <f>IF(AND($A83&gt;=SYear_O, $A83&lt;=EYear_O, AC$3&gt;0), AC$3 * VLOOKUP($A83, Data_All!$A$8:$CA$153, MATCH(AC$2, Data_All!$B$2:$CA$2, 0)+1), "")</f>
        <v/>
      </c>
      <c r="AD83" s="206" t="str">
        <f>IF(AND($A83&gt;=SYear_O, $A83&lt;=EYear_O, AD$3&gt;0), AD$3 * VLOOKUP($A83, Data_All!$A$8:$CA$153, MATCH(AD$2, Data_All!$B$2:$CA$2, 0)+1), "")</f>
        <v/>
      </c>
      <c r="AE83" s="206" t="str">
        <f>IF(AND($A83&gt;=SYear_O, $A83&lt;=EYear_O, AE$3&gt;0), AE$3 * VLOOKUP($A83, Data_All!$A$8:$CA$153, MATCH(AE$2, Data_All!$B$2:$CA$2, 0)+1), "")</f>
        <v/>
      </c>
      <c r="AF83" s="206" t="str">
        <f>IF(AND($A83&gt;=SYear_O, $A83&lt;=EYear_O, AF$3&gt;0), AF$3 * VLOOKUP($A83, Data_All!$A$8:$CA$153, MATCH(AF$2, Data_All!$B$2:$CA$2, 0)+1), "")</f>
        <v/>
      </c>
      <c r="AG83" s="206" t="str">
        <f>IF(AND($A83&gt;=SYear_O, $A83&lt;=EYear_O, AG$3&gt;0), AG$3 * VLOOKUP($A83, Data_All!$A$8:$CA$153, MATCH(AG$2, Data_All!$B$2:$CA$2, 0)+1), "")</f>
        <v/>
      </c>
      <c r="AH83" s="206" t="str">
        <f>IF(AND($A83&gt;=SYear_O, $A83&lt;=EYear_O, AH$3&gt;0), AH$3 * VLOOKUP($A83, Data_All!$A$8:$CA$153, MATCH(AH$2, Data_All!$B$2:$CA$2, 0)+1), "")</f>
        <v/>
      </c>
      <c r="AI83" s="206" t="str">
        <f>IF(AND($A83&gt;=SYear_O, $A83&lt;=EYear_O, AI$3&gt;0), AI$3 * VLOOKUP($A83, Data_All!$A$8:$CA$153, MATCH(AI$2, Data_All!$B$2:$CA$2, 0)+1), "")</f>
        <v/>
      </c>
      <c r="AJ83" s="206" t="str">
        <f>IF(AND($A83&gt;=SYear_O, $A83&lt;=EYear_O, AJ$3&gt;0), AJ$3 * VLOOKUP($A83, Data_All!$A$8:$CA$153, MATCH(AJ$2, Data_All!$B$2:$CA$2, 0)+1), "")</f>
        <v/>
      </c>
      <c r="AK83" s="206" t="str">
        <f>IF(AND($A83&gt;=SYear_O, $A83&lt;=EYear_O, AK$3&gt;0), AK$3 * VLOOKUP($A83, Data_All!$A$8:$CA$153, MATCH(AK$2, Data_All!$B$2:$CA$2, 0)+1), "")</f>
        <v/>
      </c>
      <c r="AL83" s="206" t="str">
        <f>IF(AND($A83&gt;=SYear_O, $A83&lt;=EYear_O, AL$3&gt;0), AL$3 * VLOOKUP($A83, Data_All!$A$8:$CA$153, MATCH(AL$2, Data_All!$B$2:$CA$2, 0)+1), "")</f>
        <v/>
      </c>
      <c r="AM83" s="206" t="str">
        <f>IF(AND($A83&gt;=SYear_O, $A83&lt;=EYear_O, AM$3&gt;0), AM$3 * VLOOKUP($A83, Data_All!$A$8:$CA$153, MATCH(AM$2, Data_All!$B$2:$CA$2, 0)+1), "")</f>
        <v/>
      </c>
      <c r="AN83" s="206" t="str">
        <f>IF(AND($A83&gt;=SYear_O, $A83&lt;=EYear_O, AN$3&gt;0), AN$3 * VLOOKUP($A83, Data_All!$A$8:$CA$153, MATCH(AN$2, Data_All!$B$2:$CA$2, 0)+1), "")</f>
        <v/>
      </c>
      <c r="AO83" s="206" t="str">
        <f>IF(AND($A83&gt;=SYear_O, $A83&lt;=EYear_O, AO$3&gt;0), AO$3 * VLOOKUP($A83, Data_All!$A$8:$CA$153, MATCH(AO$2, Data_All!$B$2:$CA$2, 0)+1), "")</f>
        <v/>
      </c>
      <c r="AP83" s="206" t="str">
        <f>IF(AND($A83&gt;=SYear_O, $A83&lt;=EYear_O, AP$3&gt;0), AP$3 * VLOOKUP($A83, Data_All!$A$8:$CA$153, MATCH(AP$2, Data_All!$B$2:$CA$2, 0)+1), "")</f>
        <v/>
      </c>
      <c r="AQ83" s="206" t="str">
        <f>IF(AND($A83&gt;=SYear_O, $A83&lt;=EYear_O, AQ$3&gt;0), AQ$3 * VLOOKUP($A83, Data_All!$A$8:$CA$153, MATCH(AQ$2, Data_All!$B$2:$CA$2, 0)+1), "")</f>
        <v/>
      </c>
      <c r="AR83" s="206" t="str">
        <f>IF(AND($A83&gt;=SYear_O, $A83&lt;=EYear_O, AR$3&gt;0), AR$3 * VLOOKUP($A83, Data_All!$A$8:$CA$153, MATCH(AR$2, Data_All!$B$2:$CA$2, 0)+1), "")</f>
        <v/>
      </c>
      <c r="AS83" s="206" t="str">
        <f>IF(AND($A83&gt;=SYear_O, $A83&lt;=EYear_O, AS$3&gt;0), AS$3 * VLOOKUP($A83, Data_All!$A$8:$CA$153, MATCH(AS$2, Data_All!$B$2:$CA$2, 0)+1), "")</f>
        <v/>
      </c>
      <c r="AT83" s="206" t="str">
        <f>IF(AND($A83&gt;=SYear_O, $A83&lt;=EYear_O, AT$3&gt;0), AT$3 * VLOOKUP($A83, Data_All!$A$8:$CA$153, MATCH(AT$2, Data_All!$B$2:$CA$2, 0)+1), "")</f>
        <v/>
      </c>
      <c r="AU83" s="206" t="str">
        <f>IF(AND($A83&gt;=SYear_O, $A83&lt;=EYear_O, AU$3&gt;0), AU$3 * VLOOKUP($A83, Data_All!$A$8:$CA$153, MATCH(AU$2, Data_All!$B$2:$CA$2, 0)+1), "")</f>
        <v/>
      </c>
      <c r="AV83" s="206" t="str">
        <f>IF(AND($A83&gt;=SYear_O, $A83&lt;=EYear_O, AV$3&gt;0), AV$3 * VLOOKUP($A83, Data_All!$A$8:$CA$153, MATCH(AV$2, Data_All!$B$2:$CA$2, 0)+1), "")</f>
        <v/>
      </c>
      <c r="AW83" s="206" t="str">
        <f>IF(AND($A83&gt;=SYear_O, $A83&lt;=EYear_O, AW$3&gt;0), AW$3 * VLOOKUP($A83, Data_All!$A$8:$CA$153, MATCH(AW$2, Data_All!$B$2:$CA$2, 0)+1), "")</f>
        <v/>
      </c>
      <c r="AX83" s="206" t="str">
        <f>IF(AND($A83&gt;=SYear_O, $A83&lt;=EYear_O, AX$3&gt;0), AX$3 * VLOOKUP($A83, Data_All!$A$8:$CA$153, MATCH(AX$2, Data_All!$B$2:$CA$2, 0)+1), "")</f>
        <v/>
      </c>
      <c r="AY83" s="206" t="str">
        <f>IF(AND($A83&gt;=SYear_O, $A83&lt;=EYear_O, AY$3&gt;0), AY$3 * VLOOKUP($A83, Data_All!$A$8:$CA$153, MATCH(AY$2, Data_All!$B$2:$CA$2, 0)+1), "")</f>
        <v/>
      </c>
      <c r="AZ83" s="206" t="str">
        <f>IF(AND($A83&gt;=SYear_O, $A83&lt;=EYear_O, AZ$3&gt;0), AZ$3 * VLOOKUP($A83, Data_All!$A$8:$CA$153, MATCH(AZ$2, Data_All!$B$2:$CA$2, 0)+1), "")</f>
        <v/>
      </c>
      <c r="BA83" s="206" t="str">
        <f>IF(AND($A83&gt;=SYear_O, $A83&lt;=EYear_O, BA$3&gt;0), BA$3 * VLOOKUP($A83, Data_All!$A$8:$CA$153, MATCH(BA$2, Data_All!$B$2:$CA$2, 0)+1), "")</f>
        <v/>
      </c>
      <c r="BB83" s="206" t="str">
        <f>IF(AND($A83&gt;=SYear_O, $A83&lt;=EYear_O, BB$3&gt;0), BB$3 * VLOOKUP($A83, Data_All!$A$8:$CA$153, MATCH(BB$2, Data_All!$B$2:$CA$2, 0)+1), "")</f>
        <v/>
      </c>
      <c r="BC83" s="206" t="str">
        <f>IF(AND($A83&gt;=SYear_O, $A83&lt;=EYear_O, BC$3&gt;0), BC$3 * VLOOKUP($A83, Data_All!$A$8:$CA$153, MATCH(BC$2, Data_All!$B$2:$CA$2, 0)+1), "")</f>
        <v/>
      </c>
      <c r="BD83" s="206" t="str">
        <f>IF(AND($A83&gt;=SYear_O, $A83&lt;=EYear_O, BD$3&gt;0), BD$3 * VLOOKUP($A83, Data_All!$A$8:$CA$153, MATCH(BD$2, Data_All!$B$2:$CA$2, 0)+1), "")</f>
        <v/>
      </c>
      <c r="BE83" s="206" t="str">
        <f>IF(AND($A83&gt;=SYear_O, $A83&lt;=EYear_O, BE$3&gt;0), BE$3 * VLOOKUP($A83, Data_All!$A$8:$CA$153, MATCH(BE$2, Data_All!$B$2:$CA$2, 0)+1), "")</f>
        <v/>
      </c>
      <c r="BF83" s="206" t="str">
        <f>IF(AND($A83&gt;=SYear_O, $A83&lt;=EYear_O, BF$3&gt;0), BF$3 * VLOOKUP($A83, Data_All!$A$8:$CA$153, MATCH(BF$2, Data_All!$B$2:$CA$2, 0)+1), "")</f>
        <v/>
      </c>
      <c r="BG83" s="206" t="str">
        <f>IF(AND($A83&gt;=SYear_O, $A83&lt;=EYear_O, BG$3&gt;0), BG$3 * VLOOKUP($A83, Data_All!$A$8:$CA$153, MATCH(BG$2, Data_All!$B$2:$CA$2, 0)+1), "")</f>
        <v/>
      </c>
      <c r="BH83" s="206" t="str">
        <f>IF(AND($A83&gt;=SYear_O, $A83&lt;=EYear_O, BH$3&gt;0), BH$3 * VLOOKUP($A83, Data_All!$A$8:$CA$153, MATCH(BH$2, Data_All!$B$2:$CA$2, 0)+1), "")</f>
        <v/>
      </c>
      <c r="BI83" s="206" t="str">
        <f>IF(AND($A83&gt;=SYear_O, $A83&lt;=EYear_O, BI$3&gt;0), BI$3 * VLOOKUP($A83, Data_All!$A$8:$CA$153, MATCH(BI$2, Data_All!$B$2:$CA$2, 0)+1), "")</f>
        <v/>
      </c>
      <c r="BJ83" s="206" t="str">
        <f>IF(AND($A83&gt;=SYear_O, $A83&lt;=EYear_O, BJ$3&gt;0), BJ$3 * VLOOKUP($A83, Data_All!$A$8:$CA$153, MATCH(BJ$2, Data_All!$B$2:$CA$2, 0)+1), "")</f>
        <v/>
      </c>
      <c r="BK83" s="206" t="str">
        <f>IF(AND($A83&gt;=SYear_O, $A83&lt;=EYear_O, BK$3&gt;0), BK$3 * VLOOKUP($A83, Data_All!$A$8:$CA$153, MATCH(BK$2, Data_All!$B$2:$CA$2, 0)+1), "")</f>
        <v/>
      </c>
      <c r="BL83" s="206" t="str">
        <f>IF(AND($A83&gt;=SYear_O, $A83&lt;=EYear_O, BL$3&gt;0), BL$3 * VLOOKUP($A83, Data_All!$A$8:$CA$153, MATCH(BL$2, Data_All!$B$2:$CA$2, 0)+1), "")</f>
        <v/>
      </c>
      <c r="BM83" s="206" t="str">
        <f>IF(AND($A83&gt;=SYear_O, $A83&lt;=EYear_O, BM$3&gt;0), BM$3 * VLOOKUP($A83, Data_All!$A$8:$CA$153, MATCH(BM$2, Data_All!$B$2:$CA$2, 0)+1), "")</f>
        <v/>
      </c>
      <c r="BN83" s="206" t="str">
        <f>IF(AND($A83&gt;=SYear_O, $A83&lt;=EYear_O, BN$3&gt;0), BN$3 * VLOOKUP($A83, Data_All!$A$8:$CA$153, MATCH(BN$2, Data_All!$B$2:$CA$2, 0)+1), "")</f>
        <v/>
      </c>
      <c r="BO83" s="206" t="str">
        <f>IF(AND($A83&gt;=SYear_O, $A83&lt;=EYear_O, BO$3&gt;0), BO$3 * VLOOKUP($A83, Data_All!$A$8:$CA$153, MATCH(BO$2, Data_All!$B$2:$CA$2, 0)+1), "")</f>
        <v/>
      </c>
      <c r="BP83" s="206" t="str">
        <f>IF(AND($A83&gt;=SYear_O, $A83&lt;=EYear_O, BP$3&gt;0), BP$3 * VLOOKUP($A83, Data_All!$A$8:$CA$153, MATCH(BP$2, Data_All!$B$2:$CA$2, 0)+1), "")</f>
        <v/>
      </c>
      <c r="BQ83" s="206" t="str">
        <f>IF(AND($A83&gt;=SYear_O, $A83&lt;=EYear_O, BQ$3&gt;0), BQ$3 * VLOOKUP($A83, Data_All!$A$8:$CA$153, MATCH(BQ$2, Data_All!$B$2:$CA$2, 0)+1), "")</f>
        <v/>
      </c>
      <c r="BR83" s="206" t="str">
        <f>IF(AND($A83&gt;=SYear_O, $A83&lt;=EYear_O, BR$3&gt;0), BR$3 * VLOOKUP($A83, Data_All!$A$8:$CA$153, MATCH(BR$2, Data_All!$B$2:$CA$2, 0)+1), "")</f>
        <v/>
      </c>
      <c r="BS83" s="206" t="str">
        <f>IF(AND($A83&gt;=SYear_O, $A83&lt;=EYear_O, BS$3&gt;0), BS$3 * VLOOKUP($A83, Data_All!$A$8:$CA$153, MATCH(BS$2, Data_All!$B$2:$CA$2, 0)+1), "")</f>
        <v/>
      </c>
      <c r="BT83" s="206" t="str">
        <f>IF(AND($A83&gt;=SYear_O, $A83&lt;=EYear_O, BT$3&gt;0), BT$3 * VLOOKUP($A83, Data_All!$A$8:$CA$153, MATCH(BT$2, Data_All!$B$2:$CA$2, 0)+1), "")</f>
        <v/>
      </c>
      <c r="BU83" s="206" t="str">
        <f>IF(AND($A83&gt;=SYear_O, $A83&lt;=EYear_O, BU$3&gt;0), BU$3 * VLOOKUP($A83, Data_All!$A$8:$CA$153, MATCH(BU$2, Data_All!$B$2:$CA$2, 0)+1), "")</f>
        <v/>
      </c>
      <c r="BV83" s="206" t="str">
        <f>IF(AND($A83&gt;=SYear_O, $A83&lt;=EYear_O, BV$3&gt;0), BV$3 * VLOOKUP($A83, Data_All!$A$8:$CA$153, MATCH(BV$2, Data_All!$B$2:$CA$2, 0)+1), "")</f>
        <v/>
      </c>
      <c r="BW83" s="206" t="str">
        <f>IF(AND($A83&gt;=SYear_O, $A83&lt;=EYear_O, BW$3&gt;0), BW$3 * VLOOKUP($A83, Data_All!$A$8:$CA$153, MATCH(BW$2, Data_All!$B$2:$CA$2, 0)+1), "")</f>
        <v/>
      </c>
      <c r="BX83" s="206">
        <f>IF(AND($A83&gt;=SYear_O, $A83&lt;=EYear_O, BX$3&gt;0), BX$3 * VLOOKUP($A83, Data_All!$A$8:$CA$153, MATCH(BX$2, Data_All!$B$2:$CA$2, 0)+1), "")</f>
        <v>1.8145956607494984</v>
      </c>
      <c r="BY83" s="206">
        <f>IF(AND($A83&gt;=SYear_O, $A83&lt;=EYear_O, BY$3&gt;0), BY$3 * VLOOKUP($A83, Data_All!$A$8:$CA$153, MATCH(BY$2, Data_All!$B$2:$CA$2, 0)+1), "")</f>
        <v>0.47427412404794644</v>
      </c>
      <c r="BZ83" s="206" t="str">
        <f>IF(AND($A83&gt;=SYear_O, $A83&lt;=EYear_O, BZ$3&gt;0), BZ$3 * VLOOKUP($A83, Data_All!$A$8:$CA$153, MATCH(BZ$2, Data_All!$B$2:$CA$2, 0)+1), "")</f>
        <v/>
      </c>
      <c r="CA83" s="565">
        <f t="shared" si="35"/>
        <v>2.2888697847974449</v>
      </c>
      <c r="CB83" s="427">
        <f t="shared" si="36"/>
        <v>966438.146914021</v>
      </c>
      <c r="CC83" s="565">
        <f>IF(AND($A83&gt;=SYear_O,$A83&lt;=EYear_O),(CA83-Data_All!CA84)/(1+Data_All!CA84%),"")</f>
        <v>-7.2062995623145474</v>
      </c>
      <c r="CD83" s="436">
        <f t="shared" si="37"/>
        <v>508259.24117566785</v>
      </c>
      <c r="CE83" s="438">
        <f t="shared" si="38"/>
        <v>87.655204240174996</v>
      </c>
      <c r="CF83" s="438">
        <f>IF(AND($A83&gt;=SYear_O,$A83&lt;=EYear_O),MAX($CE$7:CE83),"")</f>
        <v>91.472826041851391</v>
      </c>
      <c r="CG83" s="209">
        <f t="shared" si="39"/>
        <v>4.1735037244063355E-2</v>
      </c>
      <c r="CI83" s="143">
        <f>IF(AND($A83&gt;=SYear_O,$A83&lt;=EYear_O),Data_All!V84,"")</f>
        <v>0.91917274452992315</v>
      </c>
      <c r="CJ83" s="143">
        <f>IF(AND($A83&gt;=SYear_O,$A83&lt;=EYear_O),Data_All!CA84,"")</f>
        <v>10.232558139534875</v>
      </c>
      <c r="CK83" s="143">
        <f t="shared" si="40"/>
        <v>-8.4488517296458436</v>
      </c>
      <c r="CN83" s="61">
        <f t="shared" si="41"/>
        <v>2.2888697847974537E-2</v>
      </c>
      <c r="CO83" s="61">
        <f t="shared" si="42"/>
        <v>6.8385518344242557E-2</v>
      </c>
      <c r="CP83" s="61">
        <f t="shared" si="43"/>
        <v>0.10738309604341567</v>
      </c>
      <c r="CQ83" s="61">
        <f t="shared" si="44"/>
        <v>0.11462004825917749</v>
      </c>
      <c r="CR83" s="61">
        <f t="shared" si="45"/>
        <v>0.10681178693522364</v>
      </c>
      <c r="CU83" s="61">
        <f t="shared" si="46"/>
        <v>-7.2062995623145443E-2</v>
      </c>
      <c r="CV83" s="61">
        <f t="shared" si="47"/>
        <v>3.7173770526684358E-2</v>
      </c>
      <c r="CW83" s="61">
        <f t="shared" si="48"/>
        <v>6.2029076210253775E-2</v>
      </c>
      <c r="CX83" s="61">
        <f t="shared" si="49"/>
        <v>8.7125763443603121E-2</v>
      </c>
      <c r="CY83" s="61">
        <f t="shared" si="50"/>
        <v>8.2500874414465963E-2</v>
      </c>
    </row>
    <row r="84" spans="1:103">
      <c r="A84" s="204">
        <f t="shared" si="51"/>
        <v>1948</v>
      </c>
      <c r="B84" s="206" t="str">
        <f>IF(AND($A84&gt;=SYear_O, $A84&lt;=EYear_O, B$3&gt;0), B$3 * VLOOKUP($A84, Data_All!$A$8:$CA$153, MATCH(B$2, Data_All!$B$2:$CA$2, 0)+1), "")</f>
        <v/>
      </c>
      <c r="C84" s="206" t="str">
        <f>IF(AND($A84&gt;=SYear_O, $A84&lt;=EYear_O, C$3&gt;0), C$3 * VLOOKUP($A84, Data_All!$A$8:$CA$153, MATCH(C$2, Data_All!$B$2:$CA$2, 0)+1), "")</f>
        <v/>
      </c>
      <c r="D84" s="206" t="str">
        <f>IF(AND($A84&gt;=SYear_O, $A84&lt;=EYear_O, D$3&gt;0), D$3 * VLOOKUP($A84, Data_All!$A$8:$CA$153, MATCH(D$2, Data_All!$B$2:$CA$2, 0)+1), "")</f>
        <v/>
      </c>
      <c r="E84" s="206" t="str">
        <f>IF(AND($A84&gt;=SYear_O, $A84&lt;=EYear_O, E$3&gt;0), E$3 * VLOOKUP($A84, Data_All!$A$8:$CA$153, MATCH(E$2, Data_All!$B$2:$CA$2, 0)+1), "")</f>
        <v/>
      </c>
      <c r="F84" s="206" t="str">
        <f>IF(AND($A84&gt;=SYear_O, $A84&lt;=EYear_O, F$3&gt;0), F$3 * VLOOKUP($A84, Data_All!$A$8:$CA$153, MATCH(F$2, Data_All!$B$2:$CA$2, 0)+1), "")</f>
        <v/>
      </c>
      <c r="G84" s="206" t="str">
        <f>IF(AND($A84&gt;=SYear_O, $A84&lt;=EYear_O, G$3&gt;0), G$3 * VLOOKUP($A84, Data_All!$A$8:$CA$153, MATCH(G$2, Data_All!$B$2:$CA$2, 0)+1), "")</f>
        <v/>
      </c>
      <c r="H84" s="206" t="str">
        <f>IF(AND($A84&gt;=SYear_O, $A84&lt;=EYear_O, H$3&gt;0), H$3 * VLOOKUP($A84, Data_All!$A$8:$CA$153, MATCH(H$2, Data_All!$B$2:$CA$2, 0)+1), "")</f>
        <v/>
      </c>
      <c r="I84" s="206" t="str">
        <f>IF(AND($A84&gt;=SYear_O, $A84&lt;=EYear_O, I$3&gt;0), I$3 * VLOOKUP($A84, Data_All!$A$8:$CA$153, MATCH(I$2, Data_All!$B$2:$CA$2, 0)+1), "")</f>
        <v/>
      </c>
      <c r="J84" s="206" t="str">
        <f>IF(AND($A84&gt;=SYear_O, $A84&lt;=EYear_O, J$3&gt;0), J$3 * VLOOKUP($A84, Data_All!$A$8:$CA$153, MATCH(J$2, Data_All!$B$2:$CA$2, 0)+1), "")</f>
        <v/>
      </c>
      <c r="K84" s="206" t="str">
        <f>IF(AND($A84&gt;=SYear_O, $A84&lt;=EYear_O, K$3&gt;0), K$3 * VLOOKUP($A84, Data_All!$A$8:$CA$153, MATCH(K$2, Data_All!$B$2:$CA$2, 0)+1), "")</f>
        <v/>
      </c>
      <c r="L84" s="206" t="str">
        <f>IF(AND($A84&gt;=SYear_O, $A84&lt;=EYear_O, L$3&gt;0), L$3 * VLOOKUP($A84, Data_All!$A$8:$CA$153, MATCH(L$2, Data_All!$B$2:$CA$2, 0)+1), "")</f>
        <v/>
      </c>
      <c r="M84" s="206" t="str">
        <f>IF(AND($A84&gt;=SYear_O, $A84&lt;=EYear_O, M$3&gt;0), M$3 * VLOOKUP($A84, Data_All!$A$8:$CA$153, MATCH(M$2, Data_All!$B$2:$CA$2, 0)+1), "")</f>
        <v/>
      </c>
      <c r="N84" s="206" t="str">
        <f>IF(AND($A84&gt;=SYear_O, $A84&lt;=EYear_O, N$3&gt;0), N$3 * VLOOKUP($A84, Data_All!$A$8:$CA$153, MATCH(N$2, Data_All!$B$2:$CA$2, 0)+1), "")</f>
        <v/>
      </c>
      <c r="O84" s="206" t="str">
        <f>IF(AND($A84&gt;=SYear_O, $A84&lt;=EYear_O, O$3&gt;0), O$3 * VLOOKUP($A84, Data_All!$A$8:$CA$153, MATCH(O$2, Data_All!$B$2:$CA$2, 0)+1), "")</f>
        <v/>
      </c>
      <c r="P84" s="206" t="str">
        <f>IF(AND($A84&gt;=SYear_O, $A84&lt;=EYear_O, P$3&gt;0), P$3 * VLOOKUP($A84, Data_All!$A$8:$CA$153, MATCH(P$2, Data_All!$B$2:$CA$2, 0)+1), "")</f>
        <v/>
      </c>
      <c r="Q84" s="206" t="str">
        <f>IF(AND($A84&gt;=SYear_O, $A84&lt;=EYear_O, Q$3&gt;0), Q$3 * VLOOKUP($A84, Data_All!$A$8:$CA$153, MATCH(Q$2, Data_All!$B$2:$CA$2, 0)+1), "")</f>
        <v/>
      </c>
      <c r="R84" s="206" t="str">
        <f>IF(AND($A84&gt;=SYear_O, $A84&lt;=EYear_O, R$3&gt;0), R$3 * VLOOKUP($A84, Data_All!$A$8:$CA$153, MATCH(R$2, Data_All!$B$2:$CA$2, 0)+1), "")</f>
        <v/>
      </c>
      <c r="S84" s="206" t="str">
        <f>IF(AND($A84&gt;=SYear_O, $A84&lt;=EYear_O, S$3&gt;0), S$3 * VLOOKUP($A84, Data_All!$A$8:$CA$153, MATCH(S$2, Data_All!$B$2:$CA$2, 0)+1), "")</f>
        <v/>
      </c>
      <c r="T84" s="206" t="str">
        <f>IF(AND($A84&gt;=SYear_O, $A84&lt;=EYear_O, T$3&gt;0), T$3 * VLOOKUP($A84, Data_All!$A$8:$CA$153, MATCH(T$2, Data_All!$B$2:$CA$2, 0)+1), "")</f>
        <v/>
      </c>
      <c r="U84" s="206" t="str">
        <f>IF(AND($A84&gt;=SYear_O, $A84&lt;=EYear_O, U$3&gt;0), U$3 * VLOOKUP($A84, Data_All!$A$8:$CA$153, MATCH(U$2, Data_All!$B$2:$CA$2, 0)+1), "")</f>
        <v/>
      </c>
      <c r="V84" s="206" t="str">
        <f>IF(AND($A84&gt;=SYear_O, $A84&lt;=EYear_O, V$3&gt;0), V$3 * VLOOKUP($A84, Data_All!$A$8:$CA$153, MATCH(V$2, Data_All!$B$2:$CA$2, 0)+1), "")</f>
        <v/>
      </c>
      <c r="W84" s="206" t="str">
        <f>IF(AND($A84&gt;=SYear_O, $A84&lt;=EYear_O, W$3&gt;0), W$3 * VLOOKUP($A84, Data_All!$A$8:$CA$153, MATCH(W$2, Data_All!$B$2:$CA$2, 0)+1), "")</f>
        <v/>
      </c>
      <c r="X84" s="206" t="str">
        <f>IF(AND($A84&gt;=SYear_O, $A84&lt;=EYear_O, X$3&gt;0), X$3 * VLOOKUP($A84, Data_All!$A$8:$CA$153, MATCH(X$2, Data_All!$B$2:$CA$2, 0)+1), "")</f>
        <v/>
      </c>
      <c r="Y84" s="206" t="str">
        <f>IF(AND($A84&gt;=SYear_O, $A84&lt;=EYear_O, Y$3&gt;0), Y$3 * VLOOKUP($A84, Data_All!$A$8:$CA$153, MATCH(Y$2, Data_All!$B$2:$CA$2, 0)+1), "")</f>
        <v/>
      </c>
      <c r="Z84" s="206" t="str">
        <f>IF(AND($A84&gt;=SYear_O, $A84&lt;=EYear_O, Z$3&gt;0), Z$3 * VLOOKUP($A84, Data_All!$A$8:$CA$153, MATCH(Z$2, Data_All!$B$2:$CA$2, 0)+1), "")</f>
        <v/>
      </c>
      <c r="AA84" s="206" t="str">
        <f>IF(AND($A84&gt;=SYear_O, $A84&lt;=EYear_O, AA$3&gt;0), AA$3 * VLOOKUP($A84, Data_All!$A$8:$CA$153, MATCH(AA$2, Data_All!$B$2:$CA$2, 0)+1), "")</f>
        <v/>
      </c>
      <c r="AB84" s="206" t="str">
        <f>IF(AND($A84&gt;=SYear_O, $A84&lt;=EYear_O, AB$3&gt;0), AB$3 * VLOOKUP($A84, Data_All!$A$8:$CA$153, MATCH(AB$2, Data_All!$B$2:$CA$2, 0)+1), "")</f>
        <v/>
      </c>
      <c r="AC84" s="206" t="str">
        <f>IF(AND($A84&gt;=SYear_O, $A84&lt;=EYear_O, AC$3&gt;0), AC$3 * VLOOKUP($A84, Data_All!$A$8:$CA$153, MATCH(AC$2, Data_All!$B$2:$CA$2, 0)+1), "")</f>
        <v/>
      </c>
      <c r="AD84" s="206" t="str">
        <f>IF(AND($A84&gt;=SYear_O, $A84&lt;=EYear_O, AD$3&gt;0), AD$3 * VLOOKUP($A84, Data_All!$A$8:$CA$153, MATCH(AD$2, Data_All!$B$2:$CA$2, 0)+1), "")</f>
        <v/>
      </c>
      <c r="AE84" s="206" t="str">
        <f>IF(AND($A84&gt;=SYear_O, $A84&lt;=EYear_O, AE$3&gt;0), AE$3 * VLOOKUP($A84, Data_All!$A$8:$CA$153, MATCH(AE$2, Data_All!$B$2:$CA$2, 0)+1), "")</f>
        <v/>
      </c>
      <c r="AF84" s="206" t="str">
        <f>IF(AND($A84&gt;=SYear_O, $A84&lt;=EYear_O, AF$3&gt;0), AF$3 * VLOOKUP($A84, Data_All!$A$8:$CA$153, MATCH(AF$2, Data_All!$B$2:$CA$2, 0)+1), "")</f>
        <v/>
      </c>
      <c r="AG84" s="206" t="str">
        <f>IF(AND($A84&gt;=SYear_O, $A84&lt;=EYear_O, AG$3&gt;0), AG$3 * VLOOKUP($A84, Data_All!$A$8:$CA$153, MATCH(AG$2, Data_All!$B$2:$CA$2, 0)+1), "")</f>
        <v/>
      </c>
      <c r="AH84" s="206" t="str">
        <f>IF(AND($A84&gt;=SYear_O, $A84&lt;=EYear_O, AH$3&gt;0), AH$3 * VLOOKUP($A84, Data_All!$A$8:$CA$153, MATCH(AH$2, Data_All!$B$2:$CA$2, 0)+1), "")</f>
        <v/>
      </c>
      <c r="AI84" s="206" t="str">
        <f>IF(AND($A84&gt;=SYear_O, $A84&lt;=EYear_O, AI$3&gt;0), AI$3 * VLOOKUP($A84, Data_All!$A$8:$CA$153, MATCH(AI$2, Data_All!$B$2:$CA$2, 0)+1), "")</f>
        <v/>
      </c>
      <c r="AJ84" s="206" t="str">
        <f>IF(AND($A84&gt;=SYear_O, $A84&lt;=EYear_O, AJ$3&gt;0), AJ$3 * VLOOKUP($A84, Data_All!$A$8:$CA$153, MATCH(AJ$2, Data_All!$B$2:$CA$2, 0)+1), "")</f>
        <v/>
      </c>
      <c r="AK84" s="206" t="str">
        <f>IF(AND($A84&gt;=SYear_O, $A84&lt;=EYear_O, AK$3&gt;0), AK$3 * VLOOKUP($A84, Data_All!$A$8:$CA$153, MATCH(AK$2, Data_All!$B$2:$CA$2, 0)+1), "")</f>
        <v/>
      </c>
      <c r="AL84" s="206" t="str">
        <f>IF(AND($A84&gt;=SYear_O, $A84&lt;=EYear_O, AL$3&gt;0), AL$3 * VLOOKUP($A84, Data_All!$A$8:$CA$153, MATCH(AL$2, Data_All!$B$2:$CA$2, 0)+1), "")</f>
        <v/>
      </c>
      <c r="AM84" s="206" t="str">
        <f>IF(AND($A84&gt;=SYear_O, $A84&lt;=EYear_O, AM$3&gt;0), AM$3 * VLOOKUP($A84, Data_All!$A$8:$CA$153, MATCH(AM$2, Data_All!$B$2:$CA$2, 0)+1), "")</f>
        <v/>
      </c>
      <c r="AN84" s="206" t="str">
        <f>IF(AND($A84&gt;=SYear_O, $A84&lt;=EYear_O, AN$3&gt;0), AN$3 * VLOOKUP($A84, Data_All!$A$8:$CA$153, MATCH(AN$2, Data_All!$B$2:$CA$2, 0)+1), "")</f>
        <v/>
      </c>
      <c r="AO84" s="206" t="str">
        <f>IF(AND($A84&gt;=SYear_O, $A84&lt;=EYear_O, AO$3&gt;0), AO$3 * VLOOKUP($A84, Data_All!$A$8:$CA$153, MATCH(AO$2, Data_All!$B$2:$CA$2, 0)+1), "")</f>
        <v/>
      </c>
      <c r="AP84" s="206" t="str">
        <f>IF(AND($A84&gt;=SYear_O, $A84&lt;=EYear_O, AP$3&gt;0), AP$3 * VLOOKUP($A84, Data_All!$A$8:$CA$153, MATCH(AP$2, Data_All!$B$2:$CA$2, 0)+1), "")</f>
        <v/>
      </c>
      <c r="AQ84" s="206" t="str">
        <f>IF(AND($A84&gt;=SYear_O, $A84&lt;=EYear_O, AQ$3&gt;0), AQ$3 * VLOOKUP($A84, Data_All!$A$8:$CA$153, MATCH(AQ$2, Data_All!$B$2:$CA$2, 0)+1), "")</f>
        <v/>
      </c>
      <c r="AR84" s="206" t="str">
        <f>IF(AND($A84&gt;=SYear_O, $A84&lt;=EYear_O, AR$3&gt;0), AR$3 * VLOOKUP($A84, Data_All!$A$8:$CA$153, MATCH(AR$2, Data_All!$B$2:$CA$2, 0)+1), "")</f>
        <v/>
      </c>
      <c r="AS84" s="206" t="str">
        <f>IF(AND($A84&gt;=SYear_O, $A84&lt;=EYear_O, AS$3&gt;0), AS$3 * VLOOKUP($A84, Data_All!$A$8:$CA$153, MATCH(AS$2, Data_All!$B$2:$CA$2, 0)+1), "")</f>
        <v/>
      </c>
      <c r="AT84" s="206" t="str">
        <f>IF(AND($A84&gt;=SYear_O, $A84&lt;=EYear_O, AT$3&gt;0), AT$3 * VLOOKUP($A84, Data_All!$A$8:$CA$153, MATCH(AT$2, Data_All!$B$2:$CA$2, 0)+1), "")</f>
        <v/>
      </c>
      <c r="AU84" s="206" t="str">
        <f>IF(AND($A84&gt;=SYear_O, $A84&lt;=EYear_O, AU$3&gt;0), AU$3 * VLOOKUP($A84, Data_All!$A$8:$CA$153, MATCH(AU$2, Data_All!$B$2:$CA$2, 0)+1), "")</f>
        <v/>
      </c>
      <c r="AV84" s="206" t="str">
        <f>IF(AND($A84&gt;=SYear_O, $A84&lt;=EYear_O, AV$3&gt;0), AV$3 * VLOOKUP($A84, Data_All!$A$8:$CA$153, MATCH(AV$2, Data_All!$B$2:$CA$2, 0)+1), "")</f>
        <v/>
      </c>
      <c r="AW84" s="206" t="str">
        <f>IF(AND($A84&gt;=SYear_O, $A84&lt;=EYear_O, AW$3&gt;0), AW$3 * VLOOKUP($A84, Data_All!$A$8:$CA$153, MATCH(AW$2, Data_All!$B$2:$CA$2, 0)+1), "")</f>
        <v/>
      </c>
      <c r="AX84" s="206" t="str">
        <f>IF(AND($A84&gt;=SYear_O, $A84&lt;=EYear_O, AX$3&gt;0), AX$3 * VLOOKUP($A84, Data_All!$A$8:$CA$153, MATCH(AX$2, Data_All!$B$2:$CA$2, 0)+1), "")</f>
        <v/>
      </c>
      <c r="AY84" s="206" t="str">
        <f>IF(AND($A84&gt;=SYear_O, $A84&lt;=EYear_O, AY$3&gt;0), AY$3 * VLOOKUP($A84, Data_All!$A$8:$CA$153, MATCH(AY$2, Data_All!$B$2:$CA$2, 0)+1), "")</f>
        <v/>
      </c>
      <c r="AZ84" s="206" t="str">
        <f>IF(AND($A84&gt;=SYear_O, $A84&lt;=EYear_O, AZ$3&gt;0), AZ$3 * VLOOKUP($A84, Data_All!$A$8:$CA$153, MATCH(AZ$2, Data_All!$B$2:$CA$2, 0)+1), "")</f>
        <v/>
      </c>
      <c r="BA84" s="206" t="str">
        <f>IF(AND($A84&gt;=SYear_O, $A84&lt;=EYear_O, BA$3&gt;0), BA$3 * VLOOKUP($A84, Data_All!$A$8:$CA$153, MATCH(BA$2, Data_All!$B$2:$CA$2, 0)+1), "")</f>
        <v/>
      </c>
      <c r="BB84" s="206" t="str">
        <f>IF(AND($A84&gt;=SYear_O, $A84&lt;=EYear_O, BB$3&gt;0), BB$3 * VLOOKUP($A84, Data_All!$A$8:$CA$153, MATCH(BB$2, Data_All!$B$2:$CA$2, 0)+1), "")</f>
        <v/>
      </c>
      <c r="BC84" s="206" t="str">
        <f>IF(AND($A84&gt;=SYear_O, $A84&lt;=EYear_O, BC$3&gt;0), BC$3 * VLOOKUP($A84, Data_All!$A$8:$CA$153, MATCH(BC$2, Data_All!$B$2:$CA$2, 0)+1), "")</f>
        <v/>
      </c>
      <c r="BD84" s="206" t="str">
        <f>IF(AND($A84&gt;=SYear_O, $A84&lt;=EYear_O, BD$3&gt;0), BD$3 * VLOOKUP($A84, Data_All!$A$8:$CA$153, MATCH(BD$2, Data_All!$B$2:$CA$2, 0)+1), "")</f>
        <v/>
      </c>
      <c r="BE84" s="206" t="str">
        <f>IF(AND($A84&gt;=SYear_O, $A84&lt;=EYear_O, BE$3&gt;0), BE$3 * VLOOKUP($A84, Data_All!$A$8:$CA$153, MATCH(BE$2, Data_All!$B$2:$CA$2, 0)+1), "")</f>
        <v/>
      </c>
      <c r="BF84" s="206" t="str">
        <f>IF(AND($A84&gt;=SYear_O, $A84&lt;=EYear_O, BF$3&gt;0), BF$3 * VLOOKUP($A84, Data_All!$A$8:$CA$153, MATCH(BF$2, Data_All!$B$2:$CA$2, 0)+1), "")</f>
        <v/>
      </c>
      <c r="BG84" s="206" t="str">
        <f>IF(AND($A84&gt;=SYear_O, $A84&lt;=EYear_O, BG$3&gt;0), BG$3 * VLOOKUP($A84, Data_All!$A$8:$CA$153, MATCH(BG$2, Data_All!$B$2:$CA$2, 0)+1), "")</f>
        <v/>
      </c>
      <c r="BH84" s="206" t="str">
        <f>IF(AND($A84&gt;=SYear_O, $A84&lt;=EYear_O, BH$3&gt;0), BH$3 * VLOOKUP($A84, Data_All!$A$8:$CA$153, MATCH(BH$2, Data_All!$B$2:$CA$2, 0)+1), "")</f>
        <v/>
      </c>
      <c r="BI84" s="206" t="str">
        <f>IF(AND($A84&gt;=SYear_O, $A84&lt;=EYear_O, BI$3&gt;0), BI$3 * VLOOKUP($A84, Data_All!$A$8:$CA$153, MATCH(BI$2, Data_All!$B$2:$CA$2, 0)+1), "")</f>
        <v/>
      </c>
      <c r="BJ84" s="206" t="str">
        <f>IF(AND($A84&gt;=SYear_O, $A84&lt;=EYear_O, BJ$3&gt;0), BJ$3 * VLOOKUP($A84, Data_All!$A$8:$CA$153, MATCH(BJ$2, Data_All!$B$2:$CA$2, 0)+1), "")</f>
        <v/>
      </c>
      <c r="BK84" s="206" t="str">
        <f>IF(AND($A84&gt;=SYear_O, $A84&lt;=EYear_O, BK$3&gt;0), BK$3 * VLOOKUP($A84, Data_All!$A$8:$CA$153, MATCH(BK$2, Data_All!$B$2:$CA$2, 0)+1), "")</f>
        <v/>
      </c>
      <c r="BL84" s="206" t="str">
        <f>IF(AND($A84&gt;=SYear_O, $A84&lt;=EYear_O, BL$3&gt;0), BL$3 * VLOOKUP($A84, Data_All!$A$8:$CA$153, MATCH(BL$2, Data_All!$B$2:$CA$2, 0)+1), "")</f>
        <v/>
      </c>
      <c r="BM84" s="206" t="str">
        <f>IF(AND($A84&gt;=SYear_O, $A84&lt;=EYear_O, BM$3&gt;0), BM$3 * VLOOKUP($A84, Data_All!$A$8:$CA$153, MATCH(BM$2, Data_All!$B$2:$CA$2, 0)+1), "")</f>
        <v/>
      </c>
      <c r="BN84" s="206" t="str">
        <f>IF(AND($A84&gt;=SYear_O, $A84&lt;=EYear_O, BN$3&gt;0), BN$3 * VLOOKUP($A84, Data_All!$A$8:$CA$153, MATCH(BN$2, Data_All!$B$2:$CA$2, 0)+1), "")</f>
        <v/>
      </c>
      <c r="BO84" s="206" t="str">
        <f>IF(AND($A84&gt;=SYear_O, $A84&lt;=EYear_O, BO$3&gt;0), BO$3 * VLOOKUP($A84, Data_All!$A$8:$CA$153, MATCH(BO$2, Data_All!$B$2:$CA$2, 0)+1), "")</f>
        <v/>
      </c>
      <c r="BP84" s="206" t="str">
        <f>IF(AND($A84&gt;=SYear_O, $A84&lt;=EYear_O, BP$3&gt;0), BP$3 * VLOOKUP($A84, Data_All!$A$8:$CA$153, MATCH(BP$2, Data_All!$B$2:$CA$2, 0)+1), "")</f>
        <v/>
      </c>
      <c r="BQ84" s="206" t="str">
        <f>IF(AND($A84&gt;=SYear_O, $A84&lt;=EYear_O, BQ$3&gt;0), BQ$3 * VLOOKUP($A84, Data_All!$A$8:$CA$153, MATCH(BQ$2, Data_All!$B$2:$CA$2, 0)+1), "")</f>
        <v/>
      </c>
      <c r="BR84" s="206" t="str">
        <f>IF(AND($A84&gt;=SYear_O, $A84&lt;=EYear_O, BR$3&gt;0), BR$3 * VLOOKUP($A84, Data_All!$A$8:$CA$153, MATCH(BR$2, Data_All!$B$2:$CA$2, 0)+1), "")</f>
        <v/>
      </c>
      <c r="BS84" s="206" t="str">
        <f>IF(AND($A84&gt;=SYear_O, $A84&lt;=EYear_O, BS$3&gt;0), BS$3 * VLOOKUP($A84, Data_All!$A$8:$CA$153, MATCH(BS$2, Data_All!$B$2:$CA$2, 0)+1), "")</f>
        <v/>
      </c>
      <c r="BT84" s="206" t="str">
        <f>IF(AND($A84&gt;=SYear_O, $A84&lt;=EYear_O, BT$3&gt;0), BT$3 * VLOOKUP($A84, Data_All!$A$8:$CA$153, MATCH(BT$2, Data_All!$B$2:$CA$2, 0)+1), "")</f>
        <v/>
      </c>
      <c r="BU84" s="206" t="str">
        <f>IF(AND($A84&gt;=SYear_O, $A84&lt;=EYear_O, BU$3&gt;0), BU$3 * VLOOKUP($A84, Data_All!$A$8:$CA$153, MATCH(BU$2, Data_All!$B$2:$CA$2, 0)+1), "")</f>
        <v/>
      </c>
      <c r="BV84" s="206" t="str">
        <f>IF(AND($A84&gt;=SYear_O, $A84&lt;=EYear_O, BV$3&gt;0), BV$3 * VLOOKUP($A84, Data_All!$A$8:$CA$153, MATCH(BV$2, Data_All!$B$2:$CA$2, 0)+1), "")</f>
        <v/>
      </c>
      <c r="BW84" s="206" t="str">
        <f>IF(AND($A84&gt;=SYear_O, $A84&lt;=EYear_O, BW$3&gt;0), BW$3 * VLOOKUP($A84, Data_All!$A$8:$CA$153, MATCH(BW$2, Data_All!$B$2:$CA$2, 0)+1), "")</f>
        <v/>
      </c>
      <c r="BX84" s="206">
        <f>IF(AND($A84&gt;=SYear_O, $A84&lt;=EYear_O, BX$3&gt;0), BX$3 * VLOOKUP($A84, Data_All!$A$8:$CA$153, MATCH(BX$2, Data_All!$B$2:$CA$2, 0)+1), "")</f>
        <v>5.9069453809844852</v>
      </c>
      <c r="BY84" s="206">
        <f>IF(AND($A84&gt;=SYear_O, $A84&lt;=EYear_O, BY$3&gt;0), BY$3 * VLOOKUP($A84, Data_All!$A$8:$CA$153, MATCH(BY$2, Data_All!$B$2:$CA$2, 0)+1), "")</f>
        <v>0.98839600135423922</v>
      </c>
      <c r="BZ84" s="206" t="str">
        <f>IF(AND($A84&gt;=SYear_O, $A84&lt;=EYear_O, BZ$3&gt;0), BZ$3 * VLOOKUP($A84, Data_All!$A$8:$CA$153, MATCH(BZ$2, Data_All!$B$2:$CA$2, 0)+1), "")</f>
        <v/>
      </c>
      <c r="CA84" s="565">
        <f t="shared" si="35"/>
        <v>6.8953413823387244</v>
      </c>
      <c r="CB84" s="427">
        <f t="shared" si="36"/>
        <v>1033077.3563928909</v>
      </c>
      <c r="CC84" s="565">
        <f>IF(AND($A84&gt;=SYear_O,$A84&lt;=EYear_O),(CA84-Data_All!CA85)/(1+Data_All!CA85%),"")</f>
        <v>5.559149615059483</v>
      </c>
      <c r="CD84" s="436">
        <f t="shared" si="37"/>
        <v>536514.13282498915</v>
      </c>
      <c r="CE84" s="438">
        <f t="shared" si="38"/>
        <v>93.699329811921302</v>
      </c>
      <c r="CF84" s="438">
        <f>IF(AND($A84&gt;=SYear_O,$A84&lt;=EYear_O),MAX($CE$7:CE84),"")</f>
        <v>93.699329811921302</v>
      </c>
      <c r="CG84" s="209">
        <f t="shared" si="39"/>
        <v>0</v>
      </c>
      <c r="CI84" s="143">
        <f>IF(AND($A84&gt;=SYear_O,$A84&lt;=EYear_O),Data_All!V85,"")</f>
        <v>1.258867019682286</v>
      </c>
      <c r="CJ84" s="143">
        <f>IF(AND($A84&gt;=SYear_O,$A84&lt;=EYear_O),Data_All!CA85,"")</f>
        <v>1.2658227848101333</v>
      </c>
      <c r="CK84" s="143">
        <f t="shared" si="40"/>
        <v>-6.8688180637492538E-3</v>
      </c>
      <c r="CN84" s="61">
        <f t="shared" si="41"/>
        <v>6.8953413823387155E-2</v>
      </c>
      <c r="CO84" s="61">
        <f t="shared" si="42"/>
        <v>0.12898096023729422</v>
      </c>
      <c r="CP84" s="61">
        <f t="shared" si="43"/>
        <v>0.12196781660640554</v>
      </c>
      <c r="CQ84" s="61">
        <f t="shared" si="44"/>
        <v>0.11104448343599649</v>
      </c>
      <c r="CR84" s="61">
        <f t="shared" si="45"/>
        <v>0.10559128750037949</v>
      </c>
      <c r="CU84" s="61">
        <f t="shared" si="46"/>
        <v>5.5591496150594555E-2</v>
      </c>
      <c r="CV84" s="61">
        <f t="shared" si="47"/>
        <v>0.10320992659659911</v>
      </c>
      <c r="CW84" s="61">
        <f t="shared" si="48"/>
        <v>9.6361411523520291E-2</v>
      </c>
      <c r="CX84" s="61">
        <f t="shared" si="49"/>
        <v>9.0359416703603479E-2</v>
      </c>
      <c r="CY84" s="61">
        <f t="shared" si="50"/>
        <v>8.7392312743130196E-2</v>
      </c>
    </row>
    <row r="85" spans="1:103">
      <c r="A85" s="204">
        <f t="shared" si="51"/>
        <v>1949</v>
      </c>
      <c r="B85" s="206" t="str">
        <f>IF(AND($A85&gt;=SYear_O, $A85&lt;=EYear_O, B$3&gt;0), B$3 * VLOOKUP($A85, Data_All!$A$8:$CA$153, MATCH(B$2, Data_All!$B$2:$CA$2, 0)+1), "")</f>
        <v/>
      </c>
      <c r="C85" s="206" t="str">
        <f>IF(AND($A85&gt;=SYear_O, $A85&lt;=EYear_O, C$3&gt;0), C$3 * VLOOKUP($A85, Data_All!$A$8:$CA$153, MATCH(C$2, Data_All!$B$2:$CA$2, 0)+1), "")</f>
        <v/>
      </c>
      <c r="D85" s="206" t="str">
        <f>IF(AND($A85&gt;=SYear_O, $A85&lt;=EYear_O, D$3&gt;0), D$3 * VLOOKUP($A85, Data_All!$A$8:$CA$153, MATCH(D$2, Data_All!$B$2:$CA$2, 0)+1), "")</f>
        <v/>
      </c>
      <c r="E85" s="206" t="str">
        <f>IF(AND($A85&gt;=SYear_O, $A85&lt;=EYear_O, E$3&gt;0), E$3 * VLOOKUP($A85, Data_All!$A$8:$CA$153, MATCH(E$2, Data_All!$B$2:$CA$2, 0)+1), "")</f>
        <v/>
      </c>
      <c r="F85" s="206" t="str">
        <f>IF(AND($A85&gt;=SYear_O, $A85&lt;=EYear_O, F$3&gt;0), F$3 * VLOOKUP($A85, Data_All!$A$8:$CA$153, MATCH(F$2, Data_All!$B$2:$CA$2, 0)+1), "")</f>
        <v/>
      </c>
      <c r="G85" s="206" t="str">
        <f>IF(AND($A85&gt;=SYear_O, $A85&lt;=EYear_O, G$3&gt;0), G$3 * VLOOKUP($A85, Data_All!$A$8:$CA$153, MATCH(G$2, Data_All!$B$2:$CA$2, 0)+1), "")</f>
        <v/>
      </c>
      <c r="H85" s="206" t="str">
        <f>IF(AND($A85&gt;=SYear_O, $A85&lt;=EYear_O, H$3&gt;0), H$3 * VLOOKUP($A85, Data_All!$A$8:$CA$153, MATCH(H$2, Data_All!$B$2:$CA$2, 0)+1), "")</f>
        <v/>
      </c>
      <c r="I85" s="206" t="str">
        <f>IF(AND($A85&gt;=SYear_O, $A85&lt;=EYear_O, I$3&gt;0), I$3 * VLOOKUP($A85, Data_All!$A$8:$CA$153, MATCH(I$2, Data_All!$B$2:$CA$2, 0)+1), "")</f>
        <v/>
      </c>
      <c r="J85" s="206" t="str">
        <f>IF(AND($A85&gt;=SYear_O, $A85&lt;=EYear_O, J$3&gt;0), J$3 * VLOOKUP($A85, Data_All!$A$8:$CA$153, MATCH(J$2, Data_All!$B$2:$CA$2, 0)+1), "")</f>
        <v/>
      </c>
      <c r="K85" s="206" t="str">
        <f>IF(AND($A85&gt;=SYear_O, $A85&lt;=EYear_O, K$3&gt;0), K$3 * VLOOKUP($A85, Data_All!$A$8:$CA$153, MATCH(K$2, Data_All!$B$2:$CA$2, 0)+1), "")</f>
        <v/>
      </c>
      <c r="L85" s="206" t="str">
        <f>IF(AND($A85&gt;=SYear_O, $A85&lt;=EYear_O, L$3&gt;0), L$3 * VLOOKUP($A85, Data_All!$A$8:$CA$153, MATCH(L$2, Data_All!$B$2:$CA$2, 0)+1), "")</f>
        <v/>
      </c>
      <c r="M85" s="206" t="str">
        <f>IF(AND($A85&gt;=SYear_O, $A85&lt;=EYear_O, M$3&gt;0), M$3 * VLOOKUP($A85, Data_All!$A$8:$CA$153, MATCH(M$2, Data_All!$B$2:$CA$2, 0)+1), "")</f>
        <v/>
      </c>
      <c r="N85" s="206" t="str">
        <f>IF(AND($A85&gt;=SYear_O, $A85&lt;=EYear_O, N$3&gt;0), N$3 * VLOOKUP($A85, Data_All!$A$8:$CA$153, MATCH(N$2, Data_All!$B$2:$CA$2, 0)+1), "")</f>
        <v/>
      </c>
      <c r="O85" s="206" t="str">
        <f>IF(AND($A85&gt;=SYear_O, $A85&lt;=EYear_O, O$3&gt;0), O$3 * VLOOKUP($A85, Data_All!$A$8:$CA$153, MATCH(O$2, Data_All!$B$2:$CA$2, 0)+1), "")</f>
        <v/>
      </c>
      <c r="P85" s="206" t="str">
        <f>IF(AND($A85&gt;=SYear_O, $A85&lt;=EYear_O, P$3&gt;0), P$3 * VLOOKUP($A85, Data_All!$A$8:$CA$153, MATCH(P$2, Data_All!$B$2:$CA$2, 0)+1), "")</f>
        <v/>
      </c>
      <c r="Q85" s="206" t="str">
        <f>IF(AND($A85&gt;=SYear_O, $A85&lt;=EYear_O, Q$3&gt;0), Q$3 * VLOOKUP($A85, Data_All!$A$8:$CA$153, MATCH(Q$2, Data_All!$B$2:$CA$2, 0)+1), "")</f>
        <v/>
      </c>
      <c r="R85" s="206" t="str">
        <f>IF(AND($A85&gt;=SYear_O, $A85&lt;=EYear_O, R$3&gt;0), R$3 * VLOOKUP($A85, Data_All!$A$8:$CA$153, MATCH(R$2, Data_All!$B$2:$CA$2, 0)+1), "")</f>
        <v/>
      </c>
      <c r="S85" s="206" t="str">
        <f>IF(AND($A85&gt;=SYear_O, $A85&lt;=EYear_O, S$3&gt;0), S$3 * VLOOKUP($A85, Data_All!$A$8:$CA$153, MATCH(S$2, Data_All!$B$2:$CA$2, 0)+1), "")</f>
        <v/>
      </c>
      <c r="T85" s="206" t="str">
        <f>IF(AND($A85&gt;=SYear_O, $A85&lt;=EYear_O, T$3&gt;0), T$3 * VLOOKUP($A85, Data_All!$A$8:$CA$153, MATCH(T$2, Data_All!$B$2:$CA$2, 0)+1), "")</f>
        <v/>
      </c>
      <c r="U85" s="206" t="str">
        <f>IF(AND($A85&gt;=SYear_O, $A85&lt;=EYear_O, U$3&gt;0), U$3 * VLOOKUP($A85, Data_All!$A$8:$CA$153, MATCH(U$2, Data_All!$B$2:$CA$2, 0)+1), "")</f>
        <v/>
      </c>
      <c r="V85" s="206" t="str">
        <f>IF(AND($A85&gt;=SYear_O, $A85&lt;=EYear_O, V$3&gt;0), V$3 * VLOOKUP($A85, Data_All!$A$8:$CA$153, MATCH(V$2, Data_All!$B$2:$CA$2, 0)+1), "")</f>
        <v/>
      </c>
      <c r="W85" s="206" t="str">
        <f>IF(AND($A85&gt;=SYear_O, $A85&lt;=EYear_O, W$3&gt;0), W$3 * VLOOKUP($A85, Data_All!$A$8:$CA$153, MATCH(W$2, Data_All!$B$2:$CA$2, 0)+1), "")</f>
        <v/>
      </c>
      <c r="X85" s="206" t="str">
        <f>IF(AND($A85&gt;=SYear_O, $A85&lt;=EYear_O, X$3&gt;0), X$3 * VLOOKUP($A85, Data_All!$A$8:$CA$153, MATCH(X$2, Data_All!$B$2:$CA$2, 0)+1), "")</f>
        <v/>
      </c>
      <c r="Y85" s="206" t="str">
        <f>IF(AND($A85&gt;=SYear_O, $A85&lt;=EYear_O, Y$3&gt;0), Y$3 * VLOOKUP($A85, Data_All!$A$8:$CA$153, MATCH(Y$2, Data_All!$B$2:$CA$2, 0)+1), "")</f>
        <v/>
      </c>
      <c r="Z85" s="206" t="str">
        <f>IF(AND($A85&gt;=SYear_O, $A85&lt;=EYear_O, Z$3&gt;0), Z$3 * VLOOKUP($A85, Data_All!$A$8:$CA$153, MATCH(Z$2, Data_All!$B$2:$CA$2, 0)+1), "")</f>
        <v/>
      </c>
      <c r="AA85" s="206" t="str">
        <f>IF(AND($A85&gt;=SYear_O, $A85&lt;=EYear_O, AA$3&gt;0), AA$3 * VLOOKUP($A85, Data_All!$A$8:$CA$153, MATCH(AA$2, Data_All!$B$2:$CA$2, 0)+1), "")</f>
        <v/>
      </c>
      <c r="AB85" s="206" t="str">
        <f>IF(AND($A85&gt;=SYear_O, $A85&lt;=EYear_O, AB$3&gt;0), AB$3 * VLOOKUP($A85, Data_All!$A$8:$CA$153, MATCH(AB$2, Data_All!$B$2:$CA$2, 0)+1), "")</f>
        <v/>
      </c>
      <c r="AC85" s="206" t="str">
        <f>IF(AND($A85&gt;=SYear_O, $A85&lt;=EYear_O, AC$3&gt;0), AC$3 * VLOOKUP($A85, Data_All!$A$8:$CA$153, MATCH(AC$2, Data_All!$B$2:$CA$2, 0)+1), "")</f>
        <v/>
      </c>
      <c r="AD85" s="206" t="str">
        <f>IF(AND($A85&gt;=SYear_O, $A85&lt;=EYear_O, AD$3&gt;0), AD$3 * VLOOKUP($A85, Data_All!$A$8:$CA$153, MATCH(AD$2, Data_All!$B$2:$CA$2, 0)+1), "")</f>
        <v/>
      </c>
      <c r="AE85" s="206" t="str">
        <f>IF(AND($A85&gt;=SYear_O, $A85&lt;=EYear_O, AE$3&gt;0), AE$3 * VLOOKUP($A85, Data_All!$A$8:$CA$153, MATCH(AE$2, Data_All!$B$2:$CA$2, 0)+1), "")</f>
        <v/>
      </c>
      <c r="AF85" s="206" t="str">
        <f>IF(AND($A85&gt;=SYear_O, $A85&lt;=EYear_O, AF$3&gt;0), AF$3 * VLOOKUP($A85, Data_All!$A$8:$CA$153, MATCH(AF$2, Data_All!$B$2:$CA$2, 0)+1), "")</f>
        <v/>
      </c>
      <c r="AG85" s="206" t="str">
        <f>IF(AND($A85&gt;=SYear_O, $A85&lt;=EYear_O, AG$3&gt;0), AG$3 * VLOOKUP($A85, Data_All!$A$8:$CA$153, MATCH(AG$2, Data_All!$B$2:$CA$2, 0)+1), "")</f>
        <v/>
      </c>
      <c r="AH85" s="206" t="str">
        <f>IF(AND($A85&gt;=SYear_O, $A85&lt;=EYear_O, AH$3&gt;0), AH$3 * VLOOKUP($A85, Data_All!$A$8:$CA$153, MATCH(AH$2, Data_All!$B$2:$CA$2, 0)+1), "")</f>
        <v/>
      </c>
      <c r="AI85" s="206" t="str">
        <f>IF(AND($A85&gt;=SYear_O, $A85&lt;=EYear_O, AI$3&gt;0), AI$3 * VLOOKUP($A85, Data_All!$A$8:$CA$153, MATCH(AI$2, Data_All!$B$2:$CA$2, 0)+1), "")</f>
        <v/>
      </c>
      <c r="AJ85" s="206" t="str">
        <f>IF(AND($A85&gt;=SYear_O, $A85&lt;=EYear_O, AJ$3&gt;0), AJ$3 * VLOOKUP($A85, Data_All!$A$8:$CA$153, MATCH(AJ$2, Data_All!$B$2:$CA$2, 0)+1), "")</f>
        <v/>
      </c>
      <c r="AK85" s="206" t="str">
        <f>IF(AND($A85&gt;=SYear_O, $A85&lt;=EYear_O, AK$3&gt;0), AK$3 * VLOOKUP($A85, Data_All!$A$8:$CA$153, MATCH(AK$2, Data_All!$B$2:$CA$2, 0)+1), "")</f>
        <v/>
      </c>
      <c r="AL85" s="206" t="str">
        <f>IF(AND($A85&gt;=SYear_O, $A85&lt;=EYear_O, AL$3&gt;0), AL$3 * VLOOKUP($A85, Data_All!$A$8:$CA$153, MATCH(AL$2, Data_All!$B$2:$CA$2, 0)+1), "")</f>
        <v/>
      </c>
      <c r="AM85" s="206" t="str">
        <f>IF(AND($A85&gt;=SYear_O, $A85&lt;=EYear_O, AM$3&gt;0), AM$3 * VLOOKUP($A85, Data_All!$A$8:$CA$153, MATCH(AM$2, Data_All!$B$2:$CA$2, 0)+1), "")</f>
        <v/>
      </c>
      <c r="AN85" s="206" t="str">
        <f>IF(AND($A85&gt;=SYear_O, $A85&lt;=EYear_O, AN$3&gt;0), AN$3 * VLOOKUP($A85, Data_All!$A$8:$CA$153, MATCH(AN$2, Data_All!$B$2:$CA$2, 0)+1), "")</f>
        <v/>
      </c>
      <c r="AO85" s="206" t="str">
        <f>IF(AND($A85&gt;=SYear_O, $A85&lt;=EYear_O, AO$3&gt;0), AO$3 * VLOOKUP($A85, Data_All!$A$8:$CA$153, MATCH(AO$2, Data_All!$B$2:$CA$2, 0)+1), "")</f>
        <v/>
      </c>
      <c r="AP85" s="206" t="str">
        <f>IF(AND($A85&gt;=SYear_O, $A85&lt;=EYear_O, AP$3&gt;0), AP$3 * VLOOKUP($A85, Data_All!$A$8:$CA$153, MATCH(AP$2, Data_All!$B$2:$CA$2, 0)+1), "")</f>
        <v/>
      </c>
      <c r="AQ85" s="206" t="str">
        <f>IF(AND($A85&gt;=SYear_O, $A85&lt;=EYear_O, AQ$3&gt;0), AQ$3 * VLOOKUP($A85, Data_All!$A$8:$CA$153, MATCH(AQ$2, Data_All!$B$2:$CA$2, 0)+1), "")</f>
        <v/>
      </c>
      <c r="AR85" s="206" t="str">
        <f>IF(AND($A85&gt;=SYear_O, $A85&lt;=EYear_O, AR$3&gt;0), AR$3 * VLOOKUP($A85, Data_All!$A$8:$CA$153, MATCH(AR$2, Data_All!$B$2:$CA$2, 0)+1), "")</f>
        <v/>
      </c>
      <c r="AS85" s="206" t="str">
        <f>IF(AND($A85&gt;=SYear_O, $A85&lt;=EYear_O, AS$3&gt;0), AS$3 * VLOOKUP($A85, Data_All!$A$8:$CA$153, MATCH(AS$2, Data_All!$B$2:$CA$2, 0)+1), "")</f>
        <v/>
      </c>
      <c r="AT85" s="206" t="str">
        <f>IF(AND($A85&gt;=SYear_O, $A85&lt;=EYear_O, AT$3&gt;0), AT$3 * VLOOKUP($A85, Data_All!$A$8:$CA$153, MATCH(AT$2, Data_All!$B$2:$CA$2, 0)+1), "")</f>
        <v/>
      </c>
      <c r="AU85" s="206" t="str">
        <f>IF(AND($A85&gt;=SYear_O, $A85&lt;=EYear_O, AU$3&gt;0), AU$3 * VLOOKUP($A85, Data_All!$A$8:$CA$153, MATCH(AU$2, Data_All!$B$2:$CA$2, 0)+1), "")</f>
        <v/>
      </c>
      <c r="AV85" s="206" t="str">
        <f>IF(AND($A85&gt;=SYear_O, $A85&lt;=EYear_O, AV$3&gt;0), AV$3 * VLOOKUP($A85, Data_All!$A$8:$CA$153, MATCH(AV$2, Data_All!$B$2:$CA$2, 0)+1), "")</f>
        <v/>
      </c>
      <c r="AW85" s="206" t="str">
        <f>IF(AND($A85&gt;=SYear_O, $A85&lt;=EYear_O, AW$3&gt;0), AW$3 * VLOOKUP($A85, Data_All!$A$8:$CA$153, MATCH(AW$2, Data_All!$B$2:$CA$2, 0)+1), "")</f>
        <v/>
      </c>
      <c r="AX85" s="206" t="str">
        <f>IF(AND($A85&gt;=SYear_O, $A85&lt;=EYear_O, AX$3&gt;0), AX$3 * VLOOKUP($A85, Data_All!$A$8:$CA$153, MATCH(AX$2, Data_All!$B$2:$CA$2, 0)+1), "")</f>
        <v/>
      </c>
      <c r="AY85" s="206" t="str">
        <f>IF(AND($A85&gt;=SYear_O, $A85&lt;=EYear_O, AY$3&gt;0), AY$3 * VLOOKUP($A85, Data_All!$A$8:$CA$153, MATCH(AY$2, Data_All!$B$2:$CA$2, 0)+1), "")</f>
        <v/>
      </c>
      <c r="AZ85" s="206" t="str">
        <f>IF(AND($A85&gt;=SYear_O, $A85&lt;=EYear_O, AZ$3&gt;0), AZ$3 * VLOOKUP($A85, Data_All!$A$8:$CA$153, MATCH(AZ$2, Data_All!$B$2:$CA$2, 0)+1), "")</f>
        <v/>
      </c>
      <c r="BA85" s="206" t="str">
        <f>IF(AND($A85&gt;=SYear_O, $A85&lt;=EYear_O, BA$3&gt;0), BA$3 * VLOOKUP($A85, Data_All!$A$8:$CA$153, MATCH(BA$2, Data_All!$B$2:$CA$2, 0)+1), "")</f>
        <v/>
      </c>
      <c r="BB85" s="206" t="str">
        <f>IF(AND($A85&gt;=SYear_O, $A85&lt;=EYear_O, BB$3&gt;0), BB$3 * VLOOKUP($A85, Data_All!$A$8:$CA$153, MATCH(BB$2, Data_All!$B$2:$CA$2, 0)+1), "")</f>
        <v/>
      </c>
      <c r="BC85" s="206" t="str">
        <f>IF(AND($A85&gt;=SYear_O, $A85&lt;=EYear_O, BC$3&gt;0), BC$3 * VLOOKUP($A85, Data_All!$A$8:$CA$153, MATCH(BC$2, Data_All!$B$2:$CA$2, 0)+1), "")</f>
        <v/>
      </c>
      <c r="BD85" s="206" t="str">
        <f>IF(AND($A85&gt;=SYear_O, $A85&lt;=EYear_O, BD$3&gt;0), BD$3 * VLOOKUP($A85, Data_All!$A$8:$CA$153, MATCH(BD$2, Data_All!$B$2:$CA$2, 0)+1), "")</f>
        <v/>
      </c>
      <c r="BE85" s="206" t="str">
        <f>IF(AND($A85&gt;=SYear_O, $A85&lt;=EYear_O, BE$3&gt;0), BE$3 * VLOOKUP($A85, Data_All!$A$8:$CA$153, MATCH(BE$2, Data_All!$B$2:$CA$2, 0)+1), "")</f>
        <v/>
      </c>
      <c r="BF85" s="206" t="str">
        <f>IF(AND($A85&gt;=SYear_O, $A85&lt;=EYear_O, BF$3&gt;0), BF$3 * VLOOKUP($A85, Data_All!$A$8:$CA$153, MATCH(BF$2, Data_All!$B$2:$CA$2, 0)+1), "")</f>
        <v/>
      </c>
      <c r="BG85" s="206" t="str">
        <f>IF(AND($A85&gt;=SYear_O, $A85&lt;=EYear_O, BG$3&gt;0), BG$3 * VLOOKUP($A85, Data_All!$A$8:$CA$153, MATCH(BG$2, Data_All!$B$2:$CA$2, 0)+1), "")</f>
        <v/>
      </c>
      <c r="BH85" s="206" t="str">
        <f>IF(AND($A85&gt;=SYear_O, $A85&lt;=EYear_O, BH$3&gt;0), BH$3 * VLOOKUP($A85, Data_All!$A$8:$CA$153, MATCH(BH$2, Data_All!$B$2:$CA$2, 0)+1), "")</f>
        <v/>
      </c>
      <c r="BI85" s="206" t="str">
        <f>IF(AND($A85&gt;=SYear_O, $A85&lt;=EYear_O, BI$3&gt;0), BI$3 * VLOOKUP($A85, Data_All!$A$8:$CA$153, MATCH(BI$2, Data_All!$B$2:$CA$2, 0)+1), "")</f>
        <v/>
      </c>
      <c r="BJ85" s="206" t="str">
        <f>IF(AND($A85&gt;=SYear_O, $A85&lt;=EYear_O, BJ$3&gt;0), BJ$3 * VLOOKUP($A85, Data_All!$A$8:$CA$153, MATCH(BJ$2, Data_All!$B$2:$CA$2, 0)+1), "")</f>
        <v/>
      </c>
      <c r="BK85" s="206" t="str">
        <f>IF(AND($A85&gt;=SYear_O, $A85&lt;=EYear_O, BK$3&gt;0), BK$3 * VLOOKUP($A85, Data_All!$A$8:$CA$153, MATCH(BK$2, Data_All!$B$2:$CA$2, 0)+1), "")</f>
        <v/>
      </c>
      <c r="BL85" s="206" t="str">
        <f>IF(AND($A85&gt;=SYear_O, $A85&lt;=EYear_O, BL$3&gt;0), BL$3 * VLOOKUP($A85, Data_All!$A$8:$CA$153, MATCH(BL$2, Data_All!$B$2:$CA$2, 0)+1), "")</f>
        <v/>
      </c>
      <c r="BM85" s="206" t="str">
        <f>IF(AND($A85&gt;=SYear_O, $A85&lt;=EYear_O, BM$3&gt;0), BM$3 * VLOOKUP($A85, Data_All!$A$8:$CA$153, MATCH(BM$2, Data_All!$B$2:$CA$2, 0)+1), "")</f>
        <v/>
      </c>
      <c r="BN85" s="206" t="str">
        <f>IF(AND($A85&gt;=SYear_O, $A85&lt;=EYear_O, BN$3&gt;0), BN$3 * VLOOKUP($A85, Data_All!$A$8:$CA$153, MATCH(BN$2, Data_All!$B$2:$CA$2, 0)+1), "")</f>
        <v/>
      </c>
      <c r="BO85" s="206" t="str">
        <f>IF(AND($A85&gt;=SYear_O, $A85&lt;=EYear_O, BO$3&gt;0), BO$3 * VLOOKUP($A85, Data_All!$A$8:$CA$153, MATCH(BO$2, Data_All!$B$2:$CA$2, 0)+1), "")</f>
        <v/>
      </c>
      <c r="BP85" s="206" t="str">
        <f>IF(AND($A85&gt;=SYear_O, $A85&lt;=EYear_O, BP$3&gt;0), BP$3 * VLOOKUP($A85, Data_All!$A$8:$CA$153, MATCH(BP$2, Data_All!$B$2:$CA$2, 0)+1), "")</f>
        <v/>
      </c>
      <c r="BQ85" s="206" t="str">
        <f>IF(AND($A85&gt;=SYear_O, $A85&lt;=EYear_O, BQ$3&gt;0), BQ$3 * VLOOKUP($A85, Data_All!$A$8:$CA$153, MATCH(BQ$2, Data_All!$B$2:$CA$2, 0)+1), "")</f>
        <v/>
      </c>
      <c r="BR85" s="206" t="str">
        <f>IF(AND($A85&gt;=SYear_O, $A85&lt;=EYear_O, BR$3&gt;0), BR$3 * VLOOKUP($A85, Data_All!$A$8:$CA$153, MATCH(BR$2, Data_All!$B$2:$CA$2, 0)+1), "")</f>
        <v/>
      </c>
      <c r="BS85" s="206" t="str">
        <f>IF(AND($A85&gt;=SYear_O, $A85&lt;=EYear_O, BS$3&gt;0), BS$3 * VLOOKUP($A85, Data_All!$A$8:$CA$153, MATCH(BS$2, Data_All!$B$2:$CA$2, 0)+1), "")</f>
        <v/>
      </c>
      <c r="BT85" s="206" t="str">
        <f>IF(AND($A85&gt;=SYear_O, $A85&lt;=EYear_O, BT$3&gt;0), BT$3 * VLOOKUP($A85, Data_All!$A$8:$CA$153, MATCH(BT$2, Data_All!$B$2:$CA$2, 0)+1), "")</f>
        <v/>
      </c>
      <c r="BU85" s="206" t="str">
        <f>IF(AND($A85&gt;=SYear_O, $A85&lt;=EYear_O, BU$3&gt;0), BU$3 * VLOOKUP($A85, Data_All!$A$8:$CA$153, MATCH(BU$2, Data_All!$B$2:$CA$2, 0)+1), "")</f>
        <v/>
      </c>
      <c r="BV85" s="206" t="str">
        <f>IF(AND($A85&gt;=SYear_O, $A85&lt;=EYear_O, BV$3&gt;0), BV$3 * VLOOKUP($A85, Data_All!$A$8:$CA$153, MATCH(BV$2, Data_All!$B$2:$CA$2, 0)+1), "")</f>
        <v/>
      </c>
      <c r="BW85" s="206" t="str">
        <f>IF(AND($A85&gt;=SYear_O, $A85&lt;=EYear_O, BW$3&gt;0), BW$3 * VLOOKUP($A85, Data_All!$A$8:$CA$153, MATCH(BW$2, Data_All!$B$2:$CA$2, 0)+1), "")</f>
        <v/>
      </c>
      <c r="BX85" s="206">
        <f>IF(AND($A85&gt;=SYear_O, $A85&lt;=EYear_O, BX$3&gt;0), BX$3 * VLOOKUP($A85, Data_All!$A$8:$CA$153, MATCH(BX$2, Data_All!$B$2:$CA$2, 0)+1), "")</f>
        <v>10.390624999999995</v>
      </c>
      <c r="BY85" s="206">
        <f>IF(AND($A85&gt;=SYear_O, $A85&lt;=EYear_O, BY$3&gt;0), BY$3 * VLOOKUP($A85, Data_All!$A$8:$CA$153, MATCH(BY$2, Data_All!$B$2:$CA$2, 0)+1), "")</f>
        <v>1.1406891337828196</v>
      </c>
      <c r="BZ85" s="206" t="str">
        <f>IF(AND($A85&gt;=SYear_O, $A85&lt;=EYear_O, BZ$3&gt;0), BZ$3 * VLOOKUP($A85, Data_All!$A$8:$CA$153, MATCH(BZ$2, Data_All!$B$2:$CA$2, 0)+1), "")</f>
        <v/>
      </c>
      <c r="CA85" s="565">
        <f t="shared" si="35"/>
        <v>11.531314133782814</v>
      </c>
      <c r="CB85" s="427">
        <f t="shared" si="36"/>
        <v>1152204.7516035342</v>
      </c>
      <c r="CC85" s="565">
        <f>IF(AND($A85&gt;=SYear_O,$A85&lt;=EYear_O),(CA85-Data_All!CA86)/(1+Data_All!CA86%),"")</f>
        <v>13.904320817480325</v>
      </c>
      <c r="CD85" s="436">
        <f t="shared" si="37"/>
        <v>611112.77908409818</v>
      </c>
      <c r="CE85" s="438">
        <f t="shared" si="38"/>
        <v>104.50409387378315</v>
      </c>
      <c r="CF85" s="438">
        <f>IF(AND($A85&gt;=SYear_O,$A85&lt;=EYear_O),MAX($CE$7:CE85),"")</f>
        <v>104.50409387378315</v>
      </c>
      <c r="CG85" s="209">
        <f t="shared" si="39"/>
        <v>0</v>
      </c>
      <c r="CI85" s="143">
        <f>IF(AND($A85&gt;=SYear_O,$A85&lt;=EYear_O),Data_All!V86,"")</f>
        <v>1.4886602058147669</v>
      </c>
      <c r="CJ85" s="143">
        <f>IF(AND($A85&gt;=SYear_O,$A85&lt;=EYear_O),Data_All!CA86,"")</f>
        <v>-2.083333333333337</v>
      </c>
      <c r="CK85" s="143">
        <f t="shared" si="40"/>
        <v>3.6479934016831699</v>
      </c>
      <c r="CN85" s="61">
        <f t="shared" si="41"/>
        <v>0.11531314133782811</v>
      </c>
      <c r="CO85" s="61">
        <f t="shared" si="42"/>
        <v>0.15053746053462458</v>
      </c>
      <c r="CP85" s="61">
        <f t="shared" si="43"/>
        <v>0.11539662003072571</v>
      </c>
      <c r="CQ85" s="61">
        <f t="shared" si="44"/>
        <v>0.12682920485155869</v>
      </c>
      <c r="CR85" s="61">
        <f t="shared" si="45"/>
        <v>0.10990661044074868</v>
      </c>
      <c r="CU85" s="61">
        <f t="shared" si="46"/>
        <v>0.1390432081748032</v>
      </c>
      <c r="CV85" s="61">
        <f t="shared" si="47"/>
        <v>0.11315562721121863</v>
      </c>
      <c r="CW85" s="61">
        <f t="shared" si="48"/>
        <v>9.0237501119151853E-2</v>
      </c>
      <c r="CX85" s="61">
        <f t="shared" si="49"/>
        <v>0.10570536990341206</v>
      </c>
      <c r="CY85" s="61">
        <f t="shared" si="50"/>
        <v>9.1364833155209491E-2</v>
      </c>
    </row>
    <row r="86" spans="1:103">
      <c r="A86" s="204">
        <f t="shared" si="51"/>
        <v>1950</v>
      </c>
      <c r="B86" s="206" t="str">
        <f>IF(AND($A86&gt;=SYear_O, $A86&lt;=EYear_O, B$3&gt;0), B$3 * VLOOKUP($A86, Data_All!$A$8:$CA$153, MATCH(B$2, Data_All!$B$2:$CA$2, 0)+1), "")</f>
        <v/>
      </c>
      <c r="C86" s="206" t="str">
        <f>IF(AND($A86&gt;=SYear_O, $A86&lt;=EYear_O, C$3&gt;0), C$3 * VLOOKUP($A86, Data_All!$A$8:$CA$153, MATCH(C$2, Data_All!$B$2:$CA$2, 0)+1), "")</f>
        <v/>
      </c>
      <c r="D86" s="206" t="str">
        <f>IF(AND($A86&gt;=SYear_O, $A86&lt;=EYear_O, D$3&gt;0), D$3 * VLOOKUP($A86, Data_All!$A$8:$CA$153, MATCH(D$2, Data_All!$B$2:$CA$2, 0)+1), "")</f>
        <v/>
      </c>
      <c r="E86" s="206" t="str">
        <f>IF(AND($A86&gt;=SYear_O, $A86&lt;=EYear_O, E$3&gt;0), E$3 * VLOOKUP($A86, Data_All!$A$8:$CA$153, MATCH(E$2, Data_All!$B$2:$CA$2, 0)+1), "")</f>
        <v/>
      </c>
      <c r="F86" s="206" t="str">
        <f>IF(AND($A86&gt;=SYear_O, $A86&lt;=EYear_O, F$3&gt;0), F$3 * VLOOKUP($A86, Data_All!$A$8:$CA$153, MATCH(F$2, Data_All!$B$2:$CA$2, 0)+1), "")</f>
        <v/>
      </c>
      <c r="G86" s="206" t="str">
        <f>IF(AND($A86&gt;=SYear_O, $A86&lt;=EYear_O, G$3&gt;0), G$3 * VLOOKUP($A86, Data_All!$A$8:$CA$153, MATCH(G$2, Data_All!$B$2:$CA$2, 0)+1), "")</f>
        <v/>
      </c>
      <c r="H86" s="206" t="str">
        <f>IF(AND($A86&gt;=SYear_O, $A86&lt;=EYear_O, H$3&gt;0), H$3 * VLOOKUP($A86, Data_All!$A$8:$CA$153, MATCH(H$2, Data_All!$B$2:$CA$2, 0)+1), "")</f>
        <v/>
      </c>
      <c r="I86" s="206" t="str">
        <f>IF(AND($A86&gt;=SYear_O, $A86&lt;=EYear_O, I$3&gt;0), I$3 * VLOOKUP($A86, Data_All!$A$8:$CA$153, MATCH(I$2, Data_All!$B$2:$CA$2, 0)+1), "")</f>
        <v/>
      </c>
      <c r="J86" s="206" t="str">
        <f>IF(AND($A86&gt;=SYear_O, $A86&lt;=EYear_O, J$3&gt;0), J$3 * VLOOKUP($A86, Data_All!$A$8:$CA$153, MATCH(J$2, Data_All!$B$2:$CA$2, 0)+1), "")</f>
        <v/>
      </c>
      <c r="K86" s="206" t="str">
        <f>IF(AND($A86&gt;=SYear_O, $A86&lt;=EYear_O, K$3&gt;0), K$3 * VLOOKUP($A86, Data_All!$A$8:$CA$153, MATCH(K$2, Data_All!$B$2:$CA$2, 0)+1), "")</f>
        <v/>
      </c>
      <c r="L86" s="206" t="str">
        <f>IF(AND($A86&gt;=SYear_O, $A86&lt;=EYear_O, L$3&gt;0), L$3 * VLOOKUP($A86, Data_All!$A$8:$CA$153, MATCH(L$2, Data_All!$B$2:$CA$2, 0)+1), "")</f>
        <v/>
      </c>
      <c r="M86" s="206" t="str">
        <f>IF(AND($A86&gt;=SYear_O, $A86&lt;=EYear_O, M$3&gt;0), M$3 * VLOOKUP($A86, Data_All!$A$8:$CA$153, MATCH(M$2, Data_All!$B$2:$CA$2, 0)+1), "")</f>
        <v/>
      </c>
      <c r="N86" s="206" t="str">
        <f>IF(AND($A86&gt;=SYear_O, $A86&lt;=EYear_O, N$3&gt;0), N$3 * VLOOKUP($A86, Data_All!$A$8:$CA$153, MATCH(N$2, Data_All!$B$2:$CA$2, 0)+1), "")</f>
        <v/>
      </c>
      <c r="O86" s="206" t="str">
        <f>IF(AND($A86&gt;=SYear_O, $A86&lt;=EYear_O, O$3&gt;0), O$3 * VLOOKUP($A86, Data_All!$A$8:$CA$153, MATCH(O$2, Data_All!$B$2:$CA$2, 0)+1), "")</f>
        <v/>
      </c>
      <c r="P86" s="206" t="str">
        <f>IF(AND($A86&gt;=SYear_O, $A86&lt;=EYear_O, P$3&gt;0), P$3 * VLOOKUP($A86, Data_All!$A$8:$CA$153, MATCH(P$2, Data_All!$B$2:$CA$2, 0)+1), "")</f>
        <v/>
      </c>
      <c r="Q86" s="206" t="str">
        <f>IF(AND($A86&gt;=SYear_O, $A86&lt;=EYear_O, Q$3&gt;0), Q$3 * VLOOKUP($A86, Data_All!$A$8:$CA$153, MATCH(Q$2, Data_All!$B$2:$CA$2, 0)+1), "")</f>
        <v/>
      </c>
      <c r="R86" s="206" t="str">
        <f>IF(AND($A86&gt;=SYear_O, $A86&lt;=EYear_O, R$3&gt;0), R$3 * VLOOKUP($A86, Data_All!$A$8:$CA$153, MATCH(R$2, Data_All!$B$2:$CA$2, 0)+1), "")</f>
        <v/>
      </c>
      <c r="S86" s="206" t="str">
        <f>IF(AND($A86&gt;=SYear_O, $A86&lt;=EYear_O, S$3&gt;0), S$3 * VLOOKUP($A86, Data_All!$A$8:$CA$153, MATCH(S$2, Data_All!$B$2:$CA$2, 0)+1), "")</f>
        <v/>
      </c>
      <c r="T86" s="206" t="str">
        <f>IF(AND($A86&gt;=SYear_O, $A86&lt;=EYear_O, T$3&gt;0), T$3 * VLOOKUP($A86, Data_All!$A$8:$CA$153, MATCH(T$2, Data_All!$B$2:$CA$2, 0)+1), "")</f>
        <v/>
      </c>
      <c r="U86" s="206" t="str">
        <f>IF(AND($A86&gt;=SYear_O, $A86&lt;=EYear_O, U$3&gt;0), U$3 * VLOOKUP($A86, Data_All!$A$8:$CA$153, MATCH(U$2, Data_All!$B$2:$CA$2, 0)+1), "")</f>
        <v/>
      </c>
      <c r="V86" s="206" t="str">
        <f>IF(AND($A86&gt;=SYear_O, $A86&lt;=EYear_O, V$3&gt;0), V$3 * VLOOKUP($A86, Data_All!$A$8:$CA$153, MATCH(V$2, Data_All!$B$2:$CA$2, 0)+1), "")</f>
        <v/>
      </c>
      <c r="W86" s="206" t="str">
        <f>IF(AND($A86&gt;=SYear_O, $A86&lt;=EYear_O, W$3&gt;0), W$3 * VLOOKUP($A86, Data_All!$A$8:$CA$153, MATCH(W$2, Data_All!$B$2:$CA$2, 0)+1), "")</f>
        <v/>
      </c>
      <c r="X86" s="206" t="str">
        <f>IF(AND($A86&gt;=SYear_O, $A86&lt;=EYear_O, X$3&gt;0), X$3 * VLOOKUP($A86, Data_All!$A$8:$CA$153, MATCH(X$2, Data_All!$B$2:$CA$2, 0)+1), "")</f>
        <v/>
      </c>
      <c r="Y86" s="206" t="str">
        <f>IF(AND($A86&gt;=SYear_O, $A86&lt;=EYear_O, Y$3&gt;0), Y$3 * VLOOKUP($A86, Data_All!$A$8:$CA$153, MATCH(Y$2, Data_All!$B$2:$CA$2, 0)+1), "")</f>
        <v/>
      </c>
      <c r="Z86" s="206" t="str">
        <f>IF(AND($A86&gt;=SYear_O, $A86&lt;=EYear_O, Z$3&gt;0), Z$3 * VLOOKUP($A86, Data_All!$A$8:$CA$153, MATCH(Z$2, Data_All!$B$2:$CA$2, 0)+1), "")</f>
        <v/>
      </c>
      <c r="AA86" s="206" t="str">
        <f>IF(AND($A86&gt;=SYear_O, $A86&lt;=EYear_O, AA$3&gt;0), AA$3 * VLOOKUP($A86, Data_All!$A$8:$CA$153, MATCH(AA$2, Data_All!$B$2:$CA$2, 0)+1), "")</f>
        <v/>
      </c>
      <c r="AB86" s="206" t="str">
        <f>IF(AND($A86&gt;=SYear_O, $A86&lt;=EYear_O, AB$3&gt;0), AB$3 * VLOOKUP($A86, Data_All!$A$8:$CA$153, MATCH(AB$2, Data_All!$B$2:$CA$2, 0)+1), "")</f>
        <v/>
      </c>
      <c r="AC86" s="206" t="str">
        <f>IF(AND($A86&gt;=SYear_O, $A86&lt;=EYear_O, AC$3&gt;0), AC$3 * VLOOKUP($A86, Data_All!$A$8:$CA$153, MATCH(AC$2, Data_All!$B$2:$CA$2, 0)+1), "")</f>
        <v/>
      </c>
      <c r="AD86" s="206" t="str">
        <f>IF(AND($A86&gt;=SYear_O, $A86&lt;=EYear_O, AD$3&gt;0), AD$3 * VLOOKUP($A86, Data_All!$A$8:$CA$153, MATCH(AD$2, Data_All!$B$2:$CA$2, 0)+1), "")</f>
        <v/>
      </c>
      <c r="AE86" s="206" t="str">
        <f>IF(AND($A86&gt;=SYear_O, $A86&lt;=EYear_O, AE$3&gt;0), AE$3 * VLOOKUP($A86, Data_All!$A$8:$CA$153, MATCH(AE$2, Data_All!$B$2:$CA$2, 0)+1), "")</f>
        <v/>
      </c>
      <c r="AF86" s="206" t="str">
        <f>IF(AND($A86&gt;=SYear_O, $A86&lt;=EYear_O, AF$3&gt;0), AF$3 * VLOOKUP($A86, Data_All!$A$8:$CA$153, MATCH(AF$2, Data_All!$B$2:$CA$2, 0)+1), "")</f>
        <v/>
      </c>
      <c r="AG86" s="206" t="str">
        <f>IF(AND($A86&gt;=SYear_O, $A86&lt;=EYear_O, AG$3&gt;0), AG$3 * VLOOKUP($A86, Data_All!$A$8:$CA$153, MATCH(AG$2, Data_All!$B$2:$CA$2, 0)+1), "")</f>
        <v/>
      </c>
      <c r="AH86" s="206" t="str">
        <f>IF(AND($A86&gt;=SYear_O, $A86&lt;=EYear_O, AH$3&gt;0), AH$3 * VLOOKUP($A86, Data_All!$A$8:$CA$153, MATCH(AH$2, Data_All!$B$2:$CA$2, 0)+1), "")</f>
        <v/>
      </c>
      <c r="AI86" s="206" t="str">
        <f>IF(AND($A86&gt;=SYear_O, $A86&lt;=EYear_O, AI$3&gt;0), AI$3 * VLOOKUP($A86, Data_All!$A$8:$CA$153, MATCH(AI$2, Data_All!$B$2:$CA$2, 0)+1), "")</f>
        <v/>
      </c>
      <c r="AJ86" s="206" t="str">
        <f>IF(AND($A86&gt;=SYear_O, $A86&lt;=EYear_O, AJ$3&gt;0), AJ$3 * VLOOKUP($A86, Data_All!$A$8:$CA$153, MATCH(AJ$2, Data_All!$B$2:$CA$2, 0)+1), "")</f>
        <v/>
      </c>
      <c r="AK86" s="206" t="str">
        <f>IF(AND($A86&gt;=SYear_O, $A86&lt;=EYear_O, AK$3&gt;0), AK$3 * VLOOKUP($A86, Data_All!$A$8:$CA$153, MATCH(AK$2, Data_All!$B$2:$CA$2, 0)+1), "")</f>
        <v/>
      </c>
      <c r="AL86" s="206" t="str">
        <f>IF(AND($A86&gt;=SYear_O, $A86&lt;=EYear_O, AL$3&gt;0), AL$3 * VLOOKUP($A86, Data_All!$A$8:$CA$153, MATCH(AL$2, Data_All!$B$2:$CA$2, 0)+1), "")</f>
        <v/>
      </c>
      <c r="AM86" s="206" t="str">
        <f>IF(AND($A86&gt;=SYear_O, $A86&lt;=EYear_O, AM$3&gt;0), AM$3 * VLOOKUP($A86, Data_All!$A$8:$CA$153, MATCH(AM$2, Data_All!$B$2:$CA$2, 0)+1), "")</f>
        <v/>
      </c>
      <c r="AN86" s="206" t="str">
        <f>IF(AND($A86&gt;=SYear_O, $A86&lt;=EYear_O, AN$3&gt;0), AN$3 * VLOOKUP($A86, Data_All!$A$8:$CA$153, MATCH(AN$2, Data_All!$B$2:$CA$2, 0)+1), "")</f>
        <v/>
      </c>
      <c r="AO86" s="206" t="str">
        <f>IF(AND($A86&gt;=SYear_O, $A86&lt;=EYear_O, AO$3&gt;0), AO$3 * VLOOKUP($A86, Data_All!$A$8:$CA$153, MATCH(AO$2, Data_All!$B$2:$CA$2, 0)+1), "")</f>
        <v/>
      </c>
      <c r="AP86" s="206" t="str">
        <f>IF(AND($A86&gt;=SYear_O, $A86&lt;=EYear_O, AP$3&gt;0), AP$3 * VLOOKUP($A86, Data_All!$A$8:$CA$153, MATCH(AP$2, Data_All!$B$2:$CA$2, 0)+1), "")</f>
        <v/>
      </c>
      <c r="AQ86" s="206" t="str">
        <f>IF(AND($A86&gt;=SYear_O, $A86&lt;=EYear_O, AQ$3&gt;0), AQ$3 * VLOOKUP($A86, Data_All!$A$8:$CA$153, MATCH(AQ$2, Data_All!$B$2:$CA$2, 0)+1), "")</f>
        <v/>
      </c>
      <c r="AR86" s="206" t="str">
        <f>IF(AND($A86&gt;=SYear_O, $A86&lt;=EYear_O, AR$3&gt;0), AR$3 * VLOOKUP($A86, Data_All!$A$8:$CA$153, MATCH(AR$2, Data_All!$B$2:$CA$2, 0)+1), "")</f>
        <v/>
      </c>
      <c r="AS86" s="206" t="str">
        <f>IF(AND($A86&gt;=SYear_O, $A86&lt;=EYear_O, AS$3&gt;0), AS$3 * VLOOKUP($A86, Data_All!$A$8:$CA$153, MATCH(AS$2, Data_All!$B$2:$CA$2, 0)+1), "")</f>
        <v/>
      </c>
      <c r="AT86" s="206" t="str">
        <f>IF(AND($A86&gt;=SYear_O, $A86&lt;=EYear_O, AT$3&gt;0), AT$3 * VLOOKUP($A86, Data_All!$A$8:$CA$153, MATCH(AT$2, Data_All!$B$2:$CA$2, 0)+1), "")</f>
        <v/>
      </c>
      <c r="AU86" s="206" t="str">
        <f>IF(AND($A86&gt;=SYear_O, $A86&lt;=EYear_O, AU$3&gt;0), AU$3 * VLOOKUP($A86, Data_All!$A$8:$CA$153, MATCH(AU$2, Data_All!$B$2:$CA$2, 0)+1), "")</f>
        <v/>
      </c>
      <c r="AV86" s="206" t="str">
        <f>IF(AND($A86&gt;=SYear_O, $A86&lt;=EYear_O, AV$3&gt;0), AV$3 * VLOOKUP($A86, Data_All!$A$8:$CA$153, MATCH(AV$2, Data_All!$B$2:$CA$2, 0)+1), "")</f>
        <v/>
      </c>
      <c r="AW86" s="206" t="str">
        <f>IF(AND($A86&gt;=SYear_O, $A86&lt;=EYear_O, AW$3&gt;0), AW$3 * VLOOKUP($A86, Data_All!$A$8:$CA$153, MATCH(AW$2, Data_All!$B$2:$CA$2, 0)+1), "")</f>
        <v/>
      </c>
      <c r="AX86" s="206" t="str">
        <f>IF(AND($A86&gt;=SYear_O, $A86&lt;=EYear_O, AX$3&gt;0), AX$3 * VLOOKUP($A86, Data_All!$A$8:$CA$153, MATCH(AX$2, Data_All!$B$2:$CA$2, 0)+1), "")</f>
        <v/>
      </c>
      <c r="AY86" s="206" t="str">
        <f>IF(AND($A86&gt;=SYear_O, $A86&lt;=EYear_O, AY$3&gt;0), AY$3 * VLOOKUP($A86, Data_All!$A$8:$CA$153, MATCH(AY$2, Data_All!$B$2:$CA$2, 0)+1), "")</f>
        <v/>
      </c>
      <c r="AZ86" s="206" t="str">
        <f>IF(AND($A86&gt;=SYear_O, $A86&lt;=EYear_O, AZ$3&gt;0), AZ$3 * VLOOKUP($A86, Data_All!$A$8:$CA$153, MATCH(AZ$2, Data_All!$B$2:$CA$2, 0)+1), "")</f>
        <v/>
      </c>
      <c r="BA86" s="206" t="str">
        <f>IF(AND($A86&gt;=SYear_O, $A86&lt;=EYear_O, BA$3&gt;0), BA$3 * VLOOKUP($A86, Data_All!$A$8:$CA$153, MATCH(BA$2, Data_All!$B$2:$CA$2, 0)+1), "")</f>
        <v/>
      </c>
      <c r="BB86" s="206" t="str">
        <f>IF(AND($A86&gt;=SYear_O, $A86&lt;=EYear_O, BB$3&gt;0), BB$3 * VLOOKUP($A86, Data_All!$A$8:$CA$153, MATCH(BB$2, Data_All!$B$2:$CA$2, 0)+1), "")</f>
        <v/>
      </c>
      <c r="BC86" s="206" t="str">
        <f>IF(AND($A86&gt;=SYear_O, $A86&lt;=EYear_O, BC$3&gt;0), BC$3 * VLOOKUP($A86, Data_All!$A$8:$CA$153, MATCH(BC$2, Data_All!$B$2:$CA$2, 0)+1), "")</f>
        <v/>
      </c>
      <c r="BD86" s="206" t="str">
        <f>IF(AND($A86&gt;=SYear_O, $A86&lt;=EYear_O, BD$3&gt;0), BD$3 * VLOOKUP($A86, Data_All!$A$8:$CA$153, MATCH(BD$2, Data_All!$B$2:$CA$2, 0)+1), "")</f>
        <v/>
      </c>
      <c r="BE86" s="206" t="str">
        <f>IF(AND($A86&gt;=SYear_O, $A86&lt;=EYear_O, BE$3&gt;0), BE$3 * VLOOKUP($A86, Data_All!$A$8:$CA$153, MATCH(BE$2, Data_All!$B$2:$CA$2, 0)+1), "")</f>
        <v/>
      </c>
      <c r="BF86" s="206" t="str">
        <f>IF(AND($A86&gt;=SYear_O, $A86&lt;=EYear_O, BF$3&gt;0), BF$3 * VLOOKUP($A86, Data_All!$A$8:$CA$153, MATCH(BF$2, Data_All!$B$2:$CA$2, 0)+1), "")</f>
        <v/>
      </c>
      <c r="BG86" s="206" t="str">
        <f>IF(AND($A86&gt;=SYear_O, $A86&lt;=EYear_O, BG$3&gt;0), BG$3 * VLOOKUP($A86, Data_All!$A$8:$CA$153, MATCH(BG$2, Data_All!$B$2:$CA$2, 0)+1), "")</f>
        <v/>
      </c>
      <c r="BH86" s="206" t="str">
        <f>IF(AND($A86&gt;=SYear_O, $A86&lt;=EYear_O, BH$3&gt;0), BH$3 * VLOOKUP($A86, Data_All!$A$8:$CA$153, MATCH(BH$2, Data_All!$B$2:$CA$2, 0)+1), "")</f>
        <v/>
      </c>
      <c r="BI86" s="206" t="str">
        <f>IF(AND($A86&gt;=SYear_O, $A86&lt;=EYear_O, BI$3&gt;0), BI$3 * VLOOKUP($A86, Data_All!$A$8:$CA$153, MATCH(BI$2, Data_All!$B$2:$CA$2, 0)+1), "")</f>
        <v/>
      </c>
      <c r="BJ86" s="206" t="str">
        <f>IF(AND($A86&gt;=SYear_O, $A86&lt;=EYear_O, BJ$3&gt;0), BJ$3 * VLOOKUP($A86, Data_All!$A$8:$CA$153, MATCH(BJ$2, Data_All!$B$2:$CA$2, 0)+1), "")</f>
        <v/>
      </c>
      <c r="BK86" s="206" t="str">
        <f>IF(AND($A86&gt;=SYear_O, $A86&lt;=EYear_O, BK$3&gt;0), BK$3 * VLOOKUP($A86, Data_All!$A$8:$CA$153, MATCH(BK$2, Data_All!$B$2:$CA$2, 0)+1), "")</f>
        <v/>
      </c>
      <c r="BL86" s="206" t="str">
        <f>IF(AND($A86&gt;=SYear_O, $A86&lt;=EYear_O, BL$3&gt;0), BL$3 * VLOOKUP($A86, Data_All!$A$8:$CA$153, MATCH(BL$2, Data_All!$B$2:$CA$2, 0)+1), "")</f>
        <v/>
      </c>
      <c r="BM86" s="206" t="str">
        <f>IF(AND($A86&gt;=SYear_O, $A86&lt;=EYear_O, BM$3&gt;0), BM$3 * VLOOKUP($A86, Data_All!$A$8:$CA$153, MATCH(BM$2, Data_All!$B$2:$CA$2, 0)+1), "")</f>
        <v/>
      </c>
      <c r="BN86" s="206" t="str">
        <f>IF(AND($A86&gt;=SYear_O, $A86&lt;=EYear_O, BN$3&gt;0), BN$3 * VLOOKUP($A86, Data_All!$A$8:$CA$153, MATCH(BN$2, Data_All!$B$2:$CA$2, 0)+1), "")</f>
        <v/>
      </c>
      <c r="BO86" s="206" t="str">
        <f>IF(AND($A86&gt;=SYear_O, $A86&lt;=EYear_O, BO$3&gt;0), BO$3 * VLOOKUP($A86, Data_All!$A$8:$CA$153, MATCH(BO$2, Data_All!$B$2:$CA$2, 0)+1), "")</f>
        <v/>
      </c>
      <c r="BP86" s="206" t="str">
        <f>IF(AND($A86&gt;=SYear_O, $A86&lt;=EYear_O, BP$3&gt;0), BP$3 * VLOOKUP($A86, Data_All!$A$8:$CA$153, MATCH(BP$2, Data_All!$B$2:$CA$2, 0)+1), "")</f>
        <v/>
      </c>
      <c r="BQ86" s="206" t="str">
        <f>IF(AND($A86&gt;=SYear_O, $A86&lt;=EYear_O, BQ$3&gt;0), BQ$3 * VLOOKUP($A86, Data_All!$A$8:$CA$153, MATCH(BQ$2, Data_All!$B$2:$CA$2, 0)+1), "")</f>
        <v/>
      </c>
      <c r="BR86" s="206" t="str">
        <f>IF(AND($A86&gt;=SYear_O, $A86&lt;=EYear_O, BR$3&gt;0), BR$3 * VLOOKUP($A86, Data_All!$A$8:$CA$153, MATCH(BR$2, Data_All!$B$2:$CA$2, 0)+1), "")</f>
        <v/>
      </c>
      <c r="BS86" s="206" t="str">
        <f>IF(AND($A86&gt;=SYear_O, $A86&lt;=EYear_O, BS$3&gt;0), BS$3 * VLOOKUP($A86, Data_All!$A$8:$CA$153, MATCH(BS$2, Data_All!$B$2:$CA$2, 0)+1), "")</f>
        <v/>
      </c>
      <c r="BT86" s="206" t="str">
        <f>IF(AND($A86&gt;=SYear_O, $A86&lt;=EYear_O, BT$3&gt;0), BT$3 * VLOOKUP($A86, Data_All!$A$8:$CA$153, MATCH(BT$2, Data_All!$B$2:$CA$2, 0)+1), "")</f>
        <v/>
      </c>
      <c r="BU86" s="206" t="str">
        <f>IF(AND($A86&gt;=SYear_O, $A86&lt;=EYear_O, BU$3&gt;0), BU$3 * VLOOKUP($A86, Data_All!$A$8:$CA$153, MATCH(BU$2, Data_All!$B$2:$CA$2, 0)+1), "")</f>
        <v/>
      </c>
      <c r="BV86" s="206" t="str">
        <f>IF(AND($A86&gt;=SYear_O, $A86&lt;=EYear_O, BV$3&gt;0), BV$3 * VLOOKUP($A86, Data_All!$A$8:$CA$153, MATCH(BV$2, Data_All!$B$2:$CA$2, 0)+1), "")</f>
        <v/>
      </c>
      <c r="BW86" s="206" t="str">
        <f>IF(AND($A86&gt;=SYear_O, $A86&lt;=EYear_O, BW$3&gt;0), BW$3 * VLOOKUP($A86, Data_All!$A$8:$CA$153, MATCH(BW$2, Data_All!$B$2:$CA$2, 0)+1), "")</f>
        <v/>
      </c>
      <c r="BX86" s="206">
        <f>IF(AND($A86&gt;=SYear_O, $A86&lt;=EYear_O, BX$3&gt;0), BX$3 * VLOOKUP($A86, Data_All!$A$8:$CA$153, MATCH(BX$2, Data_All!$B$2:$CA$2, 0)+1), "")</f>
        <v>20.616113744075832</v>
      </c>
      <c r="BY86" s="206">
        <f>IF(AND($A86&gt;=SYear_O, $A86&lt;=EYear_O, BY$3&gt;0), BY$3 * VLOOKUP($A86, Data_All!$A$8:$CA$153, MATCH(BY$2, Data_All!$B$2:$CA$2, 0)+1), "")</f>
        <v>8.3048423576670416E-2</v>
      </c>
      <c r="BZ86" s="206" t="str">
        <f>IF(AND($A86&gt;=SYear_O, $A86&lt;=EYear_O, BZ$3&gt;0), BZ$3 * VLOOKUP($A86, Data_All!$A$8:$CA$153, MATCH(BZ$2, Data_All!$B$2:$CA$2, 0)+1), "")</f>
        <v/>
      </c>
      <c r="CA86" s="565">
        <f t="shared" si="35"/>
        <v>20.699162167652503</v>
      </c>
      <c r="CB86" s="427">
        <f t="shared" si="36"/>
        <v>1390701.4816413475</v>
      </c>
      <c r="CC86" s="565">
        <f>IF(AND($A86&gt;=SYear_O,$A86&lt;=EYear_O),(CA86-Data_All!CA87)/(1+Data_All!CA87%),"")</f>
        <v>11.670484682670622</v>
      </c>
      <c r="CD86" s="436">
        <f t="shared" si="37"/>
        <v>682432.60236095067</v>
      </c>
      <c r="CE86" s="438">
        <f t="shared" si="38"/>
        <v>126.13556573655333</v>
      </c>
      <c r="CF86" s="438">
        <f>IF(AND($A86&gt;=SYear_O,$A86&lt;=EYear_O),MAX($CE$7:CE86),"")</f>
        <v>126.13556573655333</v>
      </c>
      <c r="CG86" s="209">
        <f t="shared" si="39"/>
        <v>0</v>
      </c>
      <c r="CI86" s="143">
        <f>IF(AND($A86&gt;=SYear_O,$A86&lt;=EYear_O),Data_All!V87,"")</f>
        <v>1.2288939954041365</v>
      </c>
      <c r="CJ86" s="143">
        <f>IF(AND($A86&gt;=SYear_O,$A86&lt;=EYear_O),Data_All!CA87,"")</f>
        <v>8.085106382978724</v>
      </c>
      <c r="CK86" s="143">
        <f t="shared" si="40"/>
        <v>-6.343346106614284</v>
      </c>
      <c r="CN86" s="61">
        <f t="shared" si="41"/>
        <v>0.20699162167652507</v>
      </c>
      <c r="CO86" s="61">
        <f t="shared" si="42"/>
        <v>0.14248050938862278</v>
      </c>
      <c r="CP86" s="61">
        <f t="shared" si="43"/>
        <v>0.14711306804825175</v>
      </c>
      <c r="CQ86" s="61">
        <f t="shared" si="44"/>
        <v>0.11964509455902039</v>
      </c>
      <c r="CR86" s="61">
        <f t="shared" si="45"/>
        <v>0.10967685362428647</v>
      </c>
      <c r="CU86" s="61">
        <f t="shared" si="46"/>
        <v>0.11670484682670623</v>
      </c>
      <c r="CV86" s="61">
        <f t="shared" si="47"/>
        <v>9.6253202269159344E-2</v>
      </c>
      <c r="CW86" s="61">
        <f t="shared" si="48"/>
        <v>0.11819500392382576</v>
      </c>
      <c r="CX86" s="61">
        <f t="shared" si="49"/>
        <v>9.5217578925282709E-2</v>
      </c>
      <c r="CY86" s="61">
        <f t="shared" si="50"/>
        <v>8.8906888546038232E-2</v>
      </c>
    </row>
    <row r="87" spans="1:103">
      <c r="A87" s="204">
        <f t="shared" si="51"/>
        <v>1951</v>
      </c>
      <c r="B87" s="206" t="str">
        <f>IF(AND($A87&gt;=SYear_O, $A87&lt;=EYear_O, B$3&gt;0), B$3 * VLOOKUP($A87, Data_All!$A$8:$CA$153, MATCH(B$2, Data_All!$B$2:$CA$2, 0)+1), "")</f>
        <v/>
      </c>
      <c r="C87" s="206" t="str">
        <f>IF(AND($A87&gt;=SYear_O, $A87&lt;=EYear_O, C$3&gt;0), C$3 * VLOOKUP($A87, Data_All!$A$8:$CA$153, MATCH(C$2, Data_All!$B$2:$CA$2, 0)+1), "")</f>
        <v/>
      </c>
      <c r="D87" s="206" t="str">
        <f>IF(AND($A87&gt;=SYear_O, $A87&lt;=EYear_O, D$3&gt;0), D$3 * VLOOKUP($A87, Data_All!$A$8:$CA$153, MATCH(D$2, Data_All!$B$2:$CA$2, 0)+1), "")</f>
        <v/>
      </c>
      <c r="E87" s="206" t="str">
        <f>IF(AND($A87&gt;=SYear_O, $A87&lt;=EYear_O, E$3&gt;0), E$3 * VLOOKUP($A87, Data_All!$A$8:$CA$153, MATCH(E$2, Data_All!$B$2:$CA$2, 0)+1), "")</f>
        <v/>
      </c>
      <c r="F87" s="206" t="str">
        <f>IF(AND($A87&gt;=SYear_O, $A87&lt;=EYear_O, F$3&gt;0), F$3 * VLOOKUP($A87, Data_All!$A$8:$CA$153, MATCH(F$2, Data_All!$B$2:$CA$2, 0)+1), "")</f>
        <v/>
      </c>
      <c r="G87" s="206" t="str">
        <f>IF(AND($A87&gt;=SYear_O, $A87&lt;=EYear_O, G$3&gt;0), G$3 * VLOOKUP($A87, Data_All!$A$8:$CA$153, MATCH(G$2, Data_All!$B$2:$CA$2, 0)+1), "")</f>
        <v/>
      </c>
      <c r="H87" s="206" t="str">
        <f>IF(AND($A87&gt;=SYear_O, $A87&lt;=EYear_O, H$3&gt;0), H$3 * VLOOKUP($A87, Data_All!$A$8:$CA$153, MATCH(H$2, Data_All!$B$2:$CA$2, 0)+1), "")</f>
        <v/>
      </c>
      <c r="I87" s="206" t="str">
        <f>IF(AND($A87&gt;=SYear_O, $A87&lt;=EYear_O, I$3&gt;0), I$3 * VLOOKUP($A87, Data_All!$A$8:$CA$153, MATCH(I$2, Data_All!$B$2:$CA$2, 0)+1), "")</f>
        <v/>
      </c>
      <c r="J87" s="206" t="str">
        <f>IF(AND($A87&gt;=SYear_O, $A87&lt;=EYear_O, J$3&gt;0), J$3 * VLOOKUP($A87, Data_All!$A$8:$CA$153, MATCH(J$2, Data_All!$B$2:$CA$2, 0)+1), "")</f>
        <v/>
      </c>
      <c r="K87" s="206" t="str">
        <f>IF(AND($A87&gt;=SYear_O, $A87&lt;=EYear_O, K$3&gt;0), K$3 * VLOOKUP($A87, Data_All!$A$8:$CA$153, MATCH(K$2, Data_All!$B$2:$CA$2, 0)+1), "")</f>
        <v/>
      </c>
      <c r="L87" s="206" t="str">
        <f>IF(AND($A87&gt;=SYear_O, $A87&lt;=EYear_O, L$3&gt;0), L$3 * VLOOKUP($A87, Data_All!$A$8:$CA$153, MATCH(L$2, Data_All!$B$2:$CA$2, 0)+1), "")</f>
        <v/>
      </c>
      <c r="M87" s="206" t="str">
        <f>IF(AND($A87&gt;=SYear_O, $A87&lt;=EYear_O, M$3&gt;0), M$3 * VLOOKUP($A87, Data_All!$A$8:$CA$153, MATCH(M$2, Data_All!$B$2:$CA$2, 0)+1), "")</f>
        <v/>
      </c>
      <c r="N87" s="206" t="str">
        <f>IF(AND($A87&gt;=SYear_O, $A87&lt;=EYear_O, N$3&gt;0), N$3 * VLOOKUP($A87, Data_All!$A$8:$CA$153, MATCH(N$2, Data_All!$B$2:$CA$2, 0)+1), "")</f>
        <v/>
      </c>
      <c r="O87" s="206" t="str">
        <f>IF(AND($A87&gt;=SYear_O, $A87&lt;=EYear_O, O$3&gt;0), O$3 * VLOOKUP($A87, Data_All!$A$8:$CA$153, MATCH(O$2, Data_All!$B$2:$CA$2, 0)+1), "")</f>
        <v/>
      </c>
      <c r="P87" s="206" t="str">
        <f>IF(AND($A87&gt;=SYear_O, $A87&lt;=EYear_O, P$3&gt;0), P$3 * VLOOKUP($A87, Data_All!$A$8:$CA$153, MATCH(P$2, Data_All!$B$2:$CA$2, 0)+1), "")</f>
        <v/>
      </c>
      <c r="Q87" s="206" t="str">
        <f>IF(AND($A87&gt;=SYear_O, $A87&lt;=EYear_O, Q$3&gt;0), Q$3 * VLOOKUP($A87, Data_All!$A$8:$CA$153, MATCH(Q$2, Data_All!$B$2:$CA$2, 0)+1), "")</f>
        <v/>
      </c>
      <c r="R87" s="206" t="str">
        <f>IF(AND($A87&gt;=SYear_O, $A87&lt;=EYear_O, R$3&gt;0), R$3 * VLOOKUP($A87, Data_All!$A$8:$CA$153, MATCH(R$2, Data_All!$B$2:$CA$2, 0)+1), "")</f>
        <v/>
      </c>
      <c r="S87" s="206" t="str">
        <f>IF(AND($A87&gt;=SYear_O, $A87&lt;=EYear_O, S$3&gt;0), S$3 * VLOOKUP($A87, Data_All!$A$8:$CA$153, MATCH(S$2, Data_All!$B$2:$CA$2, 0)+1), "")</f>
        <v/>
      </c>
      <c r="T87" s="206" t="str">
        <f>IF(AND($A87&gt;=SYear_O, $A87&lt;=EYear_O, T$3&gt;0), T$3 * VLOOKUP($A87, Data_All!$A$8:$CA$153, MATCH(T$2, Data_All!$B$2:$CA$2, 0)+1), "")</f>
        <v/>
      </c>
      <c r="U87" s="206" t="str">
        <f>IF(AND($A87&gt;=SYear_O, $A87&lt;=EYear_O, U$3&gt;0), U$3 * VLOOKUP($A87, Data_All!$A$8:$CA$153, MATCH(U$2, Data_All!$B$2:$CA$2, 0)+1), "")</f>
        <v/>
      </c>
      <c r="V87" s="206" t="str">
        <f>IF(AND($A87&gt;=SYear_O, $A87&lt;=EYear_O, V$3&gt;0), V$3 * VLOOKUP($A87, Data_All!$A$8:$CA$153, MATCH(V$2, Data_All!$B$2:$CA$2, 0)+1), "")</f>
        <v/>
      </c>
      <c r="W87" s="206" t="str">
        <f>IF(AND($A87&gt;=SYear_O, $A87&lt;=EYear_O, W$3&gt;0), W$3 * VLOOKUP($A87, Data_All!$A$8:$CA$153, MATCH(W$2, Data_All!$B$2:$CA$2, 0)+1), "")</f>
        <v/>
      </c>
      <c r="X87" s="206" t="str">
        <f>IF(AND($A87&gt;=SYear_O, $A87&lt;=EYear_O, X$3&gt;0), X$3 * VLOOKUP($A87, Data_All!$A$8:$CA$153, MATCH(X$2, Data_All!$B$2:$CA$2, 0)+1), "")</f>
        <v/>
      </c>
      <c r="Y87" s="206" t="str">
        <f>IF(AND($A87&gt;=SYear_O, $A87&lt;=EYear_O, Y$3&gt;0), Y$3 * VLOOKUP($A87, Data_All!$A$8:$CA$153, MATCH(Y$2, Data_All!$B$2:$CA$2, 0)+1), "")</f>
        <v/>
      </c>
      <c r="Z87" s="206" t="str">
        <f>IF(AND($A87&gt;=SYear_O, $A87&lt;=EYear_O, Z$3&gt;0), Z$3 * VLOOKUP($A87, Data_All!$A$8:$CA$153, MATCH(Z$2, Data_All!$B$2:$CA$2, 0)+1), "")</f>
        <v/>
      </c>
      <c r="AA87" s="206" t="str">
        <f>IF(AND($A87&gt;=SYear_O, $A87&lt;=EYear_O, AA$3&gt;0), AA$3 * VLOOKUP($A87, Data_All!$A$8:$CA$153, MATCH(AA$2, Data_All!$B$2:$CA$2, 0)+1), "")</f>
        <v/>
      </c>
      <c r="AB87" s="206" t="str">
        <f>IF(AND($A87&gt;=SYear_O, $A87&lt;=EYear_O, AB$3&gt;0), AB$3 * VLOOKUP($A87, Data_All!$A$8:$CA$153, MATCH(AB$2, Data_All!$B$2:$CA$2, 0)+1), "")</f>
        <v/>
      </c>
      <c r="AC87" s="206" t="str">
        <f>IF(AND($A87&gt;=SYear_O, $A87&lt;=EYear_O, AC$3&gt;0), AC$3 * VLOOKUP($A87, Data_All!$A$8:$CA$153, MATCH(AC$2, Data_All!$B$2:$CA$2, 0)+1), "")</f>
        <v/>
      </c>
      <c r="AD87" s="206" t="str">
        <f>IF(AND($A87&gt;=SYear_O, $A87&lt;=EYear_O, AD$3&gt;0), AD$3 * VLOOKUP($A87, Data_All!$A$8:$CA$153, MATCH(AD$2, Data_All!$B$2:$CA$2, 0)+1), "")</f>
        <v/>
      </c>
      <c r="AE87" s="206" t="str">
        <f>IF(AND($A87&gt;=SYear_O, $A87&lt;=EYear_O, AE$3&gt;0), AE$3 * VLOOKUP($A87, Data_All!$A$8:$CA$153, MATCH(AE$2, Data_All!$B$2:$CA$2, 0)+1), "")</f>
        <v/>
      </c>
      <c r="AF87" s="206" t="str">
        <f>IF(AND($A87&gt;=SYear_O, $A87&lt;=EYear_O, AF$3&gt;0), AF$3 * VLOOKUP($A87, Data_All!$A$8:$CA$153, MATCH(AF$2, Data_All!$B$2:$CA$2, 0)+1), "")</f>
        <v/>
      </c>
      <c r="AG87" s="206" t="str">
        <f>IF(AND($A87&gt;=SYear_O, $A87&lt;=EYear_O, AG$3&gt;0), AG$3 * VLOOKUP($A87, Data_All!$A$8:$CA$153, MATCH(AG$2, Data_All!$B$2:$CA$2, 0)+1), "")</f>
        <v/>
      </c>
      <c r="AH87" s="206" t="str">
        <f>IF(AND($A87&gt;=SYear_O, $A87&lt;=EYear_O, AH$3&gt;0), AH$3 * VLOOKUP($A87, Data_All!$A$8:$CA$153, MATCH(AH$2, Data_All!$B$2:$CA$2, 0)+1), "")</f>
        <v/>
      </c>
      <c r="AI87" s="206" t="str">
        <f>IF(AND($A87&gt;=SYear_O, $A87&lt;=EYear_O, AI$3&gt;0), AI$3 * VLOOKUP($A87, Data_All!$A$8:$CA$153, MATCH(AI$2, Data_All!$B$2:$CA$2, 0)+1), "")</f>
        <v/>
      </c>
      <c r="AJ87" s="206" t="str">
        <f>IF(AND($A87&gt;=SYear_O, $A87&lt;=EYear_O, AJ$3&gt;0), AJ$3 * VLOOKUP($A87, Data_All!$A$8:$CA$153, MATCH(AJ$2, Data_All!$B$2:$CA$2, 0)+1), "")</f>
        <v/>
      </c>
      <c r="AK87" s="206" t="str">
        <f>IF(AND($A87&gt;=SYear_O, $A87&lt;=EYear_O, AK$3&gt;0), AK$3 * VLOOKUP($A87, Data_All!$A$8:$CA$153, MATCH(AK$2, Data_All!$B$2:$CA$2, 0)+1), "")</f>
        <v/>
      </c>
      <c r="AL87" s="206" t="str">
        <f>IF(AND($A87&gt;=SYear_O, $A87&lt;=EYear_O, AL$3&gt;0), AL$3 * VLOOKUP($A87, Data_All!$A$8:$CA$153, MATCH(AL$2, Data_All!$B$2:$CA$2, 0)+1), "")</f>
        <v/>
      </c>
      <c r="AM87" s="206" t="str">
        <f>IF(AND($A87&gt;=SYear_O, $A87&lt;=EYear_O, AM$3&gt;0), AM$3 * VLOOKUP($A87, Data_All!$A$8:$CA$153, MATCH(AM$2, Data_All!$B$2:$CA$2, 0)+1), "")</f>
        <v/>
      </c>
      <c r="AN87" s="206" t="str">
        <f>IF(AND($A87&gt;=SYear_O, $A87&lt;=EYear_O, AN$3&gt;0), AN$3 * VLOOKUP($A87, Data_All!$A$8:$CA$153, MATCH(AN$2, Data_All!$B$2:$CA$2, 0)+1), "")</f>
        <v/>
      </c>
      <c r="AO87" s="206" t="str">
        <f>IF(AND($A87&gt;=SYear_O, $A87&lt;=EYear_O, AO$3&gt;0), AO$3 * VLOOKUP($A87, Data_All!$A$8:$CA$153, MATCH(AO$2, Data_All!$B$2:$CA$2, 0)+1), "")</f>
        <v/>
      </c>
      <c r="AP87" s="206" t="str">
        <f>IF(AND($A87&gt;=SYear_O, $A87&lt;=EYear_O, AP$3&gt;0), AP$3 * VLOOKUP($A87, Data_All!$A$8:$CA$153, MATCH(AP$2, Data_All!$B$2:$CA$2, 0)+1), "")</f>
        <v/>
      </c>
      <c r="AQ87" s="206" t="str">
        <f>IF(AND($A87&gt;=SYear_O, $A87&lt;=EYear_O, AQ$3&gt;0), AQ$3 * VLOOKUP($A87, Data_All!$A$8:$CA$153, MATCH(AQ$2, Data_All!$B$2:$CA$2, 0)+1), "")</f>
        <v/>
      </c>
      <c r="AR87" s="206" t="str">
        <f>IF(AND($A87&gt;=SYear_O, $A87&lt;=EYear_O, AR$3&gt;0), AR$3 * VLOOKUP($A87, Data_All!$A$8:$CA$153, MATCH(AR$2, Data_All!$B$2:$CA$2, 0)+1), "")</f>
        <v/>
      </c>
      <c r="AS87" s="206" t="str">
        <f>IF(AND($A87&gt;=SYear_O, $A87&lt;=EYear_O, AS$3&gt;0), AS$3 * VLOOKUP($A87, Data_All!$A$8:$CA$153, MATCH(AS$2, Data_All!$B$2:$CA$2, 0)+1), "")</f>
        <v/>
      </c>
      <c r="AT87" s="206" t="str">
        <f>IF(AND($A87&gt;=SYear_O, $A87&lt;=EYear_O, AT$3&gt;0), AT$3 * VLOOKUP($A87, Data_All!$A$8:$CA$153, MATCH(AT$2, Data_All!$B$2:$CA$2, 0)+1), "")</f>
        <v/>
      </c>
      <c r="AU87" s="206" t="str">
        <f>IF(AND($A87&gt;=SYear_O, $A87&lt;=EYear_O, AU$3&gt;0), AU$3 * VLOOKUP($A87, Data_All!$A$8:$CA$153, MATCH(AU$2, Data_All!$B$2:$CA$2, 0)+1), "")</f>
        <v/>
      </c>
      <c r="AV87" s="206" t="str">
        <f>IF(AND($A87&gt;=SYear_O, $A87&lt;=EYear_O, AV$3&gt;0), AV$3 * VLOOKUP($A87, Data_All!$A$8:$CA$153, MATCH(AV$2, Data_All!$B$2:$CA$2, 0)+1), "")</f>
        <v/>
      </c>
      <c r="AW87" s="206" t="str">
        <f>IF(AND($A87&gt;=SYear_O, $A87&lt;=EYear_O, AW$3&gt;0), AW$3 * VLOOKUP($A87, Data_All!$A$8:$CA$153, MATCH(AW$2, Data_All!$B$2:$CA$2, 0)+1), "")</f>
        <v/>
      </c>
      <c r="AX87" s="206" t="str">
        <f>IF(AND($A87&gt;=SYear_O, $A87&lt;=EYear_O, AX$3&gt;0), AX$3 * VLOOKUP($A87, Data_All!$A$8:$CA$153, MATCH(AX$2, Data_All!$B$2:$CA$2, 0)+1), "")</f>
        <v/>
      </c>
      <c r="AY87" s="206" t="str">
        <f>IF(AND($A87&gt;=SYear_O, $A87&lt;=EYear_O, AY$3&gt;0), AY$3 * VLOOKUP($A87, Data_All!$A$8:$CA$153, MATCH(AY$2, Data_All!$B$2:$CA$2, 0)+1), "")</f>
        <v/>
      </c>
      <c r="AZ87" s="206" t="str">
        <f>IF(AND($A87&gt;=SYear_O, $A87&lt;=EYear_O, AZ$3&gt;0), AZ$3 * VLOOKUP($A87, Data_All!$A$8:$CA$153, MATCH(AZ$2, Data_All!$B$2:$CA$2, 0)+1), "")</f>
        <v/>
      </c>
      <c r="BA87" s="206" t="str">
        <f>IF(AND($A87&gt;=SYear_O, $A87&lt;=EYear_O, BA$3&gt;0), BA$3 * VLOOKUP($A87, Data_All!$A$8:$CA$153, MATCH(BA$2, Data_All!$B$2:$CA$2, 0)+1), "")</f>
        <v/>
      </c>
      <c r="BB87" s="206" t="str">
        <f>IF(AND($A87&gt;=SYear_O, $A87&lt;=EYear_O, BB$3&gt;0), BB$3 * VLOOKUP($A87, Data_All!$A$8:$CA$153, MATCH(BB$2, Data_All!$B$2:$CA$2, 0)+1), "")</f>
        <v/>
      </c>
      <c r="BC87" s="206" t="str">
        <f>IF(AND($A87&gt;=SYear_O, $A87&lt;=EYear_O, BC$3&gt;0), BC$3 * VLOOKUP($A87, Data_All!$A$8:$CA$153, MATCH(BC$2, Data_All!$B$2:$CA$2, 0)+1), "")</f>
        <v/>
      </c>
      <c r="BD87" s="206" t="str">
        <f>IF(AND($A87&gt;=SYear_O, $A87&lt;=EYear_O, BD$3&gt;0), BD$3 * VLOOKUP($A87, Data_All!$A$8:$CA$153, MATCH(BD$2, Data_All!$B$2:$CA$2, 0)+1), "")</f>
        <v/>
      </c>
      <c r="BE87" s="206" t="str">
        <f>IF(AND($A87&gt;=SYear_O, $A87&lt;=EYear_O, BE$3&gt;0), BE$3 * VLOOKUP($A87, Data_All!$A$8:$CA$153, MATCH(BE$2, Data_All!$B$2:$CA$2, 0)+1), "")</f>
        <v/>
      </c>
      <c r="BF87" s="206" t="str">
        <f>IF(AND($A87&gt;=SYear_O, $A87&lt;=EYear_O, BF$3&gt;0), BF$3 * VLOOKUP($A87, Data_All!$A$8:$CA$153, MATCH(BF$2, Data_All!$B$2:$CA$2, 0)+1), "")</f>
        <v/>
      </c>
      <c r="BG87" s="206" t="str">
        <f>IF(AND($A87&gt;=SYear_O, $A87&lt;=EYear_O, BG$3&gt;0), BG$3 * VLOOKUP($A87, Data_All!$A$8:$CA$153, MATCH(BG$2, Data_All!$B$2:$CA$2, 0)+1), "")</f>
        <v/>
      </c>
      <c r="BH87" s="206" t="str">
        <f>IF(AND($A87&gt;=SYear_O, $A87&lt;=EYear_O, BH$3&gt;0), BH$3 * VLOOKUP($A87, Data_All!$A$8:$CA$153, MATCH(BH$2, Data_All!$B$2:$CA$2, 0)+1), "")</f>
        <v/>
      </c>
      <c r="BI87" s="206" t="str">
        <f>IF(AND($A87&gt;=SYear_O, $A87&lt;=EYear_O, BI$3&gt;0), BI$3 * VLOOKUP($A87, Data_All!$A$8:$CA$153, MATCH(BI$2, Data_All!$B$2:$CA$2, 0)+1), "")</f>
        <v/>
      </c>
      <c r="BJ87" s="206" t="str">
        <f>IF(AND($A87&gt;=SYear_O, $A87&lt;=EYear_O, BJ$3&gt;0), BJ$3 * VLOOKUP($A87, Data_All!$A$8:$CA$153, MATCH(BJ$2, Data_All!$B$2:$CA$2, 0)+1), "")</f>
        <v/>
      </c>
      <c r="BK87" s="206" t="str">
        <f>IF(AND($A87&gt;=SYear_O, $A87&lt;=EYear_O, BK$3&gt;0), BK$3 * VLOOKUP($A87, Data_All!$A$8:$CA$153, MATCH(BK$2, Data_All!$B$2:$CA$2, 0)+1), "")</f>
        <v/>
      </c>
      <c r="BL87" s="206" t="str">
        <f>IF(AND($A87&gt;=SYear_O, $A87&lt;=EYear_O, BL$3&gt;0), BL$3 * VLOOKUP($A87, Data_All!$A$8:$CA$153, MATCH(BL$2, Data_All!$B$2:$CA$2, 0)+1), "")</f>
        <v/>
      </c>
      <c r="BM87" s="206" t="str">
        <f>IF(AND($A87&gt;=SYear_O, $A87&lt;=EYear_O, BM$3&gt;0), BM$3 * VLOOKUP($A87, Data_All!$A$8:$CA$153, MATCH(BM$2, Data_All!$B$2:$CA$2, 0)+1), "")</f>
        <v/>
      </c>
      <c r="BN87" s="206" t="str">
        <f>IF(AND($A87&gt;=SYear_O, $A87&lt;=EYear_O, BN$3&gt;0), BN$3 * VLOOKUP($A87, Data_All!$A$8:$CA$153, MATCH(BN$2, Data_All!$B$2:$CA$2, 0)+1), "")</f>
        <v/>
      </c>
      <c r="BO87" s="206" t="str">
        <f>IF(AND($A87&gt;=SYear_O, $A87&lt;=EYear_O, BO$3&gt;0), BO$3 * VLOOKUP($A87, Data_All!$A$8:$CA$153, MATCH(BO$2, Data_All!$B$2:$CA$2, 0)+1), "")</f>
        <v/>
      </c>
      <c r="BP87" s="206" t="str">
        <f>IF(AND($A87&gt;=SYear_O, $A87&lt;=EYear_O, BP$3&gt;0), BP$3 * VLOOKUP($A87, Data_All!$A$8:$CA$153, MATCH(BP$2, Data_All!$B$2:$CA$2, 0)+1), "")</f>
        <v/>
      </c>
      <c r="BQ87" s="206" t="str">
        <f>IF(AND($A87&gt;=SYear_O, $A87&lt;=EYear_O, BQ$3&gt;0), BQ$3 * VLOOKUP($A87, Data_All!$A$8:$CA$153, MATCH(BQ$2, Data_All!$B$2:$CA$2, 0)+1), "")</f>
        <v/>
      </c>
      <c r="BR87" s="206" t="str">
        <f>IF(AND($A87&gt;=SYear_O, $A87&lt;=EYear_O, BR$3&gt;0), BR$3 * VLOOKUP($A87, Data_All!$A$8:$CA$153, MATCH(BR$2, Data_All!$B$2:$CA$2, 0)+1), "")</f>
        <v/>
      </c>
      <c r="BS87" s="206" t="str">
        <f>IF(AND($A87&gt;=SYear_O, $A87&lt;=EYear_O, BS$3&gt;0), BS$3 * VLOOKUP($A87, Data_All!$A$8:$CA$153, MATCH(BS$2, Data_All!$B$2:$CA$2, 0)+1), "")</f>
        <v/>
      </c>
      <c r="BT87" s="206" t="str">
        <f>IF(AND($A87&gt;=SYear_O, $A87&lt;=EYear_O, BT$3&gt;0), BT$3 * VLOOKUP($A87, Data_All!$A$8:$CA$153, MATCH(BT$2, Data_All!$B$2:$CA$2, 0)+1), "")</f>
        <v/>
      </c>
      <c r="BU87" s="206" t="str">
        <f>IF(AND($A87&gt;=SYear_O, $A87&lt;=EYear_O, BU$3&gt;0), BU$3 * VLOOKUP($A87, Data_All!$A$8:$CA$153, MATCH(BU$2, Data_All!$B$2:$CA$2, 0)+1), "")</f>
        <v/>
      </c>
      <c r="BV87" s="206" t="str">
        <f>IF(AND($A87&gt;=SYear_O, $A87&lt;=EYear_O, BV$3&gt;0), BV$3 * VLOOKUP($A87, Data_All!$A$8:$CA$153, MATCH(BV$2, Data_All!$B$2:$CA$2, 0)+1), "")</f>
        <v/>
      </c>
      <c r="BW87" s="206" t="str">
        <f>IF(AND($A87&gt;=SYear_O, $A87&lt;=EYear_O, BW$3&gt;0), BW$3 * VLOOKUP($A87, Data_All!$A$8:$CA$153, MATCH(BW$2, Data_All!$B$2:$CA$2, 0)+1), "")</f>
        <v/>
      </c>
      <c r="BX87" s="206">
        <f>IF(AND($A87&gt;=SYear_O, $A87&lt;=EYear_O, BX$3&gt;0), BX$3 * VLOOKUP($A87, Data_All!$A$8:$CA$153, MATCH(BX$2, Data_All!$B$2:$CA$2, 0)+1), "")</f>
        <v>12.418670438472422</v>
      </c>
      <c r="BY87" s="206">
        <f>IF(AND($A87&gt;=SYear_O, $A87&lt;=EYear_O, BY$3&gt;0), BY$3 * VLOOKUP($A87, Data_All!$A$8:$CA$153, MATCH(BY$2, Data_All!$B$2:$CA$2, 0)+1), "")</f>
        <v>0.71743266253176508</v>
      </c>
      <c r="BZ87" s="206" t="str">
        <f>IF(AND($A87&gt;=SYear_O, $A87&lt;=EYear_O, BZ$3&gt;0), BZ$3 * VLOOKUP($A87, Data_All!$A$8:$CA$153, MATCH(BZ$2, Data_All!$B$2:$CA$2, 0)+1), "")</f>
        <v/>
      </c>
      <c r="CA87" s="565">
        <f t="shared" si="35"/>
        <v>13.136103101004187</v>
      </c>
      <c r="CB87" s="427">
        <f t="shared" si="36"/>
        <v>1573385.4620969479</v>
      </c>
      <c r="CC87" s="565">
        <f>IF(AND($A87&gt;=SYear_O,$A87&lt;=EYear_O),(CA87-Data_All!CA88)/(1+Data_All!CA88%),"")</f>
        <v>8.4398875005851295</v>
      </c>
      <c r="CD87" s="436">
        <f t="shared" si="37"/>
        <v>740029.14626753039</v>
      </c>
      <c r="CE87" s="438">
        <f t="shared" si="38"/>
        <v>142.70486369874189</v>
      </c>
      <c r="CF87" s="438">
        <f>IF(AND($A87&gt;=SYear_O,$A87&lt;=EYear_O),MAX($CE$7:CE87),"")</f>
        <v>142.70486369874189</v>
      </c>
      <c r="CG87" s="209">
        <f t="shared" si="39"/>
        <v>0</v>
      </c>
      <c r="CI87" s="143">
        <f>IF(AND($A87&gt;=SYear_O,$A87&lt;=EYear_O),Data_All!V88,"")</f>
        <v>2.0281746428214613</v>
      </c>
      <c r="CJ87" s="143">
        <f>IF(AND($A87&gt;=SYear_O,$A87&lt;=EYear_O),Data_All!CA88,"")</f>
        <v>4.3307086614173373</v>
      </c>
      <c r="CK87" s="143">
        <f t="shared" si="40"/>
        <v>-2.2069571348051036</v>
      </c>
      <c r="CN87" s="61">
        <f t="shared" si="41"/>
        <v>0.13136103101004193</v>
      </c>
      <c r="CO87" s="61">
        <f t="shared" si="42"/>
        <v>8.6463603201689443E-2</v>
      </c>
      <c r="CP87" s="61">
        <f t="shared" si="43"/>
        <v>0.1406467258147337</v>
      </c>
      <c r="CQ87" s="61">
        <f t="shared" si="44"/>
        <v>0.10716268819639496</v>
      </c>
      <c r="CR87" s="61">
        <f t="shared" si="45"/>
        <v>0.10109210566533622</v>
      </c>
      <c r="CU87" s="61">
        <f t="shared" si="46"/>
        <v>8.4398875005851304E-2</v>
      </c>
      <c r="CV87" s="61">
        <f t="shared" si="47"/>
        <v>6.5881671070989078E-2</v>
      </c>
      <c r="CW87" s="61">
        <f t="shared" si="48"/>
        <v>0.12847240278309124</v>
      </c>
      <c r="CX87" s="61">
        <f t="shared" si="49"/>
        <v>8.9615284696808795E-2</v>
      </c>
      <c r="CY87" s="61">
        <f t="shared" si="50"/>
        <v>8.4719436369478096E-2</v>
      </c>
    </row>
    <row r="88" spans="1:103">
      <c r="A88" s="204">
        <f t="shared" si="51"/>
        <v>1952</v>
      </c>
      <c r="B88" s="206" t="str">
        <f>IF(AND($A88&gt;=SYear_O, $A88&lt;=EYear_O, B$3&gt;0), B$3 * VLOOKUP($A88, Data_All!$A$8:$CA$153, MATCH(B$2, Data_All!$B$2:$CA$2, 0)+1), "")</f>
        <v/>
      </c>
      <c r="C88" s="206" t="str">
        <f>IF(AND($A88&gt;=SYear_O, $A88&lt;=EYear_O, C$3&gt;0), C$3 * VLOOKUP($A88, Data_All!$A$8:$CA$153, MATCH(C$2, Data_All!$B$2:$CA$2, 0)+1), "")</f>
        <v/>
      </c>
      <c r="D88" s="206" t="str">
        <f>IF(AND($A88&gt;=SYear_O, $A88&lt;=EYear_O, D$3&gt;0), D$3 * VLOOKUP($A88, Data_All!$A$8:$CA$153, MATCH(D$2, Data_All!$B$2:$CA$2, 0)+1), "")</f>
        <v/>
      </c>
      <c r="E88" s="206" t="str">
        <f>IF(AND($A88&gt;=SYear_O, $A88&lt;=EYear_O, E$3&gt;0), E$3 * VLOOKUP($A88, Data_All!$A$8:$CA$153, MATCH(E$2, Data_All!$B$2:$CA$2, 0)+1), "")</f>
        <v/>
      </c>
      <c r="F88" s="206" t="str">
        <f>IF(AND($A88&gt;=SYear_O, $A88&lt;=EYear_O, F$3&gt;0), F$3 * VLOOKUP($A88, Data_All!$A$8:$CA$153, MATCH(F$2, Data_All!$B$2:$CA$2, 0)+1), "")</f>
        <v/>
      </c>
      <c r="G88" s="206" t="str">
        <f>IF(AND($A88&gt;=SYear_O, $A88&lt;=EYear_O, G$3&gt;0), G$3 * VLOOKUP($A88, Data_All!$A$8:$CA$153, MATCH(G$2, Data_All!$B$2:$CA$2, 0)+1), "")</f>
        <v/>
      </c>
      <c r="H88" s="206" t="str">
        <f>IF(AND($A88&gt;=SYear_O, $A88&lt;=EYear_O, H$3&gt;0), H$3 * VLOOKUP($A88, Data_All!$A$8:$CA$153, MATCH(H$2, Data_All!$B$2:$CA$2, 0)+1), "")</f>
        <v/>
      </c>
      <c r="I88" s="206" t="str">
        <f>IF(AND($A88&gt;=SYear_O, $A88&lt;=EYear_O, I$3&gt;0), I$3 * VLOOKUP($A88, Data_All!$A$8:$CA$153, MATCH(I$2, Data_All!$B$2:$CA$2, 0)+1), "")</f>
        <v/>
      </c>
      <c r="J88" s="206" t="str">
        <f>IF(AND($A88&gt;=SYear_O, $A88&lt;=EYear_O, J$3&gt;0), J$3 * VLOOKUP($A88, Data_All!$A$8:$CA$153, MATCH(J$2, Data_All!$B$2:$CA$2, 0)+1), "")</f>
        <v/>
      </c>
      <c r="K88" s="206" t="str">
        <f>IF(AND($A88&gt;=SYear_O, $A88&lt;=EYear_O, K$3&gt;0), K$3 * VLOOKUP($A88, Data_All!$A$8:$CA$153, MATCH(K$2, Data_All!$B$2:$CA$2, 0)+1), "")</f>
        <v/>
      </c>
      <c r="L88" s="206" t="str">
        <f>IF(AND($A88&gt;=SYear_O, $A88&lt;=EYear_O, L$3&gt;0), L$3 * VLOOKUP($A88, Data_All!$A$8:$CA$153, MATCH(L$2, Data_All!$B$2:$CA$2, 0)+1), "")</f>
        <v/>
      </c>
      <c r="M88" s="206" t="str">
        <f>IF(AND($A88&gt;=SYear_O, $A88&lt;=EYear_O, M$3&gt;0), M$3 * VLOOKUP($A88, Data_All!$A$8:$CA$153, MATCH(M$2, Data_All!$B$2:$CA$2, 0)+1), "")</f>
        <v/>
      </c>
      <c r="N88" s="206" t="str">
        <f>IF(AND($A88&gt;=SYear_O, $A88&lt;=EYear_O, N$3&gt;0), N$3 * VLOOKUP($A88, Data_All!$A$8:$CA$153, MATCH(N$2, Data_All!$B$2:$CA$2, 0)+1), "")</f>
        <v/>
      </c>
      <c r="O88" s="206" t="str">
        <f>IF(AND($A88&gt;=SYear_O, $A88&lt;=EYear_O, O$3&gt;0), O$3 * VLOOKUP($A88, Data_All!$A$8:$CA$153, MATCH(O$2, Data_All!$B$2:$CA$2, 0)+1), "")</f>
        <v/>
      </c>
      <c r="P88" s="206" t="str">
        <f>IF(AND($A88&gt;=SYear_O, $A88&lt;=EYear_O, P$3&gt;0), P$3 * VLOOKUP($A88, Data_All!$A$8:$CA$153, MATCH(P$2, Data_All!$B$2:$CA$2, 0)+1), "")</f>
        <v/>
      </c>
      <c r="Q88" s="206" t="str">
        <f>IF(AND($A88&gt;=SYear_O, $A88&lt;=EYear_O, Q$3&gt;0), Q$3 * VLOOKUP($A88, Data_All!$A$8:$CA$153, MATCH(Q$2, Data_All!$B$2:$CA$2, 0)+1), "")</f>
        <v/>
      </c>
      <c r="R88" s="206" t="str">
        <f>IF(AND($A88&gt;=SYear_O, $A88&lt;=EYear_O, R$3&gt;0), R$3 * VLOOKUP($A88, Data_All!$A$8:$CA$153, MATCH(R$2, Data_All!$B$2:$CA$2, 0)+1), "")</f>
        <v/>
      </c>
      <c r="S88" s="206" t="str">
        <f>IF(AND($A88&gt;=SYear_O, $A88&lt;=EYear_O, S$3&gt;0), S$3 * VLOOKUP($A88, Data_All!$A$8:$CA$153, MATCH(S$2, Data_All!$B$2:$CA$2, 0)+1), "")</f>
        <v/>
      </c>
      <c r="T88" s="206" t="str">
        <f>IF(AND($A88&gt;=SYear_O, $A88&lt;=EYear_O, T$3&gt;0), T$3 * VLOOKUP($A88, Data_All!$A$8:$CA$153, MATCH(T$2, Data_All!$B$2:$CA$2, 0)+1), "")</f>
        <v/>
      </c>
      <c r="U88" s="206" t="str">
        <f>IF(AND($A88&gt;=SYear_O, $A88&lt;=EYear_O, U$3&gt;0), U$3 * VLOOKUP($A88, Data_All!$A$8:$CA$153, MATCH(U$2, Data_All!$B$2:$CA$2, 0)+1), "")</f>
        <v/>
      </c>
      <c r="V88" s="206" t="str">
        <f>IF(AND($A88&gt;=SYear_O, $A88&lt;=EYear_O, V$3&gt;0), V$3 * VLOOKUP($A88, Data_All!$A$8:$CA$153, MATCH(V$2, Data_All!$B$2:$CA$2, 0)+1), "")</f>
        <v/>
      </c>
      <c r="W88" s="206" t="str">
        <f>IF(AND($A88&gt;=SYear_O, $A88&lt;=EYear_O, W$3&gt;0), W$3 * VLOOKUP($A88, Data_All!$A$8:$CA$153, MATCH(W$2, Data_All!$B$2:$CA$2, 0)+1), "")</f>
        <v/>
      </c>
      <c r="X88" s="206" t="str">
        <f>IF(AND($A88&gt;=SYear_O, $A88&lt;=EYear_O, X$3&gt;0), X$3 * VLOOKUP($A88, Data_All!$A$8:$CA$153, MATCH(X$2, Data_All!$B$2:$CA$2, 0)+1), "")</f>
        <v/>
      </c>
      <c r="Y88" s="206" t="str">
        <f>IF(AND($A88&gt;=SYear_O, $A88&lt;=EYear_O, Y$3&gt;0), Y$3 * VLOOKUP($A88, Data_All!$A$8:$CA$153, MATCH(Y$2, Data_All!$B$2:$CA$2, 0)+1), "")</f>
        <v/>
      </c>
      <c r="Z88" s="206" t="str">
        <f>IF(AND($A88&gt;=SYear_O, $A88&lt;=EYear_O, Z$3&gt;0), Z$3 * VLOOKUP($A88, Data_All!$A$8:$CA$153, MATCH(Z$2, Data_All!$B$2:$CA$2, 0)+1), "")</f>
        <v/>
      </c>
      <c r="AA88" s="206" t="str">
        <f>IF(AND($A88&gt;=SYear_O, $A88&lt;=EYear_O, AA$3&gt;0), AA$3 * VLOOKUP($A88, Data_All!$A$8:$CA$153, MATCH(AA$2, Data_All!$B$2:$CA$2, 0)+1), "")</f>
        <v/>
      </c>
      <c r="AB88" s="206" t="str">
        <f>IF(AND($A88&gt;=SYear_O, $A88&lt;=EYear_O, AB$3&gt;0), AB$3 * VLOOKUP($A88, Data_All!$A$8:$CA$153, MATCH(AB$2, Data_All!$B$2:$CA$2, 0)+1), "")</f>
        <v/>
      </c>
      <c r="AC88" s="206" t="str">
        <f>IF(AND($A88&gt;=SYear_O, $A88&lt;=EYear_O, AC$3&gt;0), AC$3 * VLOOKUP($A88, Data_All!$A$8:$CA$153, MATCH(AC$2, Data_All!$B$2:$CA$2, 0)+1), "")</f>
        <v/>
      </c>
      <c r="AD88" s="206" t="str">
        <f>IF(AND($A88&gt;=SYear_O, $A88&lt;=EYear_O, AD$3&gt;0), AD$3 * VLOOKUP($A88, Data_All!$A$8:$CA$153, MATCH(AD$2, Data_All!$B$2:$CA$2, 0)+1), "")</f>
        <v/>
      </c>
      <c r="AE88" s="206" t="str">
        <f>IF(AND($A88&gt;=SYear_O, $A88&lt;=EYear_O, AE$3&gt;0), AE$3 * VLOOKUP($A88, Data_All!$A$8:$CA$153, MATCH(AE$2, Data_All!$B$2:$CA$2, 0)+1), "")</f>
        <v/>
      </c>
      <c r="AF88" s="206" t="str">
        <f>IF(AND($A88&gt;=SYear_O, $A88&lt;=EYear_O, AF$3&gt;0), AF$3 * VLOOKUP($A88, Data_All!$A$8:$CA$153, MATCH(AF$2, Data_All!$B$2:$CA$2, 0)+1), "")</f>
        <v/>
      </c>
      <c r="AG88" s="206" t="str">
        <f>IF(AND($A88&gt;=SYear_O, $A88&lt;=EYear_O, AG$3&gt;0), AG$3 * VLOOKUP($A88, Data_All!$A$8:$CA$153, MATCH(AG$2, Data_All!$B$2:$CA$2, 0)+1), "")</f>
        <v/>
      </c>
      <c r="AH88" s="206" t="str">
        <f>IF(AND($A88&gt;=SYear_O, $A88&lt;=EYear_O, AH$3&gt;0), AH$3 * VLOOKUP($A88, Data_All!$A$8:$CA$153, MATCH(AH$2, Data_All!$B$2:$CA$2, 0)+1), "")</f>
        <v/>
      </c>
      <c r="AI88" s="206" t="str">
        <f>IF(AND($A88&gt;=SYear_O, $A88&lt;=EYear_O, AI$3&gt;0), AI$3 * VLOOKUP($A88, Data_All!$A$8:$CA$153, MATCH(AI$2, Data_All!$B$2:$CA$2, 0)+1), "")</f>
        <v/>
      </c>
      <c r="AJ88" s="206" t="str">
        <f>IF(AND($A88&gt;=SYear_O, $A88&lt;=EYear_O, AJ$3&gt;0), AJ$3 * VLOOKUP($A88, Data_All!$A$8:$CA$153, MATCH(AJ$2, Data_All!$B$2:$CA$2, 0)+1), "")</f>
        <v/>
      </c>
      <c r="AK88" s="206" t="str">
        <f>IF(AND($A88&gt;=SYear_O, $A88&lt;=EYear_O, AK$3&gt;0), AK$3 * VLOOKUP($A88, Data_All!$A$8:$CA$153, MATCH(AK$2, Data_All!$B$2:$CA$2, 0)+1), "")</f>
        <v/>
      </c>
      <c r="AL88" s="206" t="str">
        <f>IF(AND($A88&gt;=SYear_O, $A88&lt;=EYear_O, AL$3&gt;0), AL$3 * VLOOKUP($A88, Data_All!$A$8:$CA$153, MATCH(AL$2, Data_All!$B$2:$CA$2, 0)+1), "")</f>
        <v/>
      </c>
      <c r="AM88" s="206" t="str">
        <f>IF(AND($A88&gt;=SYear_O, $A88&lt;=EYear_O, AM$3&gt;0), AM$3 * VLOOKUP($A88, Data_All!$A$8:$CA$153, MATCH(AM$2, Data_All!$B$2:$CA$2, 0)+1), "")</f>
        <v/>
      </c>
      <c r="AN88" s="206" t="str">
        <f>IF(AND($A88&gt;=SYear_O, $A88&lt;=EYear_O, AN$3&gt;0), AN$3 * VLOOKUP($A88, Data_All!$A$8:$CA$153, MATCH(AN$2, Data_All!$B$2:$CA$2, 0)+1), "")</f>
        <v/>
      </c>
      <c r="AO88" s="206" t="str">
        <f>IF(AND($A88&gt;=SYear_O, $A88&lt;=EYear_O, AO$3&gt;0), AO$3 * VLOOKUP($A88, Data_All!$A$8:$CA$153, MATCH(AO$2, Data_All!$B$2:$CA$2, 0)+1), "")</f>
        <v/>
      </c>
      <c r="AP88" s="206" t="str">
        <f>IF(AND($A88&gt;=SYear_O, $A88&lt;=EYear_O, AP$3&gt;0), AP$3 * VLOOKUP($A88, Data_All!$A$8:$CA$153, MATCH(AP$2, Data_All!$B$2:$CA$2, 0)+1), "")</f>
        <v/>
      </c>
      <c r="AQ88" s="206" t="str">
        <f>IF(AND($A88&gt;=SYear_O, $A88&lt;=EYear_O, AQ$3&gt;0), AQ$3 * VLOOKUP($A88, Data_All!$A$8:$CA$153, MATCH(AQ$2, Data_All!$B$2:$CA$2, 0)+1), "")</f>
        <v/>
      </c>
      <c r="AR88" s="206" t="str">
        <f>IF(AND($A88&gt;=SYear_O, $A88&lt;=EYear_O, AR$3&gt;0), AR$3 * VLOOKUP($A88, Data_All!$A$8:$CA$153, MATCH(AR$2, Data_All!$B$2:$CA$2, 0)+1), "")</f>
        <v/>
      </c>
      <c r="AS88" s="206" t="str">
        <f>IF(AND($A88&gt;=SYear_O, $A88&lt;=EYear_O, AS$3&gt;0), AS$3 * VLOOKUP($A88, Data_All!$A$8:$CA$153, MATCH(AS$2, Data_All!$B$2:$CA$2, 0)+1), "")</f>
        <v/>
      </c>
      <c r="AT88" s="206" t="str">
        <f>IF(AND($A88&gt;=SYear_O, $A88&lt;=EYear_O, AT$3&gt;0), AT$3 * VLOOKUP($A88, Data_All!$A$8:$CA$153, MATCH(AT$2, Data_All!$B$2:$CA$2, 0)+1), "")</f>
        <v/>
      </c>
      <c r="AU88" s="206" t="str">
        <f>IF(AND($A88&gt;=SYear_O, $A88&lt;=EYear_O, AU$3&gt;0), AU$3 * VLOOKUP($A88, Data_All!$A$8:$CA$153, MATCH(AU$2, Data_All!$B$2:$CA$2, 0)+1), "")</f>
        <v/>
      </c>
      <c r="AV88" s="206" t="str">
        <f>IF(AND($A88&gt;=SYear_O, $A88&lt;=EYear_O, AV$3&gt;0), AV$3 * VLOOKUP($A88, Data_All!$A$8:$CA$153, MATCH(AV$2, Data_All!$B$2:$CA$2, 0)+1), "")</f>
        <v/>
      </c>
      <c r="AW88" s="206" t="str">
        <f>IF(AND($A88&gt;=SYear_O, $A88&lt;=EYear_O, AW$3&gt;0), AW$3 * VLOOKUP($A88, Data_All!$A$8:$CA$153, MATCH(AW$2, Data_All!$B$2:$CA$2, 0)+1), "")</f>
        <v/>
      </c>
      <c r="AX88" s="206" t="str">
        <f>IF(AND($A88&gt;=SYear_O, $A88&lt;=EYear_O, AX$3&gt;0), AX$3 * VLOOKUP($A88, Data_All!$A$8:$CA$153, MATCH(AX$2, Data_All!$B$2:$CA$2, 0)+1), "")</f>
        <v/>
      </c>
      <c r="AY88" s="206" t="str">
        <f>IF(AND($A88&gt;=SYear_O, $A88&lt;=EYear_O, AY$3&gt;0), AY$3 * VLOOKUP($A88, Data_All!$A$8:$CA$153, MATCH(AY$2, Data_All!$B$2:$CA$2, 0)+1), "")</f>
        <v/>
      </c>
      <c r="AZ88" s="206" t="str">
        <f>IF(AND($A88&gt;=SYear_O, $A88&lt;=EYear_O, AZ$3&gt;0), AZ$3 * VLOOKUP($A88, Data_All!$A$8:$CA$153, MATCH(AZ$2, Data_All!$B$2:$CA$2, 0)+1), "")</f>
        <v/>
      </c>
      <c r="BA88" s="206" t="str">
        <f>IF(AND($A88&gt;=SYear_O, $A88&lt;=EYear_O, BA$3&gt;0), BA$3 * VLOOKUP($A88, Data_All!$A$8:$CA$153, MATCH(BA$2, Data_All!$B$2:$CA$2, 0)+1), "")</f>
        <v/>
      </c>
      <c r="BB88" s="206" t="str">
        <f>IF(AND($A88&gt;=SYear_O, $A88&lt;=EYear_O, BB$3&gt;0), BB$3 * VLOOKUP($A88, Data_All!$A$8:$CA$153, MATCH(BB$2, Data_All!$B$2:$CA$2, 0)+1), "")</f>
        <v/>
      </c>
      <c r="BC88" s="206" t="str">
        <f>IF(AND($A88&gt;=SYear_O, $A88&lt;=EYear_O, BC$3&gt;0), BC$3 * VLOOKUP($A88, Data_All!$A$8:$CA$153, MATCH(BC$2, Data_All!$B$2:$CA$2, 0)+1), "")</f>
        <v/>
      </c>
      <c r="BD88" s="206" t="str">
        <f>IF(AND($A88&gt;=SYear_O, $A88&lt;=EYear_O, BD$3&gt;0), BD$3 * VLOOKUP($A88, Data_All!$A$8:$CA$153, MATCH(BD$2, Data_All!$B$2:$CA$2, 0)+1), "")</f>
        <v/>
      </c>
      <c r="BE88" s="206" t="str">
        <f>IF(AND($A88&gt;=SYear_O, $A88&lt;=EYear_O, BE$3&gt;0), BE$3 * VLOOKUP($A88, Data_All!$A$8:$CA$153, MATCH(BE$2, Data_All!$B$2:$CA$2, 0)+1), "")</f>
        <v/>
      </c>
      <c r="BF88" s="206" t="str">
        <f>IF(AND($A88&gt;=SYear_O, $A88&lt;=EYear_O, BF$3&gt;0), BF$3 * VLOOKUP($A88, Data_All!$A$8:$CA$153, MATCH(BF$2, Data_All!$B$2:$CA$2, 0)+1), "")</f>
        <v/>
      </c>
      <c r="BG88" s="206" t="str">
        <f>IF(AND($A88&gt;=SYear_O, $A88&lt;=EYear_O, BG$3&gt;0), BG$3 * VLOOKUP($A88, Data_All!$A$8:$CA$153, MATCH(BG$2, Data_All!$B$2:$CA$2, 0)+1), "")</f>
        <v/>
      </c>
      <c r="BH88" s="206" t="str">
        <f>IF(AND($A88&gt;=SYear_O, $A88&lt;=EYear_O, BH$3&gt;0), BH$3 * VLOOKUP($A88, Data_All!$A$8:$CA$153, MATCH(BH$2, Data_All!$B$2:$CA$2, 0)+1), "")</f>
        <v/>
      </c>
      <c r="BI88" s="206" t="str">
        <f>IF(AND($A88&gt;=SYear_O, $A88&lt;=EYear_O, BI$3&gt;0), BI$3 * VLOOKUP($A88, Data_All!$A$8:$CA$153, MATCH(BI$2, Data_All!$B$2:$CA$2, 0)+1), "")</f>
        <v/>
      </c>
      <c r="BJ88" s="206" t="str">
        <f>IF(AND($A88&gt;=SYear_O, $A88&lt;=EYear_O, BJ$3&gt;0), BJ$3 * VLOOKUP($A88, Data_All!$A$8:$CA$153, MATCH(BJ$2, Data_All!$B$2:$CA$2, 0)+1), "")</f>
        <v/>
      </c>
      <c r="BK88" s="206" t="str">
        <f>IF(AND($A88&gt;=SYear_O, $A88&lt;=EYear_O, BK$3&gt;0), BK$3 * VLOOKUP($A88, Data_All!$A$8:$CA$153, MATCH(BK$2, Data_All!$B$2:$CA$2, 0)+1), "")</f>
        <v/>
      </c>
      <c r="BL88" s="206" t="str">
        <f>IF(AND($A88&gt;=SYear_O, $A88&lt;=EYear_O, BL$3&gt;0), BL$3 * VLOOKUP($A88, Data_All!$A$8:$CA$153, MATCH(BL$2, Data_All!$B$2:$CA$2, 0)+1), "")</f>
        <v/>
      </c>
      <c r="BM88" s="206" t="str">
        <f>IF(AND($A88&gt;=SYear_O, $A88&lt;=EYear_O, BM$3&gt;0), BM$3 * VLOOKUP($A88, Data_All!$A$8:$CA$153, MATCH(BM$2, Data_All!$B$2:$CA$2, 0)+1), "")</f>
        <v/>
      </c>
      <c r="BN88" s="206" t="str">
        <f>IF(AND($A88&gt;=SYear_O, $A88&lt;=EYear_O, BN$3&gt;0), BN$3 * VLOOKUP($A88, Data_All!$A$8:$CA$153, MATCH(BN$2, Data_All!$B$2:$CA$2, 0)+1), "")</f>
        <v/>
      </c>
      <c r="BO88" s="206" t="str">
        <f>IF(AND($A88&gt;=SYear_O, $A88&lt;=EYear_O, BO$3&gt;0), BO$3 * VLOOKUP($A88, Data_All!$A$8:$CA$153, MATCH(BO$2, Data_All!$B$2:$CA$2, 0)+1), "")</f>
        <v/>
      </c>
      <c r="BP88" s="206" t="str">
        <f>IF(AND($A88&gt;=SYear_O, $A88&lt;=EYear_O, BP$3&gt;0), BP$3 * VLOOKUP($A88, Data_All!$A$8:$CA$153, MATCH(BP$2, Data_All!$B$2:$CA$2, 0)+1), "")</f>
        <v/>
      </c>
      <c r="BQ88" s="206" t="str">
        <f>IF(AND($A88&gt;=SYear_O, $A88&lt;=EYear_O, BQ$3&gt;0), BQ$3 * VLOOKUP($A88, Data_All!$A$8:$CA$153, MATCH(BQ$2, Data_All!$B$2:$CA$2, 0)+1), "")</f>
        <v/>
      </c>
      <c r="BR88" s="206" t="str">
        <f>IF(AND($A88&gt;=SYear_O, $A88&lt;=EYear_O, BR$3&gt;0), BR$3 * VLOOKUP($A88, Data_All!$A$8:$CA$153, MATCH(BR$2, Data_All!$B$2:$CA$2, 0)+1), "")</f>
        <v/>
      </c>
      <c r="BS88" s="206" t="str">
        <f>IF(AND($A88&gt;=SYear_O, $A88&lt;=EYear_O, BS$3&gt;0), BS$3 * VLOOKUP($A88, Data_All!$A$8:$CA$153, MATCH(BS$2, Data_All!$B$2:$CA$2, 0)+1), "")</f>
        <v/>
      </c>
      <c r="BT88" s="206" t="str">
        <f>IF(AND($A88&gt;=SYear_O, $A88&lt;=EYear_O, BT$3&gt;0), BT$3 * VLOOKUP($A88, Data_All!$A$8:$CA$153, MATCH(BT$2, Data_All!$B$2:$CA$2, 0)+1), "")</f>
        <v/>
      </c>
      <c r="BU88" s="206" t="str">
        <f>IF(AND($A88&gt;=SYear_O, $A88&lt;=EYear_O, BU$3&gt;0), BU$3 * VLOOKUP($A88, Data_All!$A$8:$CA$153, MATCH(BU$2, Data_All!$B$2:$CA$2, 0)+1), "")</f>
        <v/>
      </c>
      <c r="BV88" s="206" t="str">
        <f>IF(AND($A88&gt;=SYear_O, $A88&lt;=EYear_O, BV$3&gt;0), BV$3 * VLOOKUP($A88, Data_All!$A$8:$CA$153, MATCH(BV$2, Data_All!$B$2:$CA$2, 0)+1), "")</f>
        <v/>
      </c>
      <c r="BW88" s="206" t="str">
        <f>IF(AND($A88&gt;=SYear_O, $A88&lt;=EYear_O, BW$3&gt;0), BW$3 * VLOOKUP($A88, Data_All!$A$8:$CA$153, MATCH(BW$2, Data_All!$B$2:$CA$2, 0)+1), "")</f>
        <v/>
      </c>
      <c r="BX88" s="206">
        <f>IF(AND($A88&gt;=SYear_O, $A88&lt;=EYear_O, BX$3&gt;0), BX$3 * VLOOKUP($A88, Data_All!$A$8:$CA$153, MATCH(BX$2, Data_All!$B$2:$CA$2, 0)+1), "")</f>
        <v>8.4332368747416186</v>
      </c>
      <c r="BY88" s="206">
        <f>IF(AND($A88&gt;=SYear_O, $A88&lt;=EYear_O, BY$3&gt;0), BY$3 * VLOOKUP($A88, Data_All!$A$8:$CA$153, MATCH(BY$2, Data_All!$B$2:$CA$2, 0)+1), "")</f>
        <v>0.77136206319416978</v>
      </c>
      <c r="BZ88" s="206" t="str">
        <f>IF(AND($A88&gt;=SYear_O, $A88&lt;=EYear_O, BZ$3&gt;0), BZ$3 * VLOOKUP($A88, Data_All!$A$8:$CA$153, MATCH(BZ$2, Data_All!$B$2:$CA$2, 0)+1), "")</f>
        <v/>
      </c>
      <c r="CA88" s="565">
        <f t="shared" si="35"/>
        <v>9.2045989379357884</v>
      </c>
      <c r="CB88" s="427">
        <f t="shared" si="36"/>
        <v>1718209.2836307597</v>
      </c>
      <c r="CC88" s="565">
        <f>IF(AND($A88&gt;=SYear_O,$A88&lt;=EYear_O),(CA88-Data_All!CA89)/(1+Data_All!CA89%),"")</f>
        <v>8.7940553329059536</v>
      </c>
      <c r="CD88" s="436">
        <f t="shared" si="37"/>
        <v>805107.71886992862</v>
      </c>
      <c r="CE88" s="438">
        <f t="shared" si="38"/>
        <v>155.84027406713901</v>
      </c>
      <c r="CF88" s="438">
        <f>IF(AND($A88&gt;=SYear_O,$A88&lt;=EYear_O),MAX($CE$7:CE88),"")</f>
        <v>155.84027406713901</v>
      </c>
      <c r="CG88" s="209">
        <f t="shared" si="39"/>
        <v>0</v>
      </c>
      <c r="CI88" s="143">
        <f>IF(AND($A88&gt;=SYear_O,$A88&lt;=EYear_O),Data_All!V89,"")</f>
        <v>2.2979318613248081</v>
      </c>
      <c r="CJ88" s="143">
        <f>IF(AND($A88&gt;=SYear_O,$A88&lt;=EYear_O),Data_All!CA89,"")</f>
        <v>0.37735849056603765</v>
      </c>
      <c r="CK88" s="143">
        <f t="shared" si="40"/>
        <v>1.9133531701168203</v>
      </c>
      <c r="CN88" s="61">
        <f t="shared" si="41"/>
        <v>9.2045989379357929E-2</v>
      </c>
      <c r="CO88" s="61">
        <f t="shared" si="42"/>
        <v>0.13303125064215693</v>
      </c>
      <c r="CP88" s="61">
        <f t="shared" si="43"/>
        <v>0.12190429528877589</v>
      </c>
      <c r="CQ88" s="61">
        <f t="shared" si="44"/>
        <v>0.10652624291948909</v>
      </c>
      <c r="CR88" s="61">
        <f t="shared" si="45"/>
        <v>9.0729732324581258E-2</v>
      </c>
      <c r="CU88" s="61">
        <f t="shared" si="46"/>
        <v>8.794055332905959E-2</v>
      </c>
      <c r="CV88" s="61">
        <f t="shared" si="47"/>
        <v>0.13019511549973295</v>
      </c>
      <c r="CW88" s="61">
        <f t="shared" si="48"/>
        <v>0.11281550761314874</v>
      </c>
      <c r="CX88" s="61">
        <f t="shared" si="49"/>
        <v>9.2884282805050455E-2</v>
      </c>
      <c r="CY88" s="61">
        <f t="shared" si="50"/>
        <v>7.5112266182279397E-2</v>
      </c>
    </row>
    <row r="89" spans="1:103">
      <c r="A89" s="204">
        <f t="shared" si="51"/>
        <v>1953</v>
      </c>
      <c r="B89" s="206" t="str">
        <f>IF(AND($A89&gt;=SYear_O, $A89&lt;=EYear_O, B$3&gt;0), B$3 * VLOOKUP($A89, Data_All!$A$8:$CA$153, MATCH(B$2, Data_All!$B$2:$CA$2, 0)+1), "")</f>
        <v/>
      </c>
      <c r="C89" s="206" t="str">
        <f>IF(AND($A89&gt;=SYear_O, $A89&lt;=EYear_O, C$3&gt;0), C$3 * VLOOKUP($A89, Data_All!$A$8:$CA$153, MATCH(C$2, Data_All!$B$2:$CA$2, 0)+1), "")</f>
        <v/>
      </c>
      <c r="D89" s="206" t="str">
        <f>IF(AND($A89&gt;=SYear_O, $A89&lt;=EYear_O, D$3&gt;0), D$3 * VLOOKUP($A89, Data_All!$A$8:$CA$153, MATCH(D$2, Data_All!$B$2:$CA$2, 0)+1), "")</f>
        <v/>
      </c>
      <c r="E89" s="206" t="str">
        <f>IF(AND($A89&gt;=SYear_O, $A89&lt;=EYear_O, E$3&gt;0), E$3 * VLOOKUP($A89, Data_All!$A$8:$CA$153, MATCH(E$2, Data_All!$B$2:$CA$2, 0)+1), "")</f>
        <v/>
      </c>
      <c r="F89" s="206" t="str">
        <f>IF(AND($A89&gt;=SYear_O, $A89&lt;=EYear_O, F$3&gt;0), F$3 * VLOOKUP($A89, Data_All!$A$8:$CA$153, MATCH(F$2, Data_All!$B$2:$CA$2, 0)+1), "")</f>
        <v/>
      </c>
      <c r="G89" s="206" t="str">
        <f>IF(AND($A89&gt;=SYear_O, $A89&lt;=EYear_O, G$3&gt;0), G$3 * VLOOKUP($A89, Data_All!$A$8:$CA$153, MATCH(G$2, Data_All!$B$2:$CA$2, 0)+1), "")</f>
        <v/>
      </c>
      <c r="H89" s="206" t="str">
        <f>IF(AND($A89&gt;=SYear_O, $A89&lt;=EYear_O, H$3&gt;0), H$3 * VLOOKUP($A89, Data_All!$A$8:$CA$153, MATCH(H$2, Data_All!$B$2:$CA$2, 0)+1), "")</f>
        <v/>
      </c>
      <c r="I89" s="206" t="str">
        <f>IF(AND($A89&gt;=SYear_O, $A89&lt;=EYear_O, I$3&gt;0), I$3 * VLOOKUP($A89, Data_All!$A$8:$CA$153, MATCH(I$2, Data_All!$B$2:$CA$2, 0)+1), "")</f>
        <v/>
      </c>
      <c r="J89" s="206" t="str">
        <f>IF(AND($A89&gt;=SYear_O, $A89&lt;=EYear_O, J$3&gt;0), J$3 * VLOOKUP($A89, Data_All!$A$8:$CA$153, MATCH(J$2, Data_All!$B$2:$CA$2, 0)+1), "")</f>
        <v/>
      </c>
      <c r="K89" s="206" t="str">
        <f>IF(AND($A89&gt;=SYear_O, $A89&lt;=EYear_O, K$3&gt;0), K$3 * VLOOKUP($A89, Data_All!$A$8:$CA$153, MATCH(K$2, Data_All!$B$2:$CA$2, 0)+1), "")</f>
        <v/>
      </c>
      <c r="L89" s="206" t="str">
        <f>IF(AND($A89&gt;=SYear_O, $A89&lt;=EYear_O, L$3&gt;0), L$3 * VLOOKUP($A89, Data_All!$A$8:$CA$153, MATCH(L$2, Data_All!$B$2:$CA$2, 0)+1), "")</f>
        <v/>
      </c>
      <c r="M89" s="206" t="str">
        <f>IF(AND($A89&gt;=SYear_O, $A89&lt;=EYear_O, M$3&gt;0), M$3 * VLOOKUP($A89, Data_All!$A$8:$CA$153, MATCH(M$2, Data_All!$B$2:$CA$2, 0)+1), "")</f>
        <v/>
      </c>
      <c r="N89" s="206" t="str">
        <f>IF(AND($A89&gt;=SYear_O, $A89&lt;=EYear_O, N$3&gt;0), N$3 * VLOOKUP($A89, Data_All!$A$8:$CA$153, MATCH(N$2, Data_All!$B$2:$CA$2, 0)+1), "")</f>
        <v/>
      </c>
      <c r="O89" s="206" t="str">
        <f>IF(AND($A89&gt;=SYear_O, $A89&lt;=EYear_O, O$3&gt;0), O$3 * VLOOKUP($A89, Data_All!$A$8:$CA$153, MATCH(O$2, Data_All!$B$2:$CA$2, 0)+1), "")</f>
        <v/>
      </c>
      <c r="P89" s="206" t="str">
        <f>IF(AND($A89&gt;=SYear_O, $A89&lt;=EYear_O, P$3&gt;0), P$3 * VLOOKUP($A89, Data_All!$A$8:$CA$153, MATCH(P$2, Data_All!$B$2:$CA$2, 0)+1), "")</f>
        <v/>
      </c>
      <c r="Q89" s="206" t="str">
        <f>IF(AND($A89&gt;=SYear_O, $A89&lt;=EYear_O, Q$3&gt;0), Q$3 * VLOOKUP($A89, Data_All!$A$8:$CA$153, MATCH(Q$2, Data_All!$B$2:$CA$2, 0)+1), "")</f>
        <v/>
      </c>
      <c r="R89" s="206" t="str">
        <f>IF(AND($A89&gt;=SYear_O, $A89&lt;=EYear_O, R$3&gt;0), R$3 * VLOOKUP($A89, Data_All!$A$8:$CA$153, MATCH(R$2, Data_All!$B$2:$CA$2, 0)+1), "")</f>
        <v/>
      </c>
      <c r="S89" s="206" t="str">
        <f>IF(AND($A89&gt;=SYear_O, $A89&lt;=EYear_O, S$3&gt;0), S$3 * VLOOKUP($A89, Data_All!$A$8:$CA$153, MATCH(S$2, Data_All!$B$2:$CA$2, 0)+1), "")</f>
        <v/>
      </c>
      <c r="T89" s="206" t="str">
        <f>IF(AND($A89&gt;=SYear_O, $A89&lt;=EYear_O, T$3&gt;0), T$3 * VLOOKUP($A89, Data_All!$A$8:$CA$153, MATCH(T$2, Data_All!$B$2:$CA$2, 0)+1), "")</f>
        <v/>
      </c>
      <c r="U89" s="206" t="str">
        <f>IF(AND($A89&gt;=SYear_O, $A89&lt;=EYear_O, U$3&gt;0), U$3 * VLOOKUP($A89, Data_All!$A$8:$CA$153, MATCH(U$2, Data_All!$B$2:$CA$2, 0)+1), "")</f>
        <v/>
      </c>
      <c r="V89" s="206" t="str">
        <f>IF(AND($A89&gt;=SYear_O, $A89&lt;=EYear_O, V$3&gt;0), V$3 * VLOOKUP($A89, Data_All!$A$8:$CA$153, MATCH(V$2, Data_All!$B$2:$CA$2, 0)+1), "")</f>
        <v/>
      </c>
      <c r="W89" s="206" t="str">
        <f>IF(AND($A89&gt;=SYear_O, $A89&lt;=EYear_O, W$3&gt;0), W$3 * VLOOKUP($A89, Data_All!$A$8:$CA$153, MATCH(W$2, Data_All!$B$2:$CA$2, 0)+1), "")</f>
        <v/>
      </c>
      <c r="X89" s="206" t="str">
        <f>IF(AND($A89&gt;=SYear_O, $A89&lt;=EYear_O, X$3&gt;0), X$3 * VLOOKUP($A89, Data_All!$A$8:$CA$153, MATCH(X$2, Data_All!$B$2:$CA$2, 0)+1), "")</f>
        <v/>
      </c>
      <c r="Y89" s="206" t="str">
        <f>IF(AND($A89&gt;=SYear_O, $A89&lt;=EYear_O, Y$3&gt;0), Y$3 * VLOOKUP($A89, Data_All!$A$8:$CA$153, MATCH(Y$2, Data_All!$B$2:$CA$2, 0)+1), "")</f>
        <v/>
      </c>
      <c r="Z89" s="206" t="str">
        <f>IF(AND($A89&gt;=SYear_O, $A89&lt;=EYear_O, Z$3&gt;0), Z$3 * VLOOKUP($A89, Data_All!$A$8:$CA$153, MATCH(Z$2, Data_All!$B$2:$CA$2, 0)+1), "")</f>
        <v/>
      </c>
      <c r="AA89" s="206" t="str">
        <f>IF(AND($A89&gt;=SYear_O, $A89&lt;=EYear_O, AA$3&gt;0), AA$3 * VLOOKUP($A89, Data_All!$A$8:$CA$153, MATCH(AA$2, Data_All!$B$2:$CA$2, 0)+1), "")</f>
        <v/>
      </c>
      <c r="AB89" s="206" t="str">
        <f>IF(AND($A89&gt;=SYear_O, $A89&lt;=EYear_O, AB$3&gt;0), AB$3 * VLOOKUP($A89, Data_All!$A$8:$CA$153, MATCH(AB$2, Data_All!$B$2:$CA$2, 0)+1), "")</f>
        <v/>
      </c>
      <c r="AC89" s="206" t="str">
        <f>IF(AND($A89&gt;=SYear_O, $A89&lt;=EYear_O, AC$3&gt;0), AC$3 * VLOOKUP($A89, Data_All!$A$8:$CA$153, MATCH(AC$2, Data_All!$B$2:$CA$2, 0)+1), "")</f>
        <v/>
      </c>
      <c r="AD89" s="206" t="str">
        <f>IF(AND($A89&gt;=SYear_O, $A89&lt;=EYear_O, AD$3&gt;0), AD$3 * VLOOKUP($A89, Data_All!$A$8:$CA$153, MATCH(AD$2, Data_All!$B$2:$CA$2, 0)+1), "")</f>
        <v/>
      </c>
      <c r="AE89" s="206" t="str">
        <f>IF(AND($A89&gt;=SYear_O, $A89&lt;=EYear_O, AE$3&gt;0), AE$3 * VLOOKUP($A89, Data_All!$A$8:$CA$153, MATCH(AE$2, Data_All!$B$2:$CA$2, 0)+1), "")</f>
        <v/>
      </c>
      <c r="AF89" s="206" t="str">
        <f>IF(AND($A89&gt;=SYear_O, $A89&lt;=EYear_O, AF$3&gt;0), AF$3 * VLOOKUP($A89, Data_All!$A$8:$CA$153, MATCH(AF$2, Data_All!$B$2:$CA$2, 0)+1), "")</f>
        <v/>
      </c>
      <c r="AG89" s="206" t="str">
        <f>IF(AND($A89&gt;=SYear_O, $A89&lt;=EYear_O, AG$3&gt;0), AG$3 * VLOOKUP($A89, Data_All!$A$8:$CA$153, MATCH(AG$2, Data_All!$B$2:$CA$2, 0)+1), "")</f>
        <v/>
      </c>
      <c r="AH89" s="206" t="str">
        <f>IF(AND($A89&gt;=SYear_O, $A89&lt;=EYear_O, AH$3&gt;0), AH$3 * VLOOKUP($A89, Data_All!$A$8:$CA$153, MATCH(AH$2, Data_All!$B$2:$CA$2, 0)+1), "")</f>
        <v/>
      </c>
      <c r="AI89" s="206" t="str">
        <f>IF(AND($A89&gt;=SYear_O, $A89&lt;=EYear_O, AI$3&gt;0), AI$3 * VLOOKUP($A89, Data_All!$A$8:$CA$153, MATCH(AI$2, Data_All!$B$2:$CA$2, 0)+1), "")</f>
        <v/>
      </c>
      <c r="AJ89" s="206" t="str">
        <f>IF(AND($A89&gt;=SYear_O, $A89&lt;=EYear_O, AJ$3&gt;0), AJ$3 * VLOOKUP($A89, Data_All!$A$8:$CA$153, MATCH(AJ$2, Data_All!$B$2:$CA$2, 0)+1), "")</f>
        <v/>
      </c>
      <c r="AK89" s="206" t="str">
        <f>IF(AND($A89&gt;=SYear_O, $A89&lt;=EYear_O, AK$3&gt;0), AK$3 * VLOOKUP($A89, Data_All!$A$8:$CA$153, MATCH(AK$2, Data_All!$B$2:$CA$2, 0)+1), "")</f>
        <v/>
      </c>
      <c r="AL89" s="206" t="str">
        <f>IF(AND($A89&gt;=SYear_O, $A89&lt;=EYear_O, AL$3&gt;0), AL$3 * VLOOKUP($A89, Data_All!$A$8:$CA$153, MATCH(AL$2, Data_All!$B$2:$CA$2, 0)+1), "")</f>
        <v/>
      </c>
      <c r="AM89" s="206" t="str">
        <f>IF(AND($A89&gt;=SYear_O, $A89&lt;=EYear_O, AM$3&gt;0), AM$3 * VLOOKUP($A89, Data_All!$A$8:$CA$153, MATCH(AM$2, Data_All!$B$2:$CA$2, 0)+1), "")</f>
        <v/>
      </c>
      <c r="AN89" s="206" t="str">
        <f>IF(AND($A89&gt;=SYear_O, $A89&lt;=EYear_O, AN$3&gt;0), AN$3 * VLOOKUP($A89, Data_All!$A$8:$CA$153, MATCH(AN$2, Data_All!$B$2:$CA$2, 0)+1), "")</f>
        <v/>
      </c>
      <c r="AO89" s="206" t="str">
        <f>IF(AND($A89&gt;=SYear_O, $A89&lt;=EYear_O, AO$3&gt;0), AO$3 * VLOOKUP($A89, Data_All!$A$8:$CA$153, MATCH(AO$2, Data_All!$B$2:$CA$2, 0)+1), "")</f>
        <v/>
      </c>
      <c r="AP89" s="206" t="str">
        <f>IF(AND($A89&gt;=SYear_O, $A89&lt;=EYear_O, AP$3&gt;0), AP$3 * VLOOKUP($A89, Data_All!$A$8:$CA$153, MATCH(AP$2, Data_All!$B$2:$CA$2, 0)+1), "")</f>
        <v/>
      </c>
      <c r="AQ89" s="206" t="str">
        <f>IF(AND($A89&gt;=SYear_O, $A89&lt;=EYear_O, AQ$3&gt;0), AQ$3 * VLOOKUP($A89, Data_All!$A$8:$CA$153, MATCH(AQ$2, Data_All!$B$2:$CA$2, 0)+1), "")</f>
        <v/>
      </c>
      <c r="AR89" s="206" t="str">
        <f>IF(AND($A89&gt;=SYear_O, $A89&lt;=EYear_O, AR$3&gt;0), AR$3 * VLOOKUP($A89, Data_All!$A$8:$CA$153, MATCH(AR$2, Data_All!$B$2:$CA$2, 0)+1), "")</f>
        <v/>
      </c>
      <c r="AS89" s="206" t="str">
        <f>IF(AND($A89&gt;=SYear_O, $A89&lt;=EYear_O, AS$3&gt;0), AS$3 * VLOOKUP($A89, Data_All!$A$8:$CA$153, MATCH(AS$2, Data_All!$B$2:$CA$2, 0)+1), "")</f>
        <v/>
      </c>
      <c r="AT89" s="206" t="str">
        <f>IF(AND($A89&gt;=SYear_O, $A89&lt;=EYear_O, AT$3&gt;0), AT$3 * VLOOKUP($A89, Data_All!$A$8:$CA$153, MATCH(AT$2, Data_All!$B$2:$CA$2, 0)+1), "")</f>
        <v/>
      </c>
      <c r="AU89" s="206" t="str">
        <f>IF(AND($A89&gt;=SYear_O, $A89&lt;=EYear_O, AU$3&gt;0), AU$3 * VLOOKUP($A89, Data_All!$A$8:$CA$153, MATCH(AU$2, Data_All!$B$2:$CA$2, 0)+1), "")</f>
        <v/>
      </c>
      <c r="AV89" s="206" t="str">
        <f>IF(AND($A89&gt;=SYear_O, $A89&lt;=EYear_O, AV$3&gt;0), AV$3 * VLOOKUP($A89, Data_All!$A$8:$CA$153, MATCH(AV$2, Data_All!$B$2:$CA$2, 0)+1), "")</f>
        <v/>
      </c>
      <c r="AW89" s="206" t="str">
        <f>IF(AND($A89&gt;=SYear_O, $A89&lt;=EYear_O, AW$3&gt;0), AW$3 * VLOOKUP($A89, Data_All!$A$8:$CA$153, MATCH(AW$2, Data_All!$B$2:$CA$2, 0)+1), "")</f>
        <v/>
      </c>
      <c r="AX89" s="206" t="str">
        <f>IF(AND($A89&gt;=SYear_O, $A89&lt;=EYear_O, AX$3&gt;0), AX$3 * VLOOKUP($A89, Data_All!$A$8:$CA$153, MATCH(AX$2, Data_All!$B$2:$CA$2, 0)+1), "")</f>
        <v/>
      </c>
      <c r="AY89" s="206" t="str">
        <f>IF(AND($A89&gt;=SYear_O, $A89&lt;=EYear_O, AY$3&gt;0), AY$3 * VLOOKUP($A89, Data_All!$A$8:$CA$153, MATCH(AY$2, Data_All!$B$2:$CA$2, 0)+1), "")</f>
        <v/>
      </c>
      <c r="AZ89" s="206" t="str">
        <f>IF(AND($A89&gt;=SYear_O, $A89&lt;=EYear_O, AZ$3&gt;0), AZ$3 * VLOOKUP($A89, Data_All!$A$8:$CA$153, MATCH(AZ$2, Data_All!$B$2:$CA$2, 0)+1), "")</f>
        <v/>
      </c>
      <c r="BA89" s="206" t="str">
        <f>IF(AND($A89&gt;=SYear_O, $A89&lt;=EYear_O, BA$3&gt;0), BA$3 * VLOOKUP($A89, Data_All!$A$8:$CA$153, MATCH(BA$2, Data_All!$B$2:$CA$2, 0)+1), "")</f>
        <v/>
      </c>
      <c r="BB89" s="206" t="str">
        <f>IF(AND($A89&gt;=SYear_O, $A89&lt;=EYear_O, BB$3&gt;0), BB$3 * VLOOKUP($A89, Data_All!$A$8:$CA$153, MATCH(BB$2, Data_All!$B$2:$CA$2, 0)+1), "")</f>
        <v/>
      </c>
      <c r="BC89" s="206" t="str">
        <f>IF(AND($A89&gt;=SYear_O, $A89&lt;=EYear_O, BC$3&gt;0), BC$3 * VLOOKUP($A89, Data_All!$A$8:$CA$153, MATCH(BC$2, Data_All!$B$2:$CA$2, 0)+1), "")</f>
        <v/>
      </c>
      <c r="BD89" s="206" t="str">
        <f>IF(AND($A89&gt;=SYear_O, $A89&lt;=EYear_O, BD$3&gt;0), BD$3 * VLOOKUP($A89, Data_All!$A$8:$CA$153, MATCH(BD$2, Data_All!$B$2:$CA$2, 0)+1), "")</f>
        <v/>
      </c>
      <c r="BE89" s="206" t="str">
        <f>IF(AND($A89&gt;=SYear_O, $A89&lt;=EYear_O, BE$3&gt;0), BE$3 * VLOOKUP($A89, Data_All!$A$8:$CA$153, MATCH(BE$2, Data_All!$B$2:$CA$2, 0)+1), "")</f>
        <v/>
      </c>
      <c r="BF89" s="206" t="str">
        <f>IF(AND($A89&gt;=SYear_O, $A89&lt;=EYear_O, BF$3&gt;0), BF$3 * VLOOKUP($A89, Data_All!$A$8:$CA$153, MATCH(BF$2, Data_All!$B$2:$CA$2, 0)+1), "")</f>
        <v/>
      </c>
      <c r="BG89" s="206" t="str">
        <f>IF(AND($A89&gt;=SYear_O, $A89&lt;=EYear_O, BG$3&gt;0), BG$3 * VLOOKUP($A89, Data_All!$A$8:$CA$153, MATCH(BG$2, Data_All!$B$2:$CA$2, 0)+1), "")</f>
        <v/>
      </c>
      <c r="BH89" s="206" t="str">
        <f>IF(AND($A89&gt;=SYear_O, $A89&lt;=EYear_O, BH$3&gt;0), BH$3 * VLOOKUP($A89, Data_All!$A$8:$CA$153, MATCH(BH$2, Data_All!$B$2:$CA$2, 0)+1), "")</f>
        <v/>
      </c>
      <c r="BI89" s="206" t="str">
        <f>IF(AND($A89&gt;=SYear_O, $A89&lt;=EYear_O, BI$3&gt;0), BI$3 * VLOOKUP($A89, Data_All!$A$8:$CA$153, MATCH(BI$2, Data_All!$B$2:$CA$2, 0)+1), "")</f>
        <v/>
      </c>
      <c r="BJ89" s="206" t="str">
        <f>IF(AND($A89&gt;=SYear_O, $A89&lt;=EYear_O, BJ$3&gt;0), BJ$3 * VLOOKUP($A89, Data_All!$A$8:$CA$153, MATCH(BJ$2, Data_All!$B$2:$CA$2, 0)+1), "")</f>
        <v/>
      </c>
      <c r="BK89" s="206" t="str">
        <f>IF(AND($A89&gt;=SYear_O, $A89&lt;=EYear_O, BK$3&gt;0), BK$3 * VLOOKUP($A89, Data_All!$A$8:$CA$153, MATCH(BK$2, Data_All!$B$2:$CA$2, 0)+1), "")</f>
        <v/>
      </c>
      <c r="BL89" s="206" t="str">
        <f>IF(AND($A89&gt;=SYear_O, $A89&lt;=EYear_O, BL$3&gt;0), BL$3 * VLOOKUP($A89, Data_All!$A$8:$CA$153, MATCH(BL$2, Data_All!$B$2:$CA$2, 0)+1), "")</f>
        <v/>
      </c>
      <c r="BM89" s="206" t="str">
        <f>IF(AND($A89&gt;=SYear_O, $A89&lt;=EYear_O, BM$3&gt;0), BM$3 * VLOOKUP($A89, Data_All!$A$8:$CA$153, MATCH(BM$2, Data_All!$B$2:$CA$2, 0)+1), "")</f>
        <v/>
      </c>
      <c r="BN89" s="206" t="str">
        <f>IF(AND($A89&gt;=SYear_O, $A89&lt;=EYear_O, BN$3&gt;0), BN$3 * VLOOKUP($A89, Data_All!$A$8:$CA$153, MATCH(BN$2, Data_All!$B$2:$CA$2, 0)+1), "")</f>
        <v/>
      </c>
      <c r="BO89" s="206" t="str">
        <f>IF(AND($A89&gt;=SYear_O, $A89&lt;=EYear_O, BO$3&gt;0), BO$3 * VLOOKUP($A89, Data_All!$A$8:$CA$153, MATCH(BO$2, Data_All!$B$2:$CA$2, 0)+1), "")</f>
        <v/>
      </c>
      <c r="BP89" s="206" t="str">
        <f>IF(AND($A89&gt;=SYear_O, $A89&lt;=EYear_O, BP$3&gt;0), BP$3 * VLOOKUP($A89, Data_All!$A$8:$CA$153, MATCH(BP$2, Data_All!$B$2:$CA$2, 0)+1), "")</f>
        <v/>
      </c>
      <c r="BQ89" s="206" t="str">
        <f>IF(AND($A89&gt;=SYear_O, $A89&lt;=EYear_O, BQ$3&gt;0), BQ$3 * VLOOKUP($A89, Data_All!$A$8:$CA$153, MATCH(BQ$2, Data_All!$B$2:$CA$2, 0)+1), "")</f>
        <v/>
      </c>
      <c r="BR89" s="206" t="str">
        <f>IF(AND($A89&gt;=SYear_O, $A89&lt;=EYear_O, BR$3&gt;0), BR$3 * VLOOKUP($A89, Data_All!$A$8:$CA$153, MATCH(BR$2, Data_All!$B$2:$CA$2, 0)+1), "")</f>
        <v/>
      </c>
      <c r="BS89" s="206" t="str">
        <f>IF(AND($A89&gt;=SYear_O, $A89&lt;=EYear_O, BS$3&gt;0), BS$3 * VLOOKUP($A89, Data_All!$A$8:$CA$153, MATCH(BS$2, Data_All!$B$2:$CA$2, 0)+1), "")</f>
        <v/>
      </c>
      <c r="BT89" s="206" t="str">
        <f>IF(AND($A89&gt;=SYear_O, $A89&lt;=EYear_O, BT$3&gt;0), BT$3 * VLOOKUP($A89, Data_All!$A$8:$CA$153, MATCH(BT$2, Data_All!$B$2:$CA$2, 0)+1), "")</f>
        <v/>
      </c>
      <c r="BU89" s="206" t="str">
        <f>IF(AND($A89&gt;=SYear_O, $A89&lt;=EYear_O, BU$3&gt;0), BU$3 * VLOOKUP($A89, Data_All!$A$8:$CA$153, MATCH(BU$2, Data_All!$B$2:$CA$2, 0)+1), "")</f>
        <v/>
      </c>
      <c r="BV89" s="206" t="str">
        <f>IF(AND($A89&gt;=SYear_O, $A89&lt;=EYear_O, BV$3&gt;0), BV$3 * VLOOKUP($A89, Data_All!$A$8:$CA$153, MATCH(BV$2, Data_All!$B$2:$CA$2, 0)+1), "")</f>
        <v/>
      </c>
      <c r="BW89" s="206" t="str">
        <f>IF(AND($A89&gt;=SYear_O, $A89&lt;=EYear_O, BW$3&gt;0), BW$3 * VLOOKUP($A89, Data_All!$A$8:$CA$153, MATCH(BW$2, Data_All!$B$2:$CA$2, 0)+1), "")</f>
        <v/>
      </c>
      <c r="BX89" s="206">
        <f>IF(AND($A89&gt;=SYear_O, $A89&lt;=EYear_O, BX$3&gt;0), BX$3 * VLOOKUP($A89, Data_All!$A$8:$CA$153, MATCH(BX$2, Data_All!$B$2:$CA$2, 0)+1), "")</f>
        <v>1.673032849503433</v>
      </c>
      <c r="BY89" s="206">
        <f>IF(AND($A89&gt;=SYear_O, $A89&lt;=EYear_O, BY$3&gt;0), BY$3 * VLOOKUP($A89, Data_All!$A$8:$CA$153, MATCH(BY$2, Data_All!$B$2:$CA$2, 0)+1), "")</f>
        <v>2.1284127745225145</v>
      </c>
      <c r="BZ89" s="206" t="str">
        <f>IF(AND($A89&gt;=SYear_O, $A89&lt;=EYear_O, BZ$3&gt;0), BZ$3 * VLOOKUP($A89, Data_All!$A$8:$CA$153, MATCH(BZ$2, Data_All!$B$2:$CA$2, 0)+1), "")</f>
        <v/>
      </c>
      <c r="CA89" s="565">
        <f t="shared" si="35"/>
        <v>3.8014456240259475</v>
      </c>
      <c r="CB89" s="427">
        <f t="shared" si="36"/>
        <v>1783526.075254949</v>
      </c>
      <c r="CC89" s="565">
        <f>IF(AND($A89&gt;=SYear_O,$A89&lt;=EYear_O),(CA89-Data_All!CA90)/(1+Data_All!CA90%),"")</f>
        <v>2.6438086839810513</v>
      </c>
      <c r="CD89" s="436">
        <f t="shared" si="37"/>
        <v>826393.22665681341</v>
      </c>
      <c r="CE89" s="438">
        <f t="shared" si="38"/>
        <v>161.76445734613432</v>
      </c>
      <c r="CF89" s="438">
        <f>IF(AND($A89&gt;=SYear_O,$A89&lt;=EYear_O),MAX($CE$7:CE89),"")</f>
        <v>161.76445734613432</v>
      </c>
      <c r="CG89" s="209">
        <f t="shared" si="39"/>
        <v>0</v>
      </c>
      <c r="CI89" s="143">
        <f>IF(AND($A89&gt;=SYear_O,$A89&lt;=EYear_O),Data_All!V90,"")</f>
        <v>2.4877610150864227</v>
      </c>
      <c r="CJ89" s="143">
        <f>IF(AND($A89&gt;=SYear_O,$A89&lt;=EYear_O),Data_All!CA90,"")</f>
        <v>1.1278195488721776</v>
      </c>
      <c r="CK89" s="143">
        <f t="shared" si="40"/>
        <v>1.3447748327620417</v>
      </c>
      <c r="CN89" s="61">
        <f t="shared" si="41"/>
        <v>3.8014456240259564E-2</v>
      </c>
      <c r="CO89" s="61">
        <f t="shared" si="42"/>
        <v>0.16048059384052582</v>
      </c>
      <c r="CP89" s="61">
        <f t="shared" si="43"/>
        <v>0.10022749842084244</v>
      </c>
      <c r="CQ89" s="61">
        <f t="shared" si="44"/>
        <v>9.7492880716354202E-2</v>
      </c>
      <c r="CR89" s="61">
        <f t="shared" si="45"/>
        <v>9.1200353502241649E-2</v>
      </c>
      <c r="CU89" s="61">
        <f t="shared" si="46"/>
        <v>2.6438086839810415E-2</v>
      </c>
      <c r="CV89" s="61">
        <f t="shared" si="47"/>
        <v>0.15758661525914386</v>
      </c>
      <c r="CW89" s="61">
        <f t="shared" si="48"/>
        <v>8.4390279608739238E-2</v>
      </c>
      <c r="CX89" s="61">
        <f t="shared" si="49"/>
        <v>8.2935316340990051E-2</v>
      </c>
      <c r="CY89" s="61">
        <f t="shared" si="50"/>
        <v>7.327986471474679E-2</v>
      </c>
    </row>
    <row r="90" spans="1:103">
      <c r="A90" s="204">
        <f t="shared" si="51"/>
        <v>1954</v>
      </c>
      <c r="B90" s="206" t="str">
        <f>IF(AND($A90&gt;=SYear_O, $A90&lt;=EYear_O, B$3&gt;0), B$3 * VLOOKUP($A90, Data_All!$A$8:$CA$153, MATCH(B$2, Data_All!$B$2:$CA$2, 0)+1), "")</f>
        <v/>
      </c>
      <c r="C90" s="206" t="str">
        <f>IF(AND($A90&gt;=SYear_O, $A90&lt;=EYear_O, C$3&gt;0), C$3 * VLOOKUP($A90, Data_All!$A$8:$CA$153, MATCH(C$2, Data_All!$B$2:$CA$2, 0)+1), "")</f>
        <v/>
      </c>
      <c r="D90" s="206" t="str">
        <f>IF(AND($A90&gt;=SYear_O, $A90&lt;=EYear_O, D$3&gt;0), D$3 * VLOOKUP($A90, Data_All!$A$8:$CA$153, MATCH(D$2, Data_All!$B$2:$CA$2, 0)+1), "")</f>
        <v/>
      </c>
      <c r="E90" s="206" t="str">
        <f>IF(AND($A90&gt;=SYear_O, $A90&lt;=EYear_O, E$3&gt;0), E$3 * VLOOKUP($A90, Data_All!$A$8:$CA$153, MATCH(E$2, Data_All!$B$2:$CA$2, 0)+1), "")</f>
        <v/>
      </c>
      <c r="F90" s="206" t="str">
        <f>IF(AND($A90&gt;=SYear_O, $A90&lt;=EYear_O, F$3&gt;0), F$3 * VLOOKUP($A90, Data_All!$A$8:$CA$153, MATCH(F$2, Data_All!$B$2:$CA$2, 0)+1), "")</f>
        <v/>
      </c>
      <c r="G90" s="206" t="str">
        <f>IF(AND($A90&gt;=SYear_O, $A90&lt;=EYear_O, G$3&gt;0), G$3 * VLOOKUP($A90, Data_All!$A$8:$CA$153, MATCH(G$2, Data_All!$B$2:$CA$2, 0)+1), "")</f>
        <v/>
      </c>
      <c r="H90" s="206" t="str">
        <f>IF(AND($A90&gt;=SYear_O, $A90&lt;=EYear_O, H$3&gt;0), H$3 * VLOOKUP($A90, Data_All!$A$8:$CA$153, MATCH(H$2, Data_All!$B$2:$CA$2, 0)+1), "")</f>
        <v/>
      </c>
      <c r="I90" s="206" t="str">
        <f>IF(AND($A90&gt;=SYear_O, $A90&lt;=EYear_O, I$3&gt;0), I$3 * VLOOKUP($A90, Data_All!$A$8:$CA$153, MATCH(I$2, Data_All!$B$2:$CA$2, 0)+1), "")</f>
        <v/>
      </c>
      <c r="J90" s="206" t="str">
        <f>IF(AND($A90&gt;=SYear_O, $A90&lt;=EYear_O, J$3&gt;0), J$3 * VLOOKUP($A90, Data_All!$A$8:$CA$153, MATCH(J$2, Data_All!$B$2:$CA$2, 0)+1), "")</f>
        <v/>
      </c>
      <c r="K90" s="206" t="str">
        <f>IF(AND($A90&gt;=SYear_O, $A90&lt;=EYear_O, K$3&gt;0), K$3 * VLOOKUP($A90, Data_All!$A$8:$CA$153, MATCH(K$2, Data_All!$B$2:$CA$2, 0)+1), "")</f>
        <v/>
      </c>
      <c r="L90" s="206" t="str">
        <f>IF(AND($A90&gt;=SYear_O, $A90&lt;=EYear_O, L$3&gt;0), L$3 * VLOOKUP($A90, Data_All!$A$8:$CA$153, MATCH(L$2, Data_All!$B$2:$CA$2, 0)+1), "")</f>
        <v/>
      </c>
      <c r="M90" s="206" t="str">
        <f>IF(AND($A90&gt;=SYear_O, $A90&lt;=EYear_O, M$3&gt;0), M$3 * VLOOKUP($A90, Data_All!$A$8:$CA$153, MATCH(M$2, Data_All!$B$2:$CA$2, 0)+1), "")</f>
        <v/>
      </c>
      <c r="N90" s="206" t="str">
        <f>IF(AND($A90&gt;=SYear_O, $A90&lt;=EYear_O, N$3&gt;0), N$3 * VLOOKUP($A90, Data_All!$A$8:$CA$153, MATCH(N$2, Data_All!$B$2:$CA$2, 0)+1), "")</f>
        <v/>
      </c>
      <c r="O90" s="206" t="str">
        <f>IF(AND($A90&gt;=SYear_O, $A90&lt;=EYear_O, O$3&gt;0), O$3 * VLOOKUP($A90, Data_All!$A$8:$CA$153, MATCH(O$2, Data_All!$B$2:$CA$2, 0)+1), "")</f>
        <v/>
      </c>
      <c r="P90" s="206" t="str">
        <f>IF(AND($A90&gt;=SYear_O, $A90&lt;=EYear_O, P$3&gt;0), P$3 * VLOOKUP($A90, Data_All!$A$8:$CA$153, MATCH(P$2, Data_All!$B$2:$CA$2, 0)+1), "")</f>
        <v/>
      </c>
      <c r="Q90" s="206" t="str">
        <f>IF(AND($A90&gt;=SYear_O, $A90&lt;=EYear_O, Q$3&gt;0), Q$3 * VLOOKUP($A90, Data_All!$A$8:$CA$153, MATCH(Q$2, Data_All!$B$2:$CA$2, 0)+1), "")</f>
        <v/>
      </c>
      <c r="R90" s="206" t="str">
        <f>IF(AND($A90&gt;=SYear_O, $A90&lt;=EYear_O, R$3&gt;0), R$3 * VLOOKUP($A90, Data_All!$A$8:$CA$153, MATCH(R$2, Data_All!$B$2:$CA$2, 0)+1), "")</f>
        <v/>
      </c>
      <c r="S90" s="206" t="str">
        <f>IF(AND($A90&gt;=SYear_O, $A90&lt;=EYear_O, S$3&gt;0), S$3 * VLOOKUP($A90, Data_All!$A$8:$CA$153, MATCH(S$2, Data_All!$B$2:$CA$2, 0)+1), "")</f>
        <v/>
      </c>
      <c r="T90" s="206" t="str">
        <f>IF(AND($A90&gt;=SYear_O, $A90&lt;=EYear_O, T$3&gt;0), T$3 * VLOOKUP($A90, Data_All!$A$8:$CA$153, MATCH(T$2, Data_All!$B$2:$CA$2, 0)+1), "")</f>
        <v/>
      </c>
      <c r="U90" s="206" t="str">
        <f>IF(AND($A90&gt;=SYear_O, $A90&lt;=EYear_O, U$3&gt;0), U$3 * VLOOKUP($A90, Data_All!$A$8:$CA$153, MATCH(U$2, Data_All!$B$2:$CA$2, 0)+1), "")</f>
        <v/>
      </c>
      <c r="V90" s="206" t="str">
        <f>IF(AND($A90&gt;=SYear_O, $A90&lt;=EYear_O, V$3&gt;0), V$3 * VLOOKUP($A90, Data_All!$A$8:$CA$153, MATCH(V$2, Data_All!$B$2:$CA$2, 0)+1), "")</f>
        <v/>
      </c>
      <c r="W90" s="206" t="str">
        <f>IF(AND($A90&gt;=SYear_O, $A90&lt;=EYear_O, W$3&gt;0), W$3 * VLOOKUP($A90, Data_All!$A$8:$CA$153, MATCH(W$2, Data_All!$B$2:$CA$2, 0)+1), "")</f>
        <v/>
      </c>
      <c r="X90" s="206" t="str">
        <f>IF(AND($A90&gt;=SYear_O, $A90&lt;=EYear_O, X$3&gt;0), X$3 * VLOOKUP($A90, Data_All!$A$8:$CA$153, MATCH(X$2, Data_All!$B$2:$CA$2, 0)+1), "")</f>
        <v/>
      </c>
      <c r="Y90" s="206" t="str">
        <f>IF(AND($A90&gt;=SYear_O, $A90&lt;=EYear_O, Y$3&gt;0), Y$3 * VLOOKUP($A90, Data_All!$A$8:$CA$153, MATCH(Y$2, Data_All!$B$2:$CA$2, 0)+1), "")</f>
        <v/>
      </c>
      <c r="Z90" s="206" t="str">
        <f>IF(AND($A90&gt;=SYear_O, $A90&lt;=EYear_O, Z$3&gt;0), Z$3 * VLOOKUP($A90, Data_All!$A$8:$CA$153, MATCH(Z$2, Data_All!$B$2:$CA$2, 0)+1), "")</f>
        <v/>
      </c>
      <c r="AA90" s="206" t="str">
        <f>IF(AND($A90&gt;=SYear_O, $A90&lt;=EYear_O, AA$3&gt;0), AA$3 * VLOOKUP($A90, Data_All!$A$8:$CA$153, MATCH(AA$2, Data_All!$B$2:$CA$2, 0)+1), "")</f>
        <v/>
      </c>
      <c r="AB90" s="206" t="str">
        <f>IF(AND($A90&gt;=SYear_O, $A90&lt;=EYear_O, AB$3&gt;0), AB$3 * VLOOKUP($A90, Data_All!$A$8:$CA$153, MATCH(AB$2, Data_All!$B$2:$CA$2, 0)+1), "")</f>
        <v/>
      </c>
      <c r="AC90" s="206" t="str">
        <f>IF(AND($A90&gt;=SYear_O, $A90&lt;=EYear_O, AC$3&gt;0), AC$3 * VLOOKUP($A90, Data_All!$A$8:$CA$153, MATCH(AC$2, Data_All!$B$2:$CA$2, 0)+1), "")</f>
        <v/>
      </c>
      <c r="AD90" s="206" t="str">
        <f>IF(AND($A90&gt;=SYear_O, $A90&lt;=EYear_O, AD$3&gt;0), AD$3 * VLOOKUP($A90, Data_All!$A$8:$CA$153, MATCH(AD$2, Data_All!$B$2:$CA$2, 0)+1), "")</f>
        <v/>
      </c>
      <c r="AE90" s="206" t="str">
        <f>IF(AND($A90&gt;=SYear_O, $A90&lt;=EYear_O, AE$3&gt;0), AE$3 * VLOOKUP($A90, Data_All!$A$8:$CA$153, MATCH(AE$2, Data_All!$B$2:$CA$2, 0)+1), "")</f>
        <v/>
      </c>
      <c r="AF90" s="206" t="str">
        <f>IF(AND($A90&gt;=SYear_O, $A90&lt;=EYear_O, AF$3&gt;0), AF$3 * VLOOKUP($A90, Data_All!$A$8:$CA$153, MATCH(AF$2, Data_All!$B$2:$CA$2, 0)+1), "")</f>
        <v/>
      </c>
      <c r="AG90" s="206" t="str">
        <f>IF(AND($A90&gt;=SYear_O, $A90&lt;=EYear_O, AG$3&gt;0), AG$3 * VLOOKUP($A90, Data_All!$A$8:$CA$153, MATCH(AG$2, Data_All!$B$2:$CA$2, 0)+1), "")</f>
        <v/>
      </c>
      <c r="AH90" s="206" t="str">
        <f>IF(AND($A90&gt;=SYear_O, $A90&lt;=EYear_O, AH$3&gt;0), AH$3 * VLOOKUP($A90, Data_All!$A$8:$CA$153, MATCH(AH$2, Data_All!$B$2:$CA$2, 0)+1), "")</f>
        <v/>
      </c>
      <c r="AI90" s="206" t="str">
        <f>IF(AND($A90&gt;=SYear_O, $A90&lt;=EYear_O, AI$3&gt;0), AI$3 * VLOOKUP($A90, Data_All!$A$8:$CA$153, MATCH(AI$2, Data_All!$B$2:$CA$2, 0)+1), "")</f>
        <v/>
      </c>
      <c r="AJ90" s="206" t="str">
        <f>IF(AND($A90&gt;=SYear_O, $A90&lt;=EYear_O, AJ$3&gt;0), AJ$3 * VLOOKUP($A90, Data_All!$A$8:$CA$153, MATCH(AJ$2, Data_All!$B$2:$CA$2, 0)+1), "")</f>
        <v/>
      </c>
      <c r="AK90" s="206" t="str">
        <f>IF(AND($A90&gt;=SYear_O, $A90&lt;=EYear_O, AK$3&gt;0), AK$3 * VLOOKUP($A90, Data_All!$A$8:$CA$153, MATCH(AK$2, Data_All!$B$2:$CA$2, 0)+1), "")</f>
        <v/>
      </c>
      <c r="AL90" s="206" t="str">
        <f>IF(AND($A90&gt;=SYear_O, $A90&lt;=EYear_O, AL$3&gt;0), AL$3 * VLOOKUP($A90, Data_All!$A$8:$CA$153, MATCH(AL$2, Data_All!$B$2:$CA$2, 0)+1), "")</f>
        <v/>
      </c>
      <c r="AM90" s="206" t="str">
        <f>IF(AND($A90&gt;=SYear_O, $A90&lt;=EYear_O, AM$3&gt;0), AM$3 * VLOOKUP($A90, Data_All!$A$8:$CA$153, MATCH(AM$2, Data_All!$B$2:$CA$2, 0)+1), "")</f>
        <v/>
      </c>
      <c r="AN90" s="206" t="str">
        <f>IF(AND($A90&gt;=SYear_O, $A90&lt;=EYear_O, AN$3&gt;0), AN$3 * VLOOKUP($A90, Data_All!$A$8:$CA$153, MATCH(AN$2, Data_All!$B$2:$CA$2, 0)+1), "")</f>
        <v/>
      </c>
      <c r="AO90" s="206" t="str">
        <f>IF(AND($A90&gt;=SYear_O, $A90&lt;=EYear_O, AO$3&gt;0), AO$3 * VLOOKUP($A90, Data_All!$A$8:$CA$153, MATCH(AO$2, Data_All!$B$2:$CA$2, 0)+1), "")</f>
        <v/>
      </c>
      <c r="AP90" s="206" t="str">
        <f>IF(AND($A90&gt;=SYear_O, $A90&lt;=EYear_O, AP$3&gt;0), AP$3 * VLOOKUP($A90, Data_All!$A$8:$CA$153, MATCH(AP$2, Data_All!$B$2:$CA$2, 0)+1), "")</f>
        <v/>
      </c>
      <c r="AQ90" s="206" t="str">
        <f>IF(AND($A90&gt;=SYear_O, $A90&lt;=EYear_O, AQ$3&gt;0), AQ$3 * VLOOKUP($A90, Data_All!$A$8:$CA$153, MATCH(AQ$2, Data_All!$B$2:$CA$2, 0)+1), "")</f>
        <v/>
      </c>
      <c r="AR90" s="206" t="str">
        <f>IF(AND($A90&gt;=SYear_O, $A90&lt;=EYear_O, AR$3&gt;0), AR$3 * VLOOKUP($A90, Data_All!$A$8:$CA$153, MATCH(AR$2, Data_All!$B$2:$CA$2, 0)+1), "")</f>
        <v/>
      </c>
      <c r="AS90" s="206" t="str">
        <f>IF(AND($A90&gt;=SYear_O, $A90&lt;=EYear_O, AS$3&gt;0), AS$3 * VLOOKUP($A90, Data_All!$A$8:$CA$153, MATCH(AS$2, Data_All!$B$2:$CA$2, 0)+1), "")</f>
        <v/>
      </c>
      <c r="AT90" s="206" t="str">
        <f>IF(AND($A90&gt;=SYear_O, $A90&lt;=EYear_O, AT$3&gt;0), AT$3 * VLOOKUP($A90, Data_All!$A$8:$CA$153, MATCH(AT$2, Data_All!$B$2:$CA$2, 0)+1), "")</f>
        <v/>
      </c>
      <c r="AU90" s="206" t="str">
        <f>IF(AND($A90&gt;=SYear_O, $A90&lt;=EYear_O, AU$3&gt;0), AU$3 * VLOOKUP($A90, Data_All!$A$8:$CA$153, MATCH(AU$2, Data_All!$B$2:$CA$2, 0)+1), "")</f>
        <v/>
      </c>
      <c r="AV90" s="206" t="str">
        <f>IF(AND($A90&gt;=SYear_O, $A90&lt;=EYear_O, AV$3&gt;0), AV$3 * VLOOKUP($A90, Data_All!$A$8:$CA$153, MATCH(AV$2, Data_All!$B$2:$CA$2, 0)+1), "")</f>
        <v/>
      </c>
      <c r="AW90" s="206" t="str">
        <f>IF(AND($A90&gt;=SYear_O, $A90&lt;=EYear_O, AW$3&gt;0), AW$3 * VLOOKUP($A90, Data_All!$A$8:$CA$153, MATCH(AW$2, Data_All!$B$2:$CA$2, 0)+1), "")</f>
        <v/>
      </c>
      <c r="AX90" s="206" t="str">
        <f>IF(AND($A90&gt;=SYear_O, $A90&lt;=EYear_O, AX$3&gt;0), AX$3 * VLOOKUP($A90, Data_All!$A$8:$CA$153, MATCH(AX$2, Data_All!$B$2:$CA$2, 0)+1), "")</f>
        <v/>
      </c>
      <c r="AY90" s="206" t="str">
        <f>IF(AND($A90&gt;=SYear_O, $A90&lt;=EYear_O, AY$3&gt;0), AY$3 * VLOOKUP($A90, Data_All!$A$8:$CA$153, MATCH(AY$2, Data_All!$B$2:$CA$2, 0)+1), "")</f>
        <v/>
      </c>
      <c r="AZ90" s="206" t="str">
        <f>IF(AND($A90&gt;=SYear_O, $A90&lt;=EYear_O, AZ$3&gt;0), AZ$3 * VLOOKUP($A90, Data_All!$A$8:$CA$153, MATCH(AZ$2, Data_All!$B$2:$CA$2, 0)+1), "")</f>
        <v/>
      </c>
      <c r="BA90" s="206" t="str">
        <f>IF(AND($A90&gt;=SYear_O, $A90&lt;=EYear_O, BA$3&gt;0), BA$3 * VLOOKUP($A90, Data_All!$A$8:$CA$153, MATCH(BA$2, Data_All!$B$2:$CA$2, 0)+1), "")</f>
        <v/>
      </c>
      <c r="BB90" s="206" t="str">
        <f>IF(AND($A90&gt;=SYear_O, $A90&lt;=EYear_O, BB$3&gt;0), BB$3 * VLOOKUP($A90, Data_All!$A$8:$CA$153, MATCH(BB$2, Data_All!$B$2:$CA$2, 0)+1), "")</f>
        <v/>
      </c>
      <c r="BC90" s="206" t="str">
        <f>IF(AND($A90&gt;=SYear_O, $A90&lt;=EYear_O, BC$3&gt;0), BC$3 * VLOOKUP($A90, Data_All!$A$8:$CA$153, MATCH(BC$2, Data_All!$B$2:$CA$2, 0)+1), "")</f>
        <v/>
      </c>
      <c r="BD90" s="206" t="str">
        <f>IF(AND($A90&gt;=SYear_O, $A90&lt;=EYear_O, BD$3&gt;0), BD$3 * VLOOKUP($A90, Data_All!$A$8:$CA$153, MATCH(BD$2, Data_All!$B$2:$CA$2, 0)+1), "")</f>
        <v/>
      </c>
      <c r="BE90" s="206" t="str">
        <f>IF(AND($A90&gt;=SYear_O, $A90&lt;=EYear_O, BE$3&gt;0), BE$3 * VLOOKUP($A90, Data_All!$A$8:$CA$153, MATCH(BE$2, Data_All!$B$2:$CA$2, 0)+1), "")</f>
        <v/>
      </c>
      <c r="BF90" s="206" t="str">
        <f>IF(AND($A90&gt;=SYear_O, $A90&lt;=EYear_O, BF$3&gt;0), BF$3 * VLOOKUP($A90, Data_All!$A$8:$CA$153, MATCH(BF$2, Data_All!$B$2:$CA$2, 0)+1), "")</f>
        <v/>
      </c>
      <c r="BG90" s="206" t="str">
        <f>IF(AND($A90&gt;=SYear_O, $A90&lt;=EYear_O, BG$3&gt;0), BG$3 * VLOOKUP($A90, Data_All!$A$8:$CA$153, MATCH(BG$2, Data_All!$B$2:$CA$2, 0)+1), "")</f>
        <v/>
      </c>
      <c r="BH90" s="206" t="str">
        <f>IF(AND($A90&gt;=SYear_O, $A90&lt;=EYear_O, BH$3&gt;0), BH$3 * VLOOKUP($A90, Data_All!$A$8:$CA$153, MATCH(BH$2, Data_All!$B$2:$CA$2, 0)+1), "")</f>
        <v/>
      </c>
      <c r="BI90" s="206" t="str">
        <f>IF(AND($A90&gt;=SYear_O, $A90&lt;=EYear_O, BI$3&gt;0), BI$3 * VLOOKUP($A90, Data_All!$A$8:$CA$153, MATCH(BI$2, Data_All!$B$2:$CA$2, 0)+1), "")</f>
        <v/>
      </c>
      <c r="BJ90" s="206" t="str">
        <f>IF(AND($A90&gt;=SYear_O, $A90&lt;=EYear_O, BJ$3&gt;0), BJ$3 * VLOOKUP($A90, Data_All!$A$8:$CA$153, MATCH(BJ$2, Data_All!$B$2:$CA$2, 0)+1), "")</f>
        <v/>
      </c>
      <c r="BK90" s="206" t="str">
        <f>IF(AND($A90&gt;=SYear_O, $A90&lt;=EYear_O, BK$3&gt;0), BK$3 * VLOOKUP($A90, Data_All!$A$8:$CA$153, MATCH(BK$2, Data_All!$B$2:$CA$2, 0)+1), "")</f>
        <v/>
      </c>
      <c r="BL90" s="206" t="str">
        <f>IF(AND($A90&gt;=SYear_O, $A90&lt;=EYear_O, BL$3&gt;0), BL$3 * VLOOKUP($A90, Data_All!$A$8:$CA$153, MATCH(BL$2, Data_All!$B$2:$CA$2, 0)+1), "")</f>
        <v/>
      </c>
      <c r="BM90" s="206" t="str">
        <f>IF(AND($A90&gt;=SYear_O, $A90&lt;=EYear_O, BM$3&gt;0), BM$3 * VLOOKUP($A90, Data_All!$A$8:$CA$153, MATCH(BM$2, Data_All!$B$2:$CA$2, 0)+1), "")</f>
        <v/>
      </c>
      <c r="BN90" s="206" t="str">
        <f>IF(AND($A90&gt;=SYear_O, $A90&lt;=EYear_O, BN$3&gt;0), BN$3 * VLOOKUP($A90, Data_All!$A$8:$CA$153, MATCH(BN$2, Data_All!$B$2:$CA$2, 0)+1), "")</f>
        <v/>
      </c>
      <c r="BO90" s="206" t="str">
        <f>IF(AND($A90&gt;=SYear_O, $A90&lt;=EYear_O, BO$3&gt;0), BO$3 * VLOOKUP($A90, Data_All!$A$8:$CA$153, MATCH(BO$2, Data_All!$B$2:$CA$2, 0)+1), "")</f>
        <v/>
      </c>
      <c r="BP90" s="206" t="str">
        <f>IF(AND($A90&gt;=SYear_O, $A90&lt;=EYear_O, BP$3&gt;0), BP$3 * VLOOKUP($A90, Data_All!$A$8:$CA$153, MATCH(BP$2, Data_All!$B$2:$CA$2, 0)+1), "")</f>
        <v/>
      </c>
      <c r="BQ90" s="206" t="str">
        <f>IF(AND($A90&gt;=SYear_O, $A90&lt;=EYear_O, BQ$3&gt;0), BQ$3 * VLOOKUP($A90, Data_All!$A$8:$CA$153, MATCH(BQ$2, Data_All!$B$2:$CA$2, 0)+1), "")</f>
        <v/>
      </c>
      <c r="BR90" s="206" t="str">
        <f>IF(AND($A90&gt;=SYear_O, $A90&lt;=EYear_O, BR$3&gt;0), BR$3 * VLOOKUP($A90, Data_All!$A$8:$CA$153, MATCH(BR$2, Data_All!$B$2:$CA$2, 0)+1), "")</f>
        <v/>
      </c>
      <c r="BS90" s="206" t="str">
        <f>IF(AND($A90&gt;=SYear_O, $A90&lt;=EYear_O, BS$3&gt;0), BS$3 * VLOOKUP($A90, Data_All!$A$8:$CA$153, MATCH(BS$2, Data_All!$B$2:$CA$2, 0)+1), "")</f>
        <v/>
      </c>
      <c r="BT90" s="206" t="str">
        <f>IF(AND($A90&gt;=SYear_O, $A90&lt;=EYear_O, BT$3&gt;0), BT$3 * VLOOKUP($A90, Data_All!$A$8:$CA$153, MATCH(BT$2, Data_All!$B$2:$CA$2, 0)+1), "")</f>
        <v/>
      </c>
      <c r="BU90" s="206" t="str">
        <f>IF(AND($A90&gt;=SYear_O, $A90&lt;=EYear_O, BU$3&gt;0), BU$3 * VLOOKUP($A90, Data_All!$A$8:$CA$153, MATCH(BU$2, Data_All!$B$2:$CA$2, 0)+1), "")</f>
        <v/>
      </c>
      <c r="BV90" s="206" t="str">
        <f>IF(AND($A90&gt;=SYear_O, $A90&lt;=EYear_O, BV$3&gt;0), BV$3 * VLOOKUP($A90, Data_All!$A$8:$CA$153, MATCH(BV$2, Data_All!$B$2:$CA$2, 0)+1), "")</f>
        <v/>
      </c>
      <c r="BW90" s="206" t="str">
        <f>IF(AND($A90&gt;=SYear_O, $A90&lt;=EYear_O, BW$3&gt;0), BW$3 * VLOOKUP($A90, Data_All!$A$8:$CA$153, MATCH(BW$2, Data_All!$B$2:$CA$2, 0)+1), "")</f>
        <v/>
      </c>
      <c r="BX90" s="206">
        <f>IF(AND($A90&gt;=SYear_O, $A90&lt;=EYear_O, BX$3&gt;0), BX$3 * VLOOKUP($A90, Data_All!$A$8:$CA$153, MATCH(BX$2, Data_All!$B$2:$CA$2, 0)+1), "")</f>
        <v>27.525530243519235</v>
      </c>
      <c r="BY90" s="206">
        <f>IF(AND($A90&gt;=SYear_O, $A90&lt;=EYear_O, BY$3&gt;0), BY$3 * VLOOKUP($A90, Data_All!$A$8:$CA$153, MATCH(BY$2, Data_All!$B$2:$CA$2, 0)+1), "")</f>
        <v>0.79062413800737197</v>
      </c>
      <c r="BZ90" s="206" t="str">
        <f>IF(AND($A90&gt;=SYear_O, $A90&lt;=EYear_O, BZ$3&gt;0), BZ$3 * VLOOKUP($A90, Data_All!$A$8:$CA$153, MATCH(BZ$2, Data_All!$B$2:$CA$2, 0)+1), "")</f>
        <v/>
      </c>
      <c r="CA90" s="565">
        <f t="shared" si="35"/>
        <v>28.316154381526609</v>
      </c>
      <c r="CB90" s="427">
        <f t="shared" si="36"/>
        <v>2288552.0721589229</v>
      </c>
      <c r="CC90" s="565">
        <f>IF(AND($A90&gt;=SYear_O,$A90&lt;=EYear_O),(CA90-Data_All!CA91)/(1+Data_All!CA91%),"")</f>
        <v>29.277324077268382</v>
      </c>
      <c r="CD90" s="436">
        <f t="shared" si="37"/>
        <v>1068339.0497777236</v>
      </c>
      <c r="CE90" s="438">
        <f t="shared" si="38"/>
        <v>207.56993082270449</v>
      </c>
      <c r="CF90" s="438">
        <f>IF(AND($A90&gt;=SYear_O,$A90&lt;=EYear_O),MAX($CE$7:CE90),"")</f>
        <v>207.56993082270449</v>
      </c>
      <c r="CG90" s="209">
        <f t="shared" si="39"/>
        <v>0</v>
      </c>
      <c r="CI90" s="143">
        <f>IF(AND($A90&gt;=SYear_O,$A90&lt;=EYear_O),Data_All!V91,"")</f>
        <v>1.3188130682385852</v>
      </c>
      <c r="CJ90" s="143">
        <f>IF(AND($A90&gt;=SYear_O,$A90&lt;=EYear_O),Data_All!CA91,"")</f>
        <v>-0.74349442379182396</v>
      </c>
      <c r="CK90" s="143">
        <f t="shared" si="40"/>
        <v>2.0777554882253932</v>
      </c>
      <c r="CN90" s="61">
        <f t="shared" si="41"/>
        <v>0.28316154381526615</v>
      </c>
      <c r="CO90" s="61">
        <f t="shared" si="42"/>
        <v>0.16174703981346394</v>
      </c>
      <c r="CP90" s="61">
        <f t="shared" si="43"/>
        <v>0.13837897130387433</v>
      </c>
      <c r="CQ90" s="61">
        <f t="shared" si="44"/>
        <v>0.10717174720963651</v>
      </c>
      <c r="CR90" s="61">
        <f t="shared" si="45"/>
        <v>9.3721958897396762E-2</v>
      </c>
      <c r="CU90" s="61">
        <f t="shared" si="46"/>
        <v>0.29277324077268374</v>
      </c>
      <c r="CV90" s="61">
        <f t="shared" si="47"/>
        <v>0.15184128448833145</v>
      </c>
      <c r="CW90" s="61">
        <f t="shared" si="48"/>
        <v>0.12139269083867732</v>
      </c>
      <c r="CX90" s="61">
        <f t="shared" si="49"/>
        <v>9.1928936231189917E-2</v>
      </c>
      <c r="CY90" s="61">
        <f t="shared" si="50"/>
        <v>7.3479488146006355E-2</v>
      </c>
    </row>
    <row r="91" spans="1:103">
      <c r="A91" s="204">
        <f t="shared" si="51"/>
        <v>1955</v>
      </c>
      <c r="B91" s="206" t="str">
        <f>IF(AND($A91&gt;=SYear_O, $A91&lt;=EYear_O, B$3&gt;0), B$3 * VLOOKUP($A91, Data_All!$A$8:$CA$153, MATCH(B$2, Data_All!$B$2:$CA$2, 0)+1), "")</f>
        <v/>
      </c>
      <c r="C91" s="206" t="str">
        <f>IF(AND($A91&gt;=SYear_O, $A91&lt;=EYear_O, C$3&gt;0), C$3 * VLOOKUP($A91, Data_All!$A$8:$CA$153, MATCH(C$2, Data_All!$B$2:$CA$2, 0)+1), "")</f>
        <v/>
      </c>
      <c r="D91" s="206" t="str">
        <f>IF(AND($A91&gt;=SYear_O, $A91&lt;=EYear_O, D$3&gt;0), D$3 * VLOOKUP($A91, Data_All!$A$8:$CA$153, MATCH(D$2, Data_All!$B$2:$CA$2, 0)+1), "")</f>
        <v/>
      </c>
      <c r="E91" s="206" t="str">
        <f>IF(AND($A91&gt;=SYear_O, $A91&lt;=EYear_O, E$3&gt;0), E$3 * VLOOKUP($A91, Data_All!$A$8:$CA$153, MATCH(E$2, Data_All!$B$2:$CA$2, 0)+1), "")</f>
        <v/>
      </c>
      <c r="F91" s="206" t="str">
        <f>IF(AND($A91&gt;=SYear_O, $A91&lt;=EYear_O, F$3&gt;0), F$3 * VLOOKUP($A91, Data_All!$A$8:$CA$153, MATCH(F$2, Data_All!$B$2:$CA$2, 0)+1), "")</f>
        <v/>
      </c>
      <c r="G91" s="206" t="str">
        <f>IF(AND($A91&gt;=SYear_O, $A91&lt;=EYear_O, G$3&gt;0), G$3 * VLOOKUP($A91, Data_All!$A$8:$CA$153, MATCH(G$2, Data_All!$B$2:$CA$2, 0)+1), "")</f>
        <v/>
      </c>
      <c r="H91" s="206" t="str">
        <f>IF(AND($A91&gt;=SYear_O, $A91&lt;=EYear_O, H$3&gt;0), H$3 * VLOOKUP($A91, Data_All!$A$8:$CA$153, MATCH(H$2, Data_All!$B$2:$CA$2, 0)+1), "")</f>
        <v/>
      </c>
      <c r="I91" s="206" t="str">
        <f>IF(AND($A91&gt;=SYear_O, $A91&lt;=EYear_O, I$3&gt;0), I$3 * VLOOKUP($A91, Data_All!$A$8:$CA$153, MATCH(I$2, Data_All!$B$2:$CA$2, 0)+1), "")</f>
        <v/>
      </c>
      <c r="J91" s="206" t="str">
        <f>IF(AND($A91&gt;=SYear_O, $A91&lt;=EYear_O, J$3&gt;0), J$3 * VLOOKUP($A91, Data_All!$A$8:$CA$153, MATCH(J$2, Data_All!$B$2:$CA$2, 0)+1), "")</f>
        <v/>
      </c>
      <c r="K91" s="206" t="str">
        <f>IF(AND($A91&gt;=SYear_O, $A91&lt;=EYear_O, K$3&gt;0), K$3 * VLOOKUP($A91, Data_All!$A$8:$CA$153, MATCH(K$2, Data_All!$B$2:$CA$2, 0)+1), "")</f>
        <v/>
      </c>
      <c r="L91" s="206" t="str">
        <f>IF(AND($A91&gt;=SYear_O, $A91&lt;=EYear_O, L$3&gt;0), L$3 * VLOOKUP($A91, Data_All!$A$8:$CA$153, MATCH(L$2, Data_All!$B$2:$CA$2, 0)+1), "")</f>
        <v/>
      </c>
      <c r="M91" s="206" t="str">
        <f>IF(AND($A91&gt;=SYear_O, $A91&lt;=EYear_O, M$3&gt;0), M$3 * VLOOKUP($A91, Data_All!$A$8:$CA$153, MATCH(M$2, Data_All!$B$2:$CA$2, 0)+1), "")</f>
        <v/>
      </c>
      <c r="N91" s="206" t="str">
        <f>IF(AND($A91&gt;=SYear_O, $A91&lt;=EYear_O, N$3&gt;0), N$3 * VLOOKUP($A91, Data_All!$A$8:$CA$153, MATCH(N$2, Data_All!$B$2:$CA$2, 0)+1), "")</f>
        <v/>
      </c>
      <c r="O91" s="206" t="str">
        <f>IF(AND($A91&gt;=SYear_O, $A91&lt;=EYear_O, O$3&gt;0), O$3 * VLOOKUP($A91, Data_All!$A$8:$CA$153, MATCH(O$2, Data_All!$B$2:$CA$2, 0)+1), "")</f>
        <v/>
      </c>
      <c r="P91" s="206" t="str">
        <f>IF(AND($A91&gt;=SYear_O, $A91&lt;=EYear_O, P$3&gt;0), P$3 * VLOOKUP($A91, Data_All!$A$8:$CA$153, MATCH(P$2, Data_All!$B$2:$CA$2, 0)+1), "")</f>
        <v/>
      </c>
      <c r="Q91" s="206" t="str">
        <f>IF(AND($A91&gt;=SYear_O, $A91&lt;=EYear_O, Q$3&gt;0), Q$3 * VLOOKUP($A91, Data_All!$A$8:$CA$153, MATCH(Q$2, Data_All!$B$2:$CA$2, 0)+1), "")</f>
        <v/>
      </c>
      <c r="R91" s="206" t="str">
        <f>IF(AND($A91&gt;=SYear_O, $A91&lt;=EYear_O, R$3&gt;0), R$3 * VLOOKUP($A91, Data_All!$A$8:$CA$153, MATCH(R$2, Data_All!$B$2:$CA$2, 0)+1), "")</f>
        <v/>
      </c>
      <c r="S91" s="206" t="str">
        <f>IF(AND($A91&gt;=SYear_O, $A91&lt;=EYear_O, S$3&gt;0), S$3 * VLOOKUP($A91, Data_All!$A$8:$CA$153, MATCH(S$2, Data_All!$B$2:$CA$2, 0)+1), "")</f>
        <v/>
      </c>
      <c r="T91" s="206" t="str">
        <f>IF(AND($A91&gt;=SYear_O, $A91&lt;=EYear_O, T$3&gt;0), T$3 * VLOOKUP($A91, Data_All!$A$8:$CA$153, MATCH(T$2, Data_All!$B$2:$CA$2, 0)+1), "")</f>
        <v/>
      </c>
      <c r="U91" s="206" t="str">
        <f>IF(AND($A91&gt;=SYear_O, $A91&lt;=EYear_O, U$3&gt;0), U$3 * VLOOKUP($A91, Data_All!$A$8:$CA$153, MATCH(U$2, Data_All!$B$2:$CA$2, 0)+1), "")</f>
        <v/>
      </c>
      <c r="V91" s="206" t="str">
        <f>IF(AND($A91&gt;=SYear_O, $A91&lt;=EYear_O, V$3&gt;0), V$3 * VLOOKUP($A91, Data_All!$A$8:$CA$153, MATCH(V$2, Data_All!$B$2:$CA$2, 0)+1), "")</f>
        <v/>
      </c>
      <c r="W91" s="206" t="str">
        <f>IF(AND($A91&gt;=SYear_O, $A91&lt;=EYear_O, W$3&gt;0), W$3 * VLOOKUP($A91, Data_All!$A$8:$CA$153, MATCH(W$2, Data_All!$B$2:$CA$2, 0)+1), "")</f>
        <v/>
      </c>
      <c r="X91" s="206" t="str">
        <f>IF(AND($A91&gt;=SYear_O, $A91&lt;=EYear_O, X$3&gt;0), X$3 * VLOOKUP($A91, Data_All!$A$8:$CA$153, MATCH(X$2, Data_All!$B$2:$CA$2, 0)+1), "")</f>
        <v/>
      </c>
      <c r="Y91" s="206" t="str">
        <f>IF(AND($A91&gt;=SYear_O, $A91&lt;=EYear_O, Y$3&gt;0), Y$3 * VLOOKUP($A91, Data_All!$A$8:$CA$153, MATCH(Y$2, Data_All!$B$2:$CA$2, 0)+1), "")</f>
        <v/>
      </c>
      <c r="Z91" s="206" t="str">
        <f>IF(AND($A91&gt;=SYear_O, $A91&lt;=EYear_O, Z$3&gt;0), Z$3 * VLOOKUP($A91, Data_All!$A$8:$CA$153, MATCH(Z$2, Data_All!$B$2:$CA$2, 0)+1), "")</f>
        <v/>
      </c>
      <c r="AA91" s="206" t="str">
        <f>IF(AND($A91&gt;=SYear_O, $A91&lt;=EYear_O, AA$3&gt;0), AA$3 * VLOOKUP($A91, Data_All!$A$8:$CA$153, MATCH(AA$2, Data_All!$B$2:$CA$2, 0)+1), "")</f>
        <v/>
      </c>
      <c r="AB91" s="206" t="str">
        <f>IF(AND($A91&gt;=SYear_O, $A91&lt;=EYear_O, AB$3&gt;0), AB$3 * VLOOKUP($A91, Data_All!$A$8:$CA$153, MATCH(AB$2, Data_All!$B$2:$CA$2, 0)+1), "")</f>
        <v/>
      </c>
      <c r="AC91" s="206" t="str">
        <f>IF(AND($A91&gt;=SYear_O, $A91&lt;=EYear_O, AC$3&gt;0), AC$3 * VLOOKUP($A91, Data_All!$A$8:$CA$153, MATCH(AC$2, Data_All!$B$2:$CA$2, 0)+1), "")</f>
        <v/>
      </c>
      <c r="AD91" s="206" t="str">
        <f>IF(AND($A91&gt;=SYear_O, $A91&lt;=EYear_O, AD$3&gt;0), AD$3 * VLOOKUP($A91, Data_All!$A$8:$CA$153, MATCH(AD$2, Data_All!$B$2:$CA$2, 0)+1), "")</f>
        <v/>
      </c>
      <c r="AE91" s="206" t="str">
        <f>IF(AND($A91&gt;=SYear_O, $A91&lt;=EYear_O, AE$3&gt;0), AE$3 * VLOOKUP($A91, Data_All!$A$8:$CA$153, MATCH(AE$2, Data_All!$B$2:$CA$2, 0)+1), "")</f>
        <v/>
      </c>
      <c r="AF91" s="206" t="str">
        <f>IF(AND($A91&gt;=SYear_O, $A91&lt;=EYear_O, AF$3&gt;0), AF$3 * VLOOKUP($A91, Data_All!$A$8:$CA$153, MATCH(AF$2, Data_All!$B$2:$CA$2, 0)+1), "")</f>
        <v/>
      </c>
      <c r="AG91" s="206" t="str">
        <f>IF(AND($A91&gt;=SYear_O, $A91&lt;=EYear_O, AG$3&gt;0), AG$3 * VLOOKUP($A91, Data_All!$A$8:$CA$153, MATCH(AG$2, Data_All!$B$2:$CA$2, 0)+1), "")</f>
        <v/>
      </c>
      <c r="AH91" s="206" t="str">
        <f>IF(AND($A91&gt;=SYear_O, $A91&lt;=EYear_O, AH$3&gt;0), AH$3 * VLOOKUP($A91, Data_All!$A$8:$CA$153, MATCH(AH$2, Data_All!$B$2:$CA$2, 0)+1), "")</f>
        <v/>
      </c>
      <c r="AI91" s="206" t="str">
        <f>IF(AND($A91&gt;=SYear_O, $A91&lt;=EYear_O, AI$3&gt;0), AI$3 * VLOOKUP($A91, Data_All!$A$8:$CA$153, MATCH(AI$2, Data_All!$B$2:$CA$2, 0)+1), "")</f>
        <v/>
      </c>
      <c r="AJ91" s="206" t="str">
        <f>IF(AND($A91&gt;=SYear_O, $A91&lt;=EYear_O, AJ$3&gt;0), AJ$3 * VLOOKUP($A91, Data_All!$A$8:$CA$153, MATCH(AJ$2, Data_All!$B$2:$CA$2, 0)+1), "")</f>
        <v/>
      </c>
      <c r="AK91" s="206" t="str">
        <f>IF(AND($A91&gt;=SYear_O, $A91&lt;=EYear_O, AK$3&gt;0), AK$3 * VLOOKUP($A91, Data_All!$A$8:$CA$153, MATCH(AK$2, Data_All!$B$2:$CA$2, 0)+1), "")</f>
        <v/>
      </c>
      <c r="AL91" s="206" t="str">
        <f>IF(AND($A91&gt;=SYear_O, $A91&lt;=EYear_O, AL$3&gt;0), AL$3 * VLOOKUP($A91, Data_All!$A$8:$CA$153, MATCH(AL$2, Data_All!$B$2:$CA$2, 0)+1), "")</f>
        <v/>
      </c>
      <c r="AM91" s="206" t="str">
        <f>IF(AND($A91&gt;=SYear_O, $A91&lt;=EYear_O, AM$3&gt;0), AM$3 * VLOOKUP($A91, Data_All!$A$8:$CA$153, MATCH(AM$2, Data_All!$B$2:$CA$2, 0)+1), "")</f>
        <v/>
      </c>
      <c r="AN91" s="206" t="str">
        <f>IF(AND($A91&gt;=SYear_O, $A91&lt;=EYear_O, AN$3&gt;0), AN$3 * VLOOKUP($A91, Data_All!$A$8:$CA$153, MATCH(AN$2, Data_All!$B$2:$CA$2, 0)+1), "")</f>
        <v/>
      </c>
      <c r="AO91" s="206" t="str">
        <f>IF(AND($A91&gt;=SYear_O, $A91&lt;=EYear_O, AO$3&gt;0), AO$3 * VLOOKUP($A91, Data_All!$A$8:$CA$153, MATCH(AO$2, Data_All!$B$2:$CA$2, 0)+1), "")</f>
        <v/>
      </c>
      <c r="AP91" s="206" t="str">
        <f>IF(AND($A91&gt;=SYear_O, $A91&lt;=EYear_O, AP$3&gt;0), AP$3 * VLOOKUP($A91, Data_All!$A$8:$CA$153, MATCH(AP$2, Data_All!$B$2:$CA$2, 0)+1), "")</f>
        <v/>
      </c>
      <c r="AQ91" s="206" t="str">
        <f>IF(AND($A91&gt;=SYear_O, $A91&lt;=EYear_O, AQ$3&gt;0), AQ$3 * VLOOKUP($A91, Data_All!$A$8:$CA$153, MATCH(AQ$2, Data_All!$B$2:$CA$2, 0)+1), "")</f>
        <v/>
      </c>
      <c r="AR91" s="206" t="str">
        <f>IF(AND($A91&gt;=SYear_O, $A91&lt;=EYear_O, AR$3&gt;0), AR$3 * VLOOKUP($A91, Data_All!$A$8:$CA$153, MATCH(AR$2, Data_All!$B$2:$CA$2, 0)+1), "")</f>
        <v/>
      </c>
      <c r="AS91" s="206" t="str">
        <f>IF(AND($A91&gt;=SYear_O, $A91&lt;=EYear_O, AS$3&gt;0), AS$3 * VLOOKUP($A91, Data_All!$A$8:$CA$153, MATCH(AS$2, Data_All!$B$2:$CA$2, 0)+1), "")</f>
        <v/>
      </c>
      <c r="AT91" s="206" t="str">
        <f>IF(AND($A91&gt;=SYear_O, $A91&lt;=EYear_O, AT$3&gt;0), AT$3 * VLOOKUP($A91, Data_All!$A$8:$CA$153, MATCH(AT$2, Data_All!$B$2:$CA$2, 0)+1), "")</f>
        <v/>
      </c>
      <c r="AU91" s="206" t="str">
        <f>IF(AND($A91&gt;=SYear_O, $A91&lt;=EYear_O, AU$3&gt;0), AU$3 * VLOOKUP($A91, Data_All!$A$8:$CA$153, MATCH(AU$2, Data_All!$B$2:$CA$2, 0)+1), "")</f>
        <v/>
      </c>
      <c r="AV91" s="206" t="str">
        <f>IF(AND($A91&gt;=SYear_O, $A91&lt;=EYear_O, AV$3&gt;0), AV$3 * VLOOKUP($A91, Data_All!$A$8:$CA$153, MATCH(AV$2, Data_All!$B$2:$CA$2, 0)+1), "")</f>
        <v/>
      </c>
      <c r="AW91" s="206" t="str">
        <f>IF(AND($A91&gt;=SYear_O, $A91&lt;=EYear_O, AW$3&gt;0), AW$3 * VLOOKUP($A91, Data_All!$A$8:$CA$153, MATCH(AW$2, Data_All!$B$2:$CA$2, 0)+1), "")</f>
        <v/>
      </c>
      <c r="AX91" s="206" t="str">
        <f>IF(AND($A91&gt;=SYear_O, $A91&lt;=EYear_O, AX$3&gt;0), AX$3 * VLOOKUP($A91, Data_All!$A$8:$CA$153, MATCH(AX$2, Data_All!$B$2:$CA$2, 0)+1), "")</f>
        <v/>
      </c>
      <c r="AY91" s="206" t="str">
        <f>IF(AND($A91&gt;=SYear_O, $A91&lt;=EYear_O, AY$3&gt;0), AY$3 * VLOOKUP($A91, Data_All!$A$8:$CA$153, MATCH(AY$2, Data_All!$B$2:$CA$2, 0)+1), "")</f>
        <v/>
      </c>
      <c r="AZ91" s="206" t="str">
        <f>IF(AND($A91&gt;=SYear_O, $A91&lt;=EYear_O, AZ$3&gt;0), AZ$3 * VLOOKUP($A91, Data_All!$A$8:$CA$153, MATCH(AZ$2, Data_All!$B$2:$CA$2, 0)+1), "")</f>
        <v/>
      </c>
      <c r="BA91" s="206" t="str">
        <f>IF(AND($A91&gt;=SYear_O, $A91&lt;=EYear_O, BA$3&gt;0), BA$3 * VLOOKUP($A91, Data_All!$A$8:$CA$153, MATCH(BA$2, Data_All!$B$2:$CA$2, 0)+1), "")</f>
        <v/>
      </c>
      <c r="BB91" s="206" t="str">
        <f>IF(AND($A91&gt;=SYear_O, $A91&lt;=EYear_O, BB$3&gt;0), BB$3 * VLOOKUP($A91, Data_All!$A$8:$CA$153, MATCH(BB$2, Data_All!$B$2:$CA$2, 0)+1), "")</f>
        <v/>
      </c>
      <c r="BC91" s="206" t="str">
        <f>IF(AND($A91&gt;=SYear_O, $A91&lt;=EYear_O, BC$3&gt;0), BC$3 * VLOOKUP($A91, Data_All!$A$8:$CA$153, MATCH(BC$2, Data_All!$B$2:$CA$2, 0)+1), "")</f>
        <v/>
      </c>
      <c r="BD91" s="206" t="str">
        <f>IF(AND($A91&gt;=SYear_O, $A91&lt;=EYear_O, BD$3&gt;0), BD$3 * VLOOKUP($A91, Data_All!$A$8:$CA$153, MATCH(BD$2, Data_All!$B$2:$CA$2, 0)+1), "")</f>
        <v/>
      </c>
      <c r="BE91" s="206" t="str">
        <f>IF(AND($A91&gt;=SYear_O, $A91&lt;=EYear_O, BE$3&gt;0), BE$3 * VLOOKUP($A91, Data_All!$A$8:$CA$153, MATCH(BE$2, Data_All!$B$2:$CA$2, 0)+1), "")</f>
        <v/>
      </c>
      <c r="BF91" s="206" t="str">
        <f>IF(AND($A91&gt;=SYear_O, $A91&lt;=EYear_O, BF$3&gt;0), BF$3 * VLOOKUP($A91, Data_All!$A$8:$CA$153, MATCH(BF$2, Data_All!$B$2:$CA$2, 0)+1), "")</f>
        <v/>
      </c>
      <c r="BG91" s="206" t="str">
        <f>IF(AND($A91&gt;=SYear_O, $A91&lt;=EYear_O, BG$3&gt;0), BG$3 * VLOOKUP($A91, Data_All!$A$8:$CA$153, MATCH(BG$2, Data_All!$B$2:$CA$2, 0)+1), "")</f>
        <v/>
      </c>
      <c r="BH91" s="206" t="str">
        <f>IF(AND($A91&gt;=SYear_O, $A91&lt;=EYear_O, BH$3&gt;0), BH$3 * VLOOKUP($A91, Data_All!$A$8:$CA$153, MATCH(BH$2, Data_All!$B$2:$CA$2, 0)+1), "")</f>
        <v/>
      </c>
      <c r="BI91" s="206" t="str">
        <f>IF(AND($A91&gt;=SYear_O, $A91&lt;=EYear_O, BI$3&gt;0), BI$3 * VLOOKUP($A91, Data_All!$A$8:$CA$153, MATCH(BI$2, Data_All!$B$2:$CA$2, 0)+1), "")</f>
        <v/>
      </c>
      <c r="BJ91" s="206" t="str">
        <f>IF(AND($A91&gt;=SYear_O, $A91&lt;=EYear_O, BJ$3&gt;0), BJ$3 * VLOOKUP($A91, Data_All!$A$8:$CA$153, MATCH(BJ$2, Data_All!$B$2:$CA$2, 0)+1), "")</f>
        <v/>
      </c>
      <c r="BK91" s="206" t="str">
        <f>IF(AND($A91&gt;=SYear_O, $A91&lt;=EYear_O, BK$3&gt;0), BK$3 * VLOOKUP($A91, Data_All!$A$8:$CA$153, MATCH(BK$2, Data_All!$B$2:$CA$2, 0)+1), "")</f>
        <v/>
      </c>
      <c r="BL91" s="206" t="str">
        <f>IF(AND($A91&gt;=SYear_O, $A91&lt;=EYear_O, BL$3&gt;0), BL$3 * VLOOKUP($A91, Data_All!$A$8:$CA$153, MATCH(BL$2, Data_All!$B$2:$CA$2, 0)+1), "")</f>
        <v/>
      </c>
      <c r="BM91" s="206" t="str">
        <f>IF(AND($A91&gt;=SYear_O, $A91&lt;=EYear_O, BM$3&gt;0), BM$3 * VLOOKUP($A91, Data_All!$A$8:$CA$153, MATCH(BM$2, Data_All!$B$2:$CA$2, 0)+1), "")</f>
        <v/>
      </c>
      <c r="BN91" s="206" t="str">
        <f>IF(AND($A91&gt;=SYear_O, $A91&lt;=EYear_O, BN$3&gt;0), BN$3 * VLOOKUP($A91, Data_All!$A$8:$CA$153, MATCH(BN$2, Data_All!$B$2:$CA$2, 0)+1), "")</f>
        <v/>
      </c>
      <c r="BO91" s="206" t="str">
        <f>IF(AND($A91&gt;=SYear_O, $A91&lt;=EYear_O, BO$3&gt;0), BO$3 * VLOOKUP($A91, Data_All!$A$8:$CA$153, MATCH(BO$2, Data_All!$B$2:$CA$2, 0)+1), "")</f>
        <v/>
      </c>
      <c r="BP91" s="206" t="str">
        <f>IF(AND($A91&gt;=SYear_O, $A91&lt;=EYear_O, BP$3&gt;0), BP$3 * VLOOKUP($A91, Data_All!$A$8:$CA$153, MATCH(BP$2, Data_All!$B$2:$CA$2, 0)+1), "")</f>
        <v/>
      </c>
      <c r="BQ91" s="206" t="str">
        <f>IF(AND($A91&gt;=SYear_O, $A91&lt;=EYear_O, BQ$3&gt;0), BQ$3 * VLOOKUP($A91, Data_All!$A$8:$CA$153, MATCH(BQ$2, Data_All!$B$2:$CA$2, 0)+1), "")</f>
        <v/>
      </c>
      <c r="BR91" s="206" t="str">
        <f>IF(AND($A91&gt;=SYear_O, $A91&lt;=EYear_O, BR$3&gt;0), BR$3 * VLOOKUP($A91, Data_All!$A$8:$CA$153, MATCH(BR$2, Data_All!$B$2:$CA$2, 0)+1), "")</f>
        <v/>
      </c>
      <c r="BS91" s="206" t="str">
        <f>IF(AND($A91&gt;=SYear_O, $A91&lt;=EYear_O, BS$3&gt;0), BS$3 * VLOOKUP($A91, Data_All!$A$8:$CA$153, MATCH(BS$2, Data_All!$B$2:$CA$2, 0)+1), "")</f>
        <v/>
      </c>
      <c r="BT91" s="206" t="str">
        <f>IF(AND($A91&gt;=SYear_O, $A91&lt;=EYear_O, BT$3&gt;0), BT$3 * VLOOKUP($A91, Data_All!$A$8:$CA$153, MATCH(BT$2, Data_All!$B$2:$CA$2, 0)+1), "")</f>
        <v/>
      </c>
      <c r="BU91" s="206" t="str">
        <f>IF(AND($A91&gt;=SYear_O, $A91&lt;=EYear_O, BU$3&gt;0), BU$3 * VLOOKUP($A91, Data_All!$A$8:$CA$153, MATCH(BU$2, Data_All!$B$2:$CA$2, 0)+1), "")</f>
        <v/>
      </c>
      <c r="BV91" s="206" t="str">
        <f>IF(AND($A91&gt;=SYear_O, $A91&lt;=EYear_O, BV$3&gt;0), BV$3 * VLOOKUP($A91, Data_All!$A$8:$CA$153, MATCH(BV$2, Data_All!$B$2:$CA$2, 0)+1), "")</f>
        <v/>
      </c>
      <c r="BW91" s="206" t="str">
        <f>IF(AND($A91&gt;=SYear_O, $A91&lt;=EYear_O, BW$3&gt;0), BW$3 * VLOOKUP($A91, Data_All!$A$8:$CA$153, MATCH(BW$2, Data_All!$B$2:$CA$2, 0)+1), "")</f>
        <v/>
      </c>
      <c r="BX91" s="206">
        <f>IF(AND($A91&gt;=SYear_O, $A91&lt;=EYear_O, BX$3&gt;0), BX$3 * VLOOKUP($A91, Data_All!$A$8:$CA$153, MATCH(BX$2, Data_All!$B$2:$CA$2, 0)+1), "")</f>
        <v>17.17415730337078</v>
      </c>
      <c r="BY91" s="206">
        <f>IF(AND($A91&gt;=SYear_O, $A91&lt;=EYear_O, BY$3&gt;0), BY$3 * VLOOKUP($A91, Data_All!$A$8:$CA$153, MATCH(BY$2, Data_All!$B$2:$CA$2, 0)+1), "")</f>
        <v>0.16120259902211664</v>
      </c>
      <c r="BZ91" s="206" t="str">
        <f>IF(AND($A91&gt;=SYear_O, $A91&lt;=EYear_O, BZ$3&gt;0), BZ$3 * VLOOKUP($A91, Data_All!$A$8:$CA$153, MATCH(BZ$2, Data_All!$B$2:$CA$2, 0)+1), "")</f>
        <v/>
      </c>
      <c r="CA91" s="565">
        <f t="shared" si="35"/>
        <v>17.335359902392895</v>
      </c>
      <c r="CB91" s="427">
        <f t="shared" si="36"/>
        <v>2685280.8104213425</v>
      </c>
      <c r="CC91" s="565">
        <f>IF(AND($A91&gt;=SYear_O,$A91&lt;=EYear_O),(CA91-Data_All!CA92)/(1+Data_All!CA92%),"")</f>
        <v>16.897541395294414</v>
      </c>
      <c r="CD91" s="436">
        <f t="shared" si="37"/>
        <v>1248862.0829560093</v>
      </c>
      <c r="CE91" s="438">
        <f t="shared" si="38"/>
        <v>243.55292537996829</v>
      </c>
      <c r="CF91" s="438">
        <f>IF(AND($A91&gt;=SYear_O,$A91&lt;=EYear_O),MAX($CE$7:CE91),"")</f>
        <v>243.55292537996829</v>
      </c>
      <c r="CG91" s="209">
        <f t="shared" si="39"/>
        <v>0</v>
      </c>
      <c r="CI91" s="143">
        <f>IF(AND($A91&gt;=SYear_O,$A91&lt;=EYear_O),Data_All!V92,"")</f>
        <v>1.2988310520531521</v>
      </c>
      <c r="CJ91" s="143">
        <f>IF(AND($A91&gt;=SYear_O,$A91&lt;=EYear_O),Data_All!CA92,"")</f>
        <v>0.37453183520599342</v>
      </c>
      <c r="CK91" s="143">
        <f t="shared" si="40"/>
        <v>0.92085033917235581</v>
      </c>
      <c r="CN91" s="61">
        <f t="shared" si="41"/>
        <v>0.17335359902392899</v>
      </c>
      <c r="CO91" s="61">
        <f t="shared" si="42"/>
        <v>6.5718683565255231E-2</v>
      </c>
      <c r="CP91" s="61">
        <f t="shared" si="43"/>
        <v>9.2834850101582544E-2</v>
      </c>
      <c r="CQ91" s="61">
        <f t="shared" si="44"/>
        <v>9.1419420657662176E-2</v>
      </c>
      <c r="CR91" s="61">
        <f t="shared" si="45"/>
        <v>7.1628514062322513E-2</v>
      </c>
      <c r="CU91" s="61">
        <f t="shared" si="46"/>
        <v>0.16897541395294402</v>
      </c>
      <c r="CV91" s="61">
        <f t="shared" si="47"/>
        <v>4.1576059317473657E-2</v>
      </c>
      <c r="CW91" s="61">
        <f t="shared" si="48"/>
        <v>7.2712309550500231E-2</v>
      </c>
      <c r="CX91" s="61">
        <f t="shared" si="49"/>
        <v>7.4551770477085499E-2</v>
      </c>
      <c r="CY91" s="61">
        <f t="shared" si="50"/>
        <v>4.7077654854784878E-2</v>
      </c>
    </row>
    <row r="92" spans="1:103">
      <c r="A92" s="204">
        <f t="shared" si="51"/>
        <v>1956</v>
      </c>
      <c r="B92" s="206" t="str">
        <f>IF(AND($A92&gt;=SYear_O, $A92&lt;=EYear_O, B$3&gt;0), B$3 * VLOOKUP($A92, Data_All!$A$8:$CA$153, MATCH(B$2, Data_All!$B$2:$CA$2, 0)+1), "")</f>
        <v/>
      </c>
      <c r="C92" s="206" t="str">
        <f>IF(AND($A92&gt;=SYear_O, $A92&lt;=EYear_O, C$3&gt;0), C$3 * VLOOKUP($A92, Data_All!$A$8:$CA$153, MATCH(C$2, Data_All!$B$2:$CA$2, 0)+1), "")</f>
        <v/>
      </c>
      <c r="D92" s="206" t="str">
        <f>IF(AND($A92&gt;=SYear_O, $A92&lt;=EYear_O, D$3&gt;0), D$3 * VLOOKUP($A92, Data_All!$A$8:$CA$153, MATCH(D$2, Data_All!$B$2:$CA$2, 0)+1), "")</f>
        <v/>
      </c>
      <c r="E92" s="206" t="str">
        <f>IF(AND($A92&gt;=SYear_O, $A92&lt;=EYear_O, E$3&gt;0), E$3 * VLOOKUP($A92, Data_All!$A$8:$CA$153, MATCH(E$2, Data_All!$B$2:$CA$2, 0)+1), "")</f>
        <v/>
      </c>
      <c r="F92" s="206" t="str">
        <f>IF(AND($A92&gt;=SYear_O, $A92&lt;=EYear_O, F$3&gt;0), F$3 * VLOOKUP($A92, Data_All!$A$8:$CA$153, MATCH(F$2, Data_All!$B$2:$CA$2, 0)+1), "")</f>
        <v/>
      </c>
      <c r="G92" s="206" t="str">
        <f>IF(AND($A92&gt;=SYear_O, $A92&lt;=EYear_O, G$3&gt;0), G$3 * VLOOKUP($A92, Data_All!$A$8:$CA$153, MATCH(G$2, Data_All!$B$2:$CA$2, 0)+1), "")</f>
        <v/>
      </c>
      <c r="H92" s="206" t="str">
        <f>IF(AND($A92&gt;=SYear_O, $A92&lt;=EYear_O, H$3&gt;0), H$3 * VLOOKUP($A92, Data_All!$A$8:$CA$153, MATCH(H$2, Data_All!$B$2:$CA$2, 0)+1), "")</f>
        <v/>
      </c>
      <c r="I92" s="206" t="str">
        <f>IF(AND($A92&gt;=SYear_O, $A92&lt;=EYear_O, I$3&gt;0), I$3 * VLOOKUP($A92, Data_All!$A$8:$CA$153, MATCH(I$2, Data_All!$B$2:$CA$2, 0)+1), "")</f>
        <v/>
      </c>
      <c r="J92" s="206" t="str">
        <f>IF(AND($A92&gt;=SYear_O, $A92&lt;=EYear_O, J$3&gt;0), J$3 * VLOOKUP($A92, Data_All!$A$8:$CA$153, MATCH(J$2, Data_All!$B$2:$CA$2, 0)+1), "")</f>
        <v/>
      </c>
      <c r="K92" s="206" t="str">
        <f>IF(AND($A92&gt;=SYear_O, $A92&lt;=EYear_O, K$3&gt;0), K$3 * VLOOKUP($A92, Data_All!$A$8:$CA$153, MATCH(K$2, Data_All!$B$2:$CA$2, 0)+1), "")</f>
        <v/>
      </c>
      <c r="L92" s="206" t="str">
        <f>IF(AND($A92&gt;=SYear_O, $A92&lt;=EYear_O, L$3&gt;0), L$3 * VLOOKUP($A92, Data_All!$A$8:$CA$153, MATCH(L$2, Data_All!$B$2:$CA$2, 0)+1), "")</f>
        <v/>
      </c>
      <c r="M92" s="206" t="str">
        <f>IF(AND($A92&gt;=SYear_O, $A92&lt;=EYear_O, M$3&gt;0), M$3 * VLOOKUP($A92, Data_All!$A$8:$CA$153, MATCH(M$2, Data_All!$B$2:$CA$2, 0)+1), "")</f>
        <v/>
      </c>
      <c r="N92" s="206" t="str">
        <f>IF(AND($A92&gt;=SYear_O, $A92&lt;=EYear_O, N$3&gt;0), N$3 * VLOOKUP($A92, Data_All!$A$8:$CA$153, MATCH(N$2, Data_All!$B$2:$CA$2, 0)+1), "")</f>
        <v/>
      </c>
      <c r="O92" s="206" t="str">
        <f>IF(AND($A92&gt;=SYear_O, $A92&lt;=EYear_O, O$3&gt;0), O$3 * VLOOKUP($A92, Data_All!$A$8:$CA$153, MATCH(O$2, Data_All!$B$2:$CA$2, 0)+1), "")</f>
        <v/>
      </c>
      <c r="P92" s="206" t="str">
        <f>IF(AND($A92&gt;=SYear_O, $A92&lt;=EYear_O, P$3&gt;0), P$3 * VLOOKUP($A92, Data_All!$A$8:$CA$153, MATCH(P$2, Data_All!$B$2:$CA$2, 0)+1), "")</f>
        <v/>
      </c>
      <c r="Q92" s="206" t="str">
        <f>IF(AND($A92&gt;=SYear_O, $A92&lt;=EYear_O, Q$3&gt;0), Q$3 * VLOOKUP($A92, Data_All!$A$8:$CA$153, MATCH(Q$2, Data_All!$B$2:$CA$2, 0)+1), "")</f>
        <v/>
      </c>
      <c r="R92" s="206" t="str">
        <f>IF(AND($A92&gt;=SYear_O, $A92&lt;=EYear_O, R$3&gt;0), R$3 * VLOOKUP($A92, Data_All!$A$8:$CA$153, MATCH(R$2, Data_All!$B$2:$CA$2, 0)+1), "")</f>
        <v/>
      </c>
      <c r="S92" s="206" t="str">
        <f>IF(AND($A92&gt;=SYear_O, $A92&lt;=EYear_O, S$3&gt;0), S$3 * VLOOKUP($A92, Data_All!$A$8:$CA$153, MATCH(S$2, Data_All!$B$2:$CA$2, 0)+1), "")</f>
        <v/>
      </c>
      <c r="T92" s="206" t="str">
        <f>IF(AND($A92&gt;=SYear_O, $A92&lt;=EYear_O, T$3&gt;0), T$3 * VLOOKUP($A92, Data_All!$A$8:$CA$153, MATCH(T$2, Data_All!$B$2:$CA$2, 0)+1), "")</f>
        <v/>
      </c>
      <c r="U92" s="206" t="str">
        <f>IF(AND($A92&gt;=SYear_O, $A92&lt;=EYear_O, U$3&gt;0), U$3 * VLOOKUP($A92, Data_All!$A$8:$CA$153, MATCH(U$2, Data_All!$B$2:$CA$2, 0)+1), "")</f>
        <v/>
      </c>
      <c r="V92" s="206" t="str">
        <f>IF(AND($A92&gt;=SYear_O, $A92&lt;=EYear_O, V$3&gt;0), V$3 * VLOOKUP($A92, Data_All!$A$8:$CA$153, MATCH(V$2, Data_All!$B$2:$CA$2, 0)+1), "")</f>
        <v/>
      </c>
      <c r="W92" s="206" t="str">
        <f>IF(AND($A92&gt;=SYear_O, $A92&lt;=EYear_O, W$3&gt;0), W$3 * VLOOKUP($A92, Data_All!$A$8:$CA$153, MATCH(W$2, Data_All!$B$2:$CA$2, 0)+1), "")</f>
        <v/>
      </c>
      <c r="X92" s="206" t="str">
        <f>IF(AND($A92&gt;=SYear_O, $A92&lt;=EYear_O, X$3&gt;0), X$3 * VLOOKUP($A92, Data_All!$A$8:$CA$153, MATCH(X$2, Data_All!$B$2:$CA$2, 0)+1), "")</f>
        <v/>
      </c>
      <c r="Y92" s="206" t="str">
        <f>IF(AND($A92&gt;=SYear_O, $A92&lt;=EYear_O, Y$3&gt;0), Y$3 * VLOOKUP($A92, Data_All!$A$8:$CA$153, MATCH(Y$2, Data_All!$B$2:$CA$2, 0)+1), "")</f>
        <v/>
      </c>
      <c r="Z92" s="206" t="str">
        <f>IF(AND($A92&gt;=SYear_O, $A92&lt;=EYear_O, Z$3&gt;0), Z$3 * VLOOKUP($A92, Data_All!$A$8:$CA$153, MATCH(Z$2, Data_All!$B$2:$CA$2, 0)+1), "")</f>
        <v/>
      </c>
      <c r="AA92" s="206" t="str">
        <f>IF(AND($A92&gt;=SYear_O, $A92&lt;=EYear_O, AA$3&gt;0), AA$3 * VLOOKUP($A92, Data_All!$A$8:$CA$153, MATCH(AA$2, Data_All!$B$2:$CA$2, 0)+1), "")</f>
        <v/>
      </c>
      <c r="AB92" s="206" t="str">
        <f>IF(AND($A92&gt;=SYear_O, $A92&lt;=EYear_O, AB$3&gt;0), AB$3 * VLOOKUP($A92, Data_All!$A$8:$CA$153, MATCH(AB$2, Data_All!$B$2:$CA$2, 0)+1), "")</f>
        <v/>
      </c>
      <c r="AC92" s="206" t="str">
        <f>IF(AND($A92&gt;=SYear_O, $A92&lt;=EYear_O, AC$3&gt;0), AC$3 * VLOOKUP($A92, Data_All!$A$8:$CA$153, MATCH(AC$2, Data_All!$B$2:$CA$2, 0)+1), "")</f>
        <v/>
      </c>
      <c r="AD92" s="206" t="str">
        <f>IF(AND($A92&gt;=SYear_O, $A92&lt;=EYear_O, AD$3&gt;0), AD$3 * VLOOKUP($A92, Data_All!$A$8:$CA$153, MATCH(AD$2, Data_All!$B$2:$CA$2, 0)+1), "")</f>
        <v/>
      </c>
      <c r="AE92" s="206" t="str">
        <f>IF(AND($A92&gt;=SYear_O, $A92&lt;=EYear_O, AE$3&gt;0), AE$3 * VLOOKUP($A92, Data_All!$A$8:$CA$153, MATCH(AE$2, Data_All!$B$2:$CA$2, 0)+1), "")</f>
        <v/>
      </c>
      <c r="AF92" s="206" t="str">
        <f>IF(AND($A92&gt;=SYear_O, $A92&lt;=EYear_O, AF$3&gt;0), AF$3 * VLOOKUP($A92, Data_All!$A$8:$CA$153, MATCH(AF$2, Data_All!$B$2:$CA$2, 0)+1), "")</f>
        <v/>
      </c>
      <c r="AG92" s="206" t="str">
        <f>IF(AND($A92&gt;=SYear_O, $A92&lt;=EYear_O, AG$3&gt;0), AG$3 * VLOOKUP($A92, Data_All!$A$8:$CA$153, MATCH(AG$2, Data_All!$B$2:$CA$2, 0)+1), "")</f>
        <v/>
      </c>
      <c r="AH92" s="206" t="str">
        <f>IF(AND($A92&gt;=SYear_O, $A92&lt;=EYear_O, AH$3&gt;0), AH$3 * VLOOKUP($A92, Data_All!$A$8:$CA$153, MATCH(AH$2, Data_All!$B$2:$CA$2, 0)+1), "")</f>
        <v/>
      </c>
      <c r="AI92" s="206" t="str">
        <f>IF(AND($A92&gt;=SYear_O, $A92&lt;=EYear_O, AI$3&gt;0), AI$3 * VLOOKUP($A92, Data_All!$A$8:$CA$153, MATCH(AI$2, Data_All!$B$2:$CA$2, 0)+1), "")</f>
        <v/>
      </c>
      <c r="AJ92" s="206" t="str">
        <f>IF(AND($A92&gt;=SYear_O, $A92&lt;=EYear_O, AJ$3&gt;0), AJ$3 * VLOOKUP($A92, Data_All!$A$8:$CA$153, MATCH(AJ$2, Data_All!$B$2:$CA$2, 0)+1), "")</f>
        <v/>
      </c>
      <c r="AK92" s="206" t="str">
        <f>IF(AND($A92&gt;=SYear_O, $A92&lt;=EYear_O, AK$3&gt;0), AK$3 * VLOOKUP($A92, Data_All!$A$8:$CA$153, MATCH(AK$2, Data_All!$B$2:$CA$2, 0)+1), "")</f>
        <v/>
      </c>
      <c r="AL92" s="206" t="str">
        <f>IF(AND($A92&gt;=SYear_O, $A92&lt;=EYear_O, AL$3&gt;0), AL$3 * VLOOKUP($A92, Data_All!$A$8:$CA$153, MATCH(AL$2, Data_All!$B$2:$CA$2, 0)+1), "")</f>
        <v/>
      </c>
      <c r="AM92" s="206" t="str">
        <f>IF(AND($A92&gt;=SYear_O, $A92&lt;=EYear_O, AM$3&gt;0), AM$3 * VLOOKUP($A92, Data_All!$A$8:$CA$153, MATCH(AM$2, Data_All!$B$2:$CA$2, 0)+1), "")</f>
        <v/>
      </c>
      <c r="AN92" s="206" t="str">
        <f>IF(AND($A92&gt;=SYear_O, $A92&lt;=EYear_O, AN$3&gt;0), AN$3 * VLOOKUP($A92, Data_All!$A$8:$CA$153, MATCH(AN$2, Data_All!$B$2:$CA$2, 0)+1), "")</f>
        <v/>
      </c>
      <c r="AO92" s="206" t="str">
        <f>IF(AND($A92&gt;=SYear_O, $A92&lt;=EYear_O, AO$3&gt;0), AO$3 * VLOOKUP($A92, Data_All!$A$8:$CA$153, MATCH(AO$2, Data_All!$B$2:$CA$2, 0)+1), "")</f>
        <v/>
      </c>
      <c r="AP92" s="206" t="str">
        <f>IF(AND($A92&gt;=SYear_O, $A92&lt;=EYear_O, AP$3&gt;0), AP$3 * VLOOKUP($A92, Data_All!$A$8:$CA$153, MATCH(AP$2, Data_All!$B$2:$CA$2, 0)+1), "")</f>
        <v/>
      </c>
      <c r="AQ92" s="206" t="str">
        <f>IF(AND($A92&gt;=SYear_O, $A92&lt;=EYear_O, AQ$3&gt;0), AQ$3 * VLOOKUP($A92, Data_All!$A$8:$CA$153, MATCH(AQ$2, Data_All!$B$2:$CA$2, 0)+1), "")</f>
        <v/>
      </c>
      <c r="AR92" s="206" t="str">
        <f>IF(AND($A92&gt;=SYear_O, $A92&lt;=EYear_O, AR$3&gt;0), AR$3 * VLOOKUP($A92, Data_All!$A$8:$CA$153, MATCH(AR$2, Data_All!$B$2:$CA$2, 0)+1), "")</f>
        <v/>
      </c>
      <c r="AS92" s="206" t="str">
        <f>IF(AND($A92&gt;=SYear_O, $A92&lt;=EYear_O, AS$3&gt;0), AS$3 * VLOOKUP($A92, Data_All!$A$8:$CA$153, MATCH(AS$2, Data_All!$B$2:$CA$2, 0)+1), "")</f>
        <v/>
      </c>
      <c r="AT92" s="206" t="str">
        <f>IF(AND($A92&gt;=SYear_O, $A92&lt;=EYear_O, AT$3&gt;0), AT$3 * VLOOKUP($A92, Data_All!$A$8:$CA$153, MATCH(AT$2, Data_All!$B$2:$CA$2, 0)+1), "")</f>
        <v/>
      </c>
      <c r="AU92" s="206" t="str">
        <f>IF(AND($A92&gt;=SYear_O, $A92&lt;=EYear_O, AU$3&gt;0), AU$3 * VLOOKUP($A92, Data_All!$A$8:$CA$153, MATCH(AU$2, Data_All!$B$2:$CA$2, 0)+1), "")</f>
        <v/>
      </c>
      <c r="AV92" s="206" t="str">
        <f>IF(AND($A92&gt;=SYear_O, $A92&lt;=EYear_O, AV$3&gt;0), AV$3 * VLOOKUP($A92, Data_All!$A$8:$CA$153, MATCH(AV$2, Data_All!$B$2:$CA$2, 0)+1), "")</f>
        <v/>
      </c>
      <c r="AW92" s="206" t="str">
        <f>IF(AND($A92&gt;=SYear_O, $A92&lt;=EYear_O, AW$3&gt;0), AW$3 * VLOOKUP($A92, Data_All!$A$8:$CA$153, MATCH(AW$2, Data_All!$B$2:$CA$2, 0)+1), "")</f>
        <v/>
      </c>
      <c r="AX92" s="206" t="str">
        <f>IF(AND($A92&gt;=SYear_O, $A92&lt;=EYear_O, AX$3&gt;0), AX$3 * VLOOKUP($A92, Data_All!$A$8:$CA$153, MATCH(AX$2, Data_All!$B$2:$CA$2, 0)+1), "")</f>
        <v/>
      </c>
      <c r="AY92" s="206" t="str">
        <f>IF(AND($A92&gt;=SYear_O, $A92&lt;=EYear_O, AY$3&gt;0), AY$3 * VLOOKUP($A92, Data_All!$A$8:$CA$153, MATCH(AY$2, Data_All!$B$2:$CA$2, 0)+1), "")</f>
        <v/>
      </c>
      <c r="AZ92" s="206" t="str">
        <f>IF(AND($A92&gt;=SYear_O, $A92&lt;=EYear_O, AZ$3&gt;0), AZ$3 * VLOOKUP($A92, Data_All!$A$8:$CA$153, MATCH(AZ$2, Data_All!$B$2:$CA$2, 0)+1), "")</f>
        <v/>
      </c>
      <c r="BA92" s="206" t="str">
        <f>IF(AND($A92&gt;=SYear_O, $A92&lt;=EYear_O, BA$3&gt;0), BA$3 * VLOOKUP($A92, Data_All!$A$8:$CA$153, MATCH(BA$2, Data_All!$B$2:$CA$2, 0)+1), "")</f>
        <v/>
      </c>
      <c r="BB92" s="206" t="str">
        <f>IF(AND($A92&gt;=SYear_O, $A92&lt;=EYear_O, BB$3&gt;0), BB$3 * VLOOKUP($A92, Data_All!$A$8:$CA$153, MATCH(BB$2, Data_All!$B$2:$CA$2, 0)+1), "")</f>
        <v/>
      </c>
      <c r="BC92" s="206" t="str">
        <f>IF(AND($A92&gt;=SYear_O, $A92&lt;=EYear_O, BC$3&gt;0), BC$3 * VLOOKUP($A92, Data_All!$A$8:$CA$153, MATCH(BC$2, Data_All!$B$2:$CA$2, 0)+1), "")</f>
        <v/>
      </c>
      <c r="BD92" s="206" t="str">
        <f>IF(AND($A92&gt;=SYear_O, $A92&lt;=EYear_O, BD$3&gt;0), BD$3 * VLOOKUP($A92, Data_All!$A$8:$CA$153, MATCH(BD$2, Data_All!$B$2:$CA$2, 0)+1), "")</f>
        <v/>
      </c>
      <c r="BE92" s="206" t="str">
        <f>IF(AND($A92&gt;=SYear_O, $A92&lt;=EYear_O, BE$3&gt;0), BE$3 * VLOOKUP($A92, Data_All!$A$8:$CA$153, MATCH(BE$2, Data_All!$B$2:$CA$2, 0)+1), "")</f>
        <v/>
      </c>
      <c r="BF92" s="206" t="str">
        <f>IF(AND($A92&gt;=SYear_O, $A92&lt;=EYear_O, BF$3&gt;0), BF$3 * VLOOKUP($A92, Data_All!$A$8:$CA$153, MATCH(BF$2, Data_All!$B$2:$CA$2, 0)+1), "")</f>
        <v/>
      </c>
      <c r="BG92" s="206" t="str">
        <f>IF(AND($A92&gt;=SYear_O, $A92&lt;=EYear_O, BG$3&gt;0), BG$3 * VLOOKUP($A92, Data_All!$A$8:$CA$153, MATCH(BG$2, Data_All!$B$2:$CA$2, 0)+1), "")</f>
        <v/>
      </c>
      <c r="BH92" s="206" t="str">
        <f>IF(AND($A92&gt;=SYear_O, $A92&lt;=EYear_O, BH$3&gt;0), BH$3 * VLOOKUP($A92, Data_All!$A$8:$CA$153, MATCH(BH$2, Data_All!$B$2:$CA$2, 0)+1), "")</f>
        <v/>
      </c>
      <c r="BI92" s="206" t="str">
        <f>IF(AND($A92&gt;=SYear_O, $A92&lt;=EYear_O, BI$3&gt;0), BI$3 * VLOOKUP($A92, Data_All!$A$8:$CA$153, MATCH(BI$2, Data_All!$B$2:$CA$2, 0)+1), "")</f>
        <v/>
      </c>
      <c r="BJ92" s="206" t="str">
        <f>IF(AND($A92&gt;=SYear_O, $A92&lt;=EYear_O, BJ$3&gt;0), BJ$3 * VLOOKUP($A92, Data_All!$A$8:$CA$153, MATCH(BJ$2, Data_All!$B$2:$CA$2, 0)+1), "")</f>
        <v/>
      </c>
      <c r="BK92" s="206" t="str">
        <f>IF(AND($A92&gt;=SYear_O, $A92&lt;=EYear_O, BK$3&gt;0), BK$3 * VLOOKUP($A92, Data_All!$A$8:$CA$153, MATCH(BK$2, Data_All!$B$2:$CA$2, 0)+1), "")</f>
        <v/>
      </c>
      <c r="BL92" s="206" t="str">
        <f>IF(AND($A92&gt;=SYear_O, $A92&lt;=EYear_O, BL$3&gt;0), BL$3 * VLOOKUP($A92, Data_All!$A$8:$CA$153, MATCH(BL$2, Data_All!$B$2:$CA$2, 0)+1), "")</f>
        <v/>
      </c>
      <c r="BM92" s="206" t="str">
        <f>IF(AND($A92&gt;=SYear_O, $A92&lt;=EYear_O, BM$3&gt;0), BM$3 * VLOOKUP($A92, Data_All!$A$8:$CA$153, MATCH(BM$2, Data_All!$B$2:$CA$2, 0)+1), "")</f>
        <v/>
      </c>
      <c r="BN92" s="206" t="str">
        <f>IF(AND($A92&gt;=SYear_O, $A92&lt;=EYear_O, BN$3&gt;0), BN$3 * VLOOKUP($A92, Data_All!$A$8:$CA$153, MATCH(BN$2, Data_All!$B$2:$CA$2, 0)+1), "")</f>
        <v/>
      </c>
      <c r="BO92" s="206" t="str">
        <f>IF(AND($A92&gt;=SYear_O, $A92&lt;=EYear_O, BO$3&gt;0), BO$3 * VLOOKUP($A92, Data_All!$A$8:$CA$153, MATCH(BO$2, Data_All!$B$2:$CA$2, 0)+1), "")</f>
        <v/>
      </c>
      <c r="BP92" s="206" t="str">
        <f>IF(AND($A92&gt;=SYear_O, $A92&lt;=EYear_O, BP$3&gt;0), BP$3 * VLOOKUP($A92, Data_All!$A$8:$CA$153, MATCH(BP$2, Data_All!$B$2:$CA$2, 0)+1), "")</f>
        <v/>
      </c>
      <c r="BQ92" s="206" t="str">
        <f>IF(AND($A92&gt;=SYear_O, $A92&lt;=EYear_O, BQ$3&gt;0), BQ$3 * VLOOKUP($A92, Data_All!$A$8:$CA$153, MATCH(BQ$2, Data_All!$B$2:$CA$2, 0)+1), "")</f>
        <v/>
      </c>
      <c r="BR92" s="206" t="str">
        <f>IF(AND($A92&gt;=SYear_O, $A92&lt;=EYear_O, BR$3&gt;0), BR$3 * VLOOKUP($A92, Data_All!$A$8:$CA$153, MATCH(BR$2, Data_All!$B$2:$CA$2, 0)+1), "")</f>
        <v/>
      </c>
      <c r="BS92" s="206" t="str">
        <f>IF(AND($A92&gt;=SYear_O, $A92&lt;=EYear_O, BS$3&gt;0), BS$3 * VLOOKUP($A92, Data_All!$A$8:$CA$153, MATCH(BS$2, Data_All!$B$2:$CA$2, 0)+1), "")</f>
        <v/>
      </c>
      <c r="BT92" s="206" t="str">
        <f>IF(AND($A92&gt;=SYear_O, $A92&lt;=EYear_O, BT$3&gt;0), BT$3 * VLOOKUP($A92, Data_All!$A$8:$CA$153, MATCH(BT$2, Data_All!$B$2:$CA$2, 0)+1), "")</f>
        <v/>
      </c>
      <c r="BU92" s="206" t="str">
        <f>IF(AND($A92&gt;=SYear_O, $A92&lt;=EYear_O, BU$3&gt;0), BU$3 * VLOOKUP($A92, Data_All!$A$8:$CA$153, MATCH(BU$2, Data_All!$B$2:$CA$2, 0)+1), "")</f>
        <v/>
      </c>
      <c r="BV92" s="206" t="str">
        <f>IF(AND($A92&gt;=SYear_O, $A92&lt;=EYear_O, BV$3&gt;0), BV$3 * VLOOKUP($A92, Data_All!$A$8:$CA$153, MATCH(BV$2, Data_All!$B$2:$CA$2, 0)+1), "")</f>
        <v/>
      </c>
      <c r="BW92" s="206" t="str">
        <f>IF(AND($A92&gt;=SYear_O, $A92&lt;=EYear_O, BW$3&gt;0), BW$3 * VLOOKUP($A92, Data_All!$A$8:$CA$153, MATCH(BW$2, Data_All!$B$2:$CA$2, 0)+1), "")</f>
        <v/>
      </c>
      <c r="BX92" s="206">
        <f>IF(AND($A92&gt;=SYear_O, $A92&lt;=EYear_O, BX$3&gt;0), BX$3 * VLOOKUP($A92, Data_All!$A$8:$CA$153, MATCH(BX$2, Data_All!$B$2:$CA$2, 0)+1), "")</f>
        <v>4.1041902604756553</v>
      </c>
      <c r="BY92" s="206">
        <f>IF(AND($A92&gt;=SYear_O, $A92&lt;=EYear_O, BY$3&gt;0), BY$3 * VLOOKUP($A92, Data_All!$A$8:$CA$153, MATCH(BY$2, Data_All!$B$2:$CA$2, 0)+1), "")</f>
        <v>3.7465544574102339E-2</v>
      </c>
      <c r="BZ92" s="206" t="str">
        <f>IF(AND($A92&gt;=SYear_O, $A92&lt;=EYear_O, BZ$3&gt;0), BZ$3 * VLOOKUP($A92, Data_All!$A$8:$CA$153, MATCH(BZ$2, Data_All!$B$2:$CA$2, 0)+1), "")</f>
        <v/>
      </c>
      <c r="CA92" s="565">
        <f t="shared" si="35"/>
        <v>4.1416558050497576</v>
      </c>
      <c r="CB92" s="427">
        <f t="shared" si="36"/>
        <v>2796495.8989880448</v>
      </c>
      <c r="CC92" s="565">
        <f>IF(AND($A92&gt;=SYear_O,$A92&lt;=EYear_O),(CA92-Data_All!CA93)/(1+Data_All!CA93%),"")</f>
        <v>1.1230570860627997</v>
      </c>
      <c r="CD92" s="436">
        <f t="shared" si="37"/>
        <v>1262887.5170737982</v>
      </c>
      <c r="CE92" s="438">
        <f t="shared" si="38"/>
        <v>253.64004925233621</v>
      </c>
      <c r="CF92" s="438">
        <f>IF(AND($A92&gt;=SYear_O,$A92&lt;=EYear_O),MAX($CE$7:CE92),"")</f>
        <v>253.64004925233621</v>
      </c>
      <c r="CG92" s="209">
        <f t="shared" si="39"/>
        <v>0</v>
      </c>
      <c r="CI92" s="143">
        <f>IF(AND($A92&gt;=SYear_O,$A92&lt;=EYear_O),Data_All!V93,"")</f>
        <v>2.4877610150864227</v>
      </c>
      <c r="CJ92" s="143">
        <f>IF(AND($A92&gt;=SYear_O,$A92&lt;=EYear_O),Data_All!CA93,"")</f>
        <v>2.9850746268656803</v>
      </c>
      <c r="CK92" s="143">
        <f t="shared" si="40"/>
        <v>-0.48289872448130805</v>
      </c>
      <c r="CN92" s="61">
        <f t="shared" si="41"/>
        <v>4.1416558050497487E-2</v>
      </c>
      <c r="CO92" s="61">
        <f t="shared" si="42"/>
        <v>8.2865937197234008E-2</v>
      </c>
      <c r="CP92" s="61">
        <f t="shared" si="43"/>
        <v>7.4661584864240016E-2</v>
      </c>
      <c r="CQ92" s="61">
        <f t="shared" si="44"/>
        <v>8.1832176473575213E-2</v>
      </c>
      <c r="CR92" s="61">
        <f t="shared" si="45"/>
        <v>6.7540589140562712E-2</v>
      </c>
      <c r="CU92" s="61">
        <f t="shared" si="46"/>
        <v>1.1230570860627953E-2</v>
      </c>
      <c r="CV92" s="61">
        <f t="shared" si="47"/>
        <v>5.4759934887556261E-2</v>
      </c>
      <c r="CW92" s="61">
        <f t="shared" si="48"/>
        <v>5.2096148489611638E-2</v>
      </c>
      <c r="CX92" s="61">
        <f t="shared" si="49"/>
        <v>6.3483268709782381E-2</v>
      </c>
      <c r="CY92" s="61">
        <f t="shared" si="50"/>
        <v>3.9763364394109324E-2</v>
      </c>
    </row>
    <row r="93" spans="1:103">
      <c r="A93" s="204">
        <f t="shared" si="51"/>
        <v>1957</v>
      </c>
      <c r="B93" s="206" t="str">
        <f>IF(AND($A93&gt;=SYear_O, $A93&lt;=EYear_O, B$3&gt;0), B$3 * VLOOKUP($A93, Data_All!$A$8:$CA$153, MATCH(B$2, Data_All!$B$2:$CA$2, 0)+1), "")</f>
        <v/>
      </c>
      <c r="C93" s="206" t="str">
        <f>IF(AND($A93&gt;=SYear_O, $A93&lt;=EYear_O, C$3&gt;0), C$3 * VLOOKUP($A93, Data_All!$A$8:$CA$153, MATCH(C$2, Data_All!$B$2:$CA$2, 0)+1), "")</f>
        <v/>
      </c>
      <c r="D93" s="206" t="str">
        <f>IF(AND($A93&gt;=SYear_O, $A93&lt;=EYear_O, D$3&gt;0), D$3 * VLOOKUP($A93, Data_All!$A$8:$CA$153, MATCH(D$2, Data_All!$B$2:$CA$2, 0)+1), "")</f>
        <v/>
      </c>
      <c r="E93" s="206" t="str">
        <f>IF(AND($A93&gt;=SYear_O, $A93&lt;=EYear_O, E$3&gt;0), E$3 * VLOOKUP($A93, Data_All!$A$8:$CA$153, MATCH(E$2, Data_All!$B$2:$CA$2, 0)+1), "")</f>
        <v/>
      </c>
      <c r="F93" s="206" t="str">
        <f>IF(AND($A93&gt;=SYear_O, $A93&lt;=EYear_O, F$3&gt;0), F$3 * VLOOKUP($A93, Data_All!$A$8:$CA$153, MATCH(F$2, Data_All!$B$2:$CA$2, 0)+1), "")</f>
        <v/>
      </c>
      <c r="G93" s="206" t="str">
        <f>IF(AND($A93&gt;=SYear_O, $A93&lt;=EYear_O, G$3&gt;0), G$3 * VLOOKUP($A93, Data_All!$A$8:$CA$153, MATCH(G$2, Data_All!$B$2:$CA$2, 0)+1), "")</f>
        <v/>
      </c>
      <c r="H93" s="206" t="str">
        <f>IF(AND($A93&gt;=SYear_O, $A93&lt;=EYear_O, H$3&gt;0), H$3 * VLOOKUP($A93, Data_All!$A$8:$CA$153, MATCH(H$2, Data_All!$B$2:$CA$2, 0)+1), "")</f>
        <v/>
      </c>
      <c r="I93" s="206" t="str">
        <f>IF(AND($A93&gt;=SYear_O, $A93&lt;=EYear_O, I$3&gt;0), I$3 * VLOOKUP($A93, Data_All!$A$8:$CA$153, MATCH(I$2, Data_All!$B$2:$CA$2, 0)+1), "")</f>
        <v/>
      </c>
      <c r="J93" s="206" t="str">
        <f>IF(AND($A93&gt;=SYear_O, $A93&lt;=EYear_O, J$3&gt;0), J$3 * VLOOKUP($A93, Data_All!$A$8:$CA$153, MATCH(J$2, Data_All!$B$2:$CA$2, 0)+1), "")</f>
        <v/>
      </c>
      <c r="K93" s="206" t="str">
        <f>IF(AND($A93&gt;=SYear_O, $A93&lt;=EYear_O, K$3&gt;0), K$3 * VLOOKUP($A93, Data_All!$A$8:$CA$153, MATCH(K$2, Data_All!$B$2:$CA$2, 0)+1), "")</f>
        <v/>
      </c>
      <c r="L93" s="206" t="str">
        <f>IF(AND($A93&gt;=SYear_O, $A93&lt;=EYear_O, L$3&gt;0), L$3 * VLOOKUP($A93, Data_All!$A$8:$CA$153, MATCH(L$2, Data_All!$B$2:$CA$2, 0)+1), "")</f>
        <v/>
      </c>
      <c r="M93" s="206" t="str">
        <f>IF(AND($A93&gt;=SYear_O, $A93&lt;=EYear_O, M$3&gt;0), M$3 * VLOOKUP($A93, Data_All!$A$8:$CA$153, MATCH(M$2, Data_All!$B$2:$CA$2, 0)+1), "")</f>
        <v/>
      </c>
      <c r="N93" s="206" t="str">
        <f>IF(AND($A93&gt;=SYear_O, $A93&lt;=EYear_O, N$3&gt;0), N$3 * VLOOKUP($A93, Data_All!$A$8:$CA$153, MATCH(N$2, Data_All!$B$2:$CA$2, 0)+1), "")</f>
        <v/>
      </c>
      <c r="O93" s="206" t="str">
        <f>IF(AND($A93&gt;=SYear_O, $A93&lt;=EYear_O, O$3&gt;0), O$3 * VLOOKUP($A93, Data_All!$A$8:$CA$153, MATCH(O$2, Data_All!$B$2:$CA$2, 0)+1), "")</f>
        <v/>
      </c>
      <c r="P93" s="206" t="str">
        <f>IF(AND($A93&gt;=SYear_O, $A93&lt;=EYear_O, P$3&gt;0), P$3 * VLOOKUP($A93, Data_All!$A$8:$CA$153, MATCH(P$2, Data_All!$B$2:$CA$2, 0)+1), "")</f>
        <v/>
      </c>
      <c r="Q93" s="206" t="str">
        <f>IF(AND($A93&gt;=SYear_O, $A93&lt;=EYear_O, Q$3&gt;0), Q$3 * VLOOKUP($A93, Data_All!$A$8:$CA$153, MATCH(Q$2, Data_All!$B$2:$CA$2, 0)+1), "")</f>
        <v/>
      </c>
      <c r="R93" s="206" t="str">
        <f>IF(AND($A93&gt;=SYear_O, $A93&lt;=EYear_O, R$3&gt;0), R$3 * VLOOKUP($A93, Data_All!$A$8:$CA$153, MATCH(R$2, Data_All!$B$2:$CA$2, 0)+1), "")</f>
        <v/>
      </c>
      <c r="S93" s="206" t="str">
        <f>IF(AND($A93&gt;=SYear_O, $A93&lt;=EYear_O, S$3&gt;0), S$3 * VLOOKUP($A93, Data_All!$A$8:$CA$153, MATCH(S$2, Data_All!$B$2:$CA$2, 0)+1), "")</f>
        <v/>
      </c>
      <c r="T93" s="206" t="str">
        <f>IF(AND($A93&gt;=SYear_O, $A93&lt;=EYear_O, T$3&gt;0), T$3 * VLOOKUP($A93, Data_All!$A$8:$CA$153, MATCH(T$2, Data_All!$B$2:$CA$2, 0)+1), "")</f>
        <v/>
      </c>
      <c r="U93" s="206" t="str">
        <f>IF(AND($A93&gt;=SYear_O, $A93&lt;=EYear_O, U$3&gt;0), U$3 * VLOOKUP($A93, Data_All!$A$8:$CA$153, MATCH(U$2, Data_All!$B$2:$CA$2, 0)+1), "")</f>
        <v/>
      </c>
      <c r="V93" s="206" t="str">
        <f>IF(AND($A93&gt;=SYear_O, $A93&lt;=EYear_O, V$3&gt;0), V$3 * VLOOKUP($A93, Data_All!$A$8:$CA$153, MATCH(V$2, Data_All!$B$2:$CA$2, 0)+1), "")</f>
        <v/>
      </c>
      <c r="W93" s="206" t="str">
        <f>IF(AND($A93&gt;=SYear_O, $A93&lt;=EYear_O, W$3&gt;0), W$3 * VLOOKUP($A93, Data_All!$A$8:$CA$153, MATCH(W$2, Data_All!$B$2:$CA$2, 0)+1), "")</f>
        <v/>
      </c>
      <c r="X93" s="206" t="str">
        <f>IF(AND($A93&gt;=SYear_O, $A93&lt;=EYear_O, X$3&gt;0), X$3 * VLOOKUP($A93, Data_All!$A$8:$CA$153, MATCH(X$2, Data_All!$B$2:$CA$2, 0)+1), "")</f>
        <v/>
      </c>
      <c r="Y93" s="206" t="str">
        <f>IF(AND($A93&gt;=SYear_O, $A93&lt;=EYear_O, Y$3&gt;0), Y$3 * VLOOKUP($A93, Data_All!$A$8:$CA$153, MATCH(Y$2, Data_All!$B$2:$CA$2, 0)+1), "")</f>
        <v/>
      </c>
      <c r="Z93" s="206" t="str">
        <f>IF(AND($A93&gt;=SYear_O, $A93&lt;=EYear_O, Z$3&gt;0), Z$3 * VLOOKUP($A93, Data_All!$A$8:$CA$153, MATCH(Z$2, Data_All!$B$2:$CA$2, 0)+1), "")</f>
        <v/>
      </c>
      <c r="AA93" s="206" t="str">
        <f>IF(AND($A93&gt;=SYear_O, $A93&lt;=EYear_O, AA$3&gt;0), AA$3 * VLOOKUP($A93, Data_All!$A$8:$CA$153, MATCH(AA$2, Data_All!$B$2:$CA$2, 0)+1), "")</f>
        <v/>
      </c>
      <c r="AB93" s="206" t="str">
        <f>IF(AND($A93&gt;=SYear_O, $A93&lt;=EYear_O, AB$3&gt;0), AB$3 * VLOOKUP($A93, Data_All!$A$8:$CA$153, MATCH(AB$2, Data_All!$B$2:$CA$2, 0)+1), "")</f>
        <v/>
      </c>
      <c r="AC93" s="206" t="str">
        <f>IF(AND($A93&gt;=SYear_O, $A93&lt;=EYear_O, AC$3&gt;0), AC$3 * VLOOKUP($A93, Data_All!$A$8:$CA$153, MATCH(AC$2, Data_All!$B$2:$CA$2, 0)+1), "")</f>
        <v/>
      </c>
      <c r="AD93" s="206" t="str">
        <f>IF(AND($A93&gt;=SYear_O, $A93&lt;=EYear_O, AD$3&gt;0), AD$3 * VLOOKUP($A93, Data_All!$A$8:$CA$153, MATCH(AD$2, Data_All!$B$2:$CA$2, 0)+1), "")</f>
        <v/>
      </c>
      <c r="AE93" s="206" t="str">
        <f>IF(AND($A93&gt;=SYear_O, $A93&lt;=EYear_O, AE$3&gt;0), AE$3 * VLOOKUP($A93, Data_All!$A$8:$CA$153, MATCH(AE$2, Data_All!$B$2:$CA$2, 0)+1), "")</f>
        <v/>
      </c>
      <c r="AF93" s="206" t="str">
        <f>IF(AND($A93&gt;=SYear_O, $A93&lt;=EYear_O, AF$3&gt;0), AF$3 * VLOOKUP($A93, Data_All!$A$8:$CA$153, MATCH(AF$2, Data_All!$B$2:$CA$2, 0)+1), "")</f>
        <v/>
      </c>
      <c r="AG93" s="206" t="str">
        <f>IF(AND($A93&gt;=SYear_O, $A93&lt;=EYear_O, AG$3&gt;0), AG$3 * VLOOKUP($A93, Data_All!$A$8:$CA$153, MATCH(AG$2, Data_All!$B$2:$CA$2, 0)+1), "")</f>
        <v/>
      </c>
      <c r="AH93" s="206" t="str">
        <f>IF(AND($A93&gt;=SYear_O, $A93&lt;=EYear_O, AH$3&gt;0), AH$3 * VLOOKUP($A93, Data_All!$A$8:$CA$153, MATCH(AH$2, Data_All!$B$2:$CA$2, 0)+1), "")</f>
        <v/>
      </c>
      <c r="AI93" s="206" t="str">
        <f>IF(AND($A93&gt;=SYear_O, $A93&lt;=EYear_O, AI$3&gt;0), AI$3 * VLOOKUP($A93, Data_All!$A$8:$CA$153, MATCH(AI$2, Data_All!$B$2:$CA$2, 0)+1), "")</f>
        <v/>
      </c>
      <c r="AJ93" s="206" t="str">
        <f>IF(AND($A93&gt;=SYear_O, $A93&lt;=EYear_O, AJ$3&gt;0), AJ$3 * VLOOKUP($A93, Data_All!$A$8:$CA$153, MATCH(AJ$2, Data_All!$B$2:$CA$2, 0)+1), "")</f>
        <v/>
      </c>
      <c r="AK93" s="206" t="str">
        <f>IF(AND($A93&gt;=SYear_O, $A93&lt;=EYear_O, AK$3&gt;0), AK$3 * VLOOKUP($A93, Data_All!$A$8:$CA$153, MATCH(AK$2, Data_All!$B$2:$CA$2, 0)+1), "")</f>
        <v/>
      </c>
      <c r="AL93" s="206" t="str">
        <f>IF(AND($A93&gt;=SYear_O, $A93&lt;=EYear_O, AL$3&gt;0), AL$3 * VLOOKUP($A93, Data_All!$A$8:$CA$153, MATCH(AL$2, Data_All!$B$2:$CA$2, 0)+1), "")</f>
        <v/>
      </c>
      <c r="AM93" s="206" t="str">
        <f>IF(AND($A93&gt;=SYear_O, $A93&lt;=EYear_O, AM$3&gt;0), AM$3 * VLOOKUP($A93, Data_All!$A$8:$CA$153, MATCH(AM$2, Data_All!$B$2:$CA$2, 0)+1), "")</f>
        <v/>
      </c>
      <c r="AN93" s="206" t="str">
        <f>IF(AND($A93&gt;=SYear_O, $A93&lt;=EYear_O, AN$3&gt;0), AN$3 * VLOOKUP($A93, Data_All!$A$8:$CA$153, MATCH(AN$2, Data_All!$B$2:$CA$2, 0)+1), "")</f>
        <v/>
      </c>
      <c r="AO93" s="206" t="str">
        <f>IF(AND($A93&gt;=SYear_O, $A93&lt;=EYear_O, AO$3&gt;0), AO$3 * VLOOKUP($A93, Data_All!$A$8:$CA$153, MATCH(AO$2, Data_All!$B$2:$CA$2, 0)+1), "")</f>
        <v/>
      </c>
      <c r="AP93" s="206" t="str">
        <f>IF(AND($A93&gt;=SYear_O, $A93&lt;=EYear_O, AP$3&gt;0), AP$3 * VLOOKUP($A93, Data_All!$A$8:$CA$153, MATCH(AP$2, Data_All!$B$2:$CA$2, 0)+1), "")</f>
        <v/>
      </c>
      <c r="AQ93" s="206" t="str">
        <f>IF(AND($A93&gt;=SYear_O, $A93&lt;=EYear_O, AQ$3&gt;0), AQ$3 * VLOOKUP($A93, Data_All!$A$8:$CA$153, MATCH(AQ$2, Data_All!$B$2:$CA$2, 0)+1), "")</f>
        <v/>
      </c>
      <c r="AR93" s="206" t="str">
        <f>IF(AND($A93&gt;=SYear_O, $A93&lt;=EYear_O, AR$3&gt;0), AR$3 * VLOOKUP($A93, Data_All!$A$8:$CA$153, MATCH(AR$2, Data_All!$B$2:$CA$2, 0)+1), "")</f>
        <v/>
      </c>
      <c r="AS93" s="206" t="str">
        <f>IF(AND($A93&gt;=SYear_O, $A93&lt;=EYear_O, AS$3&gt;0), AS$3 * VLOOKUP($A93, Data_All!$A$8:$CA$153, MATCH(AS$2, Data_All!$B$2:$CA$2, 0)+1), "")</f>
        <v/>
      </c>
      <c r="AT93" s="206" t="str">
        <f>IF(AND($A93&gt;=SYear_O, $A93&lt;=EYear_O, AT$3&gt;0), AT$3 * VLOOKUP($A93, Data_All!$A$8:$CA$153, MATCH(AT$2, Data_All!$B$2:$CA$2, 0)+1), "")</f>
        <v/>
      </c>
      <c r="AU93" s="206" t="str">
        <f>IF(AND($A93&gt;=SYear_O, $A93&lt;=EYear_O, AU$3&gt;0), AU$3 * VLOOKUP($A93, Data_All!$A$8:$CA$153, MATCH(AU$2, Data_All!$B$2:$CA$2, 0)+1), "")</f>
        <v/>
      </c>
      <c r="AV93" s="206" t="str">
        <f>IF(AND($A93&gt;=SYear_O, $A93&lt;=EYear_O, AV$3&gt;0), AV$3 * VLOOKUP($A93, Data_All!$A$8:$CA$153, MATCH(AV$2, Data_All!$B$2:$CA$2, 0)+1), "")</f>
        <v/>
      </c>
      <c r="AW93" s="206" t="str">
        <f>IF(AND($A93&gt;=SYear_O, $A93&lt;=EYear_O, AW$3&gt;0), AW$3 * VLOOKUP($A93, Data_All!$A$8:$CA$153, MATCH(AW$2, Data_All!$B$2:$CA$2, 0)+1), "")</f>
        <v/>
      </c>
      <c r="AX93" s="206" t="str">
        <f>IF(AND($A93&gt;=SYear_O, $A93&lt;=EYear_O, AX$3&gt;0), AX$3 * VLOOKUP($A93, Data_All!$A$8:$CA$153, MATCH(AX$2, Data_All!$B$2:$CA$2, 0)+1), "")</f>
        <v/>
      </c>
      <c r="AY93" s="206" t="str">
        <f>IF(AND($A93&gt;=SYear_O, $A93&lt;=EYear_O, AY$3&gt;0), AY$3 * VLOOKUP($A93, Data_All!$A$8:$CA$153, MATCH(AY$2, Data_All!$B$2:$CA$2, 0)+1), "")</f>
        <v/>
      </c>
      <c r="AZ93" s="206" t="str">
        <f>IF(AND($A93&gt;=SYear_O, $A93&lt;=EYear_O, AZ$3&gt;0), AZ$3 * VLOOKUP($A93, Data_All!$A$8:$CA$153, MATCH(AZ$2, Data_All!$B$2:$CA$2, 0)+1), "")</f>
        <v/>
      </c>
      <c r="BA93" s="206" t="str">
        <f>IF(AND($A93&gt;=SYear_O, $A93&lt;=EYear_O, BA$3&gt;0), BA$3 * VLOOKUP($A93, Data_All!$A$8:$CA$153, MATCH(BA$2, Data_All!$B$2:$CA$2, 0)+1), "")</f>
        <v/>
      </c>
      <c r="BB93" s="206" t="str">
        <f>IF(AND($A93&gt;=SYear_O, $A93&lt;=EYear_O, BB$3&gt;0), BB$3 * VLOOKUP($A93, Data_All!$A$8:$CA$153, MATCH(BB$2, Data_All!$B$2:$CA$2, 0)+1), "")</f>
        <v/>
      </c>
      <c r="BC93" s="206" t="str">
        <f>IF(AND($A93&gt;=SYear_O, $A93&lt;=EYear_O, BC$3&gt;0), BC$3 * VLOOKUP($A93, Data_All!$A$8:$CA$153, MATCH(BC$2, Data_All!$B$2:$CA$2, 0)+1), "")</f>
        <v/>
      </c>
      <c r="BD93" s="206" t="str">
        <f>IF(AND($A93&gt;=SYear_O, $A93&lt;=EYear_O, BD$3&gt;0), BD$3 * VLOOKUP($A93, Data_All!$A$8:$CA$153, MATCH(BD$2, Data_All!$B$2:$CA$2, 0)+1), "")</f>
        <v/>
      </c>
      <c r="BE93" s="206" t="str">
        <f>IF(AND($A93&gt;=SYear_O, $A93&lt;=EYear_O, BE$3&gt;0), BE$3 * VLOOKUP($A93, Data_All!$A$8:$CA$153, MATCH(BE$2, Data_All!$B$2:$CA$2, 0)+1), "")</f>
        <v/>
      </c>
      <c r="BF93" s="206" t="str">
        <f>IF(AND($A93&gt;=SYear_O, $A93&lt;=EYear_O, BF$3&gt;0), BF$3 * VLOOKUP($A93, Data_All!$A$8:$CA$153, MATCH(BF$2, Data_All!$B$2:$CA$2, 0)+1), "")</f>
        <v/>
      </c>
      <c r="BG93" s="206" t="str">
        <f>IF(AND($A93&gt;=SYear_O, $A93&lt;=EYear_O, BG$3&gt;0), BG$3 * VLOOKUP($A93, Data_All!$A$8:$CA$153, MATCH(BG$2, Data_All!$B$2:$CA$2, 0)+1), "")</f>
        <v/>
      </c>
      <c r="BH93" s="206" t="str">
        <f>IF(AND($A93&gt;=SYear_O, $A93&lt;=EYear_O, BH$3&gt;0), BH$3 * VLOOKUP($A93, Data_All!$A$8:$CA$153, MATCH(BH$2, Data_All!$B$2:$CA$2, 0)+1), "")</f>
        <v/>
      </c>
      <c r="BI93" s="206" t="str">
        <f>IF(AND($A93&gt;=SYear_O, $A93&lt;=EYear_O, BI$3&gt;0), BI$3 * VLOOKUP($A93, Data_All!$A$8:$CA$153, MATCH(BI$2, Data_All!$B$2:$CA$2, 0)+1), "")</f>
        <v/>
      </c>
      <c r="BJ93" s="206" t="str">
        <f>IF(AND($A93&gt;=SYear_O, $A93&lt;=EYear_O, BJ$3&gt;0), BJ$3 * VLOOKUP($A93, Data_All!$A$8:$CA$153, MATCH(BJ$2, Data_All!$B$2:$CA$2, 0)+1), "")</f>
        <v/>
      </c>
      <c r="BK93" s="206" t="str">
        <f>IF(AND($A93&gt;=SYear_O, $A93&lt;=EYear_O, BK$3&gt;0), BK$3 * VLOOKUP($A93, Data_All!$A$8:$CA$153, MATCH(BK$2, Data_All!$B$2:$CA$2, 0)+1), "")</f>
        <v/>
      </c>
      <c r="BL93" s="206" t="str">
        <f>IF(AND($A93&gt;=SYear_O, $A93&lt;=EYear_O, BL$3&gt;0), BL$3 * VLOOKUP($A93, Data_All!$A$8:$CA$153, MATCH(BL$2, Data_All!$B$2:$CA$2, 0)+1), "")</f>
        <v/>
      </c>
      <c r="BM93" s="206" t="str">
        <f>IF(AND($A93&gt;=SYear_O, $A93&lt;=EYear_O, BM$3&gt;0), BM$3 * VLOOKUP($A93, Data_All!$A$8:$CA$153, MATCH(BM$2, Data_All!$B$2:$CA$2, 0)+1), "")</f>
        <v/>
      </c>
      <c r="BN93" s="206" t="str">
        <f>IF(AND($A93&gt;=SYear_O, $A93&lt;=EYear_O, BN$3&gt;0), BN$3 * VLOOKUP($A93, Data_All!$A$8:$CA$153, MATCH(BN$2, Data_All!$B$2:$CA$2, 0)+1), "")</f>
        <v/>
      </c>
      <c r="BO93" s="206" t="str">
        <f>IF(AND($A93&gt;=SYear_O, $A93&lt;=EYear_O, BO$3&gt;0), BO$3 * VLOOKUP($A93, Data_All!$A$8:$CA$153, MATCH(BO$2, Data_All!$B$2:$CA$2, 0)+1), "")</f>
        <v/>
      </c>
      <c r="BP93" s="206" t="str">
        <f>IF(AND($A93&gt;=SYear_O, $A93&lt;=EYear_O, BP$3&gt;0), BP$3 * VLOOKUP($A93, Data_All!$A$8:$CA$153, MATCH(BP$2, Data_All!$B$2:$CA$2, 0)+1), "")</f>
        <v/>
      </c>
      <c r="BQ93" s="206" t="str">
        <f>IF(AND($A93&gt;=SYear_O, $A93&lt;=EYear_O, BQ$3&gt;0), BQ$3 * VLOOKUP($A93, Data_All!$A$8:$CA$153, MATCH(BQ$2, Data_All!$B$2:$CA$2, 0)+1), "")</f>
        <v/>
      </c>
      <c r="BR93" s="206" t="str">
        <f>IF(AND($A93&gt;=SYear_O, $A93&lt;=EYear_O, BR$3&gt;0), BR$3 * VLOOKUP($A93, Data_All!$A$8:$CA$153, MATCH(BR$2, Data_All!$B$2:$CA$2, 0)+1), "")</f>
        <v/>
      </c>
      <c r="BS93" s="206" t="str">
        <f>IF(AND($A93&gt;=SYear_O, $A93&lt;=EYear_O, BS$3&gt;0), BS$3 * VLOOKUP($A93, Data_All!$A$8:$CA$153, MATCH(BS$2, Data_All!$B$2:$CA$2, 0)+1), "")</f>
        <v/>
      </c>
      <c r="BT93" s="206" t="str">
        <f>IF(AND($A93&gt;=SYear_O, $A93&lt;=EYear_O, BT$3&gt;0), BT$3 * VLOOKUP($A93, Data_All!$A$8:$CA$153, MATCH(BT$2, Data_All!$B$2:$CA$2, 0)+1), "")</f>
        <v/>
      </c>
      <c r="BU93" s="206" t="str">
        <f>IF(AND($A93&gt;=SYear_O, $A93&lt;=EYear_O, BU$3&gt;0), BU$3 * VLOOKUP($A93, Data_All!$A$8:$CA$153, MATCH(BU$2, Data_All!$B$2:$CA$2, 0)+1), "")</f>
        <v/>
      </c>
      <c r="BV93" s="206" t="str">
        <f>IF(AND($A93&gt;=SYear_O, $A93&lt;=EYear_O, BV$3&gt;0), BV$3 * VLOOKUP($A93, Data_All!$A$8:$CA$153, MATCH(BV$2, Data_All!$B$2:$CA$2, 0)+1), "")</f>
        <v/>
      </c>
      <c r="BW93" s="206" t="str">
        <f>IF(AND($A93&gt;=SYear_O, $A93&lt;=EYear_O, BW$3&gt;0), BW$3 * VLOOKUP($A93, Data_All!$A$8:$CA$153, MATCH(BW$2, Data_All!$B$2:$CA$2, 0)+1), "")</f>
        <v/>
      </c>
      <c r="BX93" s="206">
        <f>IF(AND($A93&gt;=SYear_O, $A93&lt;=EYear_O, BX$3&gt;0), BX$3 * VLOOKUP($A93, Data_All!$A$8:$CA$153, MATCH(BX$2, Data_All!$B$2:$CA$2, 0)+1), "")</f>
        <v>-3.3281972265023159</v>
      </c>
      <c r="BY93" s="206">
        <f>IF(AND($A93&gt;=SYear_O, $A93&lt;=EYear_O, BY$3&gt;0), BY$3 * VLOOKUP($A93, Data_All!$A$8:$CA$153, MATCH(BY$2, Data_All!$B$2:$CA$2, 0)+1), "")</f>
        <v>2.3827292838174596</v>
      </c>
      <c r="BZ93" s="206" t="str">
        <f>IF(AND($A93&gt;=SYear_O, $A93&lt;=EYear_O, BZ$3&gt;0), BZ$3 * VLOOKUP($A93, Data_All!$A$8:$CA$153, MATCH(BZ$2, Data_All!$B$2:$CA$2, 0)+1), "")</f>
        <v/>
      </c>
      <c r="CA93" s="565">
        <f t="shared" si="35"/>
        <v>-0.94546794268485623</v>
      </c>
      <c r="CB93" s="427">
        <f t="shared" si="36"/>
        <v>2770055.9267446161</v>
      </c>
      <c r="CC93" s="565">
        <f>IF(AND($A93&gt;=SYear_O,$A93&lt;=EYear_O),(CA93-Data_All!CA94)/(1+Data_All!CA94%),"")</f>
        <v>-4.4089131195140512</v>
      </c>
      <c r="CD93" s="436">
        <f t="shared" si="37"/>
        <v>1207207.9036488263</v>
      </c>
      <c r="CE93" s="438">
        <f t="shared" si="38"/>
        <v>251.24196389684531</v>
      </c>
      <c r="CF93" s="438">
        <f>IF(AND($A93&gt;=SYear_O,$A93&lt;=EYear_O),MAX($CE$7:CE93),"")</f>
        <v>253.64004925233621</v>
      </c>
      <c r="CG93" s="209">
        <f t="shared" si="39"/>
        <v>9.4546794268485224E-3</v>
      </c>
      <c r="CI93" s="143">
        <f>IF(AND($A93&gt;=SYear_O,$A93&lt;=EYear_O),Data_All!V94,"")</f>
        <v>3.2770506544110307</v>
      </c>
      <c r="CJ93" s="143">
        <f>IF(AND($A93&gt;=SYear_O,$A93&lt;=EYear_O),Data_All!CA94,"")</f>
        <v>3.6231884057970953</v>
      </c>
      <c r="CK93" s="143">
        <f t="shared" si="40"/>
        <v>-0.33403503280613228</v>
      </c>
      <c r="CN93" s="61">
        <f t="shared" si="41"/>
        <v>-9.4546794268486334E-3</v>
      </c>
      <c r="CO93" s="61">
        <f t="shared" si="42"/>
        <v>8.4525490356650579E-2</v>
      </c>
      <c r="CP93" s="61">
        <f t="shared" si="43"/>
        <v>9.1358979024464881E-2</v>
      </c>
      <c r="CQ93" s="61">
        <f t="shared" si="44"/>
        <v>7.5468816175243703E-2</v>
      </c>
      <c r="CR93" s="61">
        <f t="shared" si="45"/>
        <v>7.2308742448042196E-2</v>
      </c>
      <c r="CU93" s="61">
        <f t="shared" si="46"/>
        <v>-4.4089131195140463E-2</v>
      </c>
      <c r="CV93" s="61">
        <f t="shared" si="47"/>
        <v>6.3131332687702102E-2</v>
      </c>
      <c r="CW93" s="61">
        <f t="shared" si="48"/>
        <v>7.3310038753989781E-2</v>
      </c>
      <c r="CX93" s="61">
        <f t="shared" si="49"/>
        <v>5.6742418493258784E-2</v>
      </c>
      <c r="CY93" s="61">
        <f t="shared" si="50"/>
        <v>4.4217572591002785E-2</v>
      </c>
    </row>
    <row r="94" spans="1:103">
      <c r="A94" s="204">
        <f t="shared" si="51"/>
        <v>1958</v>
      </c>
      <c r="B94" s="206" t="str">
        <f>IF(AND($A94&gt;=SYear_O, $A94&lt;=EYear_O, B$3&gt;0), B$3 * VLOOKUP($A94, Data_All!$A$8:$CA$153, MATCH(B$2, Data_All!$B$2:$CA$2, 0)+1), "")</f>
        <v/>
      </c>
      <c r="C94" s="206" t="str">
        <f>IF(AND($A94&gt;=SYear_O, $A94&lt;=EYear_O, C$3&gt;0), C$3 * VLOOKUP($A94, Data_All!$A$8:$CA$153, MATCH(C$2, Data_All!$B$2:$CA$2, 0)+1), "")</f>
        <v/>
      </c>
      <c r="D94" s="206" t="str">
        <f>IF(AND($A94&gt;=SYear_O, $A94&lt;=EYear_O, D$3&gt;0), D$3 * VLOOKUP($A94, Data_All!$A$8:$CA$153, MATCH(D$2, Data_All!$B$2:$CA$2, 0)+1), "")</f>
        <v/>
      </c>
      <c r="E94" s="206" t="str">
        <f>IF(AND($A94&gt;=SYear_O, $A94&lt;=EYear_O, E$3&gt;0), E$3 * VLOOKUP($A94, Data_All!$A$8:$CA$153, MATCH(E$2, Data_All!$B$2:$CA$2, 0)+1), "")</f>
        <v/>
      </c>
      <c r="F94" s="206" t="str">
        <f>IF(AND($A94&gt;=SYear_O, $A94&lt;=EYear_O, F$3&gt;0), F$3 * VLOOKUP($A94, Data_All!$A$8:$CA$153, MATCH(F$2, Data_All!$B$2:$CA$2, 0)+1), "")</f>
        <v/>
      </c>
      <c r="G94" s="206" t="str">
        <f>IF(AND($A94&gt;=SYear_O, $A94&lt;=EYear_O, G$3&gt;0), G$3 * VLOOKUP($A94, Data_All!$A$8:$CA$153, MATCH(G$2, Data_All!$B$2:$CA$2, 0)+1), "")</f>
        <v/>
      </c>
      <c r="H94" s="206" t="str">
        <f>IF(AND($A94&gt;=SYear_O, $A94&lt;=EYear_O, H$3&gt;0), H$3 * VLOOKUP($A94, Data_All!$A$8:$CA$153, MATCH(H$2, Data_All!$B$2:$CA$2, 0)+1), "")</f>
        <v/>
      </c>
      <c r="I94" s="206" t="str">
        <f>IF(AND($A94&gt;=SYear_O, $A94&lt;=EYear_O, I$3&gt;0), I$3 * VLOOKUP($A94, Data_All!$A$8:$CA$153, MATCH(I$2, Data_All!$B$2:$CA$2, 0)+1), "")</f>
        <v/>
      </c>
      <c r="J94" s="206" t="str">
        <f>IF(AND($A94&gt;=SYear_O, $A94&lt;=EYear_O, J$3&gt;0), J$3 * VLOOKUP($A94, Data_All!$A$8:$CA$153, MATCH(J$2, Data_All!$B$2:$CA$2, 0)+1), "")</f>
        <v/>
      </c>
      <c r="K94" s="206" t="str">
        <f>IF(AND($A94&gt;=SYear_O, $A94&lt;=EYear_O, K$3&gt;0), K$3 * VLOOKUP($A94, Data_All!$A$8:$CA$153, MATCH(K$2, Data_All!$B$2:$CA$2, 0)+1), "")</f>
        <v/>
      </c>
      <c r="L94" s="206" t="str">
        <f>IF(AND($A94&gt;=SYear_O, $A94&lt;=EYear_O, L$3&gt;0), L$3 * VLOOKUP($A94, Data_All!$A$8:$CA$153, MATCH(L$2, Data_All!$B$2:$CA$2, 0)+1), "")</f>
        <v/>
      </c>
      <c r="M94" s="206" t="str">
        <f>IF(AND($A94&gt;=SYear_O, $A94&lt;=EYear_O, M$3&gt;0), M$3 * VLOOKUP($A94, Data_All!$A$8:$CA$153, MATCH(M$2, Data_All!$B$2:$CA$2, 0)+1), "")</f>
        <v/>
      </c>
      <c r="N94" s="206" t="str">
        <f>IF(AND($A94&gt;=SYear_O, $A94&lt;=EYear_O, N$3&gt;0), N$3 * VLOOKUP($A94, Data_All!$A$8:$CA$153, MATCH(N$2, Data_All!$B$2:$CA$2, 0)+1), "")</f>
        <v/>
      </c>
      <c r="O94" s="206" t="str">
        <f>IF(AND($A94&gt;=SYear_O, $A94&lt;=EYear_O, O$3&gt;0), O$3 * VLOOKUP($A94, Data_All!$A$8:$CA$153, MATCH(O$2, Data_All!$B$2:$CA$2, 0)+1), "")</f>
        <v/>
      </c>
      <c r="P94" s="206" t="str">
        <f>IF(AND($A94&gt;=SYear_O, $A94&lt;=EYear_O, P$3&gt;0), P$3 * VLOOKUP($A94, Data_All!$A$8:$CA$153, MATCH(P$2, Data_All!$B$2:$CA$2, 0)+1), "")</f>
        <v/>
      </c>
      <c r="Q94" s="206" t="str">
        <f>IF(AND($A94&gt;=SYear_O, $A94&lt;=EYear_O, Q$3&gt;0), Q$3 * VLOOKUP($A94, Data_All!$A$8:$CA$153, MATCH(Q$2, Data_All!$B$2:$CA$2, 0)+1), "")</f>
        <v/>
      </c>
      <c r="R94" s="206" t="str">
        <f>IF(AND($A94&gt;=SYear_O, $A94&lt;=EYear_O, R$3&gt;0), R$3 * VLOOKUP($A94, Data_All!$A$8:$CA$153, MATCH(R$2, Data_All!$B$2:$CA$2, 0)+1), "")</f>
        <v/>
      </c>
      <c r="S94" s="206" t="str">
        <f>IF(AND($A94&gt;=SYear_O, $A94&lt;=EYear_O, S$3&gt;0), S$3 * VLOOKUP($A94, Data_All!$A$8:$CA$153, MATCH(S$2, Data_All!$B$2:$CA$2, 0)+1), "")</f>
        <v/>
      </c>
      <c r="T94" s="206" t="str">
        <f>IF(AND($A94&gt;=SYear_O, $A94&lt;=EYear_O, T$3&gt;0), T$3 * VLOOKUP($A94, Data_All!$A$8:$CA$153, MATCH(T$2, Data_All!$B$2:$CA$2, 0)+1), "")</f>
        <v/>
      </c>
      <c r="U94" s="206" t="str">
        <f>IF(AND($A94&gt;=SYear_O, $A94&lt;=EYear_O, U$3&gt;0), U$3 * VLOOKUP($A94, Data_All!$A$8:$CA$153, MATCH(U$2, Data_All!$B$2:$CA$2, 0)+1), "")</f>
        <v/>
      </c>
      <c r="V94" s="206" t="str">
        <f>IF(AND($A94&gt;=SYear_O, $A94&lt;=EYear_O, V$3&gt;0), V$3 * VLOOKUP($A94, Data_All!$A$8:$CA$153, MATCH(V$2, Data_All!$B$2:$CA$2, 0)+1), "")</f>
        <v/>
      </c>
      <c r="W94" s="206" t="str">
        <f>IF(AND($A94&gt;=SYear_O, $A94&lt;=EYear_O, W$3&gt;0), W$3 * VLOOKUP($A94, Data_All!$A$8:$CA$153, MATCH(W$2, Data_All!$B$2:$CA$2, 0)+1), "")</f>
        <v/>
      </c>
      <c r="X94" s="206" t="str">
        <f>IF(AND($A94&gt;=SYear_O, $A94&lt;=EYear_O, X$3&gt;0), X$3 * VLOOKUP($A94, Data_All!$A$8:$CA$153, MATCH(X$2, Data_All!$B$2:$CA$2, 0)+1), "")</f>
        <v/>
      </c>
      <c r="Y94" s="206" t="str">
        <f>IF(AND($A94&gt;=SYear_O, $A94&lt;=EYear_O, Y$3&gt;0), Y$3 * VLOOKUP($A94, Data_All!$A$8:$CA$153, MATCH(Y$2, Data_All!$B$2:$CA$2, 0)+1), "")</f>
        <v/>
      </c>
      <c r="Z94" s="206" t="str">
        <f>IF(AND($A94&gt;=SYear_O, $A94&lt;=EYear_O, Z$3&gt;0), Z$3 * VLOOKUP($A94, Data_All!$A$8:$CA$153, MATCH(Z$2, Data_All!$B$2:$CA$2, 0)+1), "")</f>
        <v/>
      </c>
      <c r="AA94" s="206" t="str">
        <f>IF(AND($A94&gt;=SYear_O, $A94&lt;=EYear_O, AA$3&gt;0), AA$3 * VLOOKUP($A94, Data_All!$A$8:$CA$153, MATCH(AA$2, Data_All!$B$2:$CA$2, 0)+1), "")</f>
        <v/>
      </c>
      <c r="AB94" s="206" t="str">
        <f>IF(AND($A94&gt;=SYear_O, $A94&lt;=EYear_O, AB$3&gt;0), AB$3 * VLOOKUP($A94, Data_All!$A$8:$CA$153, MATCH(AB$2, Data_All!$B$2:$CA$2, 0)+1), "")</f>
        <v/>
      </c>
      <c r="AC94" s="206" t="str">
        <f>IF(AND($A94&gt;=SYear_O, $A94&lt;=EYear_O, AC$3&gt;0), AC$3 * VLOOKUP($A94, Data_All!$A$8:$CA$153, MATCH(AC$2, Data_All!$B$2:$CA$2, 0)+1), "")</f>
        <v/>
      </c>
      <c r="AD94" s="206" t="str">
        <f>IF(AND($A94&gt;=SYear_O, $A94&lt;=EYear_O, AD$3&gt;0), AD$3 * VLOOKUP($A94, Data_All!$A$8:$CA$153, MATCH(AD$2, Data_All!$B$2:$CA$2, 0)+1), "")</f>
        <v/>
      </c>
      <c r="AE94" s="206" t="str">
        <f>IF(AND($A94&gt;=SYear_O, $A94&lt;=EYear_O, AE$3&gt;0), AE$3 * VLOOKUP($A94, Data_All!$A$8:$CA$153, MATCH(AE$2, Data_All!$B$2:$CA$2, 0)+1), "")</f>
        <v/>
      </c>
      <c r="AF94" s="206" t="str">
        <f>IF(AND($A94&gt;=SYear_O, $A94&lt;=EYear_O, AF$3&gt;0), AF$3 * VLOOKUP($A94, Data_All!$A$8:$CA$153, MATCH(AF$2, Data_All!$B$2:$CA$2, 0)+1), "")</f>
        <v/>
      </c>
      <c r="AG94" s="206" t="str">
        <f>IF(AND($A94&gt;=SYear_O, $A94&lt;=EYear_O, AG$3&gt;0), AG$3 * VLOOKUP($A94, Data_All!$A$8:$CA$153, MATCH(AG$2, Data_All!$B$2:$CA$2, 0)+1), "")</f>
        <v/>
      </c>
      <c r="AH94" s="206" t="str">
        <f>IF(AND($A94&gt;=SYear_O, $A94&lt;=EYear_O, AH$3&gt;0), AH$3 * VLOOKUP($A94, Data_All!$A$8:$CA$153, MATCH(AH$2, Data_All!$B$2:$CA$2, 0)+1), "")</f>
        <v/>
      </c>
      <c r="AI94" s="206" t="str">
        <f>IF(AND($A94&gt;=SYear_O, $A94&lt;=EYear_O, AI$3&gt;0), AI$3 * VLOOKUP($A94, Data_All!$A$8:$CA$153, MATCH(AI$2, Data_All!$B$2:$CA$2, 0)+1), "")</f>
        <v/>
      </c>
      <c r="AJ94" s="206" t="str">
        <f>IF(AND($A94&gt;=SYear_O, $A94&lt;=EYear_O, AJ$3&gt;0), AJ$3 * VLOOKUP($A94, Data_All!$A$8:$CA$153, MATCH(AJ$2, Data_All!$B$2:$CA$2, 0)+1), "")</f>
        <v/>
      </c>
      <c r="AK94" s="206" t="str">
        <f>IF(AND($A94&gt;=SYear_O, $A94&lt;=EYear_O, AK$3&gt;0), AK$3 * VLOOKUP($A94, Data_All!$A$8:$CA$153, MATCH(AK$2, Data_All!$B$2:$CA$2, 0)+1), "")</f>
        <v/>
      </c>
      <c r="AL94" s="206" t="str">
        <f>IF(AND($A94&gt;=SYear_O, $A94&lt;=EYear_O, AL$3&gt;0), AL$3 * VLOOKUP($A94, Data_All!$A$8:$CA$153, MATCH(AL$2, Data_All!$B$2:$CA$2, 0)+1), "")</f>
        <v/>
      </c>
      <c r="AM94" s="206" t="str">
        <f>IF(AND($A94&gt;=SYear_O, $A94&lt;=EYear_O, AM$3&gt;0), AM$3 * VLOOKUP($A94, Data_All!$A$8:$CA$153, MATCH(AM$2, Data_All!$B$2:$CA$2, 0)+1), "")</f>
        <v/>
      </c>
      <c r="AN94" s="206" t="str">
        <f>IF(AND($A94&gt;=SYear_O, $A94&lt;=EYear_O, AN$3&gt;0), AN$3 * VLOOKUP($A94, Data_All!$A$8:$CA$153, MATCH(AN$2, Data_All!$B$2:$CA$2, 0)+1), "")</f>
        <v/>
      </c>
      <c r="AO94" s="206" t="str">
        <f>IF(AND($A94&gt;=SYear_O, $A94&lt;=EYear_O, AO$3&gt;0), AO$3 * VLOOKUP($A94, Data_All!$A$8:$CA$153, MATCH(AO$2, Data_All!$B$2:$CA$2, 0)+1), "")</f>
        <v/>
      </c>
      <c r="AP94" s="206" t="str">
        <f>IF(AND($A94&gt;=SYear_O, $A94&lt;=EYear_O, AP$3&gt;0), AP$3 * VLOOKUP($A94, Data_All!$A$8:$CA$153, MATCH(AP$2, Data_All!$B$2:$CA$2, 0)+1), "")</f>
        <v/>
      </c>
      <c r="AQ94" s="206" t="str">
        <f>IF(AND($A94&gt;=SYear_O, $A94&lt;=EYear_O, AQ$3&gt;0), AQ$3 * VLOOKUP($A94, Data_All!$A$8:$CA$153, MATCH(AQ$2, Data_All!$B$2:$CA$2, 0)+1), "")</f>
        <v/>
      </c>
      <c r="AR94" s="206" t="str">
        <f>IF(AND($A94&gt;=SYear_O, $A94&lt;=EYear_O, AR$3&gt;0), AR$3 * VLOOKUP($A94, Data_All!$A$8:$CA$153, MATCH(AR$2, Data_All!$B$2:$CA$2, 0)+1), "")</f>
        <v/>
      </c>
      <c r="AS94" s="206" t="str">
        <f>IF(AND($A94&gt;=SYear_O, $A94&lt;=EYear_O, AS$3&gt;0), AS$3 * VLOOKUP($A94, Data_All!$A$8:$CA$153, MATCH(AS$2, Data_All!$B$2:$CA$2, 0)+1), "")</f>
        <v/>
      </c>
      <c r="AT94" s="206" t="str">
        <f>IF(AND($A94&gt;=SYear_O, $A94&lt;=EYear_O, AT$3&gt;0), AT$3 * VLOOKUP($A94, Data_All!$A$8:$CA$153, MATCH(AT$2, Data_All!$B$2:$CA$2, 0)+1), "")</f>
        <v/>
      </c>
      <c r="AU94" s="206" t="str">
        <f>IF(AND($A94&gt;=SYear_O, $A94&lt;=EYear_O, AU$3&gt;0), AU$3 * VLOOKUP($A94, Data_All!$A$8:$CA$153, MATCH(AU$2, Data_All!$B$2:$CA$2, 0)+1), "")</f>
        <v/>
      </c>
      <c r="AV94" s="206" t="str">
        <f>IF(AND($A94&gt;=SYear_O, $A94&lt;=EYear_O, AV$3&gt;0), AV$3 * VLOOKUP($A94, Data_All!$A$8:$CA$153, MATCH(AV$2, Data_All!$B$2:$CA$2, 0)+1), "")</f>
        <v/>
      </c>
      <c r="AW94" s="206" t="str">
        <f>IF(AND($A94&gt;=SYear_O, $A94&lt;=EYear_O, AW$3&gt;0), AW$3 * VLOOKUP($A94, Data_All!$A$8:$CA$153, MATCH(AW$2, Data_All!$B$2:$CA$2, 0)+1), "")</f>
        <v/>
      </c>
      <c r="AX94" s="206" t="str">
        <f>IF(AND($A94&gt;=SYear_O, $A94&lt;=EYear_O, AX$3&gt;0), AX$3 * VLOOKUP($A94, Data_All!$A$8:$CA$153, MATCH(AX$2, Data_All!$B$2:$CA$2, 0)+1), "")</f>
        <v/>
      </c>
      <c r="AY94" s="206" t="str">
        <f>IF(AND($A94&gt;=SYear_O, $A94&lt;=EYear_O, AY$3&gt;0), AY$3 * VLOOKUP($A94, Data_All!$A$8:$CA$153, MATCH(AY$2, Data_All!$B$2:$CA$2, 0)+1), "")</f>
        <v/>
      </c>
      <c r="AZ94" s="206" t="str">
        <f>IF(AND($A94&gt;=SYear_O, $A94&lt;=EYear_O, AZ$3&gt;0), AZ$3 * VLOOKUP($A94, Data_All!$A$8:$CA$153, MATCH(AZ$2, Data_All!$B$2:$CA$2, 0)+1), "")</f>
        <v/>
      </c>
      <c r="BA94" s="206" t="str">
        <f>IF(AND($A94&gt;=SYear_O, $A94&lt;=EYear_O, BA$3&gt;0), BA$3 * VLOOKUP($A94, Data_All!$A$8:$CA$153, MATCH(BA$2, Data_All!$B$2:$CA$2, 0)+1), "")</f>
        <v/>
      </c>
      <c r="BB94" s="206" t="str">
        <f>IF(AND($A94&gt;=SYear_O, $A94&lt;=EYear_O, BB$3&gt;0), BB$3 * VLOOKUP($A94, Data_All!$A$8:$CA$153, MATCH(BB$2, Data_All!$B$2:$CA$2, 0)+1), "")</f>
        <v/>
      </c>
      <c r="BC94" s="206" t="str">
        <f>IF(AND($A94&gt;=SYear_O, $A94&lt;=EYear_O, BC$3&gt;0), BC$3 * VLOOKUP($A94, Data_All!$A$8:$CA$153, MATCH(BC$2, Data_All!$B$2:$CA$2, 0)+1), "")</f>
        <v/>
      </c>
      <c r="BD94" s="206" t="str">
        <f>IF(AND($A94&gt;=SYear_O, $A94&lt;=EYear_O, BD$3&gt;0), BD$3 * VLOOKUP($A94, Data_All!$A$8:$CA$153, MATCH(BD$2, Data_All!$B$2:$CA$2, 0)+1), "")</f>
        <v/>
      </c>
      <c r="BE94" s="206" t="str">
        <f>IF(AND($A94&gt;=SYear_O, $A94&lt;=EYear_O, BE$3&gt;0), BE$3 * VLOOKUP($A94, Data_All!$A$8:$CA$153, MATCH(BE$2, Data_All!$B$2:$CA$2, 0)+1), "")</f>
        <v/>
      </c>
      <c r="BF94" s="206" t="str">
        <f>IF(AND($A94&gt;=SYear_O, $A94&lt;=EYear_O, BF$3&gt;0), BF$3 * VLOOKUP($A94, Data_All!$A$8:$CA$153, MATCH(BF$2, Data_All!$B$2:$CA$2, 0)+1), "")</f>
        <v/>
      </c>
      <c r="BG94" s="206" t="str">
        <f>IF(AND($A94&gt;=SYear_O, $A94&lt;=EYear_O, BG$3&gt;0), BG$3 * VLOOKUP($A94, Data_All!$A$8:$CA$153, MATCH(BG$2, Data_All!$B$2:$CA$2, 0)+1), "")</f>
        <v/>
      </c>
      <c r="BH94" s="206" t="str">
        <f>IF(AND($A94&gt;=SYear_O, $A94&lt;=EYear_O, BH$3&gt;0), BH$3 * VLOOKUP($A94, Data_All!$A$8:$CA$153, MATCH(BH$2, Data_All!$B$2:$CA$2, 0)+1), "")</f>
        <v/>
      </c>
      <c r="BI94" s="206" t="str">
        <f>IF(AND($A94&gt;=SYear_O, $A94&lt;=EYear_O, BI$3&gt;0), BI$3 * VLOOKUP($A94, Data_All!$A$8:$CA$153, MATCH(BI$2, Data_All!$B$2:$CA$2, 0)+1), "")</f>
        <v/>
      </c>
      <c r="BJ94" s="206" t="str">
        <f>IF(AND($A94&gt;=SYear_O, $A94&lt;=EYear_O, BJ$3&gt;0), BJ$3 * VLOOKUP($A94, Data_All!$A$8:$CA$153, MATCH(BJ$2, Data_All!$B$2:$CA$2, 0)+1), "")</f>
        <v/>
      </c>
      <c r="BK94" s="206" t="str">
        <f>IF(AND($A94&gt;=SYear_O, $A94&lt;=EYear_O, BK$3&gt;0), BK$3 * VLOOKUP($A94, Data_All!$A$8:$CA$153, MATCH(BK$2, Data_All!$B$2:$CA$2, 0)+1), "")</f>
        <v/>
      </c>
      <c r="BL94" s="206" t="str">
        <f>IF(AND($A94&gt;=SYear_O, $A94&lt;=EYear_O, BL$3&gt;0), BL$3 * VLOOKUP($A94, Data_All!$A$8:$CA$153, MATCH(BL$2, Data_All!$B$2:$CA$2, 0)+1), "")</f>
        <v/>
      </c>
      <c r="BM94" s="206" t="str">
        <f>IF(AND($A94&gt;=SYear_O, $A94&lt;=EYear_O, BM$3&gt;0), BM$3 * VLOOKUP($A94, Data_All!$A$8:$CA$153, MATCH(BM$2, Data_All!$B$2:$CA$2, 0)+1), "")</f>
        <v/>
      </c>
      <c r="BN94" s="206" t="str">
        <f>IF(AND($A94&gt;=SYear_O, $A94&lt;=EYear_O, BN$3&gt;0), BN$3 * VLOOKUP($A94, Data_All!$A$8:$CA$153, MATCH(BN$2, Data_All!$B$2:$CA$2, 0)+1), "")</f>
        <v/>
      </c>
      <c r="BO94" s="206" t="str">
        <f>IF(AND($A94&gt;=SYear_O, $A94&lt;=EYear_O, BO$3&gt;0), BO$3 * VLOOKUP($A94, Data_All!$A$8:$CA$153, MATCH(BO$2, Data_All!$B$2:$CA$2, 0)+1), "")</f>
        <v/>
      </c>
      <c r="BP94" s="206" t="str">
        <f>IF(AND($A94&gt;=SYear_O, $A94&lt;=EYear_O, BP$3&gt;0), BP$3 * VLOOKUP($A94, Data_All!$A$8:$CA$153, MATCH(BP$2, Data_All!$B$2:$CA$2, 0)+1), "")</f>
        <v/>
      </c>
      <c r="BQ94" s="206" t="str">
        <f>IF(AND($A94&gt;=SYear_O, $A94&lt;=EYear_O, BQ$3&gt;0), BQ$3 * VLOOKUP($A94, Data_All!$A$8:$CA$153, MATCH(BQ$2, Data_All!$B$2:$CA$2, 0)+1), "")</f>
        <v/>
      </c>
      <c r="BR94" s="206" t="str">
        <f>IF(AND($A94&gt;=SYear_O, $A94&lt;=EYear_O, BR$3&gt;0), BR$3 * VLOOKUP($A94, Data_All!$A$8:$CA$153, MATCH(BR$2, Data_All!$B$2:$CA$2, 0)+1), "")</f>
        <v/>
      </c>
      <c r="BS94" s="206" t="str">
        <f>IF(AND($A94&gt;=SYear_O, $A94&lt;=EYear_O, BS$3&gt;0), BS$3 * VLOOKUP($A94, Data_All!$A$8:$CA$153, MATCH(BS$2, Data_All!$B$2:$CA$2, 0)+1), "")</f>
        <v/>
      </c>
      <c r="BT94" s="206" t="str">
        <f>IF(AND($A94&gt;=SYear_O, $A94&lt;=EYear_O, BT$3&gt;0), BT$3 * VLOOKUP($A94, Data_All!$A$8:$CA$153, MATCH(BT$2, Data_All!$B$2:$CA$2, 0)+1), "")</f>
        <v/>
      </c>
      <c r="BU94" s="206" t="str">
        <f>IF(AND($A94&gt;=SYear_O, $A94&lt;=EYear_O, BU$3&gt;0), BU$3 * VLOOKUP($A94, Data_All!$A$8:$CA$153, MATCH(BU$2, Data_All!$B$2:$CA$2, 0)+1), "")</f>
        <v/>
      </c>
      <c r="BV94" s="206" t="str">
        <f>IF(AND($A94&gt;=SYear_O, $A94&lt;=EYear_O, BV$3&gt;0), BV$3 * VLOOKUP($A94, Data_All!$A$8:$CA$153, MATCH(BV$2, Data_All!$B$2:$CA$2, 0)+1), "")</f>
        <v/>
      </c>
      <c r="BW94" s="206" t="str">
        <f>IF(AND($A94&gt;=SYear_O, $A94&lt;=EYear_O, BW$3&gt;0), BW$3 * VLOOKUP($A94, Data_All!$A$8:$CA$153, MATCH(BW$2, Data_All!$B$2:$CA$2, 0)+1), "")</f>
        <v/>
      </c>
      <c r="BX94" s="206">
        <f>IF(AND($A94&gt;=SYear_O, $A94&lt;=EYear_O, BX$3&gt;0), BX$3 * VLOOKUP($A94, Data_All!$A$8:$CA$153, MATCH(BX$2, Data_All!$B$2:$CA$2, 0)+1), "")</f>
        <v>23.711089494163421</v>
      </c>
      <c r="BY94" s="206">
        <f>IF(AND($A94&gt;=SYear_O, $A94&lt;=EYear_O, BY$3&gt;0), BY$3 * VLOOKUP($A94, Data_All!$A$8:$CA$153, MATCH(BY$2, Data_All!$B$2:$CA$2, 0)+1), "")</f>
        <v>-0.62038738018222794</v>
      </c>
      <c r="BZ94" s="206" t="str">
        <f>IF(AND($A94&gt;=SYear_O, $A94&lt;=EYear_O, BZ$3&gt;0), BZ$3 * VLOOKUP($A94, Data_All!$A$8:$CA$153, MATCH(BZ$2, Data_All!$B$2:$CA$2, 0)+1), "")</f>
        <v/>
      </c>
      <c r="CA94" s="565">
        <f t="shared" si="35"/>
        <v>23.090702113981195</v>
      </c>
      <c r="CB94" s="427">
        <f t="shared" si="36"/>
        <v>3409681.2891798965</v>
      </c>
      <c r="CC94" s="565">
        <f>IF(AND($A94&gt;=SYear_O,$A94&lt;=EYear_O),(CA94-Data_All!CA95)/(1+Data_All!CA95%),"")</f>
        <v>21.392899326202148</v>
      </c>
      <c r="CD94" s="436">
        <f t="shared" si="37"/>
        <v>1465464.675134375</v>
      </c>
      <c r="CE94" s="438">
        <f t="shared" si="38"/>
        <v>309.25549736558202</v>
      </c>
      <c r="CF94" s="438">
        <f>IF(AND($A94&gt;=SYear_O,$A94&lt;=EYear_O),MAX($CE$7:CE94),"")</f>
        <v>309.25549736558202</v>
      </c>
      <c r="CG94" s="209">
        <f t="shared" si="39"/>
        <v>0</v>
      </c>
      <c r="CI94" s="143">
        <f>IF(AND($A94&gt;=SYear_O,$A94&lt;=EYear_O),Data_All!V95,"")</f>
        <v>2.5576980717354383</v>
      </c>
      <c r="CJ94" s="143">
        <f>IF(AND($A94&gt;=SYear_O,$A94&lt;=EYear_O),Data_All!CA95,"")</f>
        <v>1.3986013986013957</v>
      </c>
      <c r="CK94" s="143">
        <f t="shared" si="40"/>
        <v>1.1431091328149525</v>
      </c>
      <c r="CN94" s="61">
        <f t="shared" si="41"/>
        <v>0.23090702113981187</v>
      </c>
      <c r="CO94" s="61">
        <f t="shared" si="42"/>
        <v>0.11588626365251153</v>
      </c>
      <c r="CP94" s="61">
        <f t="shared" si="43"/>
        <v>9.4765059909780458E-2</v>
      </c>
      <c r="CQ94" s="61">
        <f t="shared" si="44"/>
        <v>8.6714593855648614E-2</v>
      </c>
      <c r="CR94" s="61">
        <f t="shared" si="45"/>
        <v>8.1076602716227075E-2</v>
      </c>
      <c r="CU94" s="61">
        <f t="shared" si="46"/>
        <v>0.21392899326202142</v>
      </c>
      <c r="CV94" s="61">
        <f t="shared" si="47"/>
        <v>0.10070225078694706</v>
      </c>
      <c r="CW94" s="61">
        <f t="shared" si="48"/>
        <v>8.14823052468725E-2</v>
      </c>
      <c r="CX94" s="61">
        <f t="shared" si="49"/>
        <v>6.776741848369694E-2</v>
      </c>
      <c r="CY94" s="61">
        <f t="shared" si="50"/>
        <v>5.2902786559089199E-2</v>
      </c>
    </row>
    <row r="95" spans="1:103">
      <c r="A95" s="204">
        <f t="shared" si="51"/>
        <v>1959</v>
      </c>
      <c r="B95" s="206" t="str">
        <f>IF(AND($A95&gt;=SYear_O, $A95&lt;=EYear_O, B$3&gt;0), B$3 * VLOOKUP($A95, Data_All!$A$8:$CA$153, MATCH(B$2, Data_All!$B$2:$CA$2, 0)+1), "")</f>
        <v/>
      </c>
      <c r="C95" s="206" t="str">
        <f>IF(AND($A95&gt;=SYear_O, $A95&lt;=EYear_O, C$3&gt;0), C$3 * VLOOKUP($A95, Data_All!$A$8:$CA$153, MATCH(C$2, Data_All!$B$2:$CA$2, 0)+1), "")</f>
        <v/>
      </c>
      <c r="D95" s="206" t="str">
        <f>IF(AND($A95&gt;=SYear_O, $A95&lt;=EYear_O, D$3&gt;0), D$3 * VLOOKUP($A95, Data_All!$A$8:$CA$153, MATCH(D$2, Data_All!$B$2:$CA$2, 0)+1), "")</f>
        <v/>
      </c>
      <c r="E95" s="206" t="str">
        <f>IF(AND($A95&gt;=SYear_O, $A95&lt;=EYear_O, E$3&gt;0), E$3 * VLOOKUP($A95, Data_All!$A$8:$CA$153, MATCH(E$2, Data_All!$B$2:$CA$2, 0)+1), "")</f>
        <v/>
      </c>
      <c r="F95" s="206" t="str">
        <f>IF(AND($A95&gt;=SYear_O, $A95&lt;=EYear_O, F$3&gt;0), F$3 * VLOOKUP($A95, Data_All!$A$8:$CA$153, MATCH(F$2, Data_All!$B$2:$CA$2, 0)+1), "")</f>
        <v/>
      </c>
      <c r="G95" s="206" t="str">
        <f>IF(AND($A95&gt;=SYear_O, $A95&lt;=EYear_O, G$3&gt;0), G$3 * VLOOKUP($A95, Data_All!$A$8:$CA$153, MATCH(G$2, Data_All!$B$2:$CA$2, 0)+1), "")</f>
        <v/>
      </c>
      <c r="H95" s="206" t="str">
        <f>IF(AND($A95&gt;=SYear_O, $A95&lt;=EYear_O, H$3&gt;0), H$3 * VLOOKUP($A95, Data_All!$A$8:$CA$153, MATCH(H$2, Data_All!$B$2:$CA$2, 0)+1), "")</f>
        <v/>
      </c>
      <c r="I95" s="206" t="str">
        <f>IF(AND($A95&gt;=SYear_O, $A95&lt;=EYear_O, I$3&gt;0), I$3 * VLOOKUP($A95, Data_All!$A$8:$CA$153, MATCH(I$2, Data_All!$B$2:$CA$2, 0)+1), "")</f>
        <v/>
      </c>
      <c r="J95" s="206" t="str">
        <f>IF(AND($A95&gt;=SYear_O, $A95&lt;=EYear_O, J$3&gt;0), J$3 * VLOOKUP($A95, Data_All!$A$8:$CA$153, MATCH(J$2, Data_All!$B$2:$CA$2, 0)+1), "")</f>
        <v/>
      </c>
      <c r="K95" s="206" t="str">
        <f>IF(AND($A95&gt;=SYear_O, $A95&lt;=EYear_O, K$3&gt;0), K$3 * VLOOKUP($A95, Data_All!$A$8:$CA$153, MATCH(K$2, Data_All!$B$2:$CA$2, 0)+1), "")</f>
        <v/>
      </c>
      <c r="L95" s="206" t="str">
        <f>IF(AND($A95&gt;=SYear_O, $A95&lt;=EYear_O, L$3&gt;0), L$3 * VLOOKUP($A95, Data_All!$A$8:$CA$153, MATCH(L$2, Data_All!$B$2:$CA$2, 0)+1), "")</f>
        <v/>
      </c>
      <c r="M95" s="206" t="str">
        <f>IF(AND($A95&gt;=SYear_O, $A95&lt;=EYear_O, M$3&gt;0), M$3 * VLOOKUP($A95, Data_All!$A$8:$CA$153, MATCH(M$2, Data_All!$B$2:$CA$2, 0)+1), "")</f>
        <v/>
      </c>
      <c r="N95" s="206" t="str">
        <f>IF(AND($A95&gt;=SYear_O, $A95&lt;=EYear_O, N$3&gt;0), N$3 * VLOOKUP($A95, Data_All!$A$8:$CA$153, MATCH(N$2, Data_All!$B$2:$CA$2, 0)+1), "")</f>
        <v/>
      </c>
      <c r="O95" s="206" t="str">
        <f>IF(AND($A95&gt;=SYear_O, $A95&lt;=EYear_O, O$3&gt;0), O$3 * VLOOKUP($A95, Data_All!$A$8:$CA$153, MATCH(O$2, Data_All!$B$2:$CA$2, 0)+1), "")</f>
        <v/>
      </c>
      <c r="P95" s="206" t="str">
        <f>IF(AND($A95&gt;=SYear_O, $A95&lt;=EYear_O, P$3&gt;0), P$3 * VLOOKUP($A95, Data_All!$A$8:$CA$153, MATCH(P$2, Data_All!$B$2:$CA$2, 0)+1), "")</f>
        <v/>
      </c>
      <c r="Q95" s="206" t="str">
        <f>IF(AND($A95&gt;=SYear_O, $A95&lt;=EYear_O, Q$3&gt;0), Q$3 * VLOOKUP($A95, Data_All!$A$8:$CA$153, MATCH(Q$2, Data_All!$B$2:$CA$2, 0)+1), "")</f>
        <v/>
      </c>
      <c r="R95" s="206" t="str">
        <f>IF(AND($A95&gt;=SYear_O, $A95&lt;=EYear_O, R$3&gt;0), R$3 * VLOOKUP($A95, Data_All!$A$8:$CA$153, MATCH(R$2, Data_All!$B$2:$CA$2, 0)+1), "")</f>
        <v/>
      </c>
      <c r="S95" s="206" t="str">
        <f>IF(AND($A95&gt;=SYear_O, $A95&lt;=EYear_O, S$3&gt;0), S$3 * VLOOKUP($A95, Data_All!$A$8:$CA$153, MATCH(S$2, Data_All!$B$2:$CA$2, 0)+1), "")</f>
        <v/>
      </c>
      <c r="T95" s="206" t="str">
        <f>IF(AND($A95&gt;=SYear_O, $A95&lt;=EYear_O, T$3&gt;0), T$3 * VLOOKUP($A95, Data_All!$A$8:$CA$153, MATCH(T$2, Data_All!$B$2:$CA$2, 0)+1), "")</f>
        <v/>
      </c>
      <c r="U95" s="206" t="str">
        <f>IF(AND($A95&gt;=SYear_O, $A95&lt;=EYear_O, U$3&gt;0), U$3 * VLOOKUP($A95, Data_All!$A$8:$CA$153, MATCH(U$2, Data_All!$B$2:$CA$2, 0)+1), "")</f>
        <v/>
      </c>
      <c r="V95" s="206" t="str">
        <f>IF(AND($A95&gt;=SYear_O, $A95&lt;=EYear_O, V$3&gt;0), V$3 * VLOOKUP($A95, Data_All!$A$8:$CA$153, MATCH(V$2, Data_All!$B$2:$CA$2, 0)+1), "")</f>
        <v/>
      </c>
      <c r="W95" s="206" t="str">
        <f>IF(AND($A95&gt;=SYear_O, $A95&lt;=EYear_O, W$3&gt;0), W$3 * VLOOKUP($A95, Data_All!$A$8:$CA$153, MATCH(W$2, Data_All!$B$2:$CA$2, 0)+1), "")</f>
        <v/>
      </c>
      <c r="X95" s="206" t="str">
        <f>IF(AND($A95&gt;=SYear_O, $A95&lt;=EYear_O, X$3&gt;0), X$3 * VLOOKUP($A95, Data_All!$A$8:$CA$153, MATCH(X$2, Data_All!$B$2:$CA$2, 0)+1), "")</f>
        <v/>
      </c>
      <c r="Y95" s="206" t="str">
        <f>IF(AND($A95&gt;=SYear_O, $A95&lt;=EYear_O, Y$3&gt;0), Y$3 * VLOOKUP($A95, Data_All!$A$8:$CA$153, MATCH(Y$2, Data_All!$B$2:$CA$2, 0)+1), "")</f>
        <v/>
      </c>
      <c r="Z95" s="206" t="str">
        <f>IF(AND($A95&gt;=SYear_O, $A95&lt;=EYear_O, Z$3&gt;0), Z$3 * VLOOKUP($A95, Data_All!$A$8:$CA$153, MATCH(Z$2, Data_All!$B$2:$CA$2, 0)+1), "")</f>
        <v/>
      </c>
      <c r="AA95" s="206" t="str">
        <f>IF(AND($A95&gt;=SYear_O, $A95&lt;=EYear_O, AA$3&gt;0), AA$3 * VLOOKUP($A95, Data_All!$A$8:$CA$153, MATCH(AA$2, Data_All!$B$2:$CA$2, 0)+1), "")</f>
        <v/>
      </c>
      <c r="AB95" s="206" t="str">
        <f>IF(AND($A95&gt;=SYear_O, $A95&lt;=EYear_O, AB$3&gt;0), AB$3 * VLOOKUP($A95, Data_All!$A$8:$CA$153, MATCH(AB$2, Data_All!$B$2:$CA$2, 0)+1), "")</f>
        <v/>
      </c>
      <c r="AC95" s="206" t="str">
        <f>IF(AND($A95&gt;=SYear_O, $A95&lt;=EYear_O, AC$3&gt;0), AC$3 * VLOOKUP($A95, Data_All!$A$8:$CA$153, MATCH(AC$2, Data_All!$B$2:$CA$2, 0)+1), "")</f>
        <v/>
      </c>
      <c r="AD95" s="206" t="str">
        <f>IF(AND($A95&gt;=SYear_O, $A95&lt;=EYear_O, AD$3&gt;0), AD$3 * VLOOKUP($A95, Data_All!$A$8:$CA$153, MATCH(AD$2, Data_All!$B$2:$CA$2, 0)+1), "")</f>
        <v/>
      </c>
      <c r="AE95" s="206" t="str">
        <f>IF(AND($A95&gt;=SYear_O, $A95&lt;=EYear_O, AE$3&gt;0), AE$3 * VLOOKUP($A95, Data_All!$A$8:$CA$153, MATCH(AE$2, Data_All!$B$2:$CA$2, 0)+1), "")</f>
        <v/>
      </c>
      <c r="AF95" s="206" t="str">
        <f>IF(AND($A95&gt;=SYear_O, $A95&lt;=EYear_O, AF$3&gt;0), AF$3 * VLOOKUP($A95, Data_All!$A$8:$CA$153, MATCH(AF$2, Data_All!$B$2:$CA$2, 0)+1), "")</f>
        <v/>
      </c>
      <c r="AG95" s="206" t="str">
        <f>IF(AND($A95&gt;=SYear_O, $A95&lt;=EYear_O, AG$3&gt;0), AG$3 * VLOOKUP($A95, Data_All!$A$8:$CA$153, MATCH(AG$2, Data_All!$B$2:$CA$2, 0)+1), "")</f>
        <v/>
      </c>
      <c r="AH95" s="206" t="str">
        <f>IF(AND($A95&gt;=SYear_O, $A95&lt;=EYear_O, AH$3&gt;0), AH$3 * VLOOKUP($A95, Data_All!$A$8:$CA$153, MATCH(AH$2, Data_All!$B$2:$CA$2, 0)+1), "")</f>
        <v/>
      </c>
      <c r="AI95" s="206" t="str">
        <f>IF(AND($A95&gt;=SYear_O, $A95&lt;=EYear_O, AI$3&gt;0), AI$3 * VLOOKUP($A95, Data_All!$A$8:$CA$153, MATCH(AI$2, Data_All!$B$2:$CA$2, 0)+1), "")</f>
        <v/>
      </c>
      <c r="AJ95" s="206" t="str">
        <f>IF(AND($A95&gt;=SYear_O, $A95&lt;=EYear_O, AJ$3&gt;0), AJ$3 * VLOOKUP($A95, Data_All!$A$8:$CA$153, MATCH(AJ$2, Data_All!$B$2:$CA$2, 0)+1), "")</f>
        <v/>
      </c>
      <c r="AK95" s="206" t="str">
        <f>IF(AND($A95&gt;=SYear_O, $A95&lt;=EYear_O, AK$3&gt;0), AK$3 * VLOOKUP($A95, Data_All!$A$8:$CA$153, MATCH(AK$2, Data_All!$B$2:$CA$2, 0)+1), "")</f>
        <v/>
      </c>
      <c r="AL95" s="206" t="str">
        <f>IF(AND($A95&gt;=SYear_O, $A95&lt;=EYear_O, AL$3&gt;0), AL$3 * VLOOKUP($A95, Data_All!$A$8:$CA$153, MATCH(AL$2, Data_All!$B$2:$CA$2, 0)+1), "")</f>
        <v/>
      </c>
      <c r="AM95" s="206" t="str">
        <f>IF(AND($A95&gt;=SYear_O, $A95&lt;=EYear_O, AM$3&gt;0), AM$3 * VLOOKUP($A95, Data_All!$A$8:$CA$153, MATCH(AM$2, Data_All!$B$2:$CA$2, 0)+1), "")</f>
        <v/>
      </c>
      <c r="AN95" s="206" t="str">
        <f>IF(AND($A95&gt;=SYear_O, $A95&lt;=EYear_O, AN$3&gt;0), AN$3 * VLOOKUP($A95, Data_All!$A$8:$CA$153, MATCH(AN$2, Data_All!$B$2:$CA$2, 0)+1), "")</f>
        <v/>
      </c>
      <c r="AO95" s="206" t="str">
        <f>IF(AND($A95&gt;=SYear_O, $A95&lt;=EYear_O, AO$3&gt;0), AO$3 * VLOOKUP($A95, Data_All!$A$8:$CA$153, MATCH(AO$2, Data_All!$B$2:$CA$2, 0)+1), "")</f>
        <v/>
      </c>
      <c r="AP95" s="206" t="str">
        <f>IF(AND($A95&gt;=SYear_O, $A95&lt;=EYear_O, AP$3&gt;0), AP$3 * VLOOKUP($A95, Data_All!$A$8:$CA$153, MATCH(AP$2, Data_All!$B$2:$CA$2, 0)+1), "")</f>
        <v/>
      </c>
      <c r="AQ95" s="206" t="str">
        <f>IF(AND($A95&gt;=SYear_O, $A95&lt;=EYear_O, AQ$3&gt;0), AQ$3 * VLOOKUP($A95, Data_All!$A$8:$CA$153, MATCH(AQ$2, Data_All!$B$2:$CA$2, 0)+1), "")</f>
        <v/>
      </c>
      <c r="AR95" s="206" t="str">
        <f>IF(AND($A95&gt;=SYear_O, $A95&lt;=EYear_O, AR$3&gt;0), AR$3 * VLOOKUP($A95, Data_All!$A$8:$CA$153, MATCH(AR$2, Data_All!$B$2:$CA$2, 0)+1), "")</f>
        <v/>
      </c>
      <c r="AS95" s="206" t="str">
        <f>IF(AND($A95&gt;=SYear_O, $A95&lt;=EYear_O, AS$3&gt;0), AS$3 * VLOOKUP($A95, Data_All!$A$8:$CA$153, MATCH(AS$2, Data_All!$B$2:$CA$2, 0)+1), "")</f>
        <v/>
      </c>
      <c r="AT95" s="206" t="str">
        <f>IF(AND($A95&gt;=SYear_O, $A95&lt;=EYear_O, AT$3&gt;0), AT$3 * VLOOKUP($A95, Data_All!$A$8:$CA$153, MATCH(AT$2, Data_All!$B$2:$CA$2, 0)+1), "")</f>
        <v/>
      </c>
      <c r="AU95" s="206" t="str">
        <f>IF(AND($A95&gt;=SYear_O, $A95&lt;=EYear_O, AU$3&gt;0), AU$3 * VLOOKUP($A95, Data_All!$A$8:$CA$153, MATCH(AU$2, Data_All!$B$2:$CA$2, 0)+1), "")</f>
        <v/>
      </c>
      <c r="AV95" s="206" t="str">
        <f>IF(AND($A95&gt;=SYear_O, $A95&lt;=EYear_O, AV$3&gt;0), AV$3 * VLOOKUP($A95, Data_All!$A$8:$CA$153, MATCH(AV$2, Data_All!$B$2:$CA$2, 0)+1), "")</f>
        <v/>
      </c>
      <c r="AW95" s="206" t="str">
        <f>IF(AND($A95&gt;=SYear_O, $A95&lt;=EYear_O, AW$3&gt;0), AW$3 * VLOOKUP($A95, Data_All!$A$8:$CA$153, MATCH(AW$2, Data_All!$B$2:$CA$2, 0)+1), "")</f>
        <v/>
      </c>
      <c r="AX95" s="206" t="str">
        <f>IF(AND($A95&gt;=SYear_O, $A95&lt;=EYear_O, AX$3&gt;0), AX$3 * VLOOKUP($A95, Data_All!$A$8:$CA$153, MATCH(AX$2, Data_All!$B$2:$CA$2, 0)+1), "")</f>
        <v/>
      </c>
      <c r="AY95" s="206" t="str">
        <f>IF(AND($A95&gt;=SYear_O, $A95&lt;=EYear_O, AY$3&gt;0), AY$3 * VLOOKUP($A95, Data_All!$A$8:$CA$153, MATCH(AY$2, Data_All!$B$2:$CA$2, 0)+1), "")</f>
        <v/>
      </c>
      <c r="AZ95" s="206" t="str">
        <f>IF(AND($A95&gt;=SYear_O, $A95&lt;=EYear_O, AZ$3&gt;0), AZ$3 * VLOOKUP($A95, Data_All!$A$8:$CA$153, MATCH(AZ$2, Data_All!$B$2:$CA$2, 0)+1), "")</f>
        <v/>
      </c>
      <c r="BA95" s="206" t="str">
        <f>IF(AND($A95&gt;=SYear_O, $A95&lt;=EYear_O, BA$3&gt;0), BA$3 * VLOOKUP($A95, Data_All!$A$8:$CA$153, MATCH(BA$2, Data_All!$B$2:$CA$2, 0)+1), "")</f>
        <v/>
      </c>
      <c r="BB95" s="206" t="str">
        <f>IF(AND($A95&gt;=SYear_O, $A95&lt;=EYear_O, BB$3&gt;0), BB$3 * VLOOKUP($A95, Data_All!$A$8:$CA$153, MATCH(BB$2, Data_All!$B$2:$CA$2, 0)+1), "")</f>
        <v/>
      </c>
      <c r="BC95" s="206" t="str">
        <f>IF(AND($A95&gt;=SYear_O, $A95&lt;=EYear_O, BC$3&gt;0), BC$3 * VLOOKUP($A95, Data_All!$A$8:$CA$153, MATCH(BC$2, Data_All!$B$2:$CA$2, 0)+1), "")</f>
        <v/>
      </c>
      <c r="BD95" s="206" t="str">
        <f>IF(AND($A95&gt;=SYear_O, $A95&lt;=EYear_O, BD$3&gt;0), BD$3 * VLOOKUP($A95, Data_All!$A$8:$CA$153, MATCH(BD$2, Data_All!$B$2:$CA$2, 0)+1), "")</f>
        <v/>
      </c>
      <c r="BE95" s="206" t="str">
        <f>IF(AND($A95&gt;=SYear_O, $A95&lt;=EYear_O, BE$3&gt;0), BE$3 * VLOOKUP($A95, Data_All!$A$8:$CA$153, MATCH(BE$2, Data_All!$B$2:$CA$2, 0)+1), "")</f>
        <v/>
      </c>
      <c r="BF95" s="206" t="str">
        <f>IF(AND($A95&gt;=SYear_O, $A95&lt;=EYear_O, BF$3&gt;0), BF$3 * VLOOKUP($A95, Data_All!$A$8:$CA$153, MATCH(BF$2, Data_All!$B$2:$CA$2, 0)+1), "")</f>
        <v/>
      </c>
      <c r="BG95" s="206" t="str">
        <f>IF(AND($A95&gt;=SYear_O, $A95&lt;=EYear_O, BG$3&gt;0), BG$3 * VLOOKUP($A95, Data_All!$A$8:$CA$153, MATCH(BG$2, Data_All!$B$2:$CA$2, 0)+1), "")</f>
        <v/>
      </c>
      <c r="BH95" s="206" t="str">
        <f>IF(AND($A95&gt;=SYear_O, $A95&lt;=EYear_O, BH$3&gt;0), BH$3 * VLOOKUP($A95, Data_All!$A$8:$CA$153, MATCH(BH$2, Data_All!$B$2:$CA$2, 0)+1), "")</f>
        <v/>
      </c>
      <c r="BI95" s="206" t="str">
        <f>IF(AND($A95&gt;=SYear_O, $A95&lt;=EYear_O, BI$3&gt;0), BI$3 * VLOOKUP($A95, Data_All!$A$8:$CA$153, MATCH(BI$2, Data_All!$B$2:$CA$2, 0)+1), "")</f>
        <v/>
      </c>
      <c r="BJ95" s="206" t="str">
        <f>IF(AND($A95&gt;=SYear_O, $A95&lt;=EYear_O, BJ$3&gt;0), BJ$3 * VLOOKUP($A95, Data_All!$A$8:$CA$153, MATCH(BJ$2, Data_All!$B$2:$CA$2, 0)+1), "")</f>
        <v/>
      </c>
      <c r="BK95" s="206" t="str">
        <f>IF(AND($A95&gt;=SYear_O, $A95&lt;=EYear_O, BK$3&gt;0), BK$3 * VLOOKUP($A95, Data_All!$A$8:$CA$153, MATCH(BK$2, Data_All!$B$2:$CA$2, 0)+1), "")</f>
        <v/>
      </c>
      <c r="BL95" s="206" t="str">
        <f>IF(AND($A95&gt;=SYear_O, $A95&lt;=EYear_O, BL$3&gt;0), BL$3 * VLOOKUP($A95, Data_All!$A$8:$CA$153, MATCH(BL$2, Data_All!$B$2:$CA$2, 0)+1), "")</f>
        <v/>
      </c>
      <c r="BM95" s="206" t="str">
        <f>IF(AND($A95&gt;=SYear_O, $A95&lt;=EYear_O, BM$3&gt;0), BM$3 * VLOOKUP($A95, Data_All!$A$8:$CA$153, MATCH(BM$2, Data_All!$B$2:$CA$2, 0)+1), "")</f>
        <v/>
      </c>
      <c r="BN95" s="206" t="str">
        <f>IF(AND($A95&gt;=SYear_O, $A95&lt;=EYear_O, BN$3&gt;0), BN$3 * VLOOKUP($A95, Data_All!$A$8:$CA$153, MATCH(BN$2, Data_All!$B$2:$CA$2, 0)+1), "")</f>
        <v/>
      </c>
      <c r="BO95" s="206" t="str">
        <f>IF(AND($A95&gt;=SYear_O, $A95&lt;=EYear_O, BO$3&gt;0), BO$3 * VLOOKUP($A95, Data_All!$A$8:$CA$153, MATCH(BO$2, Data_All!$B$2:$CA$2, 0)+1), "")</f>
        <v/>
      </c>
      <c r="BP95" s="206" t="str">
        <f>IF(AND($A95&gt;=SYear_O, $A95&lt;=EYear_O, BP$3&gt;0), BP$3 * VLOOKUP($A95, Data_All!$A$8:$CA$153, MATCH(BP$2, Data_All!$B$2:$CA$2, 0)+1), "")</f>
        <v/>
      </c>
      <c r="BQ95" s="206" t="str">
        <f>IF(AND($A95&gt;=SYear_O, $A95&lt;=EYear_O, BQ$3&gt;0), BQ$3 * VLOOKUP($A95, Data_All!$A$8:$CA$153, MATCH(BQ$2, Data_All!$B$2:$CA$2, 0)+1), "")</f>
        <v/>
      </c>
      <c r="BR95" s="206" t="str">
        <f>IF(AND($A95&gt;=SYear_O, $A95&lt;=EYear_O, BR$3&gt;0), BR$3 * VLOOKUP($A95, Data_All!$A$8:$CA$153, MATCH(BR$2, Data_All!$B$2:$CA$2, 0)+1), "")</f>
        <v/>
      </c>
      <c r="BS95" s="206" t="str">
        <f>IF(AND($A95&gt;=SYear_O, $A95&lt;=EYear_O, BS$3&gt;0), BS$3 * VLOOKUP($A95, Data_All!$A$8:$CA$153, MATCH(BS$2, Data_All!$B$2:$CA$2, 0)+1), "")</f>
        <v/>
      </c>
      <c r="BT95" s="206" t="str">
        <f>IF(AND($A95&gt;=SYear_O, $A95&lt;=EYear_O, BT$3&gt;0), BT$3 * VLOOKUP($A95, Data_All!$A$8:$CA$153, MATCH(BT$2, Data_All!$B$2:$CA$2, 0)+1), "")</f>
        <v/>
      </c>
      <c r="BU95" s="206" t="str">
        <f>IF(AND($A95&gt;=SYear_O, $A95&lt;=EYear_O, BU$3&gt;0), BU$3 * VLOOKUP($A95, Data_All!$A$8:$CA$153, MATCH(BU$2, Data_All!$B$2:$CA$2, 0)+1), "")</f>
        <v/>
      </c>
      <c r="BV95" s="206" t="str">
        <f>IF(AND($A95&gt;=SYear_O, $A95&lt;=EYear_O, BV$3&gt;0), BV$3 * VLOOKUP($A95, Data_All!$A$8:$CA$153, MATCH(BV$2, Data_All!$B$2:$CA$2, 0)+1), "")</f>
        <v/>
      </c>
      <c r="BW95" s="206" t="str">
        <f>IF(AND($A95&gt;=SYear_O, $A95&lt;=EYear_O, BW$3&gt;0), BW$3 * VLOOKUP($A95, Data_All!$A$8:$CA$153, MATCH(BW$2, Data_All!$B$2:$CA$2, 0)+1), "")</f>
        <v/>
      </c>
      <c r="BX95" s="206">
        <f>IF(AND($A95&gt;=SYear_O, $A95&lt;=EYear_O, BX$3&gt;0), BX$3 * VLOOKUP($A95, Data_All!$A$8:$CA$153, MATCH(BX$2, Data_All!$B$2:$CA$2, 0)+1), "")</f>
        <v>4.5738942826321427</v>
      </c>
      <c r="BY95" s="206">
        <f>IF(AND($A95&gt;=SYear_O, $A95&lt;=EYear_O, BY$3&gt;0), BY$3 * VLOOKUP($A95, Data_All!$A$8:$CA$153, MATCH(BY$2, Data_All!$B$2:$CA$2, 0)+1), "")</f>
        <v>4.7304592946622037E-2</v>
      </c>
      <c r="BZ95" s="206" t="str">
        <f>IF(AND($A95&gt;=SYear_O, $A95&lt;=EYear_O, BZ$3&gt;0), BZ$3 * VLOOKUP($A95, Data_All!$A$8:$CA$153, MATCH(BZ$2, Data_All!$B$2:$CA$2, 0)+1), "")</f>
        <v/>
      </c>
      <c r="CA95" s="565">
        <f t="shared" si="35"/>
        <v>4.6211988755787647</v>
      </c>
      <c r="CB95" s="427">
        <f t="shared" si="36"/>
        <v>3567249.4425762976</v>
      </c>
      <c r="CC95" s="565">
        <f>IF(AND($A95&gt;=SYear_O,$A95&lt;=EYear_O),(CA95-Data_All!CA96)/(1+Data_All!CA96%),"")</f>
        <v>3.5499920611530302</v>
      </c>
      <c r="CD95" s="436">
        <f t="shared" si="37"/>
        <v>1517488.5547606472</v>
      </c>
      <c r="CE95" s="438">
        <f t="shared" si="38"/>
        <v>323.54680893250583</v>
      </c>
      <c r="CF95" s="438">
        <f>IF(AND($A95&gt;=SYear_O,$A95&lt;=EYear_O),MAX($CE$7:CE95),"")</f>
        <v>323.54680893250583</v>
      </c>
      <c r="CG95" s="209">
        <f t="shared" si="39"/>
        <v>0</v>
      </c>
      <c r="CI95" s="143">
        <f>IF(AND($A95&gt;=SYear_O,$A95&lt;=EYear_O),Data_All!V96,"")</f>
        <v>3.2670596463183137</v>
      </c>
      <c r="CJ95" s="143">
        <f>IF(AND($A95&gt;=SYear_O,$A95&lt;=EYear_O),Data_All!CA96,"")</f>
        <v>1.0344827586207028</v>
      </c>
      <c r="CK95" s="143">
        <f t="shared" si="40"/>
        <v>2.2097177386768161</v>
      </c>
      <c r="CN95" s="61">
        <f t="shared" si="41"/>
        <v>4.6211988755787692E-2</v>
      </c>
      <c r="CO95" s="61">
        <f t="shared" si="42"/>
        <v>8.2877948618939268E-2</v>
      </c>
      <c r="CP95" s="61">
        <f t="shared" si="43"/>
        <v>7.6820029814149926E-2</v>
      </c>
      <c r="CQ95" s="61">
        <f t="shared" si="44"/>
        <v>7.2054749282195463E-2</v>
      </c>
      <c r="CR95" s="61">
        <f t="shared" si="45"/>
        <v>6.0286649106484846E-2</v>
      </c>
      <c r="CU95" s="61">
        <f t="shared" si="46"/>
        <v>3.5499920611530289E-2</v>
      </c>
      <c r="CV95" s="61">
        <f t="shared" si="47"/>
        <v>7.0709750664389226E-2</v>
      </c>
      <c r="CW95" s="61">
        <f t="shared" si="48"/>
        <v>6.3239319749144762E-2</v>
      </c>
      <c r="CX95" s="61">
        <f t="shared" si="49"/>
        <v>5.0296129654080257E-2</v>
      </c>
      <c r="CY95" s="61">
        <f t="shared" si="50"/>
        <v>2.7875136778418019E-2</v>
      </c>
    </row>
    <row r="96" spans="1:103">
      <c r="A96" s="204">
        <f t="shared" si="51"/>
        <v>1960</v>
      </c>
      <c r="B96" s="206" t="str">
        <f>IF(AND($A96&gt;=SYear_O, $A96&lt;=EYear_O, B$3&gt;0), B$3 * VLOOKUP($A96, Data_All!$A$8:$CA$153, MATCH(B$2, Data_All!$B$2:$CA$2, 0)+1), "")</f>
        <v/>
      </c>
      <c r="C96" s="206" t="str">
        <f>IF(AND($A96&gt;=SYear_O, $A96&lt;=EYear_O, C$3&gt;0), C$3 * VLOOKUP($A96, Data_All!$A$8:$CA$153, MATCH(C$2, Data_All!$B$2:$CA$2, 0)+1), "")</f>
        <v/>
      </c>
      <c r="D96" s="206" t="str">
        <f>IF(AND($A96&gt;=SYear_O, $A96&lt;=EYear_O, D$3&gt;0), D$3 * VLOOKUP($A96, Data_All!$A$8:$CA$153, MATCH(D$2, Data_All!$B$2:$CA$2, 0)+1), "")</f>
        <v/>
      </c>
      <c r="E96" s="206" t="str">
        <f>IF(AND($A96&gt;=SYear_O, $A96&lt;=EYear_O, E$3&gt;0), E$3 * VLOOKUP($A96, Data_All!$A$8:$CA$153, MATCH(E$2, Data_All!$B$2:$CA$2, 0)+1), "")</f>
        <v/>
      </c>
      <c r="F96" s="206" t="str">
        <f>IF(AND($A96&gt;=SYear_O, $A96&lt;=EYear_O, F$3&gt;0), F$3 * VLOOKUP($A96, Data_All!$A$8:$CA$153, MATCH(F$2, Data_All!$B$2:$CA$2, 0)+1), "")</f>
        <v/>
      </c>
      <c r="G96" s="206" t="str">
        <f>IF(AND($A96&gt;=SYear_O, $A96&lt;=EYear_O, G$3&gt;0), G$3 * VLOOKUP($A96, Data_All!$A$8:$CA$153, MATCH(G$2, Data_All!$B$2:$CA$2, 0)+1), "")</f>
        <v/>
      </c>
      <c r="H96" s="206" t="str">
        <f>IF(AND($A96&gt;=SYear_O, $A96&lt;=EYear_O, H$3&gt;0), H$3 * VLOOKUP($A96, Data_All!$A$8:$CA$153, MATCH(H$2, Data_All!$B$2:$CA$2, 0)+1), "")</f>
        <v/>
      </c>
      <c r="I96" s="206" t="str">
        <f>IF(AND($A96&gt;=SYear_O, $A96&lt;=EYear_O, I$3&gt;0), I$3 * VLOOKUP($A96, Data_All!$A$8:$CA$153, MATCH(I$2, Data_All!$B$2:$CA$2, 0)+1), "")</f>
        <v/>
      </c>
      <c r="J96" s="206" t="str">
        <f>IF(AND($A96&gt;=SYear_O, $A96&lt;=EYear_O, J$3&gt;0), J$3 * VLOOKUP($A96, Data_All!$A$8:$CA$153, MATCH(J$2, Data_All!$B$2:$CA$2, 0)+1), "")</f>
        <v/>
      </c>
      <c r="K96" s="206" t="str">
        <f>IF(AND($A96&gt;=SYear_O, $A96&lt;=EYear_O, K$3&gt;0), K$3 * VLOOKUP($A96, Data_All!$A$8:$CA$153, MATCH(K$2, Data_All!$B$2:$CA$2, 0)+1), "")</f>
        <v/>
      </c>
      <c r="L96" s="206" t="str">
        <f>IF(AND($A96&gt;=SYear_O, $A96&lt;=EYear_O, L$3&gt;0), L$3 * VLOOKUP($A96, Data_All!$A$8:$CA$153, MATCH(L$2, Data_All!$B$2:$CA$2, 0)+1), "")</f>
        <v/>
      </c>
      <c r="M96" s="206" t="str">
        <f>IF(AND($A96&gt;=SYear_O, $A96&lt;=EYear_O, M$3&gt;0), M$3 * VLOOKUP($A96, Data_All!$A$8:$CA$153, MATCH(M$2, Data_All!$B$2:$CA$2, 0)+1), "")</f>
        <v/>
      </c>
      <c r="N96" s="206" t="str">
        <f>IF(AND($A96&gt;=SYear_O, $A96&lt;=EYear_O, N$3&gt;0), N$3 * VLOOKUP($A96, Data_All!$A$8:$CA$153, MATCH(N$2, Data_All!$B$2:$CA$2, 0)+1), "")</f>
        <v/>
      </c>
      <c r="O96" s="206" t="str">
        <f>IF(AND($A96&gt;=SYear_O, $A96&lt;=EYear_O, O$3&gt;0), O$3 * VLOOKUP($A96, Data_All!$A$8:$CA$153, MATCH(O$2, Data_All!$B$2:$CA$2, 0)+1), "")</f>
        <v/>
      </c>
      <c r="P96" s="206" t="str">
        <f>IF(AND($A96&gt;=SYear_O, $A96&lt;=EYear_O, P$3&gt;0), P$3 * VLOOKUP($A96, Data_All!$A$8:$CA$153, MATCH(P$2, Data_All!$B$2:$CA$2, 0)+1), "")</f>
        <v/>
      </c>
      <c r="Q96" s="206" t="str">
        <f>IF(AND($A96&gt;=SYear_O, $A96&lt;=EYear_O, Q$3&gt;0), Q$3 * VLOOKUP($A96, Data_All!$A$8:$CA$153, MATCH(Q$2, Data_All!$B$2:$CA$2, 0)+1), "")</f>
        <v/>
      </c>
      <c r="R96" s="206" t="str">
        <f>IF(AND($A96&gt;=SYear_O, $A96&lt;=EYear_O, R$3&gt;0), R$3 * VLOOKUP($A96, Data_All!$A$8:$CA$153, MATCH(R$2, Data_All!$B$2:$CA$2, 0)+1), "")</f>
        <v/>
      </c>
      <c r="S96" s="206" t="str">
        <f>IF(AND($A96&gt;=SYear_O, $A96&lt;=EYear_O, S$3&gt;0), S$3 * VLOOKUP($A96, Data_All!$A$8:$CA$153, MATCH(S$2, Data_All!$B$2:$CA$2, 0)+1), "")</f>
        <v/>
      </c>
      <c r="T96" s="206" t="str">
        <f>IF(AND($A96&gt;=SYear_O, $A96&lt;=EYear_O, T$3&gt;0), T$3 * VLOOKUP($A96, Data_All!$A$8:$CA$153, MATCH(T$2, Data_All!$B$2:$CA$2, 0)+1), "")</f>
        <v/>
      </c>
      <c r="U96" s="206" t="str">
        <f>IF(AND($A96&gt;=SYear_O, $A96&lt;=EYear_O, U$3&gt;0), U$3 * VLOOKUP($A96, Data_All!$A$8:$CA$153, MATCH(U$2, Data_All!$B$2:$CA$2, 0)+1), "")</f>
        <v/>
      </c>
      <c r="V96" s="206" t="str">
        <f>IF(AND($A96&gt;=SYear_O, $A96&lt;=EYear_O, V$3&gt;0), V$3 * VLOOKUP($A96, Data_All!$A$8:$CA$153, MATCH(V$2, Data_All!$B$2:$CA$2, 0)+1), "")</f>
        <v/>
      </c>
      <c r="W96" s="206" t="str">
        <f>IF(AND($A96&gt;=SYear_O, $A96&lt;=EYear_O, W$3&gt;0), W$3 * VLOOKUP($A96, Data_All!$A$8:$CA$153, MATCH(W$2, Data_All!$B$2:$CA$2, 0)+1), "")</f>
        <v/>
      </c>
      <c r="X96" s="206" t="str">
        <f>IF(AND($A96&gt;=SYear_O, $A96&lt;=EYear_O, X$3&gt;0), X$3 * VLOOKUP($A96, Data_All!$A$8:$CA$153, MATCH(X$2, Data_All!$B$2:$CA$2, 0)+1), "")</f>
        <v/>
      </c>
      <c r="Y96" s="206" t="str">
        <f>IF(AND($A96&gt;=SYear_O, $A96&lt;=EYear_O, Y$3&gt;0), Y$3 * VLOOKUP($A96, Data_All!$A$8:$CA$153, MATCH(Y$2, Data_All!$B$2:$CA$2, 0)+1), "")</f>
        <v/>
      </c>
      <c r="Z96" s="206" t="str">
        <f>IF(AND($A96&gt;=SYear_O, $A96&lt;=EYear_O, Z$3&gt;0), Z$3 * VLOOKUP($A96, Data_All!$A$8:$CA$153, MATCH(Z$2, Data_All!$B$2:$CA$2, 0)+1), "")</f>
        <v/>
      </c>
      <c r="AA96" s="206" t="str">
        <f>IF(AND($A96&gt;=SYear_O, $A96&lt;=EYear_O, AA$3&gt;0), AA$3 * VLOOKUP($A96, Data_All!$A$8:$CA$153, MATCH(AA$2, Data_All!$B$2:$CA$2, 0)+1), "")</f>
        <v/>
      </c>
      <c r="AB96" s="206" t="str">
        <f>IF(AND($A96&gt;=SYear_O, $A96&lt;=EYear_O, AB$3&gt;0), AB$3 * VLOOKUP($A96, Data_All!$A$8:$CA$153, MATCH(AB$2, Data_All!$B$2:$CA$2, 0)+1), "")</f>
        <v/>
      </c>
      <c r="AC96" s="206" t="str">
        <f>IF(AND($A96&gt;=SYear_O, $A96&lt;=EYear_O, AC$3&gt;0), AC$3 * VLOOKUP($A96, Data_All!$A$8:$CA$153, MATCH(AC$2, Data_All!$B$2:$CA$2, 0)+1), "")</f>
        <v/>
      </c>
      <c r="AD96" s="206" t="str">
        <f>IF(AND($A96&gt;=SYear_O, $A96&lt;=EYear_O, AD$3&gt;0), AD$3 * VLOOKUP($A96, Data_All!$A$8:$CA$153, MATCH(AD$2, Data_All!$B$2:$CA$2, 0)+1), "")</f>
        <v/>
      </c>
      <c r="AE96" s="206" t="str">
        <f>IF(AND($A96&gt;=SYear_O, $A96&lt;=EYear_O, AE$3&gt;0), AE$3 * VLOOKUP($A96, Data_All!$A$8:$CA$153, MATCH(AE$2, Data_All!$B$2:$CA$2, 0)+1), "")</f>
        <v/>
      </c>
      <c r="AF96" s="206" t="str">
        <f>IF(AND($A96&gt;=SYear_O, $A96&lt;=EYear_O, AF$3&gt;0), AF$3 * VLOOKUP($A96, Data_All!$A$8:$CA$153, MATCH(AF$2, Data_All!$B$2:$CA$2, 0)+1), "")</f>
        <v/>
      </c>
      <c r="AG96" s="206" t="str">
        <f>IF(AND($A96&gt;=SYear_O, $A96&lt;=EYear_O, AG$3&gt;0), AG$3 * VLOOKUP($A96, Data_All!$A$8:$CA$153, MATCH(AG$2, Data_All!$B$2:$CA$2, 0)+1), "")</f>
        <v/>
      </c>
      <c r="AH96" s="206" t="str">
        <f>IF(AND($A96&gt;=SYear_O, $A96&lt;=EYear_O, AH$3&gt;0), AH$3 * VLOOKUP($A96, Data_All!$A$8:$CA$153, MATCH(AH$2, Data_All!$B$2:$CA$2, 0)+1), "")</f>
        <v/>
      </c>
      <c r="AI96" s="206" t="str">
        <f>IF(AND($A96&gt;=SYear_O, $A96&lt;=EYear_O, AI$3&gt;0), AI$3 * VLOOKUP($A96, Data_All!$A$8:$CA$153, MATCH(AI$2, Data_All!$B$2:$CA$2, 0)+1), "")</f>
        <v/>
      </c>
      <c r="AJ96" s="206" t="str">
        <f>IF(AND($A96&gt;=SYear_O, $A96&lt;=EYear_O, AJ$3&gt;0), AJ$3 * VLOOKUP($A96, Data_All!$A$8:$CA$153, MATCH(AJ$2, Data_All!$B$2:$CA$2, 0)+1), "")</f>
        <v/>
      </c>
      <c r="AK96" s="206" t="str">
        <f>IF(AND($A96&gt;=SYear_O, $A96&lt;=EYear_O, AK$3&gt;0), AK$3 * VLOOKUP($A96, Data_All!$A$8:$CA$153, MATCH(AK$2, Data_All!$B$2:$CA$2, 0)+1), "")</f>
        <v/>
      </c>
      <c r="AL96" s="206" t="str">
        <f>IF(AND($A96&gt;=SYear_O, $A96&lt;=EYear_O, AL$3&gt;0), AL$3 * VLOOKUP($A96, Data_All!$A$8:$CA$153, MATCH(AL$2, Data_All!$B$2:$CA$2, 0)+1), "")</f>
        <v/>
      </c>
      <c r="AM96" s="206" t="str">
        <f>IF(AND($A96&gt;=SYear_O, $A96&lt;=EYear_O, AM$3&gt;0), AM$3 * VLOOKUP($A96, Data_All!$A$8:$CA$153, MATCH(AM$2, Data_All!$B$2:$CA$2, 0)+1), "")</f>
        <v/>
      </c>
      <c r="AN96" s="206" t="str">
        <f>IF(AND($A96&gt;=SYear_O, $A96&lt;=EYear_O, AN$3&gt;0), AN$3 * VLOOKUP($A96, Data_All!$A$8:$CA$153, MATCH(AN$2, Data_All!$B$2:$CA$2, 0)+1), "")</f>
        <v/>
      </c>
      <c r="AO96" s="206" t="str">
        <f>IF(AND($A96&gt;=SYear_O, $A96&lt;=EYear_O, AO$3&gt;0), AO$3 * VLOOKUP($A96, Data_All!$A$8:$CA$153, MATCH(AO$2, Data_All!$B$2:$CA$2, 0)+1), "")</f>
        <v/>
      </c>
      <c r="AP96" s="206" t="str">
        <f>IF(AND($A96&gt;=SYear_O, $A96&lt;=EYear_O, AP$3&gt;0), AP$3 * VLOOKUP($A96, Data_All!$A$8:$CA$153, MATCH(AP$2, Data_All!$B$2:$CA$2, 0)+1), "")</f>
        <v/>
      </c>
      <c r="AQ96" s="206" t="str">
        <f>IF(AND($A96&gt;=SYear_O, $A96&lt;=EYear_O, AQ$3&gt;0), AQ$3 * VLOOKUP($A96, Data_All!$A$8:$CA$153, MATCH(AQ$2, Data_All!$B$2:$CA$2, 0)+1), "")</f>
        <v/>
      </c>
      <c r="AR96" s="206" t="str">
        <f>IF(AND($A96&gt;=SYear_O, $A96&lt;=EYear_O, AR$3&gt;0), AR$3 * VLOOKUP($A96, Data_All!$A$8:$CA$153, MATCH(AR$2, Data_All!$B$2:$CA$2, 0)+1), "")</f>
        <v/>
      </c>
      <c r="AS96" s="206" t="str">
        <f>IF(AND($A96&gt;=SYear_O, $A96&lt;=EYear_O, AS$3&gt;0), AS$3 * VLOOKUP($A96, Data_All!$A$8:$CA$153, MATCH(AS$2, Data_All!$B$2:$CA$2, 0)+1), "")</f>
        <v/>
      </c>
      <c r="AT96" s="206" t="str">
        <f>IF(AND($A96&gt;=SYear_O, $A96&lt;=EYear_O, AT$3&gt;0), AT$3 * VLOOKUP($A96, Data_All!$A$8:$CA$153, MATCH(AT$2, Data_All!$B$2:$CA$2, 0)+1), "")</f>
        <v/>
      </c>
      <c r="AU96" s="206" t="str">
        <f>IF(AND($A96&gt;=SYear_O, $A96&lt;=EYear_O, AU$3&gt;0), AU$3 * VLOOKUP($A96, Data_All!$A$8:$CA$153, MATCH(AU$2, Data_All!$B$2:$CA$2, 0)+1), "")</f>
        <v/>
      </c>
      <c r="AV96" s="206" t="str">
        <f>IF(AND($A96&gt;=SYear_O, $A96&lt;=EYear_O, AV$3&gt;0), AV$3 * VLOOKUP($A96, Data_All!$A$8:$CA$153, MATCH(AV$2, Data_All!$B$2:$CA$2, 0)+1), "")</f>
        <v/>
      </c>
      <c r="AW96" s="206" t="str">
        <f>IF(AND($A96&gt;=SYear_O, $A96&lt;=EYear_O, AW$3&gt;0), AW$3 * VLOOKUP($A96, Data_All!$A$8:$CA$153, MATCH(AW$2, Data_All!$B$2:$CA$2, 0)+1), "")</f>
        <v/>
      </c>
      <c r="AX96" s="206" t="str">
        <f>IF(AND($A96&gt;=SYear_O, $A96&lt;=EYear_O, AX$3&gt;0), AX$3 * VLOOKUP($A96, Data_All!$A$8:$CA$153, MATCH(AX$2, Data_All!$B$2:$CA$2, 0)+1), "")</f>
        <v/>
      </c>
      <c r="AY96" s="206" t="str">
        <f>IF(AND($A96&gt;=SYear_O, $A96&lt;=EYear_O, AY$3&gt;0), AY$3 * VLOOKUP($A96, Data_All!$A$8:$CA$153, MATCH(AY$2, Data_All!$B$2:$CA$2, 0)+1), "")</f>
        <v/>
      </c>
      <c r="AZ96" s="206" t="str">
        <f>IF(AND($A96&gt;=SYear_O, $A96&lt;=EYear_O, AZ$3&gt;0), AZ$3 * VLOOKUP($A96, Data_All!$A$8:$CA$153, MATCH(AZ$2, Data_All!$B$2:$CA$2, 0)+1), "")</f>
        <v/>
      </c>
      <c r="BA96" s="206" t="str">
        <f>IF(AND($A96&gt;=SYear_O, $A96&lt;=EYear_O, BA$3&gt;0), BA$3 * VLOOKUP($A96, Data_All!$A$8:$CA$153, MATCH(BA$2, Data_All!$B$2:$CA$2, 0)+1), "")</f>
        <v/>
      </c>
      <c r="BB96" s="206" t="str">
        <f>IF(AND($A96&gt;=SYear_O, $A96&lt;=EYear_O, BB$3&gt;0), BB$3 * VLOOKUP($A96, Data_All!$A$8:$CA$153, MATCH(BB$2, Data_All!$B$2:$CA$2, 0)+1), "")</f>
        <v/>
      </c>
      <c r="BC96" s="206" t="str">
        <f>IF(AND($A96&gt;=SYear_O, $A96&lt;=EYear_O, BC$3&gt;0), BC$3 * VLOOKUP($A96, Data_All!$A$8:$CA$153, MATCH(BC$2, Data_All!$B$2:$CA$2, 0)+1), "")</f>
        <v/>
      </c>
      <c r="BD96" s="206" t="str">
        <f>IF(AND($A96&gt;=SYear_O, $A96&lt;=EYear_O, BD$3&gt;0), BD$3 * VLOOKUP($A96, Data_All!$A$8:$CA$153, MATCH(BD$2, Data_All!$B$2:$CA$2, 0)+1), "")</f>
        <v/>
      </c>
      <c r="BE96" s="206" t="str">
        <f>IF(AND($A96&gt;=SYear_O, $A96&lt;=EYear_O, BE$3&gt;0), BE$3 * VLOOKUP($A96, Data_All!$A$8:$CA$153, MATCH(BE$2, Data_All!$B$2:$CA$2, 0)+1), "")</f>
        <v/>
      </c>
      <c r="BF96" s="206" t="str">
        <f>IF(AND($A96&gt;=SYear_O, $A96&lt;=EYear_O, BF$3&gt;0), BF$3 * VLOOKUP($A96, Data_All!$A$8:$CA$153, MATCH(BF$2, Data_All!$B$2:$CA$2, 0)+1), "")</f>
        <v/>
      </c>
      <c r="BG96" s="206" t="str">
        <f>IF(AND($A96&gt;=SYear_O, $A96&lt;=EYear_O, BG$3&gt;0), BG$3 * VLOOKUP($A96, Data_All!$A$8:$CA$153, MATCH(BG$2, Data_All!$B$2:$CA$2, 0)+1), "")</f>
        <v/>
      </c>
      <c r="BH96" s="206" t="str">
        <f>IF(AND($A96&gt;=SYear_O, $A96&lt;=EYear_O, BH$3&gt;0), BH$3 * VLOOKUP($A96, Data_All!$A$8:$CA$153, MATCH(BH$2, Data_All!$B$2:$CA$2, 0)+1), "")</f>
        <v/>
      </c>
      <c r="BI96" s="206" t="str">
        <f>IF(AND($A96&gt;=SYear_O, $A96&lt;=EYear_O, BI$3&gt;0), BI$3 * VLOOKUP($A96, Data_All!$A$8:$CA$153, MATCH(BI$2, Data_All!$B$2:$CA$2, 0)+1), "")</f>
        <v/>
      </c>
      <c r="BJ96" s="206" t="str">
        <f>IF(AND($A96&gt;=SYear_O, $A96&lt;=EYear_O, BJ$3&gt;0), BJ$3 * VLOOKUP($A96, Data_All!$A$8:$CA$153, MATCH(BJ$2, Data_All!$B$2:$CA$2, 0)+1), "")</f>
        <v/>
      </c>
      <c r="BK96" s="206" t="str">
        <f>IF(AND($A96&gt;=SYear_O, $A96&lt;=EYear_O, BK$3&gt;0), BK$3 * VLOOKUP($A96, Data_All!$A$8:$CA$153, MATCH(BK$2, Data_All!$B$2:$CA$2, 0)+1), "")</f>
        <v/>
      </c>
      <c r="BL96" s="206" t="str">
        <f>IF(AND($A96&gt;=SYear_O, $A96&lt;=EYear_O, BL$3&gt;0), BL$3 * VLOOKUP($A96, Data_All!$A$8:$CA$153, MATCH(BL$2, Data_All!$B$2:$CA$2, 0)+1), "")</f>
        <v/>
      </c>
      <c r="BM96" s="206" t="str">
        <f>IF(AND($A96&gt;=SYear_O, $A96&lt;=EYear_O, BM$3&gt;0), BM$3 * VLOOKUP($A96, Data_All!$A$8:$CA$153, MATCH(BM$2, Data_All!$B$2:$CA$2, 0)+1), "")</f>
        <v/>
      </c>
      <c r="BN96" s="206" t="str">
        <f>IF(AND($A96&gt;=SYear_O, $A96&lt;=EYear_O, BN$3&gt;0), BN$3 * VLOOKUP($A96, Data_All!$A$8:$CA$153, MATCH(BN$2, Data_All!$B$2:$CA$2, 0)+1), "")</f>
        <v/>
      </c>
      <c r="BO96" s="206" t="str">
        <f>IF(AND($A96&gt;=SYear_O, $A96&lt;=EYear_O, BO$3&gt;0), BO$3 * VLOOKUP($A96, Data_All!$A$8:$CA$153, MATCH(BO$2, Data_All!$B$2:$CA$2, 0)+1), "")</f>
        <v/>
      </c>
      <c r="BP96" s="206" t="str">
        <f>IF(AND($A96&gt;=SYear_O, $A96&lt;=EYear_O, BP$3&gt;0), BP$3 * VLOOKUP($A96, Data_All!$A$8:$CA$153, MATCH(BP$2, Data_All!$B$2:$CA$2, 0)+1), "")</f>
        <v/>
      </c>
      <c r="BQ96" s="206" t="str">
        <f>IF(AND($A96&gt;=SYear_O, $A96&lt;=EYear_O, BQ$3&gt;0), BQ$3 * VLOOKUP($A96, Data_All!$A$8:$CA$153, MATCH(BQ$2, Data_All!$B$2:$CA$2, 0)+1), "")</f>
        <v/>
      </c>
      <c r="BR96" s="206" t="str">
        <f>IF(AND($A96&gt;=SYear_O, $A96&lt;=EYear_O, BR$3&gt;0), BR$3 * VLOOKUP($A96, Data_All!$A$8:$CA$153, MATCH(BR$2, Data_All!$B$2:$CA$2, 0)+1), "")</f>
        <v/>
      </c>
      <c r="BS96" s="206" t="str">
        <f>IF(AND($A96&gt;=SYear_O, $A96&lt;=EYear_O, BS$3&gt;0), BS$3 * VLOOKUP($A96, Data_All!$A$8:$CA$153, MATCH(BS$2, Data_All!$B$2:$CA$2, 0)+1), "")</f>
        <v/>
      </c>
      <c r="BT96" s="206" t="str">
        <f>IF(AND($A96&gt;=SYear_O, $A96&lt;=EYear_O, BT$3&gt;0), BT$3 * VLOOKUP($A96, Data_All!$A$8:$CA$153, MATCH(BT$2, Data_All!$B$2:$CA$2, 0)+1), "")</f>
        <v/>
      </c>
      <c r="BU96" s="206" t="str">
        <f>IF(AND($A96&gt;=SYear_O, $A96&lt;=EYear_O, BU$3&gt;0), BU$3 * VLOOKUP($A96, Data_All!$A$8:$CA$153, MATCH(BU$2, Data_All!$B$2:$CA$2, 0)+1), "")</f>
        <v/>
      </c>
      <c r="BV96" s="206" t="str">
        <f>IF(AND($A96&gt;=SYear_O, $A96&lt;=EYear_O, BV$3&gt;0), BV$3 * VLOOKUP($A96, Data_All!$A$8:$CA$153, MATCH(BV$2, Data_All!$B$2:$CA$2, 0)+1), "")</f>
        <v/>
      </c>
      <c r="BW96" s="206" t="str">
        <f>IF(AND($A96&gt;=SYear_O, $A96&lt;=EYear_O, BW$3&gt;0), BW$3 * VLOOKUP($A96, Data_All!$A$8:$CA$153, MATCH(BW$2, Data_All!$B$2:$CA$2, 0)+1), "")</f>
        <v/>
      </c>
      <c r="BX96" s="206">
        <f>IF(AND($A96&gt;=SYear_O, $A96&lt;=EYear_O, BX$3&gt;0), BX$3 * VLOOKUP($A96, Data_All!$A$8:$CA$153, MATCH(BX$2, Data_All!$B$2:$CA$2, 0)+1), "")</f>
        <v>3.7635705669481334</v>
      </c>
      <c r="BY96" s="206">
        <f>IF(AND($A96&gt;=SYear_O, $A96&lt;=EYear_O, BY$3&gt;0), BY$3 * VLOOKUP($A96, Data_All!$A$8:$CA$153, MATCH(BY$2, Data_All!$B$2:$CA$2, 0)+1), "")</f>
        <v>4.1347918191026798</v>
      </c>
      <c r="BZ96" s="206" t="str">
        <f>IF(AND($A96&gt;=SYear_O, $A96&lt;=EYear_O, BZ$3&gt;0), BZ$3 * VLOOKUP($A96, Data_All!$A$8:$CA$153, MATCH(BZ$2, Data_All!$B$2:$CA$2, 0)+1), "")</f>
        <v/>
      </c>
      <c r="CA96" s="565">
        <f t="shared" si="35"/>
        <v>7.8983623860508132</v>
      </c>
      <c r="CB96" s="427">
        <f t="shared" si="36"/>
        <v>3849003.7307653511</v>
      </c>
      <c r="CC96" s="565">
        <f>IF(AND($A96&gt;=SYear_O,$A96&lt;=EYear_O),(CA96-Data_All!CA97)/(1+Data_All!CA97%),"")</f>
        <v>6.087987178231165</v>
      </c>
      <c r="CD96" s="436">
        <f t="shared" si="37"/>
        <v>1609873.0634056008</v>
      </c>
      <c r="CE96" s="438">
        <f t="shared" si="38"/>
        <v>349.10170839049857</v>
      </c>
      <c r="CF96" s="438">
        <f>IF(AND($A96&gt;=SYear_O,$A96&lt;=EYear_O),MAX($CE$7:CE96),"")</f>
        <v>349.10170839049857</v>
      </c>
      <c r="CG96" s="209">
        <f t="shared" si="39"/>
        <v>0</v>
      </c>
      <c r="CI96" s="143">
        <f>IF(AND($A96&gt;=SYear_O,$A96&lt;=EYear_O),Data_All!V97,"")</f>
        <v>4.935557997801979</v>
      </c>
      <c r="CJ96" s="143">
        <f>IF(AND($A96&gt;=SYear_O,$A96&lt;=EYear_O),Data_All!CA97,"")</f>
        <v>1.7064846416382284</v>
      </c>
      <c r="CK96" s="143">
        <f t="shared" si="40"/>
        <v>3.1748942730066405</v>
      </c>
      <c r="CN96" s="61">
        <f t="shared" si="41"/>
        <v>7.8983623860508168E-2</v>
      </c>
      <c r="CO96" s="61">
        <f t="shared" si="42"/>
        <v>6.885772375114918E-2</v>
      </c>
      <c r="CP96" s="61">
        <f t="shared" si="43"/>
        <v>9.0005824464676643E-2</v>
      </c>
      <c r="CQ96" s="61">
        <f t="shared" si="44"/>
        <v>6.1180163739974036E-2</v>
      </c>
      <c r="CR96" s="61">
        <f t="shared" si="45"/>
        <v>4.9359917724208335E-2</v>
      </c>
      <c r="CU96" s="61">
        <f t="shared" si="46"/>
        <v>6.0879871782311579E-2</v>
      </c>
      <c r="CV96" s="61">
        <f t="shared" si="47"/>
        <v>5.5807101481230026E-2</v>
      </c>
      <c r="CW96" s="61">
        <f t="shared" si="48"/>
        <v>7.639438566644019E-2</v>
      </c>
      <c r="CX96" s="61">
        <f t="shared" si="49"/>
        <v>3.4490972941966014E-2</v>
      </c>
      <c r="CY96" s="61">
        <f t="shared" si="50"/>
        <v>1.0115779894823707E-2</v>
      </c>
    </row>
    <row r="97" spans="1:103">
      <c r="A97" s="204">
        <f t="shared" si="51"/>
        <v>1961</v>
      </c>
      <c r="B97" s="206" t="str">
        <f>IF(AND($A97&gt;=SYear_O, $A97&lt;=EYear_O, B$3&gt;0), B$3 * VLOOKUP($A97, Data_All!$A$8:$CA$153, MATCH(B$2, Data_All!$B$2:$CA$2, 0)+1), "")</f>
        <v/>
      </c>
      <c r="C97" s="206" t="str">
        <f>IF(AND($A97&gt;=SYear_O, $A97&lt;=EYear_O, C$3&gt;0), C$3 * VLOOKUP($A97, Data_All!$A$8:$CA$153, MATCH(C$2, Data_All!$B$2:$CA$2, 0)+1), "")</f>
        <v/>
      </c>
      <c r="D97" s="206" t="str">
        <f>IF(AND($A97&gt;=SYear_O, $A97&lt;=EYear_O, D$3&gt;0), D$3 * VLOOKUP($A97, Data_All!$A$8:$CA$153, MATCH(D$2, Data_All!$B$2:$CA$2, 0)+1), "")</f>
        <v/>
      </c>
      <c r="E97" s="206" t="str">
        <f>IF(AND($A97&gt;=SYear_O, $A97&lt;=EYear_O, E$3&gt;0), E$3 * VLOOKUP($A97, Data_All!$A$8:$CA$153, MATCH(E$2, Data_All!$B$2:$CA$2, 0)+1), "")</f>
        <v/>
      </c>
      <c r="F97" s="206" t="str">
        <f>IF(AND($A97&gt;=SYear_O, $A97&lt;=EYear_O, F$3&gt;0), F$3 * VLOOKUP($A97, Data_All!$A$8:$CA$153, MATCH(F$2, Data_All!$B$2:$CA$2, 0)+1), "")</f>
        <v/>
      </c>
      <c r="G97" s="206" t="str">
        <f>IF(AND($A97&gt;=SYear_O, $A97&lt;=EYear_O, G$3&gt;0), G$3 * VLOOKUP($A97, Data_All!$A$8:$CA$153, MATCH(G$2, Data_All!$B$2:$CA$2, 0)+1), "")</f>
        <v/>
      </c>
      <c r="H97" s="206" t="str">
        <f>IF(AND($A97&gt;=SYear_O, $A97&lt;=EYear_O, H$3&gt;0), H$3 * VLOOKUP($A97, Data_All!$A$8:$CA$153, MATCH(H$2, Data_All!$B$2:$CA$2, 0)+1), "")</f>
        <v/>
      </c>
      <c r="I97" s="206" t="str">
        <f>IF(AND($A97&gt;=SYear_O, $A97&lt;=EYear_O, I$3&gt;0), I$3 * VLOOKUP($A97, Data_All!$A$8:$CA$153, MATCH(I$2, Data_All!$B$2:$CA$2, 0)+1), "")</f>
        <v/>
      </c>
      <c r="J97" s="206" t="str">
        <f>IF(AND($A97&gt;=SYear_O, $A97&lt;=EYear_O, J$3&gt;0), J$3 * VLOOKUP($A97, Data_All!$A$8:$CA$153, MATCH(J$2, Data_All!$B$2:$CA$2, 0)+1), "")</f>
        <v/>
      </c>
      <c r="K97" s="206" t="str">
        <f>IF(AND($A97&gt;=SYear_O, $A97&lt;=EYear_O, K$3&gt;0), K$3 * VLOOKUP($A97, Data_All!$A$8:$CA$153, MATCH(K$2, Data_All!$B$2:$CA$2, 0)+1), "")</f>
        <v/>
      </c>
      <c r="L97" s="206" t="str">
        <f>IF(AND($A97&gt;=SYear_O, $A97&lt;=EYear_O, L$3&gt;0), L$3 * VLOOKUP($A97, Data_All!$A$8:$CA$153, MATCH(L$2, Data_All!$B$2:$CA$2, 0)+1), "")</f>
        <v/>
      </c>
      <c r="M97" s="206" t="str">
        <f>IF(AND($A97&gt;=SYear_O, $A97&lt;=EYear_O, M$3&gt;0), M$3 * VLOOKUP($A97, Data_All!$A$8:$CA$153, MATCH(M$2, Data_All!$B$2:$CA$2, 0)+1), "")</f>
        <v/>
      </c>
      <c r="N97" s="206" t="str">
        <f>IF(AND($A97&gt;=SYear_O, $A97&lt;=EYear_O, N$3&gt;0), N$3 * VLOOKUP($A97, Data_All!$A$8:$CA$153, MATCH(N$2, Data_All!$B$2:$CA$2, 0)+1), "")</f>
        <v/>
      </c>
      <c r="O97" s="206" t="str">
        <f>IF(AND($A97&gt;=SYear_O, $A97&lt;=EYear_O, O$3&gt;0), O$3 * VLOOKUP($A97, Data_All!$A$8:$CA$153, MATCH(O$2, Data_All!$B$2:$CA$2, 0)+1), "")</f>
        <v/>
      </c>
      <c r="P97" s="206" t="str">
        <f>IF(AND($A97&gt;=SYear_O, $A97&lt;=EYear_O, P$3&gt;0), P$3 * VLOOKUP($A97, Data_All!$A$8:$CA$153, MATCH(P$2, Data_All!$B$2:$CA$2, 0)+1), "")</f>
        <v/>
      </c>
      <c r="Q97" s="206" t="str">
        <f>IF(AND($A97&gt;=SYear_O, $A97&lt;=EYear_O, Q$3&gt;0), Q$3 * VLOOKUP($A97, Data_All!$A$8:$CA$153, MATCH(Q$2, Data_All!$B$2:$CA$2, 0)+1), "")</f>
        <v/>
      </c>
      <c r="R97" s="206" t="str">
        <f>IF(AND($A97&gt;=SYear_O, $A97&lt;=EYear_O, R$3&gt;0), R$3 * VLOOKUP($A97, Data_All!$A$8:$CA$153, MATCH(R$2, Data_All!$B$2:$CA$2, 0)+1), "")</f>
        <v/>
      </c>
      <c r="S97" s="206" t="str">
        <f>IF(AND($A97&gt;=SYear_O, $A97&lt;=EYear_O, S$3&gt;0), S$3 * VLOOKUP($A97, Data_All!$A$8:$CA$153, MATCH(S$2, Data_All!$B$2:$CA$2, 0)+1), "")</f>
        <v/>
      </c>
      <c r="T97" s="206" t="str">
        <f>IF(AND($A97&gt;=SYear_O, $A97&lt;=EYear_O, T$3&gt;0), T$3 * VLOOKUP($A97, Data_All!$A$8:$CA$153, MATCH(T$2, Data_All!$B$2:$CA$2, 0)+1), "")</f>
        <v/>
      </c>
      <c r="U97" s="206" t="str">
        <f>IF(AND($A97&gt;=SYear_O, $A97&lt;=EYear_O, U$3&gt;0), U$3 * VLOOKUP($A97, Data_All!$A$8:$CA$153, MATCH(U$2, Data_All!$B$2:$CA$2, 0)+1), "")</f>
        <v/>
      </c>
      <c r="V97" s="206" t="str">
        <f>IF(AND($A97&gt;=SYear_O, $A97&lt;=EYear_O, V$3&gt;0), V$3 * VLOOKUP($A97, Data_All!$A$8:$CA$153, MATCH(V$2, Data_All!$B$2:$CA$2, 0)+1), "")</f>
        <v/>
      </c>
      <c r="W97" s="206" t="str">
        <f>IF(AND($A97&gt;=SYear_O, $A97&lt;=EYear_O, W$3&gt;0), W$3 * VLOOKUP($A97, Data_All!$A$8:$CA$153, MATCH(W$2, Data_All!$B$2:$CA$2, 0)+1), "")</f>
        <v/>
      </c>
      <c r="X97" s="206" t="str">
        <f>IF(AND($A97&gt;=SYear_O, $A97&lt;=EYear_O, X$3&gt;0), X$3 * VLOOKUP($A97, Data_All!$A$8:$CA$153, MATCH(X$2, Data_All!$B$2:$CA$2, 0)+1), "")</f>
        <v/>
      </c>
      <c r="Y97" s="206" t="str">
        <f>IF(AND($A97&gt;=SYear_O, $A97&lt;=EYear_O, Y$3&gt;0), Y$3 * VLOOKUP($A97, Data_All!$A$8:$CA$153, MATCH(Y$2, Data_All!$B$2:$CA$2, 0)+1), "")</f>
        <v/>
      </c>
      <c r="Z97" s="206" t="str">
        <f>IF(AND($A97&gt;=SYear_O, $A97&lt;=EYear_O, Z$3&gt;0), Z$3 * VLOOKUP($A97, Data_All!$A$8:$CA$153, MATCH(Z$2, Data_All!$B$2:$CA$2, 0)+1), "")</f>
        <v/>
      </c>
      <c r="AA97" s="206" t="str">
        <f>IF(AND($A97&gt;=SYear_O, $A97&lt;=EYear_O, AA$3&gt;0), AA$3 * VLOOKUP($A97, Data_All!$A$8:$CA$153, MATCH(AA$2, Data_All!$B$2:$CA$2, 0)+1), "")</f>
        <v/>
      </c>
      <c r="AB97" s="206" t="str">
        <f>IF(AND($A97&gt;=SYear_O, $A97&lt;=EYear_O, AB$3&gt;0), AB$3 * VLOOKUP($A97, Data_All!$A$8:$CA$153, MATCH(AB$2, Data_All!$B$2:$CA$2, 0)+1), "")</f>
        <v/>
      </c>
      <c r="AC97" s="206" t="str">
        <f>IF(AND($A97&gt;=SYear_O, $A97&lt;=EYear_O, AC$3&gt;0), AC$3 * VLOOKUP($A97, Data_All!$A$8:$CA$153, MATCH(AC$2, Data_All!$B$2:$CA$2, 0)+1), "")</f>
        <v/>
      </c>
      <c r="AD97" s="206" t="str">
        <f>IF(AND($A97&gt;=SYear_O, $A97&lt;=EYear_O, AD$3&gt;0), AD$3 * VLOOKUP($A97, Data_All!$A$8:$CA$153, MATCH(AD$2, Data_All!$B$2:$CA$2, 0)+1), "")</f>
        <v/>
      </c>
      <c r="AE97" s="206" t="str">
        <f>IF(AND($A97&gt;=SYear_O, $A97&lt;=EYear_O, AE$3&gt;0), AE$3 * VLOOKUP($A97, Data_All!$A$8:$CA$153, MATCH(AE$2, Data_All!$B$2:$CA$2, 0)+1), "")</f>
        <v/>
      </c>
      <c r="AF97" s="206" t="str">
        <f>IF(AND($A97&gt;=SYear_O, $A97&lt;=EYear_O, AF$3&gt;0), AF$3 * VLOOKUP($A97, Data_All!$A$8:$CA$153, MATCH(AF$2, Data_All!$B$2:$CA$2, 0)+1), "")</f>
        <v/>
      </c>
      <c r="AG97" s="206" t="str">
        <f>IF(AND($A97&gt;=SYear_O, $A97&lt;=EYear_O, AG$3&gt;0), AG$3 * VLOOKUP($A97, Data_All!$A$8:$CA$153, MATCH(AG$2, Data_All!$B$2:$CA$2, 0)+1), "")</f>
        <v/>
      </c>
      <c r="AH97" s="206" t="str">
        <f>IF(AND($A97&gt;=SYear_O, $A97&lt;=EYear_O, AH$3&gt;0), AH$3 * VLOOKUP($A97, Data_All!$A$8:$CA$153, MATCH(AH$2, Data_All!$B$2:$CA$2, 0)+1), "")</f>
        <v/>
      </c>
      <c r="AI97" s="206" t="str">
        <f>IF(AND($A97&gt;=SYear_O, $A97&lt;=EYear_O, AI$3&gt;0), AI$3 * VLOOKUP($A97, Data_All!$A$8:$CA$153, MATCH(AI$2, Data_All!$B$2:$CA$2, 0)+1), "")</f>
        <v/>
      </c>
      <c r="AJ97" s="206" t="str">
        <f>IF(AND($A97&gt;=SYear_O, $A97&lt;=EYear_O, AJ$3&gt;0), AJ$3 * VLOOKUP($A97, Data_All!$A$8:$CA$153, MATCH(AJ$2, Data_All!$B$2:$CA$2, 0)+1), "")</f>
        <v/>
      </c>
      <c r="AK97" s="206" t="str">
        <f>IF(AND($A97&gt;=SYear_O, $A97&lt;=EYear_O, AK$3&gt;0), AK$3 * VLOOKUP($A97, Data_All!$A$8:$CA$153, MATCH(AK$2, Data_All!$B$2:$CA$2, 0)+1), "")</f>
        <v/>
      </c>
      <c r="AL97" s="206" t="str">
        <f>IF(AND($A97&gt;=SYear_O, $A97&lt;=EYear_O, AL$3&gt;0), AL$3 * VLOOKUP($A97, Data_All!$A$8:$CA$153, MATCH(AL$2, Data_All!$B$2:$CA$2, 0)+1), "")</f>
        <v/>
      </c>
      <c r="AM97" s="206" t="str">
        <f>IF(AND($A97&gt;=SYear_O, $A97&lt;=EYear_O, AM$3&gt;0), AM$3 * VLOOKUP($A97, Data_All!$A$8:$CA$153, MATCH(AM$2, Data_All!$B$2:$CA$2, 0)+1), "")</f>
        <v/>
      </c>
      <c r="AN97" s="206" t="str">
        <f>IF(AND($A97&gt;=SYear_O, $A97&lt;=EYear_O, AN$3&gt;0), AN$3 * VLOOKUP($A97, Data_All!$A$8:$CA$153, MATCH(AN$2, Data_All!$B$2:$CA$2, 0)+1), "")</f>
        <v/>
      </c>
      <c r="AO97" s="206" t="str">
        <f>IF(AND($A97&gt;=SYear_O, $A97&lt;=EYear_O, AO$3&gt;0), AO$3 * VLOOKUP($A97, Data_All!$A$8:$CA$153, MATCH(AO$2, Data_All!$B$2:$CA$2, 0)+1), "")</f>
        <v/>
      </c>
      <c r="AP97" s="206" t="str">
        <f>IF(AND($A97&gt;=SYear_O, $A97&lt;=EYear_O, AP$3&gt;0), AP$3 * VLOOKUP($A97, Data_All!$A$8:$CA$153, MATCH(AP$2, Data_All!$B$2:$CA$2, 0)+1), "")</f>
        <v/>
      </c>
      <c r="AQ97" s="206" t="str">
        <f>IF(AND($A97&gt;=SYear_O, $A97&lt;=EYear_O, AQ$3&gt;0), AQ$3 * VLOOKUP($A97, Data_All!$A$8:$CA$153, MATCH(AQ$2, Data_All!$B$2:$CA$2, 0)+1), "")</f>
        <v/>
      </c>
      <c r="AR97" s="206" t="str">
        <f>IF(AND($A97&gt;=SYear_O, $A97&lt;=EYear_O, AR$3&gt;0), AR$3 * VLOOKUP($A97, Data_All!$A$8:$CA$153, MATCH(AR$2, Data_All!$B$2:$CA$2, 0)+1), "")</f>
        <v/>
      </c>
      <c r="AS97" s="206" t="str">
        <f>IF(AND($A97&gt;=SYear_O, $A97&lt;=EYear_O, AS$3&gt;0), AS$3 * VLOOKUP($A97, Data_All!$A$8:$CA$153, MATCH(AS$2, Data_All!$B$2:$CA$2, 0)+1), "")</f>
        <v/>
      </c>
      <c r="AT97" s="206" t="str">
        <f>IF(AND($A97&gt;=SYear_O, $A97&lt;=EYear_O, AT$3&gt;0), AT$3 * VLOOKUP($A97, Data_All!$A$8:$CA$153, MATCH(AT$2, Data_All!$B$2:$CA$2, 0)+1), "")</f>
        <v/>
      </c>
      <c r="AU97" s="206" t="str">
        <f>IF(AND($A97&gt;=SYear_O, $A97&lt;=EYear_O, AU$3&gt;0), AU$3 * VLOOKUP($A97, Data_All!$A$8:$CA$153, MATCH(AU$2, Data_All!$B$2:$CA$2, 0)+1), "")</f>
        <v/>
      </c>
      <c r="AV97" s="206" t="str">
        <f>IF(AND($A97&gt;=SYear_O, $A97&lt;=EYear_O, AV$3&gt;0), AV$3 * VLOOKUP($A97, Data_All!$A$8:$CA$153, MATCH(AV$2, Data_All!$B$2:$CA$2, 0)+1), "")</f>
        <v/>
      </c>
      <c r="AW97" s="206" t="str">
        <f>IF(AND($A97&gt;=SYear_O, $A97&lt;=EYear_O, AW$3&gt;0), AW$3 * VLOOKUP($A97, Data_All!$A$8:$CA$153, MATCH(AW$2, Data_All!$B$2:$CA$2, 0)+1), "")</f>
        <v/>
      </c>
      <c r="AX97" s="206" t="str">
        <f>IF(AND($A97&gt;=SYear_O, $A97&lt;=EYear_O, AX$3&gt;0), AX$3 * VLOOKUP($A97, Data_All!$A$8:$CA$153, MATCH(AX$2, Data_All!$B$2:$CA$2, 0)+1), "")</f>
        <v/>
      </c>
      <c r="AY97" s="206" t="str">
        <f>IF(AND($A97&gt;=SYear_O, $A97&lt;=EYear_O, AY$3&gt;0), AY$3 * VLOOKUP($A97, Data_All!$A$8:$CA$153, MATCH(AY$2, Data_All!$B$2:$CA$2, 0)+1), "")</f>
        <v/>
      </c>
      <c r="AZ97" s="206" t="str">
        <f>IF(AND($A97&gt;=SYear_O, $A97&lt;=EYear_O, AZ$3&gt;0), AZ$3 * VLOOKUP($A97, Data_All!$A$8:$CA$153, MATCH(AZ$2, Data_All!$B$2:$CA$2, 0)+1), "")</f>
        <v/>
      </c>
      <c r="BA97" s="206" t="str">
        <f>IF(AND($A97&gt;=SYear_O, $A97&lt;=EYear_O, BA$3&gt;0), BA$3 * VLOOKUP($A97, Data_All!$A$8:$CA$153, MATCH(BA$2, Data_All!$B$2:$CA$2, 0)+1), "")</f>
        <v/>
      </c>
      <c r="BB97" s="206" t="str">
        <f>IF(AND($A97&gt;=SYear_O, $A97&lt;=EYear_O, BB$3&gt;0), BB$3 * VLOOKUP($A97, Data_All!$A$8:$CA$153, MATCH(BB$2, Data_All!$B$2:$CA$2, 0)+1), "")</f>
        <v/>
      </c>
      <c r="BC97" s="206" t="str">
        <f>IF(AND($A97&gt;=SYear_O, $A97&lt;=EYear_O, BC$3&gt;0), BC$3 * VLOOKUP($A97, Data_All!$A$8:$CA$153, MATCH(BC$2, Data_All!$B$2:$CA$2, 0)+1), "")</f>
        <v/>
      </c>
      <c r="BD97" s="206" t="str">
        <f>IF(AND($A97&gt;=SYear_O, $A97&lt;=EYear_O, BD$3&gt;0), BD$3 * VLOOKUP($A97, Data_All!$A$8:$CA$153, MATCH(BD$2, Data_All!$B$2:$CA$2, 0)+1), "")</f>
        <v/>
      </c>
      <c r="BE97" s="206" t="str">
        <f>IF(AND($A97&gt;=SYear_O, $A97&lt;=EYear_O, BE$3&gt;0), BE$3 * VLOOKUP($A97, Data_All!$A$8:$CA$153, MATCH(BE$2, Data_All!$B$2:$CA$2, 0)+1), "")</f>
        <v/>
      </c>
      <c r="BF97" s="206" t="str">
        <f>IF(AND($A97&gt;=SYear_O, $A97&lt;=EYear_O, BF$3&gt;0), BF$3 * VLOOKUP($A97, Data_All!$A$8:$CA$153, MATCH(BF$2, Data_All!$B$2:$CA$2, 0)+1), "")</f>
        <v/>
      </c>
      <c r="BG97" s="206" t="str">
        <f>IF(AND($A97&gt;=SYear_O, $A97&lt;=EYear_O, BG$3&gt;0), BG$3 * VLOOKUP($A97, Data_All!$A$8:$CA$153, MATCH(BG$2, Data_All!$B$2:$CA$2, 0)+1), "")</f>
        <v/>
      </c>
      <c r="BH97" s="206" t="str">
        <f>IF(AND($A97&gt;=SYear_O, $A97&lt;=EYear_O, BH$3&gt;0), BH$3 * VLOOKUP($A97, Data_All!$A$8:$CA$153, MATCH(BH$2, Data_All!$B$2:$CA$2, 0)+1), "")</f>
        <v/>
      </c>
      <c r="BI97" s="206" t="str">
        <f>IF(AND($A97&gt;=SYear_O, $A97&lt;=EYear_O, BI$3&gt;0), BI$3 * VLOOKUP($A97, Data_All!$A$8:$CA$153, MATCH(BI$2, Data_All!$B$2:$CA$2, 0)+1), "")</f>
        <v/>
      </c>
      <c r="BJ97" s="206" t="str">
        <f>IF(AND($A97&gt;=SYear_O, $A97&lt;=EYear_O, BJ$3&gt;0), BJ$3 * VLOOKUP($A97, Data_All!$A$8:$CA$153, MATCH(BJ$2, Data_All!$B$2:$CA$2, 0)+1), "")</f>
        <v/>
      </c>
      <c r="BK97" s="206" t="str">
        <f>IF(AND($A97&gt;=SYear_O, $A97&lt;=EYear_O, BK$3&gt;0), BK$3 * VLOOKUP($A97, Data_All!$A$8:$CA$153, MATCH(BK$2, Data_All!$B$2:$CA$2, 0)+1), "")</f>
        <v/>
      </c>
      <c r="BL97" s="206" t="str">
        <f>IF(AND($A97&gt;=SYear_O, $A97&lt;=EYear_O, BL$3&gt;0), BL$3 * VLOOKUP($A97, Data_All!$A$8:$CA$153, MATCH(BL$2, Data_All!$B$2:$CA$2, 0)+1), "")</f>
        <v/>
      </c>
      <c r="BM97" s="206" t="str">
        <f>IF(AND($A97&gt;=SYear_O, $A97&lt;=EYear_O, BM$3&gt;0), BM$3 * VLOOKUP($A97, Data_All!$A$8:$CA$153, MATCH(BM$2, Data_All!$B$2:$CA$2, 0)+1), "")</f>
        <v/>
      </c>
      <c r="BN97" s="206" t="str">
        <f>IF(AND($A97&gt;=SYear_O, $A97&lt;=EYear_O, BN$3&gt;0), BN$3 * VLOOKUP($A97, Data_All!$A$8:$CA$153, MATCH(BN$2, Data_All!$B$2:$CA$2, 0)+1), "")</f>
        <v/>
      </c>
      <c r="BO97" s="206" t="str">
        <f>IF(AND($A97&gt;=SYear_O, $A97&lt;=EYear_O, BO$3&gt;0), BO$3 * VLOOKUP($A97, Data_All!$A$8:$CA$153, MATCH(BO$2, Data_All!$B$2:$CA$2, 0)+1), "")</f>
        <v/>
      </c>
      <c r="BP97" s="206" t="str">
        <f>IF(AND($A97&gt;=SYear_O, $A97&lt;=EYear_O, BP$3&gt;0), BP$3 * VLOOKUP($A97, Data_All!$A$8:$CA$153, MATCH(BP$2, Data_All!$B$2:$CA$2, 0)+1), "")</f>
        <v/>
      </c>
      <c r="BQ97" s="206" t="str">
        <f>IF(AND($A97&gt;=SYear_O, $A97&lt;=EYear_O, BQ$3&gt;0), BQ$3 * VLOOKUP($A97, Data_All!$A$8:$CA$153, MATCH(BQ$2, Data_All!$B$2:$CA$2, 0)+1), "")</f>
        <v/>
      </c>
      <c r="BR97" s="206" t="str">
        <f>IF(AND($A97&gt;=SYear_O, $A97&lt;=EYear_O, BR$3&gt;0), BR$3 * VLOOKUP($A97, Data_All!$A$8:$CA$153, MATCH(BR$2, Data_All!$B$2:$CA$2, 0)+1), "")</f>
        <v/>
      </c>
      <c r="BS97" s="206" t="str">
        <f>IF(AND($A97&gt;=SYear_O, $A97&lt;=EYear_O, BS$3&gt;0), BS$3 * VLOOKUP($A97, Data_All!$A$8:$CA$153, MATCH(BS$2, Data_All!$B$2:$CA$2, 0)+1), "")</f>
        <v/>
      </c>
      <c r="BT97" s="206" t="str">
        <f>IF(AND($A97&gt;=SYear_O, $A97&lt;=EYear_O, BT$3&gt;0), BT$3 * VLOOKUP($A97, Data_All!$A$8:$CA$153, MATCH(BT$2, Data_All!$B$2:$CA$2, 0)+1), "")</f>
        <v/>
      </c>
      <c r="BU97" s="206" t="str">
        <f>IF(AND($A97&gt;=SYear_O, $A97&lt;=EYear_O, BU$3&gt;0), BU$3 * VLOOKUP($A97, Data_All!$A$8:$CA$153, MATCH(BU$2, Data_All!$B$2:$CA$2, 0)+1), "")</f>
        <v/>
      </c>
      <c r="BV97" s="206" t="str">
        <f>IF(AND($A97&gt;=SYear_O, $A97&lt;=EYear_O, BV$3&gt;0), BV$3 * VLOOKUP($A97, Data_All!$A$8:$CA$153, MATCH(BV$2, Data_All!$B$2:$CA$2, 0)+1), "")</f>
        <v/>
      </c>
      <c r="BW97" s="206" t="str">
        <f>IF(AND($A97&gt;=SYear_O, $A97&lt;=EYear_O, BW$3&gt;0), BW$3 * VLOOKUP($A97, Data_All!$A$8:$CA$153, MATCH(BW$2, Data_All!$B$2:$CA$2, 0)+1), "")</f>
        <v/>
      </c>
      <c r="BX97" s="206">
        <f>IF(AND($A97&gt;=SYear_O, $A97&lt;=EYear_O, BX$3&gt;0), BX$3 * VLOOKUP($A97, Data_All!$A$8:$CA$153, MATCH(BX$2, Data_All!$B$2:$CA$2, 0)+1), "")</f>
        <v>11.423308774279958</v>
      </c>
      <c r="BY97" s="206">
        <f>IF(AND($A97&gt;=SYear_O, $A97&lt;=EYear_O, BY$3&gt;0), BY$3 * VLOOKUP($A97, Data_All!$A$8:$CA$153, MATCH(BY$2, Data_All!$B$2:$CA$2, 0)+1), "")</f>
        <v>1.0641185503501838</v>
      </c>
      <c r="BZ97" s="206" t="str">
        <f>IF(AND($A97&gt;=SYear_O, $A97&lt;=EYear_O, BZ$3&gt;0), BZ$3 * VLOOKUP($A97, Data_All!$A$8:$CA$153, MATCH(BZ$2, Data_All!$B$2:$CA$2, 0)+1), "")</f>
        <v/>
      </c>
      <c r="CA97" s="565">
        <f t="shared" si="35"/>
        <v>12.487427324630142</v>
      </c>
      <c r="CB97" s="427">
        <f t="shared" si="36"/>
        <v>4329645.2743669776</v>
      </c>
      <c r="CC97" s="565">
        <f>IF(AND($A97&gt;=SYear_O,$A97&lt;=EYear_O),(CA97-Data_All!CA98)/(1+Data_All!CA98%),"")</f>
        <v>11.737511142465955</v>
      </c>
      <c r="CD97" s="436">
        <f t="shared" si="37"/>
        <v>1798832.0936023912</v>
      </c>
      <c r="CE97" s="438">
        <f t="shared" si="38"/>
        <v>392.69553051480437</v>
      </c>
      <c r="CF97" s="438">
        <f>IF(AND($A97&gt;=SYear_O,$A97&lt;=EYear_O),MAX($CE$7:CE97),"")</f>
        <v>392.69553051480437</v>
      </c>
      <c r="CG97" s="209">
        <f t="shared" si="39"/>
        <v>0</v>
      </c>
      <c r="CI97" s="143">
        <f>IF(AND($A97&gt;=SYear_O,$A97&lt;=EYear_O),Data_All!V98,"")</f>
        <v>2.7175542012189036</v>
      </c>
      <c r="CJ97" s="143">
        <f>IF(AND($A97&gt;=SYear_O,$A97&lt;=EYear_O),Data_All!CA98,"")</f>
        <v>0.67114093959730337</v>
      </c>
      <c r="CK97" s="143">
        <f t="shared" si="40"/>
        <v>2.0327705065441233</v>
      </c>
      <c r="CN97" s="61">
        <f t="shared" si="41"/>
        <v>0.12487427324630151</v>
      </c>
      <c r="CO97" s="61">
        <f t="shared" si="42"/>
        <v>8.6493235649345968E-2</v>
      </c>
      <c r="CP97" s="61">
        <f t="shared" si="43"/>
        <v>8.9050613269480827E-2</v>
      </c>
      <c r="CQ97" s="61">
        <f t="shared" si="44"/>
        <v>6.3997805478897885E-2</v>
      </c>
      <c r="CR97" s="61">
        <f t="shared" si="45"/>
        <v>6.0278169541974735E-2</v>
      </c>
      <c r="CU97" s="61">
        <f t="shared" si="46"/>
        <v>0.11737511142465951</v>
      </c>
      <c r="CV97" s="61">
        <f t="shared" si="47"/>
        <v>7.3444565615849333E-2</v>
      </c>
      <c r="CW97" s="61">
        <f t="shared" si="48"/>
        <v>7.4993634801630238E-2</v>
      </c>
      <c r="CX97" s="61">
        <f t="shared" si="49"/>
        <v>3.3651291061079114E-2</v>
      </c>
      <c r="CY97" s="61">
        <f t="shared" si="50"/>
        <v>1.7219565770210332E-2</v>
      </c>
    </row>
    <row r="98" spans="1:103">
      <c r="A98" s="204">
        <f t="shared" si="51"/>
        <v>1962</v>
      </c>
      <c r="B98" s="206" t="str">
        <f>IF(AND($A98&gt;=SYear_O, $A98&lt;=EYear_O, B$3&gt;0), B$3 * VLOOKUP($A98, Data_All!$A$8:$CA$153, MATCH(B$2, Data_All!$B$2:$CA$2, 0)+1), "")</f>
        <v/>
      </c>
      <c r="C98" s="206" t="str">
        <f>IF(AND($A98&gt;=SYear_O, $A98&lt;=EYear_O, C$3&gt;0), C$3 * VLOOKUP($A98, Data_All!$A$8:$CA$153, MATCH(C$2, Data_All!$B$2:$CA$2, 0)+1), "")</f>
        <v/>
      </c>
      <c r="D98" s="206" t="str">
        <f>IF(AND($A98&gt;=SYear_O, $A98&lt;=EYear_O, D$3&gt;0), D$3 * VLOOKUP($A98, Data_All!$A$8:$CA$153, MATCH(D$2, Data_All!$B$2:$CA$2, 0)+1), "")</f>
        <v/>
      </c>
      <c r="E98" s="206" t="str">
        <f>IF(AND($A98&gt;=SYear_O, $A98&lt;=EYear_O, E$3&gt;0), E$3 * VLOOKUP($A98, Data_All!$A$8:$CA$153, MATCH(E$2, Data_All!$B$2:$CA$2, 0)+1), "")</f>
        <v/>
      </c>
      <c r="F98" s="206" t="str">
        <f>IF(AND($A98&gt;=SYear_O, $A98&lt;=EYear_O, F$3&gt;0), F$3 * VLOOKUP($A98, Data_All!$A$8:$CA$153, MATCH(F$2, Data_All!$B$2:$CA$2, 0)+1), "")</f>
        <v/>
      </c>
      <c r="G98" s="206" t="str">
        <f>IF(AND($A98&gt;=SYear_O, $A98&lt;=EYear_O, G$3&gt;0), G$3 * VLOOKUP($A98, Data_All!$A$8:$CA$153, MATCH(G$2, Data_All!$B$2:$CA$2, 0)+1), "")</f>
        <v/>
      </c>
      <c r="H98" s="206" t="str">
        <f>IF(AND($A98&gt;=SYear_O, $A98&lt;=EYear_O, H$3&gt;0), H$3 * VLOOKUP($A98, Data_All!$A$8:$CA$153, MATCH(H$2, Data_All!$B$2:$CA$2, 0)+1), "")</f>
        <v/>
      </c>
      <c r="I98" s="206" t="str">
        <f>IF(AND($A98&gt;=SYear_O, $A98&lt;=EYear_O, I$3&gt;0), I$3 * VLOOKUP($A98, Data_All!$A$8:$CA$153, MATCH(I$2, Data_All!$B$2:$CA$2, 0)+1), "")</f>
        <v/>
      </c>
      <c r="J98" s="206" t="str">
        <f>IF(AND($A98&gt;=SYear_O, $A98&lt;=EYear_O, J$3&gt;0), J$3 * VLOOKUP($A98, Data_All!$A$8:$CA$153, MATCH(J$2, Data_All!$B$2:$CA$2, 0)+1), "")</f>
        <v/>
      </c>
      <c r="K98" s="206" t="str">
        <f>IF(AND($A98&gt;=SYear_O, $A98&lt;=EYear_O, K$3&gt;0), K$3 * VLOOKUP($A98, Data_All!$A$8:$CA$153, MATCH(K$2, Data_All!$B$2:$CA$2, 0)+1), "")</f>
        <v/>
      </c>
      <c r="L98" s="206" t="str">
        <f>IF(AND($A98&gt;=SYear_O, $A98&lt;=EYear_O, L$3&gt;0), L$3 * VLOOKUP($A98, Data_All!$A$8:$CA$153, MATCH(L$2, Data_All!$B$2:$CA$2, 0)+1), "")</f>
        <v/>
      </c>
      <c r="M98" s="206" t="str">
        <f>IF(AND($A98&gt;=SYear_O, $A98&lt;=EYear_O, M$3&gt;0), M$3 * VLOOKUP($A98, Data_All!$A$8:$CA$153, MATCH(M$2, Data_All!$B$2:$CA$2, 0)+1), "")</f>
        <v/>
      </c>
      <c r="N98" s="206" t="str">
        <f>IF(AND($A98&gt;=SYear_O, $A98&lt;=EYear_O, N$3&gt;0), N$3 * VLOOKUP($A98, Data_All!$A$8:$CA$153, MATCH(N$2, Data_All!$B$2:$CA$2, 0)+1), "")</f>
        <v/>
      </c>
      <c r="O98" s="206" t="str">
        <f>IF(AND($A98&gt;=SYear_O, $A98&lt;=EYear_O, O$3&gt;0), O$3 * VLOOKUP($A98, Data_All!$A$8:$CA$153, MATCH(O$2, Data_All!$B$2:$CA$2, 0)+1), "")</f>
        <v/>
      </c>
      <c r="P98" s="206" t="str">
        <f>IF(AND($A98&gt;=SYear_O, $A98&lt;=EYear_O, P$3&gt;0), P$3 * VLOOKUP($A98, Data_All!$A$8:$CA$153, MATCH(P$2, Data_All!$B$2:$CA$2, 0)+1), "")</f>
        <v/>
      </c>
      <c r="Q98" s="206" t="str">
        <f>IF(AND($A98&gt;=SYear_O, $A98&lt;=EYear_O, Q$3&gt;0), Q$3 * VLOOKUP($A98, Data_All!$A$8:$CA$153, MATCH(Q$2, Data_All!$B$2:$CA$2, 0)+1), "")</f>
        <v/>
      </c>
      <c r="R98" s="206" t="str">
        <f>IF(AND($A98&gt;=SYear_O, $A98&lt;=EYear_O, R$3&gt;0), R$3 * VLOOKUP($A98, Data_All!$A$8:$CA$153, MATCH(R$2, Data_All!$B$2:$CA$2, 0)+1), "")</f>
        <v/>
      </c>
      <c r="S98" s="206" t="str">
        <f>IF(AND($A98&gt;=SYear_O, $A98&lt;=EYear_O, S$3&gt;0), S$3 * VLOOKUP($A98, Data_All!$A$8:$CA$153, MATCH(S$2, Data_All!$B$2:$CA$2, 0)+1), "")</f>
        <v/>
      </c>
      <c r="T98" s="206" t="str">
        <f>IF(AND($A98&gt;=SYear_O, $A98&lt;=EYear_O, T$3&gt;0), T$3 * VLOOKUP($A98, Data_All!$A$8:$CA$153, MATCH(T$2, Data_All!$B$2:$CA$2, 0)+1), "")</f>
        <v/>
      </c>
      <c r="U98" s="206" t="str">
        <f>IF(AND($A98&gt;=SYear_O, $A98&lt;=EYear_O, U$3&gt;0), U$3 * VLOOKUP($A98, Data_All!$A$8:$CA$153, MATCH(U$2, Data_All!$B$2:$CA$2, 0)+1), "")</f>
        <v/>
      </c>
      <c r="V98" s="206" t="str">
        <f>IF(AND($A98&gt;=SYear_O, $A98&lt;=EYear_O, V$3&gt;0), V$3 * VLOOKUP($A98, Data_All!$A$8:$CA$153, MATCH(V$2, Data_All!$B$2:$CA$2, 0)+1), "")</f>
        <v/>
      </c>
      <c r="W98" s="206" t="str">
        <f>IF(AND($A98&gt;=SYear_O, $A98&lt;=EYear_O, W$3&gt;0), W$3 * VLOOKUP($A98, Data_All!$A$8:$CA$153, MATCH(W$2, Data_All!$B$2:$CA$2, 0)+1), "")</f>
        <v/>
      </c>
      <c r="X98" s="206" t="str">
        <f>IF(AND($A98&gt;=SYear_O, $A98&lt;=EYear_O, X$3&gt;0), X$3 * VLOOKUP($A98, Data_All!$A$8:$CA$153, MATCH(X$2, Data_All!$B$2:$CA$2, 0)+1), "")</f>
        <v/>
      </c>
      <c r="Y98" s="206" t="str">
        <f>IF(AND($A98&gt;=SYear_O, $A98&lt;=EYear_O, Y$3&gt;0), Y$3 * VLOOKUP($A98, Data_All!$A$8:$CA$153, MATCH(Y$2, Data_All!$B$2:$CA$2, 0)+1), "")</f>
        <v/>
      </c>
      <c r="Z98" s="206" t="str">
        <f>IF(AND($A98&gt;=SYear_O, $A98&lt;=EYear_O, Z$3&gt;0), Z$3 * VLOOKUP($A98, Data_All!$A$8:$CA$153, MATCH(Z$2, Data_All!$B$2:$CA$2, 0)+1), "")</f>
        <v/>
      </c>
      <c r="AA98" s="206" t="str">
        <f>IF(AND($A98&gt;=SYear_O, $A98&lt;=EYear_O, AA$3&gt;0), AA$3 * VLOOKUP($A98, Data_All!$A$8:$CA$153, MATCH(AA$2, Data_All!$B$2:$CA$2, 0)+1), "")</f>
        <v/>
      </c>
      <c r="AB98" s="206" t="str">
        <f>IF(AND($A98&gt;=SYear_O, $A98&lt;=EYear_O, AB$3&gt;0), AB$3 * VLOOKUP($A98, Data_All!$A$8:$CA$153, MATCH(AB$2, Data_All!$B$2:$CA$2, 0)+1), "")</f>
        <v/>
      </c>
      <c r="AC98" s="206" t="str">
        <f>IF(AND($A98&gt;=SYear_O, $A98&lt;=EYear_O, AC$3&gt;0), AC$3 * VLOOKUP($A98, Data_All!$A$8:$CA$153, MATCH(AC$2, Data_All!$B$2:$CA$2, 0)+1), "")</f>
        <v/>
      </c>
      <c r="AD98" s="206" t="str">
        <f>IF(AND($A98&gt;=SYear_O, $A98&lt;=EYear_O, AD$3&gt;0), AD$3 * VLOOKUP($A98, Data_All!$A$8:$CA$153, MATCH(AD$2, Data_All!$B$2:$CA$2, 0)+1), "")</f>
        <v/>
      </c>
      <c r="AE98" s="206" t="str">
        <f>IF(AND($A98&gt;=SYear_O, $A98&lt;=EYear_O, AE$3&gt;0), AE$3 * VLOOKUP($A98, Data_All!$A$8:$CA$153, MATCH(AE$2, Data_All!$B$2:$CA$2, 0)+1), "")</f>
        <v/>
      </c>
      <c r="AF98" s="206" t="str">
        <f>IF(AND($A98&gt;=SYear_O, $A98&lt;=EYear_O, AF$3&gt;0), AF$3 * VLOOKUP($A98, Data_All!$A$8:$CA$153, MATCH(AF$2, Data_All!$B$2:$CA$2, 0)+1), "")</f>
        <v/>
      </c>
      <c r="AG98" s="206" t="str">
        <f>IF(AND($A98&gt;=SYear_O, $A98&lt;=EYear_O, AG$3&gt;0), AG$3 * VLOOKUP($A98, Data_All!$A$8:$CA$153, MATCH(AG$2, Data_All!$B$2:$CA$2, 0)+1), "")</f>
        <v/>
      </c>
      <c r="AH98" s="206" t="str">
        <f>IF(AND($A98&gt;=SYear_O, $A98&lt;=EYear_O, AH$3&gt;0), AH$3 * VLOOKUP($A98, Data_All!$A$8:$CA$153, MATCH(AH$2, Data_All!$B$2:$CA$2, 0)+1), "")</f>
        <v/>
      </c>
      <c r="AI98" s="206" t="str">
        <f>IF(AND($A98&gt;=SYear_O, $A98&lt;=EYear_O, AI$3&gt;0), AI$3 * VLOOKUP($A98, Data_All!$A$8:$CA$153, MATCH(AI$2, Data_All!$B$2:$CA$2, 0)+1), "")</f>
        <v/>
      </c>
      <c r="AJ98" s="206" t="str">
        <f>IF(AND($A98&gt;=SYear_O, $A98&lt;=EYear_O, AJ$3&gt;0), AJ$3 * VLOOKUP($A98, Data_All!$A$8:$CA$153, MATCH(AJ$2, Data_All!$B$2:$CA$2, 0)+1), "")</f>
        <v/>
      </c>
      <c r="AK98" s="206" t="str">
        <f>IF(AND($A98&gt;=SYear_O, $A98&lt;=EYear_O, AK$3&gt;0), AK$3 * VLOOKUP($A98, Data_All!$A$8:$CA$153, MATCH(AK$2, Data_All!$B$2:$CA$2, 0)+1), "")</f>
        <v/>
      </c>
      <c r="AL98" s="206" t="str">
        <f>IF(AND($A98&gt;=SYear_O, $A98&lt;=EYear_O, AL$3&gt;0), AL$3 * VLOOKUP($A98, Data_All!$A$8:$CA$153, MATCH(AL$2, Data_All!$B$2:$CA$2, 0)+1), "")</f>
        <v/>
      </c>
      <c r="AM98" s="206" t="str">
        <f>IF(AND($A98&gt;=SYear_O, $A98&lt;=EYear_O, AM$3&gt;0), AM$3 * VLOOKUP($A98, Data_All!$A$8:$CA$153, MATCH(AM$2, Data_All!$B$2:$CA$2, 0)+1), "")</f>
        <v/>
      </c>
      <c r="AN98" s="206" t="str">
        <f>IF(AND($A98&gt;=SYear_O, $A98&lt;=EYear_O, AN$3&gt;0), AN$3 * VLOOKUP($A98, Data_All!$A$8:$CA$153, MATCH(AN$2, Data_All!$B$2:$CA$2, 0)+1), "")</f>
        <v/>
      </c>
      <c r="AO98" s="206" t="str">
        <f>IF(AND($A98&gt;=SYear_O, $A98&lt;=EYear_O, AO$3&gt;0), AO$3 * VLOOKUP($A98, Data_All!$A$8:$CA$153, MATCH(AO$2, Data_All!$B$2:$CA$2, 0)+1), "")</f>
        <v/>
      </c>
      <c r="AP98" s="206" t="str">
        <f>IF(AND($A98&gt;=SYear_O, $A98&lt;=EYear_O, AP$3&gt;0), AP$3 * VLOOKUP($A98, Data_All!$A$8:$CA$153, MATCH(AP$2, Data_All!$B$2:$CA$2, 0)+1), "")</f>
        <v/>
      </c>
      <c r="AQ98" s="206" t="str">
        <f>IF(AND($A98&gt;=SYear_O, $A98&lt;=EYear_O, AQ$3&gt;0), AQ$3 * VLOOKUP($A98, Data_All!$A$8:$CA$153, MATCH(AQ$2, Data_All!$B$2:$CA$2, 0)+1), "")</f>
        <v/>
      </c>
      <c r="AR98" s="206" t="str">
        <f>IF(AND($A98&gt;=SYear_O, $A98&lt;=EYear_O, AR$3&gt;0), AR$3 * VLOOKUP($A98, Data_All!$A$8:$CA$153, MATCH(AR$2, Data_All!$B$2:$CA$2, 0)+1), "")</f>
        <v/>
      </c>
      <c r="AS98" s="206" t="str">
        <f>IF(AND($A98&gt;=SYear_O, $A98&lt;=EYear_O, AS$3&gt;0), AS$3 * VLOOKUP($A98, Data_All!$A$8:$CA$153, MATCH(AS$2, Data_All!$B$2:$CA$2, 0)+1), "")</f>
        <v/>
      </c>
      <c r="AT98" s="206" t="str">
        <f>IF(AND($A98&gt;=SYear_O, $A98&lt;=EYear_O, AT$3&gt;0), AT$3 * VLOOKUP($A98, Data_All!$A$8:$CA$153, MATCH(AT$2, Data_All!$B$2:$CA$2, 0)+1), "")</f>
        <v/>
      </c>
      <c r="AU98" s="206" t="str">
        <f>IF(AND($A98&gt;=SYear_O, $A98&lt;=EYear_O, AU$3&gt;0), AU$3 * VLOOKUP($A98, Data_All!$A$8:$CA$153, MATCH(AU$2, Data_All!$B$2:$CA$2, 0)+1), "")</f>
        <v/>
      </c>
      <c r="AV98" s="206" t="str">
        <f>IF(AND($A98&gt;=SYear_O, $A98&lt;=EYear_O, AV$3&gt;0), AV$3 * VLOOKUP($A98, Data_All!$A$8:$CA$153, MATCH(AV$2, Data_All!$B$2:$CA$2, 0)+1), "")</f>
        <v/>
      </c>
      <c r="AW98" s="206" t="str">
        <f>IF(AND($A98&gt;=SYear_O, $A98&lt;=EYear_O, AW$3&gt;0), AW$3 * VLOOKUP($A98, Data_All!$A$8:$CA$153, MATCH(AW$2, Data_All!$B$2:$CA$2, 0)+1), "")</f>
        <v/>
      </c>
      <c r="AX98" s="206" t="str">
        <f>IF(AND($A98&gt;=SYear_O, $A98&lt;=EYear_O, AX$3&gt;0), AX$3 * VLOOKUP($A98, Data_All!$A$8:$CA$153, MATCH(AX$2, Data_All!$B$2:$CA$2, 0)+1), "")</f>
        <v/>
      </c>
      <c r="AY98" s="206" t="str">
        <f>IF(AND($A98&gt;=SYear_O, $A98&lt;=EYear_O, AY$3&gt;0), AY$3 * VLOOKUP($A98, Data_All!$A$8:$CA$153, MATCH(AY$2, Data_All!$B$2:$CA$2, 0)+1), "")</f>
        <v/>
      </c>
      <c r="AZ98" s="206" t="str">
        <f>IF(AND($A98&gt;=SYear_O, $A98&lt;=EYear_O, AZ$3&gt;0), AZ$3 * VLOOKUP($A98, Data_All!$A$8:$CA$153, MATCH(AZ$2, Data_All!$B$2:$CA$2, 0)+1), "")</f>
        <v/>
      </c>
      <c r="BA98" s="206" t="str">
        <f>IF(AND($A98&gt;=SYear_O, $A98&lt;=EYear_O, BA$3&gt;0), BA$3 * VLOOKUP($A98, Data_All!$A$8:$CA$153, MATCH(BA$2, Data_All!$B$2:$CA$2, 0)+1), "")</f>
        <v/>
      </c>
      <c r="BB98" s="206" t="str">
        <f>IF(AND($A98&gt;=SYear_O, $A98&lt;=EYear_O, BB$3&gt;0), BB$3 * VLOOKUP($A98, Data_All!$A$8:$CA$153, MATCH(BB$2, Data_All!$B$2:$CA$2, 0)+1), "")</f>
        <v/>
      </c>
      <c r="BC98" s="206" t="str">
        <f>IF(AND($A98&gt;=SYear_O, $A98&lt;=EYear_O, BC$3&gt;0), BC$3 * VLOOKUP($A98, Data_All!$A$8:$CA$153, MATCH(BC$2, Data_All!$B$2:$CA$2, 0)+1), "")</f>
        <v/>
      </c>
      <c r="BD98" s="206" t="str">
        <f>IF(AND($A98&gt;=SYear_O, $A98&lt;=EYear_O, BD$3&gt;0), BD$3 * VLOOKUP($A98, Data_All!$A$8:$CA$153, MATCH(BD$2, Data_All!$B$2:$CA$2, 0)+1), "")</f>
        <v/>
      </c>
      <c r="BE98" s="206" t="str">
        <f>IF(AND($A98&gt;=SYear_O, $A98&lt;=EYear_O, BE$3&gt;0), BE$3 * VLOOKUP($A98, Data_All!$A$8:$CA$153, MATCH(BE$2, Data_All!$B$2:$CA$2, 0)+1), "")</f>
        <v/>
      </c>
      <c r="BF98" s="206" t="str">
        <f>IF(AND($A98&gt;=SYear_O, $A98&lt;=EYear_O, BF$3&gt;0), BF$3 * VLOOKUP($A98, Data_All!$A$8:$CA$153, MATCH(BF$2, Data_All!$B$2:$CA$2, 0)+1), "")</f>
        <v/>
      </c>
      <c r="BG98" s="206" t="str">
        <f>IF(AND($A98&gt;=SYear_O, $A98&lt;=EYear_O, BG$3&gt;0), BG$3 * VLOOKUP($A98, Data_All!$A$8:$CA$153, MATCH(BG$2, Data_All!$B$2:$CA$2, 0)+1), "")</f>
        <v/>
      </c>
      <c r="BH98" s="206" t="str">
        <f>IF(AND($A98&gt;=SYear_O, $A98&lt;=EYear_O, BH$3&gt;0), BH$3 * VLOOKUP($A98, Data_All!$A$8:$CA$153, MATCH(BH$2, Data_All!$B$2:$CA$2, 0)+1), "")</f>
        <v/>
      </c>
      <c r="BI98" s="206" t="str">
        <f>IF(AND($A98&gt;=SYear_O, $A98&lt;=EYear_O, BI$3&gt;0), BI$3 * VLOOKUP($A98, Data_All!$A$8:$CA$153, MATCH(BI$2, Data_All!$B$2:$CA$2, 0)+1), "")</f>
        <v/>
      </c>
      <c r="BJ98" s="206" t="str">
        <f>IF(AND($A98&gt;=SYear_O, $A98&lt;=EYear_O, BJ$3&gt;0), BJ$3 * VLOOKUP($A98, Data_All!$A$8:$CA$153, MATCH(BJ$2, Data_All!$B$2:$CA$2, 0)+1), "")</f>
        <v/>
      </c>
      <c r="BK98" s="206" t="str">
        <f>IF(AND($A98&gt;=SYear_O, $A98&lt;=EYear_O, BK$3&gt;0), BK$3 * VLOOKUP($A98, Data_All!$A$8:$CA$153, MATCH(BK$2, Data_All!$B$2:$CA$2, 0)+1), "")</f>
        <v/>
      </c>
      <c r="BL98" s="206" t="str">
        <f>IF(AND($A98&gt;=SYear_O, $A98&lt;=EYear_O, BL$3&gt;0), BL$3 * VLOOKUP($A98, Data_All!$A$8:$CA$153, MATCH(BL$2, Data_All!$B$2:$CA$2, 0)+1), "")</f>
        <v/>
      </c>
      <c r="BM98" s="206" t="str">
        <f>IF(AND($A98&gt;=SYear_O, $A98&lt;=EYear_O, BM$3&gt;0), BM$3 * VLOOKUP($A98, Data_All!$A$8:$CA$153, MATCH(BM$2, Data_All!$B$2:$CA$2, 0)+1), "")</f>
        <v/>
      </c>
      <c r="BN98" s="206" t="str">
        <f>IF(AND($A98&gt;=SYear_O, $A98&lt;=EYear_O, BN$3&gt;0), BN$3 * VLOOKUP($A98, Data_All!$A$8:$CA$153, MATCH(BN$2, Data_All!$B$2:$CA$2, 0)+1), "")</f>
        <v/>
      </c>
      <c r="BO98" s="206" t="str">
        <f>IF(AND($A98&gt;=SYear_O, $A98&lt;=EYear_O, BO$3&gt;0), BO$3 * VLOOKUP($A98, Data_All!$A$8:$CA$153, MATCH(BO$2, Data_All!$B$2:$CA$2, 0)+1), "")</f>
        <v/>
      </c>
      <c r="BP98" s="206" t="str">
        <f>IF(AND($A98&gt;=SYear_O, $A98&lt;=EYear_O, BP$3&gt;0), BP$3 * VLOOKUP($A98, Data_All!$A$8:$CA$153, MATCH(BP$2, Data_All!$B$2:$CA$2, 0)+1), "")</f>
        <v/>
      </c>
      <c r="BQ98" s="206" t="str">
        <f>IF(AND($A98&gt;=SYear_O, $A98&lt;=EYear_O, BQ$3&gt;0), BQ$3 * VLOOKUP($A98, Data_All!$A$8:$CA$153, MATCH(BQ$2, Data_All!$B$2:$CA$2, 0)+1), "")</f>
        <v/>
      </c>
      <c r="BR98" s="206" t="str">
        <f>IF(AND($A98&gt;=SYear_O, $A98&lt;=EYear_O, BR$3&gt;0), BR$3 * VLOOKUP($A98, Data_All!$A$8:$CA$153, MATCH(BR$2, Data_All!$B$2:$CA$2, 0)+1), "")</f>
        <v/>
      </c>
      <c r="BS98" s="206" t="str">
        <f>IF(AND($A98&gt;=SYear_O, $A98&lt;=EYear_O, BS$3&gt;0), BS$3 * VLOOKUP($A98, Data_All!$A$8:$CA$153, MATCH(BS$2, Data_All!$B$2:$CA$2, 0)+1), "")</f>
        <v/>
      </c>
      <c r="BT98" s="206" t="str">
        <f>IF(AND($A98&gt;=SYear_O, $A98&lt;=EYear_O, BT$3&gt;0), BT$3 * VLOOKUP($A98, Data_All!$A$8:$CA$153, MATCH(BT$2, Data_All!$B$2:$CA$2, 0)+1), "")</f>
        <v/>
      </c>
      <c r="BU98" s="206" t="str">
        <f>IF(AND($A98&gt;=SYear_O, $A98&lt;=EYear_O, BU$3&gt;0), BU$3 * VLOOKUP($A98, Data_All!$A$8:$CA$153, MATCH(BU$2, Data_All!$B$2:$CA$2, 0)+1), "")</f>
        <v/>
      </c>
      <c r="BV98" s="206" t="str">
        <f>IF(AND($A98&gt;=SYear_O, $A98&lt;=EYear_O, BV$3&gt;0), BV$3 * VLOOKUP($A98, Data_All!$A$8:$CA$153, MATCH(BV$2, Data_All!$B$2:$CA$2, 0)+1), "")</f>
        <v/>
      </c>
      <c r="BW98" s="206" t="str">
        <f>IF(AND($A98&gt;=SYear_O, $A98&lt;=EYear_O, BW$3&gt;0), BW$3 * VLOOKUP($A98, Data_All!$A$8:$CA$153, MATCH(BW$2, Data_All!$B$2:$CA$2, 0)+1), "")</f>
        <v/>
      </c>
      <c r="BX98" s="206">
        <f>IF(AND($A98&gt;=SYear_O, $A98&lt;=EYear_O, BX$3&gt;0), BX$3 * VLOOKUP($A98, Data_All!$A$8:$CA$153, MATCH(BX$2, Data_All!$B$2:$CA$2, 0)+1), "")</f>
        <v>-1.633125814391192</v>
      </c>
      <c r="BY98" s="206">
        <f>IF(AND($A98&gt;=SYear_O, $A98&lt;=EYear_O, BY$3&gt;0), BY$3 * VLOOKUP($A98, Data_All!$A$8:$CA$153, MATCH(BY$2, Data_All!$B$2:$CA$2, 0)+1), "")</f>
        <v>2.2430593513814046</v>
      </c>
      <c r="BZ98" s="206" t="str">
        <f>IF(AND($A98&gt;=SYear_O, $A98&lt;=EYear_O, BZ$3&gt;0), BZ$3 * VLOOKUP($A98, Data_All!$A$8:$CA$153, MATCH(BZ$2, Data_All!$B$2:$CA$2, 0)+1), "")</f>
        <v/>
      </c>
      <c r="CA98" s="565">
        <f t="shared" si="35"/>
        <v>0.60993353699021258</v>
      </c>
      <c r="CB98" s="427">
        <f t="shared" si="36"/>
        <v>4356053.2329280535</v>
      </c>
      <c r="CC98" s="565">
        <f>IF(AND($A98&gt;=SYear_O,$A98&lt;=EYear_O),(CA98-Data_All!CA99)/(1+Data_All!CA99%),"")</f>
        <v>-0.71388137797017159</v>
      </c>
      <c r="CD98" s="436">
        <f t="shared" si="37"/>
        <v>1785990.5662652128</v>
      </c>
      <c r="CE98" s="438">
        <f t="shared" si="38"/>
        <v>395.0907122536758</v>
      </c>
      <c r="CF98" s="438">
        <f>IF(AND($A98&gt;=SYear_O,$A98&lt;=EYear_O),MAX($CE$7:CE98),"")</f>
        <v>395.0907122536758</v>
      </c>
      <c r="CG98" s="209">
        <f t="shared" si="39"/>
        <v>0</v>
      </c>
      <c r="CI98" s="143">
        <f>IF(AND($A98&gt;=SYear_O,$A98&lt;=EYear_O),Data_All!V99,"")</f>
        <v>3.1871315815765815</v>
      </c>
      <c r="CJ98" s="143">
        <f>IF(AND($A98&gt;=SYear_O,$A98&lt;=EYear_O),Data_All!CA99,"")</f>
        <v>1.3333333333333197</v>
      </c>
      <c r="CK98" s="143">
        <f t="shared" si="40"/>
        <v>1.8294061660295349</v>
      </c>
      <c r="CN98" s="61">
        <f t="shared" si="41"/>
        <v>6.099335369902148E-3</v>
      </c>
      <c r="CO98" s="61">
        <f t="shared" si="42"/>
        <v>8.2285280312274667E-2</v>
      </c>
      <c r="CP98" s="61">
        <f t="shared" si="43"/>
        <v>5.9810013749336699E-2</v>
      </c>
      <c r="CQ98" s="61">
        <f t="shared" si="44"/>
        <v>6.2908688744695684E-2</v>
      </c>
      <c r="CR98" s="61">
        <f t="shared" si="45"/>
        <v>5.9471823936360746E-2</v>
      </c>
      <c r="CU98" s="61">
        <f t="shared" si="46"/>
        <v>-7.1388137797017137E-3</v>
      </c>
      <c r="CV98" s="61">
        <f t="shared" si="47"/>
        <v>6.822803621172957E-2</v>
      </c>
      <c r="CW98" s="61">
        <f t="shared" si="48"/>
        <v>4.043053611924563E-2</v>
      </c>
      <c r="CX98" s="61">
        <f t="shared" si="49"/>
        <v>2.9968399943663293E-2</v>
      </c>
      <c r="CY98" s="61">
        <f t="shared" si="50"/>
        <v>1.3684088101364233E-2</v>
      </c>
    </row>
    <row r="99" spans="1:103">
      <c r="A99" s="204">
        <f t="shared" si="51"/>
        <v>1963</v>
      </c>
      <c r="B99" s="206" t="str">
        <f>IF(AND($A99&gt;=SYear_O, $A99&lt;=EYear_O, B$3&gt;0), B$3 * VLOOKUP($A99, Data_All!$A$8:$CA$153, MATCH(B$2, Data_All!$B$2:$CA$2, 0)+1), "")</f>
        <v/>
      </c>
      <c r="C99" s="206" t="str">
        <f>IF(AND($A99&gt;=SYear_O, $A99&lt;=EYear_O, C$3&gt;0), C$3 * VLOOKUP($A99, Data_All!$A$8:$CA$153, MATCH(C$2, Data_All!$B$2:$CA$2, 0)+1), "")</f>
        <v/>
      </c>
      <c r="D99" s="206" t="str">
        <f>IF(AND($A99&gt;=SYear_O, $A99&lt;=EYear_O, D$3&gt;0), D$3 * VLOOKUP($A99, Data_All!$A$8:$CA$153, MATCH(D$2, Data_All!$B$2:$CA$2, 0)+1), "")</f>
        <v/>
      </c>
      <c r="E99" s="206" t="str">
        <f>IF(AND($A99&gt;=SYear_O, $A99&lt;=EYear_O, E$3&gt;0), E$3 * VLOOKUP($A99, Data_All!$A$8:$CA$153, MATCH(E$2, Data_All!$B$2:$CA$2, 0)+1), "")</f>
        <v/>
      </c>
      <c r="F99" s="206" t="str">
        <f>IF(AND($A99&gt;=SYear_O, $A99&lt;=EYear_O, F$3&gt;0), F$3 * VLOOKUP($A99, Data_All!$A$8:$CA$153, MATCH(F$2, Data_All!$B$2:$CA$2, 0)+1), "")</f>
        <v/>
      </c>
      <c r="G99" s="206" t="str">
        <f>IF(AND($A99&gt;=SYear_O, $A99&lt;=EYear_O, G$3&gt;0), G$3 * VLOOKUP($A99, Data_All!$A$8:$CA$153, MATCH(G$2, Data_All!$B$2:$CA$2, 0)+1), "")</f>
        <v/>
      </c>
      <c r="H99" s="206" t="str">
        <f>IF(AND($A99&gt;=SYear_O, $A99&lt;=EYear_O, H$3&gt;0), H$3 * VLOOKUP($A99, Data_All!$A$8:$CA$153, MATCH(H$2, Data_All!$B$2:$CA$2, 0)+1), "")</f>
        <v/>
      </c>
      <c r="I99" s="206" t="str">
        <f>IF(AND($A99&gt;=SYear_O, $A99&lt;=EYear_O, I$3&gt;0), I$3 * VLOOKUP($A99, Data_All!$A$8:$CA$153, MATCH(I$2, Data_All!$B$2:$CA$2, 0)+1), "")</f>
        <v/>
      </c>
      <c r="J99" s="206" t="str">
        <f>IF(AND($A99&gt;=SYear_O, $A99&lt;=EYear_O, J$3&gt;0), J$3 * VLOOKUP($A99, Data_All!$A$8:$CA$153, MATCH(J$2, Data_All!$B$2:$CA$2, 0)+1), "")</f>
        <v/>
      </c>
      <c r="K99" s="206" t="str">
        <f>IF(AND($A99&gt;=SYear_O, $A99&lt;=EYear_O, K$3&gt;0), K$3 * VLOOKUP($A99, Data_All!$A$8:$CA$153, MATCH(K$2, Data_All!$B$2:$CA$2, 0)+1), "")</f>
        <v/>
      </c>
      <c r="L99" s="206" t="str">
        <f>IF(AND($A99&gt;=SYear_O, $A99&lt;=EYear_O, L$3&gt;0), L$3 * VLOOKUP($A99, Data_All!$A$8:$CA$153, MATCH(L$2, Data_All!$B$2:$CA$2, 0)+1), "")</f>
        <v/>
      </c>
      <c r="M99" s="206" t="str">
        <f>IF(AND($A99&gt;=SYear_O, $A99&lt;=EYear_O, M$3&gt;0), M$3 * VLOOKUP($A99, Data_All!$A$8:$CA$153, MATCH(M$2, Data_All!$B$2:$CA$2, 0)+1), "")</f>
        <v/>
      </c>
      <c r="N99" s="206" t="str">
        <f>IF(AND($A99&gt;=SYear_O, $A99&lt;=EYear_O, N$3&gt;0), N$3 * VLOOKUP($A99, Data_All!$A$8:$CA$153, MATCH(N$2, Data_All!$B$2:$CA$2, 0)+1), "")</f>
        <v/>
      </c>
      <c r="O99" s="206" t="str">
        <f>IF(AND($A99&gt;=SYear_O, $A99&lt;=EYear_O, O$3&gt;0), O$3 * VLOOKUP($A99, Data_All!$A$8:$CA$153, MATCH(O$2, Data_All!$B$2:$CA$2, 0)+1), "")</f>
        <v/>
      </c>
      <c r="P99" s="206" t="str">
        <f>IF(AND($A99&gt;=SYear_O, $A99&lt;=EYear_O, P$3&gt;0), P$3 * VLOOKUP($A99, Data_All!$A$8:$CA$153, MATCH(P$2, Data_All!$B$2:$CA$2, 0)+1), "")</f>
        <v/>
      </c>
      <c r="Q99" s="206" t="str">
        <f>IF(AND($A99&gt;=SYear_O, $A99&lt;=EYear_O, Q$3&gt;0), Q$3 * VLOOKUP($A99, Data_All!$A$8:$CA$153, MATCH(Q$2, Data_All!$B$2:$CA$2, 0)+1), "")</f>
        <v/>
      </c>
      <c r="R99" s="206" t="str">
        <f>IF(AND($A99&gt;=SYear_O, $A99&lt;=EYear_O, R$3&gt;0), R$3 * VLOOKUP($A99, Data_All!$A$8:$CA$153, MATCH(R$2, Data_All!$B$2:$CA$2, 0)+1), "")</f>
        <v/>
      </c>
      <c r="S99" s="206" t="str">
        <f>IF(AND($A99&gt;=SYear_O, $A99&lt;=EYear_O, S$3&gt;0), S$3 * VLOOKUP($A99, Data_All!$A$8:$CA$153, MATCH(S$2, Data_All!$B$2:$CA$2, 0)+1), "")</f>
        <v/>
      </c>
      <c r="T99" s="206" t="str">
        <f>IF(AND($A99&gt;=SYear_O, $A99&lt;=EYear_O, T$3&gt;0), T$3 * VLOOKUP($A99, Data_All!$A$8:$CA$153, MATCH(T$2, Data_All!$B$2:$CA$2, 0)+1), "")</f>
        <v/>
      </c>
      <c r="U99" s="206" t="str">
        <f>IF(AND($A99&gt;=SYear_O, $A99&lt;=EYear_O, U$3&gt;0), U$3 * VLOOKUP($A99, Data_All!$A$8:$CA$153, MATCH(U$2, Data_All!$B$2:$CA$2, 0)+1), "")</f>
        <v/>
      </c>
      <c r="V99" s="206" t="str">
        <f>IF(AND($A99&gt;=SYear_O, $A99&lt;=EYear_O, V$3&gt;0), V$3 * VLOOKUP($A99, Data_All!$A$8:$CA$153, MATCH(V$2, Data_All!$B$2:$CA$2, 0)+1), "")</f>
        <v/>
      </c>
      <c r="W99" s="206" t="str">
        <f>IF(AND($A99&gt;=SYear_O, $A99&lt;=EYear_O, W$3&gt;0), W$3 * VLOOKUP($A99, Data_All!$A$8:$CA$153, MATCH(W$2, Data_All!$B$2:$CA$2, 0)+1), "")</f>
        <v/>
      </c>
      <c r="X99" s="206" t="str">
        <f>IF(AND($A99&gt;=SYear_O, $A99&lt;=EYear_O, X$3&gt;0), X$3 * VLOOKUP($A99, Data_All!$A$8:$CA$153, MATCH(X$2, Data_All!$B$2:$CA$2, 0)+1), "")</f>
        <v/>
      </c>
      <c r="Y99" s="206" t="str">
        <f>IF(AND($A99&gt;=SYear_O, $A99&lt;=EYear_O, Y$3&gt;0), Y$3 * VLOOKUP($A99, Data_All!$A$8:$CA$153, MATCH(Y$2, Data_All!$B$2:$CA$2, 0)+1), "")</f>
        <v/>
      </c>
      <c r="Z99" s="206" t="str">
        <f>IF(AND($A99&gt;=SYear_O, $A99&lt;=EYear_O, Z$3&gt;0), Z$3 * VLOOKUP($A99, Data_All!$A$8:$CA$153, MATCH(Z$2, Data_All!$B$2:$CA$2, 0)+1), "")</f>
        <v/>
      </c>
      <c r="AA99" s="206" t="str">
        <f>IF(AND($A99&gt;=SYear_O, $A99&lt;=EYear_O, AA$3&gt;0), AA$3 * VLOOKUP($A99, Data_All!$A$8:$CA$153, MATCH(AA$2, Data_All!$B$2:$CA$2, 0)+1), "")</f>
        <v/>
      </c>
      <c r="AB99" s="206" t="str">
        <f>IF(AND($A99&gt;=SYear_O, $A99&lt;=EYear_O, AB$3&gt;0), AB$3 * VLOOKUP($A99, Data_All!$A$8:$CA$153, MATCH(AB$2, Data_All!$B$2:$CA$2, 0)+1), "")</f>
        <v/>
      </c>
      <c r="AC99" s="206" t="str">
        <f>IF(AND($A99&gt;=SYear_O, $A99&lt;=EYear_O, AC$3&gt;0), AC$3 * VLOOKUP($A99, Data_All!$A$8:$CA$153, MATCH(AC$2, Data_All!$B$2:$CA$2, 0)+1), "")</f>
        <v/>
      </c>
      <c r="AD99" s="206" t="str">
        <f>IF(AND($A99&gt;=SYear_O, $A99&lt;=EYear_O, AD$3&gt;0), AD$3 * VLOOKUP($A99, Data_All!$A$8:$CA$153, MATCH(AD$2, Data_All!$B$2:$CA$2, 0)+1), "")</f>
        <v/>
      </c>
      <c r="AE99" s="206" t="str">
        <f>IF(AND($A99&gt;=SYear_O, $A99&lt;=EYear_O, AE$3&gt;0), AE$3 * VLOOKUP($A99, Data_All!$A$8:$CA$153, MATCH(AE$2, Data_All!$B$2:$CA$2, 0)+1), "")</f>
        <v/>
      </c>
      <c r="AF99" s="206" t="str">
        <f>IF(AND($A99&gt;=SYear_O, $A99&lt;=EYear_O, AF$3&gt;0), AF$3 * VLOOKUP($A99, Data_All!$A$8:$CA$153, MATCH(AF$2, Data_All!$B$2:$CA$2, 0)+1), "")</f>
        <v/>
      </c>
      <c r="AG99" s="206" t="str">
        <f>IF(AND($A99&gt;=SYear_O, $A99&lt;=EYear_O, AG$3&gt;0), AG$3 * VLOOKUP($A99, Data_All!$A$8:$CA$153, MATCH(AG$2, Data_All!$B$2:$CA$2, 0)+1), "")</f>
        <v/>
      </c>
      <c r="AH99" s="206" t="str">
        <f>IF(AND($A99&gt;=SYear_O, $A99&lt;=EYear_O, AH$3&gt;0), AH$3 * VLOOKUP($A99, Data_All!$A$8:$CA$153, MATCH(AH$2, Data_All!$B$2:$CA$2, 0)+1), "")</f>
        <v/>
      </c>
      <c r="AI99" s="206" t="str">
        <f>IF(AND($A99&gt;=SYear_O, $A99&lt;=EYear_O, AI$3&gt;0), AI$3 * VLOOKUP($A99, Data_All!$A$8:$CA$153, MATCH(AI$2, Data_All!$B$2:$CA$2, 0)+1), "")</f>
        <v/>
      </c>
      <c r="AJ99" s="206" t="str">
        <f>IF(AND($A99&gt;=SYear_O, $A99&lt;=EYear_O, AJ$3&gt;0), AJ$3 * VLOOKUP($A99, Data_All!$A$8:$CA$153, MATCH(AJ$2, Data_All!$B$2:$CA$2, 0)+1), "")</f>
        <v/>
      </c>
      <c r="AK99" s="206" t="str">
        <f>IF(AND($A99&gt;=SYear_O, $A99&lt;=EYear_O, AK$3&gt;0), AK$3 * VLOOKUP($A99, Data_All!$A$8:$CA$153, MATCH(AK$2, Data_All!$B$2:$CA$2, 0)+1), "")</f>
        <v/>
      </c>
      <c r="AL99" s="206" t="str">
        <f>IF(AND($A99&gt;=SYear_O, $A99&lt;=EYear_O, AL$3&gt;0), AL$3 * VLOOKUP($A99, Data_All!$A$8:$CA$153, MATCH(AL$2, Data_All!$B$2:$CA$2, 0)+1), "")</f>
        <v/>
      </c>
      <c r="AM99" s="206" t="str">
        <f>IF(AND($A99&gt;=SYear_O, $A99&lt;=EYear_O, AM$3&gt;0), AM$3 * VLOOKUP($A99, Data_All!$A$8:$CA$153, MATCH(AM$2, Data_All!$B$2:$CA$2, 0)+1), "")</f>
        <v/>
      </c>
      <c r="AN99" s="206" t="str">
        <f>IF(AND($A99&gt;=SYear_O, $A99&lt;=EYear_O, AN$3&gt;0), AN$3 * VLOOKUP($A99, Data_All!$A$8:$CA$153, MATCH(AN$2, Data_All!$B$2:$CA$2, 0)+1), "")</f>
        <v/>
      </c>
      <c r="AO99" s="206" t="str">
        <f>IF(AND($A99&gt;=SYear_O, $A99&lt;=EYear_O, AO$3&gt;0), AO$3 * VLOOKUP($A99, Data_All!$A$8:$CA$153, MATCH(AO$2, Data_All!$B$2:$CA$2, 0)+1), "")</f>
        <v/>
      </c>
      <c r="AP99" s="206" t="str">
        <f>IF(AND($A99&gt;=SYear_O, $A99&lt;=EYear_O, AP$3&gt;0), AP$3 * VLOOKUP($A99, Data_All!$A$8:$CA$153, MATCH(AP$2, Data_All!$B$2:$CA$2, 0)+1), "")</f>
        <v/>
      </c>
      <c r="AQ99" s="206" t="str">
        <f>IF(AND($A99&gt;=SYear_O, $A99&lt;=EYear_O, AQ$3&gt;0), AQ$3 * VLOOKUP($A99, Data_All!$A$8:$CA$153, MATCH(AQ$2, Data_All!$B$2:$CA$2, 0)+1), "")</f>
        <v/>
      </c>
      <c r="AR99" s="206" t="str">
        <f>IF(AND($A99&gt;=SYear_O, $A99&lt;=EYear_O, AR$3&gt;0), AR$3 * VLOOKUP($A99, Data_All!$A$8:$CA$153, MATCH(AR$2, Data_All!$B$2:$CA$2, 0)+1), "")</f>
        <v/>
      </c>
      <c r="AS99" s="206" t="str">
        <f>IF(AND($A99&gt;=SYear_O, $A99&lt;=EYear_O, AS$3&gt;0), AS$3 * VLOOKUP($A99, Data_All!$A$8:$CA$153, MATCH(AS$2, Data_All!$B$2:$CA$2, 0)+1), "")</f>
        <v/>
      </c>
      <c r="AT99" s="206" t="str">
        <f>IF(AND($A99&gt;=SYear_O, $A99&lt;=EYear_O, AT$3&gt;0), AT$3 * VLOOKUP($A99, Data_All!$A$8:$CA$153, MATCH(AT$2, Data_All!$B$2:$CA$2, 0)+1), "")</f>
        <v/>
      </c>
      <c r="AU99" s="206" t="str">
        <f>IF(AND($A99&gt;=SYear_O, $A99&lt;=EYear_O, AU$3&gt;0), AU$3 * VLOOKUP($A99, Data_All!$A$8:$CA$153, MATCH(AU$2, Data_All!$B$2:$CA$2, 0)+1), "")</f>
        <v/>
      </c>
      <c r="AV99" s="206" t="str">
        <f>IF(AND($A99&gt;=SYear_O, $A99&lt;=EYear_O, AV$3&gt;0), AV$3 * VLOOKUP($A99, Data_All!$A$8:$CA$153, MATCH(AV$2, Data_All!$B$2:$CA$2, 0)+1), "")</f>
        <v/>
      </c>
      <c r="AW99" s="206" t="str">
        <f>IF(AND($A99&gt;=SYear_O, $A99&lt;=EYear_O, AW$3&gt;0), AW$3 * VLOOKUP($A99, Data_All!$A$8:$CA$153, MATCH(AW$2, Data_All!$B$2:$CA$2, 0)+1), "")</f>
        <v/>
      </c>
      <c r="AX99" s="206" t="str">
        <f>IF(AND($A99&gt;=SYear_O, $A99&lt;=EYear_O, AX$3&gt;0), AX$3 * VLOOKUP($A99, Data_All!$A$8:$CA$153, MATCH(AX$2, Data_All!$B$2:$CA$2, 0)+1), "")</f>
        <v/>
      </c>
      <c r="AY99" s="206" t="str">
        <f>IF(AND($A99&gt;=SYear_O, $A99&lt;=EYear_O, AY$3&gt;0), AY$3 * VLOOKUP($A99, Data_All!$A$8:$CA$153, MATCH(AY$2, Data_All!$B$2:$CA$2, 0)+1), "")</f>
        <v/>
      </c>
      <c r="AZ99" s="206" t="str">
        <f>IF(AND($A99&gt;=SYear_O, $A99&lt;=EYear_O, AZ$3&gt;0), AZ$3 * VLOOKUP($A99, Data_All!$A$8:$CA$153, MATCH(AZ$2, Data_All!$B$2:$CA$2, 0)+1), "")</f>
        <v/>
      </c>
      <c r="BA99" s="206" t="str">
        <f>IF(AND($A99&gt;=SYear_O, $A99&lt;=EYear_O, BA$3&gt;0), BA$3 * VLOOKUP($A99, Data_All!$A$8:$CA$153, MATCH(BA$2, Data_All!$B$2:$CA$2, 0)+1), "")</f>
        <v/>
      </c>
      <c r="BB99" s="206" t="str">
        <f>IF(AND($A99&gt;=SYear_O, $A99&lt;=EYear_O, BB$3&gt;0), BB$3 * VLOOKUP($A99, Data_All!$A$8:$CA$153, MATCH(BB$2, Data_All!$B$2:$CA$2, 0)+1), "")</f>
        <v/>
      </c>
      <c r="BC99" s="206" t="str">
        <f>IF(AND($A99&gt;=SYear_O, $A99&lt;=EYear_O, BC$3&gt;0), BC$3 * VLOOKUP($A99, Data_All!$A$8:$CA$153, MATCH(BC$2, Data_All!$B$2:$CA$2, 0)+1), "")</f>
        <v/>
      </c>
      <c r="BD99" s="206" t="str">
        <f>IF(AND($A99&gt;=SYear_O, $A99&lt;=EYear_O, BD$3&gt;0), BD$3 * VLOOKUP($A99, Data_All!$A$8:$CA$153, MATCH(BD$2, Data_All!$B$2:$CA$2, 0)+1), "")</f>
        <v/>
      </c>
      <c r="BE99" s="206" t="str">
        <f>IF(AND($A99&gt;=SYear_O, $A99&lt;=EYear_O, BE$3&gt;0), BE$3 * VLOOKUP($A99, Data_All!$A$8:$CA$153, MATCH(BE$2, Data_All!$B$2:$CA$2, 0)+1), "")</f>
        <v/>
      </c>
      <c r="BF99" s="206" t="str">
        <f>IF(AND($A99&gt;=SYear_O, $A99&lt;=EYear_O, BF$3&gt;0), BF$3 * VLOOKUP($A99, Data_All!$A$8:$CA$153, MATCH(BF$2, Data_All!$B$2:$CA$2, 0)+1), "")</f>
        <v/>
      </c>
      <c r="BG99" s="206" t="str">
        <f>IF(AND($A99&gt;=SYear_O, $A99&lt;=EYear_O, BG$3&gt;0), BG$3 * VLOOKUP($A99, Data_All!$A$8:$CA$153, MATCH(BG$2, Data_All!$B$2:$CA$2, 0)+1), "")</f>
        <v/>
      </c>
      <c r="BH99" s="206" t="str">
        <f>IF(AND($A99&gt;=SYear_O, $A99&lt;=EYear_O, BH$3&gt;0), BH$3 * VLOOKUP($A99, Data_All!$A$8:$CA$153, MATCH(BH$2, Data_All!$B$2:$CA$2, 0)+1), "")</f>
        <v/>
      </c>
      <c r="BI99" s="206" t="str">
        <f>IF(AND($A99&gt;=SYear_O, $A99&lt;=EYear_O, BI$3&gt;0), BI$3 * VLOOKUP($A99, Data_All!$A$8:$CA$153, MATCH(BI$2, Data_All!$B$2:$CA$2, 0)+1), "")</f>
        <v/>
      </c>
      <c r="BJ99" s="206" t="str">
        <f>IF(AND($A99&gt;=SYear_O, $A99&lt;=EYear_O, BJ$3&gt;0), BJ$3 * VLOOKUP($A99, Data_All!$A$8:$CA$153, MATCH(BJ$2, Data_All!$B$2:$CA$2, 0)+1), "")</f>
        <v/>
      </c>
      <c r="BK99" s="206" t="str">
        <f>IF(AND($A99&gt;=SYear_O, $A99&lt;=EYear_O, BK$3&gt;0), BK$3 * VLOOKUP($A99, Data_All!$A$8:$CA$153, MATCH(BK$2, Data_All!$B$2:$CA$2, 0)+1), "")</f>
        <v/>
      </c>
      <c r="BL99" s="206" t="str">
        <f>IF(AND($A99&gt;=SYear_O, $A99&lt;=EYear_O, BL$3&gt;0), BL$3 * VLOOKUP($A99, Data_All!$A$8:$CA$153, MATCH(BL$2, Data_All!$B$2:$CA$2, 0)+1), "")</f>
        <v/>
      </c>
      <c r="BM99" s="206" t="str">
        <f>IF(AND($A99&gt;=SYear_O, $A99&lt;=EYear_O, BM$3&gt;0), BM$3 * VLOOKUP($A99, Data_All!$A$8:$CA$153, MATCH(BM$2, Data_All!$B$2:$CA$2, 0)+1), "")</f>
        <v/>
      </c>
      <c r="BN99" s="206" t="str">
        <f>IF(AND($A99&gt;=SYear_O, $A99&lt;=EYear_O, BN$3&gt;0), BN$3 * VLOOKUP($A99, Data_All!$A$8:$CA$153, MATCH(BN$2, Data_All!$B$2:$CA$2, 0)+1), "")</f>
        <v/>
      </c>
      <c r="BO99" s="206" t="str">
        <f>IF(AND($A99&gt;=SYear_O, $A99&lt;=EYear_O, BO$3&gt;0), BO$3 * VLOOKUP($A99, Data_All!$A$8:$CA$153, MATCH(BO$2, Data_All!$B$2:$CA$2, 0)+1), "")</f>
        <v/>
      </c>
      <c r="BP99" s="206" t="str">
        <f>IF(AND($A99&gt;=SYear_O, $A99&lt;=EYear_O, BP$3&gt;0), BP$3 * VLOOKUP($A99, Data_All!$A$8:$CA$153, MATCH(BP$2, Data_All!$B$2:$CA$2, 0)+1), "")</f>
        <v/>
      </c>
      <c r="BQ99" s="206" t="str">
        <f>IF(AND($A99&gt;=SYear_O, $A99&lt;=EYear_O, BQ$3&gt;0), BQ$3 * VLOOKUP($A99, Data_All!$A$8:$CA$153, MATCH(BQ$2, Data_All!$B$2:$CA$2, 0)+1), "")</f>
        <v/>
      </c>
      <c r="BR99" s="206" t="str">
        <f>IF(AND($A99&gt;=SYear_O, $A99&lt;=EYear_O, BR$3&gt;0), BR$3 * VLOOKUP($A99, Data_All!$A$8:$CA$153, MATCH(BR$2, Data_All!$B$2:$CA$2, 0)+1), "")</f>
        <v/>
      </c>
      <c r="BS99" s="206" t="str">
        <f>IF(AND($A99&gt;=SYear_O, $A99&lt;=EYear_O, BS$3&gt;0), BS$3 * VLOOKUP($A99, Data_All!$A$8:$CA$153, MATCH(BS$2, Data_All!$B$2:$CA$2, 0)+1), "")</f>
        <v/>
      </c>
      <c r="BT99" s="206" t="str">
        <f>IF(AND($A99&gt;=SYear_O, $A99&lt;=EYear_O, BT$3&gt;0), BT$3 * VLOOKUP($A99, Data_All!$A$8:$CA$153, MATCH(BT$2, Data_All!$B$2:$CA$2, 0)+1), "")</f>
        <v/>
      </c>
      <c r="BU99" s="206" t="str">
        <f>IF(AND($A99&gt;=SYear_O, $A99&lt;=EYear_O, BU$3&gt;0), BU$3 * VLOOKUP($A99, Data_All!$A$8:$CA$153, MATCH(BU$2, Data_All!$B$2:$CA$2, 0)+1), "")</f>
        <v/>
      </c>
      <c r="BV99" s="206" t="str">
        <f>IF(AND($A99&gt;=SYear_O, $A99&lt;=EYear_O, BV$3&gt;0), BV$3 * VLOOKUP($A99, Data_All!$A$8:$CA$153, MATCH(BV$2, Data_All!$B$2:$CA$2, 0)+1), "")</f>
        <v/>
      </c>
      <c r="BW99" s="206" t="str">
        <f>IF(AND($A99&gt;=SYear_O, $A99&lt;=EYear_O, BW$3&gt;0), BW$3 * VLOOKUP($A99, Data_All!$A$8:$CA$153, MATCH(BW$2, Data_All!$B$2:$CA$2, 0)+1), "")</f>
        <v/>
      </c>
      <c r="BX99" s="206">
        <f>IF(AND($A99&gt;=SYear_O, $A99&lt;=EYear_O, BX$3&gt;0), BX$3 * VLOOKUP($A99, Data_All!$A$8:$CA$153, MATCH(BX$2, Data_All!$B$2:$CA$2, 0)+1), "")</f>
        <v>12.606824469720266</v>
      </c>
      <c r="BY99" s="206">
        <f>IF(AND($A99&gt;=SYear_O, $A99&lt;=EYear_O, BY$3&gt;0), BY$3 * VLOOKUP($A99, Data_All!$A$8:$CA$153, MATCH(BY$2, Data_All!$B$2:$CA$2, 0)+1), "")</f>
        <v>0.72091709711783025</v>
      </c>
      <c r="BZ99" s="206" t="str">
        <f>IF(AND($A99&gt;=SYear_O, $A99&lt;=EYear_O, BZ$3&gt;0), BZ$3 * VLOOKUP($A99, Data_All!$A$8:$CA$153, MATCH(BZ$2, Data_All!$B$2:$CA$2, 0)+1), "")</f>
        <v/>
      </c>
      <c r="CA99" s="565">
        <f t="shared" si="35"/>
        <v>13.327741566838096</v>
      </c>
      <c r="CB99" s="427">
        <f t="shared" si="36"/>
        <v>4936616.7503265999</v>
      </c>
      <c r="CC99" s="565">
        <f>IF(AND($A99&gt;=SYear_O,$A99&lt;=EYear_O),(CA99-Data_All!CA100)/(1+Data_All!CA100%),"")</f>
        <v>11.493959340837478</v>
      </c>
      <c r="CD99" s="436">
        <f t="shared" si="37"/>
        <v>1991271.5957829293</v>
      </c>
      <c r="CE99" s="438">
        <f t="shared" si="38"/>
        <v>447.74738133742562</v>
      </c>
      <c r="CF99" s="438">
        <f>IF(AND($A99&gt;=SYear_O,$A99&lt;=EYear_O),MAX($CE$7:CE99),"")</f>
        <v>447.74738133742562</v>
      </c>
      <c r="CG99" s="209">
        <f t="shared" si="39"/>
        <v>0</v>
      </c>
      <c r="CI99" s="143">
        <f>IF(AND($A99&gt;=SYear_O,$A99&lt;=EYear_O),Data_All!V100,"")</f>
        <v>2.947347387351384</v>
      </c>
      <c r="CJ99" s="143">
        <f>IF(AND($A99&gt;=SYear_O,$A99&lt;=EYear_O),Data_All!CA100,"")</f>
        <v>1.6447368421052655</v>
      </c>
      <c r="CK99" s="143">
        <f t="shared" si="40"/>
        <v>1.2815327047081555</v>
      </c>
      <c r="CN99" s="61">
        <f t="shared" si="41"/>
        <v>0.13327741566838092</v>
      </c>
      <c r="CO99" s="61">
        <f t="shared" si="42"/>
        <v>0.10619533950227411</v>
      </c>
      <c r="CP99" s="61">
        <f t="shared" si="43"/>
        <v>7.8723327721263781E-2</v>
      </c>
      <c r="CQ99" s="61">
        <f t="shared" si="44"/>
        <v>7.4296691404122983E-2</v>
      </c>
      <c r="CR99" s="61">
        <f t="shared" si="45"/>
        <v>5.622144944482943E-2</v>
      </c>
      <c r="CU99" s="61">
        <f t="shared" si="46"/>
        <v>0.11493959340837478</v>
      </c>
      <c r="CV99" s="61">
        <f t="shared" si="47"/>
        <v>8.9717634439400173E-2</v>
      </c>
      <c r="CW99" s="61">
        <f t="shared" si="48"/>
        <v>5.4226457930884653E-2</v>
      </c>
      <c r="CX99" s="61">
        <f t="shared" si="49"/>
        <v>3.8897505677244482E-2</v>
      </c>
      <c r="CY99" s="61">
        <f t="shared" si="50"/>
        <v>7.1027495600519686E-3</v>
      </c>
    </row>
    <row r="100" spans="1:103">
      <c r="A100" s="204">
        <f t="shared" si="51"/>
        <v>1964</v>
      </c>
      <c r="B100" s="206" t="str">
        <f>IF(AND($A100&gt;=SYear_O, $A100&lt;=EYear_O, B$3&gt;0), B$3 * VLOOKUP($A100, Data_All!$A$8:$CA$153, MATCH(B$2, Data_All!$B$2:$CA$2, 0)+1), "")</f>
        <v/>
      </c>
      <c r="C100" s="206" t="str">
        <f>IF(AND($A100&gt;=SYear_O, $A100&lt;=EYear_O, C$3&gt;0), C$3 * VLOOKUP($A100, Data_All!$A$8:$CA$153, MATCH(C$2, Data_All!$B$2:$CA$2, 0)+1), "")</f>
        <v/>
      </c>
      <c r="D100" s="206" t="str">
        <f>IF(AND($A100&gt;=SYear_O, $A100&lt;=EYear_O, D$3&gt;0), D$3 * VLOOKUP($A100, Data_All!$A$8:$CA$153, MATCH(D$2, Data_All!$B$2:$CA$2, 0)+1), "")</f>
        <v/>
      </c>
      <c r="E100" s="206" t="str">
        <f>IF(AND($A100&gt;=SYear_O, $A100&lt;=EYear_O, E$3&gt;0), E$3 * VLOOKUP($A100, Data_All!$A$8:$CA$153, MATCH(E$2, Data_All!$B$2:$CA$2, 0)+1), "")</f>
        <v/>
      </c>
      <c r="F100" s="206" t="str">
        <f>IF(AND($A100&gt;=SYear_O, $A100&lt;=EYear_O, F$3&gt;0), F$3 * VLOOKUP($A100, Data_All!$A$8:$CA$153, MATCH(F$2, Data_All!$B$2:$CA$2, 0)+1), "")</f>
        <v/>
      </c>
      <c r="G100" s="206" t="str">
        <f>IF(AND($A100&gt;=SYear_O, $A100&lt;=EYear_O, G$3&gt;0), G$3 * VLOOKUP($A100, Data_All!$A$8:$CA$153, MATCH(G$2, Data_All!$B$2:$CA$2, 0)+1), "")</f>
        <v/>
      </c>
      <c r="H100" s="206" t="str">
        <f>IF(AND($A100&gt;=SYear_O, $A100&lt;=EYear_O, H$3&gt;0), H$3 * VLOOKUP($A100, Data_All!$A$8:$CA$153, MATCH(H$2, Data_All!$B$2:$CA$2, 0)+1), "")</f>
        <v/>
      </c>
      <c r="I100" s="206" t="str">
        <f>IF(AND($A100&gt;=SYear_O, $A100&lt;=EYear_O, I$3&gt;0), I$3 * VLOOKUP($A100, Data_All!$A$8:$CA$153, MATCH(I$2, Data_All!$B$2:$CA$2, 0)+1), "")</f>
        <v/>
      </c>
      <c r="J100" s="206" t="str">
        <f>IF(AND($A100&gt;=SYear_O, $A100&lt;=EYear_O, J$3&gt;0), J$3 * VLOOKUP($A100, Data_All!$A$8:$CA$153, MATCH(J$2, Data_All!$B$2:$CA$2, 0)+1), "")</f>
        <v/>
      </c>
      <c r="K100" s="206" t="str">
        <f>IF(AND($A100&gt;=SYear_O, $A100&lt;=EYear_O, K$3&gt;0), K$3 * VLOOKUP($A100, Data_All!$A$8:$CA$153, MATCH(K$2, Data_All!$B$2:$CA$2, 0)+1), "")</f>
        <v/>
      </c>
      <c r="L100" s="206" t="str">
        <f>IF(AND($A100&gt;=SYear_O, $A100&lt;=EYear_O, L$3&gt;0), L$3 * VLOOKUP($A100, Data_All!$A$8:$CA$153, MATCH(L$2, Data_All!$B$2:$CA$2, 0)+1), "")</f>
        <v/>
      </c>
      <c r="M100" s="206" t="str">
        <f>IF(AND($A100&gt;=SYear_O, $A100&lt;=EYear_O, M$3&gt;0), M$3 * VLOOKUP($A100, Data_All!$A$8:$CA$153, MATCH(M$2, Data_All!$B$2:$CA$2, 0)+1), "")</f>
        <v/>
      </c>
      <c r="N100" s="206" t="str">
        <f>IF(AND($A100&gt;=SYear_O, $A100&lt;=EYear_O, N$3&gt;0), N$3 * VLOOKUP($A100, Data_All!$A$8:$CA$153, MATCH(N$2, Data_All!$B$2:$CA$2, 0)+1), "")</f>
        <v/>
      </c>
      <c r="O100" s="206" t="str">
        <f>IF(AND($A100&gt;=SYear_O, $A100&lt;=EYear_O, O$3&gt;0), O$3 * VLOOKUP($A100, Data_All!$A$8:$CA$153, MATCH(O$2, Data_All!$B$2:$CA$2, 0)+1), "")</f>
        <v/>
      </c>
      <c r="P100" s="206" t="str">
        <f>IF(AND($A100&gt;=SYear_O, $A100&lt;=EYear_O, P$3&gt;0), P$3 * VLOOKUP($A100, Data_All!$A$8:$CA$153, MATCH(P$2, Data_All!$B$2:$CA$2, 0)+1), "")</f>
        <v/>
      </c>
      <c r="Q100" s="206" t="str">
        <f>IF(AND($A100&gt;=SYear_O, $A100&lt;=EYear_O, Q$3&gt;0), Q$3 * VLOOKUP($A100, Data_All!$A$8:$CA$153, MATCH(Q$2, Data_All!$B$2:$CA$2, 0)+1), "")</f>
        <v/>
      </c>
      <c r="R100" s="206" t="str">
        <f>IF(AND($A100&gt;=SYear_O, $A100&lt;=EYear_O, R$3&gt;0), R$3 * VLOOKUP($A100, Data_All!$A$8:$CA$153, MATCH(R$2, Data_All!$B$2:$CA$2, 0)+1), "")</f>
        <v/>
      </c>
      <c r="S100" s="206" t="str">
        <f>IF(AND($A100&gt;=SYear_O, $A100&lt;=EYear_O, S$3&gt;0), S$3 * VLOOKUP($A100, Data_All!$A$8:$CA$153, MATCH(S$2, Data_All!$B$2:$CA$2, 0)+1), "")</f>
        <v/>
      </c>
      <c r="T100" s="206" t="str">
        <f>IF(AND($A100&gt;=SYear_O, $A100&lt;=EYear_O, T$3&gt;0), T$3 * VLOOKUP($A100, Data_All!$A$8:$CA$153, MATCH(T$2, Data_All!$B$2:$CA$2, 0)+1), "")</f>
        <v/>
      </c>
      <c r="U100" s="206" t="str">
        <f>IF(AND($A100&gt;=SYear_O, $A100&lt;=EYear_O, U$3&gt;0), U$3 * VLOOKUP($A100, Data_All!$A$8:$CA$153, MATCH(U$2, Data_All!$B$2:$CA$2, 0)+1), "")</f>
        <v/>
      </c>
      <c r="V100" s="206" t="str">
        <f>IF(AND($A100&gt;=SYear_O, $A100&lt;=EYear_O, V$3&gt;0), V$3 * VLOOKUP($A100, Data_All!$A$8:$CA$153, MATCH(V$2, Data_All!$B$2:$CA$2, 0)+1), "")</f>
        <v/>
      </c>
      <c r="W100" s="206" t="str">
        <f>IF(AND($A100&gt;=SYear_O, $A100&lt;=EYear_O, W$3&gt;0), W$3 * VLOOKUP($A100, Data_All!$A$8:$CA$153, MATCH(W$2, Data_All!$B$2:$CA$2, 0)+1), "")</f>
        <v/>
      </c>
      <c r="X100" s="206" t="str">
        <f>IF(AND($A100&gt;=SYear_O, $A100&lt;=EYear_O, X$3&gt;0), X$3 * VLOOKUP($A100, Data_All!$A$8:$CA$153, MATCH(X$2, Data_All!$B$2:$CA$2, 0)+1), "")</f>
        <v/>
      </c>
      <c r="Y100" s="206" t="str">
        <f>IF(AND($A100&gt;=SYear_O, $A100&lt;=EYear_O, Y$3&gt;0), Y$3 * VLOOKUP($A100, Data_All!$A$8:$CA$153, MATCH(Y$2, Data_All!$B$2:$CA$2, 0)+1), "")</f>
        <v/>
      </c>
      <c r="Z100" s="206" t="str">
        <f>IF(AND($A100&gt;=SYear_O, $A100&lt;=EYear_O, Z$3&gt;0), Z$3 * VLOOKUP($A100, Data_All!$A$8:$CA$153, MATCH(Z$2, Data_All!$B$2:$CA$2, 0)+1), "")</f>
        <v/>
      </c>
      <c r="AA100" s="206" t="str">
        <f>IF(AND($A100&gt;=SYear_O, $A100&lt;=EYear_O, AA$3&gt;0), AA$3 * VLOOKUP($A100, Data_All!$A$8:$CA$153, MATCH(AA$2, Data_All!$B$2:$CA$2, 0)+1), "")</f>
        <v/>
      </c>
      <c r="AB100" s="206" t="str">
        <f>IF(AND($A100&gt;=SYear_O, $A100&lt;=EYear_O, AB$3&gt;0), AB$3 * VLOOKUP($A100, Data_All!$A$8:$CA$153, MATCH(AB$2, Data_All!$B$2:$CA$2, 0)+1), "")</f>
        <v/>
      </c>
      <c r="AC100" s="206" t="str">
        <f>IF(AND($A100&gt;=SYear_O, $A100&lt;=EYear_O, AC$3&gt;0), AC$3 * VLOOKUP($A100, Data_All!$A$8:$CA$153, MATCH(AC$2, Data_All!$B$2:$CA$2, 0)+1), "")</f>
        <v/>
      </c>
      <c r="AD100" s="206" t="str">
        <f>IF(AND($A100&gt;=SYear_O, $A100&lt;=EYear_O, AD$3&gt;0), AD$3 * VLOOKUP($A100, Data_All!$A$8:$CA$153, MATCH(AD$2, Data_All!$B$2:$CA$2, 0)+1), "")</f>
        <v/>
      </c>
      <c r="AE100" s="206" t="str">
        <f>IF(AND($A100&gt;=SYear_O, $A100&lt;=EYear_O, AE$3&gt;0), AE$3 * VLOOKUP($A100, Data_All!$A$8:$CA$153, MATCH(AE$2, Data_All!$B$2:$CA$2, 0)+1), "")</f>
        <v/>
      </c>
      <c r="AF100" s="206" t="str">
        <f>IF(AND($A100&gt;=SYear_O, $A100&lt;=EYear_O, AF$3&gt;0), AF$3 * VLOOKUP($A100, Data_All!$A$8:$CA$153, MATCH(AF$2, Data_All!$B$2:$CA$2, 0)+1), "")</f>
        <v/>
      </c>
      <c r="AG100" s="206" t="str">
        <f>IF(AND($A100&gt;=SYear_O, $A100&lt;=EYear_O, AG$3&gt;0), AG$3 * VLOOKUP($A100, Data_All!$A$8:$CA$153, MATCH(AG$2, Data_All!$B$2:$CA$2, 0)+1), "")</f>
        <v/>
      </c>
      <c r="AH100" s="206" t="str">
        <f>IF(AND($A100&gt;=SYear_O, $A100&lt;=EYear_O, AH$3&gt;0), AH$3 * VLOOKUP($A100, Data_All!$A$8:$CA$153, MATCH(AH$2, Data_All!$B$2:$CA$2, 0)+1), "")</f>
        <v/>
      </c>
      <c r="AI100" s="206" t="str">
        <f>IF(AND($A100&gt;=SYear_O, $A100&lt;=EYear_O, AI$3&gt;0), AI$3 * VLOOKUP($A100, Data_All!$A$8:$CA$153, MATCH(AI$2, Data_All!$B$2:$CA$2, 0)+1), "")</f>
        <v/>
      </c>
      <c r="AJ100" s="206" t="str">
        <f>IF(AND($A100&gt;=SYear_O, $A100&lt;=EYear_O, AJ$3&gt;0), AJ$3 * VLOOKUP($A100, Data_All!$A$8:$CA$153, MATCH(AJ$2, Data_All!$B$2:$CA$2, 0)+1), "")</f>
        <v/>
      </c>
      <c r="AK100" s="206" t="str">
        <f>IF(AND($A100&gt;=SYear_O, $A100&lt;=EYear_O, AK$3&gt;0), AK$3 * VLOOKUP($A100, Data_All!$A$8:$CA$153, MATCH(AK$2, Data_All!$B$2:$CA$2, 0)+1), "")</f>
        <v/>
      </c>
      <c r="AL100" s="206" t="str">
        <f>IF(AND($A100&gt;=SYear_O, $A100&lt;=EYear_O, AL$3&gt;0), AL$3 * VLOOKUP($A100, Data_All!$A$8:$CA$153, MATCH(AL$2, Data_All!$B$2:$CA$2, 0)+1), "")</f>
        <v/>
      </c>
      <c r="AM100" s="206" t="str">
        <f>IF(AND($A100&gt;=SYear_O, $A100&lt;=EYear_O, AM$3&gt;0), AM$3 * VLOOKUP($A100, Data_All!$A$8:$CA$153, MATCH(AM$2, Data_All!$B$2:$CA$2, 0)+1), "")</f>
        <v/>
      </c>
      <c r="AN100" s="206" t="str">
        <f>IF(AND($A100&gt;=SYear_O, $A100&lt;=EYear_O, AN$3&gt;0), AN$3 * VLOOKUP($A100, Data_All!$A$8:$CA$153, MATCH(AN$2, Data_All!$B$2:$CA$2, 0)+1), "")</f>
        <v/>
      </c>
      <c r="AO100" s="206" t="str">
        <f>IF(AND($A100&gt;=SYear_O, $A100&lt;=EYear_O, AO$3&gt;0), AO$3 * VLOOKUP($A100, Data_All!$A$8:$CA$153, MATCH(AO$2, Data_All!$B$2:$CA$2, 0)+1), "")</f>
        <v/>
      </c>
      <c r="AP100" s="206" t="str">
        <f>IF(AND($A100&gt;=SYear_O, $A100&lt;=EYear_O, AP$3&gt;0), AP$3 * VLOOKUP($A100, Data_All!$A$8:$CA$153, MATCH(AP$2, Data_All!$B$2:$CA$2, 0)+1), "")</f>
        <v/>
      </c>
      <c r="AQ100" s="206" t="str">
        <f>IF(AND($A100&gt;=SYear_O, $A100&lt;=EYear_O, AQ$3&gt;0), AQ$3 * VLOOKUP($A100, Data_All!$A$8:$CA$153, MATCH(AQ$2, Data_All!$B$2:$CA$2, 0)+1), "")</f>
        <v/>
      </c>
      <c r="AR100" s="206" t="str">
        <f>IF(AND($A100&gt;=SYear_O, $A100&lt;=EYear_O, AR$3&gt;0), AR$3 * VLOOKUP($A100, Data_All!$A$8:$CA$153, MATCH(AR$2, Data_All!$B$2:$CA$2, 0)+1), "")</f>
        <v/>
      </c>
      <c r="AS100" s="206" t="str">
        <f>IF(AND($A100&gt;=SYear_O, $A100&lt;=EYear_O, AS$3&gt;0), AS$3 * VLOOKUP($A100, Data_All!$A$8:$CA$153, MATCH(AS$2, Data_All!$B$2:$CA$2, 0)+1), "")</f>
        <v/>
      </c>
      <c r="AT100" s="206" t="str">
        <f>IF(AND($A100&gt;=SYear_O, $A100&lt;=EYear_O, AT$3&gt;0), AT$3 * VLOOKUP($A100, Data_All!$A$8:$CA$153, MATCH(AT$2, Data_All!$B$2:$CA$2, 0)+1), "")</f>
        <v/>
      </c>
      <c r="AU100" s="206" t="str">
        <f>IF(AND($A100&gt;=SYear_O, $A100&lt;=EYear_O, AU$3&gt;0), AU$3 * VLOOKUP($A100, Data_All!$A$8:$CA$153, MATCH(AU$2, Data_All!$B$2:$CA$2, 0)+1), "")</f>
        <v/>
      </c>
      <c r="AV100" s="206" t="str">
        <f>IF(AND($A100&gt;=SYear_O, $A100&lt;=EYear_O, AV$3&gt;0), AV$3 * VLOOKUP($A100, Data_All!$A$8:$CA$153, MATCH(AV$2, Data_All!$B$2:$CA$2, 0)+1), "")</f>
        <v/>
      </c>
      <c r="AW100" s="206" t="str">
        <f>IF(AND($A100&gt;=SYear_O, $A100&lt;=EYear_O, AW$3&gt;0), AW$3 * VLOOKUP($A100, Data_All!$A$8:$CA$153, MATCH(AW$2, Data_All!$B$2:$CA$2, 0)+1), "")</f>
        <v/>
      </c>
      <c r="AX100" s="206" t="str">
        <f>IF(AND($A100&gt;=SYear_O, $A100&lt;=EYear_O, AX$3&gt;0), AX$3 * VLOOKUP($A100, Data_All!$A$8:$CA$153, MATCH(AX$2, Data_All!$B$2:$CA$2, 0)+1), "")</f>
        <v/>
      </c>
      <c r="AY100" s="206" t="str">
        <f>IF(AND($A100&gt;=SYear_O, $A100&lt;=EYear_O, AY$3&gt;0), AY$3 * VLOOKUP($A100, Data_All!$A$8:$CA$153, MATCH(AY$2, Data_All!$B$2:$CA$2, 0)+1), "")</f>
        <v/>
      </c>
      <c r="AZ100" s="206" t="str">
        <f>IF(AND($A100&gt;=SYear_O, $A100&lt;=EYear_O, AZ$3&gt;0), AZ$3 * VLOOKUP($A100, Data_All!$A$8:$CA$153, MATCH(AZ$2, Data_All!$B$2:$CA$2, 0)+1), "")</f>
        <v/>
      </c>
      <c r="BA100" s="206" t="str">
        <f>IF(AND($A100&gt;=SYear_O, $A100&lt;=EYear_O, BA$3&gt;0), BA$3 * VLOOKUP($A100, Data_All!$A$8:$CA$153, MATCH(BA$2, Data_All!$B$2:$CA$2, 0)+1), "")</f>
        <v/>
      </c>
      <c r="BB100" s="206" t="str">
        <f>IF(AND($A100&gt;=SYear_O, $A100&lt;=EYear_O, BB$3&gt;0), BB$3 * VLOOKUP($A100, Data_All!$A$8:$CA$153, MATCH(BB$2, Data_All!$B$2:$CA$2, 0)+1), "")</f>
        <v/>
      </c>
      <c r="BC100" s="206" t="str">
        <f>IF(AND($A100&gt;=SYear_O, $A100&lt;=EYear_O, BC$3&gt;0), BC$3 * VLOOKUP($A100, Data_All!$A$8:$CA$153, MATCH(BC$2, Data_All!$B$2:$CA$2, 0)+1), "")</f>
        <v/>
      </c>
      <c r="BD100" s="206" t="str">
        <f>IF(AND($A100&gt;=SYear_O, $A100&lt;=EYear_O, BD$3&gt;0), BD$3 * VLOOKUP($A100, Data_All!$A$8:$CA$153, MATCH(BD$2, Data_All!$B$2:$CA$2, 0)+1), "")</f>
        <v/>
      </c>
      <c r="BE100" s="206" t="str">
        <f>IF(AND($A100&gt;=SYear_O, $A100&lt;=EYear_O, BE$3&gt;0), BE$3 * VLOOKUP($A100, Data_All!$A$8:$CA$153, MATCH(BE$2, Data_All!$B$2:$CA$2, 0)+1), "")</f>
        <v/>
      </c>
      <c r="BF100" s="206" t="str">
        <f>IF(AND($A100&gt;=SYear_O, $A100&lt;=EYear_O, BF$3&gt;0), BF$3 * VLOOKUP($A100, Data_All!$A$8:$CA$153, MATCH(BF$2, Data_All!$B$2:$CA$2, 0)+1), "")</f>
        <v/>
      </c>
      <c r="BG100" s="206" t="str">
        <f>IF(AND($A100&gt;=SYear_O, $A100&lt;=EYear_O, BG$3&gt;0), BG$3 * VLOOKUP($A100, Data_All!$A$8:$CA$153, MATCH(BG$2, Data_All!$B$2:$CA$2, 0)+1), "")</f>
        <v/>
      </c>
      <c r="BH100" s="206" t="str">
        <f>IF(AND($A100&gt;=SYear_O, $A100&lt;=EYear_O, BH$3&gt;0), BH$3 * VLOOKUP($A100, Data_All!$A$8:$CA$153, MATCH(BH$2, Data_All!$B$2:$CA$2, 0)+1), "")</f>
        <v/>
      </c>
      <c r="BI100" s="206" t="str">
        <f>IF(AND($A100&gt;=SYear_O, $A100&lt;=EYear_O, BI$3&gt;0), BI$3 * VLOOKUP($A100, Data_All!$A$8:$CA$153, MATCH(BI$2, Data_All!$B$2:$CA$2, 0)+1), "")</f>
        <v/>
      </c>
      <c r="BJ100" s="206" t="str">
        <f>IF(AND($A100&gt;=SYear_O, $A100&lt;=EYear_O, BJ$3&gt;0), BJ$3 * VLOOKUP($A100, Data_All!$A$8:$CA$153, MATCH(BJ$2, Data_All!$B$2:$CA$2, 0)+1), "")</f>
        <v/>
      </c>
      <c r="BK100" s="206" t="str">
        <f>IF(AND($A100&gt;=SYear_O, $A100&lt;=EYear_O, BK$3&gt;0), BK$3 * VLOOKUP($A100, Data_All!$A$8:$CA$153, MATCH(BK$2, Data_All!$B$2:$CA$2, 0)+1), "")</f>
        <v/>
      </c>
      <c r="BL100" s="206" t="str">
        <f>IF(AND($A100&gt;=SYear_O, $A100&lt;=EYear_O, BL$3&gt;0), BL$3 * VLOOKUP($A100, Data_All!$A$8:$CA$153, MATCH(BL$2, Data_All!$B$2:$CA$2, 0)+1), "")</f>
        <v/>
      </c>
      <c r="BM100" s="206" t="str">
        <f>IF(AND($A100&gt;=SYear_O, $A100&lt;=EYear_O, BM$3&gt;0), BM$3 * VLOOKUP($A100, Data_All!$A$8:$CA$153, MATCH(BM$2, Data_All!$B$2:$CA$2, 0)+1), "")</f>
        <v/>
      </c>
      <c r="BN100" s="206" t="str">
        <f>IF(AND($A100&gt;=SYear_O, $A100&lt;=EYear_O, BN$3&gt;0), BN$3 * VLOOKUP($A100, Data_All!$A$8:$CA$153, MATCH(BN$2, Data_All!$B$2:$CA$2, 0)+1), "")</f>
        <v/>
      </c>
      <c r="BO100" s="206" t="str">
        <f>IF(AND($A100&gt;=SYear_O, $A100&lt;=EYear_O, BO$3&gt;0), BO$3 * VLOOKUP($A100, Data_All!$A$8:$CA$153, MATCH(BO$2, Data_All!$B$2:$CA$2, 0)+1), "")</f>
        <v/>
      </c>
      <c r="BP100" s="206" t="str">
        <f>IF(AND($A100&gt;=SYear_O, $A100&lt;=EYear_O, BP$3&gt;0), BP$3 * VLOOKUP($A100, Data_All!$A$8:$CA$153, MATCH(BP$2, Data_All!$B$2:$CA$2, 0)+1), "")</f>
        <v/>
      </c>
      <c r="BQ100" s="206" t="str">
        <f>IF(AND($A100&gt;=SYear_O, $A100&lt;=EYear_O, BQ$3&gt;0), BQ$3 * VLOOKUP($A100, Data_All!$A$8:$CA$153, MATCH(BQ$2, Data_All!$B$2:$CA$2, 0)+1), "")</f>
        <v/>
      </c>
      <c r="BR100" s="206" t="str">
        <f>IF(AND($A100&gt;=SYear_O, $A100&lt;=EYear_O, BR$3&gt;0), BR$3 * VLOOKUP($A100, Data_All!$A$8:$CA$153, MATCH(BR$2, Data_All!$B$2:$CA$2, 0)+1), "")</f>
        <v/>
      </c>
      <c r="BS100" s="206" t="str">
        <f>IF(AND($A100&gt;=SYear_O, $A100&lt;=EYear_O, BS$3&gt;0), BS$3 * VLOOKUP($A100, Data_All!$A$8:$CA$153, MATCH(BS$2, Data_All!$B$2:$CA$2, 0)+1), "")</f>
        <v/>
      </c>
      <c r="BT100" s="206" t="str">
        <f>IF(AND($A100&gt;=SYear_O, $A100&lt;=EYear_O, BT$3&gt;0), BT$3 * VLOOKUP($A100, Data_All!$A$8:$CA$153, MATCH(BT$2, Data_All!$B$2:$CA$2, 0)+1), "")</f>
        <v/>
      </c>
      <c r="BU100" s="206" t="str">
        <f>IF(AND($A100&gt;=SYear_O, $A100&lt;=EYear_O, BU$3&gt;0), BU$3 * VLOOKUP($A100, Data_All!$A$8:$CA$153, MATCH(BU$2, Data_All!$B$2:$CA$2, 0)+1), "")</f>
        <v/>
      </c>
      <c r="BV100" s="206" t="str">
        <f>IF(AND($A100&gt;=SYear_O, $A100&lt;=EYear_O, BV$3&gt;0), BV$3 * VLOOKUP($A100, Data_All!$A$8:$CA$153, MATCH(BV$2, Data_All!$B$2:$CA$2, 0)+1), "")</f>
        <v/>
      </c>
      <c r="BW100" s="206" t="str">
        <f>IF(AND($A100&gt;=SYear_O, $A100&lt;=EYear_O, BW$3&gt;0), BW$3 * VLOOKUP($A100, Data_All!$A$8:$CA$153, MATCH(BW$2, Data_All!$B$2:$CA$2, 0)+1), "")</f>
        <v/>
      </c>
      <c r="BX100" s="206">
        <f>IF(AND($A100&gt;=SYear_O, $A100&lt;=EYear_O, BX$3&gt;0), BX$3 * VLOOKUP($A100, Data_All!$A$8:$CA$153, MATCH(BX$2, Data_All!$B$2:$CA$2, 0)+1), "")</f>
        <v>9.551340745585355</v>
      </c>
      <c r="BY100" s="206">
        <f>IF(AND($A100&gt;=SYear_O, $A100&lt;=EYear_O, BY$3&gt;0), BY$3 * VLOOKUP($A100, Data_All!$A$8:$CA$153, MATCH(BY$2, Data_All!$B$2:$CA$2, 0)+1), "")</f>
        <v>1.634160763281578</v>
      </c>
      <c r="BZ100" s="206" t="str">
        <f>IF(AND($A100&gt;=SYear_O, $A100&lt;=EYear_O, BZ$3&gt;0), BZ$3 * VLOOKUP($A100, Data_All!$A$8:$CA$153, MATCH(BZ$2, Data_All!$B$2:$CA$2, 0)+1), "")</f>
        <v/>
      </c>
      <c r="CA100" s="565">
        <f t="shared" si="35"/>
        <v>11.185501508866933</v>
      </c>
      <c r="CB100" s="427">
        <f t="shared" si="36"/>
        <v>5488802.0914213592</v>
      </c>
      <c r="CC100" s="565">
        <f>IF(AND($A100&gt;=SYear_O,$A100&lt;=EYear_O),(CA100-Data_All!CA101)/(1+Data_All!CA101%),"")</f>
        <v>10.116410148204752</v>
      </c>
      <c r="CD100" s="436">
        <f t="shared" si="37"/>
        <v>2192716.7975770324</v>
      </c>
      <c r="CE100" s="438">
        <f t="shared" si="38"/>
        <v>497.83017143283553</v>
      </c>
      <c r="CF100" s="438">
        <f>IF(AND($A100&gt;=SYear_O,$A100&lt;=EYear_O),MAX($CE$7:CE100),"")</f>
        <v>497.83017143283553</v>
      </c>
      <c r="CG100" s="209">
        <f t="shared" si="39"/>
        <v>0</v>
      </c>
      <c r="CI100" s="143">
        <f>IF(AND($A100&gt;=SYear_O,$A100&lt;=EYear_O),Data_All!V101,"")</f>
        <v>3.6966729943051257</v>
      </c>
      <c r="CJ100" s="143">
        <f>IF(AND($A100&gt;=SYear_O,$A100&lt;=EYear_O),Data_All!CA101,"")</f>
        <v>0.97087378640776656</v>
      </c>
      <c r="CK100" s="143">
        <f t="shared" si="40"/>
        <v>2.6995896001291153</v>
      </c>
      <c r="CN100" s="61">
        <f t="shared" si="41"/>
        <v>0.11185501508866924</v>
      </c>
      <c r="CO100" s="61">
        <f t="shared" si="42"/>
        <v>5.4518813711136316E-2</v>
      </c>
      <c r="CP100" s="61">
        <f t="shared" si="43"/>
        <v>6.7310556673867206E-2</v>
      </c>
      <c r="CQ100" s="61">
        <f t="shared" si="44"/>
        <v>5.2115398183148587E-2</v>
      </c>
      <c r="CR100" s="61">
        <f t="shared" si="45"/>
        <v>5.4492346086060017E-2</v>
      </c>
      <c r="CU100" s="61">
        <f t="shared" si="46"/>
        <v>0.10116410148204746</v>
      </c>
      <c r="CV100" s="61">
        <f t="shared" si="47"/>
        <v>3.2702415643317106E-2</v>
      </c>
      <c r="CW100" s="61">
        <f t="shared" si="48"/>
        <v>3.751050161181535E-2</v>
      </c>
      <c r="CX100" s="61">
        <f t="shared" si="49"/>
        <v>1.0636611766318138E-2</v>
      </c>
      <c r="CY100" s="61">
        <f t="shared" si="50"/>
        <v>7.7109331439428885E-4</v>
      </c>
    </row>
    <row r="101" spans="1:103">
      <c r="A101" s="204">
        <f t="shared" si="51"/>
        <v>1965</v>
      </c>
      <c r="B101" s="206" t="str">
        <f>IF(AND($A101&gt;=SYear_O, $A101&lt;=EYear_O, B$3&gt;0), B$3 * VLOOKUP($A101, Data_All!$A$8:$CA$153, MATCH(B$2, Data_All!$B$2:$CA$2, 0)+1), "")</f>
        <v/>
      </c>
      <c r="C101" s="206" t="str">
        <f>IF(AND($A101&gt;=SYear_O, $A101&lt;=EYear_O, C$3&gt;0), C$3 * VLOOKUP($A101, Data_All!$A$8:$CA$153, MATCH(C$2, Data_All!$B$2:$CA$2, 0)+1), "")</f>
        <v/>
      </c>
      <c r="D101" s="206" t="str">
        <f>IF(AND($A101&gt;=SYear_O, $A101&lt;=EYear_O, D$3&gt;0), D$3 * VLOOKUP($A101, Data_All!$A$8:$CA$153, MATCH(D$2, Data_All!$B$2:$CA$2, 0)+1), "")</f>
        <v/>
      </c>
      <c r="E101" s="206" t="str">
        <f>IF(AND($A101&gt;=SYear_O, $A101&lt;=EYear_O, E$3&gt;0), E$3 * VLOOKUP($A101, Data_All!$A$8:$CA$153, MATCH(E$2, Data_All!$B$2:$CA$2, 0)+1), "")</f>
        <v/>
      </c>
      <c r="F101" s="206" t="str">
        <f>IF(AND($A101&gt;=SYear_O, $A101&lt;=EYear_O, F$3&gt;0), F$3 * VLOOKUP($A101, Data_All!$A$8:$CA$153, MATCH(F$2, Data_All!$B$2:$CA$2, 0)+1), "")</f>
        <v/>
      </c>
      <c r="G101" s="206" t="str">
        <f>IF(AND($A101&gt;=SYear_O, $A101&lt;=EYear_O, G$3&gt;0), G$3 * VLOOKUP($A101, Data_All!$A$8:$CA$153, MATCH(G$2, Data_All!$B$2:$CA$2, 0)+1), "")</f>
        <v/>
      </c>
      <c r="H101" s="206" t="str">
        <f>IF(AND($A101&gt;=SYear_O, $A101&lt;=EYear_O, H$3&gt;0), H$3 * VLOOKUP($A101, Data_All!$A$8:$CA$153, MATCH(H$2, Data_All!$B$2:$CA$2, 0)+1), "")</f>
        <v/>
      </c>
      <c r="I101" s="206" t="str">
        <f>IF(AND($A101&gt;=SYear_O, $A101&lt;=EYear_O, I$3&gt;0), I$3 * VLOOKUP($A101, Data_All!$A$8:$CA$153, MATCH(I$2, Data_All!$B$2:$CA$2, 0)+1), "")</f>
        <v/>
      </c>
      <c r="J101" s="206" t="str">
        <f>IF(AND($A101&gt;=SYear_O, $A101&lt;=EYear_O, J$3&gt;0), J$3 * VLOOKUP($A101, Data_All!$A$8:$CA$153, MATCH(J$2, Data_All!$B$2:$CA$2, 0)+1), "")</f>
        <v/>
      </c>
      <c r="K101" s="206" t="str">
        <f>IF(AND($A101&gt;=SYear_O, $A101&lt;=EYear_O, K$3&gt;0), K$3 * VLOOKUP($A101, Data_All!$A$8:$CA$153, MATCH(K$2, Data_All!$B$2:$CA$2, 0)+1), "")</f>
        <v/>
      </c>
      <c r="L101" s="206" t="str">
        <f>IF(AND($A101&gt;=SYear_O, $A101&lt;=EYear_O, L$3&gt;0), L$3 * VLOOKUP($A101, Data_All!$A$8:$CA$153, MATCH(L$2, Data_All!$B$2:$CA$2, 0)+1), "")</f>
        <v/>
      </c>
      <c r="M101" s="206" t="str">
        <f>IF(AND($A101&gt;=SYear_O, $A101&lt;=EYear_O, M$3&gt;0), M$3 * VLOOKUP($A101, Data_All!$A$8:$CA$153, MATCH(M$2, Data_All!$B$2:$CA$2, 0)+1), "")</f>
        <v/>
      </c>
      <c r="N101" s="206" t="str">
        <f>IF(AND($A101&gt;=SYear_O, $A101&lt;=EYear_O, N$3&gt;0), N$3 * VLOOKUP($A101, Data_All!$A$8:$CA$153, MATCH(N$2, Data_All!$B$2:$CA$2, 0)+1), "")</f>
        <v/>
      </c>
      <c r="O101" s="206" t="str">
        <f>IF(AND($A101&gt;=SYear_O, $A101&lt;=EYear_O, O$3&gt;0), O$3 * VLOOKUP($A101, Data_All!$A$8:$CA$153, MATCH(O$2, Data_All!$B$2:$CA$2, 0)+1), "")</f>
        <v/>
      </c>
      <c r="P101" s="206" t="str">
        <f>IF(AND($A101&gt;=SYear_O, $A101&lt;=EYear_O, P$3&gt;0), P$3 * VLOOKUP($A101, Data_All!$A$8:$CA$153, MATCH(P$2, Data_All!$B$2:$CA$2, 0)+1), "")</f>
        <v/>
      </c>
      <c r="Q101" s="206" t="str">
        <f>IF(AND($A101&gt;=SYear_O, $A101&lt;=EYear_O, Q$3&gt;0), Q$3 * VLOOKUP($A101, Data_All!$A$8:$CA$153, MATCH(Q$2, Data_All!$B$2:$CA$2, 0)+1), "")</f>
        <v/>
      </c>
      <c r="R101" s="206" t="str">
        <f>IF(AND($A101&gt;=SYear_O, $A101&lt;=EYear_O, R$3&gt;0), R$3 * VLOOKUP($A101, Data_All!$A$8:$CA$153, MATCH(R$2, Data_All!$B$2:$CA$2, 0)+1), "")</f>
        <v/>
      </c>
      <c r="S101" s="206" t="str">
        <f>IF(AND($A101&gt;=SYear_O, $A101&lt;=EYear_O, S$3&gt;0), S$3 * VLOOKUP($A101, Data_All!$A$8:$CA$153, MATCH(S$2, Data_All!$B$2:$CA$2, 0)+1), "")</f>
        <v/>
      </c>
      <c r="T101" s="206" t="str">
        <f>IF(AND($A101&gt;=SYear_O, $A101&lt;=EYear_O, T$3&gt;0), T$3 * VLOOKUP($A101, Data_All!$A$8:$CA$153, MATCH(T$2, Data_All!$B$2:$CA$2, 0)+1), "")</f>
        <v/>
      </c>
      <c r="U101" s="206" t="str">
        <f>IF(AND($A101&gt;=SYear_O, $A101&lt;=EYear_O, U$3&gt;0), U$3 * VLOOKUP($A101, Data_All!$A$8:$CA$153, MATCH(U$2, Data_All!$B$2:$CA$2, 0)+1), "")</f>
        <v/>
      </c>
      <c r="V101" s="206" t="str">
        <f>IF(AND($A101&gt;=SYear_O, $A101&lt;=EYear_O, V$3&gt;0), V$3 * VLOOKUP($A101, Data_All!$A$8:$CA$153, MATCH(V$2, Data_All!$B$2:$CA$2, 0)+1), "")</f>
        <v/>
      </c>
      <c r="W101" s="206" t="str">
        <f>IF(AND($A101&gt;=SYear_O, $A101&lt;=EYear_O, W$3&gt;0), W$3 * VLOOKUP($A101, Data_All!$A$8:$CA$153, MATCH(W$2, Data_All!$B$2:$CA$2, 0)+1), "")</f>
        <v/>
      </c>
      <c r="X101" s="206" t="str">
        <f>IF(AND($A101&gt;=SYear_O, $A101&lt;=EYear_O, X$3&gt;0), X$3 * VLOOKUP($A101, Data_All!$A$8:$CA$153, MATCH(X$2, Data_All!$B$2:$CA$2, 0)+1), "")</f>
        <v/>
      </c>
      <c r="Y101" s="206" t="str">
        <f>IF(AND($A101&gt;=SYear_O, $A101&lt;=EYear_O, Y$3&gt;0), Y$3 * VLOOKUP($A101, Data_All!$A$8:$CA$153, MATCH(Y$2, Data_All!$B$2:$CA$2, 0)+1), "")</f>
        <v/>
      </c>
      <c r="Z101" s="206" t="str">
        <f>IF(AND($A101&gt;=SYear_O, $A101&lt;=EYear_O, Z$3&gt;0), Z$3 * VLOOKUP($A101, Data_All!$A$8:$CA$153, MATCH(Z$2, Data_All!$B$2:$CA$2, 0)+1), "")</f>
        <v/>
      </c>
      <c r="AA101" s="206" t="str">
        <f>IF(AND($A101&gt;=SYear_O, $A101&lt;=EYear_O, AA$3&gt;0), AA$3 * VLOOKUP($A101, Data_All!$A$8:$CA$153, MATCH(AA$2, Data_All!$B$2:$CA$2, 0)+1), "")</f>
        <v/>
      </c>
      <c r="AB101" s="206" t="str">
        <f>IF(AND($A101&gt;=SYear_O, $A101&lt;=EYear_O, AB$3&gt;0), AB$3 * VLOOKUP($A101, Data_All!$A$8:$CA$153, MATCH(AB$2, Data_All!$B$2:$CA$2, 0)+1), "")</f>
        <v/>
      </c>
      <c r="AC101" s="206" t="str">
        <f>IF(AND($A101&gt;=SYear_O, $A101&lt;=EYear_O, AC$3&gt;0), AC$3 * VLOOKUP($A101, Data_All!$A$8:$CA$153, MATCH(AC$2, Data_All!$B$2:$CA$2, 0)+1), "")</f>
        <v/>
      </c>
      <c r="AD101" s="206" t="str">
        <f>IF(AND($A101&gt;=SYear_O, $A101&lt;=EYear_O, AD$3&gt;0), AD$3 * VLOOKUP($A101, Data_All!$A$8:$CA$153, MATCH(AD$2, Data_All!$B$2:$CA$2, 0)+1), "")</f>
        <v/>
      </c>
      <c r="AE101" s="206" t="str">
        <f>IF(AND($A101&gt;=SYear_O, $A101&lt;=EYear_O, AE$3&gt;0), AE$3 * VLOOKUP($A101, Data_All!$A$8:$CA$153, MATCH(AE$2, Data_All!$B$2:$CA$2, 0)+1), "")</f>
        <v/>
      </c>
      <c r="AF101" s="206" t="str">
        <f>IF(AND($A101&gt;=SYear_O, $A101&lt;=EYear_O, AF$3&gt;0), AF$3 * VLOOKUP($A101, Data_All!$A$8:$CA$153, MATCH(AF$2, Data_All!$B$2:$CA$2, 0)+1), "")</f>
        <v/>
      </c>
      <c r="AG101" s="206" t="str">
        <f>IF(AND($A101&gt;=SYear_O, $A101&lt;=EYear_O, AG$3&gt;0), AG$3 * VLOOKUP($A101, Data_All!$A$8:$CA$153, MATCH(AG$2, Data_All!$B$2:$CA$2, 0)+1), "")</f>
        <v/>
      </c>
      <c r="AH101" s="206" t="str">
        <f>IF(AND($A101&gt;=SYear_O, $A101&lt;=EYear_O, AH$3&gt;0), AH$3 * VLOOKUP($A101, Data_All!$A$8:$CA$153, MATCH(AH$2, Data_All!$B$2:$CA$2, 0)+1), "")</f>
        <v/>
      </c>
      <c r="AI101" s="206" t="str">
        <f>IF(AND($A101&gt;=SYear_O, $A101&lt;=EYear_O, AI$3&gt;0), AI$3 * VLOOKUP($A101, Data_All!$A$8:$CA$153, MATCH(AI$2, Data_All!$B$2:$CA$2, 0)+1), "")</f>
        <v/>
      </c>
      <c r="AJ101" s="206" t="str">
        <f>IF(AND($A101&gt;=SYear_O, $A101&lt;=EYear_O, AJ$3&gt;0), AJ$3 * VLOOKUP($A101, Data_All!$A$8:$CA$153, MATCH(AJ$2, Data_All!$B$2:$CA$2, 0)+1), "")</f>
        <v/>
      </c>
      <c r="AK101" s="206" t="str">
        <f>IF(AND($A101&gt;=SYear_O, $A101&lt;=EYear_O, AK$3&gt;0), AK$3 * VLOOKUP($A101, Data_All!$A$8:$CA$153, MATCH(AK$2, Data_All!$B$2:$CA$2, 0)+1), "")</f>
        <v/>
      </c>
      <c r="AL101" s="206" t="str">
        <f>IF(AND($A101&gt;=SYear_O, $A101&lt;=EYear_O, AL$3&gt;0), AL$3 * VLOOKUP($A101, Data_All!$A$8:$CA$153, MATCH(AL$2, Data_All!$B$2:$CA$2, 0)+1), "")</f>
        <v/>
      </c>
      <c r="AM101" s="206" t="str">
        <f>IF(AND($A101&gt;=SYear_O, $A101&lt;=EYear_O, AM$3&gt;0), AM$3 * VLOOKUP($A101, Data_All!$A$8:$CA$153, MATCH(AM$2, Data_All!$B$2:$CA$2, 0)+1), "")</f>
        <v/>
      </c>
      <c r="AN101" s="206" t="str">
        <f>IF(AND($A101&gt;=SYear_O, $A101&lt;=EYear_O, AN$3&gt;0), AN$3 * VLOOKUP($A101, Data_All!$A$8:$CA$153, MATCH(AN$2, Data_All!$B$2:$CA$2, 0)+1), "")</f>
        <v/>
      </c>
      <c r="AO101" s="206" t="str">
        <f>IF(AND($A101&gt;=SYear_O, $A101&lt;=EYear_O, AO$3&gt;0), AO$3 * VLOOKUP($A101, Data_All!$A$8:$CA$153, MATCH(AO$2, Data_All!$B$2:$CA$2, 0)+1), "")</f>
        <v/>
      </c>
      <c r="AP101" s="206" t="str">
        <f>IF(AND($A101&gt;=SYear_O, $A101&lt;=EYear_O, AP$3&gt;0), AP$3 * VLOOKUP($A101, Data_All!$A$8:$CA$153, MATCH(AP$2, Data_All!$B$2:$CA$2, 0)+1), "")</f>
        <v/>
      </c>
      <c r="AQ101" s="206" t="str">
        <f>IF(AND($A101&gt;=SYear_O, $A101&lt;=EYear_O, AQ$3&gt;0), AQ$3 * VLOOKUP($A101, Data_All!$A$8:$CA$153, MATCH(AQ$2, Data_All!$B$2:$CA$2, 0)+1), "")</f>
        <v/>
      </c>
      <c r="AR101" s="206" t="str">
        <f>IF(AND($A101&gt;=SYear_O, $A101&lt;=EYear_O, AR$3&gt;0), AR$3 * VLOOKUP($A101, Data_All!$A$8:$CA$153, MATCH(AR$2, Data_All!$B$2:$CA$2, 0)+1), "")</f>
        <v/>
      </c>
      <c r="AS101" s="206" t="str">
        <f>IF(AND($A101&gt;=SYear_O, $A101&lt;=EYear_O, AS$3&gt;0), AS$3 * VLOOKUP($A101, Data_All!$A$8:$CA$153, MATCH(AS$2, Data_All!$B$2:$CA$2, 0)+1), "")</f>
        <v/>
      </c>
      <c r="AT101" s="206" t="str">
        <f>IF(AND($A101&gt;=SYear_O, $A101&lt;=EYear_O, AT$3&gt;0), AT$3 * VLOOKUP($A101, Data_All!$A$8:$CA$153, MATCH(AT$2, Data_All!$B$2:$CA$2, 0)+1), "")</f>
        <v/>
      </c>
      <c r="AU101" s="206" t="str">
        <f>IF(AND($A101&gt;=SYear_O, $A101&lt;=EYear_O, AU$3&gt;0), AU$3 * VLOOKUP($A101, Data_All!$A$8:$CA$153, MATCH(AU$2, Data_All!$B$2:$CA$2, 0)+1), "")</f>
        <v/>
      </c>
      <c r="AV101" s="206" t="str">
        <f>IF(AND($A101&gt;=SYear_O, $A101&lt;=EYear_O, AV$3&gt;0), AV$3 * VLOOKUP($A101, Data_All!$A$8:$CA$153, MATCH(AV$2, Data_All!$B$2:$CA$2, 0)+1), "")</f>
        <v/>
      </c>
      <c r="AW101" s="206" t="str">
        <f>IF(AND($A101&gt;=SYear_O, $A101&lt;=EYear_O, AW$3&gt;0), AW$3 * VLOOKUP($A101, Data_All!$A$8:$CA$153, MATCH(AW$2, Data_All!$B$2:$CA$2, 0)+1), "")</f>
        <v/>
      </c>
      <c r="AX101" s="206" t="str">
        <f>IF(AND($A101&gt;=SYear_O, $A101&lt;=EYear_O, AX$3&gt;0), AX$3 * VLOOKUP($A101, Data_All!$A$8:$CA$153, MATCH(AX$2, Data_All!$B$2:$CA$2, 0)+1), "")</f>
        <v/>
      </c>
      <c r="AY101" s="206" t="str">
        <f>IF(AND($A101&gt;=SYear_O, $A101&lt;=EYear_O, AY$3&gt;0), AY$3 * VLOOKUP($A101, Data_All!$A$8:$CA$153, MATCH(AY$2, Data_All!$B$2:$CA$2, 0)+1), "")</f>
        <v/>
      </c>
      <c r="AZ101" s="206" t="str">
        <f>IF(AND($A101&gt;=SYear_O, $A101&lt;=EYear_O, AZ$3&gt;0), AZ$3 * VLOOKUP($A101, Data_All!$A$8:$CA$153, MATCH(AZ$2, Data_All!$B$2:$CA$2, 0)+1), "")</f>
        <v/>
      </c>
      <c r="BA101" s="206" t="str">
        <f>IF(AND($A101&gt;=SYear_O, $A101&lt;=EYear_O, BA$3&gt;0), BA$3 * VLOOKUP($A101, Data_All!$A$8:$CA$153, MATCH(BA$2, Data_All!$B$2:$CA$2, 0)+1), "")</f>
        <v/>
      </c>
      <c r="BB101" s="206" t="str">
        <f>IF(AND($A101&gt;=SYear_O, $A101&lt;=EYear_O, BB$3&gt;0), BB$3 * VLOOKUP($A101, Data_All!$A$8:$CA$153, MATCH(BB$2, Data_All!$B$2:$CA$2, 0)+1), "")</f>
        <v/>
      </c>
      <c r="BC101" s="206" t="str">
        <f>IF(AND($A101&gt;=SYear_O, $A101&lt;=EYear_O, BC$3&gt;0), BC$3 * VLOOKUP($A101, Data_All!$A$8:$CA$153, MATCH(BC$2, Data_All!$B$2:$CA$2, 0)+1), "")</f>
        <v/>
      </c>
      <c r="BD101" s="206" t="str">
        <f>IF(AND($A101&gt;=SYear_O, $A101&lt;=EYear_O, BD$3&gt;0), BD$3 * VLOOKUP($A101, Data_All!$A$8:$CA$153, MATCH(BD$2, Data_All!$B$2:$CA$2, 0)+1), "")</f>
        <v/>
      </c>
      <c r="BE101" s="206" t="str">
        <f>IF(AND($A101&gt;=SYear_O, $A101&lt;=EYear_O, BE$3&gt;0), BE$3 * VLOOKUP($A101, Data_All!$A$8:$CA$153, MATCH(BE$2, Data_All!$B$2:$CA$2, 0)+1), "")</f>
        <v/>
      </c>
      <c r="BF101" s="206" t="str">
        <f>IF(AND($A101&gt;=SYear_O, $A101&lt;=EYear_O, BF$3&gt;0), BF$3 * VLOOKUP($A101, Data_All!$A$8:$CA$153, MATCH(BF$2, Data_All!$B$2:$CA$2, 0)+1), "")</f>
        <v/>
      </c>
      <c r="BG101" s="206" t="str">
        <f>IF(AND($A101&gt;=SYear_O, $A101&lt;=EYear_O, BG$3&gt;0), BG$3 * VLOOKUP($A101, Data_All!$A$8:$CA$153, MATCH(BG$2, Data_All!$B$2:$CA$2, 0)+1), "")</f>
        <v/>
      </c>
      <c r="BH101" s="206" t="str">
        <f>IF(AND($A101&gt;=SYear_O, $A101&lt;=EYear_O, BH$3&gt;0), BH$3 * VLOOKUP($A101, Data_All!$A$8:$CA$153, MATCH(BH$2, Data_All!$B$2:$CA$2, 0)+1), "")</f>
        <v/>
      </c>
      <c r="BI101" s="206" t="str">
        <f>IF(AND($A101&gt;=SYear_O, $A101&lt;=EYear_O, BI$3&gt;0), BI$3 * VLOOKUP($A101, Data_All!$A$8:$CA$153, MATCH(BI$2, Data_All!$B$2:$CA$2, 0)+1), "")</f>
        <v/>
      </c>
      <c r="BJ101" s="206" t="str">
        <f>IF(AND($A101&gt;=SYear_O, $A101&lt;=EYear_O, BJ$3&gt;0), BJ$3 * VLOOKUP($A101, Data_All!$A$8:$CA$153, MATCH(BJ$2, Data_All!$B$2:$CA$2, 0)+1), "")</f>
        <v/>
      </c>
      <c r="BK101" s="206" t="str">
        <f>IF(AND($A101&gt;=SYear_O, $A101&lt;=EYear_O, BK$3&gt;0), BK$3 * VLOOKUP($A101, Data_All!$A$8:$CA$153, MATCH(BK$2, Data_All!$B$2:$CA$2, 0)+1), "")</f>
        <v/>
      </c>
      <c r="BL101" s="206" t="str">
        <f>IF(AND($A101&gt;=SYear_O, $A101&lt;=EYear_O, BL$3&gt;0), BL$3 * VLOOKUP($A101, Data_All!$A$8:$CA$153, MATCH(BL$2, Data_All!$B$2:$CA$2, 0)+1), "")</f>
        <v/>
      </c>
      <c r="BM101" s="206" t="str">
        <f>IF(AND($A101&gt;=SYear_O, $A101&lt;=EYear_O, BM$3&gt;0), BM$3 * VLOOKUP($A101, Data_All!$A$8:$CA$153, MATCH(BM$2, Data_All!$B$2:$CA$2, 0)+1), "")</f>
        <v/>
      </c>
      <c r="BN101" s="206" t="str">
        <f>IF(AND($A101&gt;=SYear_O, $A101&lt;=EYear_O, BN$3&gt;0), BN$3 * VLOOKUP($A101, Data_All!$A$8:$CA$153, MATCH(BN$2, Data_All!$B$2:$CA$2, 0)+1), "")</f>
        <v/>
      </c>
      <c r="BO101" s="206" t="str">
        <f>IF(AND($A101&gt;=SYear_O, $A101&lt;=EYear_O, BO$3&gt;0), BO$3 * VLOOKUP($A101, Data_All!$A$8:$CA$153, MATCH(BO$2, Data_All!$B$2:$CA$2, 0)+1), "")</f>
        <v/>
      </c>
      <c r="BP101" s="206" t="str">
        <f>IF(AND($A101&gt;=SYear_O, $A101&lt;=EYear_O, BP$3&gt;0), BP$3 * VLOOKUP($A101, Data_All!$A$8:$CA$153, MATCH(BP$2, Data_All!$B$2:$CA$2, 0)+1), "")</f>
        <v/>
      </c>
      <c r="BQ101" s="206" t="str">
        <f>IF(AND($A101&gt;=SYear_O, $A101&lt;=EYear_O, BQ$3&gt;0), BQ$3 * VLOOKUP($A101, Data_All!$A$8:$CA$153, MATCH(BQ$2, Data_All!$B$2:$CA$2, 0)+1), "")</f>
        <v/>
      </c>
      <c r="BR101" s="206" t="str">
        <f>IF(AND($A101&gt;=SYear_O, $A101&lt;=EYear_O, BR$3&gt;0), BR$3 * VLOOKUP($A101, Data_All!$A$8:$CA$153, MATCH(BR$2, Data_All!$B$2:$CA$2, 0)+1), "")</f>
        <v/>
      </c>
      <c r="BS101" s="206" t="str">
        <f>IF(AND($A101&gt;=SYear_O, $A101&lt;=EYear_O, BS$3&gt;0), BS$3 * VLOOKUP($A101, Data_All!$A$8:$CA$153, MATCH(BS$2, Data_All!$B$2:$CA$2, 0)+1), "")</f>
        <v/>
      </c>
      <c r="BT101" s="206" t="str">
        <f>IF(AND($A101&gt;=SYear_O, $A101&lt;=EYear_O, BT$3&gt;0), BT$3 * VLOOKUP($A101, Data_All!$A$8:$CA$153, MATCH(BT$2, Data_All!$B$2:$CA$2, 0)+1), "")</f>
        <v/>
      </c>
      <c r="BU101" s="206" t="str">
        <f>IF(AND($A101&gt;=SYear_O, $A101&lt;=EYear_O, BU$3&gt;0), BU$3 * VLOOKUP($A101, Data_All!$A$8:$CA$153, MATCH(BU$2, Data_All!$B$2:$CA$2, 0)+1), "")</f>
        <v/>
      </c>
      <c r="BV101" s="206" t="str">
        <f>IF(AND($A101&gt;=SYear_O, $A101&lt;=EYear_O, BV$3&gt;0), BV$3 * VLOOKUP($A101, Data_All!$A$8:$CA$153, MATCH(BV$2, Data_All!$B$2:$CA$2, 0)+1), "")</f>
        <v/>
      </c>
      <c r="BW101" s="206" t="str">
        <f>IF(AND($A101&gt;=SYear_O, $A101&lt;=EYear_O, BW$3&gt;0), BW$3 * VLOOKUP($A101, Data_All!$A$8:$CA$153, MATCH(BW$2, Data_All!$B$2:$CA$2, 0)+1), "")</f>
        <v/>
      </c>
      <c r="BX101" s="206">
        <f>IF(AND($A101&gt;=SYear_O, $A101&lt;=EYear_O, BX$3&gt;0), BX$3 * VLOOKUP($A101, Data_All!$A$8:$CA$153, MATCH(BX$2, Data_All!$B$2:$CA$2, 0)+1), "")</f>
        <v>6.9112865768694798</v>
      </c>
      <c r="BY101" s="206">
        <f>IF(AND($A101&gt;=SYear_O, $A101&lt;=EYear_O, BY$3&gt;0), BY$3 * VLOOKUP($A101, Data_All!$A$8:$CA$153, MATCH(BY$2, Data_All!$B$2:$CA$2, 0)+1), "")</f>
        <v>0.51512768176024792</v>
      </c>
      <c r="BZ101" s="206" t="str">
        <f>IF(AND($A101&gt;=SYear_O, $A101&lt;=EYear_O, BZ$3&gt;0), BZ$3 * VLOOKUP($A101, Data_All!$A$8:$CA$153, MATCH(BZ$2, Data_All!$B$2:$CA$2, 0)+1), "")</f>
        <v/>
      </c>
      <c r="CA101" s="565">
        <f t="shared" si="35"/>
        <v>7.4264142586297277</v>
      </c>
      <c r="CB101" s="427">
        <f t="shared" si="36"/>
        <v>5896423.2725666417</v>
      </c>
      <c r="CC101" s="565">
        <f>IF(AND($A101&gt;=SYear_O,$A101&lt;=EYear_O),(CA101-Data_All!CA102)/(1+Data_All!CA102%),"")</f>
        <v>5.3995007820517928</v>
      </c>
      <c r="CD101" s="436">
        <f t="shared" si="37"/>
        <v>2311112.5582103855</v>
      </c>
      <c r="CE101" s="438">
        <f t="shared" si="38"/>
        <v>534.80110226788452</v>
      </c>
      <c r="CF101" s="438">
        <f>IF(AND($A101&gt;=SYear_O,$A101&lt;=EYear_O),MAX($CE$7:CE101),"")</f>
        <v>534.80110226788452</v>
      </c>
      <c r="CG101" s="209">
        <f t="shared" si="39"/>
        <v>0</v>
      </c>
      <c r="CI101" s="143">
        <f>IF(AND($A101&gt;=SYear_O,$A101&lt;=EYear_O),Data_All!V102,"")</f>
        <v>3.846538115695874</v>
      </c>
      <c r="CJ101" s="143">
        <f>IF(AND($A101&gt;=SYear_O,$A101&lt;=EYear_O),Data_All!CA102,"")</f>
        <v>1.9230769230769384</v>
      </c>
      <c r="CK101" s="143">
        <f t="shared" si="40"/>
        <v>1.8871694720034837</v>
      </c>
      <c r="CN101" s="61">
        <f t="shared" si="41"/>
        <v>7.4264142586297321E-2</v>
      </c>
      <c r="CO101" s="61">
        <f t="shared" si="42"/>
        <v>5.048209191109132E-2</v>
      </c>
      <c r="CP101" s="61">
        <f t="shared" si="43"/>
        <v>3.3116809690672877E-2</v>
      </c>
      <c r="CQ101" s="61">
        <f t="shared" si="44"/>
        <v>2.9608923574292012E-2</v>
      </c>
      <c r="CR101" s="61">
        <f t="shared" si="45"/>
        <v>5.4517995927580998E-2</v>
      </c>
      <c r="CU101" s="61">
        <f t="shared" si="46"/>
        <v>5.3995007820518026E-2</v>
      </c>
      <c r="CV101" s="61">
        <f t="shared" si="47"/>
        <v>1.9816556066233559E-2</v>
      </c>
      <c r="CW101" s="61">
        <f t="shared" si="48"/>
        <v>-5.781164089007973E-3</v>
      </c>
      <c r="CX101" s="61">
        <f t="shared" si="49"/>
        <v>-2.1477037366194884E-2</v>
      </c>
      <c r="CY101" s="61">
        <f t="shared" si="50"/>
        <v>-6.8581623322157004E-3</v>
      </c>
    </row>
    <row r="102" spans="1:103">
      <c r="A102" s="204">
        <f t="shared" si="51"/>
        <v>1966</v>
      </c>
      <c r="B102" s="206" t="str">
        <f>IF(AND($A102&gt;=SYear_O, $A102&lt;=EYear_O, B$3&gt;0), B$3 * VLOOKUP($A102, Data_All!$A$8:$CA$153, MATCH(B$2, Data_All!$B$2:$CA$2, 0)+1), "")</f>
        <v/>
      </c>
      <c r="C102" s="206" t="str">
        <f>IF(AND($A102&gt;=SYear_O, $A102&lt;=EYear_O, C$3&gt;0), C$3 * VLOOKUP($A102, Data_All!$A$8:$CA$153, MATCH(C$2, Data_All!$B$2:$CA$2, 0)+1), "")</f>
        <v/>
      </c>
      <c r="D102" s="206" t="str">
        <f>IF(AND($A102&gt;=SYear_O, $A102&lt;=EYear_O, D$3&gt;0), D$3 * VLOOKUP($A102, Data_All!$A$8:$CA$153, MATCH(D$2, Data_All!$B$2:$CA$2, 0)+1), "")</f>
        <v/>
      </c>
      <c r="E102" s="206" t="str">
        <f>IF(AND($A102&gt;=SYear_O, $A102&lt;=EYear_O, E$3&gt;0), E$3 * VLOOKUP($A102, Data_All!$A$8:$CA$153, MATCH(E$2, Data_All!$B$2:$CA$2, 0)+1), "")</f>
        <v/>
      </c>
      <c r="F102" s="206" t="str">
        <f>IF(AND($A102&gt;=SYear_O, $A102&lt;=EYear_O, F$3&gt;0), F$3 * VLOOKUP($A102, Data_All!$A$8:$CA$153, MATCH(F$2, Data_All!$B$2:$CA$2, 0)+1), "")</f>
        <v/>
      </c>
      <c r="G102" s="206" t="str">
        <f>IF(AND($A102&gt;=SYear_O, $A102&lt;=EYear_O, G$3&gt;0), G$3 * VLOOKUP($A102, Data_All!$A$8:$CA$153, MATCH(G$2, Data_All!$B$2:$CA$2, 0)+1), "")</f>
        <v/>
      </c>
      <c r="H102" s="206" t="str">
        <f>IF(AND($A102&gt;=SYear_O, $A102&lt;=EYear_O, H$3&gt;0), H$3 * VLOOKUP($A102, Data_All!$A$8:$CA$153, MATCH(H$2, Data_All!$B$2:$CA$2, 0)+1), "")</f>
        <v/>
      </c>
      <c r="I102" s="206" t="str">
        <f>IF(AND($A102&gt;=SYear_O, $A102&lt;=EYear_O, I$3&gt;0), I$3 * VLOOKUP($A102, Data_All!$A$8:$CA$153, MATCH(I$2, Data_All!$B$2:$CA$2, 0)+1), "")</f>
        <v/>
      </c>
      <c r="J102" s="206" t="str">
        <f>IF(AND($A102&gt;=SYear_O, $A102&lt;=EYear_O, J$3&gt;0), J$3 * VLOOKUP($A102, Data_All!$A$8:$CA$153, MATCH(J$2, Data_All!$B$2:$CA$2, 0)+1), "")</f>
        <v/>
      </c>
      <c r="K102" s="206" t="str">
        <f>IF(AND($A102&gt;=SYear_O, $A102&lt;=EYear_O, K$3&gt;0), K$3 * VLOOKUP($A102, Data_All!$A$8:$CA$153, MATCH(K$2, Data_All!$B$2:$CA$2, 0)+1), "")</f>
        <v/>
      </c>
      <c r="L102" s="206" t="str">
        <f>IF(AND($A102&gt;=SYear_O, $A102&lt;=EYear_O, L$3&gt;0), L$3 * VLOOKUP($A102, Data_All!$A$8:$CA$153, MATCH(L$2, Data_All!$B$2:$CA$2, 0)+1), "")</f>
        <v/>
      </c>
      <c r="M102" s="206" t="str">
        <f>IF(AND($A102&gt;=SYear_O, $A102&lt;=EYear_O, M$3&gt;0), M$3 * VLOOKUP($A102, Data_All!$A$8:$CA$153, MATCH(M$2, Data_All!$B$2:$CA$2, 0)+1), "")</f>
        <v/>
      </c>
      <c r="N102" s="206" t="str">
        <f>IF(AND($A102&gt;=SYear_O, $A102&lt;=EYear_O, N$3&gt;0), N$3 * VLOOKUP($A102, Data_All!$A$8:$CA$153, MATCH(N$2, Data_All!$B$2:$CA$2, 0)+1), "")</f>
        <v/>
      </c>
      <c r="O102" s="206" t="str">
        <f>IF(AND($A102&gt;=SYear_O, $A102&lt;=EYear_O, O$3&gt;0), O$3 * VLOOKUP($A102, Data_All!$A$8:$CA$153, MATCH(O$2, Data_All!$B$2:$CA$2, 0)+1), "")</f>
        <v/>
      </c>
      <c r="P102" s="206" t="str">
        <f>IF(AND($A102&gt;=SYear_O, $A102&lt;=EYear_O, P$3&gt;0), P$3 * VLOOKUP($A102, Data_All!$A$8:$CA$153, MATCH(P$2, Data_All!$B$2:$CA$2, 0)+1), "")</f>
        <v/>
      </c>
      <c r="Q102" s="206" t="str">
        <f>IF(AND($A102&gt;=SYear_O, $A102&lt;=EYear_O, Q$3&gt;0), Q$3 * VLOOKUP($A102, Data_All!$A$8:$CA$153, MATCH(Q$2, Data_All!$B$2:$CA$2, 0)+1), "")</f>
        <v/>
      </c>
      <c r="R102" s="206" t="str">
        <f>IF(AND($A102&gt;=SYear_O, $A102&lt;=EYear_O, R$3&gt;0), R$3 * VLOOKUP($A102, Data_All!$A$8:$CA$153, MATCH(R$2, Data_All!$B$2:$CA$2, 0)+1), "")</f>
        <v/>
      </c>
      <c r="S102" s="206" t="str">
        <f>IF(AND($A102&gt;=SYear_O, $A102&lt;=EYear_O, S$3&gt;0), S$3 * VLOOKUP($A102, Data_All!$A$8:$CA$153, MATCH(S$2, Data_All!$B$2:$CA$2, 0)+1), "")</f>
        <v/>
      </c>
      <c r="T102" s="206" t="str">
        <f>IF(AND($A102&gt;=SYear_O, $A102&lt;=EYear_O, T$3&gt;0), T$3 * VLOOKUP($A102, Data_All!$A$8:$CA$153, MATCH(T$2, Data_All!$B$2:$CA$2, 0)+1), "")</f>
        <v/>
      </c>
      <c r="U102" s="206" t="str">
        <f>IF(AND($A102&gt;=SYear_O, $A102&lt;=EYear_O, U$3&gt;0), U$3 * VLOOKUP($A102, Data_All!$A$8:$CA$153, MATCH(U$2, Data_All!$B$2:$CA$2, 0)+1), "")</f>
        <v/>
      </c>
      <c r="V102" s="206" t="str">
        <f>IF(AND($A102&gt;=SYear_O, $A102&lt;=EYear_O, V$3&gt;0), V$3 * VLOOKUP($A102, Data_All!$A$8:$CA$153, MATCH(V$2, Data_All!$B$2:$CA$2, 0)+1), "")</f>
        <v/>
      </c>
      <c r="W102" s="206" t="str">
        <f>IF(AND($A102&gt;=SYear_O, $A102&lt;=EYear_O, W$3&gt;0), W$3 * VLOOKUP($A102, Data_All!$A$8:$CA$153, MATCH(W$2, Data_All!$B$2:$CA$2, 0)+1), "")</f>
        <v/>
      </c>
      <c r="X102" s="206" t="str">
        <f>IF(AND($A102&gt;=SYear_O, $A102&lt;=EYear_O, X$3&gt;0), X$3 * VLOOKUP($A102, Data_All!$A$8:$CA$153, MATCH(X$2, Data_All!$B$2:$CA$2, 0)+1), "")</f>
        <v/>
      </c>
      <c r="Y102" s="206" t="str">
        <f>IF(AND($A102&gt;=SYear_O, $A102&lt;=EYear_O, Y$3&gt;0), Y$3 * VLOOKUP($A102, Data_All!$A$8:$CA$153, MATCH(Y$2, Data_All!$B$2:$CA$2, 0)+1), "")</f>
        <v/>
      </c>
      <c r="Z102" s="206" t="str">
        <f>IF(AND($A102&gt;=SYear_O, $A102&lt;=EYear_O, Z$3&gt;0), Z$3 * VLOOKUP($A102, Data_All!$A$8:$CA$153, MATCH(Z$2, Data_All!$B$2:$CA$2, 0)+1), "")</f>
        <v/>
      </c>
      <c r="AA102" s="206" t="str">
        <f>IF(AND($A102&gt;=SYear_O, $A102&lt;=EYear_O, AA$3&gt;0), AA$3 * VLOOKUP($A102, Data_All!$A$8:$CA$153, MATCH(AA$2, Data_All!$B$2:$CA$2, 0)+1), "")</f>
        <v/>
      </c>
      <c r="AB102" s="206" t="str">
        <f>IF(AND($A102&gt;=SYear_O, $A102&lt;=EYear_O, AB$3&gt;0), AB$3 * VLOOKUP($A102, Data_All!$A$8:$CA$153, MATCH(AB$2, Data_All!$B$2:$CA$2, 0)+1), "")</f>
        <v/>
      </c>
      <c r="AC102" s="206" t="str">
        <f>IF(AND($A102&gt;=SYear_O, $A102&lt;=EYear_O, AC$3&gt;0), AC$3 * VLOOKUP($A102, Data_All!$A$8:$CA$153, MATCH(AC$2, Data_All!$B$2:$CA$2, 0)+1), "")</f>
        <v/>
      </c>
      <c r="AD102" s="206" t="str">
        <f>IF(AND($A102&gt;=SYear_O, $A102&lt;=EYear_O, AD$3&gt;0), AD$3 * VLOOKUP($A102, Data_All!$A$8:$CA$153, MATCH(AD$2, Data_All!$B$2:$CA$2, 0)+1), "")</f>
        <v/>
      </c>
      <c r="AE102" s="206" t="str">
        <f>IF(AND($A102&gt;=SYear_O, $A102&lt;=EYear_O, AE$3&gt;0), AE$3 * VLOOKUP($A102, Data_All!$A$8:$CA$153, MATCH(AE$2, Data_All!$B$2:$CA$2, 0)+1), "")</f>
        <v/>
      </c>
      <c r="AF102" s="206" t="str">
        <f>IF(AND($A102&gt;=SYear_O, $A102&lt;=EYear_O, AF$3&gt;0), AF$3 * VLOOKUP($A102, Data_All!$A$8:$CA$153, MATCH(AF$2, Data_All!$B$2:$CA$2, 0)+1), "")</f>
        <v/>
      </c>
      <c r="AG102" s="206" t="str">
        <f>IF(AND($A102&gt;=SYear_O, $A102&lt;=EYear_O, AG$3&gt;0), AG$3 * VLOOKUP($A102, Data_All!$A$8:$CA$153, MATCH(AG$2, Data_All!$B$2:$CA$2, 0)+1), "")</f>
        <v/>
      </c>
      <c r="AH102" s="206" t="str">
        <f>IF(AND($A102&gt;=SYear_O, $A102&lt;=EYear_O, AH$3&gt;0), AH$3 * VLOOKUP($A102, Data_All!$A$8:$CA$153, MATCH(AH$2, Data_All!$B$2:$CA$2, 0)+1), "")</f>
        <v/>
      </c>
      <c r="AI102" s="206" t="str">
        <f>IF(AND($A102&gt;=SYear_O, $A102&lt;=EYear_O, AI$3&gt;0), AI$3 * VLOOKUP($A102, Data_All!$A$8:$CA$153, MATCH(AI$2, Data_All!$B$2:$CA$2, 0)+1), "")</f>
        <v/>
      </c>
      <c r="AJ102" s="206" t="str">
        <f>IF(AND($A102&gt;=SYear_O, $A102&lt;=EYear_O, AJ$3&gt;0), AJ$3 * VLOOKUP($A102, Data_All!$A$8:$CA$153, MATCH(AJ$2, Data_All!$B$2:$CA$2, 0)+1), "")</f>
        <v/>
      </c>
      <c r="AK102" s="206" t="str">
        <f>IF(AND($A102&gt;=SYear_O, $A102&lt;=EYear_O, AK$3&gt;0), AK$3 * VLOOKUP($A102, Data_All!$A$8:$CA$153, MATCH(AK$2, Data_All!$B$2:$CA$2, 0)+1), "")</f>
        <v/>
      </c>
      <c r="AL102" s="206" t="str">
        <f>IF(AND($A102&gt;=SYear_O, $A102&lt;=EYear_O, AL$3&gt;0), AL$3 * VLOOKUP($A102, Data_All!$A$8:$CA$153, MATCH(AL$2, Data_All!$B$2:$CA$2, 0)+1), "")</f>
        <v/>
      </c>
      <c r="AM102" s="206" t="str">
        <f>IF(AND($A102&gt;=SYear_O, $A102&lt;=EYear_O, AM$3&gt;0), AM$3 * VLOOKUP($A102, Data_All!$A$8:$CA$153, MATCH(AM$2, Data_All!$B$2:$CA$2, 0)+1), "")</f>
        <v/>
      </c>
      <c r="AN102" s="206" t="str">
        <f>IF(AND($A102&gt;=SYear_O, $A102&lt;=EYear_O, AN$3&gt;0), AN$3 * VLOOKUP($A102, Data_All!$A$8:$CA$153, MATCH(AN$2, Data_All!$B$2:$CA$2, 0)+1), "")</f>
        <v/>
      </c>
      <c r="AO102" s="206" t="str">
        <f>IF(AND($A102&gt;=SYear_O, $A102&lt;=EYear_O, AO$3&gt;0), AO$3 * VLOOKUP($A102, Data_All!$A$8:$CA$153, MATCH(AO$2, Data_All!$B$2:$CA$2, 0)+1), "")</f>
        <v/>
      </c>
      <c r="AP102" s="206" t="str">
        <f>IF(AND($A102&gt;=SYear_O, $A102&lt;=EYear_O, AP$3&gt;0), AP$3 * VLOOKUP($A102, Data_All!$A$8:$CA$153, MATCH(AP$2, Data_All!$B$2:$CA$2, 0)+1), "")</f>
        <v/>
      </c>
      <c r="AQ102" s="206" t="str">
        <f>IF(AND($A102&gt;=SYear_O, $A102&lt;=EYear_O, AQ$3&gt;0), AQ$3 * VLOOKUP($A102, Data_All!$A$8:$CA$153, MATCH(AQ$2, Data_All!$B$2:$CA$2, 0)+1), "")</f>
        <v/>
      </c>
      <c r="AR102" s="206" t="str">
        <f>IF(AND($A102&gt;=SYear_O, $A102&lt;=EYear_O, AR$3&gt;0), AR$3 * VLOOKUP($A102, Data_All!$A$8:$CA$153, MATCH(AR$2, Data_All!$B$2:$CA$2, 0)+1), "")</f>
        <v/>
      </c>
      <c r="AS102" s="206" t="str">
        <f>IF(AND($A102&gt;=SYear_O, $A102&lt;=EYear_O, AS$3&gt;0), AS$3 * VLOOKUP($A102, Data_All!$A$8:$CA$153, MATCH(AS$2, Data_All!$B$2:$CA$2, 0)+1), "")</f>
        <v/>
      </c>
      <c r="AT102" s="206" t="str">
        <f>IF(AND($A102&gt;=SYear_O, $A102&lt;=EYear_O, AT$3&gt;0), AT$3 * VLOOKUP($A102, Data_All!$A$8:$CA$153, MATCH(AT$2, Data_All!$B$2:$CA$2, 0)+1), "")</f>
        <v/>
      </c>
      <c r="AU102" s="206" t="str">
        <f>IF(AND($A102&gt;=SYear_O, $A102&lt;=EYear_O, AU$3&gt;0), AU$3 * VLOOKUP($A102, Data_All!$A$8:$CA$153, MATCH(AU$2, Data_All!$B$2:$CA$2, 0)+1), "")</f>
        <v/>
      </c>
      <c r="AV102" s="206" t="str">
        <f>IF(AND($A102&gt;=SYear_O, $A102&lt;=EYear_O, AV$3&gt;0), AV$3 * VLOOKUP($A102, Data_All!$A$8:$CA$153, MATCH(AV$2, Data_All!$B$2:$CA$2, 0)+1), "")</f>
        <v/>
      </c>
      <c r="AW102" s="206" t="str">
        <f>IF(AND($A102&gt;=SYear_O, $A102&lt;=EYear_O, AW$3&gt;0), AW$3 * VLOOKUP($A102, Data_All!$A$8:$CA$153, MATCH(AW$2, Data_All!$B$2:$CA$2, 0)+1), "")</f>
        <v/>
      </c>
      <c r="AX102" s="206" t="str">
        <f>IF(AND($A102&gt;=SYear_O, $A102&lt;=EYear_O, AX$3&gt;0), AX$3 * VLOOKUP($A102, Data_All!$A$8:$CA$153, MATCH(AX$2, Data_All!$B$2:$CA$2, 0)+1), "")</f>
        <v/>
      </c>
      <c r="AY102" s="206" t="str">
        <f>IF(AND($A102&gt;=SYear_O, $A102&lt;=EYear_O, AY$3&gt;0), AY$3 * VLOOKUP($A102, Data_All!$A$8:$CA$153, MATCH(AY$2, Data_All!$B$2:$CA$2, 0)+1), "")</f>
        <v/>
      </c>
      <c r="AZ102" s="206" t="str">
        <f>IF(AND($A102&gt;=SYear_O, $A102&lt;=EYear_O, AZ$3&gt;0), AZ$3 * VLOOKUP($A102, Data_All!$A$8:$CA$153, MATCH(AZ$2, Data_All!$B$2:$CA$2, 0)+1), "")</f>
        <v/>
      </c>
      <c r="BA102" s="206" t="str">
        <f>IF(AND($A102&gt;=SYear_O, $A102&lt;=EYear_O, BA$3&gt;0), BA$3 * VLOOKUP($A102, Data_All!$A$8:$CA$153, MATCH(BA$2, Data_All!$B$2:$CA$2, 0)+1), "")</f>
        <v/>
      </c>
      <c r="BB102" s="206" t="str">
        <f>IF(AND($A102&gt;=SYear_O, $A102&lt;=EYear_O, BB$3&gt;0), BB$3 * VLOOKUP($A102, Data_All!$A$8:$CA$153, MATCH(BB$2, Data_All!$B$2:$CA$2, 0)+1), "")</f>
        <v/>
      </c>
      <c r="BC102" s="206" t="str">
        <f>IF(AND($A102&gt;=SYear_O, $A102&lt;=EYear_O, BC$3&gt;0), BC$3 * VLOOKUP($A102, Data_All!$A$8:$CA$153, MATCH(BC$2, Data_All!$B$2:$CA$2, 0)+1), "")</f>
        <v/>
      </c>
      <c r="BD102" s="206" t="str">
        <f>IF(AND($A102&gt;=SYear_O, $A102&lt;=EYear_O, BD$3&gt;0), BD$3 * VLOOKUP($A102, Data_All!$A$8:$CA$153, MATCH(BD$2, Data_All!$B$2:$CA$2, 0)+1), "")</f>
        <v/>
      </c>
      <c r="BE102" s="206" t="str">
        <f>IF(AND($A102&gt;=SYear_O, $A102&lt;=EYear_O, BE$3&gt;0), BE$3 * VLOOKUP($A102, Data_All!$A$8:$CA$153, MATCH(BE$2, Data_All!$B$2:$CA$2, 0)+1), "")</f>
        <v/>
      </c>
      <c r="BF102" s="206" t="str">
        <f>IF(AND($A102&gt;=SYear_O, $A102&lt;=EYear_O, BF$3&gt;0), BF$3 * VLOOKUP($A102, Data_All!$A$8:$CA$153, MATCH(BF$2, Data_All!$B$2:$CA$2, 0)+1), "")</f>
        <v/>
      </c>
      <c r="BG102" s="206" t="str">
        <f>IF(AND($A102&gt;=SYear_O, $A102&lt;=EYear_O, BG$3&gt;0), BG$3 * VLOOKUP($A102, Data_All!$A$8:$CA$153, MATCH(BG$2, Data_All!$B$2:$CA$2, 0)+1), "")</f>
        <v/>
      </c>
      <c r="BH102" s="206" t="str">
        <f>IF(AND($A102&gt;=SYear_O, $A102&lt;=EYear_O, BH$3&gt;0), BH$3 * VLOOKUP($A102, Data_All!$A$8:$CA$153, MATCH(BH$2, Data_All!$B$2:$CA$2, 0)+1), "")</f>
        <v/>
      </c>
      <c r="BI102" s="206" t="str">
        <f>IF(AND($A102&gt;=SYear_O, $A102&lt;=EYear_O, BI$3&gt;0), BI$3 * VLOOKUP($A102, Data_All!$A$8:$CA$153, MATCH(BI$2, Data_All!$B$2:$CA$2, 0)+1), "")</f>
        <v/>
      </c>
      <c r="BJ102" s="206" t="str">
        <f>IF(AND($A102&gt;=SYear_O, $A102&lt;=EYear_O, BJ$3&gt;0), BJ$3 * VLOOKUP($A102, Data_All!$A$8:$CA$153, MATCH(BJ$2, Data_All!$B$2:$CA$2, 0)+1), "")</f>
        <v/>
      </c>
      <c r="BK102" s="206" t="str">
        <f>IF(AND($A102&gt;=SYear_O, $A102&lt;=EYear_O, BK$3&gt;0), BK$3 * VLOOKUP($A102, Data_All!$A$8:$CA$153, MATCH(BK$2, Data_All!$B$2:$CA$2, 0)+1), "")</f>
        <v/>
      </c>
      <c r="BL102" s="206" t="str">
        <f>IF(AND($A102&gt;=SYear_O, $A102&lt;=EYear_O, BL$3&gt;0), BL$3 * VLOOKUP($A102, Data_All!$A$8:$CA$153, MATCH(BL$2, Data_All!$B$2:$CA$2, 0)+1), "")</f>
        <v/>
      </c>
      <c r="BM102" s="206" t="str">
        <f>IF(AND($A102&gt;=SYear_O, $A102&lt;=EYear_O, BM$3&gt;0), BM$3 * VLOOKUP($A102, Data_All!$A$8:$CA$153, MATCH(BM$2, Data_All!$B$2:$CA$2, 0)+1), "")</f>
        <v/>
      </c>
      <c r="BN102" s="206" t="str">
        <f>IF(AND($A102&gt;=SYear_O, $A102&lt;=EYear_O, BN$3&gt;0), BN$3 * VLOOKUP($A102, Data_All!$A$8:$CA$153, MATCH(BN$2, Data_All!$B$2:$CA$2, 0)+1), "")</f>
        <v/>
      </c>
      <c r="BO102" s="206" t="str">
        <f>IF(AND($A102&gt;=SYear_O, $A102&lt;=EYear_O, BO$3&gt;0), BO$3 * VLOOKUP($A102, Data_All!$A$8:$CA$153, MATCH(BO$2, Data_All!$B$2:$CA$2, 0)+1), "")</f>
        <v/>
      </c>
      <c r="BP102" s="206" t="str">
        <f>IF(AND($A102&gt;=SYear_O, $A102&lt;=EYear_O, BP$3&gt;0), BP$3 * VLOOKUP($A102, Data_All!$A$8:$CA$153, MATCH(BP$2, Data_All!$B$2:$CA$2, 0)+1), "")</f>
        <v/>
      </c>
      <c r="BQ102" s="206" t="str">
        <f>IF(AND($A102&gt;=SYear_O, $A102&lt;=EYear_O, BQ$3&gt;0), BQ$3 * VLOOKUP($A102, Data_All!$A$8:$CA$153, MATCH(BQ$2, Data_All!$B$2:$CA$2, 0)+1), "")</f>
        <v/>
      </c>
      <c r="BR102" s="206" t="str">
        <f>IF(AND($A102&gt;=SYear_O, $A102&lt;=EYear_O, BR$3&gt;0), BR$3 * VLOOKUP($A102, Data_All!$A$8:$CA$153, MATCH(BR$2, Data_All!$B$2:$CA$2, 0)+1), "")</f>
        <v/>
      </c>
      <c r="BS102" s="206" t="str">
        <f>IF(AND($A102&gt;=SYear_O, $A102&lt;=EYear_O, BS$3&gt;0), BS$3 * VLOOKUP($A102, Data_All!$A$8:$CA$153, MATCH(BS$2, Data_All!$B$2:$CA$2, 0)+1), "")</f>
        <v/>
      </c>
      <c r="BT102" s="206" t="str">
        <f>IF(AND($A102&gt;=SYear_O, $A102&lt;=EYear_O, BT$3&gt;0), BT$3 * VLOOKUP($A102, Data_All!$A$8:$CA$153, MATCH(BT$2, Data_All!$B$2:$CA$2, 0)+1), "")</f>
        <v/>
      </c>
      <c r="BU102" s="206" t="str">
        <f>IF(AND($A102&gt;=SYear_O, $A102&lt;=EYear_O, BU$3&gt;0), BU$3 * VLOOKUP($A102, Data_All!$A$8:$CA$153, MATCH(BU$2, Data_All!$B$2:$CA$2, 0)+1), "")</f>
        <v/>
      </c>
      <c r="BV102" s="206" t="str">
        <f>IF(AND($A102&gt;=SYear_O, $A102&lt;=EYear_O, BV$3&gt;0), BV$3 * VLOOKUP($A102, Data_All!$A$8:$CA$153, MATCH(BV$2, Data_All!$B$2:$CA$2, 0)+1), "")</f>
        <v/>
      </c>
      <c r="BW102" s="206" t="str">
        <f>IF(AND($A102&gt;=SYear_O, $A102&lt;=EYear_O, BW$3&gt;0), BW$3 * VLOOKUP($A102, Data_All!$A$8:$CA$153, MATCH(BW$2, Data_All!$B$2:$CA$2, 0)+1), "")</f>
        <v/>
      </c>
      <c r="BX102" s="206">
        <f>IF(AND($A102&gt;=SYear_O, $A102&lt;=EYear_O, BX$3&gt;0), BX$3 * VLOOKUP($A102, Data_All!$A$8:$CA$153, MATCH(BX$2, Data_All!$B$2:$CA$2, 0)+1), "")</f>
        <v>-3.8576939562794621</v>
      </c>
      <c r="BY102" s="206">
        <f>IF(AND($A102&gt;=SYear_O, $A102&lt;=EYear_O, BY$3&gt;0), BY$3 * VLOOKUP($A102, Data_All!$A$8:$CA$153, MATCH(BY$2, Data_All!$B$2:$CA$2, 0)+1), "")</f>
        <v>2.0333377948772924</v>
      </c>
      <c r="BZ102" s="206" t="str">
        <f>IF(AND($A102&gt;=SYear_O, $A102&lt;=EYear_O, BZ$3&gt;0), BZ$3 * VLOOKUP($A102, Data_All!$A$8:$CA$153, MATCH(BZ$2, Data_All!$B$2:$CA$2, 0)+1), "")</f>
        <v/>
      </c>
      <c r="CA102" s="565">
        <f t="shared" si="35"/>
        <v>-1.8243561614021697</v>
      </c>
      <c r="CB102" s="427">
        <f t="shared" si="36"/>
        <v>5788851.5112912208</v>
      </c>
      <c r="CC102" s="565">
        <f>IF(AND($A102&gt;=SYear_O,$A102&lt;=EYear_O),(CA102-Data_All!CA103)/(1+Data_All!CA103%),"")</f>
        <v>-5.1068244964312655</v>
      </c>
      <c r="CD102" s="436">
        <f t="shared" si="37"/>
        <v>2193088.0959475981</v>
      </c>
      <c r="CE102" s="438">
        <f t="shared" si="38"/>
        <v>525.04442540741366</v>
      </c>
      <c r="CF102" s="438">
        <f>IF(AND($A102&gt;=SYear_O,$A102&lt;=EYear_O),MAX($CE$7:CE102),"")</f>
        <v>534.80110226788452</v>
      </c>
      <c r="CG102" s="209">
        <f t="shared" si="39"/>
        <v>1.8243561614021631E-2</v>
      </c>
      <c r="CI102" s="143">
        <f>IF(AND($A102&gt;=SYear_O,$A102&lt;=EYear_O),Data_All!V103,"")</f>
        <v>4.7856928764112308</v>
      </c>
      <c r="CJ102" s="143">
        <f>IF(AND($A102&gt;=SYear_O,$A102&lt;=EYear_O),Data_All!CA103,"")</f>
        <v>3.459119496855334</v>
      </c>
      <c r="CK102" s="143">
        <f t="shared" si="40"/>
        <v>1.2822198623063077</v>
      </c>
      <c r="CN102" s="61">
        <f t="shared" si="41"/>
        <v>-1.8243561614021631E-2</v>
      </c>
      <c r="CO102" s="61">
        <f t="shared" si="42"/>
        <v>5.0585966528113646E-2</v>
      </c>
      <c r="CP102" s="61">
        <f t="shared" si="43"/>
        <v>3.9521319092062912E-2</v>
      </c>
      <c r="CQ102" s="61">
        <f t="shared" si="44"/>
        <v>4.6178275761173504E-2</v>
      </c>
      <c r="CR102" s="61">
        <f t="shared" si="45"/>
        <v>6.0356308055500962E-2</v>
      </c>
      <c r="CU102" s="61">
        <f t="shared" si="46"/>
        <v>-5.1068244964312726E-2</v>
      </c>
      <c r="CV102" s="61">
        <f t="shared" si="47"/>
        <v>1.1790589936585771E-2</v>
      </c>
      <c r="CW102" s="61">
        <f t="shared" si="48"/>
        <v>-6.1010996503292336E-3</v>
      </c>
      <c r="CX102" s="61">
        <f t="shared" si="49"/>
        <v>-1.0492452380623574E-2</v>
      </c>
      <c r="CY102" s="61">
        <f t="shared" si="50"/>
        <v>-7.9210246024031816E-3</v>
      </c>
    </row>
    <row r="103" spans="1:103">
      <c r="A103" s="204">
        <f t="shared" si="51"/>
        <v>1967</v>
      </c>
      <c r="B103" s="206" t="str">
        <f>IF(AND($A103&gt;=SYear_O, $A103&lt;=EYear_O, B$3&gt;0), B$3 * VLOOKUP($A103, Data_All!$A$8:$CA$153, MATCH(B$2, Data_All!$B$2:$CA$2, 0)+1), "")</f>
        <v/>
      </c>
      <c r="C103" s="206" t="str">
        <f>IF(AND($A103&gt;=SYear_O, $A103&lt;=EYear_O, C$3&gt;0), C$3 * VLOOKUP($A103, Data_All!$A$8:$CA$153, MATCH(C$2, Data_All!$B$2:$CA$2, 0)+1), "")</f>
        <v/>
      </c>
      <c r="D103" s="206" t="str">
        <f>IF(AND($A103&gt;=SYear_O, $A103&lt;=EYear_O, D$3&gt;0), D$3 * VLOOKUP($A103, Data_All!$A$8:$CA$153, MATCH(D$2, Data_All!$B$2:$CA$2, 0)+1), "")</f>
        <v/>
      </c>
      <c r="E103" s="206" t="str">
        <f>IF(AND($A103&gt;=SYear_O, $A103&lt;=EYear_O, E$3&gt;0), E$3 * VLOOKUP($A103, Data_All!$A$8:$CA$153, MATCH(E$2, Data_All!$B$2:$CA$2, 0)+1), "")</f>
        <v/>
      </c>
      <c r="F103" s="206" t="str">
        <f>IF(AND($A103&gt;=SYear_O, $A103&lt;=EYear_O, F$3&gt;0), F$3 * VLOOKUP($A103, Data_All!$A$8:$CA$153, MATCH(F$2, Data_All!$B$2:$CA$2, 0)+1), "")</f>
        <v/>
      </c>
      <c r="G103" s="206" t="str">
        <f>IF(AND($A103&gt;=SYear_O, $A103&lt;=EYear_O, G$3&gt;0), G$3 * VLOOKUP($A103, Data_All!$A$8:$CA$153, MATCH(G$2, Data_All!$B$2:$CA$2, 0)+1), "")</f>
        <v/>
      </c>
      <c r="H103" s="206" t="str">
        <f>IF(AND($A103&gt;=SYear_O, $A103&lt;=EYear_O, H$3&gt;0), H$3 * VLOOKUP($A103, Data_All!$A$8:$CA$153, MATCH(H$2, Data_All!$B$2:$CA$2, 0)+1), "")</f>
        <v/>
      </c>
      <c r="I103" s="206" t="str">
        <f>IF(AND($A103&gt;=SYear_O, $A103&lt;=EYear_O, I$3&gt;0), I$3 * VLOOKUP($A103, Data_All!$A$8:$CA$153, MATCH(I$2, Data_All!$B$2:$CA$2, 0)+1), "")</f>
        <v/>
      </c>
      <c r="J103" s="206" t="str">
        <f>IF(AND($A103&gt;=SYear_O, $A103&lt;=EYear_O, J$3&gt;0), J$3 * VLOOKUP($A103, Data_All!$A$8:$CA$153, MATCH(J$2, Data_All!$B$2:$CA$2, 0)+1), "")</f>
        <v/>
      </c>
      <c r="K103" s="206" t="str">
        <f>IF(AND($A103&gt;=SYear_O, $A103&lt;=EYear_O, K$3&gt;0), K$3 * VLOOKUP($A103, Data_All!$A$8:$CA$153, MATCH(K$2, Data_All!$B$2:$CA$2, 0)+1), "")</f>
        <v/>
      </c>
      <c r="L103" s="206" t="str">
        <f>IF(AND($A103&gt;=SYear_O, $A103&lt;=EYear_O, L$3&gt;0), L$3 * VLOOKUP($A103, Data_All!$A$8:$CA$153, MATCH(L$2, Data_All!$B$2:$CA$2, 0)+1), "")</f>
        <v/>
      </c>
      <c r="M103" s="206" t="str">
        <f>IF(AND($A103&gt;=SYear_O, $A103&lt;=EYear_O, M$3&gt;0), M$3 * VLOOKUP($A103, Data_All!$A$8:$CA$153, MATCH(M$2, Data_All!$B$2:$CA$2, 0)+1), "")</f>
        <v/>
      </c>
      <c r="N103" s="206" t="str">
        <f>IF(AND($A103&gt;=SYear_O, $A103&lt;=EYear_O, N$3&gt;0), N$3 * VLOOKUP($A103, Data_All!$A$8:$CA$153, MATCH(N$2, Data_All!$B$2:$CA$2, 0)+1), "")</f>
        <v/>
      </c>
      <c r="O103" s="206" t="str">
        <f>IF(AND($A103&gt;=SYear_O, $A103&lt;=EYear_O, O$3&gt;0), O$3 * VLOOKUP($A103, Data_All!$A$8:$CA$153, MATCH(O$2, Data_All!$B$2:$CA$2, 0)+1), "")</f>
        <v/>
      </c>
      <c r="P103" s="206" t="str">
        <f>IF(AND($A103&gt;=SYear_O, $A103&lt;=EYear_O, P$3&gt;0), P$3 * VLOOKUP($A103, Data_All!$A$8:$CA$153, MATCH(P$2, Data_All!$B$2:$CA$2, 0)+1), "")</f>
        <v/>
      </c>
      <c r="Q103" s="206" t="str">
        <f>IF(AND($A103&gt;=SYear_O, $A103&lt;=EYear_O, Q$3&gt;0), Q$3 * VLOOKUP($A103, Data_All!$A$8:$CA$153, MATCH(Q$2, Data_All!$B$2:$CA$2, 0)+1), "")</f>
        <v/>
      </c>
      <c r="R103" s="206" t="str">
        <f>IF(AND($A103&gt;=SYear_O, $A103&lt;=EYear_O, R$3&gt;0), R$3 * VLOOKUP($A103, Data_All!$A$8:$CA$153, MATCH(R$2, Data_All!$B$2:$CA$2, 0)+1), "")</f>
        <v/>
      </c>
      <c r="S103" s="206" t="str">
        <f>IF(AND($A103&gt;=SYear_O, $A103&lt;=EYear_O, S$3&gt;0), S$3 * VLOOKUP($A103, Data_All!$A$8:$CA$153, MATCH(S$2, Data_All!$B$2:$CA$2, 0)+1), "")</f>
        <v/>
      </c>
      <c r="T103" s="206" t="str">
        <f>IF(AND($A103&gt;=SYear_O, $A103&lt;=EYear_O, T$3&gt;0), T$3 * VLOOKUP($A103, Data_All!$A$8:$CA$153, MATCH(T$2, Data_All!$B$2:$CA$2, 0)+1), "")</f>
        <v/>
      </c>
      <c r="U103" s="206" t="str">
        <f>IF(AND($A103&gt;=SYear_O, $A103&lt;=EYear_O, U$3&gt;0), U$3 * VLOOKUP($A103, Data_All!$A$8:$CA$153, MATCH(U$2, Data_All!$B$2:$CA$2, 0)+1), "")</f>
        <v/>
      </c>
      <c r="V103" s="206" t="str">
        <f>IF(AND($A103&gt;=SYear_O, $A103&lt;=EYear_O, V$3&gt;0), V$3 * VLOOKUP($A103, Data_All!$A$8:$CA$153, MATCH(V$2, Data_All!$B$2:$CA$2, 0)+1), "")</f>
        <v/>
      </c>
      <c r="W103" s="206" t="str">
        <f>IF(AND($A103&gt;=SYear_O, $A103&lt;=EYear_O, W$3&gt;0), W$3 * VLOOKUP($A103, Data_All!$A$8:$CA$153, MATCH(W$2, Data_All!$B$2:$CA$2, 0)+1), "")</f>
        <v/>
      </c>
      <c r="X103" s="206" t="str">
        <f>IF(AND($A103&gt;=SYear_O, $A103&lt;=EYear_O, X$3&gt;0), X$3 * VLOOKUP($A103, Data_All!$A$8:$CA$153, MATCH(X$2, Data_All!$B$2:$CA$2, 0)+1), "")</f>
        <v/>
      </c>
      <c r="Y103" s="206" t="str">
        <f>IF(AND($A103&gt;=SYear_O, $A103&lt;=EYear_O, Y$3&gt;0), Y$3 * VLOOKUP($A103, Data_All!$A$8:$CA$153, MATCH(Y$2, Data_All!$B$2:$CA$2, 0)+1), "")</f>
        <v/>
      </c>
      <c r="Z103" s="206" t="str">
        <f>IF(AND($A103&gt;=SYear_O, $A103&lt;=EYear_O, Z$3&gt;0), Z$3 * VLOOKUP($A103, Data_All!$A$8:$CA$153, MATCH(Z$2, Data_All!$B$2:$CA$2, 0)+1), "")</f>
        <v/>
      </c>
      <c r="AA103" s="206" t="str">
        <f>IF(AND($A103&gt;=SYear_O, $A103&lt;=EYear_O, AA$3&gt;0), AA$3 * VLOOKUP($A103, Data_All!$A$8:$CA$153, MATCH(AA$2, Data_All!$B$2:$CA$2, 0)+1), "")</f>
        <v/>
      </c>
      <c r="AB103" s="206" t="str">
        <f>IF(AND($A103&gt;=SYear_O, $A103&lt;=EYear_O, AB$3&gt;0), AB$3 * VLOOKUP($A103, Data_All!$A$8:$CA$153, MATCH(AB$2, Data_All!$B$2:$CA$2, 0)+1), "")</f>
        <v/>
      </c>
      <c r="AC103" s="206" t="str">
        <f>IF(AND($A103&gt;=SYear_O, $A103&lt;=EYear_O, AC$3&gt;0), AC$3 * VLOOKUP($A103, Data_All!$A$8:$CA$153, MATCH(AC$2, Data_All!$B$2:$CA$2, 0)+1), "")</f>
        <v/>
      </c>
      <c r="AD103" s="206" t="str">
        <f>IF(AND($A103&gt;=SYear_O, $A103&lt;=EYear_O, AD$3&gt;0), AD$3 * VLOOKUP($A103, Data_All!$A$8:$CA$153, MATCH(AD$2, Data_All!$B$2:$CA$2, 0)+1), "")</f>
        <v/>
      </c>
      <c r="AE103" s="206" t="str">
        <f>IF(AND($A103&gt;=SYear_O, $A103&lt;=EYear_O, AE$3&gt;0), AE$3 * VLOOKUP($A103, Data_All!$A$8:$CA$153, MATCH(AE$2, Data_All!$B$2:$CA$2, 0)+1), "")</f>
        <v/>
      </c>
      <c r="AF103" s="206" t="str">
        <f>IF(AND($A103&gt;=SYear_O, $A103&lt;=EYear_O, AF$3&gt;0), AF$3 * VLOOKUP($A103, Data_All!$A$8:$CA$153, MATCH(AF$2, Data_All!$B$2:$CA$2, 0)+1), "")</f>
        <v/>
      </c>
      <c r="AG103" s="206" t="str">
        <f>IF(AND($A103&gt;=SYear_O, $A103&lt;=EYear_O, AG$3&gt;0), AG$3 * VLOOKUP($A103, Data_All!$A$8:$CA$153, MATCH(AG$2, Data_All!$B$2:$CA$2, 0)+1), "")</f>
        <v/>
      </c>
      <c r="AH103" s="206" t="str">
        <f>IF(AND($A103&gt;=SYear_O, $A103&lt;=EYear_O, AH$3&gt;0), AH$3 * VLOOKUP($A103, Data_All!$A$8:$CA$153, MATCH(AH$2, Data_All!$B$2:$CA$2, 0)+1), "")</f>
        <v/>
      </c>
      <c r="AI103" s="206" t="str">
        <f>IF(AND($A103&gt;=SYear_O, $A103&lt;=EYear_O, AI$3&gt;0), AI$3 * VLOOKUP($A103, Data_All!$A$8:$CA$153, MATCH(AI$2, Data_All!$B$2:$CA$2, 0)+1), "")</f>
        <v/>
      </c>
      <c r="AJ103" s="206" t="str">
        <f>IF(AND($A103&gt;=SYear_O, $A103&lt;=EYear_O, AJ$3&gt;0), AJ$3 * VLOOKUP($A103, Data_All!$A$8:$CA$153, MATCH(AJ$2, Data_All!$B$2:$CA$2, 0)+1), "")</f>
        <v/>
      </c>
      <c r="AK103" s="206" t="str">
        <f>IF(AND($A103&gt;=SYear_O, $A103&lt;=EYear_O, AK$3&gt;0), AK$3 * VLOOKUP($A103, Data_All!$A$8:$CA$153, MATCH(AK$2, Data_All!$B$2:$CA$2, 0)+1), "")</f>
        <v/>
      </c>
      <c r="AL103" s="206" t="str">
        <f>IF(AND($A103&gt;=SYear_O, $A103&lt;=EYear_O, AL$3&gt;0), AL$3 * VLOOKUP($A103, Data_All!$A$8:$CA$153, MATCH(AL$2, Data_All!$B$2:$CA$2, 0)+1), "")</f>
        <v/>
      </c>
      <c r="AM103" s="206" t="str">
        <f>IF(AND($A103&gt;=SYear_O, $A103&lt;=EYear_O, AM$3&gt;0), AM$3 * VLOOKUP($A103, Data_All!$A$8:$CA$153, MATCH(AM$2, Data_All!$B$2:$CA$2, 0)+1), "")</f>
        <v/>
      </c>
      <c r="AN103" s="206" t="str">
        <f>IF(AND($A103&gt;=SYear_O, $A103&lt;=EYear_O, AN$3&gt;0), AN$3 * VLOOKUP($A103, Data_All!$A$8:$CA$153, MATCH(AN$2, Data_All!$B$2:$CA$2, 0)+1), "")</f>
        <v/>
      </c>
      <c r="AO103" s="206" t="str">
        <f>IF(AND($A103&gt;=SYear_O, $A103&lt;=EYear_O, AO$3&gt;0), AO$3 * VLOOKUP($A103, Data_All!$A$8:$CA$153, MATCH(AO$2, Data_All!$B$2:$CA$2, 0)+1), "")</f>
        <v/>
      </c>
      <c r="AP103" s="206" t="str">
        <f>IF(AND($A103&gt;=SYear_O, $A103&lt;=EYear_O, AP$3&gt;0), AP$3 * VLOOKUP($A103, Data_All!$A$8:$CA$153, MATCH(AP$2, Data_All!$B$2:$CA$2, 0)+1), "")</f>
        <v/>
      </c>
      <c r="AQ103" s="206" t="str">
        <f>IF(AND($A103&gt;=SYear_O, $A103&lt;=EYear_O, AQ$3&gt;0), AQ$3 * VLOOKUP($A103, Data_All!$A$8:$CA$153, MATCH(AQ$2, Data_All!$B$2:$CA$2, 0)+1), "")</f>
        <v/>
      </c>
      <c r="AR103" s="206" t="str">
        <f>IF(AND($A103&gt;=SYear_O, $A103&lt;=EYear_O, AR$3&gt;0), AR$3 * VLOOKUP($A103, Data_All!$A$8:$CA$153, MATCH(AR$2, Data_All!$B$2:$CA$2, 0)+1), "")</f>
        <v/>
      </c>
      <c r="AS103" s="206" t="str">
        <f>IF(AND($A103&gt;=SYear_O, $A103&lt;=EYear_O, AS$3&gt;0), AS$3 * VLOOKUP($A103, Data_All!$A$8:$CA$153, MATCH(AS$2, Data_All!$B$2:$CA$2, 0)+1), "")</f>
        <v/>
      </c>
      <c r="AT103" s="206" t="str">
        <f>IF(AND($A103&gt;=SYear_O, $A103&lt;=EYear_O, AT$3&gt;0), AT$3 * VLOOKUP($A103, Data_All!$A$8:$CA$153, MATCH(AT$2, Data_All!$B$2:$CA$2, 0)+1), "")</f>
        <v/>
      </c>
      <c r="AU103" s="206" t="str">
        <f>IF(AND($A103&gt;=SYear_O, $A103&lt;=EYear_O, AU$3&gt;0), AU$3 * VLOOKUP($A103, Data_All!$A$8:$CA$153, MATCH(AU$2, Data_All!$B$2:$CA$2, 0)+1), "")</f>
        <v/>
      </c>
      <c r="AV103" s="206" t="str">
        <f>IF(AND($A103&gt;=SYear_O, $A103&lt;=EYear_O, AV$3&gt;0), AV$3 * VLOOKUP($A103, Data_All!$A$8:$CA$153, MATCH(AV$2, Data_All!$B$2:$CA$2, 0)+1), "")</f>
        <v/>
      </c>
      <c r="AW103" s="206" t="str">
        <f>IF(AND($A103&gt;=SYear_O, $A103&lt;=EYear_O, AW$3&gt;0), AW$3 * VLOOKUP($A103, Data_All!$A$8:$CA$153, MATCH(AW$2, Data_All!$B$2:$CA$2, 0)+1), "")</f>
        <v/>
      </c>
      <c r="AX103" s="206" t="str">
        <f>IF(AND($A103&gt;=SYear_O, $A103&lt;=EYear_O, AX$3&gt;0), AX$3 * VLOOKUP($A103, Data_All!$A$8:$CA$153, MATCH(AX$2, Data_All!$B$2:$CA$2, 0)+1), "")</f>
        <v/>
      </c>
      <c r="AY103" s="206" t="str">
        <f>IF(AND($A103&gt;=SYear_O, $A103&lt;=EYear_O, AY$3&gt;0), AY$3 * VLOOKUP($A103, Data_All!$A$8:$CA$153, MATCH(AY$2, Data_All!$B$2:$CA$2, 0)+1), "")</f>
        <v/>
      </c>
      <c r="AZ103" s="206" t="str">
        <f>IF(AND($A103&gt;=SYear_O, $A103&lt;=EYear_O, AZ$3&gt;0), AZ$3 * VLOOKUP($A103, Data_All!$A$8:$CA$153, MATCH(AZ$2, Data_All!$B$2:$CA$2, 0)+1), "")</f>
        <v/>
      </c>
      <c r="BA103" s="206" t="str">
        <f>IF(AND($A103&gt;=SYear_O, $A103&lt;=EYear_O, BA$3&gt;0), BA$3 * VLOOKUP($A103, Data_All!$A$8:$CA$153, MATCH(BA$2, Data_All!$B$2:$CA$2, 0)+1), "")</f>
        <v/>
      </c>
      <c r="BB103" s="206" t="str">
        <f>IF(AND($A103&gt;=SYear_O, $A103&lt;=EYear_O, BB$3&gt;0), BB$3 * VLOOKUP($A103, Data_All!$A$8:$CA$153, MATCH(BB$2, Data_All!$B$2:$CA$2, 0)+1), "")</f>
        <v/>
      </c>
      <c r="BC103" s="206" t="str">
        <f>IF(AND($A103&gt;=SYear_O, $A103&lt;=EYear_O, BC$3&gt;0), BC$3 * VLOOKUP($A103, Data_All!$A$8:$CA$153, MATCH(BC$2, Data_All!$B$2:$CA$2, 0)+1), "")</f>
        <v/>
      </c>
      <c r="BD103" s="206" t="str">
        <f>IF(AND($A103&gt;=SYear_O, $A103&lt;=EYear_O, BD$3&gt;0), BD$3 * VLOOKUP($A103, Data_All!$A$8:$CA$153, MATCH(BD$2, Data_All!$B$2:$CA$2, 0)+1), "")</f>
        <v/>
      </c>
      <c r="BE103" s="206" t="str">
        <f>IF(AND($A103&gt;=SYear_O, $A103&lt;=EYear_O, BE$3&gt;0), BE$3 * VLOOKUP($A103, Data_All!$A$8:$CA$153, MATCH(BE$2, Data_All!$B$2:$CA$2, 0)+1), "")</f>
        <v/>
      </c>
      <c r="BF103" s="206" t="str">
        <f>IF(AND($A103&gt;=SYear_O, $A103&lt;=EYear_O, BF$3&gt;0), BF$3 * VLOOKUP($A103, Data_All!$A$8:$CA$153, MATCH(BF$2, Data_All!$B$2:$CA$2, 0)+1), "")</f>
        <v/>
      </c>
      <c r="BG103" s="206" t="str">
        <f>IF(AND($A103&gt;=SYear_O, $A103&lt;=EYear_O, BG$3&gt;0), BG$3 * VLOOKUP($A103, Data_All!$A$8:$CA$153, MATCH(BG$2, Data_All!$B$2:$CA$2, 0)+1), "")</f>
        <v/>
      </c>
      <c r="BH103" s="206" t="str">
        <f>IF(AND($A103&gt;=SYear_O, $A103&lt;=EYear_O, BH$3&gt;0), BH$3 * VLOOKUP($A103, Data_All!$A$8:$CA$153, MATCH(BH$2, Data_All!$B$2:$CA$2, 0)+1), "")</f>
        <v/>
      </c>
      <c r="BI103" s="206" t="str">
        <f>IF(AND($A103&gt;=SYear_O, $A103&lt;=EYear_O, BI$3&gt;0), BI$3 * VLOOKUP($A103, Data_All!$A$8:$CA$153, MATCH(BI$2, Data_All!$B$2:$CA$2, 0)+1), "")</f>
        <v/>
      </c>
      <c r="BJ103" s="206" t="str">
        <f>IF(AND($A103&gt;=SYear_O, $A103&lt;=EYear_O, BJ$3&gt;0), BJ$3 * VLOOKUP($A103, Data_All!$A$8:$CA$153, MATCH(BJ$2, Data_All!$B$2:$CA$2, 0)+1), "")</f>
        <v/>
      </c>
      <c r="BK103" s="206" t="str">
        <f>IF(AND($A103&gt;=SYear_O, $A103&lt;=EYear_O, BK$3&gt;0), BK$3 * VLOOKUP($A103, Data_All!$A$8:$CA$153, MATCH(BK$2, Data_All!$B$2:$CA$2, 0)+1), "")</f>
        <v/>
      </c>
      <c r="BL103" s="206" t="str">
        <f>IF(AND($A103&gt;=SYear_O, $A103&lt;=EYear_O, BL$3&gt;0), BL$3 * VLOOKUP($A103, Data_All!$A$8:$CA$153, MATCH(BL$2, Data_All!$B$2:$CA$2, 0)+1), "")</f>
        <v/>
      </c>
      <c r="BM103" s="206" t="str">
        <f>IF(AND($A103&gt;=SYear_O, $A103&lt;=EYear_O, BM$3&gt;0), BM$3 * VLOOKUP($A103, Data_All!$A$8:$CA$153, MATCH(BM$2, Data_All!$B$2:$CA$2, 0)+1), "")</f>
        <v/>
      </c>
      <c r="BN103" s="206" t="str">
        <f>IF(AND($A103&gt;=SYear_O, $A103&lt;=EYear_O, BN$3&gt;0), BN$3 * VLOOKUP($A103, Data_All!$A$8:$CA$153, MATCH(BN$2, Data_All!$B$2:$CA$2, 0)+1), "")</f>
        <v/>
      </c>
      <c r="BO103" s="206" t="str">
        <f>IF(AND($A103&gt;=SYear_O, $A103&lt;=EYear_O, BO$3&gt;0), BO$3 * VLOOKUP($A103, Data_All!$A$8:$CA$153, MATCH(BO$2, Data_All!$B$2:$CA$2, 0)+1), "")</f>
        <v/>
      </c>
      <c r="BP103" s="206" t="str">
        <f>IF(AND($A103&gt;=SYear_O, $A103&lt;=EYear_O, BP$3&gt;0), BP$3 * VLOOKUP($A103, Data_All!$A$8:$CA$153, MATCH(BP$2, Data_All!$B$2:$CA$2, 0)+1), "")</f>
        <v/>
      </c>
      <c r="BQ103" s="206" t="str">
        <f>IF(AND($A103&gt;=SYear_O, $A103&lt;=EYear_O, BQ$3&gt;0), BQ$3 * VLOOKUP($A103, Data_All!$A$8:$CA$153, MATCH(BQ$2, Data_All!$B$2:$CA$2, 0)+1), "")</f>
        <v/>
      </c>
      <c r="BR103" s="206" t="str">
        <f>IF(AND($A103&gt;=SYear_O, $A103&lt;=EYear_O, BR$3&gt;0), BR$3 * VLOOKUP($A103, Data_All!$A$8:$CA$153, MATCH(BR$2, Data_All!$B$2:$CA$2, 0)+1), "")</f>
        <v/>
      </c>
      <c r="BS103" s="206" t="str">
        <f>IF(AND($A103&gt;=SYear_O, $A103&lt;=EYear_O, BS$3&gt;0), BS$3 * VLOOKUP($A103, Data_All!$A$8:$CA$153, MATCH(BS$2, Data_All!$B$2:$CA$2, 0)+1), "")</f>
        <v/>
      </c>
      <c r="BT103" s="206" t="str">
        <f>IF(AND($A103&gt;=SYear_O, $A103&lt;=EYear_O, BT$3&gt;0), BT$3 * VLOOKUP($A103, Data_All!$A$8:$CA$153, MATCH(BT$2, Data_All!$B$2:$CA$2, 0)+1), "")</f>
        <v/>
      </c>
      <c r="BU103" s="206" t="str">
        <f>IF(AND($A103&gt;=SYear_O, $A103&lt;=EYear_O, BU$3&gt;0), BU$3 * VLOOKUP($A103, Data_All!$A$8:$CA$153, MATCH(BU$2, Data_All!$B$2:$CA$2, 0)+1), "")</f>
        <v/>
      </c>
      <c r="BV103" s="206" t="str">
        <f>IF(AND($A103&gt;=SYear_O, $A103&lt;=EYear_O, BV$3&gt;0), BV$3 * VLOOKUP($A103, Data_All!$A$8:$CA$153, MATCH(BV$2, Data_All!$B$2:$CA$2, 0)+1), "")</f>
        <v/>
      </c>
      <c r="BW103" s="206" t="str">
        <f>IF(AND($A103&gt;=SYear_O, $A103&lt;=EYear_O, BW$3&gt;0), BW$3 * VLOOKUP($A103, Data_All!$A$8:$CA$153, MATCH(BW$2, Data_All!$B$2:$CA$2, 0)+1), "")</f>
        <v/>
      </c>
      <c r="BX103" s="206">
        <f>IF(AND($A103&gt;=SYear_O, $A103&lt;=EYear_O, BX$3&gt;0), BX$3 * VLOOKUP($A103, Data_All!$A$8:$CA$153, MATCH(BX$2, Data_All!$B$2:$CA$2, 0)+1), "")</f>
        <v>9.5985790408525826</v>
      </c>
      <c r="BY103" s="206">
        <f>IF(AND($A103&gt;=SYear_O, $A103&lt;=EYear_O, BY$3&gt;0), BY$3 * VLOOKUP($A103, Data_All!$A$8:$CA$153, MATCH(BY$2, Data_All!$B$2:$CA$2, 0)+1), "")</f>
        <v>0.31494226533832936</v>
      </c>
      <c r="BZ103" s="206" t="str">
        <f>IF(AND($A103&gt;=SYear_O, $A103&lt;=EYear_O, BZ$3&gt;0), BZ$3 * VLOOKUP($A103, Data_All!$A$8:$CA$153, MATCH(BZ$2, Data_All!$B$2:$CA$2, 0)+1), "")</f>
        <v/>
      </c>
      <c r="CA103" s="565">
        <f t="shared" ref="CA103:CA134" si="52">IF(AND($A103&gt;=SYear_O,$A103&lt;=EYear_O),SUM(B103:BZ103),"")</f>
        <v>9.913521306190912</v>
      </c>
      <c r="CB103" s="427">
        <f t="shared" ref="CB103:CB134" si="53">IF(AND($A103&gt;=SYear_O,$A103&lt;=EYear_O),IF($A103=SYear_O,$CB$4*(1+CA103%),$CB102*(1+CA103%)),"")</f>
        <v>6362730.5392468311</v>
      </c>
      <c r="CC103" s="565">
        <f>IF(AND($A103&gt;=SYear_O,$A103&lt;=EYear_O),(CA103-Data_All!CA104)/(1+Data_All!CA104%),"")</f>
        <v>6.045596802747232</v>
      </c>
      <c r="CD103" s="436">
        <f t="shared" ref="CD103:CD134" si="54">IF(AND($A103&gt;=SYear_O,$A103&lt;=EYear_O),IF($A103=SYear_O,$CD$4*(1+CC103%),$CD102*(1+CC103%)),"")</f>
        <v>2325673.3597576362</v>
      </c>
      <c r="CE103" s="438">
        <f t="shared" ref="CE103:CE134" si="55">IF(AND($A103&gt;=SYear_O,$A103&lt;=EYear_O),IF($A103=SYear_O,CE$2,CE102*(1+CA103%)),"")</f>
        <v>577.09481638714533</v>
      </c>
      <c r="CF103" s="438">
        <f>IF(AND($A103&gt;=SYear_O,$A103&lt;=EYear_O),MAX($CE$7:CE103),"")</f>
        <v>577.09481638714533</v>
      </c>
      <c r="CG103" s="209">
        <f t="shared" ref="CG103:CG134" si="56">IF(AND($A103&gt;=SYear_O,$A103&lt;=EYear_O),1-(CE103/CF103),"")</f>
        <v>0</v>
      </c>
      <c r="CI103" s="143">
        <f>IF(AND($A103&gt;=SYear_O,$A103&lt;=EYear_O),Data_All!V104,"")</f>
        <v>4.6558097712059157</v>
      </c>
      <c r="CJ103" s="143">
        <f>IF(AND($A103&gt;=SYear_O,$A103&lt;=EYear_O),Data_All!CA104,"")</f>
        <v>3.6474164133738718</v>
      </c>
      <c r="CK103" s="143">
        <f t="shared" ref="CK103:CK134" si="57">IF(AND($A103&gt;=SYear_O,$A103&lt;=EYear_O),(CI103-CJ103)/(1+CJ103%),"")</f>
        <v>0.97290737456522691</v>
      </c>
      <c r="CN103" s="61">
        <f t="shared" ref="CN103:CN151" si="58">IF(AND($A103&gt;=SYear_O,$A103&lt;=EYear_O),IF($A103=SYear_O,($CB103/$CB$4)-1,($CB103/$CB102)-1),"")</f>
        <v>9.91352130619092E-2</v>
      </c>
      <c r="CO103" s="61">
        <f t="shared" ref="CO103:CO149" si="59">IF(AND($A103&gt;=SYear_O,$A103&lt;=EYear_O),IF($A103=SYear_O,(($CB105/$CB$4)^(1/(1+($A105-$A103)))-1),(($CB105/$CB102)^(1/(1+($A105-$A103)))-1)),"")</f>
        <v>3.7235647119496784E-2</v>
      </c>
      <c r="CP103" s="61">
        <f t="shared" ref="CP103:CP147" si="60">IF(AND($A103&gt;=SYear_O,$A103&lt;=EYear_O),IF($A103=SYear_O,(($CB107/$CB$4)^(1/(1+($A107-$A103)))-1),(($CB107/$CB102)^(1/(1+($A107-$A103)))-1)),"")</f>
        <v>6.6016423653249001E-2</v>
      </c>
      <c r="CQ103" s="61">
        <f t="shared" ref="CQ103:CQ142" si="61">IF(AND($A103&gt;=SYear_O,$A103&lt;=EYear_O),IF($A103=SYear_O,(($CB112/$CB$4)^(1/(1+($A112-$A103)))-1),(($CB112/$CB102)^(1/(1+($A112-$A103)))-1)),"")</f>
        <v>5.930276950119473E-2</v>
      </c>
      <c r="CR103" s="61">
        <f t="shared" ref="CR103:CR132" si="62">IF(AND($A103&gt;=SYear_O,$A103&lt;=EYear_O),IF($A103=SYear_O,(($CB117/$CB$4)^(1/(1+($A117-$A103)))-1),(($CB117/$CB102)^(1/(1+($A117-$A103)))-1)),"")</f>
        <v>6.0363898499491198E-2</v>
      </c>
      <c r="CU103" s="61">
        <f t="shared" ref="CU103:CU151" si="63">IF(AND($A103&gt;=SYear_O,$A103&lt;=EYear_O),IF($A103=SYear_O,($CD103/$CD$4)-1,($CD103/$CD102)-1),"")</f>
        <v>6.0455968027472329E-2</v>
      </c>
      <c r="CV103" s="61">
        <f t="shared" ref="CV103:CV149" si="64">IF(AND($A103&gt;=SYear_O,$A103&lt;=EYear_O),IF($A103=SYear_O,(($CD105/$CD$4)^(1/(1+($A105-$A103)))-1),(($CD105/$CD102)^(1/(1+($A105-$A103)))-1)),"")</f>
        <v>-9.6725889063429271E-3</v>
      </c>
      <c r="CW103" s="61">
        <f t="shared" ref="CW103:CW147" si="65">IF(AND($A103&gt;=SYear_O,$A103&lt;=EYear_O),IF($A103=SYear_O,(($CD107/$CD$4)^(1/(1+($A107-$A103)))-1),(($CD107/$CD102)^(1/(1+($A107-$A103)))-1)),"")</f>
        <v>1.9611466652422305E-2</v>
      </c>
      <c r="CX103" s="61">
        <f t="shared" ref="CX103:CX142" si="66">IF(AND($A103&gt;=SYear_O,$A103&lt;=EYear_O),IF($A103=SYear_O,(($CD112/$CD$4)^(1/(1+($A112-$A103)))-1),(($CD112/$CD102)^(1/(1+($A112-$A103)))-1)),"")</f>
        <v>5.6981966937952322E-4</v>
      </c>
      <c r="CY103" s="61">
        <f t="shared" ref="CY103:CY132" si="67">IF(AND($A103&gt;=SYear_O,$A103&lt;=EYear_O),IF($A103=SYear_O,(($CD117/$CD$4)^(1/(1+($A117-$A103)))-1),(($CD117/$CD102)^(1/(1+($A117-$A103)))-1)),"")</f>
        <v>-1.1311530026727912E-2</v>
      </c>
    </row>
    <row r="104" spans="1:103">
      <c r="A104" s="204">
        <f t="shared" si="51"/>
        <v>1968</v>
      </c>
      <c r="B104" s="206" t="str">
        <f>IF(AND($A104&gt;=SYear_O, $A104&lt;=EYear_O, B$3&gt;0), B$3 * VLOOKUP($A104, Data_All!$A$8:$CA$153, MATCH(B$2, Data_All!$B$2:$CA$2, 0)+1), "")</f>
        <v/>
      </c>
      <c r="C104" s="206" t="str">
        <f>IF(AND($A104&gt;=SYear_O, $A104&lt;=EYear_O, C$3&gt;0), C$3 * VLOOKUP($A104, Data_All!$A$8:$CA$153, MATCH(C$2, Data_All!$B$2:$CA$2, 0)+1), "")</f>
        <v/>
      </c>
      <c r="D104" s="206" t="str">
        <f>IF(AND($A104&gt;=SYear_O, $A104&lt;=EYear_O, D$3&gt;0), D$3 * VLOOKUP($A104, Data_All!$A$8:$CA$153, MATCH(D$2, Data_All!$B$2:$CA$2, 0)+1), "")</f>
        <v/>
      </c>
      <c r="E104" s="206" t="str">
        <f>IF(AND($A104&gt;=SYear_O, $A104&lt;=EYear_O, E$3&gt;0), E$3 * VLOOKUP($A104, Data_All!$A$8:$CA$153, MATCH(E$2, Data_All!$B$2:$CA$2, 0)+1), "")</f>
        <v/>
      </c>
      <c r="F104" s="206" t="str">
        <f>IF(AND($A104&gt;=SYear_O, $A104&lt;=EYear_O, F$3&gt;0), F$3 * VLOOKUP($A104, Data_All!$A$8:$CA$153, MATCH(F$2, Data_All!$B$2:$CA$2, 0)+1), "")</f>
        <v/>
      </c>
      <c r="G104" s="206" t="str">
        <f>IF(AND($A104&gt;=SYear_O, $A104&lt;=EYear_O, G$3&gt;0), G$3 * VLOOKUP($A104, Data_All!$A$8:$CA$153, MATCH(G$2, Data_All!$B$2:$CA$2, 0)+1), "")</f>
        <v/>
      </c>
      <c r="H104" s="206" t="str">
        <f>IF(AND($A104&gt;=SYear_O, $A104&lt;=EYear_O, H$3&gt;0), H$3 * VLOOKUP($A104, Data_All!$A$8:$CA$153, MATCH(H$2, Data_All!$B$2:$CA$2, 0)+1), "")</f>
        <v/>
      </c>
      <c r="I104" s="206" t="str">
        <f>IF(AND($A104&gt;=SYear_O, $A104&lt;=EYear_O, I$3&gt;0), I$3 * VLOOKUP($A104, Data_All!$A$8:$CA$153, MATCH(I$2, Data_All!$B$2:$CA$2, 0)+1), "")</f>
        <v/>
      </c>
      <c r="J104" s="206" t="str">
        <f>IF(AND($A104&gt;=SYear_O, $A104&lt;=EYear_O, J$3&gt;0), J$3 * VLOOKUP($A104, Data_All!$A$8:$CA$153, MATCH(J$2, Data_All!$B$2:$CA$2, 0)+1), "")</f>
        <v/>
      </c>
      <c r="K104" s="206" t="str">
        <f>IF(AND($A104&gt;=SYear_O, $A104&lt;=EYear_O, K$3&gt;0), K$3 * VLOOKUP($A104, Data_All!$A$8:$CA$153, MATCH(K$2, Data_All!$B$2:$CA$2, 0)+1), "")</f>
        <v/>
      </c>
      <c r="L104" s="206" t="str">
        <f>IF(AND($A104&gt;=SYear_O, $A104&lt;=EYear_O, L$3&gt;0), L$3 * VLOOKUP($A104, Data_All!$A$8:$CA$153, MATCH(L$2, Data_All!$B$2:$CA$2, 0)+1), "")</f>
        <v/>
      </c>
      <c r="M104" s="206" t="str">
        <f>IF(AND($A104&gt;=SYear_O, $A104&lt;=EYear_O, M$3&gt;0), M$3 * VLOOKUP($A104, Data_All!$A$8:$CA$153, MATCH(M$2, Data_All!$B$2:$CA$2, 0)+1), "")</f>
        <v/>
      </c>
      <c r="N104" s="206" t="str">
        <f>IF(AND($A104&gt;=SYear_O, $A104&lt;=EYear_O, N$3&gt;0), N$3 * VLOOKUP($A104, Data_All!$A$8:$CA$153, MATCH(N$2, Data_All!$B$2:$CA$2, 0)+1), "")</f>
        <v/>
      </c>
      <c r="O104" s="206" t="str">
        <f>IF(AND($A104&gt;=SYear_O, $A104&lt;=EYear_O, O$3&gt;0), O$3 * VLOOKUP($A104, Data_All!$A$8:$CA$153, MATCH(O$2, Data_All!$B$2:$CA$2, 0)+1), "")</f>
        <v/>
      </c>
      <c r="P104" s="206" t="str">
        <f>IF(AND($A104&gt;=SYear_O, $A104&lt;=EYear_O, P$3&gt;0), P$3 * VLOOKUP($A104, Data_All!$A$8:$CA$153, MATCH(P$2, Data_All!$B$2:$CA$2, 0)+1), "")</f>
        <v/>
      </c>
      <c r="Q104" s="206" t="str">
        <f>IF(AND($A104&gt;=SYear_O, $A104&lt;=EYear_O, Q$3&gt;0), Q$3 * VLOOKUP($A104, Data_All!$A$8:$CA$153, MATCH(Q$2, Data_All!$B$2:$CA$2, 0)+1), "")</f>
        <v/>
      </c>
      <c r="R104" s="206" t="str">
        <f>IF(AND($A104&gt;=SYear_O, $A104&lt;=EYear_O, R$3&gt;0), R$3 * VLOOKUP($A104, Data_All!$A$8:$CA$153, MATCH(R$2, Data_All!$B$2:$CA$2, 0)+1), "")</f>
        <v/>
      </c>
      <c r="S104" s="206" t="str">
        <f>IF(AND($A104&gt;=SYear_O, $A104&lt;=EYear_O, S$3&gt;0), S$3 * VLOOKUP($A104, Data_All!$A$8:$CA$153, MATCH(S$2, Data_All!$B$2:$CA$2, 0)+1), "")</f>
        <v/>
      </c>
      <c r="T104" s="206" t="str">
        <f>IF(AND($A104&gt;=SYear_O, $A104&lt;=EYear_O, T$3&gt;0), T$3 * VLOOKUP($A104, Data_All!$A$8:$CA$153, MATCH(T$2, Data_All!$B$2:$CA$2, 0)+1), "")</f>
        <v/>
      </c>
      <c r="U104" s="206" t="str">
        <f>IF(AND($A104&gt;=SYear_O, $A104&lt;=EYear_O, U$3&gt;0), U$3 * VLOOKUP($A104, Data_All!$A$8:$CA$153, MATCH(U$2, Data_All!$B$2:$CA$2, 0)+1), "")</f>
        <v/>
      </c>
      <c r="V104" s="206" t="str">
        <f>IF(AND($A104&gt;=SYear_O, $A104&lt;=EYear_O, V$3&gt;0), V$3 * VLOOKUP($A104, Data_All!$A$8:$CA$153, MATCH(V$2, Data_All!$B$2:$CA$2, 0)+1), "")</f>
        <v/>
      </c>
      <c r="W104" s="206" t="str">
        <f>IF(AND($A104&gt;=SYear_O, $A104&lt;=EYear_O, W$3&gt;0), W$3 * VLOOKUP($A104, Data_All!$A$8:$CA$153, MATCH(W$2, Data_All!$B$2:$CA$2, 0)+1), "")</f>
        <v/>
      </c>
      <c r="X104" s="206" t="str">
        <f>IF(AND($A104&gt;=SYear_O, $A104&lt;=EYear_O, X$3&gt;0), X$3 * VLOOKUP($A104, Data_All!$A$8:$CA$153, MATCH(X$2, Data_All!$B$2:$CA$2, 0)+1), "")</f>
        <v/>
      </c>
      <c r="Y104" s="206" t="str">
        <f>IF(AND($A104&gt;=SYear_O, $A104&lt;=EYear_O, Y$3&gt;0), Y$3 * VLOOKUP($A104, Data_All!$A$8:$CA$153, MATCH(Y$2, Data_All!$B$2:$CA$2, 0)+1), "")</f>
        <v/>
      </c>
      <c r="Z104" s="206" t="str">
        <f>IF(AND($A104&gt;=SYear_O, $A104&lt;=EYear_O, Z$3&gt;0), Z$3 * VLOOKUP($A104, Data_All!$A$8:$CA$153, MATCH(Z$2, Data_All!$B$2:$CA$2, 0)+1), "")</f>
        <v/>
      </c>
      <c r="AA104" s="206" t="str">
        <f>IF(AND($A104&gt;=SYear_O, $A104&lt;=EYear_O, AA$3&gt;0), AA$3 * VLOOKUP($A104, Data_All!$A$8:$CA$153, MATCH(AA$2, Data_All!$B$2:$CA$2, 0)+1), "")</f>
        <v/>
      </c>
      <c r="AB104" s="206" t="str">
        <f>IF(AND($A104&gt;=SYear_O, $A104&lt;=EYear_O, AB$3&gt;0), AB$3 * VLOOKUP($A104, Data_All!$A$8:$CA$153, MATCH(AB$2, Data_All!$B$2:$CA$2, 0)+1), "")</f>
        <v/>
      </c>
      <c r="AC104" s="206" t="str">
        <f>IF(AND($A104&gt;=SYear_O, $A104&lt;=EYear_O, AC$3&gt;0), AC$3 * VLOOKUP($A104, Data_All!$A$8:$CA$153, MATCH(AC$2, Data_All!$B$2:$CA$2, 0)+1), "")</f>
        <v/>
      </c>
      <c r="AD104" s="206" t="str">
        <f>IF(AND($A104&gt;=SYear_O, $A104&lt;=EYear_O, AD$3&gt;0), AD$3 * VLOOKUP($A104, Data_All!$A$8:$CA$153, MATCH(AD$2, Data_All!$B$2:$CA$2, 0)+1), "")</f>
        <v/>
      </c>
      <c r="AE104" s="206" t="str">
        <f>IF(AND($A104&gt;=SYear_O, $A104&lt;=EYear_O, AE$3&gt;0), AE$3 * VLOOKUP($A104, Data_All!$A$8:$CA$153, MATCH(AE$2, Data_All!$B$2:$CA$2, 0)+1), "")</f>
        <v/>
      </c>
      <c r="AF104" s="206" t="str">
        <f>IF(AND($A104&gt;=SYear_O, $A104&lt;=EYear_O, AF$3&gt;0), AF$3 * VLOOKUP($A104, Data_All!$A$8:$CA$153, MATCH(AF$2, Data_All!$B$2:$CA$2, 0)+1), "")</f>
        <v/>
      </c>
      <c r="AG104" s="206" t="str">
        <f>IF(AND($A104&gt;=SYear_O, $A104&lt;=EYear_O, AG$3&gt;0), AG$3 * VLOOKUP($A104, Data_All!$A$8:$CA$153, MATCH(AG$2, Data_All!$B$2:$CA$2, 0)+1), "")</f>
        <v/>
      </c>
      <c r="AH104" s="206" t="str">
        <f>IF(AND($A104&gt;=SYear_O, $A104&lt;=EYear_O, AH$3&gt;0), AH$3 * VLOOKUP($A104, Data_All!$A$8:$CA$153, MATCH(AH$2, Data_All!$B$2:$CA$2, 0)+1), "")</f>
        <v/>
      </c>
      <c r="AI104" s="206" t="str">
        <f>IF(AND($A104&gt;=SYear_O, $A104&lt;=EYear_O, AI$3&gt;0), AI$3 * VLOOKUP($A104, Data_All!$A$8:$CA$153, MATCH(AI$2, Data_All!$B$2:$CA$2, 0)+1), "")</f>
        <v/>
      </c>
      <c r="AJ104" s="206" t="str">
        <f>IF(AND($A104&gt;=SYear_O, $A104&lt;=EYear_O, AJ$3&gt;0), AJ$3 * VLOOKUP($A104, Data_All!$A$8:$CA$153, MATCH(AJ$2, Data_All!$B$2:$CA$2, 0)+1), "")</f>
        <v/>
      </c>
      <c r="AK104" s="206" t="str">
        <f>IF(AND($A104&gt;=SYear_O, $A104&lt;=EYear_O, AK$3&gt;0), AK$3 * VLOOKUP($A104, Data_All!$A$8:$CA$153, MATCH(AK$2, Data_All!$B$2:$CA$2, 0)+1), "")</f>
        <v/>
      </c>
      <c r="AL104" s="206" t="str">
        <f>IF(AND($A104&gt;=SYear_O, $A104&lt;=EYear_O, AL$3&gt;0), AL$3 * VLOOKUP($A104, Data_All!$A$8:$CA$153, MATCH(AL$2, Data_All!$B$2:$CA$2, 0)+1), "")</f>
        <v/>
      </c>
      <c r="AM104" s="206" t="str">
        <f>IF(AND($A104&gt;=SYear_O, $A104&lt;=EYear_O, AM$3&gt;0), AM$3 * VLOOKUP($A104, Data_All!$A$8:$CA$153, MATCH(AM$2, Data_All!$B$2:$CA$2, 0)+1), "")</f>
        <v/>
      </c>
      <c r="AN104" s="206" t="str">
        <f>IF(AND($A104&gt;=SYear_O, $A104&lt;=EYear_O, AN$3&gt;0), AN$3 * VLOOKUP($A104, Data_All!$A$8:$CA$153, MATCH(AN$2, Data_All!$B$2:$CA$2, 0)+1), "")</f>
        <v/>
      </c>
      <c r="AO104" s="206" t="str">
        <f>IF(AND($A104&gt;=SYear_O, $A104&lt;=EYear_O, AO$3&gt;0), AO$3 * VLOOKUP($A104, Data_All!$A$8:$CA$153, MATCH(AO$2, Data_All!$B$2:$CA$2, 0)+1), "")</f>
        <v/>
      </c>
      <c r="AP104" s="206" t="str">
        <f>IF(AND($A104&gt;=SYear_O, $A104&lt;=EYear_O, AP$3&gt;0), AP$3 * VLOOKUP($A104, Data_All!$A$8:$CA$153, MATCH(AP$2, Data_All!$B$2:$CA$2, 0)+1), "")</f>
        <v/>
      </c>
      <c r="AQ104" s="206" t="str">
        <f>IF(AND($A104&gt;=SYear_O, $A104&lt;=EYear_O, AQ$3&gt;0), AQ$3 * VLOOKUP($A104, Data_All!$A$8:$CA$153, MATCH(AQ$2, Data_All!$B$2:$CA$2, 0)+1), "")</f>
        <v/>
      </c>
      <c r="AR104" s="206" t="str">
        <f>IF(AND($A104&gt;=SYear_O, $A104&lt;=EYear_O, AR$3&gt;0), AR$3 * VLOOKUP($A104, Data_All!$A$8:$CA$153, MATCH(AR$2, Data_All!$B$2:$CA$2, 0)+1), "")</f>
        <v/>
      </c>
      <c r="AS104" s="206" t="str">
        <f>IF(AND($A104&gt;=SYear_O, $A104&lt;=EYear_O, AS$3&gt;0), AS$3 * VLOOKUP($A104, Data_All!$A$8:$CA$153, MATCH(AS$2, Data_All!$B$2:$CA$2, 0)+1), "")</f>
        <v/>
      </c>
      <c r="AT104" s="206" t="str">
        <f>IF(AND($A104&gt;=SYear_O, $A104&lt;=EYear_O, AT$3&gt;0), AT$3 * VLOOKUP($A104, Data_All!$A$8:$CA$153, MATCH(AT$2, Data_All!$B$2:$CA$2, 0)+1), "")</f>
        <v/>
      </c>
      <c r="AU104" s="206" t="str">
        <f>IF(AND($A104&gt;=SYear_O, $A104&lt;=EYear_O, AU$3&gt;0), AU$3 * VLOOKUP($A104, Data_All!$A$8:$CA$153, MATCH(AU$2, Data_All!$B$2:$CA$2, 0)+1), "")</f>
        <v/>
      </c>
      <c r="AV104" s="206" t="str">
        <f>IF(AND($A104&gt;=SYear_O, $A104&lt;=EYear_O, AV$3&gt;0), AV$3 * VLOOKUP($A104, Data_All!$A$8:$CA$153, MATCH(AV$2, Data_All!$B$2:$CA$2, 0)+1), "")</f>
        <v/>
      </c>
      <c r="AW104" s="206" t="str">
        <f>IF(AND($A104&gt;=SYear_O, $A104&lt;=EYear_O, AW$3&gt;0), AW$3 * VLOOKUP($A104, Data_All!$A$8:$CA$153, MATCH(AW$2, Data_All!$B$2:$CA$2, 0)+1), "")</f>
        <v/>
      </c>
      <c r="AX104" s="206" t="str">
        <f>IF(AND($A104&gt;=SYear_O, $A104&lt;=EYear_O, AX$3&gt;0), AX$3 * VLOOKUP($A104, Data_All!$A$8:$CA$153, MATCH(AX$2, Data_All!$B$2:$CA$2, 0)+1), "")</f>
        <v/>
      </c>
      <c r="AY104" s="206" t="str">
        <f>IF(AND($A104&gt;=SYear_O, $A104&lt;=EYear_O, AY$3&gt;0), AY$3 * VLOOKUP($A104, Data_All!$A$8:$CA$153, MATCH(AY$2, Data_All!$B$2:$CA$2, 0)+1), "")</f>
        <v/>
      </c>
      <c r="AZ104" s="206" t="str">
        <f>IF(AND($A104&gt;=SYear_O, $A104&lt;=EYear_O, AZ$3&gt;0), AZ$3 * VLOOKUP($A104, Data_All!$A$8:$CA$153, MATCH(AZ$2, Data_All!$B$2:$CA$2, 0)+1), "")</f>
        <v/>
      </c>
      <c r="BA104" s="206" t="str">
        <f>IF(AND($A104&gt;=SYear_O, $A104&lt;=EYear_O, BA$3&gt;0), BA$3 * VLOOKUP($A104, Data_All!$A$8:$CA$153, MATCH(BA$2, Data_All!$B$2:$CA$2, 0)+1), "")</f>
        <v/>
      </c>
      <c r="BB104" s="206" t="str">
        <f>IF(AND($A104&gt;=SYear_O, $A104&lt;=EYear_O, BB$3&gt;0), BB$3 * VLOOKUP($A104, Data_All!$A$8:$CA$153, MATCH(BB$2, Data_All!$B$2:$CA$2, 0)+1), "")</f>
        <v/>
      </c>
      <c r="BC104" s="206" t="str">
        <f>IF(AND($A104&gt;=SYear_O, $A104&lt;=EYear_O, BC$3&gt;0), BC$3 * VLOOKUP($A104, Data_All!$A$8:$CA$153, MATCH(BC$2, Data_All!$B$2:$CA$2, 0)+1), "")</f>
        <v/>
      </c>
      <c r="BD104" s="206" t="str">
        <f>IF(AND($A104&gt;=SYear_O, $A104&lt;=EYear_O, BD$3&gt;0), BD$3 * VLOOKUP($A104, Data_All!$A$8:$CA$153, MATCH(BD$2, Data_All!$B$2:$CA$2, 0)+1), "")</f>
        <v/>
      </c>
      <c r="BE104" s="206" t="str">
        <f>IF(AND($A104&gt;=SYear_O, $A104&lt;=EYear_O, BE$3&gt;0), BE$3 * VLOOKUP($A104, Data_All!$A$8:$CA$153, MATCH(BE$2, Data_All!$B$2:$CA$2, 0)+1), "")</f>
        <v/>
      </c>
      <c r="BF104" s="206" t="str">
        <f>IF(AND($A104&gt;=SYear_O, $A104&lt;=EYear_O, BF$3&gt;0), BF$3 * VLOOKUP($A104, Data_All!$A$8:$CA$153, MATCH(BF$2, Data_All!$B$2:$CA$2, 0)+1), "")</f>
        <v/>
      </c>
      <c r="BG104" s="206" t="str">
        <f>IF(AND($A104&gt;=SYear_O, $A104&lt;=EYear_O, BG$3&gt;0), BG$3 * VLOOKUP($A104, Data_All!$A$8:$CA$153, MATCH(BG$2, Data_All!$B$2:$CA$2, 0)+1), "")</f>
        <v/>
      </c>
      <c r="BH104" s="206" t="str">
        <f>IF(AND($A104&gt;=SYear_O, $A104&lt;=EYear_O, BH$3&gt;0), BH$3 * VLOOKUP($A104, Data_All!$A$8:$CA$153, MATCH(BH$2, Data_All!$B$2:$CA$2, 0)+1), "")</f>
        <v/>
      </c>
      <c r="BI104" s="206" t="str">
        <f>IF(AND($A104&gt;=SYear_O, $A104&lt;=EYear_O, BI$3&gt;0), BI$3 * VLOOKUP($A104, Data_All!$A$8:$CA$153, MATCH(BI$2, Data_All!$B$2:$CA$2, 0)+1), "")</f>
        <v/>
      </c>
      <c r="BJ104" s="206" t="str">
        <f>IF(AND($A104&gt;=SYear_O, $A104&lt;=EYear_O, BJ$3&gt;0), BJ$3 * VLOOKUP($A104, Data_All!$A$8:$CA$153, MATCH(BJ$2, Data_All!$B$2:$CA$2, 0)+1), "")</f>
        <v/>
      </c>
      <c r="BK104" s="206" t="str">
        <f>IF(AND($A104&gt;=SYear_O, $A104&lt;=EYear_O, BK$3&gt;0), BK$3 * VLOOKUP($A104, Data_All!$A$8:$CA$153, MATCH(BK$2, Data_All!$B$2:$CA$2, 0)+1), "")</f>
        <v/>
      </c>
      <c r="BL104" s="206" t="str">
        <f>IF(AND($A104&gt;=SYear_O, $A104&lt;=EYear_O, BL$3&gt;0), BL$3 * VLOOKUP($A104, Data_All!$A$8:$CA$153, MATCH(BL$2, Data_All!$B$2:$CA$2, 0)+1), "")</f>
        <v/>
      </c>
      <c r="BM104" s="206" t="str">
        <f>IF(AND($A104&gt;=SYear_O, $A104&lt;=EYear_O, BM$3&gt;0), BM$3 * VLOOKUP($A104, Data_All!$A$8:$CA$153, MATCH(BM$2, Data_All!$B$2:$CA$2, 0)+1), "")</f>
        <v/>
      </c>
      <c r="BN104" s="206" t="str">
        <f>IF(AND($A104&gt;=SYear_O, $A104&lt;=EYear_O, BN$3&gt;0), BN$3 * VLOOKUP($A104, Data_All!$A$8:$CA$153, MATCH(BN$2, Data_All!$B$2:$CA$2, 0)+1), "")</f>
        <v/>
      </c>
      <c r="BO104" s="206" t="str">
        <f>IF(AND($A104&gt;=SYear_O, $A104&lt;=EYear_O, BO$3&gt;0), BO$3 * VLOOKUP($A104, Data_All!$A$8:$CA$153, MATCH(BO$2, Data_All!$B$2:$CA$2, 0)+1), "")</f>
        <v/>
      </c>
      <c r="BP104" s="206" t="str">
        <f>IF(AND($A104&gt;=SYear_O, $A104&lt;=EYear_O, BP$3&gt;0), BP$3 * VLOOKUP($A104, Data_All!$A$8:$CA$153, MATCH(BP$2, Data_All!$B$2:$CA$2, 0)+1), "")</f>
        <v/>
      </c>
      <c r="BQ104" s="206" t="str">
        <f>IF(AND($A104&gt;=SYear_O, $A104&lt;=EYear_O, BQ$3&gt;0), BQ$3 * VLOOKUP($A104, Data_All!$A$8:$CA$153, MATCH(BQ$2, Data_All!$B$2:$CA$2, 0)+1), "")</f>
        <v/>
      </c>
      <c r="BR104" s="206" t="str">
        <f>IF(AND($A104&gt;=SYear_O, $A104&lt;=EYear_O, BR$3&gt;0), BR$3 * VLOOKUP($A104, Data_All!$A$8:$CA$153, MATCH(BR$2, Data_All!$B$2:$CA$2, 0)+1), "")</f>
        <v/>
      </c>
      <c r="BS104" s="206" t="str">
        <f>IF(AND($A104&gt;=SYear_O, $A104&lt;=EYear_O, BS$3&gt;0), BS$3 * VLOOKUP($A104, Data_All!$A$8:$CA$153, MATCH(BS$2, Data_All!$B$2:$CA$2, 0)+1), "")</f>
        <v/>
      </c>
      <c r="BT104" s="206" t="str">
        <f>IF(AND($A104&gt;=SYear_O, $A104&lt;=EYear_O, BT$3&gt;0), BT$3 * VLOOKUP($A104, Data_All!$A$8:$CA$153, MATCH(BT$2, Data_All!$B$2:$CA$2, 0)+1), "")</f>
        <v/>
      </c>
      <c r="BU104" s="206" t="str">
        <f>IF(AND($A104&gt;=SYear_O, $A104&lt;=EYear_O, BU$3&gt;0), BU$3 * VLOOKUP($A104, Data_All!$A$8:$CA$153, MATCH(BU$2, Data_All!$B$2:$CA$2, 0)+1), "")</f>
        <v/>
      </c>
      <c r="BV104" s="206" t="str">
        <f>IF(AND($A104&gt;=SYear_O, $A104&lt;=EYear_O, BV$3&gt;0), BV$3 * VLOOKUP($A104, Data_All!$A$8:$CA$153, MATCH(BV$2, Data_All!$B$2:$CA$2, 0)+1), "")</f>
        <v/>
      </c>
      <c r="BW104" s="206" t="str">
        <f>IF(AND($A104&gt;=SYear_O, $A104&lt;=EYear_O, BW$3&gt;0), BW$3 * VLOOKUP($A104, Data_All!$A$8:$CA$153, MATCH(BW$2, Data_All!$B$2:$CA$2, 0)+1), "")</f>
        <v/>
      </c>
      <c r="BX104" s="206">
        <f>IF(AND($A104&gt;=SYear_O, $A104&lt;=EYear_O, BX$3&gt;0), BX$3 * VLOOKUP($A104, Data_All!$A$8:$CA$153, MATCH(BX$2, Data_All!$B$2:$CA$2, 0)+1), "")</f>
        <v>6.3573232323232265</v>
      </c>
      <c r="BY104" s="206">
        <f>IF(AND($A104&gt;=SYear_O, $A104&lt;=EYear_O, BY$3&gt;0), BY$3 * VLOOKUP($A104, Data_All!$A$8:$CA$153, MATCH(BY$2, Data_All!$B$2:$CA$2, 0)+1), "")</f>
        <v>1.1009620534738396</v>
      </c>
      <c r="BZ104" s="206" t="str">
        <f>IF(AND($A104&gt;=SYear_O, $A104&lt;=EYear_O, BZ$3&gt;0), BZ$3 * VLOOKUP($A104, Data_All!$A$8:$CA$153, MATCH(BZ$2, Data_All!$B$2:$CA$2, 0)+1), "")</f>
        <v/>
      </c>
      <c r="CA104" s="565">
        <f t="shared" si="52"/>
        <v>7.4582852857970661</v>
      </c>
      <c r="CB104" s="427">
        <f t="shared" si="53"/>
        <v>6837281.1348303938</v>
      </c>
      <c r="CC104" s="565">
        <f>IF(AND($A104&gt;=SYear_O,$A104&lt;=EYear_O),(CA104-Data_All!CA105)/(1+Data_All!CA105%),"")</f>
        <v>2.9305485462269689</v>
      </c>
      <c r="CD104" s="436">
        <f t="shared" si="54"/>
        <v>2393828.3465920016</v>
      </c>
      <c r="CE104" s="438">
        <f t="shared" si="55"/>
        <v>620.13619416284541</v>
      </c>
      <c r="CF104" s="438">
        <f>IF(AND($A104&gt;=SYear_O,$A104&lt;=EYear_O),MAX($CE$7:CE104),"")</f>
        <v>620.13619416284541</v>
      </c>
      <c r="CG104" s="209">
        <f t="shared" si="56"/>
        <v>0</v>
      </c>
      <c r="CI104" s="143">
        <f>IF(AND($A104&gt;=SYear_O,$A104&lt;=EYear_O),Data_All!V105,"")</f>
        <v>5.3351983215106404</v>
      </c>
      <c r="CJ104" s="143">
        <f>IF(AND($A104&gt;=SYear_O,$A104&lt;=EYear_O),Data_All!CA105,"")</f>
        <v>4.3988269794721369</v>
      </c>
      <c r="CK104" s="143">
        <f t="shared" si="57"/>
        <v>0.89691749335710602</v>
      </c>
      <c r="CN104" s="61">
        <f t="shared" si="58"/>
        <v>7.4582852857970616E-2</v>
      </c>
      <c r="CO104" s="61">
        <f t="shared" si="59"/>
        <v>4.0009662619520991E-2</v>
      </c>
      <c r="CP104" s="61">
        <f t="shared" si="60"/>
        <v>6.9888220179532556E-2</v>
      </c>
      <c r="CQ104" s="61">
        <f t="shared" si="61"/>
        <v>4.5147145766090802E-2</v>
      </c>
      <c r="CR104" s="61">
        <f t="shared" si="62"/>
        <v>7.2652357594137129E-2</v>
      </c>
      <c r="CU104" s="61">
        <f t="shared" si="63"/>
        <v>2.9305485462269631E-2</v>
      </c>
      <c r="CV104" s="61">
        <f t="shared" si="64"/>
        <v>-1.221791955110707E-2</v>
      </c>
      <c r="CW104" s="61">
        <f t="shared" si="65"/>
        <v>2.3791443653143451E-2</v>
      </c>
      <c r="CX104" s="61">
        <f t="shared" si="66"/>
        <v>-1.5663211364221774E-2</v>
      </c>
      <c r="CY104" s="61">
        <f t="shared" si="67"/>
        <v>2.9079907707174613E-5</v>
      </c>
    </row>
    <row r="105" spans="1:103">
      <c r="A105" s="204">
        <f t="shared" si="51"/>
        <v>1969</v>
      </c>
      <c r="B105" s="206" t="str">
        <f>IF(AND($A105&gt;=SYear_O, $A105&lt;=EYear_O, B$3&gt;0), B$3 * VLOOKUP($A105, Data_All!$A$8:$CA$153, MATCH(B$2, Data_All!$B$2:$CA$2, 0)+1), "")</f>
        <v/>
      </c>
      <c r="C105" s="206" t="str">
        <f>IF(AND($A105&gt;=SYear_O, $A105&lt;=EYear_O, C$3&gt;0), C$3 * VLOOKUP($A105, Data_All!$A$8:$CA$153, MATCH(C$2, Data_All!$B$2:$CA$2, 0)+1), "")</f>
        <v/>
      </c>
      <c r="D105" s="206" t="str">
        <f>IF(AND($A105&gt;=SYear_O, $A105&lt;=EYear_O, D$3&gt;0), D$3 * VLOOKUP($A105, Data_All!$A$8:$CA$153, MATCH(D$2, Data_All!$B$2:$CA$2, 0)+1), "")</f>
        <v/>
      </c>
      <c r="E105" s="206" t="str">
        <f>IF(AND($A105&gt;=SYear_O, $A105&lt;=EYear_O, E$3&gt;0), E$3 * VLOOKUP($A105, Data_All!$A$8:$CA$153, MATCH(E$2, Data_All!$B$2:$CA$2, 0)+1), "")</f>
        <v/>
      </c>
      <c r="F105" s="206" t="str">
        <f>IF(AND($A105&gt;=SYear_O, $A105&lt;=EYear_O, F$3&gt;0), F$3 * VLOOKUP($A105, Data_All!$A$8:$CA$153, MATCH(F$2, Data_All!$B$2:$CA$2, 0)+1), "")</f>
        <v/>
      </c>
      <c r="G105" s="206" t="str">
        <f>IF(AND($A105&gt;=SYear_O, $A105&lt;=EYear_O, G$3&gt;0), G$3 * VLOOKUP($A105, Data_All!$A$8:$CA$153, MATCH(G$2, Data_All!$B$2:$CA$2, 0)+1), "")</f>
        <v/>
      </c>
      <c r="H105" s="206" t="str">
        <f>IF(AND($A105&gt;=SYear_O, $A105&lt;=EYear_O, H$3&gt;0), H$3 * VLOOKUP($A105, Data_All!$A$8:$CA$153, MATCH(H$2, Data_All!$B$2:$CA$2, 0)+1), "")</f>
        <v/>
      </c>
      <c r="I105" s="206" t="str">
        <f>IF(AND($A105&gt;=SYear_O, $A105&lt;=EYear_O, I$3&gt;0), I$3 * VLOOKUP($A105, Data_All!$A$8:$CA$153, MATCH(I$2, Data_All!$B$2:$CA$2, 0)+1), "")</f>
        <v/>
      </c>
      <c r="J105" s="206" t="str">
        <f>IF(AND($A105&gt;=SYear_O, $A105&lt;=EYear_O, J$3&gt;0), J$3 * VLOOKUP($A105, Data_All!$A$8:$CA$153, MATCH(J$2, Data_All!$B$2:$CA$2, 0)+1), "")</f>
        <v/>
      </c>
      <c r="K105" s="206" t="str">
        <f>IF(AND($A105&gt;=SYear_O, $A105&lt;=EYear_O, K$3&gt;0), K$3 * VLOOKUP($A105, Data_All!$A$8:$CA$153, MATCH(K$2, Data_All!$B$2:$CA$2, 0)+1), "")</f>
        <v/>
      </c>
      <c r="L105" s="206" t="str">
        <f>IF(AND($A105&gt;=SYear_O, $A105&lt;=EYear_O, L$3&gt;0), L$3 * VLOOKUP($A105, Data_All!$A$8:$CA$153, MATCH(L$2, Data_All!$B$2:$CA$2, 0)+1), "")</f>
        <v/>
      </c>
      <c r="M105" s="206" t="str">
        <f>IF(AND($A105&gt;=SYear_O, $A105&lt;=EYear_O, M$3&gt;0), M$3 * VLOOKUP($A105, Data_All!$A$8:$CA$153, MATCH(M$2, Data_All!$B$2:$CA$2, 0)+1), "")</f>
        <v/>
      </c>
      <c r="N105" s="206" t="str">
        <f>IF(AND($A105&gt;=SYear_O, $A105&lt;=EYear_O, N$3&gt;0), N$3 * VLOOKUP($A105, Data_All!$A$8:$CA$153, MATCH(N$2, Data_All!$B$2:$CA$2, 0)+1), "")</f>
        <v/>
      </c>
      <c r="O105" s="206" t="str">
        <f>IF(AND($A105&gt;=SYear_O, $A105&lt;=EYear_O, O$3&gt;0), O$3 * VLOOKUP($A105, Data_All!$A$8:$CA$153, MATCH(O$2, Data_All!$B$2:$CA$2, 0)+1), "")</f>
        <v/>
      </c>
      <c r="P105" s="206" t="str">
        <f>IF(AND($A105&gt;=SYear_O, $A105&lt;=EYear_O, P$3&gt;0), P$3 * VLOOKUP($A105, Data_All!$A$8:$CA$153, MATCH(P$2, Data_All!$B$2:$CA$2, 0)+1), "")</f>
        <v/>
      </c>
      <c r="Q105" s="206" t="str">
        <f>IF(AND($A105&gt;=SYear_O, $A105&lt;=EYear_O, Q$3&gt;0), Q$3 * VLOOKUP($A105, Data_All!$A$8:$CA$153, MATCH(Q$2, Data_All!$B$2:$CA$2, 0)+1), "")</f>
        <v/>
      </c>
      <c r="R105" s="206" t="str">
        <f>IF(AND($A105&gt;=SYear_O, $A105&lt;=EYear_O, R$3&gt;0), R$3 * VLOOKUP($A105, Data_All!$A$8:$CA$153, MATCH(R$2, Data_All!$B$2:$CA$2, 0)+1), "")</f>
        <v/>
      </c>
      <c r="S105" s="206" t="str">
        <f>IF(AND($A105&gt;=SYear_O, $A105&lt;=EYear_O, S$3&gt;0), S$3 * VLOOKUP($A105, Data_All!$A$8:$CA$153, MATCH(S$2, Data_All!$B$2:$CA$2, 0)+1), "")</f>
        <v/>
      </c>
      <c r="T105" s="206" t="str">
        <f>IF(AND($A105&gt;=SYear_O, $A105&lt;=EYear_O, T$3&gt;0), T$3 * VLOOKUP($A105, Data_All!$A$8:$CA$153, MATCH(T$2, Data_All!$B$2:$CA$2, 0)+1), "")</f>
        <v/>
      </c>
      <c r="U105" s="206" t="str">
        <f>IF(AND($A105&gt;=SYear_O, $A105&lt;=EYear_O, U$3&gt;0), U$3 * VLOOKUP($A105, Data_All!$A$8:$CA$153, MATCH(U$2, Data_All!$B$2:$CA$2, 0)+1), "")</f>
        <v/>
      </c>
      <c r="V105" s="206" t="str">
        <f>IF(AND($A105&gt;=SYear_O, $A105&lt;=EYear_O, V$3&gt;0), V$3 * VLOOKUP($A105, Data_All!$A$8:$CA$153, MATCH(V$2, Data_All!$B$2:$CA$2, 0)+1), "")</f>
        <v/>
      </c>
      <c r="W105" s="206" t="str">
        <f>IF(AND($A105&gt;=SYear_O, $A105&lt;=EYear_O, W$3&gt;0), W$3 * VLOOKUP($A105, Data_All!$A$8:$CA$153, MATCH(W$2, Data_All!$B$2:$CA$2, 0)+1), "")</f>
        <v/>
      </c>
      <c r="X105" s="206" t="str">
        <f>IF(AND($A105&gt;=SYear_O, $A105&lt;=EYear_O, X$3&gt;0), X$3 * VLOOKUP($A105, Data_All!$A$8:$CA$153, MATCH(X$2, Data_All!$B$2:$CA$2, 0)+1), "")</f>
        <v/>
      </c>
      <c r="Y105" s="206" t="str">
        <f>IF(AND($A105&gt;=SYear_O, $A105&lt;=EYear_O, Y$3&gt;0), Y$3 * VLOOKUP($A105, Data_All!$A$8:$CA$153, MATCH(Y$2, Data_All!$B$2:$CA$2, 0)+1), "")</f>
        <v/>
      </c>
      <c r="Z105" s="206" t="str">
        <f>IF(AND($A105&gt;=SYear_O, $A105&lt;=EYear_O, Z$3&gt;0), Z$3 * VLOOKUP($A105, Data_All!$A$8:$CA$153, MATCH(Z$2, Data_All!$B$2:$CA$2, 0)+1), "")</f>
        <v/>
      </c>
      <c r="AA105" s="206" t="str">
        <f>IF(AND($A105&gt;=SYear_O, $A105&lt;=EYear_O, AA$3&gt;0), AA$3 * VLOOKUP($A105, Data_All!$A$8:$CA$153, MATCH(AA$2, Data_All!$B$2:$CA$2, 0)+1), "")</f>
        <v/>
      </c>
      <c r="AB105" s="206" t="str">
        <f>IF(AND($A105&gt;=SYear_O, $A105&lt;=EYear_O, AB$3&gt;0), AB$3 * VLOOKUP($A105, Data_All!$A$8:$CA$153, MATCH(AB$2, Data_All!$B$2:$CA$2, 0)+1), "")</f>
        <v/>
      </c>
      <c r="AC105" s="206" t="str">
        <f>IF(AND($A105&gt;=SYear_O, $A105&lt;=EYear_O, AC$3&gt;0), AC$3 * VLOOKUP($A105, Data_All!$A$8:$CA$153, MATCH(AC$2, Data_All!$B$2:$CA$2, 0)+1), "")</f>
        <v/>
      </c>
      <c r="AD105" s="206" t="str">
        <f>IF(AND($A105&gt;=SYear_O, $A105&lt;=EYear_O, AD$3&gt;0), AD$3 * VLOOKUP($A105, Data_All!$A$8:$CA$153, MATCH(AD$2, Data_All!$B$2:$CA$2, 0)+1), "")</f>
        <v/>
      </c>
      <c r="AE105" s="206" t="str">
        <f>IF(AND($A105&gt;=SYear_O, $A105&lt;=EYear_O, AE$3&gt;0), AE$3 * VLOOKUP($A105, Data_All!$A$8:$CA$153, MATCH(AE$2, Data_All!$B$2:$CA$2, 0)+1), "")</f>
        <v/>
      </c>
      <c r="AF105" s="206" t="str">
        <f>IF(AND($A105&gt;=SYear_O, $A105&lt;=EYear_O, AF$3&gt;0), AF$3 * VLOOKUP($A105, Data_All!$A$8:$CA$153, MATCH(AF$2, Data_All!$B$2:$CA$2, 0)+1), "")</f>
        <v/>
      </c>
      <c r="AG105" s="206" t="str">
        <f>IF(AND($A105&gt;=SYear_O, $A105&lt;=EYear_O, AG$3&gt;0), AG$3 * VLOOKUP($A105, Data_All!$A$8:$CA$153, MATCH(AG$2, Data_All!$B$2:$CA$2, 0)+1), "")</f>
        <v/>
      </c>
      <c r="AH105" s="206" t="str">
        <f>IF(AND($A105&gt;=SYear_O, $A105&lt;=EYear_O, AH$3&gt;0), AH$3 * VLOOKUP($A105, Data_All!$A$8:$CA$153, MATCH(AH$2, Data_All!$B$2:$CA$2, 0)+1), "")</f>
        <v/>
      </c>
      <c r="AI105" s="206" t="str">
        <f>IF(AND($A105&gt;=SYear_O, $A105&lt;=EYear_O, AI$3&gt;0), AI$3 * VLOOKUP($A105, Data_All!$A$8:$CA$153, MATCH(AI$2, Data_All!$B$2:$CA$2, 0)+1), "")</f>
        <v/>
      </c>
      <c r="AJ105" s="206" t="str">
        <f>IF(AND($A105&gt;=SYear_O, $A105&lt;=EYear_O, AJ$3&gt;0), AJ$3 * VLOOKUP($A105, Data_All!$A$8:$CA$153, MATCH(AJ$2, Data_All!$B$2:$CA$2, 0)+1), "")</f>
        <v/>
      </c>
      <c r="AK105" s="206" t="str">
        <f>IF(AND($A105&gt;=SYear_O, $A105&lt;=EYear_O, AK$3&gt;0), AK$3 * VLOOKUP($A105, Data_All!$A$8:$CA$153, MATCH(AK$2, Data_All!$B$2:$CA$2, 0)+1), "")</f>
        <v/>
      </c>
      <c r="AL105" s="206" t="str">
        <f>IF(AND($A105&gt;=SYear_O, $A105&lt;=EYear_O, AL$3&gt;0), AL$3 * VLOOKUP($A105, Data_All!$A$8:$CA$153, MATCH(AL$2, Data_All!$B$2:$CA$2, 0)+1), "")</f>
        <v/>
      </c>
      <c r="AM105" s="206" t="str">
        <f>IF(AND($A105&gt;=SYear_O, $A105&lt;=EYear_O, AM$3&gt;0), AM$3 * VLOOKUP($A105, Data_All!$A$8:$CA$153, MATCH(AM$2, Data_All!$B$2:$CA$2, 0)+1), "")</f>
        <v/>
      </c>
      <c r="AN105" s="206" t="str">
        <f>IF(AND($A105&gt;=SYear_O, $A105&lt;=EYear_O, AN$3&gt;0), AN$3 * VLOOKUP($A105, Data_All!$A$8:$CA$153, MATCH(AN$2, Data_All!$B$2:$CA$2, 0)+1), "")</f>
        <v/>
      </c>
      <c r="AO105" s="206" t="str">
        <f>IF(AND($A105&gt;=SYear_O, $A105&lt;=EYear_O, AO$3&gt;0), AO$3 * VLOOKUP($A105, Data_All!$A$8:$CA$153, MATCH(AO$2, Data_All!$B$2:$CA$2, 0)+1), "")</f>
        <v/>
      </c>
      <c r="AP105" s="206" t="str">
        <f>IF(AND($A105&gt;=SYear_O, $A105&lt;=EYear_O, AP$3&gt;0), AP$3 * VLOOKUP($A105, Data_All!$A$8:$CA$153, MATCH(AP$2, Data_All!$B$2:$CA$2, 0)+1), "")</f>
        <v/>
      </c>
      <c r="AQ105" s="206" t="str">
        <f>IF(AND($A105&gt;=SYear_O, $A105&lt;=EYear_O, AQ$3&gt;0), AQ$3 * VLOOKUP($A105, Data_All!$A$8:$CA$153, MATCH(AQ$2, Data_All!$B$2:$CA$2, 0)+1), "")</f>
        <v/>
      </c>
      <c r="AR105" s="206" t="str">
        <f>IF(AND($A105&gt;=SYear_O, $A105&lt;=EYear_O, AR$3&gt;0), AR$3 * VLOOKUP($A105, Data_All!$A$8:$CA$153, MATCH(AR$2, Data_All!$B$2:$CA$2, 0)+1), "")</f>
        <v/>
      </c>
      <c r="AS105" s="206" t="str">
        <f>IF(AND($A105&gt;=SYear_O, $A105&lt;=EYear_O, AS$3&gt;0), AS$3 * VLOOKUP($A105, Data_All!$A$8:$CA$153, MATCH(AS$2, Data_All!$B$2:$CA$2, 0)+1), "")</f>
        <v/>
      </c>
      <c r="AT105" s="206" t="str">
        <f>IF(AND($A105&gt;=SYear_O, $A105&lt;=EYear_O, AT$3&gt;0), AT$3 * VLOOKUP($A105, Data_All!$A$8:$CA$153, MATCH(AT$2, Data_All!$B$2:$CA$2, 0)+1), "")</f>
        <v/>
      </c>
      <c r="AU105" s="206" t="str">
        <f>IF(AND($A105&gt;=SYear_O, $A105&lt;=EYear_O, AU$3&gt;0), AU$3 * VLOOKUP($A105, Data_All!$A$8:$CA$153, MATCH(AU$2, Data_All!$B$2:$CA$2, 0)+1), "")</f>
        <v/>
      </c>
      <c r="AV105" s="206" t="str">
        <f>IF(AND($A105&gt;=SYear_O, $A105&lt;=EYear_O, AV$3&gt;0), AV$3 * VLOOKUP($A105, Data_All!$A$8:$CA$153, MATCH(AV$2, Data_All!$B$2:$CA$2, 0)+1), "")</f>
        <v/>
      </c>
      <c r="AW105" s="206" t="str">
        <f>IF(AND($A105&gt;=SYear_O, $A105&lt;=EYear_O, AW$3&gt;0), AW$3 * VLOOKUP($A105, Data_All!$A$8:$CA$153, MATCH(AW$2, Data_All!$B$2:$CA$2, 0)+1), "")</f>
        <v/>
      </c>
      <c r="AX105" s="206" t="str">
        <f>IF(AND($A105&gt;=SYear_O, $A105&lt;=EYear_O, AX$3&gt;0), AX$3 * VLOOKUP($A105, Data_All!$A$8:$CA$153, MATCH(AX$2, Data_All!$B$2:$CA$2, 0)+1), "")</f>
        <v/>
      </c>
      <c r="AY105" s="206" t="str">
        <f>IF(AND($A105&gt;=SYear_O, $A105&lt;=EYear_O, AY$3&gt;0), AY$3 * VLOOKUP($A105, Data_All!$A$8:$CA$153, MATCH(AY$2, Data_All!$B$2:$CA$2, 0)+1), "")</f>
        <v/>
      </c>
      <c r="AZ105" s="206" t="str">
        <f>IF(AND($A105&gt;=SYear_O, $A105&lt;=EYear_O, AZ$3&gt;0), AZ$3 * VLOOKUP($A105, Data_All!$A$8:$CA$153, MATCH(AZ$2, Data_All!$B$2:$CA$2, 0)+1), "")</f>
        <v/>
      </c>
      <c r="BA105" s="206" t="str">
        <f>IF(AND($A105&gt;=SYear_O, $A105&lt;=EYear_O, BA$3&gt;0), BA$3 * VLOOKUP($A105, Data_All!$A$8:$CA$153, MATCH(BA$2, Data_All!$B$2:$CA$2, 0)+1), "")</f>
        <v/>
      </c>
      <c r="BB105" s="206" t="str">
        <f>IF(AND($A105&gt;=SYear_O, $A105&lt;=EYear_O, BB$3&gt;0), BB$3 * VLOOKUP($A105, Data_All!$A$8:$CA$153, MATCH(BB$2, Data_All!$B$2:$CA$2, 0)+1), "")</f>
        <v/>
      </c>
      <c r="BC105" s="206" t="str">
        <f>IF(AND($A105&gt;=SYear_O, $A105&lt;=EYear_O, BC$3&gt;0), BC$3 * VLOOKUP($A105, Data_All!$A$8:$CA$153, MATCH(BC$2, Data_All!$B$2:$CA$2, 0)+1), "")</f>
        <v/>
      </c>
      <c r="BD105" s="206" t="str">
        <f>IF(AND($A105&gt;=SYear_O, $A105&lt;=EYear_O, BD$3&gt;0), BD$3 * VLOOKUP($A105, Data_All!$A$8:$CA$153, MATCH(BD$2, Data_All!$B$2:$CA$2, 0)+1), "")</f>
        <v/>
      </c>
      <c r="BE105" s="206" t="str">
        <f>IF(AND($A105&gt;=SYear_O, $A105&lt;=EYear_O, BE$3&gt;0), BE$3 * VLOOKUP($A105, Data_All!$A$8:$CA$153, MATCH(BE$2, Data_All!$B$2:$CA$2, 0)+1), "")</f>
        <v/>
      </c>
      <c r="BF105" s="206" t="str">
        <f>IF(AND($A105&gt;=SYear_O, $A105&lt;=EYear_O, BF$3&gt;0), BF$3 * VLOOKUP($A105, Data_All!$A$8:$CA$153, MATCH(BF$2, Data_All!$B$2:$CA$2, 0)+1), "")</f>
        <v/>
      </c>
      <c r="BG105" s="206" t="str">
        <f>IF(AND($A105&gt;=SYear_O, $A105&lt;=EYear_O, BG$3&gt;0), BG$3 * VLOOKUP($A105, Data_All!$A$8:$CA$153, MATCH(BG$2, Data_All!$B$2:$CA$2, 0)+1), "")</f>
        <v/>
      </c>
      <c r="BH105" s="206" t="str">
        <f>IF(AND($A105&gt;=SYear_O, $A105&lt;=EYear_O, BH$3&gt;0), BH$3 * VLOOKUP($A105, Data_All!$A$8:$CA$153, MATCH(BH$2, Data_All!$B$2:$CA$2, 0)+1), "")</f>
        <v/>
      </c>
      <c r="BI105" s="206" t="str">
        <f>IF(AND($A105&gt;=SYear_O, $A105&lt;=EYear_O, BI$3&gt;0), BI$3 * VLOOKUP($A105, Data_All!$A$8:$CA$153, MATCH(BI$2, Data_All!$B$2:$CA$2, 0)+1), "")</f>
        <v/>
      </c>
      <c r="BJ105" s="206" t="str">
        <f>IF(AND($A105&gt;=SYear_O, $A105&lt;=EYear_O, BJ$3&gt;0), BJ$3 * VLOOKUP($A105, Data_All!$A$8:$CA$153, MATCH(BJ$2, Data_All!$B$2:$CA$2, 0)+1), "")</f>
        <v/>
      </c>
      <c r="BK105" s="206" t="str">
        <f>IF(AND($A105&gt;=SYear_O, $A105&lt;=EYear_O, BK$3&gt;0), BK$3 * VLOOKUP($A105, Data_All!$A$8:$CA$153, MATCH(BK$2, Data_All!$B$2:$CA$2, 0)+1), "")</f>
        <v/>
      </c>
      <c r="BL105" s="206" t="str">
        <f>IF(AND($A105&gt;=SYear_O, $A105&lt;=EYear_O, BL$3&gt;0), BL$3 * VLOOKUP($A105, Data_All!$A$8:$CA$153, MATCH(BL$2, Data_All!$B$2:$CA$2, 0)+1), "")</f>
        <v/>
      </c>
      <c r="BM105" s="206" t="str">
        <f>IF(AND($A105&gt;=SYear_O, $A105&lt;=EYear_O, BM$3&gt;0), BM$3 * VLOOKUP($A105, Data_All!$A$8:$CA$153, MATCH(BM$2, Data_All!$B$2:$CA$2, 0)+1), "")</f>
        <v/>
      </c>
      <c r="BN105" s="206" t="str">
        <f>IF(AND($A105&gt;=SYear_O, $A105&lt;=EYear_O, BN$3&gt;0), BN$3 * VLOOKUP($A105, Data_All!$A$8:$CA$153, MATCH(BN$2, Data_All!$B$2:$CA$2, 0)+1), "")</f>
        <v/>
      </c>
      <c r="BO105" s="206" t="str">
        <f>IF(AND($A105&gt;=SYear_O, $A105&lt;=EYear_O, BO$3&gt;0), BO$3 * VLOOKUP($A105, Data_All!$A$8:$CA$153, MATCH(BO$2, Data_All!$B$2:$CA$2, 0)+1), "")</f>
        <v/>
      </c>
      <c r="BP105" s="206" t="str">
        <f>IF(AND($A105&gt;=SYear_O, $A105&lt;=EYear_O, BP$3&gt;0), BP$3 * VLOOKUP($A105, Data_All!$A$8:$CA$153, MATCH(BP$2, Data_All!$B$2:$CA$2, 0)+1), "")</f>
        <v/>
      </c>
      <c r="BQ105" s="206" t="str">
        <f>IF(AND($A105&gt;=SYear_O, $A105&lt;=EYear_O, BQ$3&gt;0), BQ$3 * VLOOKUP($A105, Data_All!$A$8:$CA$153, MATCH(BQ$2, Data_All!$B$2:$CA$2, 0)+1), "")</f>
        <v/>
      </c>
      <c r="BR105" s="206" t="str">
        <f>IF(AND($A105&gt;=SYear_O, $A105&lt;=EYear_O, BR$3&gt;0), BR$3 * VLOOKUP($A105, Data_All!$A$8:$CA$153, MATCH(BR$2, Data_All!$B$2:$CA$2, 0)+1), "")</f>
        <v/>
      </c>
      <c r="BS105" s="206" t="str">
        <f>IF(AND($A105&gt;=SYear_O, $A105&lt;=EYear_O, BS$3&gt;0), BS$3 * VLOOKUP($A105, Data_All!$A$8:$CA$153, MATCH(BS$2, Data_All!$B$2:$CA$2, 0)+1), "")</f>
        <v/>
      </c>
      <c r="BT105" s="206" t="str">
        <f>IF(AND($A105&gt;=SYear_O, $A105&lt;=EYear_O, BT$3&gt;0), BT$3 * VLOOKUP($A105, Data_All!$A$8:$CA$153, MATCH(BT$2, Data_All!$B$2:$CA$2, 0)+1), "")</f>
        <v/>
      </c>
      <c r="BU105" s="206" t="str">
        <f>IF(AND($A105&gt;=SYear_O, $A105&lt;=EYear_O, BU$3&gt;0), BU$3 * VLOOKUP($A105, Data_All!$A$8:$CA$153, MATCH(BU$2, Data_All!$B$2:$CA$2, 0)+1), "")</f>
        <v/>
      </c>
      <c r="BV105" s="206" t="str">
        <f>IF(AND($A105&gt;=SYear_O, $A105&lt;=EYear_O, BV$3&gt;0), BV$3 * VLOOKUP($A105, Data_All!$A$8:$CA$153, MATCH(BV$2, Data_All!$B$2:$CA$2, 0)+1), "")</f>
        <v/>
      </c>
      <c r="BW105" s="206" t="str">
        <f>IF(AND($A105&gt;=SYear_O, $A105&lt;=EYear_O, BW$3&gt;0), BW$3 * VLOOKUP($A105, Data_All!$A$8:$CA$153, MATCH(BW$2, Data_All!$B$2:$CA$2, 0)+1), "")</f>
        <v/>
      </c>
      <c r="BX105" s="206">
        <f>IF(AND($A105&gt;=SYear_O, $A105&lt;=EYear_O, BX$3&gt;0), BX$3 * VLOOKUP($A105, Data_All!$A$8:$CA$153, MATCH(BX$2, Data_All!$B$2:$CA$2, 0)+1), "")</f>
        <v>-5.0392003136025094</v>
      </c>
      <c r="BY105" s="206">
        <f>IF(AND($A105&gt;=SYear_O, $A105&lt;=EYear_O, BY$3&gt;0), BY$3 * VLOOKUP($A105, Data_All!$A$8:$CA$153, MATCH(BY$2, Data_All!$B$2:$CA$2, 0)+1), "")</f>
        <v>-0.48049743388539845</v>
      </c>
      <c r="BZ105" s="206" t="str">
        <f>IF(AND($A105&gt;=SYear_O, $A105&lt;=EYear_O, BZ$3&gt;0), BZ$3 * VLOOKUP($A105, Data_All!$A$8:$CA$153, MATCH(BZ$2, Data_All!$B$2:$CA$2, 0)+1), "")</f>
        <v/>
      </c>
      <c r="CA105" s="565">
        <f t="shared" si="52"/>
        <v>-5.5196977474879079</v>
      </c>
      <c r="CB105" s="427">
        <f t="shared" si="53"/>
        <v>6459883.8820417449</v>
      </c>
      <c r="CC105" s="565">
        <f>IF(AND($A105&gt;=SYear_O,$A105&lt;=EYear_O),(CA105-Data_All!CA106)/(1+Data_All!CA106%),"")</f>
        <v>-11.018551317739918</v>
      </c>
      <c r="CD105" s="436">
        <f t="shared" si="54"/>
        <v>2130063.141764157</v>
      </c>
      <c r="CE105" s="438">
        <f t="shared" si="55"/>
        <v>585.90655062228166</v>
      </c>
      <c r="CF105" s="438">
        <f>IF(AND($A105&gt;=SYear_O,$A105&lt;=EYear_O),MAX($CE$7:CE105),"")</f>
        <v>620.13619416284541</v>
      </c>
      <c r="CG105" s="209">
        <f t="shared" si="56"/>
        <v>5.519697747487895E-2</v>
      </c>
      <c r="CI105" s="143">
        <f>IF(AND($A105&gt;=SYear_O,$A105&lt;=EYear_O),Data_All!V106,"")</f>
        <v>6.2443800579478479</v>
      </c>
      <c r="CJ105" s="143">
        <f>IF(AND($A105&gt;=SYear_O,$A105&lt;=EYear_O),Data_All!CA106,"")</f>
        <v>6.1797752808988582</v>
      </c>
      <c r="CK105" s="143">
        <f t="shared" si="57"/>
        <v>6.0844710659895072E-2</v>
      </c>
      <c r="CN105" s="61">
        <f t="shared" si="58"/>
        <v>-5.5196977474879061E-2</v>
      </c>
      <c r="CO105" s="61">
        <f t="shared" si="59"/>
        <v>5.2388637126189241E-2</v>
      </c>
      <c r="CP105" s="61">
        <f t="shared" si="60"/>
        <v>3.7136571143584707E-2</v>
      </c>
      <c r="CQ105" s="61">
        <f t="shared" si="61"/>
        <v>4.8141086032402081E-2</v>
      </c>
      <c r="CR105" s="61">
        <f t="shared" si="62"/>
        <v>7.7186597123242384E-2</v>
      </c>
      <c r="CU105" s="61">
        <f t="shared" si="63"/>
        <v>-0.11018551317739911</v>
      </c>
      <c r="CV105" s="61">
        <f t="shared" si="64"/>
        <v>3.180024054768138E-3</v>
      </c>
      <c r="CW105" s="61">
        <f t="shared" si="65"/>
        <v>-1.5541182999364578E-2</v>
      </c>
      <c r="CX105" s="61">
        <f t="shared" si="66"/>
        <v>-1.7107823736790317E-2</v>
      </c>
      <c r="CY105" s="61">
        <f t="shared" si="67"/>
        <v>4.6473535953817091E-3</v>
      </c>
    </row>
    <row r="106" spans="1:103">
      <c r="A106" s="204">
        <f t="shared" si="51"/>
        <v>1970</v>
      </c>
      <c r="B106" s="206" t="str">
        <f>IF(AND($A106&gt;=SYear_O, $A106&lt;=EYear_O, B$3&gt;0), B$3 * VLOOKUP($A106, Data_All!$A$8:$CA$153, MATCH(B$2, Data_All!$B$2:$CA$2, 0)+1), "")</f>
        <v/>
      </c>
      <c r="C106" s="206" t="str">
        <f>IF(AND($A106&gt;=SYear_O, $A106&lt;=EYear_O, C$3&gt;0), C$3 * VLOOKUP($A106, Data_All!$A$8:$CA$153, MATCH(C$2, Data_All!$B$2:$CA$2, 0)+1), "")</f>
        <v/>
      </c>
      <c r="D106" s="206" t="str">
        <f>IF(AND($A106&gt;=SYear_O, $A106&lt;=EYear_O, D$3&gt;0), D$3 * VLOOKUP($A106, Data_All!$A$8:$CA$153, MATCH(D$2, Data_All!$B$2:$CA$2, 0)+1), "")</f>
        <v/>
      </c>
      <c r="E106" s="206" t="str">
        <f>IF(AND($A106&gt;=SYear_O, $A106&lt;=EYear_O, E$3&gt;0), E$3 * VLOOKUP($A106, Data_All!$A$8:$CA$153, MATCH(E$2, Data_All!$B$2:$CA$2, 0)+1), "")</f>
        <v/>
      </c>
      <c r="F106" s="206" t="str">
        <f>IF(AND($A106&gt;=SYear_O, $A106&lt;=EYear_O, F$3&gt;0), F$3 * VLOOKUP($A106, Data_All!$A$8:$CA$153, MATCH(F$2, Data_All!$B$2:$CA$2, 0)+1), "")</f>
        <v/>
      </c>
      <c r="G106" s="206" t="str">
        <f>IF(AND($A106&gt;=SYear_O, $A106&lt;=EYear_O, G$3&gt;0), G$3 * VLOOKUP($A106, Data_All!$A$8:$CA$153, MATCH(G$2, Data_All!$B$2:$CA$2, 0)+1), "")</f>
        <v/>
      </c>
      <c r="H106" s="206" t="str">
        <f>IF(AND($A106&gt;=SYear_O, $A106&lt;=EYear_O, H$3&gt;0), H$3 * VLOOKUP($A106, Data_All!$A$8:$CA$153, MATCH(H$2, Data_All!$B$2:$CA$2, 0)+1), "")</f>
        <v/>
      </c>
      <c r="I106" s="206" t="str">
        <f>IF(AND($A106&gt;=SYear_O, $A106&lt;=EYear_O, I$3&gt;0), I$3 * VLOOKUP($A106, Data_All!$A$8:$CA$153, MATCH(I$2, Data_All!$B$2:$CA$2, 0)+1), "")</f>
        <v/>
      </c>
      <c r="J106" s="206" t="str">
        <f>IF(AND($A106&gt;=SYear_O, $A106&lt;=EYear_O, J$3&gt;0), J$3 * VLOOKUP($A106, Data_All!$A$8:$CA$153, MATCH(J$2, Data_All!$B$2:$CA$2, 0)+1), "")</f>
        <v/>
      </c>
      <c r="K106" s="206" t="str">
        <f>IF(AND($A106&gt;=SYear_O, $A106&lt;=EYear_O, K$3&gt;0), K$3 * VLOOKUP($A106, Data_All!$A$8:$CA$153, MATCH(K$2, Data_All!$B$2:$CA$2, 0)+1), "")</f>
        <v/>
      </c>
      <c r="L106" s="206" t="str">
        <f>IF(AND($A106&gt;=SYear_O, $A106&lt;=EYear_O, L$3&gt;0), L$3 * VLOOKUP($A106, Data_All!$A$8:$CA$153, MATCH(L$2, Data_All!$B$2:$CA$2, 0)+1), "")</f>
        <v/>
      </c>
      <c r="M106" s="206" t="str">
        <f>IF(AND($A106&gt;=SYear_O, $A106&lt;=EYear_O, M$3&gt;0), M$3 * VLOOKUP($A106, Data_All!$A$8:$CA$153, MATCH(M$2, Data_All!$B$2:$CA$2, 0)+1), "")</f>
        <v/>
      </c>
      <c r="N106" s="206" t="str">
        <f>IF(AND($A106&gt;=SYear_O, $A106&lt;=EYear_O, N$3&gt;0), N$3 * VLOOKUP($A106, Data_All!$A$8:$CA$153, MATCH(N$2, Data_All!$B$2:$CA$2, 0)+1), "")</f>
        <v/>
      </c>
      <c r="O106" s="206" t="str">
        <f>IF(AND($A106&gt;=SYear_O, $A106&lt;=EYear_O, O$3&gt;0), O$3 * VLOOKUP($A106, Data_All!$A$8:$CA$153, MATCH(O$2, Data_All!$B$2:$CA$2, 0)+1), "")</f>
        <v/>
      </c>
      <c r="P106" s="206" t="str">
        <f>IF(AND($A106&gt;=SYear_O, $A106&lt;=EYear_O, P$3&gt;0), P$3 * VLOOKUP($A106, Data_All!$A$8:$CA$153, MATCH(P$2, Data_All!$B$2:$CA$2, 0)+1), "")</f>
        <v/>
      </c>
      <c r="Q106" s="206" t="str">
        <f>IF(AND($A106&gt;=SYear_O, $A106&lt;=EYear_O, Q$3&gt;0), Q$3 * VLOOKUP($A106, Data_All!$A$8:$CA$153, MATCH(Q$2, Data_All!$B$2:$CA$2, 0)+1), "")</f>
        <v/>
      </c>
      <c r="R106" s="206" t="str">
        <f>IF(AND($A106&gt;=SYear_O, $A106&lt;=EYear_O, R$3&gt;0), R$3 * VLOOKUP($A106, Data_All!$A$8:$CA$153, MATCH(R$2, Data_All!$B$2:$CA$2, 0)+1), "")</f>
        <v/>
      </c>
      <c r="S106" s="206" t="str">
        <f>IF(AND($A106&gt;=SYear_O, $A106&lt;=EYear_O, S$3&gt;0), S$3 * VLOOKUP($A106, Data_All!$A$8:$CA$153, MATCH(S$2, Data_All!$B$2:$CA$2, 0)+1), "")</f>
        <v/>
      </c>
      <c r="T106" s="206" t="str">
        <f>IF(AND($A106&gt;=SYear_O, $A106&lt;=EYear_O, T$3&gt;0), T$3 * VLOOKUP($A106, Data_All!$A$8:$CA$153, MATCH(T$2, Data_All!$B$2:$CA$2, 0)+1), "")</f>
        <v/>
      </c>
      <c r="U106" s="206" t="str">
        <f>IF(AND($A106&gt;=SYear_O, $A106&lt;=EYear_O, U$3&gt;0), U$3 * VLOOKUP($A106, Data_All!$A$8:$CA$153, MATCH(U$2, Data_All!$B$2:$CA$2, 0)+1), "")</f>
        <v/>
      </c>
      <c r="V106" s="206" t="str">
        <f>IF(AND($A106&gt;=SYear_O, $A106&lt;=EYear_O, V$3&gt;0), V$3 * VLOOKUP($A106, Data_All!$A$8:$CA$153, MATCH(V$2, Data_All!$B$2:$CA$2, 0)+1), "")</f>
        <v/>
      </c>
      <c r="W106" s="206" t="str">
        <f>IF(AND($A106&gt;=SYear_O, $A106&lt;=EYear_O, W$3&gt;0), W$3 * VLOOKUP($A106, Data_All!$A$8:$CA$153, MATCH(W$2, Data_All!$B$2:$CA$2, 0)+1), "")</f>
        <v/>
      </c>
      <c r="X106" s="206" t="str">
        <f>IF(AND($A106&gt;=SYear_O, $A106&lt;=EYear_O, X$3&gt;0), X$3 * VLOOKUP($A106, Data_All!$A$8:$CA$153, MATCH(X$2, Data_All!$B$2:$CA$2, 0)+1), "")</f>
        <v/>
      </c>
      <c r="Y106" s="206" t="str">
        <f>IF(AND($A106&gt;=SYear_O, $A106&lt;=EYear_O, Y$3&gt;0), Y$3 * VLOOKUP($A106, Data_All!$A$8:$CA$153, MATCH(Y$2, Data_All!$B$2:$CA$2, 0)+1), "")</f>
        <v/>
      </c>
      <c r="Z106" s="206" t="str">
        <f>IF(AND($A106&gt;=SYear_O, $A106&lt;=EYear_O, Z$3&gt;0), Z$3 * VLOOKUP($A106, Data_All!$A$8:$CA$153, MATCH(Z$2, Data_All!$B$2:$CA$2, 0)+1), "")</f>
        <v/>
      </c>
      <c r="AA106" s="206" t="str">
        <f>IF(AND($A106&gt;=SYear_O, $A106&lt;=EYear_O, AA$3&gt;0), AA$3 * VLOOKUP($A106, Data_All!$A$8:$CA$153, MATCH(AA$2, Data_All!$B$2:$CA$2, 0)+1), "")</f>
        <v/>
      </c>
      <c r="AB106" s="206" t="str">
        <f>IF(AND($A106&gt;=SYear_O, $A106&lt;=EYear_O, AB$3&gt;0), AB$3 * VLOOKUP($A106, Data_All!$A$8:$CA$153, MATCH(AB$2, Data_All!$B$2:$CA$2, 0)+1), "")</f>
        <v/>
      </c>
      <c r="AC106" s="206" t="str">
        <f>IF(AND($A106&gt;=SYear_O, $A106&lt;=EYear_O, AC$3&gt;0), AC$3 * VLOOKUP($A106, Data_All!$A$8:$CA$153, MATCH(AC$2, Data_All!$B$2:$CA$2, 0)+1), "")</f>
        <v/>
      </c>
      <c r="AD106" s="206" t="str">
        <f>IF(AND($A106&gt;=SYear_O, $A106&lt;=EYear_O, AD$3&gt;0), AD$3 * VLOOKUP($A106, Data_All!$A$8:$CA$153, MATCH(AD$2, Data_All!$B$2:$CA$2, 0)+1), "")</f>
        <v/>
      </c>
      <c r="AE106" s="206" t="str">
        <f>IF(AND($A106&gt;=SYear_O, $A106&lt;=EYear_O, AE$3&gt;0), AE$3 * VLOOKUP($A106, Data_All!$A$8:$CA$153, MATCH(AE$2, Data_All!$B$2:$CA$2, 0)+1), "")</f>
        <v/>
      </c>
      <c r="AF106" s="206" t="str">
        <f>IF(AND($A106&gt;=SYear_O, $A106&lt;=EYear_O, AF$3&gt;0), AF$3 * VLOOKUP($A106, Data_All!$A$8:$CA$153, MATCH(AF$2, Data_All!$B$2:$CA$2, 0)+1), "")</f>
        <v/>
      </c>
      <c r="AG106" s="206" t="str">
        <f>IF(AND($A106&gt;=SYear_O, $A106&lt;=EYear_O, AG$3&gt;0), AG$3 * VLOOKUP($A106, Data_All!$A$8:$CA$153, MATCH(AG$2, Data_All!$B$2:$CA$2, 0)+1), "")</f>
        <v/>
      </c>
      <c r="AH106" s="206" t="str">
        <f>IF(AND($A106&gt;=SYear_O, $A106&lt;=EYear_O, AH$3&gt;0), AH$3 * VLOOKUP($A106, Data_All!$A$8:$CA$153, MATCH(AH$2, Data_All!$B$2:$CA$2, 0)+1), "")</f>
        <v/>
      </c>
      <c r="AI106" s="206" t="str">
        <f>IF(AND($A106&gt;=SYear_O, $A106&lt;=EYear_O, AI$3&gt;0), AI$3 * VLOOKUP($A106, Data_All!$A$8:$CA$153, MATCH(AI$2, Data_All!$B$2:$CA$2, 0)+1), "")</f>
        <v/>
      </c>
      <c r="AJ106" s="206" t="str">
        <f>IF(AND($A106&gt;=SYear_O, $A106&lt;=EYear_O, AJ$3&gt;0), AJ$3 * VLOOKUP($A106, Data_All!$A$8:$CA$153, MATCH(AJ$2, Data_All!$B$2:$CA$2, 0)+1), "")</f>
        <v/>
      </c>
      <c r="AK106" s="206" t="str">
        <f>IF(AND($A106&gt;=SYear_O, $A106&lt;=EYear_O, AK$3&gt;0), AK$3 * VLOOKUP($A106, Data_All!$A$8:$CA$153, MATCH(AK$2, Data_All!$B$2:$CA$2, 0)+1), "")</f>
        <v/>
      </c>
      <c r="AL106" s="206" t="str">
        <f>IF(AND($A106&gt;=SYear_O, $A106&lt;=EYear_O, AL$3&gt;0), AL$3 * VLOOKUP($A106, Data_All!$A$8:$CA$153, MATCH(AL$2, Data_All!$B$2:$CA$2, 0)+1), "")</f>
        <v/>
      </c>
      <c r="AM106" s="206" t="str">
        <f>IF(AND($A106&gt;=SYear_O, $A106&lt;=EYear_O, AM$3&gt;0), AM$3 * VLOOKUP($A106, Data_All!$A$8:$CA$153, MATCH(AM$2, Data_All!$B$2:$CA$2, 0)+1), "")</f>
        <v/>
      </c>
      <c r="AN106" s="206" t="str">
        <f>IF(AND($A106&gt;=SYear_O, $A106&lt;=EYear_O, AN$3&gt;0), AN$3 * VLOOKUP($A106, Data_All!$A$8:$CA$153, MATCH(AN$2, Data_All!$B$2:$CA$2, 0)+1), "")</f>
        <v/>
      </c>
      <c r="AO106" s="206" t="str">
        <f>IF(AND($A106&gt;=SYear_O, $A106&lt;=EYear_O, AO$3&gt;0), AO$3 * VLOOKUP($A106, Data_All!$A$8:$CA$153, MATCH(AO$2, Data_All!$B$2:$CA$2, 0)+1), "")</f>
        <v/>
      </c>
      <c r="AP106" s="206" t="str">
        <f>IF(AND($A106&gt;=SYear_O, $A106&lt;=EYear_O, AP$3&gt;0), AP$3 * VLOOKUP($A106, Data_All!$A$8:$CA$153, MATCH(AP$2, Data_All!$B$2:$CA$2, 0)+1), "")</f>
        <v/>
      </c>
      <c r="AQ106" s="206" t="str">
        <f>IF(AND($A106&gt;=SYear_O, $A106&lt;=EYear_O, AQ$3&gt;0), AQ$3 * VLOOKUP($A106, Data_All!$A$8:$CA$153, MATCH(AQ$2, Data_All!$B$2:$CA$2, 0)+1), "")</f>
        <v/>
      </c>
      <c r="AR106" s="206" t="str">
        <f>IF(AND($A106&gt;=SYear_O, $A106&lt;=EYear_O, AR$3&gt;0), AR$3 * VLOOKUP($A106, Data_All!$A$8:$CA$153, MATCH(AR$2, Data_All!$B$2:$CA$2, 0)+1), "")</f>
        <v/>
      </c>
      <c r="AS106" s="206" t="str">
        <f>IF(AND($A106&gt;=SYear_O, $A106&lt;=EYear_O, AS$3&gt;0), AS$3 * VLOOKUP($A106, Data_All!$A$8:$CA$153, MATCH(AS$2, Data_All!$B$2:$CA$2, 0)+1), "")</f>
        <v/>
      </c>
      <c r="AT106" s="206" t="str">
        <f>IF(AND($A106&gt;=SYear_O, $A106&lt;=EYear_O, AT$3&gt;0), AT$3 * VLOOKUP($A106, Data_All!$A$8:$CA$153, MATCH(AT$2, Data_All!$B$2:$CA$2, 0)+1), "")</f>
        <v/>
      </c>
      <c r="AU106" s="206" t="str">
        <f>IF(AND($A106&gt;=SYear_O, $A106&lt;=EYear_O, AU$3&gt;0), AU$3 * VLOOKUP($A106, Data_All!$A$8:$CA$153, MATCH(AU$2, Data_All!$B$2:$CA$2, 0)+1), "")</f>
        <v/>
      </c>
      <c r="AV106" s="206" t="str">
        <f>IF(AND($A106&gt;=SYear_O, $A106&lt;=EYear_O, AV$3&gt;0), AV$3 * VLOOKUP($A106, Data_All!$A$8:$CA$153, MATCH(AV$2, Data_All!$B$2:$CA$2, 0)+1), "")</f>
        <v/>
      </c>
      <c r="AW106" s="206" t="str">
        <f>IF(AND($A106&gt;=SYear_O, $A106&lt;=EYear_O, AW$3&gt;0), AW$3 * VLOOKUP($A106, Data_All!$A$8:$CA$153, MATCH(AW$2, Data_All!$B$2:$CA$2, 0)+1), "")</f>
        <v/>
      </c>
      <c r="AX106" s="206" t="str">
        <f>IF(AND($A106&gt;=SYear_O, $A106&lt;=EYear_O, AX$3&gt;0), AX$3 * VLOOKUP($A106, Data_All!$A$8:$CA$153, MATCH(AX$2, Data_All!$B$2:$CA$2, 0)+1), "")</f>
        <v/>
      </c>
      <c r="AY106" s="206" t="str">
        <f>IF(AND($A106&gt;=SYear_O, $A106&lt;=EYear_O, AY$3&gt;0), AY$3 * VLOOKUP($A106, Data_All!$A$8:$CA$153, MATCH(AY$2, Data_All!$B$2:$CA$2, 0)+1), "")</f>
        <v/>
      </c>
      <c r="AZ106" s="206" t="str">
        <f>IF(AND($A106&gt;=SYear_O, $A106&lt;=EYear_O, AZ$3&gt;0), AZ$3 * VLOOKUP($A106, Data_All!$A$8:$CA$153, MATCH(AZ$2, Data_All!$B$2:$CA$2, 0)+1), "")</f>
        <v/>
      </c>
      <c r="BA106" s="206" t="str">
        <f>IF(AND($A106&gt;=SYear_O, $A106&lt;=EYear_O, BA$3&gt;0), BA$3 * VLOOKUP($A106, Data_All!$A$8:$CA$153, MATCH(BA$2, Data_All!$B$2:$CA$2, 0)+1), "")</f>
        <v/>
      </c>
      <c r="BB106" s="206" t="str">
        <f>IF(AND($A106&gt;=SYear_O, $A106&lt;=EYear_O, BB$3&gt;0), BB$3 * VLOOKUP($A106, Data_All!$A$8:$CA$153, MATCH(BB$2, Data_All!$B$2:$CA$2, 0)+1), "")</f>
        <v/>
      </c>
      <c r="BC106" s="206" t="str">
        <f>IF(AND($A106&gt;=SYear_O, $A106&lt;=EYear_O, BC$3&gt;0), BC$3 * VLOOKUP($A106, Data_All!$A$8:$CA$153, MATCH(BC$2, Data_All!$B$2:$CA$2, 0)+1), "")</f>
        <v/>
      </c>
      <c r="BD106" s="206" t="str">
        <f>IF(AND($A106&gt;=SYear_O, $A106&lt;=EYear_O, BD$3&gt;0), BD$3 * VLOOKUP($A106, Data_All!$A$8:$CA$153, MATCH(BD$2, Data_All!$B$2:$CA$2, 0)+1), "")</f>
        <v/>
      </c>
      <c r="BE106" s="206" t="str">
        <f>IF(AND($A106&gt;=SYear_O, $A106&lt;=EYear_O, BE$3&gt;0), BE$3 * VLOOKUP($A106, Data_All!$A$8:$CA$153, MATCH(BE$2, Data_All!$B$2:$CA$2, 0)+1), "")</f>
        <v/>
      </c>
      <c r="BF106" s="206" t="str">
        <f>IF(AND($A106&gt;=SYear_O, $A106&lt;=EYear_O, BF$3&gt;0), BF$3 * VLOOKUP($A106, Data_All!$A$8:$CA$153, MATCH(BF$2, Data_All!$B$2:$CA$2, 0)+1), "")</f>
        <v/>
      </c>
      <c r="BG106" s="206" t="str">
        <f>IF(AND($A106&gt;=SYear_O, $A106&lt;=EYear_O, BG$3&gt;0), BG$3 * VLOOKUP($A106, Data_All!$A$8:$CA$153, MATCH(BG$2, Data_All!$B$2:$CA$2, 0)+1), "")</f>
        <v/>
      </c>
      <c r="BH106" s="206" t="str">
        <f>IF(AND($A106&gt;=SYear_O, $A106&lt;=EYear_O, BH$3&gt;0), BH$3 * VLOOKUP($A106, Data_All!$A$8:$CA$153, MATCH(BH$2, Data_All!$B$2:$CA$2, 0)+1), "")</f>
        <v/>
      </c>
      <c r="BI106" s="206" t="str">
        <f>IF(AND($A106&gt;=SYear_O, $A106&lt;=EYear_O, BI$3&gt;0), BI$3 * VLOOKUP($A106, Data_All!$A$8:$CA$153, MATCH(BI$2, Data_All!$B$2:$CA$2, 0)+1), "")</f>
        <v/>
      </c>
      <c r="BJ106" s="206" t="str">
        <f>IF(AND($A106&gt;=SYear_O, $A106&lt;=EYear_O, BJ$3&gt;0), BJ$3 * VLOOKUP($A106, Data_All!$A$8:$CA$153, MATCH(BJ$2, Data_All!$B$2:$CA$2, 0)+1), "")</f>
        <v/>
      </c>
      <c r="BK106" s="206" t="str">
        <f>IF(AND($A106&gt;=SYear_O, $A106&lt;=EYear_O, BK$3&gt;0), BK$3 * VLOOKUP($A106, Data_All!$A$8:$CA$153, MATCH(BK$2, Data_All!$B$2:$CA$2, 0)+1), "")</f>
        <v/>
      </c>
      <c r="BL106" s="206" t="str">
        <f>IF(AND($A106&gt;=SYear_O, $A106&lt;=EYear_O, BL$3&gt;0), BL$3 * VLOOKUP($A106, Data_All!$A$8:$CA$153, MATCH(BL$2, Data_All!$B$2:$CA$2, 0)+1), "")</f>
        <v/>
      </c>
      <c r="BM106" s="206" t="str">
        <f>IF(AND($A106&gt;=SYear_O, $A106&lt;=EYear_O, BM$3&gt;0), BM$3 * VLOOKUP($A106, Data_All!$A$8:$CA$153, MATCH(BM$2, Data_All!$B$2:$CA$2, 0)+1), "")</f>
        <v/>
      </c>
      <c r="BN106" s="206" t="str">
        <f>IF(AND($A106&gt;=SYear_O, $A106&lt;=EYear_O, BN$3&gt;0), BN$3 * VLOOKUP($A106, Data_All!$A$8:$CA$153, MATCH(BN$2, Data_All!$B$2:$CA$2, 0)+1), "")</f>
        <v/>
      </c>
      <c r="BO106" s="206" t="str">
        <f>IF(AND($A106&gt;=SYear_O, $A106&lt;=EYear_O, BO$3&gt;0), BO$3 * VLOOKUP($A106, Data_All!$A$8:$CA$153, MATCH(BO$2, Data_All!$B$2:$CA$2, 0)+1), "")</f>
        <v/>
      </c>
      <c r="BP106" s="206" t="str">
        <f>IF(AND($A106&gt;=SYear_O, $A106&lt;=EYear_O, BP$3&gt;0), BP$3 * VLOOKUP($A106, Data_All!$A$8:$CA$153, MATCH(BP$2, Data_All!$B$2:$CA$2, 0)+1), "")</f>
        <v/>
      </c>
      <c r="BQ106" s="206" t="str">
        <f>IF(AND($A106&gt;=SYear_O, $A106&lt;=EYear_O, BQ$3&gt;0), BQ$3 * VLOOKUP($A106, Data_All!$A$8:$CA$153, MATCH(BQ$2, Data_All!$B$2:$CA$2, 0)+1), "")</f>
        <v/>
      </c>
      <c r="BR106" s="206" t="str">
        <f>IF(AND($A106&gt;=SYear_O, $A106&lt;=EYear_O, BR$3&gt;0), BR$3 * VLOOKUP($A106, Data_All!$A$8:$CA$153, MATCH(BR$2, Data_All!$B$2:$CA$2, 0)+1), "")</f>
        <v/>
      </c>
      <c r="BS106" s="206" t="str">
        <f>IF(AND($A106&gt;=SYear_O, $A106&lt;=EYear_O, BS$3&gt;0), BS$3 * VLOOKUP($A106, Data_All!$A$8:$CA$153, MATCH(BS$2, Data_All!$B$2:$CA$2, 0)+1), "")</f>
        <v/>
      </c>
      <c r="BT106" s="206" t="str">
        <f>IF(AND($A106&gt;=SYear_O, $A106&lt;=EYear_O, BT$3&gt;0), BT$3 * VLOOKUP($A106, Data_All!$A$8:$CA$153, MATCH(BT$2, Data_All!$B$2:$CA$2, 0)+1), "")</f>
        <v/>
      </c>
      <c r="BU106" s="206" t="str">
        <f>IF(AND($A106&gt;=SYear_O, $A106&lt;=EYear_O, BU$3&gt;0), BU$3 * VLOOKUP($A106, Data_All!$A$8:$CA$153, MATCH(BU$2, Data_All!$B$2:$CA$2, 0)+1), "")</f>
        <v/>
      </c>
      <c r="BV106" s="206" t="str">
        <f>IF(AND($A106&gt;=SYear_O, $A106&lt;=EYear_O, BV$3&gt;0), BV$3 * VLOOKUP($A106, Data_All!$A$8:$CA$153, MATCH(BV$2, Data_All!$B$2:$CA$2, 0)+1), "")</f>
        <v/>
      </c>
      <c r="BW106" s="206" t="str">
        <f>IF(AND($A106&gt;=SYear_O, $A106&lt;=EYear_O, BW$3&gt;0), BW$3 * VLOOKUP($A106, Data_All!$A$8:$CA$153, MATCH(BW$2, Data_All!$B$2:$CA$2, 0)+1), "")</f>
        <v/>
      </c>
      <c r="BX106" s="206">
        <f>IF(AND($A106&gt;=SYear_O, $A106&lt;=EYear_O, BX$3&gt;0), BX$3 * VLOOKUP($A106, Data_All!$A$8:$CA$153, MATCH(BX$2, Data_All!$B$2:$CA$2, 0)+1), "")</f>
        <v>4.1988705569704354</v>
      </c>
      <c r="BY106" s="206">
        <f>IF(AND($A106&gt;=SYear_O, $A106&lt;=EYear_O, BY$3&gt;0), BY$3 * VLOOKUP($A106, Data_All!$A$8:$CA$153, MATCH(BY$2, Data_All!$B$2:$CA$2, 0)+1), "")</f>
        <v>6.5988798398262194</v>
      </c>
      <c r="BZ106" s="206" t="str">
        <f>IF(AND($A106&gt;=SYear_O, $A106&lt;=EYear_O, BZ$3&gt;0), BZ$3 * VLOOKUP($A106, Data_All!$A$8:$CA$153, MATCH(BZ$2, Data_All!$B$2:$CA$2, 0)+1), "")</f>
        <v/>
      </c>
      <c r="CA106" s="565">
        <f t="shared" si="52"/>
        <v>10.797750396796655</v>
      </c>
      <c r="CB106" s="427">
        <f t="shared" si="53"/>
        <v>7157406.01954751</v>
      </c>
      <c r="CC106" s="565">
        <f>IF(AND($A106&gt;=SYear_O,$A106&lt;=EYear_O),(CA106-Data_All!CA107)/(1+Data_All!CA107%),"")</f>
        <v>5.2300242462038469</v>
      </c>
      <c r="CD106" s="436">
        <f t="shared" si="54"/>
        <v>2241465.9605378737</v>
      </c>
      <c r="CE106" s="438">
        <f t="shared" si="55"/>
        <v>649.17127751695659</v>
      </c>
      <c r="CF106" s="438">
        <f>IF(AND($A106&gt;=SYear_O,$A106&lt;=EYear_O),MAX($CE$7:CE106),"")</f>
        <v>649.17127751695659</v>
      </c>
      <c r="CG106" s="209">
        <f t="shared" si="56"/>
        <v>0</v>
      </c>
      <c r="CI106" s="143">
        <f>IF(AND($A106&gt;=SYear_O,$A106&lt;=EYear_O),Data_All!V107,"")</f>
        <v>8.0027974822659615</v>
      </c>
      <c r="CJ106" s="143">
        <f>IF(AND($A106&gt;=SYear_O,$A106&lt;=EYear_O),Data_All!CA107,"")</f>
        <v>5.2910052910053018</v>
      </c>
      <c r="CK106" s="143">
        <f t="shared" si="57"/>
        <v>2.5755212268757015</v>
      </c>
      <c r="CN106" s="61">
        <f t="shared" si="58"/>
        <v>0.10797750396796646</v>
      </c>
      <c r="CO106" s="61">
        <f t="shared" si="59"/>
        <v>0.11353434417223518</v>
      </c>
      <c r="CP106" s="61">
        <f t="shared" si="60"/>
        <v>2.6112948274665149E-2</v>
      </c>
      <c r="CQ106" s="61">
        <f t="shared" si="61"/>
        <v>6.5384267904156967E-2</v>
      </c>
      <c r="CR106" s="61">
        <f t="shared" si="62"/>
        <v>8.809392884970535E-2</v>
      </c>
      <c r="CU106" s="61">
        <f t="shared" si="63"/>
        <v>5.230024246203846E-2</v>
      </c>
      <c r="CV106" s="61">
        <f t="shared" si="64"/>
        <v>7.0872845698907172E-2</v>
      </c>
      <c r="CW106" s="61">
        <f t="shared" si="65"/>
        <v>-3.6925117673630048E-2</v>
      </c>
      <c r="CX106" s="61">
        <f t="shared" si="66"/>
        <v>-7.3962238735771901E-3</v>
      </c>
      <c r="CY106" s="61">
        <f t="shared" si="67"/>
        <v>1.6257933613430087E-2</v>
      </c>
    </row>
    <row r="107" spans="1:103">
      <c r="A107" s="204">
        <f t="shared" si="51"/>
        <v>1971</v>
      </c>
      <c r="B107" s="206" t="str">
        <f>IF(AND($A107&gt;=SYear_O, $A107&lt;=EYear_O, B$3&gt;0), B$3 * VLOOKUP($A107, Data_All!$A$8:$CA$153, MATCH(B$2, Data_All!$B$2:$CA$2, 0)+1), "")</f>
        <v/>
      </c>
      <c r="C107" s="206" t="str">
        <f>IF(AND($A107&gt;=SYear_O, $A107&lt;=EYear_O, C$3&gt;0), C$3 * VLOOKUP($A107, Data_All!$A$8:$CA$153, MATCH(C$2, Data_All!$B$2:$CA$2, 0)+1), "")</f>
        <v/>
      </c>
      <c r="D107" s="206" t="str">
        <f>IF(AND($A107&gt;=SYear_O, $A107&lt;=EYear_O, D$3&gt;0), D$3 * VLOOKUP($A107, Data_All!$A$8:$CA$153, MATCH(D$2, Data_All!$B$2:$CA$2, 0)+1), "")</f>
        <v/>
      </c>
      <c r="E107" s="206" t="str">
        <f>IF(AND($A107&gt;=SYear_O, $A107&lt;=EYear_O, E$3&gt;0), E$3 * VLOOKUP($A107, Data_All!$A$8:$CA$153, MATCH(E$2, Data_All!$B$2:$CA$2, 0)+1), "")</f>
        <v/>
      </c>
      <c r="F107" s="206" t="str">
        <f>IF(AND($A107&gt;=SYear_O, $A107&lt;=EYear_O, F$3&gt;0), F$3 * VLOOKUP($A107, Data_All!$A$8:$CA$153, MATCH(F$2, Data_All!$B$2:$CA$2, 0)+1), "")</f>
        <v/>
      </c>
      <c r="G107" s="206" t="str">
        <f>IF(AND($A107&gt;=SYear_O, $A107&lt;=EYear_O, G$3&gt;0), G$3 * VLOOKUP($A107, Data_All!$A$8:$CA$153, MATCH(G$2, Data_All!$B$2:$CA$2, 0)+1), "")</f>
        <v/>
      </c>
      <c r="H107" s="206" t="str">
        <f>IF(AND($A107&gt;=SYear_O, $A107&lt;=EYear_O, H$3&gt;0), H$3 * VLOOKUP($A107, Data_All!$A$8:$CA$153, MATCH(H$2, Data_All!$B$2:$CA$2, 0)+1), "")</f>
        <v/>
      </c>
      <c r="I107" s="206" t="str">
        <f>IF(AND($A107&gt;=SYear_O, $A107&lt;=EYear_O, I$3&gt;0), I$3 * VLOOKUP($A107, Data_All!$A$8:$CA$153, MATCH(I$2, Data_All!$B$2:$CA$2, 0)+1), "")</f>
        <v/>
      </c>
      <c r="J107" s="206" t="str">
        <f>IF(AND($A107&gt;=SYear_O, $A107&lt;=EYear_O, J$3&gt;0), J$3 * VLOOKUP($A107, Data_All!$A$8:$CA$153, MATCH(J$2, Data_All!$B$2:$CA$2, 0)+1), "")</f>
        <v/>
      </c>
      <c r="K107" s="206" t="str">
        <f>IF(AND($A107&gt;=SYear_O, $A107&lt;=EYear_O, K$3&gt;0), K$3 * VLOOKUP($A107, Data_All!$A$8:$CA$153, MATCH(K$2, Data_All!$B$2:$CA$2, 0)+1), "")</f>
        <v/>
      </c>
      <c r="L107" s="206" t="str">
        <f>IF(AND($A107&gt;=SYear_O, $A107&lt;=EYear_O, L$3&gt;0), L$3 * VLOOKUP($A107, Data_All!$A$8:$CA$153, MATCH(L$2, Data_All!$B$2:$CA$2, 0)+1), "")</f>
        <v/>
      </c>
      <c r="M107" s="206" t="str">
        <f>IF(AND($A107&gt;=SYear_O, $A107&lt;=EYear_O, M$3&gt;0), M$3 * VLOOKUP($A107, Data_All!$A$8:$CA$153, MATCH(M$2, Data_All!$B$2:$CA$2, 0)+1), "")</f>
        <v/>
      </c>
      <c r="N107" s="206" t="str">
        <f>IF(AND($A107&gt;=SYear_O, $A107&lt;=EYear_O, N$3&gt;0), N$3 * VLOOKUP($A107, Data_All!$A$8:$CA$153, MATCH(N$2, Data_All!$B$2:$CA$2, 0)+1), "")</f>
        <v/>
      </c>
      <c r="O107" s="206" t="str">
        <f>IF(AND($A107&gt;=SYear_O, $A107&lt;=EYear_O, O$3&gt;0), O$3 * VLOOKUP($A107, Data_All!$A$8:$CA$153, MATCH(O$2, Data_All!$B$2:$CA$2, 0)+1), "")</f>
        <v/>
      </c>
      <c r="P107" s="206" t="str">
        <f>IF(AND($A107&gt;=SYear_O, $A107&lt;=EYear_O, P$3&gt;0), P$3 * VLOOKUP($A107, Data_All!$A$8:$CA$153, MATCH(P$2, Data_All!$B$2:$CA$2, 0)+1), "")</f>
        <v/>
      </c>
      <c r="Q107" s="206" t="str">
        <f>IF(AND($A107&gt;=SYear_O, $A107&lt;=EYear_O, Q$3&gt;0), Q$3 * VLOOKUP($A107, Data_All!$A$8:$CA$153, MATCH(Q$2, Data_All!$B$2:$CA$2, 0)+1), "")</f>
        <v/>
      </c>
      <c r="R107" s="206" t="str">
        <f>IF(AND($A107&gt;=SYear_O, $A107&lt;=EYear_O, R$3&gt;0), R$3 * VLOOKUP($A107, Data_All!$A$8:$CA$153, MATCH(R$2, Data_All!$B$2:$CA$2, 0)+1), "")</f>
        <v/>
      </c>
      <c r="S107" s="206" t="str">
        <f>IF(AND($A107&gt;=SYear_O, $A107&lt;=EYear_O, S$3&gt;0), S$3 * VLOOKUP($A107, Data_All!$A$8:$CA$153, MATCH(S$2, Data_All!$B$2:$CA$2, 0)+1), "")</f>
        <v/>
      </c>
      <c r="T107" s="206" t="str">
        <f>IF(AND($A107&gt;=SYear_O, $A107&lt;=EYear_O, T$3&gt;0), T$3 * VLOOKUP($A107, Data_All!$A$8:$CA$153, MATCH(T$2, Data_All!$B$2:$CA$2, 0)+1), "")</f>
        <v/>
      </c>
      <c r="U107" s="206" t="str">
        <f>IF(AND($A107&gt;=SYear_O, $A107&lt;=EYear_O, U$3&gt;0), U$3 * VLOOKUP($A107, Data_All!$A$8:$CA$153, MATCH(U$2, Data_All!$B$2:$CA$2, 0)+1), "")</f>
        <v/>
      </c>
      <c r="V107" s="206" t="str">
        <f>IF(AND($A107&gt;=SYear_O, $A107&lt;=EYear_O, V$3&gt;0), V$3 * VLOOKUP($A107, Data_All!$A$8:$CA$153, MATCH(V$2, Data_All!$B$2:$CA$2, 0)+1), "")</f>
        <v/>
      </c>
      <c r="W107" s="206" t="str">
        <f>IF(AND($A107&gt;=SYear_O, $A107&lt;=EYear_O, W$3&gt;0), W$3 * VLOOKUP($A107, Data_All!$A$8:$CA$153, MATCH(W$2, Data_All!$B$2:$CA$2, 0)+1), "")</f>
        <v/>
      </c>
      <c r="X107" s="206" t="str">
        <f>IF(AND($A107&gt;=SYear_O, $A107&lt;=EYear_O, X$3&gt;0), X$3 * VLOOKUP($A107, Data_All!$A$8:$CA$153, MATCH(X$2, Data_All!$B$2:$CA$2, 0)+1), "")</f>
        <v/>
      </c>
      <c r="Y107" s="206" t="str">
        <f>IF(AND($A107&gt;=SYear_O, $A107&lt;=EYear_O, Y$3&gt;0), Y$3 * VLOOKUP($A107, Data_All!$A$8:$CA$153, MATCH(Y$2, Data_All!$B$2:$CA$2, 0)+1), "")</f>
        <v/>
      </c>
      <c r="Z107" s="206" t="str">
        <f>IF(AND($A107&gt;=SYear_O, $A107&lt;=EYear_O, Z$3&gt;0), Z$3 * VLOOKUP($A107, Data_All!$A$8:$CA$153, MATCH(Z$2, Data_All!$B$2:$CA$2, 0)+1), "")</f>
        <v/>
      </c>
      <c r="AA107" s="206" t="str">
        <f>IF(AND($A107&gt;=SYear_O, $A107&lt;=EYear_O, AA$3&gt;0), AA$3 * VLOOKUP($A107, Data_All!$A$8:$CA$153, MATCH(AA$2, Data_All!$B$2:$CA$2, 0)+1), "")</f>
        <v/>
      </c>
      <c r="AB107" s="206" t="str">
        <f>IF(AND($A107&gt;=SYear_O, $A107&lt;=EYear_O, AB$3&gt;0), AB$3 * VLOOKUP($A107, Data_All!$A$8:$CA$153, MATCH(AB$2, Data_All!$B$2:$CA$2, 0)+1), "")</f>
        <v/>
      </c>
      <c r="AC107" s="206" t="str">
        <f>IF(AND($A107&gt;=SYear_O, $A107&lt;=EYear_O, AC$3&gt;0), AC$3 * VLOOKUP($A107, Data_All!$A$8:$CA$153, MATCH(AC$2, Data_All!$B$2:$CA$2, 0)+1), "")</f>
        <v/>
      </c>
      <c r="AD107" s="206" t="str">
        <f>IF(AND($A107&gt;=SYear_O, $A107&lt;=EYear_O, AD$3&gt;0), AD$3 * VLOOKUP($A107, Data_All!$A$8:$CA$153, MATCH(AD$2, Data_All!$B$2:$CA$2, 0)+1), "")</f>
        <v/>
      </c>
      <c r="AE107" s="206" t="str">
        <f>IF(AND($A107&gt;=SYear_O, $A107&lt;=EYear_O, AE$3&gt;0), AE$3 * VLOOKUP($A107, Data_All!$A$8:$CA$153, MATCH(AE$2, Data_All!$B$2:$CA$2, 0)+1), "")</f>
        <v/>
      </c>
      <c r="AF107" s="206" t="str">
        <f>IF(AND($A107&gt;=SYear_O, $A107&lt;=EYear_O, AF$3&gt;0), AF$3 * VLOOKUP($A107, Data_All!$A$8:$CA$153, MATCH(AF$2, Data_All!$B$2:$CA$2, 0)+1), "")</f>
        <v/>
      </c>
      <c r="AG107" s="206" t="str">
        <f>IF(AND($A107&gt;=SYear_O, $A107&lt;=EYear_O, AG$3&gt;0), AG$3 * VLOOKUP($A107, Data_All!$A$8:$CA$153, MATCH(AG$2, Data_All!$B$2:$CA$2, 0)+1), "")</f>
        <v/>
      </c>
      <c r="AH107" s="206" t="str">
        <f>IF(AND($A107&gt;=SYear_O, $A107&lt;=EYear_O, AH$3&gt;0), AH$3 * VLOOKUP($A107, Data_All!$A$8:$CA$153, MATCH(AH$2, Data_All!$B$2:$CA$2, 0)+1), "")</f>
        <v/>
      </c>
      <c r="AI107" s="206" t="str">
        <f>IF(AND($A107&gt;=SYear_O, $A107&lt;=EYear_O, AI$3&gt;0), AI$3 * VLOOKUP($A107, Data_All!$A$8:$CA$153, MATCH(AI$2, Data_All!$B$2:$CA$2, 0)+1), "")</f>
        <v/>
      </c>
      <c r="AJ107" s="206" t="str">
        <f>IF(AND($A107&gt;=SYear_O, $A107&lt;=EYear_O, AJ$3&gt;0), AJ$3 * VLOOKUP($A107, Data_All!$A$8:$CA$153, MATCH(AJ$2, Data_All!$B$2:$CA$2, 0)+1), "")</f>
        <v/>
      </c>
      <c r="AK107" s="206" t="str">
        <f>IF(AND($A107&gt;=SYear_O, $A107&lt;=EYear_O, AK$3&gt;0), AK$3 * VLOOKUP($A107, Data_All!$A$8:$CA$153, MATCH(AK$2, Data_All!$B$2:$CA$2, 0)+1), "")</f>
        <v/>
      </c>
      <c r="AL107" s="206" t="str">
        <f>IF(AND($A107&gt;=SYear_O, $A107&lt;=EYear_O, AL$3&gt;0), AL$3 * VLOOKUP($A107, Data_All!$A$8:$CA$153, MATCH(AL$2, Data_All!$B$2:$CA$2, 0)+1), "")</f>
        <v/>
      </c>
      <c r="AM107" s="206" t="str">
        <f>IF(AND($A107&gt;=SYear_O, $A107&lt;=EYear_O, AM$3&gt;0), AM$3 * VLOOKUP($A107, Data_All!$A$8:$CA$153, MATCH(AM$2, Data_All!$B$2:$CA$2, 0)+1), "")</f>
        <v/>
      </c>
      <c r="AN107" s="206" t="str">
        <f>IF(AND($A107&gt;=SYear_O, $A107&lt;=EYear_O, AN$3&gt;0), AN$3 * VLOOKUP($A107, Data_All!$A$8:$CA$153, MATCH(AN$2, Data_All!$B$2:$CA$2, 0)+1), "")</f>
        <v/>
      </c>
      <c r="AO107" s="206" t="str">
        <f>IF(AND($A107&gt;=SYear_O, $A107&lt;=EYear_O, AO$3&gt;0), AO$3 * VLOOKUP($A107, Data_All!$A$8:$CA$153, MATCH(AO$2, Data_All!$B$2:$CA$2, 0)+1), "")</f>
        <v/>
      </c>
      <c r="AP107" s="206" t="str">
        <f>IF(AND($A107&gt;=SYear_O, $A107&lt;=EYear_O, AP$3&gt;0), AP$3 * VLOOKUP($A107, Data_All!$A$8:$CA$153, MATCH(AP$2, Data_All!$B$2:$CA$2, 0)+1), "")</f>
        <v/>
      </c>
      <c r="AQ107" s="206" t="str">
        <f>IF(AND($A107&gt;=SYear_O, $A107&lt;=EYear_O, AQ$3&gt;0), AQ$3 * VLOOKUP($A107, Data_All!$A$8:$CA$153, MATCH(AQ$2, Data_All!$B$2:$CA$2, 0)+1), "")</f>
        <v/>
      </c>
      <c r="AR107" s="206" t="str">
        <f>IF(AND($A107&gt;=SYear_O, $A107&lt;=EYear_O, AR$3&gt;0), AR$3 * VLOOKUP($A107, Data_All!$A$8:$CA$153, MATCH(AR$2, Data_All!$B$2:$CA$2, 0)+1), "")</f>
        <v/>
      </c>
      <c r="AS107" s="206" t="str">
        <f>IF(AND($A107&gt;=SYear_O, $A107&lt;=EYear_O, AS$3&gt;0), AS$3 * VLOOKUP($A107, Data_All!$A$8:$CA$153, MATCH(AS$2, Data_All!$B$2:$CA$2, 0)+1), "")</f>
        <v/>
      </c>
      <c r="AT107" s="206" t="str">
        <f>IF(AND($A107&gt;=SYear_O, $A107&lt;=EYear_O, AT$3&gt;0), AT$3 * VLOOKUP($A107, Data_All!$A$8:$CA$153, MATCH(AT$2, Data_All!$B$2:$CA$2, 0)+1), "")</f>
        <v/>
      </c>
      <c r="AU107" s="206" t="str">
        <f>IF(AND($A107&gt;=SYear_O, $A107&lt;=EYear_O, AU$3&gt;0), AU$3 * VLOOKUP($A107, Data_All!$A$8:$CA$153, MATCH(AU$2, Data_All!$B$2:$CA$2, 0)+1), "")</f>
        <v/>
      </c>
      <c r="AV107" s="206" t="str">
        <f>IF(AND($A107&gt;=SYear_O, $A107&lt;=EYear_O, AV$3&gt;0), AV$3 * VLOOKUP($A107, Data_All!$A$8:$CA$153, MATCH(AV$2, Data_All!$B$2:$CA$2, 0)+1), "")</f>
        <v/>
      </c>
      <c r="AW107" s="206" t="str">
        <f>IF(AND($A107&gt;=SYear_O, $A107&lt;=EYear_O, AW$3&gt;0), AW$3 * VLOOKUP($A107, Data_All!$A$8:$CA$153, MATCH(AW$2, Data_All!$B$2:$CA$2, 0)+1), "")</f>
        <v/>
      </c>
      <c r="AX107" s="206" t="str">
        <f>IF(AND($A107&gt;=SYear_O, $A107&lt;=EYear_O, AX$3&gt;0), AX$3 * VLOOKUP($A107, Data_All!$A$8:$CA$153, MATCH(AX$2, Data_All!$B$2:$CA$2, 0)+1), "")</f>
        <v/>
      </c>
      <c r="AY107" s="206" t="str">
        <f>IF(AND($A107&gt;=SYear_O, $A107&lt;=EYear_O, AY$3&gt;0), AY$3 * VLOOKUP($A107, Data_All!$A$8:$CA$153, MATCH(AY$2, Data_All!$B$2:$CA$2, 0)+1), "")</f>
        <v/>
      </c>
      <c r="AZ107" s="206" t="str">
        <f>IF(AND($A107&gt;=SYear_O, $A107&lt;=EYear_O, AZ$3&gt;0), AZ$3 * VLOOKUP($A107, Data_All!$A$8:$CA$153, MATCH(AZ$2, Data_All!$B$2:$CA$2, 0)+1), "")</f>
        <v/>
      </c>
      <c r="BA107" s="206" t="str">
        <f>IF(AND($A107&gt;=SYear_O, $A107&lt;=EYear_O, BA$3&gt;0), BA$3 * VLOOKUP($A107, Data_All!$A$8:$CA$153, MATCH(BA$2, Data_All!$B$2:$CA$2, 0)+1), "")</f>
        <v/>
      </c>
      <c r="BB107" s="206" t="str">
        <f>IF(AND($A107&gt;=SYear_O, $A107&lt;=EYear_O, BB$3&gt;0), BB$3 * VLOOKUP($A107, Data_All!$A$8:$CA$153, MATCH(BB$2, Data_All!$B$2:$CA$2, 0)+1), "")</f>
        <v/>
      </c>
      <c r="BC107" s="206" t="str">
        <f>IF(AND($A107&gt;=SYear_O, $A107&lt;=EYear_O, BC$3&gt;0), BC$3 * VLOOKUP($A107, Data_All!$A$8:$CA$153, MATCH(BC$2, Data_All!$B$2:$CA$2, 0)+1), "")</f>
        <v/>
      </c>
      <c r="BD107" s="206" t="str">
        <f>IF(AND($A107&gt;=SYear_O, $A107&lt;=EYear_O, BD$3&gt;0), BD$3 * VLOOKUP($A107, Data_All!$A$8:$CA$153, MATCH(BD$2, Data_All!$B$2:$CA$2, 0)+1), "")</f>
        <v/>
      </c>
      <c r="BE107" s="206" t="str">
        <f>IF(AND($A107&gt;=SYear_O, $A107&lt;=EYear_O, BE$3&gt;0), BE$3 * VLOOKUP($A107, Data_All!$A$8:$CA$153, MATCH(BE$2, Data_All!$B$2:$CA$2, 0)+1), "")</f>
        <v/>
      </c>
      <c r="BF107" s="206" t="str">
        <f>IF(AND($A107&gt;=SYear_O, $A107&lt;=EYear_O, BF$3&gt;0), BF$3 * VLOOKUP($A107, Data_All!$A$8:$CA$153, MATCH(BF$2, Data_All!$B$2:$CA$2, 0)+1), "")</f>
        <v/>
      </c>
      <c r="BG107" s="206" t="str">
        <f>IF(AND($A107&gt;=SYear_O, $A107&lt;=EYear_O, BG$3&gt;0), BG$3 * VLOOKUP($A107, Data_All!$A$8:$CA$153, MATCH(BG$2, Data_All!$B$2:$CA$2, 0)+1), "")</f>
        <v/>
      </c>
      <c r="BH107" s="206" t="str">
        <f>IF(AND($A107&gt;=SYear_O, $A107&lt;=EYear_O, BH$3&gt;0), BH$3 * VLOOKUP($A107, Data_All!$A$8:$CA$153, MATCH(BH$2, Data_All!$B$2:$CA$2, 0)+1), "")</f>
        <v/>
      </c>
      <c r="BI107" s="206" t="str">
        <f>IF(AND($A107&gt;=SYear_O, $A107&lt;=EYear_O, BI$3&gt;0), BI$3 * VLOOKUP($A107, Data_All!$A$8:$CA$153, MATCH(BI$2, Data_All!$B$2:$CA$2, 0)+1), "")</f>
        <v/>
      </c>
      <c r="BJ107" s="206" t="str">
        <f>IF(AND($A107&gt;=SYear_O, $A107&lt;=EYear_O, BJ$3&gt;0), BJ$3 * VLOOKUP($A107, Data_All!$A$8:$CA$153, MATCH(BJ$2, Data_All!$B$2:$CA$2, 0)+1), "")</f>
        <v/>
      </c>
      <c r="BK107" s="206" t="str">
        <f>IF(AND($A107&gt;=SYear_O, $A107&lt;=EYear_O, BK$3&gt;0), BK$3 * VLOOKUP($A107, Data_All!$A$8:$CA$153, MATCH(BK$2, Data_All!$B$2:$CA$2, 0)+1), "")</f>
        <v/>
      </c>
      <c r="BL107" s="206" t="str">
        <f>IF(AND($A107&gt;=SYear_O, $A107&lt;=EYear_O, BL$3&gt;0), BL$3 * VLOOKUP($A107, Data_All!$A$8:$CA$153, MATCH(BL$2, Data_All!$B$2:$CA$2, 0)+1), "")</f>
        <v/>
      </c>
      <c r="BM107" s="206" t="str">
        <f>IF(AND($A107&gt;=SYear_O, $A107&lt;=EYear_O, BM$3&gt;0), BM$3 * VLOOKUP($A107, Data_All!$A$8:$CA$153, MATCH(BM$2, Data_All!$B$2:$CA$2, 0)+1), "")</f>
        <v/>
      </c>
      <c r="BN107" s="206" t="str">
        <f>IF(AND($A107&gt;=SYear_O, $A107&lt;=EYear_O, BN$3&gt;0), BN$3 * VLOOKUP($A107, Data_All!$A$8:$CA$153, MATCH(BN$2, Data_All!$B$2:$CA$2, 0)+1), "")</f>
        <v/>
      </c>
      <c r="BO107" s="206" t="str">
        <f>IF(AND($A107&gt;=SYear_O, $A107&lt;=EYear_O, BO$3&gt;0), BO$3 * VLOOKUP($A107, Data_All!$A$8:$CA$153, MATCH(BO$2, Data_All!$B$2:$CA$2, 0)+1), "")</f>
        <v/>
      </c>
      <c r="BP107" s="206" t="str">
        <f>IF(AND($A107&gt;=SYear_O, $A107&lt;=EYear_O, BP$3&gt;0), BP$3 * VLOOKUP($A107, Data_All!$A$8:$CA$153, MATCH(BP$2, Data_All!$B$2:$CA$2, 0)+1), "")</f>
        <v/>
      </c>
      <c r="BQ107" s="206" t="str">
        <f>IF(AND($A107&gt;=SYear_O, $A107&lt;=EYear_O, BQ$3&gt;0), BQ$3 * VLOOKUP($A107, Data_All!$A$8:$CA$153, MATCH(BQ$2, Data_All!$B$2:$CA$2, 0)+1), "")</f>
        <v/>
      </c>
      <c r="BR107" s="206" t="str">
        <f>IF(AND($A107&gt;=SYear_O, $A107&lt;=EYear_O, BR$3&gt;0), BR$3 * VLOOKUP($A107, Data_All!$A$8:$CA$153, MATCH(BR$2, Data_All!$B$2:$CA$2, 0)+1), "")</f>
        <v/>
      </c>
      <c r="BS107" s="206" t="str">
        <f>IF(AND($A107&gt;=SYear_O, $A107&lt;=EYear_O, BS$3&gt;0), BS$3 * VLOOKUP($A107, Data_All!$A$8:$CA$153, MATCH(BS$2, Data_All!$B$2:$CA$2, 0)+1), "")</f>
        <v/>
      </c>
      <c r="BT107" s="206" t="str">
        <f>IF(AND($A107&gt;=SYear_O, $A107&lt;=EYear_O, BT$3&gt;0), BT$3 * VLOOKUP($A107, Data_All!$A$8:$CA$153, MATCH(BT$2, Data_All!$B$2:$CA$2, 0)+1), "")</f>
        <v/>
      </c>
      <c r="BU107" s="206" t="str">
        <f>IF(AND($A107&gt;=SYear_O, $A107&lt;=EYear_O, BU$3&gt;0), BU$3 * VLOOKUP($A107, Data_All!$A$8:$CA$153, MATCH(BU$2, Data_All!$B$2:$CA$2, 0)+1), "")</f>
        <v/>
      </c>
      <c r="BV107" s="206" t="str">
        <f>IF(AND($A107&gt;=SYear_O, $A107&lt;=EYear_O, BV$3&gt;0), BV$3 * VLOOKUP($A107, Data_All!$A$8:$CA$153, MATCH(BV$2, Data_All!$B$2:$CA$2, 0)+1), "")</f>
        <v/>
      </c>
      <c r="BW107" s="206" t="str">
        <f>IF(AND($A107&gt;=SYear_O, $A107&lt;=EYear_O, BW$3&gt;0), BW$3 * VLOOKUP($A107, Data_All!$A$8:$CA$153, MATCH(BW$2, Data_All!$B$2:$CA$2, 0)+1), "")</f>
        <v/>
      </c>
      <c r="BX107" s="206">
        <f>IF(AND($A107&gt;=SYear_O, $A107&lt;=EYear_O, BX$3&gt;0), BX$3 * VLOOKUP($A107, Data_All!$A$8:$CA$153, MATCH(BX$2, Data_All!$B$2:$CA$2, 0)+1), "")</f>
        <v>8.2661247192213061</v>
      </c>
      <c r="BY107" s="206">
        <f>IF(AND($A107&gt;=SYear_O, $A107&lt;=EYear_O, BY$3&gt;0), BY$3 * VLOOKUP($A107, Data_All!$A$8:$CA$153, MATCH(BY$2, Data_All!$B$2:$CA$2, 0)+1), "")</f>
        <v>3.0751615369005858</v>
      </c>
      <c r="BZ107" s="206" t="str">
        <f>IF(AND($A107&gt;=SYear_O, $A107&lt;=EYear_O, BZ$3&gt;0), BZ$3 * VLOOKUP($A107, Data_All!$A$8:$CA$153, MATCH(BZ$2, Data_All!$B$2:$CA$2, 0)+1), "")</f>
        <v/>
      </c>
      <c r="CA107" s="565">
        <f t="shared" si="52"/>
        <v>11.341286256121892</v>
      </c>
      <c r="CB107" s="427">
        <f t="shared" si="53"/>
        <v>7969147.9247372933</v>
      </c>
      <c r="CC107" s="565">
        <f>IF(AND($A107&gt;=SYear_O,$A107&lt;=EYear_O),(CA107-Data_All!CA108)/(1+Data_All!CA108%),"")</f>
        <v>7.8195424086046463</v>
      </c>
      <c r="CD107" s="436">
        <f t="shared" si="54"/>
        <v>2416738.3418965703</v>
      </c>
      <c r="CE107" s="438">
        <f t="shared" si="55"/>
        <v>722.79565039267811</v>
      </c>
      <c r="CF107" s="438">
        <f>IF(AND($A107&gt;=SYear_O,$A107&lt;=EYear_O),MAX($CE$7:CE107),"")</f>
        <v>722.79565039267811</v>
      </c>
      <c r="CG107" s="209">
        <f t="shared" si="56"/>
        <v>0</v>
      </c>
      <c r="CI107" s="143">
        <f>IF(AND($A107&gt;=SYear_O,$A107&lt;=EYear_O),Data_All!V108,"")</f>
        <v>4.4759716255370172</v>
      </c>
      <c r="CJ107" s="143">
        <f>IF(AND($A107&gt;=SYear_O,$A107&lt;=EYear_O),Data_All!CA108,"")</f>
        <v>3.2663316582914659</v>
      </c>
      <c r="CK107" s="143">
        <f t="shared" si="57"/>
        <v>1.1713788490601689</v>
      </c>
      <c r="CN107" s="61">
        <f t="shared" si="58"/>
        <v>0.11341286256121896</v>
      </c>
      <c r="CO107" s="61">
        <f t="shared" si="59"/>
        <v>4.6572153724897092E-2</v>
      </c>
      <c r="CP107" s="61">
        <f t="shared" si="60"/>
        <v>5.287786269796646E-2</v>
      </c>
      <c r="CQ107" s="61">
        <f t="shared" si="61"/>
        <v>7.0929880672945478E-2</v>
      </c>
      <c r="CR107" s="61">
        <f t="shared" si="62"/>
        <v>9.6164682311558503E-2</v>
      </c>
      <c r="CU107" s="61">
        <f t="shared" si="63"/>
        <v>7.8195424086046517E-2</v>
      </c>
      <c r="CV107" s="61">
        <f t="shared" si="64"/>
        <v>-4.1753459829396711E-3</v>
      </c>
      <c r="CW107" s="61">
        <f t="shared" si="65"/>
        <v>-1.4864402756417872E-2</v>
      </c>
      <c r="CX107" s="61">
        <f t="shared" si="66"/>
        <v>-8.8297370248648921E-3</v>
      </c>
      <c r="CY107" s="61">
        <f t="shared" si="67"/>
        <v>2.4770620459281023E-2</v>
      </c>
    </row>
    <row r="108" spans="1:103">
      <c r="A108" s="204">
        <f t="shared" si="51"/>
        <v>1972</v>
      </c>
      <c r="B108" s="206" t="str">
        <f>IF(AND($A108&gt;=SYear_O, $A108&lt;=EYear_O, B$3&gt;0), B$3 * VLOOKUP($A108, Data_All!$A$8:$CA$153, MATCH(B$2, Data_All!$B$2:$CA$2, 0)+1), "")</f>
        <v/>
      </c>
      <c r="C108" s="206" t="str">
        <f>IF(AND($A108&gt;=SYear_O, $A108&lt;=EYear_O, C$3&gt;0), C$3 * VLOOKUP($A108, Data_All!$A$8:$CA$153, MATCH(C$2, Data_All!$B$2:$CA$2, 0)+1), "")</f>
        <v/>
      </c>
      <c r="D108" s="206" t="str">
        <f>IF(AND($A108&gt;=SYear_O, $A108&lt;=EYear_O, D$3&gt;0), D$3 * VLOOKUP($A108, Data_All!$A$8:$CA$153, MATCH(D$2, Data_All!$B$2:$CA$2, 0)+1), "")</f>
        <v/>
      </c>
      <c r="E108" s="206" t="str">
        <f>IF(AND($A108&gt;=SYear_O, $A108&lt;=EYear_O, E$3&gt;0), E$3 * VLOOKUP($A108, Data_All!$A$8:$CA$153, MATCH(E$2, Data_All!$B$2:$CA$2, 0)+1), "")</f>
        <v/>
      </c>
      <c r="F108" s="206" t="str">
        <f>IF(AND($A108&gt;=SYear_O, $A108&lt;=EYear_O, F$3&gt;0), F$3 * VLOOKUP($A108, Data_All!$A$8:$CA$153, MATCH(F$2, Data_All!$B$2:$CA$2, 0)+1), "")</f>
        <v/>
      </c>
      <c r="G108" s="206" t="str">
        <f>IF(AND($A108&gt;=SYear_O, $A108&lt;=EYear_O, G$3&gt;0), G$3 * VLOOKUP($A108, Data_All!$A$8:$CA$153, MATCH(G$2, Data_All!$B$2:$CA$2, 0)+1), "")</f>
        <v/>
      </c>
      <c r="H108" s="206" t="str">
        <f>IF(AND($A108&gt;=SYear_O, $A108&lt;=EYear_O, H$3&gt;0), H$3 * VLOOKUP($A108, Data_All!$A$8:$CA$153, MATCH(H$2, Data_All!$B$2:$CA$2, 0)+1), "")</f>
        <v/>
      </c>
      <c r="I108" s="206" t="str">
        <f>IF(AND($A108&gt;=SYear_O, $A108&lt;=EYear_O, I$3&gt;0), I$3 * VLOOKUP($A108, Data_All!$A$8:$CA$153, MATCH(I$2, Data_All!$B$2:$CA$2, 0)+1), "")</f>
        <v/>
      </c>
      <c r="J108" s="206" t="str">
        <f>IF(AND($A108&gt;=SYear_O, $A108&lt;=EYear_O, J$3&gt;0), J$3 * VLOOKUP($A108, Data_All!$A$8:$CA$153, MATCH(J$2, Data_All!$B$2:$CA$2, 0)+1), "")</f>
        <v/>
      </c>
      <c r="K108" s="206" t="str">
        <f>IF(AND($A108&gt;=SYear_O, $A108&lt;=EYear_O, K$3&gt;0), K$3 * VLOOKUP($A108, Data_All!$A$8:$CA$153, MATCH(K$2, Data_All!$B$2:$CA$2, 0)+1), "")</f>
        <v/>
      </c>
      <c r="L108" s="206" t="str">
        <f>IF(AND($A108&gt;=SYear_O, $A108&lt;=EYear_O, L$3&gt;0), L$3 * VLOOKUP($A108, Data_All!$A$8:$CA$153, MATCH(L$2, Data_All!$B$2:$CA$2, 0)+1), "")</f>
        <v/>
      </c>
      <c r="M108" s="206" t="str">
        <f>IF(AND($A108&gt;=SYear_O, $A108&lt;=EYear_O, M$3&gt;0), M$3 * VLOOKUP($A108, Data_All!$A$8:$CA$153, MATCH(M$2, Data_All!$B$2:$CA$2, 0)+1), "")</f>
        <v/>
      </c>
      <c r="N108" s="206" t="str">
        <f>IF(AND($A108&gt;=SYear_O, $A108&lt;=EYear_O, N$3&gt;0), N$3 * VLOOKUP($A108, Data_All!$A$8:$CA$153, MATCH(N$2, Data_All!$B$2:$CA$2, 0)+1), "")</f>
        <v/>
      </c>
      <c r="O108" s="206" t="str">
        <f>IF(AND($A108&gt;=SYear_O, $A108&lt;=EYear_O, O$3&gt;0), O$3 * VLOOKUP($A108, Data_All!$A$8:$CA$153, MATCH(O$2, Data_All!$B$2:$CA$2, 0)+1), "")</f>
        <v/>
      </c>
      <c r="P108" s="206" t="str">
        <f>IF(AND($A108&gt;=SYear_O, $A108&lt;=EYear_O, P$3&gt;0), P$3 * VLOOKUP($A108, Data_All!$A$8:$CA$153, MATCH(P$2, Data_All!$B$2:$CA$2, 0)+1), "")</f>
        <v/>
      </c>
      <c r="Q108" s="206" t="str">
        <f>IF(AND($A108&gt;=SYear_O, $A108&lt;=EYear_O, Q$3&gt;0), Q$3 * VLOOKUP($A108, Data_All!$A$8:$CA$153, MATCH(Q$2, Data_All!$B$2:$CA$2, 0)+1), "")</f>
        <v/>
      </c>
      <c r="R108" s="206" t="str">
        <f>IF(AND($A108&gt;=SYear_O, $A108&lt;=EYear_O, R$3&gt;0), R$3 * VLOOKUP($A108, Data_All!$A$8:$CA$153, MATCH(R$2, Data_All!$B$2:$CA$2, 0)+1), "")</f>
        <v/>
      </c>
      <c r="S108" s="206" t="str">
        <f>IF(AND($A108&gt;=SYear_O, $A108&lt;=EYear_O, S$3&gt;0), S$3 * VLOOKUP($A108, Data_All!$A$8:$CA$153, MATCH(S$2, Data_All!$B$2:$CA$2, 0)+1), "")</f>
        <v/>
      </c>
      <c r="T108" s="206" t="str">
        <f>IF(AND($A108&gt;=SYear_O, $A108&lt;=EYear_O, T$3&gt;0), T$3 * VLOOKUP($A108, Data_All!$A$8:$CA$153, MATCH(T$2, Data_All!$B$2:$CA$2, 0)+1), "")</f>
        <v/>
      </c>
      <c r="U108" s="206" t="str">
        <f>IF(AND($A108&gt;=SYear_O, $A108&lt;=EYear_O, U$3&gt;0), U$3 * VLOOKUP($A108, Data_All!$A$8:$CA$153, MATCH(U$2, Data_All!$B$2:$CA$2, 0)+1), "")</f>
        <v/>
      </c>
      <c r="V108" s="206" t="str">
        <f>IF(AND($A108&gt;=SYear_O, $A108&lt;=EYear_O, V$3&gt;0), V$3 * VLOOKUP($A108, Data_All!$A$8:$CA$153, MATCH(V$2, Data_All!$B$2:$CA$2, 0)+1), "")</f>
        <v/>
      </c>
      <c r="W108" s="206" t="str">
        <f>IF(AND($A108&gt;=SYear_O, $A108&lt;=EYear_O, W$3&gt;0), W$3 * VLOOKUP($A108, Data_All!$A$8:$CA$153, MATCH(W$2, Data_All!$B$2:$CA$2, 0)+1), "")</f>
        <v/>
      </c>
      <c r="X108" s="206" t="str">
        <f>IF(AND($A108&gt;=SYear_O, $A108&lt;=EYear_O, X$3&gt;0), X$3 * VLOOKUP($A108, Data_All!$A$8:$CA$153, MATCH(X$2, Data_All!$B$2:$CA$2, 0)+1), "")</f>
        <v/>
      </c>
      <c r="Y108" s="206" t="str">
        <f>IF(AND($A108&gt;=SYear_O, $A108&lt;=EYear_O, Y$3&gt;0), Y$3 * VLOOKUP($A108, Data_All!$A$8:$CA$153, MATCH(Y$2, Data_All!$B$2:$CA$2, 0)+1), "")</f>
        <v/>
      </c>
      <c r="Z108" s="206" t="str">
        <f>IF(AND($A108&gt;=SYear_O, $A108&lt;=EYear_O, Z$3&gt;0), Z$3 * VLOOKUP($A108, Data_All!$A$8:$CA$153, MATCH(Z$2, Data_All!$B$2:$CA$2, 0)+1), "")</f>
        <v/>
      </c>
      <c r="AA108" s="206" t="str">
        <f>IF(AND($A108&gt;=SYear_O, $A108&lt;=EYear_O, AA$3&gt;0), AA$3 * VLOOKUP($A108, Data_All!$A$8:$CA$153, MATCH(AA$2, Data_All!$B$2:$CA$2, 0)+1), "")</f>
        <v/>
      </c>
      <c r="AB108" s="206" t="str">
        <f>IF(AND($A108&gt;=SYear_O, $A108&lt;=EYear_O, AB$3&gt;0), AB$3 * VLOOKUP($A108, Data_All!$A$8:$CA$153, MATCH(AB$2, Data_All!$B$2:$CA$2, 0)+1), "")</f>
        <v/>
      </c>
      <c r="AC108" s="206" t="str">
        <f>IF(AND($A108&gt;=SYear_O, $A108&lt;=EYear_O, AC$3&gt;0), AC$3 * VLOOKUP($A108, Data_All!$A$8:$CA$153, MATCH(AC$2, Data_All!$B$2:$CA$2, 0)+1), "")</f>
        <v/>
      </c>
      <c r="AD108" s="206" t="str">
        <f>IF(AND($A108&gt;=SYear_O, $A108&lt;=EYear_O, AD$3&gt;0), AD$3 * VLOOKUP($A108, Data_All!$A$8:$CA$153, MATCH(AD$2, Data_All!$B$2:$CA$2, 0)+1), "")</f>
        <v/>
      </c>
      <c r="AE108" s="206" t="str">
        <f>IF(AND($A108&gt;=SYear_O, $A108&lt;=EYear_O, AE$3&gt;0), AE$3 * VLOOKUP($A108, Data_All!$A$8:$CA$153, MATCH(AE$2, Data_All!$B$2:$CA$2, 0)+1), "")</f>
        <v/>
      </c>
      <c r="AF108" s="206" t="str">
        <f>IF(AND($A108&gt;=SYear_O, $A108&lt;=EYear_O, AF$3&gt;0), AF$3 * VLOOKUP($A108, Data_All!$A$8:$CA$153, MATCH(AF$2, Data_All!$B$2:$CA$2, 0)+1), "")</f>
        <v/>
      </c>
      <c r="AG108" s="206" t="str">
        <f>IF(AND($A108&gt;=SYear_O, $A108&lt;=EYear_O, AG$3&gt;0), AG$3 * VLOOKUP($A108, Data_All!$A$8:$CA$153, MATCH(AG$2, Data_All!$B$2:$CA$2, 0)+1), "")</f>
        <v/>
      </c>
      <c r="AH108" s="206" t="str">
        <f>IF(AND($A108&gt;=SYear_O, $A108&lt;=EYear_O, AH$3&gt;0), AH$3 * VLOOKUP($A108, Data_All!$A$8:$CA$153, MATCH(AH$2, Data_All!$B$2:$CA$2, 0)+1), "")</f>
        <v/>
      </c>
      <c r="AI108" s="206" t="str">
        <f>IF(AND($A108&gt;=SYear_O, $A108&lt;=EYear_O, AI$3&gt;0), AI$3 * VLOOKUP($A108, Data_All!$A$8:$CA$153, MATCH(AI$2, Data_All!$B$2:$CA$2, 0)+1), "")</f>
        <v/>
      </c>
      <c r="AJ108" s="206" t="str">
        <f>IF(AND($A108&gt;=SYear_O, $A108&lt;=EYear_O, AJ$3&gt;0), AJ$3 * VLOOKUP($A108, Data_All!$A$8:$CA$153, MATCH(AJ$2, Data_All!$B$2:$CA$2, 0)+1), "")</f>
        <v/>
      </c>
      <c r="AK108" s="206" t="str">
        <f>IF(AND($A108&gt;=SYear_O, $A108&lt;=EYear_O, AK$3&gt;0), AK$3 * VLOOKUP($A108, Data_All!$A$8:$CA$153, MATCH(AK$2, Data_All!$B$2:$CA$2, 0)+1), "")</f>
        <v/>
      </c>
      <c r="AL108" s="206" t="str">
        <f>IF(AND($A108&gt;=SYear_O, $A108&lt;=EYear_O, AL$3&gt;0), AL$3 * VLOOKUP($A108, Data_All!$A$8:$CA$153, MATCH(AL$2, Data_All!$B$2:$CA$2, 0)+1), "")</f>
        <v/>
      </c>
      <c r="AM108" s="206" t="str">
        <f>IF(AND($A108&gt;=SYear_O, $A108&lt;=EYear_O, AM$3&gt;0), AM$3 * VLOOKUP($A108, Data_All!$A$8:$CA$153, MATCH(AM$2, Data_All!$B$2:$CA$2, 0)+1), "")</f>
        <v/>
      </c>
      <c r="AN108" s="206" t="str">
        <f>IF(AND($A108&gt;=SYear_O, $A108&lt;=EYear_O, AN$3&gt;0), AN$3 * VLOOKUP($A108, Data_All!$A$8:$CA$153, MATCH(AN$2, Data_All!$B$2:$CA$2, 0)+1), "")</f>
        <v/>
      </c>
      <c r="AO108" s="206" t="str">
        <f>IF(AND($A108&gt;=SYear_O, $A108&lt;=EYear_O, AO$3&gt;0), AO$3 * VLOOKUP($A108, Data_All!$A$8:$CA$153, MATCH(AO$2, Data_All!$B$2:$CA$2, 0)+1), "")</f>
        <v/>
      </c>
      <c r="AP108" s="206" t="str">
        <f>IF(AND($A108&gt;=SYear_O, $A108&lt;=EYear_O, AP$3&gt;0), AP$3 * VLOOKUP($A108, Data_All!$A$8:$CA$153, MATCH(AP$2, Data_All!$B$2:$CA$2, 0)+1), "")</f>
        <v/>
      </c>
      <c r="AQ108" s="206" t="str">
        <f>IF(AND($A108&gt;=SYear_O, $A108&lt;=EYear_O, AQ$3&gt;0), AQ$3 * VLOOKUP($A108, Data_All!$A$8:$CA$153, MATCH(AQ$2, Data_All!$B$2:$CA$2, 0)+1), "")</f>
        <v/>
      </c>
      <c r="AR108" s="206" t="str">
        <f>IF(AND($A108&gt;=SYear_O, $A108&lt;=EYear_O, AR$3&gt;0), AR$3 * VLOOKUP($A108, Data_All!$A$8:$CA$153, MATCH(AR$2, Data_All!$B$2:$CA$2, 0)+1), "")</f>
        <v/>
      </c>
      <c r="AS108" s="206" t="str">
        <f>IF(AND($A108&gt;=SYear_O, $A108&lt;=EYear_O, AS$3&gt;0), AS$3 * VLOOKUP($A108, Data_All!$A$8:$CA$153, MATCH(AS$2, Data_All!$B$2:$CA$2, 0)+1), "")</f>
        <v/>
      </c>
      <c r="AT108" s="206" t="str">
        <f>IF(AND($A108&gt;=SYear_O, $A108&lt;=EYear_O, AT$3&gt;0), AT$3 * VLOOKUP($A108, Data_All!$A$8:$CA$153, MATCH(AT$2, Data_All!$B$2:$CA$2, 0)+1), "")</f>
        <v/>
      </c>
      <c r="AU108" s="206" t="str">
        <f>IF(AND($A108&gt;=SYear_O, $A108&lt;=EYear_O, AU$3&gt;0), AU$3 * VLOOKUP($A108, Data_All!$A$8:$CA$153, MATCH(AU$2, Data_All!$B$2:$CA$2, 0)+1), "")</f>
        <v/>
      </c>
      <c r="AV108" s="206" t="str">
        <f>IF(AND($A108&gt;=SYear_O, $A108&lt;=EYear_O, AV$3&gt;0), AV$3 * VLOOKUP($A108, Data_All!$A$8:$CA$153, MATCH(AV$2, Data_All!$B$2:$CA$2, 0)+1), "")</f>
        <v/>
      </c>
      <c r="AW108" s="206" t="str">
        <f>IF(AND($A108&gt;=SYear_O, $A108&lt;=EYear_O, AW$3&gt;0), AW$3 * VLOOKUP($A108, Data_All!$A$8:$CA$153, MATCH(AW$2, Data_All!$B$2:$CA$2, 0)+1), "")</f>
        <v/>
      </c>
      <c r="AX108" s="206" t="str">
        <f>IF(AND($A108&gt;=SYear_O, $A108&lt;=EYear_O, AX$3&gt;0), AX$3 * VLOOKUP($A108, Data_All!$A$8:$CA$153, MATCH(AX$2, Data_All!$B$2:$CA$2, 0)+1), "")</f>
        <v/>
      </c>
      <c r="AY108" s="206" t="str">
        <f>IF(AND($A108&gt;=SYear_O, $A108&lt;=EYear_O, AY$3&gt;0), AY$3 * VLOOKUP($A108, Data_All!$A$8:$CA$153, MATCH(AY$2, Data_All!$B$2:$CA$2, 0)+1), "")</f>
        <v/>
      </c>
      <c r="AZ108" s="206" t="str">
        <f>IF(AND($A108&gt;=SYear_O, $A108&lt;=EYear_O, AZ$3&gt;0), AZ$3 * VLOOKUP($A108, Data_All!$A$8:$CA$153, MATCH(AZ$2, Data_All!$B$2:$CA$2, 0)+1), "")</f>
        <v/>
      </c>
      <c r="BA108" s="206" t="str">
        <f>IF(AND($A108&gt;=SYear_O, $A108&lt;=EYear_O, BA$3&gt;0), BA$3 * VLOOKUP($A108, Data_All!$A$8:$CA$153, MATCH(BA$2, Data_All!$B$2:$CA$2, 0)+1), "")</f>
        <v/>
      </c>
      <c r="BB108" s="206" t="str">
        <f>IF(AND($A108&gt;=SYear_O, $A108&lt;=EYear_O, BB$3&gt;0), BB$3 * VLOOKUP($A108, Data_All!$A$8:$CA$153, MATCH(BB$2, Data_All!$B$2:$CA$2, 0)+1), "")</f>
        <v/>
      </c>
      <c r="BC108" s="206" t="str">
        <f>IF(AND($A108&gt;=SYear_O, $A108&lt;=EYear_O, BC$3&gt;0), BC$3 * VLOOKUP($A108, Data_All!$A$8:$CA$153, MATCH(BC$2, Data_All!$B$2:$CA$2, 0)+1), "")</f>
        <v/>
      </c>
      <c r="BD108" s="206" t="str">
        <f>IF(AND($A108&gt;=SYear_O, $A108&lt;=EYear_O, BD$3&gt;0), BD$3 * VLOOKUP($A108, Data_All!$A$8:$CA$153, MATCH(BD$2, Data_All!$B$2:$CA$2, 0)+1), "")</f>
        <v/>
      </c>
      <c r="BE108" s="206" t="str">
        <f>IF(AND($A108&gt;=SYear_O, $A108&lt;=EYear_O, BE$3&gt;0), BE$3 * VLOOKUP($A108, Data_All!$A$8:$CA$153, MATCH(BE$2, Data_All!$B$2:$CA$2, 0)+1), "")</f>
        <v/>
      </c>
      <c r="BF108" s="206" t="str">
        <f>IF(AND($A108&gt;=SYear_O, $A108&lt;=EYear_O, BF$3&gt;0), BF$3 * VLOOKUP($A108, Data_All!$A$8:$CA$153, MATCH(BF$2, Data_All!$B$2:$CA$2, 0)+1), "")</f>
        <v/>
      </c>
      <c r="BG108" s="206" t="str">
        <f>IF(AND($A108&gt;=SYear_O, $A108&lt;=EYear_O, BG$3&gt;0), BG$3 * VLOOKUP($A108, Data_All!$A$8:$CA$153, MATCH(BG$2, Data_All!$B$2:$CA$2, 0)+1), "")</f>
        <v/>
      </c>
      <c r="BH108" s="206" t="str">
        <f>IF(AND($A108&gt;=SYear_O, $A108&lt;=EYear_O, BH$3&gt;0), BH$3 * VLOOKUP($A108, Data_All!$A$8:$CA$153, MATCH(BH$2, Data_All!$B$2:$CA$2, 0)+1), "")</f>
        <v/>
      </c>
      <c r="BI108" s="206" t="str">
        <f>IF(AND($A108&gt;=SYear_O, $A108&lt;=EYear_O, BI$3&gt;0), BI$3 * VLOOKUP($A108, Data_All!$A$8:$CA$153, MATCH(BI$2, Data_All!$B$2:$CA$2, 0)+1), "")</f>
        <v/>
      </c>
      <c r="BJ108" s="206" t="str">
        <f>IF(AND($A108&gt;=SYear_O, $A108&lt;=EYear_O, BJ$3&gt;0), BJ$3 * VLOOKUP($A108, Data_All!$A$8:$CA$153, MATCH(BJ$2, Data_All!$B$2:$CA$2, 0)+1), "")</f>
        <v/>
      </c>
      <c r="BK108" s="206" t="str">
        <f>IF(AND($A108&gt;=SYear_O, $A108&lt;=EYear_O, BK$3&gt;0), BK$3 * VLOOKUP($A108, Data_All!$A$8:$CA$153, MATCH(BK$2, Data_All!$B$2:$CA$2, 0)+1), "")</f>
        <v/>
      </c>
      <c r="BL108" s="206" t="str">
        <f>IF(AND($A108&gt;=SYear_O, $A108&lt;=EYear_O, BL$3&gt;0), BL$3 * VLOOKUP($A108, Data_All!$A$8:$CA$153, MATCH(BL$2, Data_All!$B$2:$CA$2, 0)+1), "")</f>
        <v/>
      </c>
      <c r="BM108" s="206" t="str">
        <f>IF(AND($A108&gt;=SYear_O, $A108&lt;=EYear_O, BM$3&gt;0), BM$3 * VLOOKUP($A108, Data_All!$A$8:$CA$153, MATCH(BM$2, Data_All!$B$2:$CA$2, 0)+1), "")</f>
        <v/>
      </c>
      <c r="BN108" s="206" t="str">
        <f>IF(AND($A108&gt;=SYear_O, $A108&lt;=EYear_O, BN$3&gt;0), BN$3 * VLOOKUP($A108, Data_All!$A$8:$CA$153, MATCH(BN$2, Data_All!$B$2:$CA$2, 0)+1), "")</f>
        <v/>
      </c>
      <c r="BO108" s="206" t="str">
        <f>IF(AND($A108&gt;=SYear_O, $A108&lt;=EYear_O, BO$3&gt;0), BO$3 * VLOOKUP($A108, Data_All!$A$8:$CA$153, MATCH(BO$2, Data_All!$B$2:$CA$2, 0)+1), "")</f>
        <v/>
      </c>
      <c r="BP108" s="206" t="str">
        <f>IF(AND($A108&gt;=SYear_O, $A108&lt;=EYear_O, BP$3&gt;0), BP$3 * VLOOKUP($A108, Data_All!$A$8:$CA$153, MATCH(BP$2, Data_All!$B$2:$CA$2, 0)+1), "")</f>
        <v/>
      </c>
      <c r="BQ108" s="206" t="str">
        <f>IF(AND($A108&gt;=SYear_O, $A108&lt;=EYear_O, BQ$3&gt;0), BQ$3 * VLOOKUP($A108, Data_All!$A$8:$CA$153, MATCH(BQ$2, Data_All!$B$2:$CA$2, 0)+1), "")</f>
        <v/>
      </c>
      <c r="BR108" s="206" t="str">
        <f>IF(AND($A108&gt;=SYear_O, $A108&lt;=EYear_O, BR$3&gt;0), BR$3 * VLOOKUP($A108, Data_All!$A$8:$CA$153, MATCH(BR$2, Data_All!$B$2:$CA$2, 0)+1), "")</f>
        <v/>
      </c>
      <c r="BS108" s="206" t="str">
        <f>IF(AND($A108&gt;=SYear_O, $A108&lt;=EYear_O, BS$3&gt;0), BS$3 * VLOOKUP($A108, Data_All!$A$8:$CA$153, MATCH(BS$2, Data_All!$B$2:$CA$2, 0)+1), "")</f>
        <v/>
      </c>
      <c r="BT108" s="206" t="str">
        <f>IF(AND($A108&gt;=SYear_O, $A108&lt;=EYear_O, BT$3&gt;0), BT$3 * VLOOKUP($A108, Data_All!$A$8:$CA$153, MATCH(BT$2, Data_All!$B$2:$CA$2, 0)+1), "")</f>
        <v/>
      </c>
      <c r="BU108" s="206" t="str">
        <f>IF(AND($A108&gt;=SYear_O, $A108&lt;=EYear_O, BU$3&gt;0), BU$3 * VLOOKUP($A108, Data_All!$A$8:$CA$153, MATCH(BU$2, Data_All!$B$2:$CA$2, 0)+1), "")</f>
        <v/>
      </c>
      <c r="BV108" s="206" t="str">
        <f>IF(AND($A108&gt;=SYear_O, $A108&lt;=EYear_O, BV$3&gt;0), BV$3 * VLOOKUP($A108, Data_All!$A$8:$CA$153, MATCH(BV$2, Data_All!$B$2:$CA$2, 0)+1), "")</f>
        <v/>
      </c>
      <c r="BW108" s="206" t="str">
        <f>IF(AND($A108&gt;=SYear_O, $A108&lt;=EYear_O, BW$3&gt;0), BW$3 * VLOOKUP($A108, Data_All!$A$8:$CA$153, MATCH(BW$2, Data_All!$B$2:$CA$2, 0)+1), "")</f>
        <v/>
      </c>
      <c r="BX108" s="206">
        <f>IF(AND($A108&gt;=SYear_O, $A108&lt;=EYear_O, BX$3&gt;0), BX$3 * VLOOKUP($A108, Data_All!$A$8:$CA$153, MATCH(BX$2, Data_All!$B$2:$CA$2, 0)+1), "")</f>
        <v>10.611810261374645</v>
      </c>
      <c r="BY108" s="206">
        <f>IF(AND($A108&gt;=SYear_O, $A108&lt;=EYear_O, BY$3&gt;0), BY$3 * VLOOKUP($A108, Data_All!$A$8:$CA$153, MATCH(BY$2, Data_All!$B$2:$CA$2, 0)+1), "")</f>
        <v>1.3123055185416987</v>
      </c>
      <c r="BZ108" s="206" t="str">
        <f>IF(AND($A108&gt;=SYear_O, $A108&lt;=EYear_O, BZ$3&gt;0), BZ$3 * VLOOKUP($A108, Data_All!$A$8:$CA$153, MATCH(BZ$2, Data_All!$B$2:$CA$2, 0)+1), "")</f>
        <v/>
      </c>
      <c r="CA108" s="565">
        <f t="shared" si="52"/>
        <v>11.924115779916344</v>
      </c>
      <c r="CB108" s="427">
        <f t="shared" si="53"/>
        <v>8919398.3499557693</v>
      </c>
      <c r="CC108" s="565">
        <f>IF(AND($A108&gt;=SYear_O,$A108&lt;=EYear_O),(CA108-Data_All!CA109)/(1+Data_All!CA109%),"")</f>
        <v>8.2372037306955725</v>
      </c>
      <c r="CD108" s="436">
        <f t="shared" si="54"/>
        <v>2615810.0027564247</v>
      </c>
      <c r="CE108" s="438">
        <f t="shared" si="55"/>
        <v>808.98264059770042</v>
      </c>
      <c r="CF108" s="438">
        <f>IF(AND($A108&gt;=SYear_O,$A108&lt;=EYear_O),MAX($CE$7:CE108),"")</f>
        <v>808.98264059770042</v>
      </c>
      <c r="CG108" s="209">
        <f t="shared" si="56"/>
        <v>0</v>
      </c>
      <c r="CI108" s="143">
        <f>IF(AND($A108&gt;=SYear_O,$A108&lt;=EYear_O),Data_All!V109,"")</f>
        <v>3.7066640023978423</v>
      </c>
      <c r="CJ108" s="143">
        <f>IF(AND($A108&gt;=SYear_O,$A108&lt;=EYear_O),Data_All!CA109,"")</f>
        <v>3.4063260340632562</v>
      </c>
      <c r="CK108" s="143">
        <f t="shared" si="57"/>
        <v>0.29044448231885861</v>
      </c>
      <c r="CN108" s="61">
        <f t="shared" si="58"/>
        <v>0.11924115779916344</v>
      </c>
      <c r="CO108" s="61">
        <f t="shared" si="59"/>
        <v>-2.6663773671875779E-2</v>
      </c>
      <c r="CP108" s="61">
        <f t="shared" si="60"/>
        <v>5.263139720434773E-2</v>
      </c>
      <c r="CQ108" s="61">
        <f t="shared" si="61"/>
        <v>5.7548885514831616E-2</v>
      </c>
      <c r="CR108" s="61">
        <f t="shared" si="62"/>
        <v>0.1051939423338244</v>
      </c>
      <c r="CU108" s="61">
        <f t="shared" si="63"/>
        <v>8.2372037306955637E-2</v>
      </c>
      <c r="CV108" s="61">
        <f t="shared" si="64"/>
        <v>-9.9491723161348466E-2</v>
      </c>
      <c r="CW108" s="61">
        <f t="shared" si="65"/>
        <v>-1.8116217032997151E-2</v>
      </c>
      <c r="CX108" s="61">
        <f t="shared" si="66"/>
        <v>-2.641954040466632E-2</v>
      </c>
      <c r="CY108" s="61">
        <f t="shared" si="67"/>
        <v>3.4674626087972671E-2</v>
      </c>
    </row>
    <row r="109" spans="1:103">
      <c r="A109" s="204">
        <f t="shared" si="51"/>
        <v>1973</v>
      </c>
      <c r="B109" s="206" t="str">
        <f>IF(AND($A109&gt;=SYear_O, $A109&lt;=EYear_O, B$3&gt;0), B$3 * VLOOKUP($A109, Data_All!$A$8:$CA$153, MATCH(B$2, Data_All!$B$2:$CA$2, 0)+1), "")</f>
        <v/>
      </c>
      <c r="C109" s="206" t="str">
        <f>IF(AND($A109&gt;=SYear_O, $A109&lt;=EYear_O, C$3&gt;0), C$3 * VLOOKUP($A109, Data_All!$A$8:$CA$153, MATCH(C$2, Data_All!$B$2:$CA$2, 0)+1), "")</f>
        <v/>
      </c>
      <c r="D109" s="206" t="str">
        <f>IF(AND($A109&gt;=SYear_O, $A109&lt;=EYear_O, D$3&gt;0), D$3 * VLOOKUP($A109, Data_All!$A$8:$CA$153, MATCH(D$2, Data_All!$B$2:$CA$2, 0)+1), "")</f>
        <v/>
      </c>
      <c r="E109" s="206" t="str">
        <f>IF(AND($A109&gt;=SYear_O, $A109&lt;=EYear_O, E$3&gt;0), E$3 * VLOOKUP($A109, Data_All!$A$8:$CA$153, MATCH(E$2, Data_All!$B$2:$CA$2, 0)+1), "")</f>
        <v/>
      </c>
      <c r="F109" s="206" t="str">
        <f>IF(AND($A109&gt;=SYear_O, $A109&lt;=EYear_O, F$3&gt;0), F$3 * VLOOKUP($A109, Data_All!$A$8:$CA$153, MATCH(F$2, Data_All!$B$2:$CA$2, 0)+1), "")</f>
        <v/>
      </c>
      <c r="G109" s="206" t="str">
        <f>IF(AND($A109&gt;=SYear_O, $A109&lt;=EYear_O, G$3&gt;0), G$3 * VLOOKUP($A109, Data_All!$A$8:$CA$153, MATCH(G$2, Data_All!$B$2:$CA$2, 0)+1), "")</f>
        <v/>
      </c>
      <c r="H109" s="206" t="str">
        <f>IF(AND($A109&gt;=SYear_O, $A109&lt;=EYear_O, H$3&gt;0), H$3 * VLOOKUP($A109, Data_All!$A$8:$CA$153, MATCH(H$2, Data_All!$B$2:$CA$2, 0)+1), "")</f>
        <v/>
      </c>
      <c r="I109" s="206" t="str">
        <f>IF(AND($A109&gt;=SYear_O, $A109&lt;=EYear_O, I$3&gt;0), I$3 * VLOOKUP($A109, Data_All!$A$8:$CA$153, MATCH(I$2, Data_All!$B$2:$CA$2, 0)+1), "")</f>
        <v/>
      </c>
      <c r="J109" s="206" t="str">
        <f>IF(AND($A109&gt;=SYear_O, $A109&lt;=EYear_O, J$3&gt;0), J$3 * VLOOKUP($A109, Data_All!$A$8:$CA$153, MATCH(J$2, Data_All!$B$2:$CA$2, 0)+1), "")</f>
        <v/>
      </c>
      <c r="K109" s="206" t="str">
        <f>IF(AND($A109&gt;=SYear_O, $A109&lt;=EYear_O, K$3&gt;0), K$3 * VLOOKUP($A109, Data_All!$A$8:$CA$153, MATCH(K$2, Data_All!$B$2:$CA$2, 0)+1), "")</f>
        <v/>
      </c>
      <c r="L109" s="206" t="str">
        <f>IF(AND($A109&gt;=SYear_O, $A109&lt;=EYear_O, L$3&gt;0), L$3 * VLOOKUP($A109, Data_All!$A$8:$CA$153, MATCH(L$2, Data_All!$B$2:$CA$2, 0)+1), "")</f>
        <v/>
      </c>
      <c r="M109" s="206" t="str">
        <f>IF(AND($A109&gt;=SYear_O, $A109&lt;=EYear_O, M$3&gt;0), M$3 * VLOOKUP($A109, Data_All!$A$8:$CA$153, MATCH(M$2, Data_All!$B$2:$CA$2, 0)+1), "")</f>
        <v/>
      </c>
      <c r="N109" s="206" t="str">
        <f>IF(AND($A109&gt;=SYear_O, $A109&lt;=EYear_O, N$3&gt;0), N$3 * VLOOKUP($A109, Data_All!$A$8:$CA$153, MATCH(N$2, Data_All!$B$2:$CA$2, 0)+1), "")</f>
        <v/>
      </c>
      <c r="O109" s="206" t="str">
        <f>IF(AND($A109&gt;=SYear_O, $A109&lt;=EYear_O, O$3&gt;0), O$3 * VLOOKUP($A109, Data_All!$A$8:$CA$153, MATCH(O$2, Data_All!$B$2:$CA$2, 0)+1), "")</f>
        <v/>
      </c>
      <c r="P109" s="206" t="str">
        <f>IF(AND($A109&gt;=SYear_O, $A109&lt;=EYear_O, P$3&gt;0), P$3 * VLOOKUP($A109, Data_All!$A$8:$CA$153, MATCH(P$2, Data_All!$B$2:$CA$2, 0)+1), "")</f>
        <v/>
      </c>
      <c r="Q109" s="206" t="str">
        <f>IF(AND($A109&gt;=SYear_O, $A109&lt;=EYear_O, Q$3&gt;0), Q$3 * VLOOKUP($A109, Data_All!$A$8:$CA$153, MATCH(Q$2, Data_All!$B$2:$CA$2, 0)+1), "")</f>
        <v/>
      </c>
      <c r="R109" s="206" t="str">
        <f>IF(AND($A109&gt;=SYear_O, $A109&lt;=EYear_O, R$3&gt;0), R$3 * VLOOKUP($A109, Data_All!$A$8:$CA$153, MATCH(R$2, Data_All!$B$2:$CA$2, 0)+1), "")</f>
        <v/>
      </c>
      <c r="S109" s="206" t="str">
        <f>IF(AND($A109&gt;=SYear_O, $A109&lt;=EYear_O, S$3&gt;0), S$3 * VLOOKUP($A109, Data_All!$A$8:$CA$153, MATCH(S$2, Data_All!$B$2:$CA$2, 0)+1), "")</f>
        <v/>
      </c>
      <c r="T109" s="206" t="str">
        <f>IF(AND($A109&gt;=SYear_O, $A109&lt;=EYear_O, T$3&gt;0), T$3 * VLOOKUP($A109, Data_All!$A$8:$CA$153, MATCH(T$2, Data_All!$B$2:$CA$2, 0)+1), "")</f>
        <v/>
      </c>
      <c r="U109" s="206" t="str">
        <f>IF(AND($A109&gt;=SYear_O, $A109&lt;=EYear_O, U$3&gt;0), U$3 * VLOOKUP($A109, Data_All!$A$8:$CA$153, MATCH(U$2, Data_All!$B$2:$CA$2, 0)+1), "")</f>
        <v/>
      </c>
      <c r="V109" s="206" t="str">
        <f>IF(AND($A109&gt;=SYear_O, $A109&lt;=EYear_O, V$3&gt;0), V$3 * VLOOKUP($A109, Data_All!$A$8:$CA$153, MATCH(V$2, Data_All!$B$2:$CA$2, 0)+1), "")</f>
        <v/>
      </c>
      <c r="W109" s="206" t="str">
        <f>IF(AND($A109&gt;=SYear_O, $A109&lt;=EYear_O, W$3&gt;0), W$3 * VLOOKUP($A109, Data_All!$A$8:$CA$153, MATCH(W$2, Data_All!$B$2:$CA$2, 0)+1), "")</f>
        <v/>
      </c>
      <c r="X109" s="206" t="str">
        <f>IF(AND($A109&gt;=SYear_O, $A109&lt;=EYear_O, X$3&gt;0), X$3 * VLOOKUP($A109, Data_All!$A$8:$CA$153, MATCH(X$2, Data_All!$B$2:$CA$2, 0)+1), "")</f>
        <v/>
      </c>
      <c r="Y109" s="206" t="str">
        <f>IF(AND($A109&gt;=SYear_O, $A109&lt;=EYear_O, Y$3&gt;0), Y$3 * VLOOKUP($A109, Data_All!$A$8:$CA$153, MATCH(Y$2, Data_All!$B$2:$CA$2, 0)+1), "")</f>
        <v/>
      </c>
      <c r="Z109" s="206" t="str">
        <f>IF(AND($A109&gt;=SYear_O, $A109&lt;=EYear_O, Z$3&gt;0), Z$3 * VLOOKUP($A109, Data_All!$A$8:$CA$153, MATCH(Z$2, Data_All!$B$2:$CA$2, 0)+1), "")</f>
        <v/>
      </c>
      <c r="AA109" s="206" t="str">
        <f>IF(AND($A109&gt;=SYear_O, $A109&lt;=EYear_O, AA$3&gt;0), AA$3 * VLOOKUP($A109, Data_All!$A$8:$CA$153, MATCH(AA$2, Data_All!$B$2:$CA$2, 0)+1), "")</f>
        <v/>
      </c>
      <c r="AB109" s="206" t="str">
        <f>IF(AND($A109&gt;=SYear_O, $A109&lt;=EYear_O, AB$3&gt;0), AB$3 * VLOOKUP($A109, Data_All!$A$8:$CA$153, MATCH(AB$2, Data_All!$B$2:$CA$2, 0)+1), "")</f>
        <v/>
      </c>
      <c r="AC109" s="206" t="str">
        <f>IF(AND($A109&gt;=SYear_O, $A109&lt;=EYear_O, AC$3&gt;0), AC$3 * VLOOKUP($A109, Data_All!$A$8:$CA$153, MATCH(AC$2, Data_All!$B$2:$CA$2, 0)+1), "")</f>
        <v/>
      </c>
      <c r="AD109" s="206" t="str">
        <f>IF(AND($A109&gt;=SYear_O, $A109&lt;=EYear_O, AD$3&gt;0), AD$3 * VLOOKUP($A109, Data_All!$A$8:$CA$153, MATCH(AD$2, Data_All!$B$2:$CA$2, 0)+1), "")</f>
        <v/>
      </c>
      <c r="AE109" s="206" t="str">
        <f>IF(AND($A109&gt;=SYear_O, $A109&lt;=EYear_O, AE$3&gt;0), AE$3 * VLOOKUP($A109, Data_All!$A$8:$CA$153, MATCH(AE$2, Data_All!$B$2:$CA$2, 0)+1), "")</f>
        <v/>
      </c>
      <c r="AF109" s="206" t="str">
        <f>IF(AND($A109&gt;=SYear_O, $A109&lt;=EYear_O, AF$3&gt;0), AF$3 * VLOOKUP($A109, Data_All!$A$8:$CA$153, MATCH(AF$2, Data_All!$B$2:$CA$2, 0)+1), "")</f>
        <v/>
      </c>
      <c r="AG109" s="206" t="str">
        <f>IF(AND($A109&gt;=SYear_O, $A109&lt;=EYear_O, AG$3&gt;0), AG$3 * VLOOKUP($A109, Data_All!$A$8:$CA$153, MATCH(AG$2, Data_All!$B$2:$CA$2, 0)+1), "")</f>
        <v/>
      </c>
      <c r="AH109" s="206" t="str">
        <f>IF(AND($A109&gt;=SYear_O, $A109&lt;=EYear_O, AH$3&gt;0), AH$3 * VLOOKUP($A109, Data_All!$A$8:$CA$153, MATCH(AH$2, Data_All!$B$2:$CA$2, 0)+1), "")</f>
        <v/>
      </c>
      <c r="AI109" s="206" t="str">
        <f>IF(AND($A109&gt;=SYear_O, $A109&lt;=EYear_O, AI$3&gt;0), AI$3 * VLOOKUP($A109, Data_All!$A$8:$CA$153, MATCH(AI$2, Data_All!$B$2:$CA$2, 0)+1), "")</f>
        <v/>
      </c>
      <c r="AJ109" s="206" t="str">
        <f>IF(AND($A109&gt;=SYear_O, $A109&lt;=EYear_O, AJ$3&gt;0), AJ$3 * VLOOKUP($A109, Data_All!$A$8:$CA$153, MATCH(AJ$2, Data_All!$B$2:$CA$2, 0)+1), "")</f>
        <v/>
      </c>
      <c r="AK109" s="206" t="str">
        <f>IF(AND($A109&gt;=SYear_O, $A109&lt;=EYear_O, AK$3&gt;0), AK$3 * VLOOKUP($A109, Data_All!$A$8:$CA$153, MATCH(AK$2, Data_All!$B$2:$CA$2, 0)+1), "")</f>
        <v/>
      </c>
      <c r="AL109" s="206" t="str">
        <f>IF(AND($A109&gt;=SYear_O, $A109&lt;=EYear_O, AL$3&gt;0), AL$3 * VLOOKUP($A109, Data_All!$A$8:$CA$153, MATCH(AL$2, Data_All!$B$2:$CA$2, 0)+1), "")</f>
        <v/>
      </c>
      <c r="AM109" s="206" t="str">
        <f>IF(AND($A109&gt;=SYear_O, $A109&lt;=EYear_O, AM$3&gt;0), AM$3 * VLOOKUP($A109, Data_All!$A$8:$CA$153, MATCH(AM$2, Data_All!$B$2:$CA$2, 0)+1), "")</f>
        <v/>
      </c>
      <c r="AN109" s="206" t="str">
        <f>IF(AND($A109&gt;=SYear_O, $A109&lt;=EYear_O, AN$3&gt;0), AN$3 * VLOOKUP($A109, Data_All!$A$8:$CA$153, MATCH(AN$2, Data_All!$B$2:$CA$2, 0)+1), "")</f>
        <v/>
      </c>
      <c r="AO109" s="206" t="str">
        <f>IF(AND($A109&gt;=SYear_O, $A109&lt;=EYear_O, AO$3&gt;0), AO$3 * VLOOKUP($A109, Data_All!$A$8:$CA$153, MATCH(AO$2, Data_All!$B$2:$CA$2, 0)+1), "")</f>
        <v/>
      </c>
      <c r="AP109" s="206" t="str">
        <f>IF(AND($A109&gt;=SYear_O, $A109&lt;=EYear_O, AP$3&gt;0), AP$3 * VLOOKUP($A109, Data_All!$A$8:$CA$153, MATCH(AP$2, Data_All!$B$2:$CA$2, 0)+1), "")</f>
        <v/>
      </c>
      <c r="AQ109" s="206" t="str">
        <f>IF(AND($A109&gt;=SYear_O, $A109&lt;=EYear_O, AQ$3&gt;0), AQ$3 * VLOOKUP($A109, Data_All!$A$8:$CA$153, MATCH(AQ$2, Data_All!$B$2:$CA$2, 0)+1), "")</f>
        <v/>
      </c>
      <c r="AR109" s="206" t="str">
        <f>IF(AND($A109&gt;=SYear_O, $A109&lt;=EYear_O, AR$3&gt;0), AR$3 * VLOOKUP($A109, Data_All!$A$8:$CA$153, MATCH(AR$2, Data_All!$B$2:$CA$2, 0)+1), "")</f>
        <v/>
      </c>
      <c r="AS109" s="206" t="str">
        <f>IF(AND($A109&gt;=SYear_O, $A109&lt;=EYear_O, AS$3&gt;0), AS$3 * VLOOKUP($A109, Data_All!$A$8:$CA$153, MATCH(AS$2, Data_All!$B$2:$CA$2, 0)+1), "")</f>
        <v/>
      </c>
      <c r="AT109" s="206" t="str">
        <f>IF(AND($A109&gt;=SYear_O, $A109&lt;=EYear_O, AT$3&gt;0), AT$3 * VLOOKUP($A109, Data_All!$A$8:$CA$153, MATCH(AT$2, Data_All!$B$2:$CA$2, 0)+1), "")</f>
        <v/>
      </c>
      <c r="AU109" s="206" t="str">
        <f>IF(AND($A109&gt;=SYear_O, $A109&lt;=EYear_O, AU$3&gt;0), AU$3 * VLOOKUP($A109, Data_All!$A$8:$CA$153, MATCH(AU$2, Data_All!$B$2:$CA$2, 0)+1), "")</f>
        <v/>
      </c>
      <c r="AV109" s="206" t="str">
        <f>IF(AND($A109&gt;=SYear_O, $A109&lt;=EYear_O, AV$3&gt;0), AV$3 * VLOOKUP($A109, Data_All!$A$8:$CA$153, MATCH(AV$2, Data_All!$B$2:$CA$2, 0)+1), "")</f>
        <v/>
      </c>
      <c r="AW109" s="206" t="str">
        <f>IF(AND($A109&gt;=SYear_O, $A109&lt;=EYear_O, AW$3&gt;0), AW$3 * VLOOKUP($A109, Data_All!$A$8:$CA$153, MATCH(AW$2, Data_All!$B$2:$CA$2, 0)+1), "")</f>
        <v/>
      </c>
      <c r="AX109" s="206" t="str">
        <f>IF(AND($A109&gt;=SYear_O, $A109&lt;=EYear_O, AX$3&gt;0), AX$3 * VLOOKUP($A109, Data_All!$A$8:$CA$153, MATCH(AX$2, Data_All!$B$2:$CA$2, 0)+1), "")</f>
        <v/>
      </c>
      <c r="AY109" s="206" t="str">
        <f>IF(AND($A109&gt;=SYear_O, $A109&lt;=EYear_O, AY$3&gt;0), AY$3 * VLOOKUP($A109, Data_All!$A$8:$CA$153, MATCH(AY$2, Data_All!$B$2:$CA$2, 0)+1), "")</f>
        <v/>
      </c>
      <c r="AZ109" s="206" t="str">
        <f>IF(AND($A109&gt;=SYear_O, $A109&lt;=EYear_O, AZ$3&gt;0), AZ$3 * VLOOKUP($A109, Data_All!$A$8:$CA$153, MATCH(AZ$2, Data_All!$B$2:$CA$2, 0)+1), "")</f>
        <v/>
      </c>
      <c r="BA109" s="206" t="str">
        <f>IF(AND($A109&gt;=SYear_O, $A109&lt;=EYear_O, BA$3&gt;0), BA$3 * VLOOKUP($A109, Data_All!$A$8:$CA$153, MATCH(BA$2, Data_All!$B$2:$CA$2, 0)+1), "")</f>
        <v/>
      </c>
      <c r="BB109" s="206" t="str">
        <f>IF(AND($A109&gt;=SYear_O, $A109&lt;=EYear_O, BB$3&gt;0), BB$3 * VLOOKUP($A109, Data_All!$A$8:$CA$153, MATCH(BB$2, Data_All!$B$2:$CA$2, 0)+1), "")</f>
        <v/>
      </c>
      <c r="BC109" s="206" t="str">
        <f>IF(AND($A109&gt;=SYear_O, $A109&lt;=EYear_O, BC$3&gt;0), BC$3 * VLOOKUP($A109, Data_All!$A$8:$CA$153, MATCH(BC$2, Data_All!$B$2:$CA$2, 0)+1), "")</f>
        <v/>
      </c>
      <c r="BD109" s="206" t="str">
        <f>IF(AND($A109&gt;=SYear_O, $A109&lt;=EYear_O, BD$3&gt;0), BD$3 * VLOOKUP($A109, Data_All!$A$8:$CA$153, MATCH(BD$2, Data_All!$B$2:$CA$2, 0)+1), "")</f>
        <v/>
      </c>
      <c r="BE109" s="206" t="str">
        <f>IF(AND($A109&gt;=SYear_O, $A109&lt;=EYear_O, BE$3&gt;0), BE$3 * VLOOKUP($A109, Data_All!$A$8:$CA$153, MATCH(BE$2, Data_All!$B$2:$CA$2, 0)+1), "")</f>
        <v/>
      </c>
      <c r="BF109" s="206" t="str">
        <f>IF(AND($A109&gt;=SYear_O, $A109&lt;=EYear_O, BF$3&gt;0), BF$3 * VLOOKUP($A109, Data_All!$A$8:$CA$153, MATCH(BF$2, Data_All!$B$2:$CA$2, 0)+1), "")</f>
        <v/>
      </c>
      <c r="BG109" s="206" t="str">
        <f>IF(AND($A109&gt;=SYear_O, $A109&lt;=EYear_O, BG$3&gt;0), BG$3 * VLOOKUP($A109, Data_All!$A$8:$CA$153, MATCH(BG$2, Data_All!$B$2:$CA$2, 0)+1), "")</f>
        <v/>
      </c>
      <c r="BH109" s="206" t="str">
        <f>IF(AND($A109&gt;=SYear_O, $A109&lt;=EYear_O, BH$3&gt;0), BH$3 * VLOOKUP($A109, Data_All!$A$8:$CA$153, MATCH(BH$2, Data_All!$B$2:$CA$2, 0)+1), "")</f>
        <v/>
      </c>
      <c r="BI109" s="206" t="str">
        <f>IF(AND($A109&gt;=SYear_O, $A109&lt;=EYear_O, BI$3&gt;0), BI$3 * VLOOKUP($A109, Data_All!$A$8:$CA$153, MATCH(BI$2, Data_All!$B$2:$CA$2, 0)+1), "")</f>
        <v/>
      </c>
      <c r="BJ109" s="206" t="str">
        <f>IF(AND($A109&gt;=SYear_O, $A109&lt;=EYear_O, BJ$3&gt;0), BJ$3 * VLOOKUP($A109, Data_All!$A$8:$CA$153, MATCH(BJ$2, Data_All!$B$2:$CA$2, 0)+1), "")</f>
        <v/>
      </c>
      <c r="BK109" s="206" t="str">
        <f>IF(AND($A109&gt;=SYear_O, $A109&lt;=EYear_O, BK$3&gt;0), BK$3 * VLOOKUP($A109, Data_All!$A$8:$CA$153, MATCH(BK$2, Data_All!$B$2:$CA$2, 0)+1), "")</f>
        <v/>
      </c>
      <c r="BL109" s="206" t="str">
        <f>IF(AND($A109&gt;=SYear_O, $A109&lt;=EYear_O, BL$3&gt;0), BL$3 * VLOOKUP($A109, Data_All!$A$8:$CA$153, MATCH(BL$2, Data_All!$B$2:$CA$2, 0)+1), "")</f>
        <v/>
      </c>
      <c r="BM109" s="206" t="str">
        <f>IF(AND($A109&gt;=SYear_O, $A109&lt;=EYear_O, BM$3&gt;0), BM$3 * VLOOKUP($A109, Data_All!$A$8:$CA$153, MATCH(BM$2, Data_All!$B$2:$CA$2, 0)+1), "")</f>
        <v/>
      </c>
      <c r="BN109" s="206" t="str">
        <f>IF(AND($A109&gt;=SYear_O, $A109&lt;=EYear_O, BN$3&gt;0), BN$3 * VLOOKUP($A109, Data_All!$A$8:$CA$153, MATCH(BN$2, Data_All!$B$2:$CA$2, 0)+1), "")</f>
        <v/>
      </c>
      <c r="BO109" s="206" t="str">
        <f>IF(AND($A109&gt;=SYear_O, $A109&lt;=EYear_O, BO$3&gt;0), BO$3 * VLOOKUP($A109, Data_All!$A$8:$CA$153, MATCH(BO$2, Data_All!$B$2:$CA$2, 0)+1), "")</f>
        <v/>
      </c>
      <c r="BP109" s="206" t="str">
        <f>IF(AND($A109&gt;=SYear_O, $A109&lt;=EYear_O, BP$3&gt;0), BP$3 * VLOOKUP($A109, Data_All!$A$8:$CA$153, MATCH(BP$2, Data_All!$B$2:$CA$2, 0)+1), "")</f>
        <v/>
      </c>
      <c r="BQ109" s="206" t="str">
        <f>IF(AND($A109&gt;=SYear_O, $A109&lt;=EYear_O, BQ$3&gt;0), BQ$3 * VLOOKUP($A109, Data_All!$A$8:$CA$153, MATCH(BQ$2, Data_All!$B$2:$CA$2, 0)+1), "")</f>
        <v/>
      </c>
      <c r="BR109" s="206" t="str">
        <f>IF(AND($A109&gt;=SYear_O, $A109&lt;=EYear_O, BR$3&gt;0), BR$3 * VLOOKUP($A109, Data_All!$A$8:$CA$153, MATCH(BR$2, Data_All!$B$2:$CA$2, 0)+1), "")</f>
        <v/>
      </c>
      <c r="BS109" s="206" t="str">
        <f>IF(AND($A109&gt;=SYear_O, $A109&lt;=EYear_O, BS$3&gt;0), BS$3 * VLOOKUP($A109, Data_All!$A$8:$CA$153, MATCH(BS$2, Data_All!$B$2:$CA$2, 0)+1), "")</f>
        <v/>
      </c>
      <c r="BT109" s="206" t="str">
        <f>IF(AND($A109&gt;=SYear_O, $A109&lt;=EYear_O, BT$3&gt;0), BT$3 * VLOOKUP($A109, Data_All!$A$8:$CA$153, MATCH(BT$2, Data_All!$B$2:$CA$2, 0)+1), "")</f>
        <v/>
      </c>
      <c r="BU109" s="206" t="str">
        <f>IF(AND($A109&gt;=SYear_O, $A109&lt;=EYear_O, BU$3&gt;0), BU$3 * VLOOKUP($A109, Data_All!$A$8:$CA$153, MATCH(BU$2, Data_All!$B$2:$CA$2, 0)+1), "")</f>
        <v/>
      </c>
      <c r="BV109" s="206" t="str">
        <f>IF(AND($A109&gt;=SYear_O, $A109&lt;=EYear_O, BV$3&gt;0), BV$3 * VLOOKUP($A109, Data_All!$A$8:$CA$153, MATCH(BV$2, Data_All!$B$2:$CA$2, 0)+1), "")</f>
        <v/>
      </c>
      <c r="BW109" s="206" t="str">
        <f>IF(AND($A109&gt;=SYear_O, $A109&lt;=EYear_O, BW$3&gt;0), BW$3 * VLOOKUP($A109, Data_All!$A$8:$CA$153, MATCH(BW$2, Data_All!$B$2:$CA$2, 0)+1), "")</f>
        <v/>
      </c>
      <c r="BX109" s="206">
        <f>IF(AND($A109&gt;=SYear_O, $A109&lt;=EYear_O, BX$3&gt;0), BX$3 * VLOOKUP($A109, Data_All!$A$8:$CA$153, MATCH(BX$2, Data_All!$B$2:$CA$2, 0)+1), "")</f>
        <v>-9.5912852558689412</v>
      </c>
      <c r="BY109" s="206">
        <f>IF(AND($A109&gt;=SYear_O, $A109&lt;=EYear_O, BY$3&gt;0), BY$3 * VLOOKUP($A109, Data_All!$A$8:$CA$153, MATCH(BY$2, Data_All!$B$2:$CA$2, 0)+1), "")</f>
        <v>1.5785318389621583</v>
      </c>
      <c r="BZ109" s="206" t="str">
        <f>IF(AND($A109&gt;=SYear_O, $A109&lt;=EYear_O, BZ$3&gt;0), BZ$3 * VLOOKUP($A109, Data_All!$A$8:$CA$153, MATCH(BZ$2, Data_All!$B$2:$CA$2, 0)+1), "")</f>
        <v/>
      </c>
      <c r="CA109" s="565">
        <f t="shared" si="52"/>
        <v>-8.0127534169067829</v>
      </c>
      <c r="CB109" s="427">
        <f t="shared" si="53"/>
        <v>8204708.9539021617</v>
      </c>
      <c r="CC109" s="565">
        <f>IF(AND($A109&gt;=SYear_O,$A109&lt;=EYear_O),(CA109-Data_All!CA110)/(1+Data_All!CA110%),"")</f>
        <v>-15.379697407327674</v>
      </c>
      <c r="CD109" s="436">
        <f t="shared" si="54"/>
        <v>2213506.339581877</v>
      </c>
      <c r="CE109" s="438">
        <f t="shared" si="55"/>
        <v>744.16085642102553</v>
      </c>
      <c r="CF109" s="438">
        <f>IF(AND($A109&gt;=SYear_O,$A109&lt;=EYear_O),MAX($CE$7:CE109),"")</f>
        <v>808.98264059770042</v>
      </c>
      <c r="CG109" s="209">
        <f t="shared" si="56"/>
        <v>8.0127534169067705E-2</v>
      </c>
      <c r="CI109" s="143">
        <f>IF(AND($A109&gt;=SYear_O,$A109&lt;=EYear_O),Data_All!V110,"")</f>
        <v>6.8038765111399755</v>
      </c>
      <c r="CJ109" s="143">
        <f>IF(AND($A109&gt;=SYear_O,$A109&lt;=EYear_O),Data_All!CA110,"")</f>
        <v>8.7058823529411846</v>
      </c>
      <c r="CK109" s="143">
        <f t="shared" si="57"/>
        <v>-1.7496806986266533</v>
      </c>
      <c r="CN109" s="61">
        <f t="shared" si="58"/>
        <v>-8.0127534169067816E-2</v>
      </c>
      <c r="CO109" s="61">
        <f t="shared" si="59"/>
        <v>1.2597122213876766E-2</v>
      </c>
      <c r="CP109" s="61">
        <f t="shared" si="60"/>
        <v>2.0978206601534266E-2</v>
      </c>
      <c r="CQ109" s="61">
        <f t="shared" si="61"/>
        <v>7.4037103158961948E-2</v>
      </c>
      <c r="CR109" s="61">
        <f t="shared" si="62"/>
        <v>9.6361114858649177E-2</v>
      </c>
      <c r="CU109" s="61">
        <f t="shared" si="63"/>
        <v>-0.15379697407327675</v>
      </c>
      <c r="CV109" s="61">
        <f t="shared" si="64"/>
        <v>-7.3592623545999603E-2</v>
      </c>
      <c r="CW109" s="61">
        <f t="shared" si="65"/>
        <v>-5.3597371350895262E-2</v>
      </c>
      <c r="CX109" s="61">
        <f t="shared" si="66"/>
        <v>-1.1644471749404195E-2</v>
      </c>
      <c r="CY109" s="61">
        <f t="shared" si="67"/>
        <v>2.5728679393872023E-2</v>
      </c>
    </row>
    <row r="110" spans="1:103">
      <c r="A110" s="204">
        <f t="shared" si="51"/>
        <v>1974</v>
      </c>
      <c r="B110" s="206" t="str">
        <f>IF(AND($A110&gt;=SYear_O, $A110&lt;=EYear_O, B$3&gt;0), B$3 * VLOOKUP($A110, Data_All!$A$8:$CA$153, MATCH(B$2, Data_All!$B$2:$CA$2, 0)+1), "")</f>
        <v/>
      </c>
      <c r="C110" s="206" t="str">
        <f>IF(AND($A110&gt;=SYear_O, $A110&lt;=EYear_O, C$3&gt;0), C$3 * VLOOKUP($A110, Data_All!$A$8:$CA$153, MATCH(C$2, Data_All!$B$2:$CA$2, 0)+1), "")</f>
        <v/>
      </c>
      <c r="D110" s="206" t="str">
        <f>IF(AND($A110&gt;=SYear_O, $A110&lt;=EYear_O, D$3&gt;0), D$3 * VLOOKUP($A110, Data_All!$A$8:$CA$153, MATCH(D$2, Data_All!$B$2:$CA$2, 0)+1), "")</f>
        <v/>
      </c>
      <c r="E110" s="206" t="str">
        <f>IF(AND($A110&gt;=SYear_O, $A110&lt;=EYear_O, E$3&gt;0), E$3 * VLOOKUP($A110, Data_All!$A$8:$CA$153, MATCH(E$2, Data_All!$B$2:$CA$2, 0)+1), "")</f>
        <v/>
      </c>
      <c r="F110" s="206" t="str">
        <f>IF(AND($A110&gt;=SYear_O, $A110&lt;=EYear_O, F$3&gt;0), F$3 * VLOOKUP($A110, Data_All!$A$8:$CA$153, MATCH(F$2, Data_All!$B$2:$CA$2, 0)+1), "")</f>
        <v/>
      </c>
      <c r="G110" s="206" t="str">
        <f>IF(AND($A110&gt;=SYear_O, $A110&lt;=EYear_O, G$3&gt;0), G$3 * VLOOKUP($A110, Data_All!$A$8:$CA$153, MATCH(G$2, Data_All!$B$2:$CA$2, 0)+1), "")</f>
        <v/>
      </c>
      <c r="H110" s="206" t="str">
        <f>IF(AND($A110&gt;=SYear_O, $A110&lt;=EYear_O, H$3&gt;0), H$3 * VLOOKUP($A110, Data_All!$A$8:$CA$153, MATCH(H$2, Data_All!$B$2:$CA$2, 0)+1), "")</f>
        <v/>
      </c>
      <c r="I110" s="206" t="str">
        <f>IF(AND($A110&gt;=SYear_O, $A110&lt;=EYear_O, I$3&gt;0), I$3 * VLOOKUP($A110, Data_All!$A$8:$CA$153, MATCH(I$2, Data_All!$B$2:$CA$2, 0)+1), "")</f>
        <v/>
      </c>
      <c r="J110" s="206" t="str">
        <f>IF(AND($A110&gt;=SYear_O, $A110&lt;=EYear_O, J$3&gt;0), J$3 * VLOOKUP($A110, Data_All!$A$8:$CA$153, MATCH(J$2, Data_All!$B$2:$CA$2, 0)+1), "")</f>
        <v/>
      </c>
      <c r="K110" s="206" t="str">
        <f>IF(AND($A110&gt;=SYear_O, $A110&lt;=EYear_O, K$3&gt;0), K$3 * VLOOKUP($A110, Data_All!$A$8:$CA$153, MATCH(K$2, Data_All!$B$2:$CA$2, 0)+1), "")</f>
        <v/>
      </c>
      <c r="L110" s="206" t="str">
        <f>IF(AND($A110&gt;=SYear_O, $A110&lt;=EYear_O, L$3&gt;0), L$3 * VLOOKUP($A110, Data_All!$A$8:$CA$153, MATCH(L$2, Data_All!$B$2:$CA$2, 0)+1), "")</f>
        <v/>
      </c>
      <c r="M110" s="206" t="str">
        <f>IF(AND($A110&gt;=SYear_O, $A110&lt;=EYear_O, M$3&gt;0), M$3 * VLOOKUP($A110, Data_All!$A$8:$CA$153, MATCH(M$2, Data_All!$B$2:$CA$2, 0)+1), "")</f>
        <v/>
      </c>
      <c r="N110" s="206" t="str">
        <f>IF(AND($A110&gt;=SYear_O, $A110&lt;=EYear_O, N$3&gt;0), N$3 * VLOOKUP($A110, Data_All!$A$8:$CA$153, MATCH(N$2, Data_All!$B$2:$CA$2, 0)+1), "")</f>
        <v/>
      </c>
      <c r="O110" s="206" t="str">
        <f>IF(AND($A110&gt;=SYear_O, $A110&lt;=EYear_O, O$3&gt;0), O$3 * VLOOKUP($A110, Data_All!$A$8:$CA$153, MATCH(O$2, Data_All!$B$2:$CA$2, 0)+1), "")</f>
        <v/>
      </c>
      <c r="P110" s="206" t="str">
        <f>IF(AND($A110&gt;=SYear_O, $A110&lt;=EYear_O, P$3&gt;0), P$3 * VLOOKUP($A110, Data_All!$A$8:$CA$153, MATCH(P$2, Data_All!$B$2:$CA$2, 0)+1), "")</f>
        <v/>
      </c>
      <c r="Q110" s="206" t="str">
        <f>IF(AND($A110&gt;=SYear_O, $A110&lt;=EYear_O, Q$3&gt;0), Q$3 * VLOOKUP($A110, Data_All!$A$8:$CA$153, MATCH(Q$2, Data_All!$B$2:$CA$2, 0)+1), "")</f>
        <v/>
      </c>
      <c r="R110" s="206" t="str">
        <f>IF(AND($A110&gt;=SYear_O, $A110&lt;=EYear_O, R$3&gt;0), R$3 * VLOOKUP($A110, Data_All!$A$8:$CA$153, MATCH(R$2, Data_All!$B$2:$CA$2, 0)+1), "")</f>
        <v/>
      </c>
      <c r="S110" s="206" t="str">
        <f>IF(AND($A110&gt;=SYear_O, $A110&lt;=EYear_O, S$3&gt;0), S$3 * VLOOKUP($A110, Data_All!$A$8:$CA$153, MATCH(S$2, Data_All!$B$2:$CA$2, 0)+1), "")</f>
        <v/>
      </c>
      <c r="T110" s="206" t="str">
        <f>IF(AND($A110&gt;=SYear_O, $A110&lt;=EYear_O, T$3&gt;0), T$3 * VLOOKUP($A110, Data_All!$A$8:$CA$153, MATCH(T$2, Data_All!$B$2:$CA$2, 0)+1), "")</f>
        <v/>
      </c>
      <c r="U110" s="206" t="str">
        <f>IF(AND($A110&gt;=SYear_O, $A110&lt;=EYear_O, U$3&gt;0), U$3 * VLOOKUP($A110, Data_All!$A$8:$CA$153, MATCH(U$2, Data_All!$B$2:$CA$2, 0)+1), "")</f>
        <v/>
      </c>
      <c r="V110" s="206" t="str">
        <f>IF(AND($A110&gt;=SYear_O, $A110&lt;=EYear_O, V$3&gt;0), V$3 * VLOOKUP($A110, Data_All!$A$8:$CA$153, MATCH(V$2, Data_All!$B$2:$CA$2, 0)+1), "")</f>
        <v/>
      </c>
      <c r="W110" s="206" t="str">
        <f>IF(AND($A110&gt;=SYear_O, $A110&lt;=EYear_O, W$3&gt;0), W$3 * VLOOKUP($A110, Data_All!$A$8:$CA$153, MATCH(W$2, Data_All!$B$2:$CA$2, 0)+1), "")</f>
        <v/>
      </c>
      <c r="X110" s="206" t="str">
        <f>IF(AND($A110&gt;=SYear_O, $A110&lt;=EYear_O, X$3&gt;0), X$3 * VLOOKUP($A110, Data_All!$A$8:$CA$153, MATCH(X$2, Data_All!$B$2:$CA$2, 0)+1), "")</f>
        <v/>
      </c>
      <c r="Y110" s="206" t="str">
        <f>IF(AND($A110&gt;=SYear_O, $A110&lt;=EYear_O, Y$3&gt;0), Y$3 * VLOOKUP($A110, Data_All!$A$8:$CA$153, MATCH(Y$2, Data_All!$B$2:$CA$2, 0)+1), "")</f>
        <v/>
      </c>
      <c r="Z110" s="206" t="str">
        <f>IF(AND($A110&gt;=SYear_O, $A110&lt;=EYear_O, Z$3&gt;0), Z$3 * VLOOKUP($A110, Data_All!$A$8:$CA$153, MATCH(Z$2, Data_All!$B$2:$CA$2, 0)+1), "")</f>
        <v/>
      </c>
      <c r="AA110" s="206" t="str">
        <f>IF(AND($A110&gt;=SYear_O, $A110&lt;=EYear_O, AA$3&gt;0), AA$3 * VLOOKUP($A110, Data_All!$A$8:$CA$153, MATCH(AA$2, Data_All!$B$2:$CA$2, 0)+1), "")</f>
        <v/>
      </c>
      <c r="AB110" s="206" t="str">
        <f>IF(AND($A110&gt;=SYear_O, $A110&lt;=EYear_O, AB$3&gt;0), AB$3 * VLOOKUP($A110, Data_All!$A$8:$CA$153, MATCH(AB$2, Data_All!$B$2:$CA$2, 0)+1), "")</f>
        <v/>
      </c>
      <c r="AC110" s="206" t="str">
        <f>IF(AND($A110&gt;=SYear_O, $A110&lt;=EYear_O, AC$3&gt;0), AC$3 * VLOOKUP($A110, Data_All!$A$8:$CA$153, MATCH(AC$2, Data_All!$B$2:$CA$2, 0)+1), "")</f>
        <v/>
      </c>
      <c r="AD110" s="206" t="str">
        <f>IF(AND($A110&gt;=SYear_O, $A110&lt;=EYear_O, AD$3&gt;0), AD$3 * VLOOKUP($A110, Data_All!$A$8:$CA$153, MATCH(AD$2, Data_All!$B$2:$CA$2, 0)+1), "")</f>
        <v/>
      </c>
      <c r="AE110" s="206" t="str">
        <f>IF(AND($A110&gt;=SYear_O, $A110&lt;=EYear_O, AE$3&gt;0), AE$3 * VLOOKUP($A110, Data_All!$A$8:$CA$153, MATCH(AE$2, Data_All!$B$2:$CA$2, 0)+1), "")</f>
        <v/>
      </c>
      <c r="AF110" s="206" t="str">
        <f>IF(AND($A110&gt;=SYear_O, $A110&lt;=EYear_O, AF$3&gt;0), AF$3 * VLOOKUP($A110, Data_All!$A$8:$CA$153, MATCH(AF$2, Data_All!$B$2:$CA$2, 0)+1), "")</f>
        <v/>
      </c>
      <c r="AG110" s="206" t="str">
        <f>IF(AND($A110&gt;=SYear_O, $A110&lt;=EYear_O, AG$3&gt;0), AG$3 * VLOOKUP($A110, Data_All!$A$8:$CA$153, MATCH(AG$2, Data_All!$B$2:$CA$2, 0)+1), "")</f>
        <v/>
      </c>
      <c r="AH110" s="206" t="str">
        <f>IF(AND($A110&gt;=SYear_O, $A110&lt;=EYear_O, AH$3&gt;0), AH$3 * VLOOKUP($A110, Data_All!$A$8:$CA$153, MATCH(AH$2, Data_All!$B$2:$CA$2, 0)+1), "")</f>
        <v/>
      </c>
      <c r="AI110" s="206" t="str">
        <f>IF(AND($A110&gt;=SYear_O, $A110&lt;=EYear_O, AI$3&gt;0), AI$3 * VLOOKUP($A110, Data_All!$A$8:$CA$153, MATCH(AI$2, Data_All!$B$2:$CA$2, 0)+1), "")</f>
        <v/>
      </c>
      <c r="AJ110" s="206" t="str">
        <f>IF(AND($A110&gt;=SYear_O, $A110&lt;=EYear_O, AJ$3&gt;0), AJ$3 * VLOOKUP($A110, Data_All!$A$8:$CA$153, MATCH(AJ$2, Data_All!$B$2:$CA$2, 0)+1), "")</f>
        <v/>
      </c>
      <c r="AK110" s="206" t="str">
        <f>IF(AND($A110&gt;=SYear_O, $A110&lt;=EYear_O, AK$3&gt;0), AK$3 * VLOOKUP($A110, Data_All!$A$8:$CA$153, MATCH(AK$2, Data_All!$B$2:$CA$2, 0)+1), "")</f>
        <v/>
      </c>
      <c r="AL110" s="206" t="str">
        <f>IF(AND($A110&gt;=SYear_O, $A110&lt;=EYear_O, AL$3&gt;0), AL$3 * VLOOKUP($A110, Data_All!$A$8:$CA$153, MATCH(AL$2, Data_All!$B$2:$CA$2, 0)+1), "")</f>
        <v/>
      </c>
      <c r="AM110" s="206" t="str">
        <f>IF(AND($A110&gt;=SYear_O, $A110&lt;=EYear_O, AM$3&gt;0), AM$3 * VLOOKUP($A110, Data_All!$A$8:$CA$153, MATCH(AM$2, Data_All!$B$2:$CA$2, 0)+1), "")</f>
        <v/>
      </c>
      <c r="AN110" s="206" t="str">
        <f>IF(AND($A110&gt;=SYear_O, $A110&lt;=EYear_O, AN$3&gt;0), AN$3 * VLOOKUP($A110, Data_All!$A$8:$CA$153, MATCH(AN$2, Data_All!$B$2:$CA$2, 0)+1), "")</f>
        <v/>
      </c>
      <c r="AO110" s="206" t="str">
        <f>IF(AND($A110&gt;=SYear_O, $A110&lt;=EYear_O, AO$3&gt;0), AO$3 * VLOOKUP($A110, Data_All!$A$8:$CA$153, MATCH(AO$2, Data_All!$B$2:$CA$2, 0)+1), "")</f>
        <v/>
      </c>
      <c r="AP110" s="206" t="str">
        <f>IF(AND($A110&gt;=SYear_O, $A110&lt;=EYear_O, AP$3&gt;0), AP$3 * VLOOKUP($A110, Data_All!$A$8:$CA$153, MATCH(AP$2, Data_All!$B$2:$CA$2, 0)+1), "")</f>
        <v/>
      </c>
      <c r="AQ110" s="206" t="str">
        <f>IF(AND($A110&gt;=SYear_O, $A110&lt;=EYear_O, AQ$3&gt;0), AQ$3 * VLOOKUP($A110, Data_All!$A$8:$CA$153, MATCH(AQ$2, Data_All!$B$2:$CA$2, 0)+1), "")</f>
        <v/>
      </c>
      <c r="AR110" s="206" t="str">
        <f>IF(AND($A110&gt;=SYear_O, $A110&lt;=EYear_O, AR$3&gt;0), AR$3 * VLOOKUP($A110, Data_All!$A$8:$CA$153, MATCH(AR$2, Data_All!$B$2:$CA$2, 0)+1), "")</f>
        <v/>
      </c>
      <c r="AS110" s="206" t="str">
        <f>IF(AND($A110&gt;=SYear_O, $A110&lt;=EYear_O, AS$3&gt;0), AS$3 * VLOOKUP($A110, Data_All!$A$8:$CA$153, MATCH(AS$2, Data_All!$B$2:$CA$2, 0)+1), "")</f>
        <v/>
      </c>
      <c r="AT110" s="206" t="str">
        <f>IF(AND($A110&gt;=SYear_O, $A110&lt;=EYear_O, AT$3&gt;0), AT$3 * VLOOKUP($A110, Data_All!$A$8:$CA$153, MATCH(AT$2, Data_All!$B$2:$CA$2, 0)+1), "")</f>
        <v/>
      </c>
      <c r="AU110" s="206" t="str">
        <f>IF(AND($A110&gt;=SYear_O, $A110&lt;=EYear_O, AU$3&gt;0), AU$3 * VLOOKUP($A110, Data_All!$A$8:$CA$153, MATCH(AU$2, Data_All!$B$2:$CA$2, 0)+1), "")</f>
        <v/>
      </c>
      <c r="AV110" s="206" t="str">
        <f>IF(AND($A110&gt;=SYear_O, $A110&lt;=EYear_O, AV$3&gt;0), AV$3 * VLOOKUP($A110, Data_All!$A$8:$CA$153, MATCH(AV$2, Data_All!$B$2:$CA$2, 0)+1), "")</f>
        <v/>
      </c>
      <c r="AW110" s="206" t="str">
        <f>IF(AND($A110&gt;=SYear_O, $A110&lt;=EYear_O, AW$3&gt;0), AW$3 * VLOOKUP($A110, Data_All!$A$8:$CA$153, MATCH(AW$2, Data_All!$B$2:$CA$2, 0)+1), "")</f>
        <v/>
      </c>
      <c r="AX110" s="206" t="str">
        <f>IF(AND($A110&gt;=SYear_O, $A110&lt;=EYear_O, AX$3&gt;0), AX$3 * VLOOKUP($A110, Data_All!$A$8:$CA$153, MATCH(AX$2, Data_All!$B$2:$CA$2, 0)+1), "")</f>
        <v/>
      </c>
      <c r="AY110" s="206" t="str">
        <f>IF(AND($A110&gt;=SYear_O, $A110&lt;=EYear_O, AY$3&gt;0), AY$3 * VLOOKUP($A110, Data_All!$A$8:$CA$153, MATCH(AY$2, Data_All!$B$2:$CA$2, 0)+1), "")</f>
        <v/>
      </c>
      <c r="AZ110" s="206" t="str">
        <f>IF(AND($A110&gt;=SYear_O, $A110&lt;=EYear_O, AZ$3&gt;0), AZ$3 * VLOOKUP($A110, Data_All!$A$8:$CA$153, MATCH(AZ$2, Data_All!$B$2:$CA$2, 0)+1), "")</f>
        <v/>
      </c>
      <c r="BA110" s="206" t="str">
        <f>IF(AND($A110&gt;=SYear_O, $A110&lt;=EYear_O, BA$3&gt;0), BA$3 * VLOOKUP($A110, Data_All!$A$8:$CA$153, MATCH(BA$2, Data_All!$B$2:$CA$2, 0)+1), "")</f>
        <v/>
      </c>
      <c r="BB110" s="206" t="str">
        <f>IF(AND($A110&gt;=SYear_O, $A110&lt;=EYear_O, BB$3&gt;0), BB$3 * VLOOKUP($A110, Data_All!$A$8:$CA$153, MATCH(BB$2, Data_All!$B$2:$CA$2, 0)+1), "")</f>
        <v/>
      </c>
      <c r="BC110" s="206" t="str">
        <f>IF(AND($A110&gt;=SYear_O, $A110&lt;=EYear_O, BC$3&gt;0), BC$3 * VLOOKUP($A110, Data_All!$A$8:$CA$153, MATCH(BC$2, Data_All!$B$2:$CA$2, 0)+1), "")</f>
        <v/>
      </c>
      <c r="BD110" s="206" t="str">
        <f>IF(AND($A110&gt;=SYear_O, $A110&lt;=EYear_O, BD$3&gt;0), BD$3 * VLOOKUP($A110, Data_All!$A$8:$CA$153, MATCH(BD$2, Data_All!$B$2:$CA$2, 0)+1), "")</f>
        <v/>
      </c>
      <c r="BE110" s="206" t="str">
        <f>IF(AND($A110&gt;=SYear_O, $A110&lt;=EYear_O, BE$3&gt;0), BE$3 * VLOOKUP($A110, Data_All!$A$8:$CA$153, MATCH(BE$2, Data_All!$B$2:$CA$2, 0)+1), "")</f>
        <v/>
      </c>
      <c r="BF110" s="206" t="str">
        <f>IF(AND($A110&gt;=SYear_O, $A110&lt;=EYear_O, BF$3&gt;0), BF$3 * VLOOKUP($A110, Data_All!$A$8:$CA$153, MATCH(BF$2, Data_All!$B$2:$CA$2, 0)+1), "")</f>
        <v/>
      </c>
      <c r="BG110" s="206" t="str">
        <f>IF(AND($A110&gt;=SYear_O, $A110&lt;=EYear_O, BG$3&gt;0), BG$3 * VLOOKUP($A110, Data_All!$A$8:$CA$153, MATCH(BG$2, Data_All!$B$2:$CA$2, 0)+1), "")</f>
        <v/>
      </c>
      <c r="BH110" s="206" t="str">
        <f>IF(AND($A110&gt;=SYear_O, $A110&lt;=EYear_O, BH$3&gt;0), BH$3 * VLOOKUP($A110, Data_All!$A$8:$CA$153, MATCH(BH$2, Data_All!$B$2:$CA$2, 0)+1), "")</f>
        <v/>
      </c>
      <c r="BI110" s="206" t="str">
        <f>IF(AND($A110&gt;=SYear_O, $A110&lt;=EYear_O, BI$3&gt;0), BI$3 * VLOOKUP($A110, Data_All!$A$8:$CA$153, MATCH(BI$2, Data_All!$B$2:$CA$2, 0)+1), "")</f>
        <v/>
      </c>
      <c r="BJ110" s="206" t="str">
        <f>IF(AND($A110&gt;=SYear_O, $A110&lt;=EYear_O, BJ$3&gt;0), BJ$3 * VLOOKUP($A110, Data_All!$A$8:$CA$153, MATCH(BJ$2, Data_All!$B$2:$CA$2, 0)+1), "")</f>
        <v/>
      </c>
      <c r="BK110" s="206" t="str">
        <f>IF(AND($A110&gt;=SYear_O, $A110&lt;=EYear_O, BK$3&gt;0), BK$3 * VLOOKUP($A110, Data_All!$A$8:$CA$153, MATCH(BK$2, Data_All!$B$2:$CA$2, 0)+1), "")</f>
        <v/>
      </c>
      <c r="BL110" s="206" t="str">
        <f>IF(AND($A110&gt;=SYear_O, $A110&lt;=EYear_O, BL$3&gt;0), BL$3 * VLOOKUP($A110, Data_All!$A$8:$CA$153, MATCH(BL$2, Data_All!$B$2:$CA$2, 0)+1), "")</f>
        <v/>
      </c>
      <c r="BM110" s="206" t="str">
        <f>IF(AND($A110&gt;=SYear_O, $A110&lt;=EYear_O, BM$3&gt;0), BM$3 * VLOOKUP($A110, Data_All!$A$8:$CA$153, MATCH(BM$2, Data_All!$B$2:$CA$2, 0)+1), "")</f>
        <v/>
      </c>
      <c r="BN110" s="206" t="str">
        <f>IF(AND($A110&gt;=SYear_O, $A110&lt;=EYear_O, BN$3&gt;0), BN$3 * VLOOKUP($A110, Data_All!$A$8:$CA$153, MATCH(BN$2, Data_All!$B$2:$CA$2, 0)+1), "")</f>
        <v/>
      </c>
      <c r="BO110" s="206" t="str">
        <f>IF(AND($A110&gt;=SYear_O, $A110&lt;=EYear_O, BO$3&gt;0), BO$3 * VLOOKUP($A110, Data_All!$A$8:$CA$153, MATCH(BO$2, Data_All!$B$2:$CA$2, 0)+1), "")</f>
        <v/>
      </c>
      <c r="BP110" s="206" t="str">
        <f>IF(AND($A110&gt;=SYear_O, $A110&lt;=EYear_O, BP$3&gt;0), BP$3 * VLOOKUP($A110, Data_All!$A$8:$CA$153, MATCH(BP$2, Data_All!$B$2:$CA$2, 0)+1), "")</f>
        <v/>
      </c>
      <c r="BQ110" s="206" t="str">
        <f>IF(AND($A110&gt;=SYear_O, $A110&lt;=EYear_O, BQ$3&gt;0), BQ$3 * VLOOKUP($A110, Data_All!$A$8:$CA$153, MATCH(BQ$2, Data_All!$B$2:$CA$2, 0)+1), "")</f>
        <v/>
      </c>
      <c r="BR110" s="206" t="str">
        <f>IF(AND($A110&gt;=SYear_O, $A110&lt;=EYear_O, BR$3&gt;0), BR$3 * VLOOKUP($A110, Data_All!$A$8:$CA$153, MATCH(BR$2, Data_All!$B$2:$CA$2, 0)+1), "")</f>
        <v/>
      </c>
      <c r="BS110" s="206" t="str">
        <f>IF(AND($A110&gt;=SYear_O, $A110&lt;=EYear_O, BS$3&gt;0), BS$3 * VLOOKUP($A110, Data_All!$A$8:$CA$153, MATCH(BS$2, Data_All!$B$2:$CA$2, 0)+1), "")</f>
        <v/>
      </c>
      <c r="BT110" s="206" t="str">
        <f>IF(AND($A110&gt;=SYear_O, $A110&lt;=EYear_O, BT$3&gt;0), BT$3 * VLOOKUP($A110, Data_All!$A$8:$CA$153, MATCH(BT$2, Data_All!$B$2:$CA$2, 0)+1), "")</f>
        <v/>
      </c>
      <c r="BU110" s="206" t="str">
        <f>IF(AND($A110&gt;=SYear_O, $A110&lt;=EYear_O, BU$3&gt;0), BU$3 * VLOOKUP($A110, Data_All!$A$8:$CA$153, MATCH(BU$2, Data_All!$B$2:$CA$2, 0)+1), "")</f>
        <v/>
      </c>
      <c r="BV110" s="206" t="str">
        <f>IF(AND($A110&gt;=SYear_O, $A110&lt;=EYear_O, BV$3&gt;0), BV$3 * VLOOKUP($A110, Data_All!$A$8:$CA$153, MATCH(BV$2, Data_All!$B$2:$CA$2, 0)+1), "")</f>
        <v/>
      </c>
      <c r="BW110" s="206" t="str">
        <f>IF(AND($A110&gt;=SYear_O, $A110&lt;=EYear_O, BW$3&gt;0), BW$3 * VLOOKUP($A110, Data_All!$A$8:$CA$153, MATCH(BW$2, Data_All!$B$2:$CA$2, 0)+1), "")</f>
        <v/>
      </c>
      <c r="BX110" s="206">
        <f>IF(AND($A110&gt;=SYear_O, $A110&lt;=EYear_O, BX$3&gt;0), BX$3 * VLOOKUP($A110, Data_All!$A$8:$CA$153, MATCH(BX$2, Data_All!$B$2:$CA$2, 0)+1), "")</f>
        <v>-12.454479242534598</v>
      </c>
      <c r="BY110" s="206">
        <f>IF(AND($A110&gt;=SYear_O, $A110&lt;=EYear_O, BY$3&gt;0), BY$3 * VLOOKUP($A110, Data_All!$A$8:$CA$153, MATCH(BY$2, Data_All!$B$2:$CA$2, 0)+1), "")</f>
        <v>2.0192814436947781</v>
      </c>
      <c r="BZ110" s="206" t="str">
        <f>IF(AND($A110&gt;=SYear_O, $A110&lt;=EYear_O, BZ$3&gt;0), BZ$3 * VLOOKUP($A110, Data_All!$A$8:$CA$153, MATCH(BZ$2, Data_All!$B$2:$CA$2, 0)+1), "")</f>
        <v/>
      </c>
      <c r="CA110" s="565">
        <f t="shared" si="52"/>
        <v>-10.43519779883982</v>
      </c>
      <c r="CB110" s="427">
        <f t="shared" si="53"/>
        <v>7348531.3457433498</v>
      </c>
      <c r="CC110" s="565">
        <f>IF(AND($A110&gt;=SYear_O,$A110&lt;=EYear_O),(CA110-Data_All!CA111)/(1+Data_All!CA111%),"")</f>
        <v>-20.271794572377644</v>
      </c>
      <c r="CD110" s="436">
        <f t="shared" si="54"/>
        <v>1764788.8815752829</v>
      </c>
      <c r="CE110" s="438">
        <f t="shared" si="55"/>
        <v>666.5061991119511</v>
      </c>
      <c r="CF110" s="438">
        <f>IF(AND($A110&gt;=SYear_O,$A110&lt;=EYear_O),MAX($CE$7:CE110),"")</f>
        <v>808.98264059770042</v>
      </c>
      <c r="CG110" s="209">
        <f t="shared" si="56"/>
        <v>0.17611804547559073</v>
      </c>
      <c r="CI110" s="143">
        <f>IF(AND($A110&gt;=SYear_O,$A110&lt;=EYear_O),Data_All!V111,"")</f>
        <v>7.9028874013387957</v>
      </c>
      <c r="CJ110" s="143">
        <f>IF(AND($A110&gt;=SYear_O,$A110&lt;=EYear_O),Data_All!CA111,"")</f>
        <v>12.337662337662337</v>
      </c>
      <c r="CK110" s="143">
        <f t="shared" si="57"/>
        <v>-3.9477187294440772</v>
      </c>
      <c r="CN110" s="61">
        <f t="shared" si="58"/>
        <v>-0.10435197798839824</v>
      </c>
      <c r="CO110" s="61">
        <f t="shared" si="59"/>
        <v>7.872340664536126E-2</v>
      </c>
      <c r="CP110" s="61">
        <f t="shared" si="60"/>
        <v>5.9262364085596708E-2</v>
      </c>
      <c r="CQ110" s="61">
        <f t="shared" si="61"/>
        <v>9.7787894350230387E-2</v>
      </c>
      <c r="CR110" s="61">
        <f t="shared" si="62"/>
        <v>0.11146958037354038</v>
      </c>
      <c r="CU110" s="61">
        <f t="shared" si="63"/>
        <v>-0.20271794572377644</v>
      </c>
      <c r="CV110" s="61">
        <f t="shared" si="64"/>
        <v>-1.1894997641761496E-3</v>
      </c>
      <c r="CW110" s="61">
        <f t="shared" si="65"/>
        <v>-1.8671971365151641E-2</v>
      </c>
      <c r="CX110" s="61">
        <f t="shared" si="66"/>
        <v>1.4896349505637341E-2</v>
      </c>
      <c r="CY110" s="61">
        <f t="shared" si="67"/>
        <v>4.2656471130633866E-2</v>
      </c>
    </row>
    <row r="111" spans="1:103">
      <c r="A111" s="204">
        <f t="shared" si="51"/>
        <v>1975</v>
      </c>
      <c r="B111" s="206" t="str">
        <f>IF(AND($A111&gt;=SYear_O, $A111&lt;=EYear_O, B$3&gt;0), B$3 * VLOOKUP($A111, Data_All!$A$8:$CA$153, MATCH(B$2, Data_All!$B$2:$CA$2, 0)+1), "")</f>
        <v/>
      </c>
      <c r="C111" s="206" t="str">
        <f>IF(AND($A111&gt;=SYear_O, $A111&lt;=EYear_O, C$3&gt;0), C$3 * VLOOKUP($A111, Data_All!$A$8:$CA$153, MATCH(C$2, Data_All!$B$2:$CA$2, 0)+1), "")</f>
        <v/>
      </c>
      <c r="D111" s="206" t="str">
        <f>IF(AND($A111&gt;=SYear_O, $A111&lt;=EYear_O, D$3&gt;0), D$3 * VLOOKUP($A111, Data_All!$A$8:$CA$153, MATCH(D$2, Data_All!$B$2:$CA$2, 0)+1), "")</f>
        <v/>
      </c>
      <c r="E111" s="206" t="str">
        <f>IF(AND($A111&gt;=SYear_O, $A111&lt;=EYear_O, E$3&gt;0), E$3 * VLOOKUP($A111, Data_All!$A$8:$CA$153, MATCH(E$2, Data_All!$B$2:$CA$2, 0)+1), "")</f>
        <v/>
      </c>
      <c r="F111" s="206" t="str">
        <f>IF(AND($A111&gt;=SYear_O, $A111&lt;=EYear_O, F$3&gt;0), F$3 * VLOOKUP($A111, Data_All!$A$8:$CA$153, MATCH(F$2, Data_All!$B$2:$CA$2, 0)+1), "")</f>
        <v/>
      </c>
      <c r="G111" s="206" t="str">
        <f>IF(AND($A111&gt;=SYear_O, $A111&lt;=EYear_O, G$3&gt;0), G$3 * VLOOKUP($A111, Data_All!$A$8:$CA$153, MATCH(G$2, Data_All!$B$2:$CA$2, 0)+1), "")</f>
        <v/>
      </c>
      <c r="H111" s="206" t="str">
        <f>IF(AND($A111&gt;=SYear_O, $A111&lt;=EYear_O, H$3&gt;0), H$3 * VLOOKUP($A111, Data_All!$A$8:$CA$153, MATCH(H$2, Data_All!$B$2:$CA$2, 0)+1), "")</f>
        <v/>
      </c>
      <c r="I111" s="206" t="str">
        <f>IF(AND($A111&gt;=SYear_O, $A111&lt;=EYear_O, I$3&gt;0), I$3 * VLOOKUP($A111, Data_All!$A$8:$CA$153, MATCH(I$2, Data_All!$B$2:$CA$2, 0)+1), "")</f>
        <v/>
      </c>
      <c r="J111" s="206" t="str">
        <f>IF(AND($A111&gt;=SYear_O, $A111&lt;=EYear_O, J$3&gt;0), J$3 * VLOOKUP($A111, Data_All!$A$8:$CA$153, MATCH(J$2, Data_All!$B$2:$CA$2, 0)+1), "")</f>
        <v/>
      </c>
      <c r="K111" s="206" t="str">
        <f>IF(AND($A111&gt;=SYear_O, $A111&lt;=EYear_O, K$3&gt;0), K$3 * VLOOKUP($A111, Data_All!$A$8:$CA$153, MATCH(K$2, Data_All!$B$2:$CA$2, 0)+1), "")</f>
        <v/>
      </c>
      <c r="L111" s="206" t="str">
        <f>IF(AND($A111&gt;=SYear_O, $A111&lt;=EYear_O, L$3&gt;0), L$3 * VLOOKUP($A111, Data_All!$A$8:$CA$153, MATCH(L$2, Data_All!$B$2:$CA$2, 0)+1), "")</f>
        <v/>
      </c>
      <c r="M111" s="206" t="str">
        <f>IF(AND($A111&gt;=SYear_O, $A111&lt;=EYear_O, M$3&gt;0), M$3 * VLOOKUP($A111, Data_All!$A$8:$CA$153, MATCH(M$2, Data_All!$B$2:$CA$2, 0)+1), "")</f>
        <v/>
      </c>
      <c r="N111" s="206" t="str">
        <f>IF(AND($A111&gt;=SYear_O, $A111&lt;=EYear_O, N$3&gt;0), N$3 * VLOOKUP($A111, Data_All!$A$8:$CA$153, MATCH(N$2, Data_All!$B$2:$CA$2, 0)+1), "")</f>
        <v/>
      </c>
      <c r="O111" s="206" t="str">
        <f>IF(AND($A111&gt;=SYear_O, $A111&lt;=EYear_O, O$3&gt;0), O$3 * VLOOKUP($A111, Data_All!$A$8:$CA$153, MATCH(O$2, Data_All!$B$2:$CA$2, 0)+1), "")</f>
        <v/>
      </c>
      <c r="P111" s="206" t="str">
        <f>IF(AND($A111&gt;=SYear_O, $A111&lt;=EYear_O, P$3&gt;0), P$3 * VLOOKUP($A111, Data_All!$A$8:$CA$153, MATCH(P$2, Data_All!$B$2:$CA$2, 0)+1), "")</f>
        <v/>
      </c>
      <c r="Q111" s="206" t="str">
        <f>IF(AND($A111&gt;=SYear_O, $A111&lt;=EYear_O, Q$3&gt;0), Q$3 * VLOOKUP($A111, Data_All!$A$8:$CA$153, MATCH(Q$2, Data_All!$B$2:$CA$2, 0)+1), "")</f>
        <v/>
      </c>
      <c r="R111" s="206" t="str">
        <f>IF(AND($A111&gt;=SYear_O, $A111&lt;=EYear_O, R$3&gt;0), R$3 * VLOOKUP($A111, Data_All!$A$8:$CA$153, MATCH(R$2, Data_All!$B$2:$CA$2, 0)+1), "")</f>
        <v/>
      </c>
      <c r="S111" s="206" t="str">
        <f>IF(AND($A111&gt;=SYear_O, $A111&lt;=EYear_O, S$3&gt;0), S$3 * VLOOKUP($A111, Data_All!$A$8:$CA$153, MATCH(S$2, Data_All!$B$2:$CA$2, 0)+1), "")</f>
        <v/>
      </c>
      <c r="T111" s="206" t="str">
        <f>IF(AND($A111&gt;=SYear_O, $A111&lt;=EYear_O, T$3&gt;0), T$3 * VLOOKUP($A111, Data_All!$A$8:$CA$153, MATCH(T$2, Data_All!$B$2:$CA$2, 0)+1), "")</f>
        <v/>
      </c>
      <c r="U111" s="206" t="str">
        <f>IF(AND($A111&gt;=SYear_O, $A111&lt;=EYear_O, U$3&gt;0), U$3 * VLOOKUP($A111, Data_All!$A$8:$CA$153, MATCH(U$2, Data_All!$B$2:$CA$2, 0)+1), "")</f>
        <v/>
      </c>
      <c r="V111" s="206" t="str">
        <f>IF(AND($A111&gt;=SYear_O, $A111&lt;=EYear_O, V$3&gt;0), V$3 * VLOOKUP($A111, Data_All!$A$8:$CA$153, MATCH(V$2, Data_All!$B$2:$CA$2, 0)+1), "")</f>
        <v/>
      </c>
      <c r="W111" s="206" t="str">
        <f>IF(AND($A111&gt;=SYear_O, $A111&lt;=EYear_O, W$3&gt;0), W$3 * VLOOKUP($A111, Data_All!$A$8:$CA$153, MATCH(W$2, Data_All!$B$2:$CA$2, 0)+1), "")</f>
        <v/>
      </c>
      <c r="X111" s="206" t="str">
        <f>IF(AND($A111&gt;=SYear_O, $A111&lt;=EYear_O, X$3&gt;0), X$3 * VLOOKUP($A111, Data_All!$A$8:$CA$153, MATCH(X$2, Data_All!$B$2:$CA$2, 0)+1), "")</f>
        <v/>
      </c>
      <c r="Y111" s="206" t="str">
        <f>IF(AND($A111&gt;=SYear_O, $A111&lt;=EYear_O, Y$3&gt;0), Y$3 * VLOOKUP($A111, Data_All!$A$8:$CA$153, MATCH(Y$2, Data_All!$B$2:$CA$2, 0)+1), "")</f>
        <v/>
      </c>
      <c r="Z111" s="206" t="str">
        <f>IF(AND($A111&gt;=SYear_O, $A111&lt;=EYear_O, Z$3&gt;0), Z$3 * VLOOKUP($A111, Data_All!$A$8:$CA$153, MATCH(Z$2, Data_All!$B$2:$CA$2, 0)+1), "")</f>
        <v/>
      </c>
      <c r="AA111" s="206" t="str">
        <f>IF(AND($A111&gt;=SYear_O, $A111&lt;=EYear_O, AA$3&gt;0), AA$3 * VLOOKUP($A111, Data_All!$A$8:$CA$153, MATCH(AA$2, Data_All!$B$2:$CA$2, 0)+1), "")</f>
        <v/>
      </c>
      <c r="AB111" s="206" t="str">
        <f>IF(AND($A111&gt;=SYear_O, $A111&lt;=EYear_O, AB$3&gt;0), AB$3 * VLOOKUP($A111, Data_All!$A$8:$CA$153, MATCH(AB$2, Data_All!$B$2:$CA$2, 0)+1), "")</f>
        <v/>
      </c>
      <c r="AC111" s="206" t="str">
        <f>IF(AND($A111&gt;=SYear_O, $A111&lt;=EYear_O, AC$3&gt;0), AC$3 * VLOOKUP($A111, Data_All!$A$8:$CA$153, MATCH(AC$2, Data_All!$B$2:$CA$2, 0)+1), "")</f>
        <v/>
      </c>
      <c r="AD111" s="206" t="str">
        <f>IF(AND($A111&gt;=SYear_O, $A111&lt;=EYear_O, AD$3&gt;0), AD$3 * VLOOKUP($A111, Data_All!$A$8:$CA$153, MATCH(AD$2, Data_All!$B$2:$CA$2, 0)+1), "")</f>
        <v/>
      </c>
      <c r="AE111" s="206" t="str">
        <f>IF(AND($A111&gt;=SYear_O, $A111&lt;=EYear_O, AE$3&gt;0), AE$3 * VLOOKUP($A111, Data_All!$A$8:$CA$153, MATCH(AE$2, Data_All!$B$2:$CA$2, 0)+1), "")</f>
        <v/>
      </c>
      <c r="AF111" s="206" t="str">
        <f>IF(AND($A111&gt;=SYear_O, $A111&lt;=EYear_O, AF$3&gt;0), AF$3 * VLOOKUP($A111, Data_All!$A$8:$CA$153, MATCH(AF$2, Data_All!$B$2:$CA$2, 0)+1), "")</f>
        <v/>
      </c>
      <c r="AG111" s="206" t="str">
        <f>IF(AND($A111&gt;=SYear_O, $A111&lt;=EYear_O, AG$3&gt;0), AG$3 * VLOOKUP($A111, Data_All!$A$8:$CA$153, MATCH(AG$2, Data_All!$B$2:$CA$2, 0)+1), "")</f>
        <v/>
      </c>
      <c r="AH111" s="206" t="str">
        <f>IF(AND($A111&gt;=SYear_O, $A111&lt;=EYear_O, AH$3&gt;0), AH$3 * VLOOKUP($A111, Data_All!$A$8:$CA$153, MATCH(AH$2, Data_All!$B$2:$CA$2, 0)+1), "")</f>
        <v/>
      </c>
      <c r="AI111" s="206" t="str">
        <f>IF(AND($A111&gt;=SYear_O, $A111&lt;=EYear_O, AI$3&gt;0), AI$3 * VLOOKUP($A111, Data_All!$A$8:$CA$153, MATCH(AI$2, Data_All!$B$2:$CA$2, 0)+1), "")</f>
        <v/>
      </c>
      <c r="AJ111" s="206" t="str">
        <f>IF(AND($A111&gt;=SYear_O, $A111&lt;=EYear_O, AJ$3&gt;0), AJ$3 * VLOOKUP($A111, Data_All!$A$8:$CA$153, MATCH(AJ$2, Data_All!$B$2:$CA$2, 0)+1), "")</f>
        <v/>
      </c>
      <c r="AK111" s="206" t="str">
        <f>IF(AND($A111&gt;=SYear_O, $A111&lt;=EYear_O, AK$3&gt;0), AK$3 * VLOOKUP($A111, Data_All!$A$8:$CA$153, MATCH(AK$2, Data_All!$B$2:$CA$2, 0)+1), "")</f>
        <v/>
      </c>
      <c r="AL111" s="206" t="str">
        <f>IF(AND($A111&gt;=SYear_O, $A111&lt;=EYear_O, AL$3&gt;0), AL$3 * VLOOKUP($A111, Data_All!$A$8:$CA$153, MATCH(AL$2, Data_All!$B$2:$CA$2, 0)+1), "")</f>
        <v/>
      </c>
      <c r="AM111" s="206" t="str">
        <f>IF(AND($A111&gt;=SYear_O, $A111&lt;=EYear_O, AM$3&gt;0), AM$3 * VLOOKUP($A111, Data_All!$A$8:$CA$153, MATCH(AM$2, Data_All!$B$2:$CA$2, 0)+1), "")</f>
        <v/>
      </c>
      <c r="AN111" s="206" t="str">
        <f>IF(AND($A111&gt;=SYear_O, $A111&lt;=EYear_O, AN$3&gt;0), AN$3 * VLOOKUP($A111, Data_All!$A$8:$CA$153, MATCH(AN$2, Data_All!$B$2:$CA$2, 0)+1), "")</f>
        <v/>
      </c>
      <c r="AO111" s="206" t="str">
        <f>IF(AND($A111&gt;=SYear_O, $A111&lt;=EYear_O, AO$3&gt;0), AO$3 * VLOOKUP($A111, Data_All!$A$8:$CA$153, MATCH(AO$2, Data_All!$B$2:$CA$2, 0)+1), "")</f>
        <v/>
      </c>
      <c r="AP111" s="206" t="str">
        <f>IF(AND($A111&gt;=SYear_O, $A111&lt;=EYear_O, AP$3&gt;0), AP$3 * VLOOKUP($A111, Data_All!$A$8:$CA$153, MATCH(AP$2, Data_All!$B$2:$CA$2, 0)+1), "")</f>
        <v/>
      </c>
      <c r="AQ111" s="206" t="str">
        <f>IF(AND($A111&gt;=SYear_O, $A111&lt;=EYear_O, AQ$3&gt;0), AQ$3 * VLOOKUP($A111, Data_All!$A$8:$CA$153, MATCH(AQ$2, Data_All!$B$2:$CA$2, 0)+1), "")</f>
        <v/>
      </c>
      <c r="AR111" s="206" t="str">
        <f>IF(AND($A111&gt;=SYear_O, $A111&lt;=EYear_O, AR$3&gt;0), AR$3 * VLOOKUP($A111, Data_All!$A$8:$CA$153, MATCH(AR$2, Data_All!$B$2:$CA$2, 0)+1), "")</f>
        <v/>
      </c>
      <c r="AS111" s="206" t="str">
        <f>IF(AND($A111&gt;=SYear_O, $A111&lt;=EYear_O, AS$3&gt;0), AS$3 * VLOOKUP($A111, Data_All!$A$8:$CA$153, MATCH(AS$2, Data_All!$B$2:$CA$2, 0)+1), "")</f>
        <v/>
      </c>
      <c r="AT111" s="206" t="str">
        <f>IF(AND($A111&gt;=SYear_O, $A111&lt;=EYear_O, AT$3&gt;0), AT$3 * VLOOKUP($A111, Data_All!$A$8:$CA$153, MATCH(AT$2, Data_All!$B$2:$CA$2, 0)+1), "")</f>
        <v/>
      </c>
      <c r="AU111" s="206" t="str">
        <f>IF(AND($A111&gt;=SYear_O, $A111&lt;=EYear_O, AU$3&gt;0), AU$3 * VLOOKUP($A111, Data_All!$A$8:$CA$153, MATCH(AU$2, Data_All!$B$2:$CA$2, 0)+1), "")</f>
        <v/>
      </c>
      <c r="AV111" s="206" t="str">
        <f>IF(AND($A111&gt;=SYear_O, $A111&lt;=EYear_O, AV$3&gt;0), AV$3 * VLOOKUP($A111, Data_All!$A$8:$CA$153, MATCH(AV$2, Data_All!$B$2:$CA$2, 0)+1), "")</f>
        <v/>
      </c>
      <c r="AW111" s="206" t="str">
        <f>IF(AND($A111&gt;=SYear_O, $A111&lt;=EYear_O, AW$3&gt;0), AW$3 * VLOOKUP($A111, Data_All!$A$8:$CA$153, MATCH(AW$2, Data_All!$B$2:$CA$2, 0)+1), "")</f>
        <v/>
      </c>
      <c r="AX111" s="206" t="str">
        <f>IF(AND($A111&gt;=SYear_O, $A111&lt;=EYear_O, AX$3&gt;0), AX$3 * VLOOKUP($A111, Data_All!$A$8:$CA$153, MATCH(AX$2, Data_All!$B$2:$CA$2, 0)+1), "")</f>
        <v/>
      </c>
      <c r="AY111" s="206" t="str">
        <f>IF(AND($A111&gt;=SYear_O, $A111&lt;=EYear_O, AY$3&gt;0), AY$3 * VLOOKUP($A111, Data_All!$A$8:$CA$153, MATCH(AY$2, Data_All!$B$2:$CA$2, 0)+1), "")</f>
        <v/>
      </c>
      <c r="AZ111" s="206" t="str">
        <f>IF(AND($A111&gt;=SYear_O, $A111&lt;=EYear_O, AZ$3&gt;0), AZ$3 * VLOOKUP($A111, Data_All!$A$8:$CA$153, MATCH(AZ$2, Data_All!$B$2:$CA$2, 0)+1), "")</f>
        <v/>
      </c>
      <c r="BA111" s="206" t="str">
        <f>IF(AND($A111&gt;=SYear_O, $A111&lt;=EYear_O, BA$3&gt;0), BA$3 * VLOOKUP($A111, Data_All!$A$8:$CA$153, MATCH(BA$2, Data_All!$B$2:$CA$2, 0)+1), "")</f>
        <v/>
      </c>
      <c r="BB111" s="206" t="str">
        <f>IF(AND($A111&gt;=SYear_O, $A111&lt;=EYear_O, BB$3&gt;0), BB$3 * VLOOKUP($A111, Data_All!$A$8:$CA$153, MATCH(BB$2, Data_All!$B$2:$CA$2, 0)+1), "")</f>
        <v/>
      </c>
      <c r="BC111" s="206" t="str">
        <f>IF(AND($A111&gt;=SYear_O, $A111&lt;=EYear_O, BC$3&gt;0), BC$3 * VLOOKUP($A111, Data_All!$A$8:$CA$153, MATCH(BC$2, Data_All!$B$2:$CA$2, 0)+1), "")</f>
        <v/>
      </c>
      <c r="BD111" s="206" t="str">
        <f>IF(AND($A111&gt;=SYear_O, $A111&lt;=EYear_O, BD$3&gt;0), BD$3 * VLOOKUP($A111, Data_All!$A$8:$CA$153, MATCH(BD$2, Data_All!$B$2:$CA$2, 0)+1), "")</f>
        <v/>
      </c>
      <c r="BE111" s="206" t="str">
        <f>IF(AND($A111&gt;=SYear_O, $A111&lt;=EYear_O, BE$3&gt;0), BE$3 * VLOOKUP($A111, Data_All!$A$8:$CA$153, MATCH(BE$2, Data_All!$B$2:$CA$2, 0)+1), "")</f>
        <v/>
      </c>
      <c r="BF111" s="206" t="str">
        <f>IF(AND($A111&gt;=SYear_O, $A111&lt;=EYear_O, BF$3&gt;0), BF$3 * VLOOKUP($A111, Data_All!$A$8:$CA$153, MATCH(BF$2, Data_All!$B$2:$CA$2, 0)+1), "")</f>
        <v/>
      </c>
      <c r="BG111" s="206" t="str">
        <f>IF(AND($A111&gt;=SYear_O, $A111&lt;=EYear_O, BG$3&gt;0), BG$3 * VLOOKUP($A111, Data_All!$A$8:$CA$153, MATCH(BG$2, Data_All!$B$2:$CA$2, 0)+1), "")</f>
        <v/>
      </c>
      <c r="BH111" s="206" t="str">
        <f>IF(AND($A111&gt;=SYear_O, $A111&lt;=EYear_O, BH$3&gt;0), BH$3 * VLOOKUP($A111, Data_All!$A$8:$CA$153, MATCH(BH$2, Data_All!$B$2:$CA$2, 0)+1), "")</f>
        <v/>
      </c>
      <c r="BI111" s="206" t="str">
        <f>IF(AND($A111&gt;=SYear_O, $A111&lt;=EYear_O, BI$3&gt;0), BI$3 * VLOOKUP($A111, Data_All!$A$8:$CA$153, MATCH(BI$2, Data_All!$B$2:$CA$2, 0)+1), "")</f>
        <v/>
      </c>
      <c r="BJ111" s="206" t="str">
        <f>IF(AND($A111&gt;=SYear_O, $A111&lt;=EYear_O, BJ$3&gt;0), BJ$3 * VLOOKUP($A111, Data_All!$A$8:$CA$153, MATCH(BJ$2, Data_All!$B$2:$CA$2, 0)+1), "")</f>
        <v/>
      </c>
      <c r="BK111" s="206" t="str">
        <f>IF(AND($A111&gt;=SYear_O, $A111&lt;=EYear_O, BK$3&gt;0), BK$3 * VLOOKUP($A111, Data_All!$A$8:$CA$153, MATCH(BK$2, Data_All!$B$2:$CA$2, 0)+1), "")</f>
        <v/>
      </c>
      <c r="BL111" s="206" t="str">
        <f>IF(AND($A111&gt;=SYear_O, $A111&lt;=EYear_O, BL$3&gt;0), BL$3 * VLOOKUP($A111, Data_All!$A$8:$CA$153, MATCH(BL$2, Data_All!$B$2:$CA$2, 0)+1), "")</f>
        <v/>
      </c>
      <c r="BM111" s="206" t="str">
        <f>IF(AND($A111&gt;=SYear_O, $A111&lt;=EYear_O, BM$3&gt;0), BM$3 * VLOOKUP($A111, Data_All!$A$8:$CA$153, MATCH(BM$2, Data_All!$B$2:$CA$2, 0)+1), "")</f>
        <v/>
      </c>
      <c r="BN111" s="206" t="str">
        <f>IF(AND($A111&gt;=SYear_O, $A111&lt;=EYear_O, BN$3&gt;0), BN$3 * VLOOKUP($A111, Data_All!$A$8:$CA$153, MATCH(BN$2, Data_All!$B$2:$CA$2, 0)+1), "")</f>
        <v/>
      </c>
      <c r="BO111" s="206" t="str">
        <f>IF(AND($A111&gt;=SYear_O, $A111&lt;=EYear_O, BO$3&gt;0), BO$3 * VLOOKUP($A111, Data_All!$A$8:$CA$153, MATCH(BO$2, Data_All!$B$2:$CA$2, 0)+1), "")</f>
        <v/>
      </c>
      <c r="BP111" s="206" t="str">
        <f>IF(AND($A111&gt;=SYear_O, $A111&lt;=EYear_O, BP$3&gt;0), BP$3 * VLOOKUP($A111, Data_All!$A$8:$CA$153, MATCH(BP$2, Data_All!$B$2:$CA$2, 0)+1), "")</f>
        <v/>
      </c>
      <c r="BQ111" s="206" t="str">
        <f>IF(AND($A111&gt;=SYear_O, $A111&lt;=EYear_O, BQ$3&gt;0), BQ$3 * VLOOKUP($A111, Data_All!$A$8:$CA$153, MATCH(BQ$2, Data_All!$B$2:$CA$2, 0)+1), "")</f>
        <v/>
      </c>
      <c r="BR111" s="206" t="str">
        <f>IF(AND($A111&gt;=SYear_O, $A111&lt;=EYear_O, BR$3&gt;0), BR$3 * VLOOKUP($A111, Data_All!$A$8:$CA$153, MATCH(BR$2, Data_All!$B$2:$CA$2, 0)+1), "")</f>
        <v/>
      </c>
      <c r="BS111" s="206" t="str">
        <f>IF(AND($A111&gt;=SYear_O, $A111&lt;=EYear_O, BS$3&gt;0), BS$3 * VLOOKUP($A111, Data_All!$A$8:$CA$153, MATCH(BS$2, Data_All!$B$2:$CA$2, 0)+1), "")</f>
        <v/>
      </c>
      <c r="BT111" s="206" t="str">
        <f>IF(AND($A111&gt;=SYear_O, $A111&lt;=EYear_O, BT$3&gt;0), BT$3 * VLOOKUP($A111, Data_All!$A$8:$CA$153, MATCH(BT$2, Data_All!$B$2:$CA$2, 0)+1), "")</f>
        <v/>
      </c>
      <c r="BU111" s="206" t="str">
        <f>IF(AND($A111&gt;=SYear_O, $A111&lt;=EYear_O, BU$3&gt;0), BU$3 * VLOOKUP($A111, Data_All!$A$8:$CA$153, MATCH(BU$2, Data_All!$B$2:$CA$2, 0)+1), "")</f>
        <v/>
      </c>
      <c r="BV111" s="206" t="str">
        <f>IF(AND($A111&gt;=SYear_O, $A111&lt;=EYear_O, BV$3&gt;0), BV$3 * VLOOKUP($A111, Data_All!$A$8:$CA$153, MATCH(BV$2, Data_All!$B$2:$CA$2, 0)+1), "")</f>
        <v/>
      </c>
      <c r="BW111" s="206" t="str">
        <f>IF(AND($A111&gt;=SYear_O, $A111&lt;=EYear_O, BW$3&gt;0), BW$3 * VLOOKUP($A111, Data_All!$A$8:$CA$153, MATCH(BW$2, Data_All!$B$2:$CA$2, 0)+1), "")</f>
        <v/>
      </c>
      <c r="BX111" s="206">
        <f>IF(AND($A111&gt;=SYear_O, $A111&lt;=EYear_O, BX$3&gt;0), BX$3 * VLOOKUP($A111, Data_All!$A$8:$CA$153, MATCH(BX$2, Data_All!$B$2:$CA$2, 0)+1), "")</f>
        <v>23.136714443219407</v>
      </c>
      <c r="BY111" s="206">
        <f>IF(AND($A111&gt;=SYear_O, $A111&lt;=EYear_O, BY$3&gt;0), BY$3 * VLOOKUP($A111, Data_All!$A$8:$CA$153, MATCH(BY$2, Data_All!$B$2:$CA$2, 0)+1), "")</f>
        <v>2.8849106706444516</v>
      </c>
      <c r="BZ111" s="206" t="str">
        <f>IF(AND($A111&gt;=SYear_O, $A111&lt;=EYear_O, BZ$3&gt;0), BZ$3 * VLOOKUP($A111, Data_All!$A$8:$CA$153, MATCH(BZ$2, Data_All!$B$2:$CA$2, 0)+1), "")</f>
        <v/>
      </c>
      <c r="CA111" s="565">
        <f t="shared" si="52"/>
        <v>26.021625113863859</v>
      </c>
      <c r="CB111" s="427">
        <f t="shared" si="53"/>
        <v>9260738.623907458</v>
      </c>
      <c r="CC111" s="565">
        <f>IF(AND($A111&gt;=SYear_O,$A111&lt;=EYear_O),(CA111-Data_All!CA112)/(1+Data_All!CA112%),"")</f>
        <v>17.847249430802425</v>
      </c>
      <c r="CD111" s="436">
        <f t="shared" si="54"/>
        <v>2079755.1551970921</v>
      </c>
      <c r="CE111" s="438">
        <f t="shared" si="55"/>
        <v>839.94194360552603</v>
      </c>
      <c r="CF111" s="438">
        <f>IF(AND($A111&gt;=SYear_O,$A111&lt;=EYear_O),MAX($CE$7:CE111),"")</f>
        <v>839.94194360552603</v>
      </c>
      <c r="CG111" s="209">
        <f t="shared" si="56"/>
        <v>0</v>
      </c>
      <c r="CI111" s="143">
        <f>IF(AND($A111&gt;=SYear_O,$A111&lt;=EYear_O),Data_All!V112,"")</f>
        <v>5.7048656209411535</v>
      </c>
      <c r="CJ111" s="143">
        <f>IF(AND($A111&gt;=SYear_O,$A111&lt;=EYear_O),Data_All!CA112,"")</f>
        <v>6.9364161849710948</v>
      </c>
      <c r="CK111" s="143">
        <f t="shared" si="57"/>
        <v>-1.1516662031198912</v>
      </c>
      <c r="CN111" s="61">
        <f t="shared" si="58"/>
        <v>0.26021625113863855</v>
      </c>
      <c r="CO111" s="61">
        <f t="shared" si="59"/>
        <v>0.10426283622484589</v>
      </c>
      <c r="CP111" s="61">
        <f t="shared" si="60"/>
        <v>0.10615857660325845</v>
      </c>
      <c r="CQ111" s="61">
        <f t="shared" si="61"/>
        <v>0.12047455029813658</v>
      </c>
      <c r="CR111" s="61">
        <f t="shared" si="62"/>
        <v>0.13275071829571417</v>
      </c>
      <c r="CU111" s="61">
        <f t="shared" si="63"/>
        <v>0.17847249430802425</v>
      </c>
      <c r="CV111" s="61">
        <f t="shared" si="64"/>
        <v>4.0154156480723513E-2</v>
      </c>
      <c r="CW111" s="61">
        <f t="shared" si="65"/>
        <v>2.3038057020518421E-2</v>
      </c>
      <c r="CX111" s="61">
        <f t="shared" si="66"/>
        <v>4.3940857859203986E-2</v>
      </c>
      <c r="CY111" s="61">
        <f t="shared" si="67"/>
        <v>6.7655555733985295E-2</v>
      </c>
    </row>
    <row r="112" spans="1:103">
      <c r="A112" s="204">
        <f t="shared" si="51"/>
        <v>1976</v>
      </c>
      <c r="B112" s="206" t="str">
        <f>IF(AND($A112&gt;=SYear_O, $A112&lt;=EYear_O, B$3&gt;0), B$3 * VLOOKUP($A112, Data_All!$A$8:$CA$153, MATCH(B$2, Data_All!$B$2:$CA$2, 0)+1), "")</f>
        <v/>
      </c>
      <c r="C112" s="206" t="str">
        <f>IF(AND($A112&gt;=SYear_O, $A112&lt;=EYear_O, C$3&gt;0), C$3 * VLOOKUP($A112, Data_All!$A$8:$CA$153, MATCH(C$2, Data_All!$B$2:$CA$2, 0)+1), "")</f>
        <v/>
      </c>
      <c r="D112" s="206" t="str">
        <f>IF(AND($A112&gt;=SYear_O, $A112&lt;=EYear_O, D$3&gt;0), D$3 * VLOOKUP($A112, Data_All!$A$8:$CA$153, MATCH(D$2, Data_All!$B$2:$CA$2, 0)+1), "")</f>
        <v/>
      </c>
      <c r="E112" s="206" t="str">
        <f>IF(AND($A112&gt;=SYear_O, $A112&lt;=EYear_O, E$3&gt;0), E$3 * VLOOKUP($A112, Data_All!$A$8:$CA$153, MATCH(E$2, Data_All!$B$2:$CA$2, 0)+1), "")</f>
        <v/>
      </c>
      <c r="F112" s="206" t="str">
        <f>IF(AND($A112&gt;=SYear_O, $A112&lt;=EYear_O, F$3&gt;0), F$3 * VLOOKUP($A112, Data_All!$A$8:$CA$153, MATCH(F$2, Data_All!$B$2:$CA$2, 0)+1), "")</f>
        <v/>
      </c>
      <c r="G112" s="206" t="str">
        <f>IF(AND($A112&gt;=SYear_O, $A112&lt;=EYear_O, G$3&gt;0), G$3 * VLOOKUP($A112, Data_All!$A$8:$CA$153, MATCH(G$2, Data_All!$B$2:$CA$2, 0)+1), "")</f>
        <v/>
      </c>
      <c r="H112" s="206" t="str">
        <f>IF(AND($A112&gt;=SYear_O, $A112&lt;=EYear_O, H$3&gt;0), H$3 * VLOOKUP($A112, Data_All!$A$8:$CA$153, MATCH(H$2, Data_All!$B$2:$CA$2, 0)+1), "")</f>
        <v/>
      </c>
      <c r="I112" s="206" t="str">
        <f>IF(AND($A112&gt;=SYear_O, $A112&lt;=EYear_O, I$3&gt;0), I$3 * VLOOKUP($A112, Data_All!$A$8:$CA$153, MATCH(I$2, Data_All!$B$2:$CA$2, 0)+1), "")</f>
        <v/>
      </c>
      <c r="J112" s="206" t="str">
        <f>IF(AND($A112&gt;=SYear_O, $A112&lt;=EYear_O, J$3&gt;0), J$3 * VLOOKUP($A112, Data_All!$A$8:$CA$153, MATCH(J$2, Data_All!$B$2:$CA$2, 0)+1), "")</f>
        <v/>
      </c>
      <c r="K112" s="206" t="str">
        <f>IF(AND($A112&gt;=SYear_O, $A112&lt;=EYear_O, K$3&gt;0), K$3 * VLOOKUP($A112, Data_All!$A$8:$CA$153, MATCH(K$2, Data_All!$B$2:$CA$2, 0)+1), "")</f>
        <v/>
      </c>
      <c r="L112" s="206" t="str">
        <f>IF(AND($A112&gt;=SYear_O, $A112&lt;=EYear_O, L$3&gt;0), L$3 * VLOOKUP($A112, Data_All!$A$8:$CA$153, MATCH(L$2, Data_All!$B$2:$CA$2, 0)+1), "")</f>
        <v/>
      </c>
      <c r="M112" s="206" t="str">
        <f>IF(AND($A112&gt;=SYear_O, $A112&lt;=EYear_O, M$3&gt;0), M$3 * VLOOKUP($A112, Data_All!$A$8:$CA$153, MATCH(M$2, Data_All!$B$2:$CA$2, 0)+1), "")</f>
        <v/>
      </c>
      <c r="N112" s="206" t="str">
        <f>IF(AND($A112&gt;=SYear_O, $A112&lt;=EYear_O, N$3&gt;0), N$3 * VLOOKUP($A112, Data_All!$A$8:$CA$153, MATCH(N$2, Data_All!$B$2:$CA$2, 0)+1), "")</f>
        <v/>
      </c>
      <c r="O112" s="206" t="str">
        <f>IF(AND($A112&gt;=SYear_O, $A112&lt;=EYear_O, O$3&gt;0), O$3 * VLOOKUP($A112, Data_All!$A$8:$CA$153, MATCH(O$2, Data_All!$B$2:$CA$2, 0)+1), "")</f>
        <v/>
      </c>
      <c r="P112" s="206" t="str">
        <f>IF(AND($A112&gt;=SYear_O, $A112&lt;=EYear_O, P$3&gt;0), P$3 * VLOOKUP($A112, Data_All!$A$8:$CA$153, MATCH(P$2, Data_All!$B$2:$CA$2, 0)+1), "")</f>
        <v/>
      </c>
      <c r="Q112" s="206" t="str">
        <f>IF(AND($A112&gt;=SYear_O, $A112&lt;=EYear_O, Q$3&gt;0), Q$3 * VLOOKUP($A112, Data_All!$A$8:$CA$153, MATCH(Q$2, Data_All!$B$2:$CA$2, 0)+1), "")</f>
        <v/>
      </c>
      <c r="R112" s="206" t="str">
        <f>IF(AND($A112&gt;=SYear_O, $A112&lt;=EYear_O, R$3&gt;0), R$3 * VLOOKUP($A112, Data_All!$A$8:$CA$153, MATCH(R$2, Data_All!$B$2:$CA$2, 0)+1), "")</f>
        <v/>
      </c>
      <c r="S112" s="206" t="str">
        <f>IF(AND($A112&gt;=SYear_O, $A112&lt;=EYear_O, S$3&gt;0), S$3 * VLOOKUP($A112, Data_All!$A$8:$CA$153, MATCH(S$2, Data_All!$B$2:$CA$2, 0)+1), "")</f>
        <v/>
      </c>
      <c r="T112" s="206" t="str">
        <f>IF(AND($A112&gt;=SYear_O, $A112&lt;=EYear_O, T$3&gt;0), T$3 * VLOOKUP($A112, Data_All!$A$8:$CA$153, MATCH(T$2, Data_All!$B$2:$CA$2, 0)+1), "")</f>
        <v/>
      </c>
      <c r="U112" s="206" t="str">
        <f>IF(AND($A112&gt;=SYear_O, $A112&lt;=EYear_O, U$3&gt;0), U$3 * VLOOKUP($A112, Data_All!$A$8:$CA$153, MATCH(U$2, Data_All!$B$2:$CA$2, 0)+1), "")</f>
        <v/>
      </c>
      <c r="V112" s="206" t="str">
        <f>IF(AND($A112&gt;=SYear_O, $A112&lt;=EYear_O, V$3&gt;0), V$3 * VLOOKUP($A112, Data_All!$A$8:$CA$153, MATCH(V$2, Data_All!$B$2:$CA$2, 0)+1), "")</f>
        <v/>
      </c>
      <c r="W112" s="206" t="str">
        <f>IF(AND($A112&gt;=SYear_O, $A112&lt;=EYear_O, W$3&gt;0), W$3 * VLOOKUP($A112, Data_All!$A$8:$CA$153, MATCH(W$2, Data_All!$B$2:$CA$2, 0)+1), "")</f>
        <v/>
      </c>
      <c r="X112" s="206" t="str">
        <f>IF(AND($A112&gt;=SYear_O, $A112&lt;=EYear_O, X$3&gt;0), X$3 * VLOOKUP($A112, Data_All!$A$8:$CA$153, MATCH(X$2, Data_All!$B$2:$CA$2, 0)+1), "")</f>
        <v/>
      </c>
      <c r="Y112" s="206" t="str">
        <f>IF(AND($A112&gt;=SYear_O, $A112&lt;=EYear_O, Y$3&gt;0), Y$3 * VLOOKUP($A112, Data_All!$A$8:$CA$153, MATCH(Y$2, Data_All!$B$2:$CA$2, 0)+1), "")</f>
        <v/>
      </c>
      <c r="Z112" s="206" t="str">
        <f>IF(AND($A112&gt;=SYear_O, $A112&lt;=EYear_O, Z$3&gt;0), Z$3 * VLOOKUP($A112, Data_All!$A$8:$CA$153, MATCH(Z$2, Data_All!$B$2:$CA$2, 0)+1), "")</f>
        <v/>
      </c>
      <c r="AA112" s="206" t="str">
        <f>IF(AND($A112&gt;=SYear_O, $A112&lt;=EYear_O, AA$3&gt;0), AA$3 * VLOOKUP($A112, Data_All!$A$8:$CA$153, MATCH(AA$2, Data_All!$B$2:$CA$2, 0)+1), "")</f>
        <v/>
      </c>
      <c r="AB112" s="206" t="str">
        <f>IF(AND($A112&gt;=SYear_O, $A112&lt;=EYear_O, AB$3&gt;0), AB$3 * VLOOKUP($A112, Data_All!$A$8:$CA$153, MATCH(AB$2, Data_All!$B$2:$CA$2, 0)+1), "")</f>
        <v/>
      </c>
      <c r="AC112" s="206" t="str">
        <f>IF(AND($A112&gt;=SYear_O, $A112&lt;=EYear_O, AC$3&gt;0), AC$3 * VLOOKUP($A112, Data_All!$A$8:$CA$153, MATCH(AC$2, Data_All!$B$2:$CA$2, 0)+1), "")</f>
        <v/>
      </c>
      <c r="AD112" s="206" t="str">
        <f>IF(AND($A112&gt;=SYear_O, $A112&lt;=EYear_O, AD$3&gt;0), AD$3 * VLOOKUP($A112, Data_All!$A$8:$CA$153, MATCH(AD$2, Data_All!$B$2:$CA$2, 0)+1), "")</f>
        <v/>
      </c>
      <c r="AE112" s="206" t="str">
        <f>IF(AND($A112&gt;=SYear_O, $A112&lt;=EYear_O, AE$3&gt;0), AE$3 * VLOOKUP($A112, Data_All!$A$8:$CA$153, MATCH(AE$2, Data_All!$B$2:$CA$2, 0)+1), "")</f>
        <v/>
      </c>
      <c r="AF112" s="206" t="str">
        <f>IF(AND($A112&gt;=SYear_O, $A112&lt;=EYear_O, AF$3&gt;0), AF$3 * VLOOKUP($A112, Data_All!$A$8:$CA$153, MATCH(AF$2, Data_All!$B$2:$CA$2, 0)+1), "")</f>
        <v/>
      </c>
      <c r="AG112" s="206" t="str">
        <f>IF(AND($A112&gt;=SYear_O, $A112&lt;=EYear_O, AG$3&gt;0), AG$3 * VLOOKUP($A112, Data_All!$A$8:$CA$153, MATCH(AG$2, Data_All!$B$2:$CA$2, 0)+1), "")</f>
        <v/>
      </c>
      <c r="AH112" s="206" t="str">
        <f>IF(AND($A112&gt;=SYear_O, $A112&lt;=EYear_O, AH$3&gt;0), AH$3 * VLOOKUP($A112, Data_All!$A$8:$CA$153, MATCH(AH$2, Data_All!$B$2:$CA$2, 0)+1), "")</f>
        <v/>
      </c>
      <c r="AI112" s="206" t="str">
        <f>IF(AND($A112&gt;=SYear_O, $A112&lt;=EYear_O, AI$3&gt;0), AI$3 * VLOOKUP($A112, Data_All!$A$8:$CA$153, MATCH(AI$2, Data_All!$B$2:$CA$2, 0)+1), "")</f>
        <v/>
      </c>
      <c r="AJ112" s="206" t="str">
        <f>IF(AND($A112&gt;=SYear_O, $A112&lt;=EYear_O, AJ$3&gt;0), AJ$3 * VLOOKUP($A112, Data_All!$A$8:$CA$153, MATCH(AJ$2, Data_All!$B$2:$CA$2, 0)+1), "")</f>
        <v/>
      </c>
      <c r="AK112" s="206" t="str">
        <f>IF(AND($A112&gt;=SYear_O, $A112&lt;=EYear_O, AK$3&gt;0), AK$3 * VLOOKUP($A112, Data_All!$A$8:$CA$153, MATCH(AK$2, Data_All!$B$2:$CA$2, 0)+1), "")</f>
        <v/>
      </c>
      <c r="AL112" s="206" t="str">
        <f>IF(AND($A112&gt;=SYear_O, $A112&lt;=EYear_O, AL$3&gt;0), AL$3 * VLOOKUP($A112, Data_All!$A$8:$CA$153, MATCH(AL$2, Data_All!$B$2:$CA$2, 0)+1), "")</f>
        <v/>
      </c>
      <c r="AM112" s="206" t="str">
        <f>IF(AND($A112&gt;=SYear_O, $A112&lt;=EYear_O, AM$3&gt;0), AM$3 * VLOOKUP($A112, Data_All!$A$8:$CA$153, MATCH(AM$2, Data_All!$B$2:$CA$2, 0)+1), "")</f>
        <v/>
      </c>
      <c r="AN112" s="206" t="str">
        <f>IF(AND($A112&gt;=SYear_O, $A112&lt;=EYear_O, AN$3&gt;0), AN$3 * VLOOKUP($A112, Data_All!$A$8:$CA$153, MATCH(AN$2, Data_All!$B$2:$CA$2, 0)+1), "")</f>
        <v/>
      </c>
      <c r="AO112" s="206" t="str">
        <f>IF(AND($A112&gt;=SYear_O, $A112&lt;=EYear_O, AO$3&gt;0), AO$3 * VLOOKUP($A112, Data_All!$A$8:$CA$153, MATCH(AO$2, Data_All!$B$2:$CA$2, 0)+1), "")</f>
        <v/>
      </c>
      <c r="AP112" s="206" t="str">
        <f>IF(AND($A112&gt;=SYear_O, $A112&lt;=EYear_O, AP$3&gt;0), AP$3 * VLOOKUP($A112, Data_All!$A$8:$CA$153, MATCH(AP$2, Data_All!$B$2:$CA$2, 0)+1), "")</f>
        <v/>
      </c>
      <c r="AQ112" s="206" t="str">
        <f>IF(AND($A112&gt;=SYear_O, $A112&lt;=EYear_O, AQ$3&gt;0), AQ$3 * VLOOKUP($A112, Data_All!$A$8:$CA$153, MATCH(AQ$2, Data_All!$B$2:$CA$2, 0)+1), "")</f>
        <v/>
      </c>
      <c r="AR112" s="206" t="str">
        <f>IF(AND($A112&gt;=SYear_O, $A112&lt;=EYear_O, AR$3&gt;0), AR$3 * VLOOKUP($A112, Data_All!$A$8:$CA$153, MATCH(AR$2, Data_All!$B$2:$CA$2, 0)+1), "")</f>
        <v/>
      </c>
      <c r="AS112" s="206" t="str">
        <f>IF(AND($A112&gt;=SYear_O, $A112&lt;=EYear_O, AS$3&gt;0), AS$3 * VLOOKUP($A112, Data_All!$A$8:$CA$153, MATCH(AS$2, Data_All!$B$2:$CA$2, 0)+1), "")</f>
        <v/>
      </c>
      <c r="AT112" s="206" t="str">
        <f>IF(AND($A112&gt;=SYear_O, $A112&lt;=EYear_O, AT$3&gt;0), AT$3 * VLOOKUP($A112, Data_All!$A$8:$CA$153, MATCH(AT$2, Data_All!$B$2:$CA$2, 0)+1), "")</f>
        <v/>
      </c>
      <c r="AU112" s="206" t="str">
        <f>IF(AND($A112&gt;=SYear_O, $A112&lt;=EYear_O, AU$3&gt;0), AU$3 * VLOOKUP($A112, Data_All!$A$8:$CA$153, MATCH(AU$2, Data_All!$B$2:$CA$2, 0)+1), "")</f>
        <v/>
      </c>
      <c r="AV112" s="206" t="str">
        <f>IF(AND($A112&gt;=SYear_O, $A112&lt;=EYear_O, AV$3&gt;0), AV$3 * VLOOKUP($A112, Data_All!$A$8:$CA$153, MATCH(AV$2, Data_All!$B$2:$CA$2, 0)+1), "")</f>
        <v/>
      </c>
      <c r="AW112" s="206" t="str">
        <f>IF(AND($A112&gt;=SYear_O, $A112&lt;=EYear_O, AW$3&gt;0), AW$3 * VLOOKUP($A112, Data_All!$A$8:$CA$153, MATCH(AW$2, Data_All!$B$2:$CA$2, 0)+1), "")</f>
        <v/>
      </c>
      <c r="AX112" s="206" t="str">
        <f>IF(AND($A112&gt;=SYear_O, $A112&lt;=EYear_O, AX$3&gt;0), AX$3 * VLOOKUP($A112, Data_All!$A$8:$CA$153, MATCH(AX$2, Data_All!$B$2:$CA$2, 0)+1), "")</f>
        <v/>
      </c>
      <c r="AY112" s="206" t="str">
        <f>IF(AND($A112&gt;=SYear_O, $A112&lt;=EYear_O, AY$3&gt;0), AY$3 * VLOOKUP($A112, Data_All!$A$8:$CA$153, MATCH(AY$2, Data_All!$B$2:$CA$2, 0)+1), "")</f>
        <v/>
      </c>
      <c r="AZ112" s="206" t="str">
        <f>IF(AND($A112&gt;=SYear_O, $A112&lt;=EYear_O, AZ$3&gt;0), AZ$3 * VLOOKUP($A112, Data_All!$A$8:$CA$153, MATCH(AZ$2, Data_All!$B$2:$CA$2, 0)+1), "")</f>
        <v/>
      </c>
      <c r="BA112" s="206" t="str">
        <f>IF(AND($A112&gt;=SYear_O, $A112&lt;=EYear_O, BA$3&gt;0), BA$3 * VLOOKUP($A112, Data_All!$A$8:$CA$153, MATCH(BA$2, Data_All!$B$2:$CA$2, 0)+1), "")</f>
        <v/>
      </c>
      <c r="BB112" s="206" t="str">
        <f>IF(AND($A112&gt;=SYear_O, $A112&lt;=EYear_O, BB$3&gt;0), BB$3 * VLOOKUP($A112, Data_All!$A$8:$CA$153, MATCH(BB$2, Data_All!$B$2:$CA$2, 0)+1), "")</f>
        <v/>
      </c>
      <c r="BC112" s="206" t="str">
        <f>IF(AND($A112&gt;=SYear_O, $A112&lt;=EYear_O, BC$3&gt;0), BC$3 * VLOOKUP($A112, Data_All!$A$8:$CA$153, MATCH(BC$2, Data_All!$B$2:$CA$2, 0)+1), "")</f>
        <v/>
      </c>
      <c r="BD112" s="206" t="str">
        <f>IF(AND($A112&gt;=SYear_O, $A112&lt;=EYear_O, BD$3&gt;0), BD$3 * VLOOKUP($A112, Data_All!$A$8:$CA$153, MATCH(BD$2, Data_All!$B$2:$CA$2, 0)+1), "")</f>
        <v/>
      </c>
      <c r="BE112" s="206" t="str">
        <f>IF(AND($A112&gt;=SYear_O, $A112&lt;=EYear_O, BE$3&gt;0), BE$3 * VLOOKUP($A112, Data_All!$A$8:$CA$153, MATCH(BE$2, Data_All!$B$2:$CA$2, 0)+1), "")</f>
        <v/>
      </c>
      <c r="BF112" s="206" t="str">
        <f>IF(AND($A112&gt;=SYear_O, $A112&lt;=EYear_O, BF$3&gt;0), BF$3 * VLOOKUP($A112, Data_All!$A$8:$CA$153, MATCH(BF$2, Data_All!$B$2:$CA$2, 0)+1), "")</f>
        <v/>
      </c>
      <c r="BG112" s="206" t="str">
        <f>IF(AND($A112&gt;=SYear_O, $A112&lt;=EYear_O, BG$3&gt;0), BG$3 * VLOOKUP($A112, Data_All!$A$8:$CA$153, MATCH(BG$2, Data_All!$B$2:$CA$2, 0)+1), "")</f>
        <v/>
      </c>
      <c r="BH112" s="206" t="str">
        <f>IF(AND($A112&gt;=SYear_O, $A112&lt;=EYear_O, BH$3&gt;0), BH$3 * VLOOKUP($A112, Data_All!$A$8:$CA$153, MATCH(BH$2, Data_All!$B$2:$CA$2, 0)+1), "")</f>
        <v/>
      </c>
      <c r="BI112" s="206" t="str">
        <f>IF(AND($A112&gt;=SYear_O, $A112&lt;=EYear_O, BI$3&gt;0), BI$3 * VLOOKUP($A112, Data_All!$A$8:$CA$153, MATCH(BI$2, Data_All!$B$2:$CA$2, 0)+1), "")</f>
        <v/>
      </c>
      <c r="BJ112" s="206" t="str">
        <f>IF(AND($A112&gt;=SYear_O, $A112&lt;=EYear_O, BJ$3&gt;0), BJ$3 * VLOOKUP($A112, Data_All!$A$8:$CA$153, MATCH(BJ$2, Data_All!$B$2:$CA$2, 0)+1), "")</f>
        <v/>
      </c>
      <c r="BK112" s="206" t="str">
        <f>IF(AND($A112&gt;=SYear_O, $A112&lt;=EYear_O, BK$3&gt;0), BK$3 * VLOOKUP($A112, Data_All!$A$8:$CA$153, MATCH(BK$2, Data_All!$B$2:$CA$2, 0)+1), "")</f>
        <v/>
      </c>
      <c r="BL112" s="206" t="str">
        <f>IF(AND($A112&gt;=SYear_O, $A112&lt;=EYear_O, BL$3&gt;0), BL$3 * VLOOKUP($A112, Data_All!$A$8:$CA$153, MATCH(BL$2, Data_All!$B$2:$CA$2, 0)+1), "")</f>
        <v/>
      </c>
      <c r="BM112" s="206" t="str">
        <f>IF(AND($A112&gt;=SYear_O, $A112&lt;=EYear_O, BM$3&gt;0), BM$3 * VLOOKUP($A112, Data_All!$A$8:$CA$153, MATCH(BM$2, Data_All!$B$2:$CA$2, 0)+1), "")</f>
        <v/>
      </c>
      <c r="BN112" s="206" t="str">
        <f>IF(AND($A112&gt;=SYear_O, $A112&lt;=EYear_O, BN$3&gt;0), BN$3 * VLOOKUP($A112, Data_All!$A$8:$CA$153, MATCH(BN$2, Data_All!$B$2:$CA$2, 0)+1), "")</f>
        <v/>
      </c>
      <c r="BO112" s="206" t="str">
        <f>IF(AND($A112&gt;=SYear_O, $A112&lt;=EYear_O, BO$3&gt;0), BO$3 * VLOOKUP($A112, Data_All!$A$8:$CA$153, MATCH(BO$2, Data_All!$B$2:$CA$2, 0)+1), "")</f>
        <v/>
      </c>
      <c r="BP112" s="206" t="str">
        <f>IF(AND($A112&gt;=SYear_O, $A112&lt;=EYear_O, BP$3&gt;0), BP$3 * VLOOKUP($A112, Data_All!$A$8:$CA$153, MATCH(BP$2, Data_All!$B$2:$CA$2, 0)+1), "")</f>
        <v/>
      </c>
      <c r="BQ112" s="206" t="str">
        <f>IF(AND($A112&gt;=SYear_O, $A112&lt;=EYear_O, BQ$3&gt;0), BQ$3 * VLOOKUP($A112, Data_All!$A$8:$CA$153, MATCH(BQ$2, Data_All!$B$2:$CA$2, 0)+1), "")</f>
        <v/>
      </c>
      <c r="BR112" s="206" t="str">
        <f>IF(AND($A112&gt;=SYear_O, $A112&lt;=EYear_O, BR$3&gt;0), BR$3 * VLOOKUP($A112, Data_All!$A$8:$CA$153, MATCH(BR$2, Data_All!$B$2:$CA$2, 0)+1), "")</f>
        <v/>
      </c>
      <c r="BS112" s="206" t="str">
        <f>IF(AND($A112&gt;=SYear_O, $A112&lt;=EYear_O, BS$3&gt;0), BS$3 * VLOOKUP($A112, Data_All!$A$8:$CA$153, MATCH(BS$2, Data_All!$B$2:$CA$2, 0)+1), "")</f>
        <v/>
      </c>
      <c r="BT112" s="206" t="str">
        <f>IF(AND($A112&gt;=SYear_O, $A112&lt;=EYear_O, BT$3&gt;0), BT$3 * VLOOKUP($A112, Data_All!$A$8:$CA$153, MATCH(BT$2, Data_All!$B$2:$CA$2, 0)+1), "")</f>
        <v/>
      </c>
      <c r="BU112" s="206" t="str">
        <f>IF(AND($A112&gt;=SYear_O, $A112&lt;=EYear_O, BU$3&gt;0), BU$3 * VLOOKUP($A112, Data_All!$A$8:$CA$153, MATCH(BU$2, Data_All!$B$2:$CA$2, 0)+1), "")</f>
        <v/>
      </c>
      <c r="BV112" s="206" t="str">
        <f>IF(AND($A112&gt;=SYear_O, $A112&lt;=EYear_O, BV$3&gt;0), BV$3 * VLOOKUP($A112, Data_All!$A$8:$CA$153, MATCH(BV$2, Data_All!$B$2:$CA$2, 0)+1), "")</f>
        <v/>
      </c>
      <c r="BW112" s="206" t="str">
        <f>IF(AND($A112&gt;=SYear_O, $A112&lt;=EYear_O, BW$3&gt;0), BW$3 * VLOOKUP($A112, Data_All!$A$8:$CA$153, MATCH(BW$2, Data_All!$B$2:$CA$2, 0)+1), "")</f>
        <v/>
      </c>
      <c r="BX112" s="206">
        <f>IF(AND($A112&gt;=SYear_O, $A112&lt;=EYear_O, BX$3&gt;0), BX$3 * VLOOKUP($A112, Data_All!$A$8:$CA$153, MATCH(BX$2, Data_All!$B$2:$CA$2, 0)+1), "")</f>
        <v>6.8139582903159148</v>
      </c>
      <c r="BY112" s="206">
        <f>IF(AND($A112&gt;=SYear_O, $A112&lt;=EYear_O, BY$3&gt;0), BY$3 * VLOOKUP($A112, Data_All!$A$8:$CA$153, MATCH(BY$2, Data_All!$B$2:$CA$2, 0)+1), "")</f>
        <v>4.3970709744627179</v>
      </c>
      <c r="BZ112" s="206" t="str">
        <f>IF(AND($A112&gt;=SYear_O, $A112&lt;=EYear_O, BZ$3&gt;0), BZ$3 * VLOOKUP($A112, Data_All!$A$8:$CA$153, MATCH(BZ$2, Data_All!$B$2:$CA$2, 0)+1), "")</f>
        <v/>
      </c>
      <c r="CA112" s="565">
        <f t="shared" si="52"/>
        <v>11.211029264778633</v>
      </c>
      <c r="CB112" s="427">
        <f t="shared" si="53"/>
        <v>10298962.741168382</v>
      </c>
      <c r="CC112" s="565">
        <f>IF(AND($A112&gt;=SYear_O,$A112&lt;=EYear_O),(CA112-Data_All!CA113)/(1+Data_All!CA113%),"")</f>
        <v>6.0517547112579795</v>
      </c>
      <c r="CD112" s="436">
        <f t="shared" si="54"/>
        <v>2205616.8357843631</v>
      </c>
      <c r="CE112" s="438">
        <f t="shared" si="55"/>
        <v>934.10808071029203</v>
      </c>
      <c r="CF112" s="438">
        <f>IF(AND($A112&gt;=SYear_O,$A112&lt;=EYear_O),MAX($CE$7:CE112),"")</f>
        <v>934.10808071029203</v>
      </c>
      <c r="CG112" s="209">
        <f t="shared" si="56"/>
        <v>0</v>
      </c>
      <c r="CI112" s="143">
        <f>IF(AND($A112&gt;=SYear_O,$A112&lt;=EYear_O),Data_All!V113,"")</f>
        <v>5.0054950544509946</v>
      </c>
      <c r="CJ112" s="143">
        <f>IF(AND($A112&gt;=SYear_O,$A112&lt;=EYear_O),Data_All!CA113,"")</f>
        <v>4.8648648648648596</v>
      </c>
      <c r="CK112" s="143">
        <f t="shared" si="57"/>
        <v>0.13410610862595354</v>
      </c>
      <c r="CN112" s="61">
        <f t="shared" si="58"/>
        <v>0.11211029264778638</v>
      </c>
      <c r="CO112" s="61">
        <f t="shared" si="59"/>
        <v>5.7170626151316517E-2</v>
      </c>
      <c r="CP112" s="61">
        <f t="shared" si="60"/>
        <v>8.9291407817519763E-2</v>
      </c>
      <c r="CQ112" s="61">
        <f t="shared" si="61"/>
        <v>0.11847095516093509</v>
      </c>
      <c r="CR112" s="61">
        <f t="shared" si="62"/>
        <v>0.11793429861895754</v>
      </c>
      <c r="CU112" s="61">
        <f t="shared" si="63"/>
        <v>6.0517547112579839E-2</v>
      </c>
      <c r="CV112" s="61">
        <f t="shared" si="64"/>
        <v>-1.0581881356858336E-2</v>
      </c>
      <c r="CW112" s="61">
        <f t="shared" si="65"/>
        <v>-2.7581046152288513E-3</v>
      </c>
      <c r="CX112" s="61">
        <f t="shared" si="66"/>
        <v>4.5182170956334256E-2</v>
      </c>
      <c r="CY112" s="61">
        <f t="shared" si="67"/>
        <v>5.4238175609402139E-2</v>
      </c>
    </row>
    <row r="113" spans="1:103">
      <c r="A113" s="204">
        <f t="shared" si="51"/>
        <v>1977</v>
      </c>
      <c r="B113" s="206" t="str">
        <f>IF(AND($A113&gt;=SYear_O, $A113&lt;=EYear_O, B$3&gt;0), B$3 * VLOOKUP($A113, Data_All!$A$8:$CA$153, MATCH(B$2, Data_All!$B$2:$CA$2, 0)+1), "")</f>
        <v/>
      </c>
      <c r="C113" s="206" t="str">
        <f>IF(AND($A113&gt;=SYear_O, $A113&lt;=EYear_O, C$3&gt;0), C$3 * VLOOKUP($A113, Data_All!$A$8:$CA$153, MATCH(C$2, Data_All!$B$2:$CA$2, 0)+1), "")</f>
        <v/>
      </c>
      <c r="D113" s="206" t="str">
        <f>IF(AND($A113&gt;=SYear_O, $A113&lt;=EYear_O, D$3&gt;0), D$3 * VLOOKUP($A113, Data_All!$A$8:$CA$153, MATCH(D$2, Data_All!$B$2:$CA$2, 0)+1), "")</f>
        <v/>
      </c>
      <c r="E113" s="206" t="str">
        <f>IF(AND($A113&gt;=SYear_O, $A113&lt;=EYear_O, E$3&gt;0), E$3 * VLOOKUP($A113, Data_All!$A$8:$CA$153, MATCH(E$2, Data_All!$B$2:$CA$2, 0)+1), "")</f>
        <v/>
      </c>
      <c r="F113" s="206" t="str">
        <f>IF(AND($A113&gt;=SYear_O, $A113&lt;=EYear_O, F$3&gt;0), F$3 * VLOOKUP($A113, Data_All!$A$8:$CA$153, MATCH(F$2, Data_All!$B$2:$CA$2, 0)+1), "")</f>
        <v/>
      </c>
      <c r="G113" s="206" t="str">
        <f>IF(AND($A113&gt;=SYear_O, $A113&lt;=EYear_O, G$3&gt;0), G$3 * VLOOKUP($A113, Data_All!$A$8:$CA$153, MATCH(G$2, Data_All!$B$2:$CA$2, 0)+1), "")</f>
        <v/>
      </c>
      <c r="H113" s="206" t="str">
        <f>IF(AND($A113&gt;=SYear_O, $A113&lt;=EYear_O, H$3&gt;0), H$3 * VLOOKUP($A113, Data_All!$A$8:$CA$153, MATCH(H$2, Data_All!$B$2:$CA$2, 0)+1), "")</f>
        <v/>
      </c>
      <c r="I113" s="206" t="str">
        <f>IF(AND($A113&gt;=SYear_O, $A113&lt;=EYear_O, I$3&gt;0), I$3 * VLOOKUP($A113, Data_All!$A$8:$CA$153, MATCH(I$2, Data_All!$B$2:$CA$2, 0)+1), "")</f>
        <v/>
      </c>
      <c r="J113" s="206" t="str">
        <f>IF(AND($A113&gt;=SYear_O, $A113&lt;=EYear_O, J$3&gt;0), J$3 * VLOOKUP($A113, Data_All!$A$8:$CA$153, MATCH(J$2, Data_All!$B$2:$CA$2, 0)+1), "")</f>
        <v/>
      </c>
      <c r="K113" s="206" t="str">
        <f>IF(AND($A113&gt;=SYear_O, $A113&lt;=EYear_O, K$3&gt;0), K$3 * VLOOKUP($A113, Data_All!$A$8:$CA$153, MATCH(K$2, Data_All!$B$2:$CA$2, 0)+1), "")</f>
        <v/>
      </c>
      <c r="L113" s="206" t="str">
        <f>IF(AND($A113&gt;=SYear_O, $A113&lt;=EYear_O, L$3&gt;0), L$3 * VLOOKUP($A113, Data_All!$A$8:$CA$153, MATCH(L$2, Data_All!$B$2:$CA$2, 0)+1), "")</f>
        <v/>
      </c>
      <c r="M113" s="206" t="str">
        <f>IF(AND($A113&gt;=SYear_O, $A113&lt;=EYear_O, M$3&gt;0), M$3 * VLOOKUP($A113, Data_All!$A$8:$CA$153, MATCH(M$2, Data_All!$B$2:$CA$2, 0)+1), "")</f>
        <v/>
      </c>
      <c r="N113" s="206" t="str">
        <f>IF(AND($A113&gt;=SYear_O, $A113&lt;=EYear_O, N$3&gt;0), N$3 * VLOOKUP($A113, Data_All!$A$8:$CA$153, MATCH(N$2, Data_All!$B$2:$CA$2, 0)+1), "")</f>
        <v/>
      </c>
      <c r="O113" s="206" t="str">
        <f>IF(AND($A113&gt;=SYear_O, $A113&lt;=EYear_O, O$3&gt;0), O$3 * VLOOKUP($A113, Data_All!$A$8:$CA$153, MATCH(O$2, Data_All!$B$2:$CA$2, 0)+1), "")</f>
        <v/>
      </c>
      <c r="P113" s="206" t="str">
        <f>IF(AND($A113&gt;=SYear_O, $A113&lt;=EYear_O, P$3&gt;0), P$3 * VLOOKUP($A113, Data_All!$A$8:$CA$153, MATCH(P$2, Data_All!$B$2:$CA$2, 0)+1), "")</f>
        <v/>
      </c>
      <c r="Q113" s="206" t="str">
        <f>IF(AND($A113&gt;=SYear_O, $A113&lt;=EYear_O, Q$3&gt;0), Q$3 * VLOOKUP($A113, Data_All!$A$8:$CA$153, MATCH(Q$2, Data_All!$B$2:$CA$2, 0)+1), "")</f>
        <v/>
      </c>
      <c r="R113" s="206" t="str">
        <f>IF(AND($A113&gt;=SYear_O, $A113&lt;=EYear_O, R$3&gt;0), R$3 * VLOOKUP($A113, Data_All!$A$8:$CA$153, MATCH(R$2, Data_All!$B$2:$CA$2, 0)+1), "")</f>
        <v/>
      </c>
      <c r="S113" s="206" t="str">
        <f>IF(AND($A113&gt;=SYear_O, $A113&lt;=EYear_O, S$3&gt;0), S$3 * VLOOKUP($A113, Data_All!$A$8:$CA$153, MATCH(S$2, Data_All!$B$2:$CA$2, 0)+1), "")</f>
        <v/>
      </c>
      <c r="T113" s="206" t="str">
        <f>IF(AND($A113&gt;=SYear_O, $A113&lt;=EYear_O, T$3&gt;0), T$3 * VLOOKUP($A113, Data_All!$A$8:$CA$153, MATCH(T$2, Data_All!$B$2:$CA$2, 0)+1), "")</f>
        <v/>
      </c>
      <c r="U113" s="206" t="str">
        <f>IF(AND($A113&gt;=SYear_O, $A113&lt;=EYear_O, U$3&gt;0), U$3 * VLOOKUP($A113, Data_All!$A$8:$CA$153, MATCH(U$2, Data_All!$B$2:$CA$2, 0)+1), "")</f>
        <v/>
      </c>
      <c r="V113" s="206" t="str">
        <f>IF(AND($A113&gt;=SYear_O, $A113&lt;=EYear_O, V$3&gt;0), V$3 * VLOOKUP($A113, Data_All!$A$8:$CA$153, MATCH(V$2, Data_All!$B$2:$CA$2, 0)+1), "")</f>
        <v/>
      </c>
      <c r="W113" s="206" t="str">
        <f>IF(AND($A113&gt;=SYear_O, $A113&lt;=EYear_O, W$3&gt;0), W$3 * VLOOKUP($A113, Data_All!$A$8:$CA$153, MATCH(W$2, Data_All!$B$2:$CA$2, 0)+1), "")</f>
        <v/>
      </c>
      <c r="X113" s="206" t="str">
        <f>IF(AND($A113&gt;=SYear_O, $A113&lt;=EYear_O, X$3&gt;0), X$3 * VLOOKUP($A113, Data_All!$A$8:$CA$153, MATCH(X$2, Data_All!$B$2:$CA$2, 0)+1), "")</f>
        <v/>
      </c>
      <c r="Y113" s="206" t="str">
        <f>IF(AND($A113&gt;=SYear_O, $A113&lt;=EYear_O, Y$3&gt;0), Y$3 * VLOOKUP($A113, Data_All!$A$8:$CA$153, MATCH(Y$2, Data_All!$B$2:$CA$2, 0)+1), "")</f>
        <v/>
      </c>
      <c r="Z113" s="206" t="str">
        <f>IF(AND($A113&gt;=SYear_O, $A113&lt;=EYear_O, Z$3&gt;0), Z$3 * VLOOKUP($A113, Data_All!$A$8:$CA$153, MATCH(Z$2, Data_All!$B$2:$CA$2, 0)+1), "")</f>
        <v/>
      </c>
      <c r="AA113" s="206" t="str">
        <f>IF(AND($A113&gt;=SYear_O, $A113&lt;=EYear_O, AA$3&gt;0), AA$3 * VLOOKUP($A113, Data_All!$A$8:$CA$153, MATCH(AA$2, Data_All!$B$2:$CA$2, 0)+1), "")</f>
        <v/>
      </c>
      <c r="AB113" s="206" t="str">
        <f>IF(AND($A113&gt;=SYear_O, $A113&lt;=EYear_O, AB$3&gt;0), AB$3 * VLOOKUP($A113, Data_All!$A$8:$CA$153, MATCH(AB$2, Data_All!$B$2:$CA$2, 0)+1), "")</f>
        <v/>
      </c>
      <c r="AC113" s="206" t="str">
        <f>IF(AND($A113&gt;=SYear_O, $A113&lt;=EYear_O, AC$3&gt;0), AC$3 * VLOOKUP($A113, Data_All!$A$8:$CA$153, MATCH(AC$2, Data_All!$B$2:$CA$2, 0)+1), "")</f>
        <v/>
      </c>
      <c r="AD113" s="206" t="str">
        <f>IF(AND($A113&gt;=SYear_O, $A113&lt;=EYear_O, AD$3&gt;0), AD$3 * VLOOKUP($A113, Data_All!$A$8:$CA$153, MATCH(AD$2, Data_All!$B$2:$CA$2, 0)+1), "")</f>
        <v/>
      </c>
      <c r="AE113" s="206" t="str">
        <f>IF(AND($A113&gt;=SYear_O, $A113&lt;=EYear_O, AE$3&gt;0), AE$3 * VLOOKUP($A113, Data_All!$A$8:$CA$153, MATCH(AE$2, Data_All!$B$2:$CA$2, 0)+1), "")</f>
        <v/>
      </c>
      <c r="AF113" s="206" t="str">
        <f>IF(AND($A113&gt;=SYear_O, $A113&lt;=EYear_O, AF$3&gt;0), AF$3 * VLOOKUP($A113, Data_All!$A$8:$CA$153, MATCH(AF$2, Data_All!$B$2:$CA$2, 0)+1), "")</f>
        <v/>
      </c>
      <c r="AG113" s="206" t="str">
        <f>IF(AND($A113&gt;=SYear_O, $A113&lt;=EYear_O, AG$3&gt;0), AG$3 * VLOOKUP($A113, Data_All!$A$8:$CA$153, MATCH(AG$2, Data_All!$B$2:$CA$2, 0)+1), "")</f>
        <v/>
      </c>
      <c r="AH113" s="206" t="str">
        <f>IF(AND($A113&gt;=SYear_O, $A113&lt;=EYear_O, AH$3&gt;0), AH$3 * VLOOKUP($A113, Data_All!$A$8:$CA$153, MATCH(AH$2, Data_All!$B$2:$CA$2, 0)+1), "")</f>
        <v/>
      </c>
      <c r="AI113" s="206" t="str">
        <f>IF(AND($A113&gt;=SYear_O, $A113&lt;=EYear_O, AI$3&gt;0), AI$3 * VLOOKUP($A113, Data_All!$A$8:$CA$153, MATCH(AI$2, Data_All!$B$2:$CA$2, 0)+1), "")</f>
        <v/>
      </c>
      <c r="AJ113" s="206" t="str">
        <f>IF(AND($A113&gt;=SYear_O, $A113&lt;=EYear_O, AJ$3&gt;0), AJ$3 * VLOOKUP($A113, Data_All!$A$8:$CA$153, MATCH(AJ$2, Data_All!$B$2:$CA$2, 0)+1), "")</f>
        <v/>
      </c>
      <c r="AK113" s="206" t="str">
        <f>IF(AND($A113&gt;=SYear_O, $A113&lt;=EYear_O, AK$3&gt;0), AK$3 * VLOOKUP($A113, Data_All!$A$8:$CA$153, MATCH(AK$2, Data_All!$B$2:$CA$2, 0)+1), "")</f>
        <v/>
      </c>
      <c r="AL113" s="206" t="str">
        <f>IF(AND($A113&gt;=SYear_O, $A113&lt;=EYear_O, AL$3&gt;0), AL$3 * VLOOKUP($A113, Data_All!$A$8:$CA$153, MATCH(AL$2, Data_All!$B$2:$CA$2, 0)+1), "")</f>
        <v/>
      </c>
      <c r="AM113" s="206" t="str">
        <f>IF(AND($A113&gt;=SYear_O, $A113&lt;=EYear_O, AM$3&gt;0), AM$3 * VLOOKUP($A113, Data_All!$A$8:$CA$153, MATCH(AM$2, Data_All!$B$2:$CA$2, 0)+1), "")</f>
        <v/>
      </c>
      <c r="AN113" s="206" t="str">
        <f>IF(AND($A113&gt;=SYear_O, $A113&lt;=EYear_O, AN$3&gt;0), AN$3 * VLOOKUP($A113, Data_All!$A$8:$CA$153, MATCH(AN$2, Data_All!$B$2:$CA$2, 0)+1), "")</f>
        <v/>
      </c>
      <c r="AO113" s="206" t="str">
        <f>IF(AND($A113&gt;=SYear_O, $A113&lt;=EYear_O, AO$3&gt;0), AO$3 * VLOOKUP($A113, Data_All!$A$8:$CA$153, MATCH(AO$2, Data_All!$B$2:$CA$2, 0)+1), "")</f>
        <v/>
      </c>
      <c r="AP113" s="206" t="str">
        <f>IF(AND($A113&gt;=SYear_O, $A113&lt;=EYear_O, AP$3&gt;0), AP$3 * VLOOKUP($A113, Data_All!$A$8:$CA$153, MATCH(AP$2, Data_All!$B$2:$CA$2, 0)+1), "")</f>
        <v/>
      </c>
      <c r="AQ113" s="206" t="str">
        <f>IF(AND($A113&gt;=SYear_O, $A113&lt;=EYear_O, AQ$3&gt;0), AQ$3 * VLOOKUP($A113, Data_All!$A$8:$CA$153, MATCH(AQ$2, Data_All!$B$2:$CA$2, 0)+1), "")</f>
        <v/>
      </c>
      <c r="AR113" s="206" t="str">
        <f>IF(AND($A113&gt;=SYear_O, $A113&lt;=EYear_O, AR$3&gt;0), AR$3 * VLOOKUP($A113, Data_All!$A$8:$CA$153, MATCH(AR$2, Data_All!$B$2:$CA$2, 0)+1), "")</f>
        <v/>
      </c>
      <c r="AS113" s="206" t="str">
        <f>IF(AND($A113&gt;=SYear_O, $A113&lt;=EYear_O, AS$3&gt;0), AS$3 * VLOOKUP($A113, Data_All!$A$8:$CA$153, MATCH(AS$2, Data_All!$B$2:$CA$2, 0)+1), "")</f>
        <v/>
      </c>
      <c r="AT113" s="206" t="str">
        <f>IF(AND($A113&gt;=SYear_O, $A113&lt;=EYear_O, AT$3&gt;0), AT$3 * VLOOKUP($A113, Data_All!$A$8:$CA$153, MATCH(AT$2, Data_All!$B$2:$CA$2, 0)+1), "")</f>
        <v/>
      </c>
      <c r="AU113" s="206" t="str">
        <f>IF(AND($A113&gt;=SYear_O, $A113&lt;=EYear_O, AU$3&gt;0), AU$3 * VLOOKUP($A113, Data_All!$A$8:$CA$153, MATCH(AU$2, Data_All!$B$2:$CA$2, 0)+1), "")</f>
        <v/>
      </c>
      <c r="AV113" s="206" t="str">
        <f>IF(AND($A113&gt;=SYear_O, $A113&lt;=EYear_O, AV$3&gt;0), AV$3 * VLOOKUP($A113, Data_All!$A$8:$CA$153, MATCH(AV$2, Data_All!$B$2:$CA$2, 0)+1), "")</f>
        <v/>
      </c>
      <c r="AW113" s="206" t="str">
        <f>IF(AND($A113&gt;=SYear_O, $A113&lt;=EYear_O, AW$3&gt;0), AW$3 * VLOOKUP($A113, Data_All!$A$8:$CA$153, MATCH(AW$2, Data_All!$B$2:$CA$2, 0)+1), "")</f>
        <v/>
      </c>
      <c r="AX113" s="206" t="str">
        <f>IF(AND($A113&gt;=SYear_O, $A113&lt;=EYear_O, AX$3&gt;0), AX$3 * VLOOKUP($A113, Data_All!$A$8:$CA$153, MATCH(AX$2, Data_All!$B$2:$CA$2, 0)+1), "")</f>
        <v/>
      </c>
      <c r="AY113" s="206" t="str">
        <f>IF(AND($A113&gt;=SYear_O, $A113&lt;=EYear_O, AY$3&gt;0), AY$3 * VLOOKUP($A113, Data_All!$A$8:$CA$153, MATCH(AY$2, Data_All!$B$2:$CA$2, 0)+1), "")</f>
        <v/>
      </c>
      <c r="AZ113" s="206" t="str">
        <f>IF(AND($A113&gt;=SYear_O, $A113&lt;=EYear_O, AZ$3&gt;0), AZ$3 * VLOOKUP($A113, Data_All!$A$8:$CA$153, MATCH(AZ$2, Data_All!$B$2:$CA$2, 0)+1), "")</f>
        <v/>
      </c>
      <c r="BA113" s="206" t="str">
        <f>IF(AND($A113&gt;=SYear_O, $A113&lt;=EYear_O, BA$3&gt;0), BA$3 * VLOOKUP($A113, Data_All!$A$8:$CA$153, MATCH(BA$2, Data_All!$B$2:$CA$2, 0)+1), "")</f>
        <v/>
      </c>
      <c r="BB113" s="206" t="str">
        <f>IF(AND($A113&gt;=SYear_O, $A113&lt;=EYear_O, BB$3&gt;0), BB$3 * VLOOKUP($A113, Data_All!$A$8:$CA$153, MATCH(BB$2, Data_All!$B$2:$CA$2, 0)+1), "")</f>
        <v/>
      </c>
      <c r="BC113" s="206" t="str">
        <f>IF(AND($A113&gt;=SYear_O, $A113&lt;=EYear_O, BC$3&gt;0), BC$3 * VLOOKUP($A113, Data_All!$A$8:$CA$153, MATCH(BC$2, Data_All!$B$2:$CA$2, 0)+1), "")</f>
        <v/>
      </c>
      <c r="BD113" s="206" t="str">
        <f>IF(AND($A113&gt;=SYear_O, $A113&lt;=EYear_O, BD$3&gt;0), BD$3 * VLOOKUP($A113, Data_All!$A$8:$CA$153, MATCH(BD$2, Data_All!$B$2:$CA$2, 0)+1), "")</f>
        <v/>
      </c>
      <c r="BE113" s="206" t="str">
        <f>IF(AND($A113&gt;=SYear_O, $A113&lt;=EYear_O, BE$3&gt;0), BE$3 * VLOOKUP($A113, Data_All!$A$8:$CA$153, MATCH(BE$2, Data_All!$B$2:$CA$2, 0)+1), "")</f>
        <v/>
      </c>
      <c r="BF113" s="206" t="str">
        <f>IF(AND($A113&gt;=SYear_O, $A113&lt;=EYear_O, BF$3&gt;0), BF$3 * VLOOKUP($A113, Data_All!$A$8:$CA$153, MATCH(BF$2, Data_All!$B$2:$CA$2, 0)+1), "")</f>
        <v/>
      </c>
      <c r="BG113" s="206" t="str">
        <f>IF(AND($A113&gt;=SYear_O, $A113&lt;=EYear_O, BG$3&gt;0), BG$3 * VLOOKUP($A113, Data_All!$A$8:$CA$153, MATCH(BG$2, Data_All!$B$2:$CA$2, 0)+1), "")</f>
        <v/>
      </c>
      <c r="BH113" s="206" t="str">
        <f>IF(AND($A113&gt;=SYear_O, $A113&lt;=EYear_O, BH$3&gt;0), BH$3 * VLOOKUP($A113, Data_All!$A$8:$CA$153, MATCH(BH$2, Data_All!$B$2:$CA$2, 0)+1), "")</f>
        <v/>
      </c>
      <c r="BI113" s="206" t="str">
        <f>IF(AND($A113&gt;=SYear_O, $A113&lt;=EYear_O, BI$3&gt;0), BI$3 * VLOOKUP($A113, Data_All!$A$8:$CA$153, MATCH(BI$2, Data_All!$B$2:$CA$2, 0)+1), "")</f>
        <v/>
      </c>
      <c r="BJ113" s="206" t="str">
        <f>IF(AND($A113&gt;=SYear_O, $A113&lt;=EYear_O, BJ$3&gt;0), BJ$3 * VLOOKUP($A113, Data_All!$A$8:$CA$153, MATCH(BJ$2, Data_All!$B$2:$CA$2, 0)+1), "")</f>
        <v/>
      </c>
      <c r="BK113" s="206" t="str">
        <f>IF(AND($A113&gt;=SYear_O, $A113&lt;=EYear_O, BK$3&gt;0), BK$3 * VLOOKUP($A113, Data_All!$A$8:$CA$153, MATCH(BK$2, Data_All!$B$2:$CA$2, 0)+1), "")</f>
        <v/>
      </c>
      <c r="BL113" s="206" t="str">
        <f>IF(AND($A113&gt;=SYear_O, $A113&lt;=EYear_O, BL$3&gt;0), BL$3 * VLOOKUP($A113, Data_All!$A$8:$CA$153, MATCH(BL$2, Data_All!$B$2:$CA$2, 0)+1), "")</f>
        <v/>
      </c>
      <c r="BM113" s="206" t="str">
        <f>IF(AND($A113&gt;=SYear_O, $A113&lt;=EYear_O, BM$3&gt;0), BM$3 * VLOOKUP($A113, Data_All!$A$8:$CA$153, MATCH(BM$2, Data_All!$B$2:$CA$2, 0)+1), "")</f>
        <v/>
      </c>
      <c r="BN113" s="206" t="str">
        <f>IF(AND($A113&gt;=SYear_O, $A113&lt;=EYear_O, BN$3&gt;0), BN$3 * VLOOKUP($A113, Data_All!$A$8:$CA$153, MATCH(BN$2, Data_All!$B$2:$CA$2, 0)+1), "")</f>
        <v/>
      </c>
      <c r="BO113" s="206" t="str">
        <f>IF(AND($A113&gt;=SYear_O, $A113&lt;=EYear_O, BO$3&gt;0), BO$3 * VLOOKUP($A113, Data_All!$A$8:$CA$153, MATCH(BO$2, Data_All!$B$2:$CA$2, 0)+1), "")</f>
        <v/>
      </c>
      <c r="BP113" s="206" t="str">
        <f>IF(AND($A113&gt;=SYear_O, $A113&lt;=EYear_O, BP$3&gt;0), BP$3 * VLOOKUP($A113, Data_All!$A$8:$CA$153, MATCH(BP$2, Data_All!$B$2:$CA$2, 0)+1), "")</f>
        <v/>
      </c>
      <c r="BQ113" s="206" t="str">
        <f>IF(AND($A113&gt;=SYear_O, $A113&lt;=EYear_O, BQ$3&gt;0), BQ$3 * VLOOKUP($A113, Data_All!$A$8:$CA$153, MATCH(BQ$2, Data_All!$B$2:$CA$2, 0)+1), "")</f>
        <v/>
      </c>
      <c r="BR113" s="206" t="str">
        <f>IF(AND($A113&gt;=SYear_O, $A113&lt;=EYear_O, BR$3&gt;0), BR$3 * VLOOKUP($A113, Data_All!$A$8:$CA$153, MATCH(BR$2, Data_All!$B$2:$CA$2, 0)+1), "")</f>
        <v/>
      </c>
      <c r="BS113" s="206" t="str">
        <f>IF(AND($A113&gt;=SYear_O, $A113&lt;=EYear_O, BS$3&gt;0), BS$3 * VLOOKUP($A113, Data_All!$A$8:$CA$153, MATCH(BS$2, Data_All!$B$2:$CA$2, 0)+1), "")</f>
        <v/>
      </c>
      <c r="BT113" s="206" t="str">
        <f>IF(AND($A113&gt;=SYear_O, $A113&lt;=EYear_O, BT$3&gt;0), BT$3 * VLOOKUP($A113, Data_All!$A$8:$CA$153, MATCH(BT$2, Data_All!$B$2:$CA$2, 0)+1), "")</f>
        <v/>
      </c>
      <c r="BU113" s="206" t="str">
        <f>IF(AND($A113&gt;=SYear_O, $A113&lt;=EYear_O, BU$3&gt;0), BU$3 * VLOOKUP($A113, Data_All!$A$8:$CA$153, MATCH(BU$2, Data_All!$B$2:$CA$2, 0)+1), "")</f>
        <v/>
      </c>
      <c r="BV113" s="206" t="str">
        <f>IF(AND($A113&gt;=SYear_O, $A113&lt;=EYear_O, BV$3&gt;0), BV$3 * VLOOKUP($A113, Data_All!$A$8:$CA$153, MATCH(BV$2, Data_All!$B$2:$CA$2, 0)+1), "")</f>
        <v/>
      </c>
      <c r="BW113" s="206" t="str">
        <f>IF(AND($A113&gt;=SYear_O, $A113&lt;=EYear_O, BW$3&gt;0), BW$3 * VLOOKUP($A113, Data_All!$A$8:$CA$153, MATCH(BW$2, Data_All!$B$2:$CA$2, 0)+1), "")</f>
        <v/>
      </c>
      <c r="BX113" s="206">
        <f>IF(AND($A113&gt;=SYear_O, $A113&lt;=EYear_O, BX$3&gt;0), BX$3 * VLOOKUP($A113, Data_All!$A$8:$CA$153, MATCH(BX$2, Data_All!$B$2:$CA$2, 0)+1), "")</f>
        <v>-5.1382333108563749</v>
      </c>
      <c r="BY113" s="206">
        <f>IF(AND($A113&gt;=SYear_O, $A113&lt;=EYear_O, BY$3&gt;0), BY$3 * VLOOKUP($A113, Data_All!$A$8:$CA$153, MATCH(BY$2, Data_All!$B$2:$CA$2, 0)+1), "")</f>
        <v>1.2163392636877646</v>
      </c>
      <c r="BZ113" s="206" t="str">
        <f>IF(AND($A113&gt;=SYear_O, $A113&lt;=EYear_O, BZ$3&gt;0), BZ$3 * VLOOKUP($A113, Data_All!$A$8:$CA$153, MATCH(BZ$2, Data_All!$B$2:$CA$2, 0)+1), "")</f>
        <v/>
      </c>
      <c r="CA113" s="565">
        <f t="shared" si="52"/>
        <v>-3.9218940471686103</v>
      </c>
      <c r="CB113" s="427">
        <f t="shared" si="53"/>
        <v>9895048.3345023859</v>
      </c>
      <c r="CC113" s="565">
        <f>IF(AND($A113&gt;=SYear_O,$A113&lt;=EYear_O),(CA113-Data_All!CA114)/(1+Data_All!CA114%),"")</f>
        <v>-9.9557847591821744</v>
      </c>
      <c r="CD113" s="436">
        <f t="shared" si="54"/>
        <v>1986030.3710013875</v>
      </c>
      <c r="CE113" s="438">
        <f t="shared" si="55"/>
        <v>897.47335149879416</v>
      </c>
      <c r="CF113" s="438">
        <f>IF(AND($A113&gt;=SYear_O,$A113&lt;=EYear_O),MAX($CE$7:CE113),"")</f>
        <v>934.10808071029203</v>
      </c>
      <c r="CG113" s="209">
        <f t="shared" si="56"/>
        <v>3.9218940471686059E-2</v>
      </c>
      <c r="CI113" s="143">
        <f>IF(AND($A113&gt;=SYear_O,$A113&lt;=EYear_O),Data_All!V114,"")</f>
        <v>5.0054950544509946</v>
      </c>
      <c r="CJ113" s="143">
        <f>IF(AND($A113&gt;=SYear_O,$A113&lt;=EYear_O),Data_All!CA114,"")</f>
        <v>6.7010309278350499</v>
      </c>
      <c r="CK113" s="143">
        <f t="shared" si="57"/>
        <v>-1.5890529441377137</v>
      </c>
      <c r="CN113" s="61">
        <f t="shared" si="58"/>
        <v>-3.9218940471686059E-2</v>
      </c>
      <c r="CO113" s="61">
        <f t="shared" si="59"/>
        <v>5.7218302481432337E-2</v>
      </c>
      <c r="CP113" s="61">
        <f t="shared" si="60"/>
        <v>6.2489346436001458E-2</v>
      </c>
      <c r="CQ113" s="61">
        <f t="shared" si="61"/>
        <v>0.13245142839870661</v>
      </c>
      <c r="CR113" s="61">
        <f t="shared" si="62"/>
        <v>0.12645262209569141</v>
      </c>
      <c r="CU113" s="61">
        <f t="shared" si="63"/>
        <v>-9.9557847591821735E-2</v>
      </c>
      <c r="CV113" s="61">
        <f t="shared" si="64"/>
        <v>-3.5710998671411032E-2</v>
      </c>
      <c r="CW113" s="61">
        <f t="shared" si="65"/>
        <v>-3.4652646526381337E-2</v>
      </c>
      <c r="CX113" s="61">
        <f t="shared" si="66"/>
        <v>6.2125056994187577E-2</v>
      </c>
      <c r="CY113" s="61">
        <f t="shared" si="67"/>
        <v>6.3498409778926623E-2</v>
      </c>
    </row>
    <row r="114" spans="1:103">
      <c r="A114" s="204">
        <f t="shared" si="51"/>
        <v>1978</v>
      </c>
      <c r="B114" s="206" t="str">
        <f>IF(AND($A114&gt;=SYear_O, $A114&lt;=EYear_O, B$3&gt;0), B$3 * VLOOKUP($A114, Data_All!$A$8:$CA$153, MATCH(B$2, Data_All!$B$2:$CA$2, 0)+1), "")</f>
        <v/>
      </c>
      <c r="C114" s="206" t="str">
        <f>IF(AND($A114&gt;=SYear_O, $A114&lt;=EYear_O, C$3&gt;0), C$3 * VLOOKUP($A114, Data_All!$A$8:$CA$153, MATCH(C$2, Data_All!$B$2:$CA$2, 0)+1), "")</f>
        <v/>
      </c>
      <c r="D114" s="206" t="str">
        <f>IF(AND($A114&gt;=SYear_O, $A114&lt;=EYear_O, D$3&gt;0), D$3 * VLOOKUP($A114, Data_All!$A$8:$CA$153, MATCH(D$2, Data_All!$B$2:$CA$2, 0)+1), "")</f>
        <v/>
      </c>
      <c r="E114" s="206" t="str">
        <f>IF(AND($A114&gt;=SYear_O, $A114&lt;=EYear_O, E$3&gt;0), E$3 * VLOOKUP($A114, Data_All!$A$8:$CA$153, MATCH(E$2, Data_All!$B$2:$CA$2, 0)+1), "")</f>
        <v/>
      </c>
      <c r="F114" s="206" t="str">
        <f>IF(AND($A114&gt;=SYear_O, $A114&lt;=EYear_O, F$3&gt;0), F$3 * VLOOKUP($A114, Data_All!$A$8:$CA$153, MATCH(F$2, Data_All!$B$2:$CA$2, 0)+1), "")</f>
        <v/>
      </c>
      <c r="G114" s="206" t="str">
        <f>IF(AND($A114&gt;=SYear_O, $A114&lt;=EYear_O, G$3&gt;0), G$3 * VLOOKUP($A114, Data_All!$A$8:$CA$153, MATCH(G$2, Data_All!$B$2:$CA$2, 0)+1), "")</f>
        <v/>
      </c>
      <c r="H114" s="206" t="str">
        <f>IF(AND($A114&gt;=SYear_O, $A114&lt;=EYear_O, H$3&gt;0), H$3 * VLOOKUP($A114, Data_All!$A$8:$CA$153, MATCH(H$2, Data_All!$B$2:$CA$2, 0)+1), "")</f>
        <v/>
      </c>
      <c r="I114" s="206" t="str">
        <f>IF(AND($A114&gt;=SYear_O, $A114&lt;=EYear_O, I$3&gt;0), I$3 * VLOOKUP($A114, Data_All!$A$8:$CA$153, MATCH(I$2, Data_All!$B$2:$CA$2, 0)+1), "")</f>
        <v/>
      </c>
      <c r="J114" s="206" t="str">
        <f>IF(AND($A114&gt;=SYear_O, $A114&lt;=EYear_O, J$3&gt;0), J$3 * VLOOKUP($A114, Data_All!$A$8:$CA$153, MATCH(J$2, Data_All!$B$2:$CA$2, 0)+1), "")</f>
        <v/>
      </c>
      <c r="K114" s="206" t="str">
        <f>IF(AND($A114&gt;=SYear_O, $A114&lt;=EYear_O, K$3&gt;0), K$3 * VLOOKUP($A114, Data_All!$A$8:$CA$153, MATCH(K$2, Data_All!$B$2:$CA$2, 0)+1), "")</f>
        <v/>
      </c>
      <c r="L114" s="206" t="str">
        <f>IF(AND($A114&gt;=SYear_O, $A114&lt;=EYear_O, L$3&gt;0), L$3 * VLOOKUP($A114, Data_All!$A$8:$CA$153, MATCH(L$2, Data_All!$B$2:$CA$2, 0)+1), "")</f>
        <v/>
      </c>
      <c r="M114" s="206" t="str">
        <f>IF(AND($A114&gt;=SYear_O, $A114&lt;=EYear_O, M$3&gt;0), M$3 * VLOOKUP($A114, Data_All!$A$8:$CA$153, MATCH(M$2, Data_All!$B$2:$CA$2, 0)+1), "")</f>
        <v/>
      </c>
      <c r="N114" s="206" t="str">
        <f>IF(AND($A114&gt;=SYear_O, $A114&lt;=EYear_O, N$3&gt;0), N$3 * VLOOKUP($A114, Data_All!$A$8:$CA$153, MATCH(N$2, Data_All!$B$2:$CA$2, 0)+1), "")</f>
        <v/>
      </c>
      <c r="O114" s="206" t="str">
        <f>IF(AND($A114&gt;=SYear_O, $A114&lt;=EYear_O, O$3&gt;0), O$3 * VLOOKUP($A114, Data_All!$A$8:$CA$153, MATCH(O$2, Data_All!$B$2:$CA$2, 0)+1), "")</f>
        <v/>
      </c>
      <c r="P114" s="206" t="str">
        <f>IF(AND($A114&gt;=SYear_O, $A114&lt;=EYear_O, P$3&gt;0), P$3 * VLOOKUP($A114, Data_All!$A$8:$CA$153, MATCH(P$2, Data_All!$B$2:$CA$2, 0)+1), "")</f>
        <v/>
      </c>
      <c r="Q114" s="206" t="str">
        <f>IF(AND($A114&gt;=SYear_O, $A114&lt;=EYear_O, Q$3&gt;0), Q$3 * VLOOKUP($A114, Data_All!$A$8:$CA$153, MATCH(Q$2, Data_All!$B$2:$CA$2, 0)+1), "")</f>
        <v/>
      </c>
      <c r="R114" s="206" t="str">
        <f>IF(AND($A114&gt;=SYear_O, $A114&lt;=EYear_O, R$3&gt;0), R$3 * VLOOKUP($A114, Data_All!$A$8:$CA$153, MATCH(R$2, Data_All!$B$2:$CA$2, 0)+1), "")</f>
        <v/>
      </c>
      <c r="S114" s="206" t="str">
        <f>IF(AND($A114&gt;=SYear_O, $A114&lt;=EYear_O, S$3&gt;0), S$3 * VLOOKUP($A114, Data_All!$A$8:$CA$153, MATCH(S$2, Data_All!$B$2:$CA$2, 0)+1), "")</f>
        <v/>
      </c>
      <c r="T114" s="206" t="str">
        <f>IF(AND($A114&gt;=SYear_O, $A114&lt;=EYear_O, T$3&gt;0), T$3 * VLOOKUP($A114, Data_All!$A$8:$CA$153, MATCH(T$2, Data_All!$B$2:$CA$2, 0)+1), "")</f>
        <v/>
      </c>
      <c r="U114" s="206" t="str">
        <f>IF(AND($A114&gt;=SYear_O, $A114&lt;=EYear_O, U$3&gt;0), U$3 * VLOOKUP($A114, Data_All!$A$8:$CA$153, MATCH(U$2, Data_All!$B$2:$CA$2, 0)+1), "")</f>
        <v/>
      </c>
      <c r="V114" s="206" t="str">
        <f>IF(AND($A114&gt;=SYear_O, $A114&lt;=EYear_O, V$3&gt;0), V$3 * VLOOKUP($A114, Data_All!$A$8:$CA$153, MATCH(V$2, Data_All!$B$2:$CA$2, 0)+1), "")</f>
        <v/>
      </c>
      <c r="W114" s="206" t="str">
        <f>IF(AND($A114&gt;=SYear_O, $A114&lt;=EYear_O, W$3&gt;0), W$3 * VLOOKUP($A114, Data_All!$A$8:$CA$153, MATCH(W$2, Data_All!$B$2:$CA$2, 0)+1), "")</f>
        <v/>
      </c>
      <c r="X114" s="206" t="str">
        <f>IF(AND($A114&gt;=SYear_O, $A114&lt;=EYear_O, X$3&gt;0), X$3 * VLOOKUP($A114, Data_All!$A$8:$CA$153, MATCH(X$2, Data_All!$B$2:$CA$2, 0)+1), "")</f>
        <v/>
      </c>
      <c r="Y114" s="206" t="str">
        <f>IF(AND($A114&gt;=SYear_O, $A114&lt;=EYear_O, Y$3&gt;0), Y$3 * VLOOKUP($A114, Data_All!$A$8:$CA$153, MATCH(Y$2, Data_All!$B$2:$CA$2, 0)+1), "")</f>
        <v/>
      </c>
      <c r="Z114" s="206" t="str">
        <f>IF(AND($A114&gt;=SYear_O, $A114&lt;=EYear_O, Z$3&gt;0), Z$3 * VLOOKUP($A114, Data_All!$A$8:$CA$153, MATCH(Z$2, Data_All!$B$2:$CA$2, 0)+1), "")</f>
        <v/>
      </c>
      <c r="AA114" s="206" t="str">
        <f>IF(AND($A114&gt;=SYear_O, $A114&lt;=EYear_O, AA$3&gt;0), AA$3 * VLOOKUP($A114, Data_All!$A$8:$CA$153, MATCH(AA$2, Data_All!$B$2:$CA$2, 0)+1), "")</f>
        <v/>
      </c>
      <c r="AB114" s="206" t="str">
        <f>IF(AND($A114&gt;=SYear_O, $A114&lt;=EYear_O, AB$3&gt;0), AB$3 * VLOOKUP($A114, Data_All!$A$8:$CA$153, MATCH(AB$2, Data_All!$B$2:$CA$2, 0)+1), "")</f>
        <v/>
      </c>
      <c r="AC114" s="206" t="str">
        <f>IF(AND($A114&gt;=SYear_O, $A114&lt;=EYear_O, AC$3&gt;0), AC$3 * VLOOKUP($A114, Data_All!$A$8:$CA$153, MATCH(AC$2, Data_All!$B$2:$CA$2, 0)+1), "")</f>
        <v/>
      </c>
      <c r="AD114" s="206" t="str">
        <f>IF(AND($A114&gt;=SYear_O, $A114&lt;=EYear_O, AD$3&gt;0), AD$3 * VLOOKUP($A114, Data_All!$A$8:$CA$153, MATCH(AD$2, Data_All!$B$2:$CA$2, 0)+1), "")</f>
        <v/>
      </c>
      <c r="AE114" s="206" t="str">
        <f>IF(AND($A114&gt;=SYear_O, $A114&lt;=EYear_O, AE$3&gt;0), AE$3 * VLOOKUP($A114, Data_All!$A$8:$CA$153, MATCH(AE$2, Data_All!$B$2:$CA$2, 0)+1), "")</f>
        <v/>
      </c>
      <c r="AF114" s="206" t="str">
        <f>IF(AND($A114&gt;=SYear_O, $A114&lt;=EYear_O, AF$3&gt;0), AF$3 * VLOOKUP($A114, Data_All!$A$8:$CA$153, MATCH(AF$2, Data_All!$B$2:$CA$2, 0)+1), "")</f>
        <v/>
      </c>
      <c r="AG114" s="206" t="str">
        <f>IF(AND($A114&gt;=SYear_O, $A114&lt;=EYear_O, AG$3&gt;0), AG$3 * VLOOKUP($A114, Data_All!$A$8:$CA$153, MATCH(AG$2, Data_All!$B$2:$CA$2, 0)+1), "")</f>
        <v/>
      </c>
      <c r="AH114" s="206" t="str">
        <f>IF(AND($A114&gt;=SYear_O, $A114&lt;=EYear_O, AH$3&gt;0), AH$3 * VLOOKUP($A114, Data_All!$A$8:$CA$153, MATCH(AH$2, Data_All!$B$2:$CA$2, 0)+1), "")</f>
        <v/>
      </c>
      <c r="AI114" s="206" t="str">
        <f>IF(AND($A114&gt;=SYear_O, $A114&lt;=EYear_O, AI$3&gt;0), AI$3 * VLOOKUP($A114, Data_All!$A$8:$CA$153, MATCH(AI$2, Data_All!$B$2:$CA$2, 0)+1), "")</f>
        <v/>
      </c>
      <c r="AJ114" s="206" t="str">
        <f>IF(AND($A114&gt;=SYear_O, $A114&lt;=EYear_O, AJ$3&gt;0), AJ$3 * VLOOKUP($A114, Data_All!$A$8:$CA$153, MATCH(AJ$2, Data_All!$B$2:$CA$2, 0)+1), "")</f>
        <v/>
      </c>
      <c r="AK114" s="206" t="str">
        <f>IF(AND($A114&gt;=SYear_O, $A114&lt;=EYear_O, AK$3&gt;0), AK$3 * VLOOKUP($A114, Data_All!$A$8:$CA$153, MATCH(AK$2, Data_All!$B$2:$CA$2, 0)+1), "")</f>
        <v/>
      </c>
      <c r="AL114" s="206" t="str">
        <f>IF(AND($A114&gt;=SYear_O, $A114&lt;=EYear_O, AL$3&gt;0), AL$3 * VLOOKUP($A114, Data_All!$A$8:$CA$153, MATCH(AL$2, Data_All!$B$2:$CA$2, 0)+1), "")</f>
        <v/>
      </c>
      <c r="AM114" s="206" t="str">
        <f>IF(AND($A114&gt;=SYear_O, $A114&lt;=EYear_O, AM$3&gt;0), AM$3 * VLOOKUP($A114, Data_All!$A$8:$CA$153, MATCH(AM$2, Data_All!$B$2:$CA$2, 0)+1), "")</f>
        <v/>
      </c>
      <c r="AN114" s="206" t="str">
        <f>IF(AND($A114&gt;=SYear_O, $A114&lt;=EYear_O, AN$3&gt;0), AN$3 * VLOOKUP($A114, Data_All!$A$8:$CA$153, MATCH(AN$2, Data_All!$B$2:$CA$2, 0)+1), "")</f>
        <v/>
      </c>
      <c r="AO114" s="206" t="str">
        <f>IF(AND($A114&gt;=SYear_O, $A114&lt;=EYear_O, AO$3&gt;0), AO$3 * VLOOKUP($A114, Data_All!$A$8:$CA$153, MATCH(AO$2, Data_All!$B$2:$CA$2, 0)+1), "")</f>
        <v/>
      </c>
      <c r="AP114" s="206" t="str">
        <f>IF(AND($A114&gt;=SYear_O, $A114&lt;=EYear_O, AP$3&gt;0), AP$3 * VLOOKUP($A114, Data_All!$A$8:$CA$153, MATCH(AP$2, Data_All!$B$2:$CA$2, 0)+1), "")</f>
        <v/>
      </c>
      <c r="AQ114" s="206" t="str">
        <f>IF(AND($A114&gt;=SYear_O, $A114&lt;=EYear_O, AQ$3&gt;0), AQ$3 * VLOOKUP($A114, Data_All!$A$8:$CA$153, MATCH(AQ$2, Data_All!$B$2:$CA$2, 0)+1), "")</f>
        <v/>
      </c>
      <c r="AR114" s="206" t="str">
        <f>IF(AND($A114&gt;=SYear_O, $A114&lt;=EYear_O, AR$3&gt;0), AR$3 * VLOOKUP($A114, Data_All!$A$8:$CA$153, MATCH(AR$2, Data_All!$B$2:$CA$2, 0)+1), "")</f>
        <v/>
      </c>
      <c r="AS114" s="206" t="str">
        <f>IF(AND($A114&gt;=SYear_O, $A114&lt;=EYear_O, AS$3&gt;0), AS$3 * VLOOKUP($A114, Data_All!$A$8:$CA$153, MATCH(AS$2, Data_All!$B$2:$CA$2, 0)+1), "")</f>
        <v/>
      </c>
      <c r="AT114" s="206" t="str">
        <f>IF(AND($A114&gt;=SYear_O, $A114&lt;=EYear_O, AT$3&gt;0), AT$3 * VLOOKUP($A114, Data_All!$A$8:$CA$153, MATCH(AT$2, Data_All!$B$2:$CA$2, 0)+1), "")</f>
        <v/>
      </c>
      <c r="AU114" s="206" t="str">
        <f>IF(AND($A114&gt;=SYear_O, $A114&lt;=EYear_O, AU$3&gt;0), AU$3 * VLOOKUP($A114, Data_All!$A$8:$CA$153, MATCH(AU$2, Data_All!$B$2:$CA$2, 0)+1), "")</f>
        <v/>
      </c>
      <c r="AV114" s="206" t="str">
        <f>IF(AND($A114&gt;=SYear_O, $A114&lt;=EYear_O, AV$3&gt;0), AV$3 * VLOOKUP($A114, Data_All!$A$8:$CA$153, MATCH(AV$2, Data_All!$B$2:$CA$2, 0)+1), "")</f>
        <v/>
      </c>
      <c r="AW114" s="206" t="str">
        <f>IF(AND($A114&gt;=SYear_O, $A114&lt;=EYear_O, AW$3&gt;0), AW$3 * VLOOKUP($A114, Data_All!$A$8:$CA$153, MATCH(AW$2, Data_All!$B$2:$CA$2, 0)+1), "")</f>
        <v/>
      </c>
      <c r="AX114" s="206" t="str">
        <f>IF(AND($A114&gt;=SYear_O, $A114&lt;=EYear_O, AX$3&gt;0), AX$3 * VLOOKUP($A114, Data_All!$A$8:$CA$153, MATCH(AX$2, Data_All!$B$2:$CA$2, 0)+1), "")</f>
        <v/>
      </c>
      <c r="AY114" s="206" t="str">
        <f>IF(AND($A114&gt;=SYear_O, $A114&lt;=EYear_O, AY$3&gt;0), AY$3 * VLOOKUP($A114, Data_All!$A$8:$CA$153, MATCH(AY$2, Data_All!$B$2:$CA$2, 0)+1), "")</f>
        <v/>
      </c>
      <c r="AZ114" s="206" t="str">
        <f>IF(AND($A114&gt;=SYear_O, $A114&lt;=EYear_O, AZ$3&gt;0), AZ$3 * VLOOKUP($A114, Data_All!$A$8:$CA$153, MATCH(AZ$2, Data_All!$B$2:$CA$2, 0)+1), "")</f>
        <v/>
      </c>
      <c r="BA114" s="206" t="str">
        <f>IF(AND($A114&gt;=SYear_O, $A114&lt;=EYear_O, BA$3&gt;0), BA$3 * VLOOKUP($A114, Data_All!$A$8:$CA$153, MATCH(BA$2, Data_All!$B$2:$CA$2, 0)+1), "")</f>
        <v/>
      </c>
      <c r="BB114" s="206" t="str">
        <f>IF(AND($A114&gt;=SYear_O, $A114&lt;=EYear_O, BB$3&gt;0), BB$3 * VLOOKUP($A114, Data_All!$A$8:$CA$153, MATCH(BB$2, Data_All!$B$2:$CA$2, 0)+1), "")</f>
        <v/>
      </c>
      <c r="BC114" s="206" t="str">
        <f>IF(AND($A114&gt;=SYear_O, $A114&lt;=EYear_O, BC$3&gt;0), BC$3 * VLOOKUP($A114, Data_All!$A$8:$CA$153, MATCH(BC$2, Data_All!$B$2:$CA$2, 0)+1), "")</f>
        <v/>
      </c>
      <c r="BD114" s="206" t="str">
        <f>IF(AND($A114&gt;=SYear_O, $A114&lt;=EYear_O, BD$3&gt;0), BD$3 * VLOOKUP($A114, Data_All!$A$8:$CA$153, MATCH(BD$2, Data_All!$B$2:$CA$2, 0)+1), "")</f>
        <v/>
      </c>
      <c r="BE114" s="206" t="str">
        <f>IF(AND($A114&gt;=SYear_O, $A114&lt;=EYear_O, BE$3&gt;0), BE$3 * VLOOKUP($A114, Data_All!$A$8:$CA$153, MATCH(BE$2, Data_All!$B$2:$CA$2, 0)+1), "")</f>
        <v/>
      </c>
      <c r="BF114" s="206" t="str">
        <f>IF(AND($A114&gt;=SYear_O, $A114&lt;=EYear_O, BF$3&gt;0), BF$3 * VLOOKUP($A114, Data_All!$A$8:$CA$153, MATCH(BF$2, Data_All!$B$2:$CA$2, 0)+1), "")</f>
        <v/>
      </c>
      <c r="BG114" s="206" t="str">
        <f>IF(AND($A114&gt;=SYear_O, $A114&lt;=EYear_O, BG$3&gt;0), BG$3 * VLOOKUP($A114, Data_All!$A$8:$CA$153, MATCH(BG$2, Data_All!$B$2:$CA$2, 0)+1), "")</f>
        <v/>
      </c>
      <c r="BH114" s="206" t="str">
        <f>IF(AND($A114&gt;=SYear_O, $A114&lt;=EYear_O, BH$3&gt;0), BH$3 * VLOOKUP($A114, Data_All!$A$8:$CA$153, MATCH(BH$2, Data_All!$B$2:$CA$2, 0)+1), "")</f>
        <v/>
      </c>
      <c r="BI114" s="206" t="str">
        <f>IF(AND($A114&gt;=SYear_O, $A114&lt;=EYear_O, BI$3&gt;0), BI$3 * VLOOKUP($A114, Data_All!$A$8:$CA$153, MATCH(BI$2, Data_All!$B$2:$CA$2, 0)+1), "")</f>
        <v/>
      </c>
      <c r="BJ114" s="206" t="str">
        <f>IF(AND($A114&gt;=SYear_O, $A114&lt;=EYear_O, BJ$3&gt;0), BJ$3 * VLOOKUP($A114, Data_All!$A$8:$CA$153, MATCH(BJ$2, Data_All!$B$2:$CA$2, 0)+1), "")</f>
        <v/>
      </c>
      <c r="BK114" s="206" t="str">
        <f>IF(AND($A114&gt;=SYear_O, $A114&lt;=EYear_O, BK$3&gt;0), BK$3 * VLOOKUP($A114, Data_All!$A$8:$CA$153, MATCH(BK$2, Data_All!$B$2:$CA$2, 0)+1), "")</f>
        <v/>
      </c>
      <c r="BL114" s="206" t="str">
        <f>IF(AND($A114&gt;=SYear_O, $A114&lt;=EYear_O, BL$3&gt;0), BL$3 * VLOOKUP($A114, Data_All!$A$8:$CA$153, MATCH(BL$2, Data_All!$B$2:$CA$2, 0)+1), "")</f>
        <v/>
      </c>
      <c r="BM114" s="206" t="str">
        <f>IF(AND($A114&gt;=SYear_O, $A114&lt;=EYear_O, BM$3&gt;0), BM$3 * VLOOKUP($A114, Data_All!$A$8:$CA$153, MATCH(BM$2, Data_All!$B$2:$CA$2, 0)+1), "")</f>
        <v/>
      </c>
      <c r="BN114" s="206" t="str">
        <f>IF(AND($A114&gt;=SYear_O, $A114&lt;=EYear_O, BN$3&gt;0), BN$3 * VLOOKUP($A114, Data_All!$A$8:$CA$153, MATCH(BN$2, Data_All!$B$2:$CA$2, 0)+1), "")</f>
        <v/>
      </c>
      <c r="BO114" s="206" t="str">
        <f>IF(AND($A114&gt;=SYear_O, $A114&lt;=EYear_O, BO$3&gt;0), BO$3 * VLOOKUP($A114, Data_All!$A$8:$CA$153, MATCH(BO$2, Data_All!$B$2:$CA$2, 0)+1), "")</f>
        <v/>
      </c>
      <c r="BP114" s="206" t="str">
        <f>IF(AND($A114&gt;=SYear_O, $A114&lt;=EYear_O, BP$3&gt;0), BP$3 * VLOOKUP($A114, Data_All!$A$8:$CA$153, MATCH(BP$2, Data_All!$B$2:$CA$2, 0)+1), "")</f>
        <v/>
      </c>
      <c r="BQ114" s="206" t="str">
        <f>IF(AND($A114&gt;=SYear_O, $A114&lt;=EYear_O, BQ$3&gt;0), BQ$3 * VLOOKUP($A114, Data_All!$A$8:$CA$153, MATCH(BQ$2, Data_All!$B$2:$CA$2, 0)+1), "")</f>
        <v/>
      </c>
      <c r="BR114" s="206" t="str">
        <f>IF(AND($A114&gt;=SYear_O, $A114&lt;=EYear_O, BR$3&gt;0), BR$3 * VLOOKUP($A114, Data_All!$A$8:$CA$153, MATCH(BR$2, Data_All!$B$2:$CA$2, 0)+1), "")</f>
        <v/>
      </c>
      <c r="BS114" s="206" t="str">
        <f>IF(AND($A114&gt;=SYear_O, $A114&lt;=EYear_O, BS$3&gt;0), BS$3 * VLOOKUP($A114, Data_All!$A$8:$CA$153, MATCH(BS$2, Data_All!$B$2:$CA$2, 0)+1), "")</f>
        <v/>
      </c>
      <c r="BT114" s="206" t="str">
        <f>IF(AND($A114&gt;=SYear_O, $A114&lt;=EYear_O, BT$3&gt;0), BT$3 * VLOOKUP($A114, Data_All!$A$8:$CA$153, MATCH(BT$2, Data_All!$B$2:$CA$2, 0)+1), "")</f>
        <v/>
      </c>
      <c r="BU114" s="206" t="str">
        <f>IF(AND($A114&gt;=SYear_O, $A114&lt;=EYear_O, BU$3&gt;0), BU$3 * VLOOKUP($A114, Data_All!$A$8:$CA$153, MATCH(BU$2, Data_All!$B$2:$CA$2, 0)+1), "")</f>
        <v/>
      </c>
      <c r="BV114" s="206" t="str">
        <f>IF(AND($A114&gt;=SYear_O, $A114&lt;=EYear_O, BV$3&gt;0), BV$3 * VLOOKUP($A114, Data_All!$A$8:$CA$153, MATCH(BV$2, Data_All!$B$2:$CA$2, 0)+1), "")</f>
        <v/>
      </c>
      <c r="BW114" s="206" t="str">
        <f>IF(AND($A114&gt;=SYear_O, $A114&lt;=EYear_O, BW$3&gt;0), BW$3 * VLOOKUP($A114, Data_All!$A$8:$CA$153, MATCH(BW$2, Data_All!$B$2:$CA$2, 0)+1), "")</f>
        <v/>
      </c>
      <c r="BX114" s="206">
        <f>IF(AND($A114&gt;=SYear_O, $A114&lt;=EYear_O, BX$3&gt;0), BX$3 * VLOOKUP($A114, Data_All!$A$8:$CA$153, MATCH(BX$2, Data_All!$B$2:$CA$2, 0)+1), "")</f>
        <v>9.6598337950138546</v>
      </c>
      <c r="BY114" s="206">
        <f>IF(AND($A114&gt;=SYear_O, $A114&lt;=EYear_O, BY$3&gt;0), BY$3 * VLOOKUP($A114, Data_All!$A$8:$CA$153, MATCH(BY$2, Data_All!$B$2:$CA$2, 0)+1), "")</f>
        <v>0.91669937130562928</v>
      </c>
      <c r="BZ114" s="206" t="str">
        <f>IF(AND($A114&gt;=SYear_O, $A114&lt;=EYear_O, BZ$3&gt;0), BZ$3 * VLOOKUP($A114, Data_All!$A$8:$CA$153, MATCH(BZ$2, Data_All!$B$2:$CA$2, 0)+1), "")</f>
        <v/>
      </c>
      <c r="CA114" s="565">
        <f t="shared" si="52"/>
        <v>10.576533166319484</v>
      </c>
      <c r="CB114" s="427">
        <f t="shared" si="53"/>
        <v>10941601.403424375</v>
      </c>
      <c r="CC114" s="565">
        <f>IF(AND($A114&gt;=SYear_O,$A114&lt;=EYear_O),(CA114-Data_All!CA115)/(1+Data_All!CA115%),"")</f>
        <v>1.4298775425175809</v>
      </c>
      <c r="CD114" s="436">
        <f t="shared" si="54"/>
        <v>2014428.1732639149</v>
      </c>
      <c r="CE114" s="438">
        <f t="shared" si="55"/>
        <v>992.39491817894316</v>
      </c>
      <c r="CF114" s="438">
        <f>IF(AND($A114&gt;=SYear_O,$A114&lt;=EYear_O),MAX($CE$7:CE114),"")</f>
        <v>992.39491817894316</v>
      </c>
      <c r="CG114" s="209">
        <f t="shared" si="56"/>
        <v>0</v>
      </c>
      <c r="CI114" s="143">
        <f>IF(AND($A114&gt;=SYear_O,$A114&lt;=EYear_O),Data_All!V115,"")</f>
        <v>7.103606753921472</v>
      </c>
      <c r="CJ114" s="143">
        <f>IF(AND($A114&gt;=SYear_O,$A114&lt;=EYear_O),Data_All!CA115,"")</f>
        <v>9.0177133655394481</v>
      </c>
      <c r="CK114" s="143">
        <f t="shared" si="57"/>
        <v>-1.7557757840690742</v>
      </c>
      <c r="CN114" s="61">
        <f t="shared" si="58"/>
        <v>0.10576533166319479</v>
      </c>
      <c r="CO114" s="61">
        <f t="shared" si="59"/>
        <v>0.12801800634548477</v>
      </c>
      <c r="CP114" s="61">
        <f t="shared" si="60"/>
        <v>0.12985340088880326</v>
      </c>
      <c r="CQ114" s="61">
        <f t="shared" si="61"/>
        <v>0.13611475397989392</v>
      </c>
      <c r="CR114" s="61">
        <f t="shared" si="62"/>
        <v>0.13541923532783162</v>
      </c>
      <c r="CU114" s="61">
        <f t="shared" si="63"/>
        <v>1.4298775425175769E-2</v>
      </c>
      <c r="CV114" s="61">
        <f t="shared" si="64"/>
        <v>1.0825758651221484E-2</v>
      </c>
      <c r="CW114" s="61">
        <f t="shared" si="65"/>
        <v>3.2168149847454863E-2</v>
      </c>
      <c r="CX114" s="61">
        <f t="shared" si="66"/>
        <v>6.7851295596776939E-2</v>
      </c>
      <c r="CY114" s="61">
        <f t="shared" si="67"/>
        <v>7.455882291014948E-2</v>
      </c>
    </row>
    <row r="115" spans="1:103">
      <c r="A115" s="204">
        <f t="shared" si="51"/>
        <v>1979</v>
      </c>
      <c r="B115" s="206" t="str">
        <f>IF(AND($A115&gt;=SYear_O, $A115&lt;=EYear_O, B$3&gt;0), B$3 * VLOOKUP($A115, Data_All!$A$8:$CA$153, MATCH(B$2, Data_All!$B$2:$CA$2, 0)+1), "")</f>
        <v/>
      </c>
      <c r="C115" s="206" t="str">
        <f>IF(AND($A115&gt;=SYear_O, $A115&lt;=EYear_O, C$3&gt;0), C$3 * VLOOKUP($A115, Data_All!$A$8:$CA$153, MATCH(C$2, Data_All!$B$2:$CA$2, 0)+1), "")</f>
        <v/>
      </c>
      <c r="D115" s="206" t="str">
        <f>IF(AND($A115&gt;=SYear_O, $A115&lt;=EYear_O, D$3&gt;0), D$3 * VLOOKUP($A115, Data_All!$A$8:$CA$153, MATCH(D$2, Data_All!$B$2:$CA$2, 0)+1), "")</f>
        <v/>
      </c>
      <c r="E115" s="206" t="str">
        <f>IF(AND($A115&gt;=SYear_O, $A115&lt;=EYear_O, E$3&gt;0), E$3 * VLOOKUP($A115, Data_All!$A$8:$CA$153, MATCH(E$2, Data_All!$B$2:$CA$2, 0)+1), "")</f>
        <v/>
      </c>
      <c r="F115" s="206" t="str">
        <f>IF(AND($A115&gt;=SYear_O, $A115&lt;=EYear_O, F$3&gt;0), F$3 * VLOOKUP($A115, Data_All!$A$8:$CA$153, MATCH(F$2, Data_All!$B$2:$CA$2, 0)+1), "")</f>
        <v/>
      </c>
      <c r="G115" s="206" t="str">
        <f>IF(AND($A115&gt;=SYear_O, $A115&lt;=EYear_O, G$3&gt;0), G$3 * VLOOKUP($A115, Data_All!$A$8:$CA$153, MATCH(G$2, Data_All!$B$2:$CA$2, 0)+1), "")</f>
        <v/>
      </c>
      <c r="H115" s="206" t="str">
        <f>IF(AND($A115&gt;=SYear_O, $A115&lt;=EYear_O, H$3&gt;0), H$3 * VLOOKUP($A115, Data_All!$A$8:$CA$153, MATCH(H$2, Data_All!$B$2:$CA$2, 0)+1), "")</f>
        <v/>
      </c>
      <c r="I115" s="206" t="str">
        <f>IF(AND($A115&gt;=SYear_O, $A115&lt;=EYear_O, I$3&gt;0), I$3 * VLOOKUP($A115, Data_All!$A$8:$CA$153, MATCH(I$2, Data_All!$B$2:$CA$2, 0)+1), "")</f>
        <v/>
      </c>
      <c r="J115" s="206" t="str">
        <f>IF(AND($A115&gt;=SYear_O, $A115&lt;=EYear_O, J$3&gt;0), J$3 * VLOOKUP($A115, Data_All!$A$8:$CA$153, MATCH(J$2, Data_All!$B$2:$CA$2, 0)+1), "")</f>
        <v/>
      </c>
      <c r="K115" s="206" t="str">
        <f>IF(AND($A115&gt;=SYear_O, $A115&lt;=EYear_O, K$3&gt;0), K$3 * VLOOKUP($A115, Data_All!$A$8:$CA$153, MATCH(K$2, Data_All!$B$2:$CA$2, 0)+1), "")</f>
        <v/>
      </c>
      <c r="L115" s="206" t="str">
        <f>IF(AND($A115&gt;=SYear_O, $A115&lt;=EYear_O, L$3&gt;0), L$3 * VLOOKUP($A115, Data_All!$A$8:$CA$153, MATCH(L$2, Data_All!$B$2:$CA$2, 0)+1), "")</f>
        <v/>
      </c>
      <c r="M115" s="206" t="str">
        <f>IF(AND($A115&gt;=SYear_O, $A115&lt;=EYear_O, M$3&gt;0), M$3 * VLOOKUP($A115, Data_All!$A$8:$CA$153, MATCH(M$2, Data_All!$B$2:$CA$2, 0)+1), "")</f>
        <v/>
      </c>
      <c r="N115" s="206" t="str">
        <f>IF(AND($A115&gt;=SYear_O, $A115&lt;=EYear_O, N$3&gt;0), N$3 * VLOOKUP($A115, Data_All!$A$8:$CA$153, MATCH(N$2, Data_All!$B$2:$CA$2, 0)+1), "")</f>
        <v/>
      </c>
      <c r="O115" s="206" t="str">
        <f>IF(AND($A115&gt;=SYear_O, $A115&lt;=EYear_O, O$3&gt;0), O$3 * VLOOKUP($A115, Data_All!$A$8:$CA$153, MATCH(O$2, Data_All!$B$2:$CA$2, 0)+1), "")</f>
        <v/>
      </c>
      <c r="P115" s="206" t="str">
        <f>IF(AND($A115&gt;=SYear_O, $A115&lt;=EYear_O, P$3&gt;0), P$3 * VLOOKUP($A115, Data_All!$A$8:$CA$153, MATCH(P$2, Data_All!$B$2:$CA$2, 0)+1), "")</f>
        <v/>
      </c>
      <c r="Q115" s="206" t="str">
        <f>IF(AND($A115&gt;=SYear_O, $A115&lt;=EYear_O, Q$3&gt;0), Q$3 * VLOOKUP($A115, Data_All!$A$8:$CA$153, MATCH(Q$2, Data_All!$B$2:$CA$2, 0)+1), "")</f>
        <v/>
      </c>
      <c r="R115" s="206" t="str">
        <f>IF(AND($A115&gt;=SYear_O, $A115&lt;=EYear_O, R$3&gt;0), R$3 * VLOOKUP($A115, Data_All!$A$8:$CA$153, MATCH(R$2, Data_All!$B$2:$CA$2, 0)+1), "")</f>
        <v/>
      </c>
      <c r="S115" s="206" t="str">
        <f>IF(AND($A115&gt;=SYear_O, $A115&lt;=EYear_O, S$3&gt;0), S$3 * VLOOKUP($A115, Data_All!$A$8:$CA$153, MATCH(S$2, Data_All!$B$2:$CA$2, 0)+1), "")</f>
        <v/>
      </c>
      <c r="T115" s="206" t="str">
        <f>IF(AND($A115&gt;=SYear_O, $A115&lt;=EYear_O, T$3&gt;0), T$3 * VLOOKUP($A115, Data_All!$A$8:$CA$153, MATCH(T$2, Data_All!$B$2:$CA$2, 0)+1), "")</f>
        <v/>
      </c>
      <c r="U115" s="206" t="str">
        <f>IF(AND($A115&gt;=SYear_O, $A115&lt;=EYear_O, U$3&gt;0), U$3 * VLOOKUP($A115, Data_All!$A$8:$CA$153, MATCH(U$2, Data_All!$B$2:$CA$2, 0)+1), "")</f>
        <v/>
      </c>
      <c r="V115" s="206" t="str">
        <f>IF(AND($A115&gt;=SYear_O, $A115&lt;=EYear_O, V$3&gt;0), V$3 * VLOOKUP($A115, Data_All!$A$8:$CA$153, MATCH(V$2, Data_All!$B$2:$CA$2, 0)+1), "")</f>
        <v/>
      </c>
      <c r="W115" s="206" t="str">
        <f>IF(AND($A115&gt;=SYear_O, $A115&lt;=EYear_O, W$3&gt;0), W$3 * VLOOKUP($A115, Data_All!$A$8:$CA$153, MATCH(W$2, Data_All!$B$2:$CA$2, 0)+1), "")</f>
        <v/>
      </c>
      <c r="X115" s="206" t="str">
        <f>IF(AND($A115&gt;=SYear_O, $A115&lt;=EYear_O, X$3&gt;0), X$3 * VLOOKUP($A115, Data_All!$A$8:$CA$153, MATCH(X$2, Data_All!$B$2:$CA$2, 0)+1), "")</f>
        <v/>
      </c>
      <c r="Y115" s="206" t="str">
        <f>IF(AND($A115&gt;=SYear_O, $A115&lt;=EYear_O, Y$3&gt;0), Y$3 * VLOOKUP($A115, Data_All!$A$8:$CA$153, MATCH(Y$2, Data_All!$B$2:$CA$2, 0)+1), "")</f>
        <v/>
      </c>
      <c r="Z115" s="206" t="str">
        <f>IF(AND($A115&gt;=SYear_O, $A115&lt;=EYear_O, Z$3&gt;0), Z$3 * VLOOKUP($A115, Data_All!$A$8:$CA$153, MATCH(Z$2, Data_All!$B$2:$CA$2, 0)+1), "")</f>
        <v/>
      </c>
      <c r="AA115" s="206" t="str">
        <f>IF(AND($A115&gt;=SYear_O, $A115&lt;=EYear_O, AA$3&gt;0), AA$3 * VLOOKUP($A115, Data_All!$A$8:$CA$153, MATCH(AA$2, Data_All!$B$2:$CA$2, 0)+1), "")</f>
        <v/>
      </c>
      <c r="AB115" s="206" t="str">
        <f>IF(AND($A115&gt;=SYear_O, $A115&lt;=EYear_O, AB$3&gt;0), AB$3 * VLOOKUP($A115, Data_All!$A$8:$CA$153, MATCH(AB$2, Data_All!$B$2:$CA$2, 0)+1), "")</f>
        <v/>
      </c>
      <c r="AC115" s="206" t="str">
        <f>IF(AND($A115&gt;=SYear_O, $A115&lt;=EYear_O, AC$3&gt;0), AC$3 * VLOOKUP($A115, Data_All!$A$8:$CA$153, MATCH(AC$2, Data_All!$B$2:$CA$2, 0)+1), "")</f>
        <v/>
      </c>
      <c r="AD115" s="206" t="str">
        <f>IF(AND($A115&gt;=SYear_O, $A115&lt;=EYear_O, AD$3&gt;0), AD$3 * VLOOKUP($A115, Data_All!$A$8:$CA$153, MATCH(AD$2, Data_All!$B$2:$CA$2, 0)+1), "")</f>
        <v/>
      </c>
      <c r="AE115" s="206" t="str">
        <f>IF(AND($A115&gt;=SYear_O, $A115&lt;=EYear_O, AE$3&gt;0), AE$3 * VLOOKUP($A115, Data_All!$A$8:$CA$153, MATCH(AE$2, Data_All!$B$2:$CA$2, 0)+1), "")</f>
        <v/>
      </c>
      <c r="AF115" s="206" t="str">
        <f>IF(AND($A115&gt;=SYear_O, $A115&lt;=EYear_O, AF$3&gt;0), AF$3 * VLOOKUP($A115, Data_All!$A$8:$CA$153, MATCH(AF$2, Data_All!$B$2:$CA$2, 0)+1), "")</f>
        <v/>
      </c>
      <c r="AG115" s="206" t="str">
        <f>IF(AND($A115&gt;=SYear_O, $A115&lt;=EYear_O, AG$3&gt;0), AG$3 * VLOOKUP($A115, Data_All!$A$8:$CA$153, MATCH(AG$2, Data_All!$B$2:$CA$2, 0)+1), "")</f>
        <v/>
      </c>
      <c r="AH115" s="206" t="str">
        <f>IF(AND($A115&gt;=SYear_O, $A115&lt;=EYear_O, AH$3&gt;0), AH$3 * VLOOKUP($A115, Data_All!$A$8:$CA$153, MATCH(AH$2, Data_All!$B$2:$CA$2, 0)+1), "")</f>
        <v/>
      </c>
      <c r="AI115" s="206" t="str">
        <f>IF(AND($A115&gt;=SYear_O, $A115&lt;=EYear_O, AI$3&gt;0), AI$3 * VLOOKUP($A115, Data_All!$A$8:$CA$153, MATCH(AI$2, Data_All!$B$2:$CA$2, 0)+1), "")</f>
        <v/>
      </c>
      <c r="AJ115" s="206" t="str">
        <f>IF(AND($A115&gt;=SYear_O, $A115&lt;=EYear_O, AJ$3&gt;0), AJ$3 * VLOOKUP($A115, Data_All!$A$8:$CA$153, MATCH(AJ$2, Data_All!$B$2:$CA$2, 0)+1), "")</f>
        <v/>
      </c>
      <c r="AK115" s="206" t="str">
        <f>IF(AND($A115&gt;=SYear_O, $A115&lt;=EYear_O, AK$3&gt;0), AK$3 * VLOOKUP($A115, Data_All!$A$8:$CA$153, MATCH(AK$2, Data_All!$B$2:$CA$2, 0)+1), "")</f>
        <v/>
      </c>
      <c r="AL115" s="206" t="str">
        <f>IF(AND($A115&gt;=SYear_O, $A115&lt;=EYear_O, AL$3&gt;0), AL$3 * VLOOKUP($A115, Data_All!$A$8:$CA$153, MATCH(AL$2, Data_All!$B$2:$CA$2, 0)+1), "")</f>
        <v/>
      </c>
      <c r="AM115" s="206" t="str">
        <f>IF(AND($A115&gt;=SYear_O, $A115&lt;=EYear_O, AM$3&gt;0), AM$3 * VLOOKUP($A115, Data_All!$A$8:$CA$153, MATCH(AM$2, Data_All!$B$2:$CA$2, 0)+1), "")</f>
        <v/>
      </c>
      <c r="AN115" s="206" t="str">
        <f>IF(AND($A115&gt;=SYear_O, $A115&lt;=EYear_O, AN$3&gt;0), AN$3 * VLOOKUP($A115, Data_All!$A$8:$CA$153, MATCH(AN$2, Data_All!$B$2:$CA$2, 0)+1), "")</f>
        <v/>
      </c>
      <c r="AO115" s="206" t="str">
        <f>IF(AND($A115&gt;=SYear_O, $A115&lt;=EYear_O, AO$3&gt;0), AO$3 * VLOOKUP($A115, Data_All!$A$8:$CA$153, MATCH(AO$2, Data_All!$B$2:$CA$2, 0)+1), "")</f>
        <v/>
      </c>
      <c r="AP115" s="206" t="str">
        <f>IF(AND($A115&gt;=SYear_O, $A115&lt;=EYear_O, AP$3&gt;0), AP$3 * VLOOKUP($A115, Data_All!$A$8:$CA$153, MATCH(AP$2, Data_All!$B$2:$CA$2, 0)+1), "")</f>
        <v/>
      </c>
      <c r="AQ115" s="206" t="str">
        <f>IF(AND($A115&gt;=SYear_O, $A115&lt;=EYear_O, AQ$3&gt;0), AQ$3 * VLOOKUP($A115, Data_All!$A$8:$CA$153, MATCH(AQ$2, Data_All!$B$2:$CA$2, 0)+1), "")</f>
        <v/>
      </c>
      <c r="AR115" s="206" t="str">
        <f>IF(AND($A115&gt;=SYear_O, $A115&lt;=EYear_O, AR$3&gt;0), AR$3 * VLOOKUP($A115, Data_All!$A$8:$CA$153, MATCH(AR$2, Data_All!$B$2:$CA$2, 0)+1), "")</f>
        <v/>
      </c>
      <c r="AS115" s="206" t="str">
        <f>IF(AND($A115&gt;=SYear_O, $A115&lt;=EYear_O, AS$3&gt;0), AS$3 * VLOOKUP($A115, Data_All!$A$8:$CA$153, MATCH(AS$2, Data_All!$B$2:$CA$2, 0)+1), "")</f>
        <v/>
      </c>
      <c r="AT115" s="206" t="str">
        <f>IF(AND($A115&gt;=SYear_O, $A115&lt;=EYear_O, AT$3&gt;0), AT$3 * VLOOKUP($A115, Data_All!$A$8:$CA$153, MATCH(AT$2, Data_All!$B$2:$CA$2, 0)+1), "")</f>
        <v/>
      </c>
      <c r="AU115" s="206" t="str">
        <f>IF(AND($A115&gt;=SYear_O, $A115&lt;=EYear_O, AU$3&gt;0), AU$3 * VLOOKUP($A115, Data_All!$A$8:$CA$153, MATCH(AU$2, Data_All!$B$2:$CA$2, 0)+1), "")</f>
        <v/>
      </c>
      <c r="AV115" s="206" t="str">
        <f>IF(AND($A115&gt;=SYear_O, $A115&lt;=EYear_O, AV$3&gt;0), AV$3 * VLOOKUP($A115, Data_All!$A$8:$CA$153, MATCH(AV$2, Data_All!$B$2:$CA$2, 0)+1), "")</f>
        <v/>
      </c>
      <c r="AW115" s="206" t="str">
        <f>IF(AND($A115&gt;=SYear_O, $A115&lt;=EYear_O, AW$3&gt;0), AW$3 * VLOOKUP($A115, Data_All!$A$8:$CA$153, MATCH(AW$2, Data_All!$B$2:$CA$2, 0)+1), "")</f>
        <v/>
      </c>
      <c r="AX115" s="206" t="str">
        <f>IF(AND($A115&gt;=SYear_O, $A115&lt;=EYear_O, AX$3&gt;0), AX$3 * VLOOKUP($A115, Data_All!$A$8:$CA$153, MATCH(AX$2, Data_All!$B$2:$CA$2, 0)+1), "")</f>
        <v/>
      </c>
      <c r="AY115" s="206" t="str">
        <f>IF(AND($A115&gt;=SYear_O, $A115&lt;=EYear_O, AY$3&gt;0), AY$3 * VLOOKUP($A115, Data_All!$A$8:$CA$153, MATCH(AY$2, Data_All!$B$2:$CA$2, 0)+1), "")</f>
        <v/>
      </c>
      <c r="AZ115" s="206" t="str">
        <f>IF(AND($A115&gt;=SYear_O, $A115&lt;=EYear_O, AZ$3&gt;0), AZ$3 * VLOOKUP($A115, Data_All!$A$8:$CA$153, MATCH(AZ$2, Data_All!$B$2:$CA$2, 0)+1), "")</f>
        <v/>
      </c>
      <c r="BA115" s="206" t="str">
        <f>IF(AND($A115&gt;=SYear_O, $A115&lt;=EYear_O, BA$3&gt;0), BA$3 * VLOOKUP($A115, Data_All!$A$8:$CA$153, MATCH(BA$2, Data_All!$B$2:$CA$2, 0)+1), "")</f>
        <v/>
      </c>
      <c r="BB115" s="206" t="str">
        <f>IF(AND($A115&gt;=SYear_O, $A115&lt;=EYear_O, BB$3&gt;0), BB$3 * VLOOKUP($A115, Data_All!$A$8:$CA$153, MATCH(BB$2, Data_All!$B$2:$CA$2, 0)+1), "")</f>
        <v/>
      </c>
      <c r="BC115" s="206" t="str">
        <f>IF(AND($A115&gt;=SYear_O, $A115&lt;=EYear_O, BC$3&gt;0), BC$3 * VLOOKUP($A115, Data_All!$A$8:$CA$153, MATCH(BC$2, Data_All!$B$2:$CA$2, 0)+1), "")</f>
        <v/>
      </c>
      <c r="BD115" s="206" t="str">
        <f>IF(AND($A115&gt;=SYear_O, $A115&lt;=EYear_O, BD$3&gt;0), BD$3 * VLOOKUP($A115, Data_All!$A$8:$CA$153, MATCH(BD$2, Data_All!$B$2:$CA$2, 0)+1), "")</f>
        <v/>
      </c>
      <c r="BE115" s="206" t="str">
        <f>IF(AND($A115&gt;=SYear_O, $A115&lt;=EYear_O, BE$3&gt;0), BE$3 * VLOOKUP($A115, Data_All!$A$8:$CA$153, MATCH(BE$2, Data_All!$B$2:$CA$2, 0)+1), "")</f>
        <v/>
      </c>
      <c r="BF115" s="206" t="str">
        <f>IF(AND($A115&gt;=SYear_O, $A115&lt;=EYear_O, BF$3&gt;0), BF$3 * VLOOKUP($A115, Data_All!$A$8:$CA$153, MATCH(BF$2, Data_All!$B$2:$CA$2, 0)+1), "")</f>
        <v/>
      </c>
      <c r="BG115" s="206" t="str">
        <f>IF(AND($A115&gt;=SYear_O, $A115&lt;=EYear_O, BG$3&gt;0), BG$3 * VLOOKUP($A115, Data_All!$A$8:$CA$153, MATCH(BG$2, Data_All!$B$2:$CA$2, 0)+1), "")</f>
        <v/>
      </c>
      <c r="BH115" s="206" t="str">
        <f>IF(AND($A115&gt;=SYear_O, $A115&lt;=EYear_O, BH$3&gt;0), BH$3 * VLOOKUP($A115, Data_All!$A$8:$CA$153, MATCH(BH$2, Data_All!$B$2:$CA$2, 0)+1), "")</f>
        <v/>
      </c>
      <c r="BI115" s="206" t="str">
        <f>IF(AND($A115&gt;=SYear_O, $A115&lt;=EYear_O, BI$3&gt;0), BI$3 * VLOOKUP($A115, Data_All!$A$8:$CA$153, MATCH(BI$2, Data_All!$B$2:$CA$2, 0)+1), "")</f>
        <v/>
      </c>
      <c r="BJ115" s="206" t="str">
        <f>IF(AND($A115&gt;=SYear_O, $A115&lt;=EYear_O, BJ$3&gt;0), BJ$3 * VLOOKUP($A115, Data_All!$A$8:$CA$153, MATCH(BJ$2, Data_All!$B$2:$CA$2, 0)+1), "")</f>
        <v/>
      </c>
      <c r="BK115" s="206" t="str">
        <f>IF(AND($A115&gt;=SYear_O, $A115&lt;=EYear_O, BK$3&gt;0), BK$3 * VLOOKUP($A115, Data_All!$A$8:$CA$153, MATCH(BK$2, Data_All!$B$2:$CA$2, 0)+1), "")</f>
        <v/>
      </c>
      <c r="BL115" s="206" t="str">
        <f>IF(AND($A115&gt;=SYear_O, $A115&lt;=EYear_O, BL$3&gt;0), BL$3 * VLOOKUP($A115, Data_All!$A$8:$CA$153, MATCH(BL$2, Data_All!$B$2:$CA$2, 0)+1), "")</f>
        <v/>
      </c>
      <c r="BM115" s="206" t="str">
        <f>IF(AND($A115&gt;=SYear_O, $A115&lt;=EYear_O, BM$3&gt;0), BM$3 * VLOOKUP($A115, Data_All!$A$8:$CA$153, MATCH(BM$2, Data_All!$B$2:$CA$2, 0)+1), "")</f>
        <v/>
      </c>
      <c r="BN115" s="206" t="str">
        <f>IF(AND($A115&gt;=SYear_O, $A115&lt;=EYear_O, BN$3&gt;0), BN$3 * VLOOKUP($A115, Data_All!$A$8:$CA$153, MATCH(BN$2, Data_All!$B$2:$CA$2, 0)+1), "")</f>
        <v/>
      </c>
      <c r="BO115" s="206" t="str">
        <f>IF(AND($A115&gt;=SYear_O, $A115&lt;=EYear_O, BO$3&gt;0), BO$3 * VLOOKUP($A115, Data_All!$A$8:$CA$153, MATCH(BO$2, Data_All!$B$2:$CA$2, 0)+1), "")</f>
        <v/>
      </c>
      <c r="BP115" s="206" t="str">
        <f>IF(AND($A115&gt;=SYear_O, $A115&lt;=EYear_O, BP$3&gt;0), BP$3 * VLOOKUP($A115, Data_All!$A$8:$CA$153, MATCH(BP$2, Data_All!$B$2:$CA$2, 0)+1), "")</f>
        <v/>
      </c>
      <c r="BQ115" s="206" t="str">
        <f>IF(AND($A115&gt;=SYear_O, $A115&lt;=EYear_O, BQ$3&gt;0), BQ$3 * VLOOKUP($A115, Data_All!$A$8:$CA$153, MATCH(BQ$2, Data_All!$B$2:$CA$2, 0)+1), "")</f>
        <v/>
      </c>
      <c r="BR115" s="206" t="str">
        <f>IF(AND($A115&gt;=SYear_O, $A115&lt;=EYear_O, BR$3&gt;0), BR$3 * VLOOKUP($A115, Data_All!$A$8:$CA$153, MATCH(BR$2, Data_All!$B$2:$CA$2, 0)+1), "")</f>
        <v/>
      </c>
      <c r="BS115" s="206" t="str">
        <f>IF(AND($A115&gt;=SYear_O, $A115&lt;=EYear_O, BS$3&gt;0), BS$3 * VLOOKUP($A115, Data_All!$A$8:$CA$153, MATCH(BS$2, Data_All!$B$2:$CA$2, 0)+1), "")</f>
        <v/>
      </c>
      <c r="BT115" s="206" t="str">
        <f>IF(AND($A115&gt;=SYear_O, $A115&lt;=EYear_O, BT$3&gt;0), BT$3 * VLOOKUP($A115, Data_All!$A$8:$CA$153, MATCH(BT$2, Data_All!$B$2:$CA$2, 0)+1), "")</f>
        <v/>
      </c>
      <c r="BU115" s="206" t="str">
        <f>IF(AND($A115&gt;=SYear_O, $A115&lt;=EYear_O, BU$3&gt;0), BU$3 * VLOOKUP($A115, Data_All!$A$8:$CA$153, MATCH(BU$2, Data_All!$B$2:$CA$2, 0)+1), "")</f>
        <v/>
      </c>
      <c r="BV115" s="206" t="str">
        <f>IF(AND($A115&gt;=SYear_O, $A115&lt;=EYear_O, BV$3&gt;0), BV$3 * VLOOKUP($A115, Data_All!$A$8:$CA$153, MATCH(BV$2, Data_All!$B$2:$CA$2, 0)+1), "")</f>
        <v/>
      </c>
      <c r="BW115" s="206" t="str">
        <f>IF(AND($A115&gt;=SYear_O, $A115&lt;=EYear_O, BW$3&gt;0), BW$3 * VLOOKUP($A115, Data_All!$A$8:$CA$153, MATCH(BW$2, Data_All!$B$2:$CA$2, 0)+1), "")</f>
        <v/>
      </c>
      <c r="BX115" s="206">
        <f>IF(AND($A115&gt;=SYear_O, $A115&lt;=EYear_O, BX$3&gt;0), BX$3 * VLOOKUP($A115, Data_All!$A$8:$CA$153, MATCH(BX$2, Data_All!$B$2:$CA$2, 0)+1), "")</f>
        <v>10.115334469962898</v>
      </c>
      <c r="BY115" s="206">
        <f>IF(AND($A115&gt;=SYear_O, $A115&lt;=EYear_O, BY$3&gt;0), BY$3 * VLOOKUP($A115, Data_All!$A$8:$CA$153, MATCH(BY$2, Data_All!$B$2:$CA$2, 0)+1), "")</f>
        <v>1.1107416739061104</v>
      </c>
      <c r="BZ115" s="206" t="str">
        <f>IF(AND($A115&gt;=SYear_O, $A115&lt;=EYear_O, BZ$3&gt;0), BZ$3 * VLOOKUP($A115, Data_All!$A$8:$CA$153, MATCH(BZ$2, Data_All!$B$2:$CA$2, 0)+1), "")</f>
        <v/>
      </c>
      <c r="CA115" s="565">
        <f t="shared" si="52"/>
        <v>11.226076143869008</v>
      </c>
      <c r="CB115" s="427">
        <f t="shared" si="53"/>
        <v>12169913.908331435</v>
      </c>
      <c r="CC115" s="565">
        <f>IF(AND($A115&gt;=SYear_O,$A115&lt;=EYear_O),(CA115-Data_All!CA116)/(1+Data_All!CA116%),"")</f>
        <v>-1.8252235340295693</v>
      </c>
      <c r="CD115" s="436">
        <f t="shared" si="54"/>
        <v>1977660.3561693798</v>
      </c>
      <c r="CE115" s="438">
        <f t="shared" si="55"/>
        <v>1103.801927341598</v>
      </c>
      <c r="CF115" s="438">
        <f>IF(AND($A115&gt;=SYear_O,$A115&lt;=EYear_O),MAX($CE$7:CE115),"")</f>
        <v>1103.801927341598</v>
      </c>
      <c r="CG115" s="209">
        <f t="shared" si="56"/>
        <v>0</v>
      </c>
      <c r="CI115" s="143">
        <f>IF(AND($A115&gt;=SYear_O,$A115&lt;=EYear_O),Data_All!V116,"")</f>
        <v>10.300729343590771</v>
      </c>
      <c r="CJ115" s="143">
        <f>IF(AND($A115&gt;=SYear_O,$A115&lt;=EYear_O),Data_All!CA116,"")</f>
        <v>13.293943870014768</v>
      </c>
      <c r="CK115" s="143">
        <f t="shared" si="57"/>
        <v>-2.641989875344259</v>
      </c>
      <c r="CN115" s="61">
        <f t="shared" si="58"/>
        <v>0.11226076143869013</v>
      </c>
      <c r="CO115" s="61">
        <f t="shared" si="59"/>
        <v>8.4206082181410347E-2</v>
      </c>
      <c r="CP115" s="61">
        <f t="shared" si="60"/>
        <v>0.13771460390008494</v>
      </c>
      <c r="CQ115" s="61">
        <f t="shared" si="61"/>
        <v>0.13853031973892671</v>
      </c>
      <c r="CR115" s="61">
        <f t="shared" si="62"/>
        <v>0.13570292278838214</v>
      </c>
      <c r="CU115" s="61">
        <f t="shared" si="63"/>
        <v>-1.8252235340295742E-2</v>
      </c>
      <c r="CV115" s="61">
        <f t="shared" si="64"/>
        <v>-2.8151032464445169E-2</v>
      </c>
      <c r="CW115" s="61">
        <f t="shared" si="65"/>
        <v>4.9612943057123937E-2</v>
      </c>
      <c r="CX115" s="61">
        <f t="shared" si="66"/>
        <v>7.4743340627762889E-2</v>
      </c>
      <c r="CY115" s="61">
        <f t="shared" si="67"/>
        <v>7.9079610350925922E-2</v>
      </c>
    </row>
    <row r="116" spans="1:103">
      <c r="A116" s="204">
        <f t="shared" si="51"/>
        <v>1980</v>
      </c>
      <c r="B116" s="206" t="str">
        <f>IF(AND($A116&gt;=SYear_O, $A116&lt;=EYear_O, B$3&gt;0), B$3 * VLOOKUP($A116, Data_All!$A$8:$CA$153, MATCH(B$2, Data_All!$B$2:$CA$2, 0)+1), "")</f>
        <v/>
      </c>
      <c r="C116" s="206" t="str">
        <f>IF(AND($A116&gt;=SYear_O, $A116&lt;=EYear_O, C$3&gt;0), C$3 * VLOOKUP($A116, Data_All!$A$8:$CA$153, MATCH(C$2, Data_All!$B$2:$CA$2, 0)+1), "")</f>
        <v/>
      </c>
      <c r="D116" s="206" t="str">
        <f>IF(AND($A116&gt;=SYear_O, $A116&lt;=EYear_O, D$3&gt;0), D$3 * VLOOKUP($A116, Data_All!$A$8:$CA$153, MATCH(D$2, Data_All!$B$2:$CA$2, 0)+1), "")</f>
        <v/>
      </c>
      <c r="E116" s="206" t="str">
        <f>IF(AND($A116&gt;=SYear_O, $A116&lt;=EYear_O, E$3&gt;0), E$3 * VLOOKUP($A116, Data_All!$A$8:$CA$153, MATCH(E$2, Data_All!$B$2:$CA$2, 0)+1), "")</f>
        <v/>
      </c>
      <c r="F116" s="206" t="str">
        <f>IF(AND($A116&gt;=SYear_O, $A116&lt;=EYear_O, F$3&gt;0), F$3 * VLOOKUP($A116, Data_All!$A$8:$CA$153, MATCH(F$2, Data_All!$B$2:$CA$2, 0)+1), "")</f>
        <v/>
      </c>
      <c r="G116" s="206" t="str">
        <f>IF(AND($A116&gt;=SYear_O, $A116&lt;=EYear_O, G$3&gt;0), G$3 * VLOOKUP($A116, Data_All!$A$8:$CA$153, MATCH(G$2, Data_All!$B$2:$CA$2, 0)+1), "")</f>
        <v/>
      </c>
      <c r="H116" s="206" t="str">
        <f>IF(AND($A116&gt;=SYear_O, $A116&lt;=EYear_O, H$3&gt;0), H$3 * VLOOKUP($A116, Data_All!$A$8:$CA$153, MATCH(H$2, Data_All!$B$2:$CA$2, 0)+1), "")</f>
        <v/>
      </c>
      <c r="I116" s="206" t="str">
        <f>IF(AND($A116&gt;=SYear_O, $A116&lt;=EYear_O, I$3&gt;0), I$3 * VLOOKUP($A116, Data_All!$A$8:$CA$153, MATCH(I$2, Data_All!$B$2:$CA$2, 0)+1), "")</f>
        <v/>
      </c>
      <c r="J116" s="206" t="str">
        <f>IF(AND($A116&gt;=SYear_O, $A116&lt;=EYear_O, J$3&gt;0), J$3 * VLOOKUP($A116, Data_All!$A$8:$CA$153, MATCH(J$2, Data_All!$B$2:$CA$2, 0)+1), "")</f>
        <v/>
      </c>
      <c r="K116" s="206" t="str">
        <f>IF(AND($A116&gt;=SYear_O, $A116&lt;=EYear_O, K$3&gt;0), K$3 * VLOOKUP($A116, Data_All!$A$8:$CA$153, MATCH(K$2, Data_All!$B$2:$CA$2, 0)+1), "")</f>
        <v/>
      </c>
      <c r="L116" s="206" t="str">
        <f>IF(AND($A116&gt;=SYear_O, $A116&lt;=EYear_O, L$3&gt;0), L$3 * VLOOKUP($A116, Data_All!$A$8:$CA$153, MATCH(L$2, Data_All!$B$2:$CA$2, 0)+1), "")</f>
        <v/>
      </c>
      <c r="M116" s="206" t="str">
        <f>IF(AND($A116&gt;=SYear_O, $A116&lt;=EYear_O, M$3&gt;0), M$3 * VLOOKUP($A116, Data_All!$A$8:$CA$153, MATCH(M$2, Data_All!$B$2:$CA$2, 0)+1), "")</f>
        <v/>
      </c>
      <c r="N116" s="206" t="str">
        <f>IF(AND($A116&gt;=SYear_O, $A116&lt;=EYear_O, N$3&gt;0), N$3 * VLOOKUP($A116, Data_All!$A$8:$CA$153, MATCH(N$2, Data_All!$B$2:$CA$2, 0)+1), "")</f>
        <v/>
      </c>
      <c r="O116" s="206" t="str">
        <f>IF(AND($A116&gt;=SYear_O, $A116&lt;=EYear_O, O$3&gt;0), O$3 * VLOOKUP($A116, Data_All!$A$8:$CA$153, MATCH(O$2, Data_All!$B$2:$CA$2, 0)+1), "")</f>
        <v/>
      </c>
      <c r="P116" s="206" t="str">
        <f>IF(AND($A116&gt;=SYear_O, $A116&lt;=EYear_O, P$3&gt;0), P$3 * VLOOKUP($A116, Data_All!$A$8:$CA$153, MATCH(P$2, Data_All!$B$2:$CA$2, 0)+1), "")</f>
        <v/>
      </c>
      <c r="Q116" s="206" t="str">
        <f>IF(AND($A116&gt;=SYear_O, $A116&lt;=EYear_O, Q$3&gt;0), Q$3 * VLOOKUP($A116, Data_All!$A$8:$CA$153, MATCH(Q$2, Data_All!$B$2:$CA$2, 0)+1), "")</f>
        <v/>
      </c>
      <c r="R116" s="206" t="str">
        <f>IF(AND($A116&gt;=SYear_O, $A116&lt;=EYear_O, R$3&gt;0), R$3 * VLOOKUP($A116, Data_All!$A$8:$CA$153, MATCH(R$2, Data_All!$B$2:$CA$2, 0)+1), "")</f>
        <v/>
      </c>
      <c r="S116" s="206" t="str">
        <f>IF(AND($A116&gt;=SYear_O, $A116&lt;=EYear_O, S$3&gt;0), S$3 * VLOOKUP($A116, Data_All!$A$8:$CA$153, MATCH(S$2, Data_All!$B$2:$CA$2, 0)+1), "")</f>
        <v/>
      </c>
      <c r="T116" s="206" t="str">
        <f>IF(AND($A116&gt;=SYear_O, $A116&lt;=EYear_O, T$3&gt;0), T$3 * VLOOKUP($A116, Data_All!$A$8:$CA$153, MATCH(T$2, Data_All!$B$2:$CA$2, 0)+1), "")</f>
        <v/>
      </c>
      <c r="U116" s="206" t="str">
        <f>IF(AND($A116&gt;=SYear_O, $A116&lt;=EYear_O, U$3&gt;0), U$3 * VLOOKUP($A116, Data_All!$A$8:$CA$153, MATCH(U$2, Data_All!$B$2:$CA$2, 0)+1), "")</f>
        <v/>
      </c>
      <c r="V116" s="206" t="str">
        <f>IF(AND($A116&gt;=SYear_O, $A116&lt;=EYear_O, V$3&gt;0), V$3 * VLOOKUP($A116, Data_All!$A$8:$CA$153, MATCH(V$2, Data_All!$B$2:$CA$2, 0)+1), "")</f>
        <v/>
      </c>
      <c r="W116" s="206" t="str">
        <f>IF(AND($A116&gt;=SYear_O, $A116&lt;=EYear_O, W$3&gt;0), W$3 * VLOOKUP($A116, Data_All!$A$8:$CA$153, MATCH(W$2, Data_All!$B$2:$CA$2, 0)+1), "")</f>
        <v/>
      </c>
      <c r="X116" s="206" t="str">
        <f>IF(AND($A116&gt;=SYear_O, $A116&lt;=EYear_O, X$3&gt;0), X$3 * VLOOKUP($A116, Data_All!$A$8:$CA$153, MATCH(X$2, Data_All!$B$2:$CA$2, 0)+1), "")</f>
        <v/>
      </c>
      <c r="Y116" s="206" t="str">
        <f>IF(AND($A116&gt;=SYear_O, $A116&lt;=EYear_O, Y$3&gt;0), Y$3 * VLOOKUP($A116, Data_All!$A$8:$CA$153, MATCH(Y$2, Data_All!$B$2:$CA$2, 0)+1), "")</f>
        <v/>
      </c>
      <c r="Z116" s="206" t="str">
        <f>IF(AND($A116&gt;=SYear_O, $A116&lt;=EYear_O, Z$3&gt;0), Z$3 * VLOOKUP($A116, Data_All!$A$8:$CA$153, MATCH(Z$2, Data_All!$B$2:$CA$2, 0)+1), "")</f>
        <v/>
      </c>
      <c r="AA116" s="206" t="str">
        <f>IF(AND($A116&gt;=SYear_O, $A116&lt;=EYear_O, AA$3&gt;0), AA$3 * VLOOKUP($A116, Data_All!$A$8:$CA$153, MATCH(AA$2, Data_All!$B$2:$CA$2, 0)+1), "")</f>
        <v/>
      </c>
      <c r="AB116" s="206" t="str">
        <f>IF(AND($A116&gt;=SYear_O, $A116&lt;=EYear_O, AB$3&gt;0), AB$3 * VLOOKUP($A116, Data_All!$A$8:$CA$153, MATCH(AB$2, Data_All!$B$2:$CA$2, 0)+1), "")</f>
        <v/>
      </c>
      <c r="AC116" s="206" t="str">
        <f>IF(AND($A116&gt;=SYear_O, $A116&lt;=EYear_O, AC$3&gt;0), AC$3 * VLOOKUP($A116, Data_All!$A$8:$CA$153, MATCH(AC$2, Data_All!$B$2:$CA$2, 0)+1), "")</f>
        <v/>
      </c>
      <c r="AD116" s="206" t="str">
        <f>IF(AND($A116&gt;=SYear_O, $A116&lt;=EYear_O, AD$3&gt;0), AD$3 * VLOOKUP($A116, Data_All!$A$8:$CA$153, MATCH(AD$2, Data_All!$B$2:$CA$2, 0)+1), "")</f>
        <v/>
      </c>
      <c r="AE116" s="206" t="str">
        <f>IF(AND($A116&gt;=SYear_O, $A116&lt;=EYear_O, AE$3&gt;0), AE$3 * VLOOKUP($A116, Data_All!$A$8:$CA$153, MATCH(AE$2, Data_All!$B$2:$CA$2, 0)+1), "")</f>
        <v/>
      </c>
      <c r="AF116" s="206" t="str">
        <f>IF(AND($A116&gt;=SYear_O, $A116&lt;=EYear_O, AF$3&gt;0), AF$3 * VLOOKUP($A116, Data_All!$A$8:$CA$153, MATCH(AF$2, Data_All!$B$2:$CA$2, 0)+1), "")</f>
        <v/>
      </c>
      <c r="AG116" s="206" t="str">
        <f>IF(AND($A116&gt;=SYear_O, $A116&lt;=EYear_O, AG$3&gt;0), AG$3 * VLOOKUP($A116, Data_All!$A$8:$CA$153, MATCH(AG$2, Data_All!$B$2:$CA$2, 0)+1), "")</f>
        <v/>
      </c>
      <c r="AH116" s="206" t="str">
        <f>IF(AND($A116&gt;=SYear_O, $A116&lt;=EYear_O, AH$3&gt;0), AH$3 * VLOOKUP($A116, Data_All!$A$8:$CA$153, MATCH(AH$2, Data_All!$B$2:$CA$2, 0)+1), "")</f>
        <v/>
      </c>
      <c r="AI116" s="206" t="str">
        <f>IF(AND($A116&gt;=SYear_O, $A116&lt;=EYear_O, AI$3&gt;0), AI$3 * VLOOKUP($A116, Data_All!$A$8:$CA$153, MATCH(AI$2, Data_All!$B$2:$CA$2, 0)+1), "")</f>
        <v/>
      </c>
      <c r="AJ116" s="206" t="str">
        <f>IF(AND($A116&gt;=SYear_O, $A116&lt;=EYear_O, AJ$3&gt;0), AJ$3 * VLOOKUP($A116, Data_All!$A$8:$CA$153, MATCH(AJ$2, Data_All!$B$2:$CA$2, 0)+1), "")</f>
        <v/>
      </c>
      <c r="AK116" s="206" t="str">
        <f>IF(AND($A116&gt;=SYear_O, $A116&lt;=EYear_O, AK$3&gt;0), AK$3 * VLOOKUP($A116, Data_All!$A$8:$CA$153, MATCH(AK$2, Data_All!$B$2:$CA$2, 0)+1), "")</f>
        <v/>
      </c>
      <c r="AL116" s="206" t="str">
        <f>IF(AND($A116&gt;=SYear_O, $A116&lt;=EYear_O, AL$3&gt;0), AL$3 * VLOOKUP($A116, Data_All!$A$8:$CA$153, MATCH(AL$2, Data_All!$B$2:$CA$2, 0)+1), "")</f>
        <v/>
      </c>
      <c r="AM116" s="206" t="str">
        <f>IF(AND($A116&gt;=SYear_O, $A116&lt;=EYear_O, AM$3&gt;0), AM$3 * VLOOKUP($A116, Data_All!$A$8:$CA$153, MATCH(AM$2, Data_All!$B$2:$CA$2, 0)+1), "")</f>
        <v/>
      </c>
      <c r="AN116" s="206" t="str">
        <f>IF(AND($A116&gt;=SYear_O, $A116&lt;=EYear_O, AN$3&gt;0), AN$3 * VLOOKUP($A116, Data_All!$A$8:$CA$153, MATCH(AN$2, Data_All!$B$2:$CA$2, 0)+1), "")</f>
        <v/>
      </c>
      <c r="AO116" s="206" t="str">
        <f>IF(AND($A116&gt;=SYear_O, $A116&lt;=EYear_O, AO$3&gt;0), AO$3 * VLOOKUP($A116, Data_All!$A$8:$CA$153, MATCH(AO$2, Data_All!$B$2:$CA$2, 0)+1), "")</f>
        <v/>
      </c>
      <c r="AP116" s="206" t="str">
        <f>IF(AND($A116&gt;=SYear_O, $A116&lt;=EYear_O, AP$3&gt;0), AP$3 * VLOOKUP($A116, Data_All!$A$8:$CA$153, MATCH(AP$2, Data_All!$B$2:$CA$2, 0)+1), "")</f>
        <v/>
      </c>
      <c r="AQ116" s="206" t="str">
        <f>IF(AND($A116&gt;=SYear_O, $A116&lt;=EYear_O, AQ$3&gt;0), AQ$3 * VLOOKUP($A116, Data_All!$A$8:$CA$153, MATCH(AQ$2, Data_All!$B$2:$CA$2, 0)+1), "")</f>
        <v/>
      </c>
      <c r="AR116" s="206" t="str">
        <f>IF(AND($A116&gt;=SYear_O, $A116&lt;=EYear_O, AR$3&gt;0), AR$3 * VLOOKUP($A116, Data_All!$A$8:$CA$153, MATCH(AR$2, Data_All!$B$2:$CA$2, 0)+1), "")</f>
        <v/>
      </c>
      <c r="AS116" s="206" t="str">
        <f>IF(AND($A116&gt;=SYear_O, $A116&lt;=EYear_O, AS$3&gt;0), AS$3 * VLOOKUP($A116, Data_All!$A$8:$CA$153, MATCH(AS$2, Data_All!$B$2:$CA$2, 0)+1), "")</f>
        <v/>
      </c>
      <c r="AT116" s="206" t="str">
        <f>IF(AND($A116&gt;=SYear_O, $A116&lt;=EYear_O, AT$3&gt;0), AT$3 * VLOOKUP($A116, Data_All!$A$8:$CA$153, MATCH(AT$2, Data_All!$B$2:$CA$2, 0)+1), "")</f>
        <v/>
      </c>
      <c r="AU116" s="206" t="str">
        <f>IF(AND($A116&gt;=SYear_O, $A116&lt;=EYear_O, AU$3&gt;0), AU$3 * VLOOKUP($A116, Data_All!$A$8:$CA$153, MATCH(AU$2, Data_All!$B$2:$CA$2, 0)+1), "")</f>
        <v/>
      </c>
      <c r="AV116" s="206" t="str">
        <f>IF(AND($A116&gt;=SYear_O, $A116&lt;=EYear_O, AV$3&gt;0), AV$3 * VLOOKUP($A116, Data_All!$A$8:$CA$153, MATCH(AV$2, Data_All!$B$2:$CA$2, 0)+1), "")</f>
        <v/>
      </c>
      <c r="AW116" s="206" t="str">
        <f>IF(AND($A116&gt;=SYear_O, $A116&lt;=EYear_O, AW$3&gt;0), AW$3 * VLOOKUP($A116, Data_All!$A$8:$CA$153, MATCH(AW$2, Data_All!$B$2:$CA$2, 0)+1), "")</f>
        <v/>
      </c>
      <c r="AX116" s="206" t="str">
        <f>IF(AND($A116&gt;=SYear_O, $A116&lt;=EYear_O, AX$3&gt;0), AX$3 * VLOOKUP($A116, Data_All!$A$8:$CA$153, MATCH(AX$2, Data_All!$B$2:$CA$2, 0)+1), "")</f>
        <v/>
      </c>
      <c r="AY116" s="206" t="str">
        <f>IF(AND($A116&gt;=SYear_O, $A116&lt;=EYear_O, AY$3&gt;0), AY$3 * VLOOKUP($A116, Data_All!$A$8:$CA$153, MATCH(AY$2, Data_All!$B$2:$CA$2, 0)+1), "")</f>
        <v/>
      </c>
      <c r="AZ116" s="206" t="str">
        <f>IF(AND($A116&gt;=SYear_O, $A116&lt;=EYear_O, AZ$3&gt;0), AZ$3 * VLOOKUP($A116, Data_All!$A$8:$CA$153, MATCH(AZ$2, Data_All!$B$2:$CA$2, 0)+1), "")</f>
        <v/>
      </c>
      <c r="BA116" s="206" t="str">
        <f>IF(AND($A116&gt;=SYear_O, $A116&lt;=EYear_O, BA$3&gt;0), BA$3 * VLOOKUP($A116, Data_All!$A$8:$CA$153, MATCH(BA$2, Data_All!$B$2:$CA$2, 0)+1), "")</f>
        <v/>
      </c>
      <c r="BB116" s="206" t="str">
        <f>IF(AND($A116&gt;=SYear_O, $A116&lt;=EYear_O, BB$3&gt;0), BB$3 * VLOOKUP($A116, Data_All!$A$8:$CA$153, MATCH(BB$2, Data_All!$B$2:$CA$2, 0)+1), "")</f>
        <v/>
      </c>
      <c r="BC116" s="206" t="str">
        <f>IF(AND($A116&gt;=SYear_O, $A116&lt;=EYear_O, BC$3&gt;0), BC$3 * VLOOKUP($A116, Data_All!$A$8:$CA$153, MATCH(BC$2, Data_All!$B$2:$CA$2, 0)+1), "")</f>
        <v/>
      </c>
      <c r="BD116" s="206" t="str">
        <f>IF(AND($A116&gt;=SYear_O, $A116&lt;=EYear_O, BD$3&gt;0), BD$3 * VLOOKUP($A116, Data_All!$A$8:$CA$153, MATCH(BD$2, Data_All!$B$2:$CA$2, 0)+1), "")</f>
        <v/>
      </c>
      <c r="BE116" s="206" t="str">
        <f>IF(AND($A116&gt;=SYear_O, $A116&lt;=EYear_O, BE$3&gt;0), BE$3 * VLOOKUP($A116, Data_All!$A$8:$CA$153, MATCH(BE$2, Data_All!$B$2:$CA$2, 0)+1), "")</f>
        <v/>
      </c>
      <c r="BF116" s="206" t="str">
        <f>IF(AND($A116&gt;=SYear_O, $A116&lt;=EYear_O, BF$3&gt;0), BF$3 * VLOOKUP($A116, Data_All!$A$8:$CA$153, MATCH(BF$2, Data_All!$B$2:$CA$2, 0)+1), "")</f>
        <v/>
      </c>
      <c r="BG116" s="206" t="str">
        <f>IF(AND($A116&gt;=SYear_O, $A116&lt;=EYear_O, BG$3&gt;0), BG$3 * VLOOKUP($A116, Data_All!$A$8:$CA$153, MATCH(BG$2, Data_All!$B$2:$CA$2, 0)+1), "")</f>
        <v/>
      </c>
      <c r="BH116" s="206" t="str">
        <f>IF(AND($A116&gt;=SYear_O, $A116&lt;=EYear_O, BH$3&gt;0), BH$3 * VLOOKUP($A116, Data_All!$A$8:$CA$153, MATCH(BH$2, Data_All!$B$2:$CA$2, 0)+1), "")</f>
        <v/>
      </c>
      <c r="BI116" s="206" t="str">
        <f>IF(AND($A116&gt;=SYear_O, $A116&lt;=EYear_O, BI$3&gt;0), BI$3 * VLOOKUP($A116, Data_All!$A$8:$CA$153, MATCH(BI$2, Data_All!$B$2:$CA$2, 0)+1), "")</f>
        <v/>
      </c>
      <c r="BJ116" s="206" t="str">
        <f>IF(AND($A116&gt;=SYear_O, $A116&lt;=EYear_O, BJ$3&gt;0), BJ$3 * VLOOKUP($A116, Data_All!$A$8:$CA$153, MATCH(BJ$2, Data_All!$B$2:$CA$2, 0)+1), "")</f>
        <v/>
      </c>
      <c r="BK116" s="206" t="str">
        <f>IF(AND($A116&gt;=SYear_O, $A116&lt;=EYear_O, BK$3&gt;0), BK$3 * VLOOKUP($A116, Data_All!$A$8:$CA$153, MATCH(BK$2, Data_All!$B$2:$CA$2, 0)+1), "")</f>
        <v/>
      </c>
      <c r="BL116" s="206" t="str">
        <f>IF(AND($A116&gt;=SYear_O, $A116&lt;=EYear_O, BL$3&gt;0), BL$3 * VLOOKUP($A116, Data_All!$A$8:$CA$153, MATCH(BL$2, Data_All!$B$2:$CA$2, 0)+1), "")</f>
        <v/>
      </c>
      <c r="BM116" s="206" t="str">
        <f>IF(AND($A116&gt;=SYear_O, $A116&lt;=EYear_O, BM$3&gt;0), BM$3 * VLOOKUP($A116, Data_All!$A$8:$CA$153, MATCH(BM$2, Data_All!$B$2:$CA$2, 0)+1), "")</f>
        <v/>
      </c>
      <c r="BN116" s="206" t="str">
        <f>IF(AND($A116&gt;=SYear_O, $A116&lt;=EYear_O, BN$3&gt;0), BN$3 * VLOOKUP($A116, Data_All!$A$8:$CA$153, MATCH(BN$2, Data_All!$B$2:$CA$2, 0)+1), "")</f>
        <v/>
      </c>
      <c r="BO116" s="206" t="str">
        <f>IF(AND($A116&gt;=SYear_O, $A116&lt;=EYear_O, BO$3&gt;0), BO$3 * VLOOKUP($A116, Data_All!$A$8:$CA$153, MATCH(BO$2, Data_All!$B$2:$CA$2, 0)+1), "")</f>
        <v/>
      </c>
      <c r="BP116" s="206" t="str">
        <f>IF(AND($A116&gt;=SYear_O, $A116&lt;=EYear_O, BP$3&gt;0), BP$3 * VLOOKUP($A116, Data_All!$A$8:$CA$153, MATCH(BP$2, Data_All!$B$2:$CA$2, 0)+1), "")</f>
        <v/>
      </c>
      <c r="BQ116" s="206" t="str">
        <f>IF(AND($A116&gt;=SYear_O, $A116&lt;=EYear_O, BQ$3&gt;0), BQ$3 * VLOOKUP($A116, Data_All!$A$8:$CA$153, MATCH(BQ$2, Data_All!$B$2:$CA$2, 0)+1), "")</f>
        <v/>
      </c>
      <c r="BR116" s="206" t="str">
        <f>IF(AND($A116&gt;=SYear_O, $A116&lt;=EYear_O, BR$3&gt;0), BR$3 * VLOOKUP($A116, Data_All!$A$8:$CA$153, MATCH(BR$2, Data_All!$B$2:$CA$2, 0)+1), "")</f>
        <v/>
      </c>
      <c r="BS116" s="206" t="str">
        <f>IF(AND($A116&gt;=SYear_O, $A116&lt;=EYear_O, BS$3&gt;0), BS$3 * VLOOKUP($A116, Data_All!$A$8:$CA$153, MATCH(BS$2, Data_All!$B$2:$CA$2, 0)+1), "")</f>
        <v/>
      </c>
      <c r="BT116" s="206" t="str">
        <f>IF(AND($A116&gt;=SYear_O, $A116&lt;=EYear_O, BT$3&gt;0), BT$3 * VLOOKUP($A116, Data_All!$A$8:$CA$153, MATCH(BT$2, Data_All!$B$2:$CA$2, 0)+1), "")</f>
        <v/>
      </c>
      <c r="BU116" s="206" t="str">
        <f>IF(AND($A116&gt;=SYear_O, $A116&lt;=EYear_O, BU$3&gt;0), BU$3 * VLOOKUP($A116, Data_All!$A$8:$CA$153, MATCH(BU$2, Data_All!$B$2:$CA$2, 0)+1), "")</f>
        <v/>
      </c>
      <c r="BV116" s="206" t="str">
        <f>IF(AND($A116&gt;=SYear_O, $A116&lt;=EYear_O, BV$3&gt;0), BV$3 * VLOOKUP($A116, Data_All!$A$8:$CA$153, MATCH(BV$2, Data_All!$B$2:$CA$2, 0)+1), "")</f>
        <v/>
      </c>
      <c r="BW116" s="206" t="str">
        <f>IF(AND($A116&gt;=SYear_O, $A116&lt;=EYear_O, BW$3&gt;0), BW$3 * VLOOKUP($A116, Data_All!$A$8:$CA$153, MATCH(BW$2, Data_All!$B$2:$CA$2, 0)+1), "")</f>
        <v/>
      </c>
      <c r="BX116" s="206">
        <f>IF(AND($A116&gt;=SYear_O, $A116&lt;=EYear_O, BX$3&gt;0), BX$3 * VLOOKUP($A116, Data_All!$A$8:$CA$153, MATCH(BX$2, Data_All!$B$2:$CA$2, 0)+1), "")</f>
        <v>15.293587083972209</v>
      </c>
      <c r="BY116" s="206">
        <f>IF(AND($A116&gt;=SYear_O, $A116&lt;=EYear_O, BY$3&gt;0), BY$3 * VLOOKUP($A116, Data_All!$A$8:$CA$153, MATCH(BY$2, Data_All!$B$2:$CA$2, 0)+1), "")</f>
        <v>1.4084698481300162</v>
      </c>
      <c r="BZ116" s="206" t="str">
        <f>IF(AND($A116&gt;=SYear_O, $A116&lt;=EYear_O, BZ$3&gt;0), BZ$3 * VLOOKUP($A116, Data_All!$A$8:$CA$153, MATCH(BZ$2, Data_All!$B$2:$CA$2, 0)+1), "")</f>
        <v/>
      </c>
      <c r="CA116" s="565">
        <f t="shared" si="52"/>
        <v>16.702056932102224</v>
      </c>
      <c r="CB116" s="427">
        <f t="shared" si="53"/>
        <v>14202539.857888779</v>
      </c>
      <c r="CC116" s="565">
        <f>IF(AND($A116&gt;=SYear_O,$A116&lt;=EYear_O),(CA116-Data_All!CA117)/(1+Data_All!CA117%),"")</f>
        <v>3.7201363463759165</v>
      </c>
      <c r="CD116" s="436">
        <f t="shared" si="54"/>
        <v>2051232.0178871043</v>
      </c>
      <c r="CE116" s="438">
        <f t="shared" si="55"/>
        <v>1288.1595536638333</v>
      </c>
      <c r="CF116" s="438">
        <f>IF(AND($A116&gt;=SYear_O,$A116&lt;=EYear_O),MAX($CE$7:CE116),"")</f>
        <v>1288.1595536638333</v>
      </c>
      <c r="CG116" s="209">
        <f t="shared" si="56"/>
        <v>0</v>
      </c>
      <c r="CI116" s="143">
        <f>IF(AND($A116&gt;=SYear_O,$A116&lt;=EYear_O),Data_All!V117,"")</f>
        <v>11.19992007193526</v>
      </c>
      <c r="CJ116" s="143">
        <f>IF(AND($A116&gt;=SYear_O,$A116&lt;=EYear_O),Data_All!CA117,"")</f>
        <v>12.516297262059961</v>
      </c>
      <c r="CK116" s="143">
        <f t="shared" si="57"/>
        <v>-1.1699435745372488</v>
      </c>
      <c r="CN116" s="61">
        <f t="shared" si="58"/>
        <v>0.16702056932102227</v>
      </c>
      <c r="CO116" s="61">
        <f t="shared" si="59"/>
        <v>0.14396736021292988</v>
      </c>
      <c r="CP116" s="61">
        <f t="shared" si="60"/>
        <v>0.13497580222270744</v>
      </c>
      <c r="CQ116" s="61">
        <f t="shared" si="61"/>
        <v>0.146285566145407</v>
      </c>
      <c r="CR116" s="61">
        <f t="shared" si="62"/>
        <v>0.12694149556204959</v>
      </c>
      <c r="CU116" s="61">
        <f t="shared" si="63"/>
        <v>3.720136346375913E-2</v>
      </c>
      <c r="CV116" s="61">
        <f t="shared" si="64"/>
        <v>5.5671544594621647E-2</v>
      </c>
      <c r="CW116" s="61">
        <f t="shared" si="65"/>
        <v>6.5270746507481103E-2</v>
      </c>
      <c r="CX116" s="61">
        <f t="shared" si="66"/>
        <v>9.0688795249468823E-2</v>
      </c>
      <c r="CY116" s="61">
        <f t="shared" si="67"/>
        <v>7.78035459663724E-2</v>
      </c>
    </row>
    <row r="117" spans="1:103">
      <c r="A117" s="204">
        <f t="shared" si="51"/>
        <v>1981</v>
      </c>
      <c r="B117" s="206" t="str">
        <f>IF(AND($A117&gt;=SYear_O, $A117&lt;=EYear_O, B$3&gt;0), B$3 * VLOOKUP($A117, Data_All!$A$8:$CA$153, MATCH(B$2, Data_All!$B$2:$CA$2, 0)+1), "")</f>
        <v/>
      </c>
      <c r="C117" s="206" t="str">
        <f>IF(AND($A117&gt;=SYear_O, $A117&lt;=EYear_O, C$3&gt;0), C$3 * VLOOKUP($A117, Data_All!$A$8:$CA$153, MATCH(C$2, Data_All!$B$2:$CA$2, 0)+1), "")</f>
        <v/>
      </c>
      <c r="D117" s="206" t="str">
        <f>IF(AND($A117&gt;=SYear_O, $A117&lt;=EYear_O, D$3&gt;0), D$3 * VLOOKUP($A117, Data_All!$A$8:$CA$153, MATCH(D$2, Data_All!$B$2:$CA$2, 0)+1), "")</f>
        <v/>
      </c>
      <c r="E117" s="206" t="str">
        <f>IF(AND($A117&gt;=SYear_O, $A117&lt;=EYear_O, E$3&gt;0), E$3 * VLOOKUP($A117, Data_All!$A$8:$CA$153, MATCH(E$2, Data_All!$B$2:$CA$2, 0)+1), "")</f>
        <v/>
      </c>
      <c r="F117" s="206" t="str">
        <f>IF(AND($A117&gt;=SYear_O, $A117&lt;=EYear_O, F$3&gt;0), F$3 * VLOOKUP($A117, Data_All!$A$8:$CA$153, MATCH(F$2, Data_All!$B$2:$CA$2, 0)+1), "")</f>
        <v/>
      </c>
      <c r="G117" s="206" t="str">
        <f>IF(AND($A117&gt;=SYear_O, $A117&lt;=EYear_O, G$3&gt;0), G$3 * VLOOKUP($A117, Data_All!$A$8:$CA$153, MATCH(G$2, Data_All!$B$2:$CA$2, 0)+1), "")</f>
        <v/>
      </c>
      <c r="H117" s="206" t="str">
        <f>IF(AND($A117&gt;=SYear_O, $A117&lt;=EYear_O, H$3&gt;0), H$3 * VLOOKUP($A117, Data_All!$A$8:$CA$153, MATCH(H$2, Data_All!$B$2:$CA$2, 0)+1), "")</f>
        <v/>
      </c>
      <c r="I117" s="206" t="str">
        <f>IF(AND($A117&gt;=SYear_O, $A117&lt;=EYear_O, I$3&gt;0), I$3 * VLOOKUP($A117, Data_All!$A$8:$CA$153, MATCH(I$2, Data_All!$B$2:$CA$2, 0)+1), "")</f>
        <v/>
      </c>
      <c r="J117" s="206" t="str">
        <f>IF(AND($A117&gt;=SYear_O, $A117&lt;=EYear_O, J$3&gt;0), J$3 * VLOOKUP($A117, Data_All!$A$8:$CA$153, MATCH(J$2, Data_All!$B$2:$CA$2, 0)+1), "")</f>
        <v/>
      </c>
      <c r="K117" s="206" t="str">
        <f>IF(AND($A117&gt;=SYear_O, $A117&lt;=EYear_O, K$3&gt;0), K$3 * VLOOKUP($A117, Data_All!$A$8:$CA$153, MATCH(K$2, Data_All!$B$2:$CA$2, 0)+1), "")</f>
        <v/>
      </c>
      <c r="L117" s="206" t="str">
        <f>IF(AND($A117&gt;=SYear_O, $A117&lt;=EYear_O, L$3&gt;0), L$3 * VLOOKUP($A117, Data_All!$A$8:$CA$153, MATCH(L$2, Data_All!$B$2:$CA$2, 0)+1), "")</f>
        <v/>
      </c>
      <c r="M117" s="206" t="str">
        <f>IF(AND($A117&gt;=SYear_O, $A117&lt;=EYear_O, M$3&gt;0), M$3 * VLOOKUP($A117, Data_All!$A$8:$CA$153, MATCH(M$2, Data_All!$B$2:$CA$2, 0)+1), "")</f>
        <v/>
      </c>
      <c r="N117" s="206" t="str">
        <f>IF(AND($A117&gt;=SYear_O, $A117&lt;=EYear_O, N$3&gt;0), N$3 * VLOOKUP($A117, Data_All!$A$8:$CA$153, MATCH(N$2, Data_All!$B$2:$CA$2, 0)+1), "")</f>
        <v/>
      </c>
      <c r="O117" s="206" t="str">
        <f>IF(AND($A117&gt;=SYear_O, $A117&lt;=EYear_O, O$3&gt;0), O$3 * VLOOKUP($A117, Data_All!$A$8:$CA$153, MATCH(O$2, Data_All!$B$2:$CA$2, 0)+1), "")</f>
        <v/>
      </c>
      <c r="P117" s="206" t="str">
        <f>IF(AND($A117&gt;=SYear_O, $A117&lt;=EYear_O, P$3&gt;0), P$3 * VLOOKUP($A117, Data_All!$A$8:$CA$153, MATCH(P$2, Data_All!$B$2:$CA$2, 0)+1), "")</f>
        <v/>
      </c>
      <c r="Q117" s="206" t="str">
        <f>IF(AND($A117&gt;=SYear_O, $A117&lt;=EYear_O, Q$3&gt;0), Q$3 * VLOOKUP($A117, Data_All!$A$8:$CA$153, MATCH(Q$2, Data_All!$B$2:$CA$2, 0)+1), "")</f>
        <v/>
      </c>
      <c r="R117" s="206" t="str">
        <f>IF(AND($A117&gt;=SYear_O, $A117&lt;=EYear_O, R$3&gt;0), R$3 * VLOOKUP($A117, Data_All!$A$8:$CA$153, MATCH(R$2, Data_All!$B$2:$CA$2, 0)+1), "")</f>
        <v/>
      </c>
      <c r="S117" s="206" t="str">
        <f>IF(AND($A117&gt;=SYear_O, $A117&lt;=EYear_O, S$3&gt;0), S$3 * VLOOKUP($A117, Data_All!$A$8:$CA$153, MATCH(S$2, Data_All!$B$2:$CA$2, 0)+1), "")</f>
        <v/>
      </c>
      <c r="T117" s="206" t="str">
        <f>IF(AND($A117&gt;=SYear_O, $A117&lt;=EYear_O, T$3&gt;0), T$3 * VLOOKUP($A117, Data_All!$A$8:$CA$153, MATCH(T$2, Data_All!$B$2:$CA$2, 0)+1), "")</f>
        <v/>
      </c>
      <c r="U117" s="206" t="str">
        <f>IF(AND($A117&gt;=SYear_O, $A117&lt;=EYear_O, U$3&gt;0), U$3 * VLOOKUP($A117, Data_All!$A$8:$CA$153, MATCH(U$2, Data_All!$B$2:$CA$2, 0)+1), "")</f>
        <v/>
      </c>
      <c r="V117" s="206" t="str">
        <f>IF(AND($A117&gt;=SYear_O, $A117&lt;=EYear_O, V$3&gt;0), V$3 * VLOOKUP($A117, Data_All!$A$8:$CA$153, MATCH(V$2, Data_All!$B$2:$CA$2, 0)+1), "")</f>
        <v/>
      </c>
      <c r="W117" s="206" t="str">
        <f>IF(AND($A117&gt;=SYear_O, $A117&lt;=EYear_O, W$3&gt;0), W$3 * VLOOKUP($A117, Data_All!$A$8:$CA$153, MATCH(W$2, Data_All!$B$2:$CA$2, 0)+1), "")</f>
        <v/>
      </c>
      <c r="X117" s="206" t="str">
        <f>IF(AND($A117&gt;=SYear_O, $A117&lt;=EYear_O, X$3&gt;0), X$3 * VLOOKUP($A117, Data_All!$A$8:$CA$153, MATCH(X$2, Data_All!$B$2:$CA$2, 0)+1), "")</f>
        <v/>
      </c>
      <c r="Y117" s="206" t="str">
        <f>IF(AND($A117&gt;=SYear_O, $A117&lt;=EYear_O, Y$3&gt;0), Y$3 * VLOOKUP($A117, Data_All!$A$8:$CA$153, MATCH(Y$2, Data_All!$B$2:$CA$2, 0)+1), "")</f>
        <v/>
      </c>
      <c r="Z117" s="206" t="str">
        <f>IF(AND($A117&gt;=SYear_O, $A117&lt;=EYear_O, Z$3&gt;0), Z$3 * VLOOKUP($A117, Data_All!$A$8:$CA$153, MATCH(Z$2, Data_All!$B$2:$CA$2, 0)+1), "")</f>
        <v/>
      </c>
      <c r="AA117" s="206" t="str">
        <f>IF(AND($A117&gt;=SYear_O, $A117&lt;=EYear_O, AA$3&gt;0), AA$3 * VLOOKUP($A117, Data_All!$A$8:$CA$153, MATCH(AA$2, Data_All!$B$2:$CA$2, 0)+1), "")</f>
        <v/>
      </c>
      <c r="AB117" s="206" t="str">
        <f>IF(AND($A117&gt;=SYear_O, $A117&lt;=EYear_O, AB$3&gt;0), AB$3 * VLOOKUP($A117, Data_All!$A$8:$CA$153, MATCH(AB$2, Data_All!$B$2:$CA$2, 0)+1), "")</f>
        <v/>
      </c>
      <c r="AC117" s="206" t="str">
        <f>IF(AND($A117&gt;=SYear_O, $A117&lt;=EYear_O, AC$3&gt;0), AC$3 * VLOOKUP($A117, Data_All!$A$8:$CA$153, MATCH(AC$2, Data_All!$B$2:$CA$2, 0)+1), "")</f>
        <v/>
      </c>
      <c r="AD117" s="206" t="str">
        <f>IF(AND($A117&gt;=SYear_O, $A117&lt;=EYear_O, AD$3&gt;0), AD$3 * VLOOKUP($A117, Data_All!$A$8:$CA$153, MATCH(AD$2, Data_All!$B$2:$CA$2, 0)+1), "")</f>
        <v/>
      </c>
      <c r="AE117" s="206" t="str">
        <f>IF(AND($A117&gt;=SYear_O, $A117&lt;=EYear_O, AE$3&gt;0), AE$3 * VLOOKUP($A117, Data_All!$A$8:$CA$153, MATCH(AE$2, Data_All!$B$2:$CA$2, 0)+1), "")</f>
        <v/>
      </c>
      <c r="AF117" s="206" t="str">
        <f>IF(AND($A117&gt;=SYear_O, $A117&lt;=EYear_O, AF$3&gt;0), AF$3 * VLOOKUP($A117, Data_All!$A$8:$CA$153, MATCH(AF$2, Data_All!$B$2:$CA$2, 0)+1), "")</f>
        <v/>
      </c>
      <c r="AG117" s="206" t="str">
        <f>IF(AND($A117&gt;=SYear_O, $A117&lt;=EYear_O, AG$3&gt;0), AG$3 * VLOOKUP($A117, Data_All!$A$8:$CA$153, MATCH(AG$2, Data_All!$B$2:$CA$2, 0)+1), "")</f>
        <v/>
      </c>
      <c r="AH117" s="206" t="str">
        <f>IF(AND($A117&gt;=SYear_O, $A117&lt;=EYear_O, AH$3&gt;0), AH$3 * VLOOKUP($A117, Data_All!$A$8:$CA$153, MATCH(AH$2, Data_All!$B$2:$CA$2, 0)+1), "")</f>
        <v/>
      </c>
      <c r="AI117" s="206" t="str">
        <f>IF(AND($A117&gt;=SYear_O, $A117&lt;=EYear_O, AI$3&gt;0), AI$3 * VLOOKUP($A117, Data_All!$A$8:$CA$153, MATCH(AI$2, Data_All!$B$2:$CA$2, 0)+1), "")</f>
        <v/>
      </c>
      <c r="AJ117" s="206" t="str">
        <f>IF(AND($A117&gt;=SYear_O, $A117&lt;=EYear_O, AJ$3&gt;0), AJ$3 * VLOOKUP($A117, Data_All!$A$8:$CA$153, MATCH(AJ$2, Data_All!$B$2:$CA$2, 0)+1), "")</f>
        <v/>
      </c>
      <c r="AK117" s="206" t="str">
        <f>IF(AND($A117&gt;=SYear_O, $A117&lt;=EYear_O, AK$3&gt;0), AK$3 * VLOOKUP($A117, Data_All!$A$8:$CA$153, MATCH(AK$2, Data_All!$B$2:$CA$2, 0)+1), "")</f>
        <v/>
      </c>
      <c r="AL117" s="206" t="str">
        <f>IF(AND($A117&gt;=SYear_O, $A117&lt;=EYear_O, AL$3&gt;0), AL$3 * VLOOKUP($A117, Data_All!$A$8:$CA$153, MATCH(AL$2, Data_All!$B$2:$CA$2, 0)+1), "")</f>
        <v/>
      </c>
      <c r="AM117" s="206" t="str">
        <f>IF(AND($A117&gt;=SYear_O, $A117&lt;=EYear_O, AM$3&gt;0), AM$3 * VLOOKUP($A117, Data_All!$A$8:$CA$153, MATCH(AM$2, Data_All!$B$2:$CA$2, 0)+1), "")</f>
        <v/>
      </c>
      <c r="AN117" s="206" t="str">
        <f>IF(AND($A117&gt;=SYear_O, $A117&lt;=EYear_O, AN$3&gt;0), AN$3 * VLOOKUP($A117, Data_All!$A$8:$CA$153, MATCH(AN$2, Data_All!$B$2:$CA$2, 0)+1), "")</f>
        <v/>
      </c>
      <c r="AO117" s="206" t="str">
        <f>IF(AND($A117&gt;=SYear_O, $A117&lt;=EYear_O, AO$3&gt;0), AO$3 * VLOOKUP($A117, Data_All!$A$8:$CA$153, MATCH(AO$2, Data_All!$B$2:$CA$2, 0)+1), "")</f>
        <v/>
      </c>
      <c r="AP117" s="206" t="str">
        <f>IF(AND($A117&gt;=SYear_O, $A117&lt;=EYear_O, AP$3&gt;0), AP$3 * VLOOKUP($A117, Data_All!$A$8:$CA$153, MATCH(AP$2, Data_All!$B$2:$CA$2, 0)+1), "")</f>
        <v/>
      </c>
      <c r="AQ117" s="206" t="str">
        <f>IF(AND($A117&gt;=SYear_O, $A117&lt;=EYear_O, AQ$3&gt;0), AQ$3 * VLOOKUP($A117, Data_All!$A$8:$CA$153, MATCH(AQ$2, Data_All!$B$2:$CA$2, 0)+1), "")</f>
        <v/>
      </c>
      <c r="AR117" s="206" t="str">
        <f>IF(AND($A117&gt;=SYear_O, $A117&lt;=EYear_O, AR$3&gt;0), AR$3 * VLOOKUP($A117, Data_All!$A$8:$CA$153, MATCH(AR$2, Data_All!$B$2:$CA$2, 0)+1), "")</f>
        <v/>
      </c>
      <c r="AS117" s="206" t="str">
        <f>IF(AND($A117&gt;=SYear_O, $A117&lt;=EYear_O, AS$3&gt;0), AS$3 * VLOOKUP($A117, Data_All!$A$8:$CA$153, MATCH(AS$2, Data_All!$B$2:$CA$2, 0)+1), "")</f>
        <v/>
      </c>
      <c r="AT117" s="206" t="str">
        <f>IF(AND($A117&gt;=SYear_O, $A117&lt;=EYear_O, AT$3&gt;0), AT$3 * VLOOKUP($A117, Data_All!$A$8:$CA$153, MATCH(AT$2, Data_All!$B$2:$CA$2, 0)+1), "")</f>
        <v/>
      </c>
      <c r="AU117" s="206" t="str">
        <f>IF(AND($A117&gt;=SYear_O, $A117&lt;=EYear_O, AU$3&gt;0), AU$3 * VLOOKUP($A117, Data_All!$A$8:$CA$153, MATCH(AU$2, Data_All!$B$2:$CA$2, 0)+1), "")</f>
        <v/>
      </c>
      <c r="AV117" s="206" t="str">
        <f>IF(AND($A117&gt;=SYear_O, $A117&lt;=EYear_O, AV$3&gt;0), AV$3 * VLOOKUP($A117, Data_All!$A$8:$CA$153, MATCH(AV$2, Data_All!$B$2:$CA$2, 0)+1), "")</f>
        <v/>
      </c>
      <c r="AW117" s="206" t="str">
        <f>IF(AND($A117&gt;=SYear_O, $A117&lt;=EYear_O, AW$3&gt;0), AW$3 * VLOOKUP($A117, Data_All!$A$8:$CA$153, MATCH(AW$2, Data_All!$B$2:$CA$2, 0)+1), "")</f>
        <v/>
      </c>
      <c r="AX117" s="206" t="str">
        <f>IF(AND($A117&gt;=SYear_O, $A117&lt;=EYear_O, AX$3&gt;0), AX$3 * VLOOKUP($A117, Data_All!$A$8:$CA$153, MATCH(AX$2, Data_All!$B$2:$CA$2, 0)+1), "")</f>
        <v/>
      </c>
      <c r="AY117" s="206" t="str">
        <f>IF(AND($A117&gt;=SYear_O, $A117&lt;=EYear_O, AY$3&gt;0), AY$3 * VLOOKUP($A117, Data_All!$A$8:$CA$153, MATCH(AY$2, Data_All!$B$2:$CA$2, 0)+1), "")</f>
        <v/>
      </c>
      <c r="AZ117" s="206" t="str">
        <f>IF(AND($A117&gt;=SYear_O, $A117&lt;=EYear_O, AZ$3&gt;0), AZ$3 * VLOOKUP($A117, Data_All!$A$8:$CA$153, MATCH(AZ$2, Data_All!$B$2:$CA$2, 0)+1), "")</f>
        <v/>
      </c>
      <c r="BA117" s="206" t="str">
        <f>IF(AND($A117&gt;=SYear_O, $A117&lt;=EYear_O, BA$3&gt;0), BA$3 * VLOOKUP($A117, Data_All!$A$8:$CA$153, MATCH(BA$2, Data_All!$B$2:$CA$2, 0)+1), "")</f>
        <v/>
      </c>
      <c r="BB117" s="206" t="str">
        <f>IF(AND($A117&gt;=SYear_O, $A117&lt;=EYear_O, BB$3&gt;0), BB$3 * VLOOKUP($A117, Data_All!$A$8:$CA$153, MATCH(BB$2, Data_All!$B$2:$CA$2, 0)+1), "")</f>
        <v/>
      </c>
      <c r="BC117" s="206" t="str">
        <f>IF(AND($A117&gt;=SYear_O, $A117&lt;=EYear_O, BC$3&gt;0), BC$3 * VLOOKUP($A117, Data_All!$A$8:$CA$153, MATCH(BC$2, Data_All!$B$2:$CA$2, 0)+1), "")</f>
        <v/>
      </c>
      <c r="BD117" s="206" t="str">
        <f>IF(AND($A117&gt;=SYear_O, $A117&lt;=EYear_O, BD$3&gt;0), BD$3 * VLOOKUP($A117, Data_All!$A$8:$CA$153, MATCH(BD$2, Data_All!$B$2:$CA$2, 0)+1), "")</f>
        <v/>
      </c>
      <c r="BE117" s="206" t="str">
        <f>IF(AND($A117&gt;=SYear_O, $A117&lt;=EYear_O, BE$3&gt;0), BE$3 * VLOOKUP($A117, Data_All!$A$8:$CA$153, MATCH(BE$2, Data_All!$B$2:$CA$2, 0)+1), "")</f>
        <v/>
      </c>
      <c r="BF117" s="206" t="str">
        <f>IF(AND($A117&gt;=SYear_O, $A117&lt;=EYear_O, BF$3&gt;0), BF$3 * VLOOKUP($A117, Data_All!$A$8:$CA$153, MATCH(BF$2, Data_All!$B$2:$CA$2, 0)+1), "")</f>
        <v/>
      </c>
      <c r="BG117" s="206" t="str">
        <f>IF(AND($A117&gt;=SYear_O, $A117&lt;=EYear_O, BG$3&gt;0), BG$3 * VLOOKUP($A117, Data_All!$A$8:$CA$153, MATCH(BG$2, Data_All!$B$2:$CA$2, 0)+1), "")</f>
        <v/>
      </c>
      <c r="BH117" s="206" t="str">
        <f>IF(AND($A117&gt;=SYear_O, $A117&lt;=EYear_O, BH$3&gt;0), BH$3 * VLOOKUP($A117, Data_All!$A$8:$CA$153, MATCH(BH$2, Data_All!$B$2:$CA$2, 0)+1), "")</f>
        <v/>
      </c>
      <c r="BI117" s="206" t="str">
        <f>IF(AND($A117&gt;=SYear_O, $A117&lt;=EYear_O, BI$3&gt;0), BI$3 * VLOOKUP($A117, Data_All!$A$8:$CA$153, MATCH(BI$2, Data_All!$B$2:$CA$2, 0)+1), "")</f>
        <v/>
      </c>
      <c r="BJ117" s="206" t="str">
        <f>IF(AND($A117&gt;=SYear_O, $A117&lt;=EYear_O, BJ$3&gt;0), BJ$3 * VLOOKUP($A117, Data_All!$A$8:$CA$153, MATCH(BJ$2, Data_All!$B$2:$CA$2, 0)+1), "")</f>
        <v/>
      </c>
      <c r="BK117" s="206" t="str">
        <f>IF(AND($A117&gt;=SYear_O, $A117&lt;=EYear_O, BK$3&gt;0), BK$3 * VLOOKUP($A117, Data_All!$A$8:$CA$153, MATCH(BK$2, Data_All!$B$2:$CA$2, 0)+1), "")</f>
        <v/>
      </c>
      <c r="BL117" s="206" t="str">
        <f>IF(AND($A117&gt;=SYear_O, $A117&lt;=EYear_O, BL$3&gt;0), BL$3 * VLOOKUP($A117, Data_All!$A$8:$CA$153, MATCH(BL$2, Data_All!$B$2:$CA$2, 0)+1), "")</f>
        <v/>
      </c>
      <c r="BM117" s="206" t="str">
        <f>IF(AND($A117&gt;=SYear_O, $A117&lt;=EYear_O, BM$3&gt;0), BM$3 * VLOOKUP($A117, Data_All!$A$8:$CA$153, MATCH(BM$2, Data_All!$B$2:$CA$2, 0)+1), "")</f>
        <v/>
      </c>
      <c r="BN117" s="206" t="str">
        <f>IF(AND($A117&gt;=SYear_O, $A117&lt;=EYear_O, BN$3&gt;0), BN$3 * VLOOKUP($A117, Data_All!$A$8:$CA$153, MATCH(BN$2, Data_All!$B$2:$CA$2, 0)+1), "")</f>
        <v/>
      </c>
      <c r="BO117" s="206" t="str">
        <f>IF(AND($A117&gt;=SYear_O, $A117&lt;=EYear_O, BO$3&gt;0), BO$3 * VLOOKUP($A117, Data_All!$A$8:$CA$153, MATCH(BO$2, Data_All!$B$2:$CA$2, 0)+1), "")</f>
        <v/>
      </c>
      <c r="BP117" s="206" t="str">
        <f>IF(AND($A117&gt;=SYear_O, $A117&lt;=EYear_O, BP$3&gt;0), BP$3 * VLOOKUP($A117, Data_All!$A$8:$CA$153, MATCH(BP$2, Data_All!$B$2:$CA$2, 0)+1), "")</f>
        <v/>
      </c>
      <c r="BQ117" s="206" t="str">
        <f>IF(AND($A117&gt;=SYear_O, $A117&lt;=EYear_O, BQ$3&gt;0), BQ$3 * VLOOKUP($A117, Data_All!$A$8:$CA$153, MATCH(BQ$2, Data_All!$B$2:$CA$2, 0)+1), "")</f>
        <v/>
      </c>
      <c r="BR117" s="206" t="str">
        <f>IF(AND($A117&gt;=SYear_O, $A117&lt;=EYear_O, BR$3&gt;0), BR$3 * VLOOKUP($A117, Data_All!$A$8:$CA$153, MATCH(BR$2, Data_All!$B$2:$CA$2, 0)+1), "")</f>
        <v/>
      </c>
      <c r="BS117" s="206" t="str">
        <f>IF(AND($A117&gt;=SYear_O, $A117&lt;=EYear_O, BS$3&gt;0), BS$3 * VLOOKUP($A117, Data_All!$A$8:$CA$153, MATCH(BS$2, Data_All!$B$2:$CA$2, 0)+1), "")</f>
        <v/>
      </c>
      <c r="BT117" s="206" t="str">
        <f>IF(AND($A117&gt;=SYear_O, $A117&lt;=EYear_O, BT$3&gt;0), BT$3 * VLOOKUP($A117, Data_All!$A$8:$CA$153, MATCH(BT$2, Data_All!$B$2:$CA$2, 0)+1), "")</f>
        <v/>
      </c>
      <c r="BU117" s="206" t="str">
        <f>IF(AND($A117&gt;=SYear_O, $A117&lt;=EYear_O, BU$3&gt;0), BU$3 * VLOOKUP($A117, Data_All!$A$8:$CA$153, MATCH(BU$2, Data_All!$B$2:$CA$2, 0)+1), "")</f>
        <v/>
      </c>
      <c r="BV117" s="206" t="str">
        <f>IF(AND($A117&gt;=SYear_O, $A117&lt;=EYear_O, BV$3&gt;0), BV$3 * VLOOKUP($A117, Data_All!$A$8:$CA$153, MATCH(BV$2, Data_All!$B$2:$CA$2, 0)+1), "")</f>
        <v/>
      </c>
      <c r="BW117" s="206" t="str">
        <f>IF(AND($A117&gt;=SYear_O, $A117&lt;=EYear_O, BW$3&gt;0), BW$3 * VLOOKUP($A117, Data_All!$A$8:$CA$153, MATCH(BW$2, Data_All!$B$2:$CA$2, 0)+1), "")</f>
        <v/>
      </c>
      <c r="BX117" s="206">
        <f>IF(AND($A117&gt;=SYear_O, $A117&lt;=EYear_O, BX$3&gt;0), BX$3 * VLOOKUP($A117, Data_All!$A$8:$CA$153, MATCH(BX$2, Data_All!$B$2:$CA$2, 0)+1), "")</f>
        <v>-4.0881401819959402</v>
      </c>
      <c r="BY117" s="206">
        <f>IF(AND($A117&gt;=SYear_O, $A117&lt;=EYear_O, BY$3&gt;0), BY$3 * VLOOKUP($A117, Data_All!$A$8:$CA$153, MATCH(BY$2, Data_All!$B$2:$CA$2, 0)+1), "")</f>
        <v>2.274326242044955</v>
      </c>
      <c r="BZ117" s="206" t="str">
        <f>IF(AND($A117&gt;=SYear_O, $A117&lt;=EYear_O, BZ$3&gt;0), BZ$3 * VLOOKUP($A117, Data_All!$A$8:$CA$153, MATCH(BZ$2, Data_All!$B$2:$CA$2, 0)+1), "")</f>
        <v/>
      </c>
      <c r="CA117" s="565">
        <f t="shared" si="52"/>
        <v>-1.8138139399509852</v>
      </c>
      <c r="CB117" s="427">
        <f t="shared" si="53"/>
        <v>13944932.210119298</v>
      </c>
      <c r="CC117" s="565">
        <f>IF(AND($A117&gt;=SYear_O,$A117&lt;=EYear_O),(CA117-Data_All!CA118)/(1+Data_All!CA118%),"")</f>
        <v>-9.8567249257209575</v>
      </c>
      <c r="CD117" s="436">
        <f t="shared" si="54"/>
        <v>1849047.7202956569</v>
      </c>
      <c r="CE117" s="438">
        <f t="shared" si="55"/>
        <v>1264.7947361106683</v>
      </c>
      <c r="CF117" s="438">
        <f>IF(AND($A117&gt;=SYear_O,$A117&lt;=EYear_O),MAX($CE$7:CE117),"")</f>
        <v>1288.1595536638333</v>
      </c>
      <c r="CG117" s="209">
        <f t="shared" si="56"/>
        <v>1.8138139399509923E-2</v>
      </c>
      <c r="CI117" s="143">
        <f>IF(AND($A117&gt;=SYear_O,$A117&lt;=EYear_O),Data_All!V118,"")</f>
        <v>14.596862823458888</v>
      </c>
      <c r="CJ117" s="143">
        <f>IF(AND($A117&gt;=SYear_O,$A117&lt;=EYear_O),Data_All!CA118,"")</f>
        <v>8.9223638470451903</v>
      </c>
      <c r="CK117" s="143">
        <f t="shared" si="57"/>
        <v>5.2096729964308741</v>
      </c>
      <c r="CN117" s="61">
        <f t="shared" si="58"/>
        <v>-1.8138139399509812E-2</v>
      </c>
      <c r="CO117" s="61">
        <f t="shared" si="59"/>
        <v>0.13665110626572652</v>
      </c>
      <c r="CP117" s="61">
        <f t="shared" si="60"/>
        <v>0.14843215374758612</v>
      </c>
      <c r="CQ117" s="61">
        <f t="shared" si="61"/>
        <v>0.13253695483105576</v>
      </c>
      <c r="CR117" s="61">
        <f t="shared" si="62"/>
        <v>0.13406876800841494</v>
      </c>
      <c r="CU117" s="61">
        <f t="shared" si="63"/>
        <v>-9.856724925720961E-2</v>
      </c>
      <c r="CV117" s="61">
        <f t="shared" si="64"/>
        <v>7.7525679624123489E-2</v>
      </c>
      <c r="CW117" s="61">
        <f t="shared" si="65"/>
        <v>9.5427072950547309E-2</v>
      </c>
      <c r="CX117" s="61">
        <f t="shared" si="66"/>
        <v>8.3946507071277265E-2</v>
      </c>
      <c r="CY117" s="61">
        <f t="shared" si="67"/>
        <v>9.1355440958084344E-2</v>
      </c>
    </row>
    <row r="118" spans="1:103">
      <c r="A118" s="204">
        <f t="shared" si="51"/>
        <v>1982</v>
      </c>
      <c r="B118" s="206" t="str">
        <f>IF(AND($A118&gt;=SYear_O, $A118&lt;=EYear_O, B$3&gt;0), B$3 * VLOOKUP($A118, Data_All!$A$8:$CA$153, MATCH(B$2, Data_All!$B$2:$CA$2, 0)+1), "")</f>
        <v/>
      </c>
      <c r="C118" s="206" t="str">
        <f>IF(AND($A118&gt;=SYear_O, $A118&lt;=EYear_O, C$3&gt;0), C$3 * VLOOKUP($A118, Data_All!$A$8:$CA$153, MATCH(C$2, Data_All!$B$2:$CA$2, 0)+1), "")</f>
        <v/>
      </c>
      <c r="D118" s="206" t="str">
        <f>IF(AND($A118&gt;=SYear_O, $A118&lt;=EYear_O, D$3&gt;0), D$3 * VLOOKUP($A118, Data_All!$A$8:$CA$153, MATCH(D$2, Data_All!$B$2:$CA$2, 0)+1), "")</f>
        <v/>
      </c>
      <c r="E118" s="206" t="str">
        <f>IF(AND($A118&gt;=SYear_O, $A118&lt;=EYear_O, E$3&gt;0), E$3 * VLOOKUP($A118, Data_All!$A$8:$CA$153, MATCH(E$2, Data_All!$B$2:$CA$2, 0)+1), "")</f>
        <v/>
      </c>
      <c r="F118" s="206" t="str">
        <f>IF(AND($A118&gt;=SYear_O, $A118&lt;=EYear_O, F$3&gt;0), F$3 * VLOOKUP($A118, Data_All!$A$8:$CA$153, MATCH(F$2, Data_All!$B$2:$CA$2, 0)+1), "")</f>
        <v/>
      </c>
      <c r="G118" s="206" t="str">
        <f>IF(AND($A118&gt;=SYear_O, $A118&lt;=EYear_O, G$3&gt;0), G$3 * VLOOKUP($A118, Data_All!$A$8:$CA$153, MATCH(G$2, Data_All!$B$2:$CA$2, 0)+1), "")</f>
        <v/>
      </c>
      <c r="H118" s="206" t="str">
        <f>IF(AND($A118&gt;=SYear_O, $A118&lt;=EYear_O, H$3&gt;0), H$3 * VLOOKUP($A118, Data_All!$A$8:$CA$153, MATCH(H$2, Data_All!$B$2:$CA$2, 0)+1), "")</f>
        <v/>
      </c>
      <c r="I118" s="206" t="str">
        <f>IF(AND($A118&gt;=SYear_O, $A118&lt;=EYear_O, I$3&gt;0), I$3 * VLOOKUP($A118, Data_All!$A$8:$CA$153, MATCH(I$2, Data_All!$B$2:$CA$2, 0)+1), "")</f>
        <v/>
      </c>
      <c r="J118" s="206" t="str">
        <f>IF(AND($A118&gt;=SYear_O, $A118&lt;=EYear_O, J$3&gt;0), J$3 * VLOOKUP($A118, Data_All!$A$8:$CA$153, MATCH(J$2, Data_All!$B$2:$CA$2, 0)+1), "")</f>
        <v/>
      </c>
      <c r="K118" s="206" t="str">
        <f>IF(AND($A118&gt;=SYear_O, $A118&lt;=EYear_O, K$3&gt;0), K$3 * VLOOKUP($A118, Data_All!$A$8:$CA$153, MATCH(K$2, Data_All!$B$2:$CA$2, 0)+1), "")</f>
        <v/>
      </c>
      <c r="L118" s="206" t="str">
        <f>IF(AND($A118&gt;=SYear_O, $A118&lt;=EYear_O, L$3&gt;0), L$3 * VLOOKUP($A118, Data_All!$A$8:$CA$153, MATCH(L$2, Data_All!$B$2:$CA$2, 0)+1), "")</f>
        <v/>
      </c>
      <c r="M118" s="206" t="str">
        <f>IF(AND($A118&gt;=SYear_O, $A118&lt;=EYear_O, M$3&gt;0), M$3 * VLOOKUP($A118, Data_All!$A$8:$CA$153, MATCH(M$2, Data_All!$B$2:$CA$2, 0)+1), "")</f>
        <v/>
      </c>
      <c r="N118" s="206" t="str">
        <f>IF(AND($A118&gt;=SYear_O, $A118&lt;=EYear_O, N$3&gt;0), N$3 * VLOOKUP($A118, Data_All!$A$8:$CA$153, MATCH(N$2, Data_All!$B$2:$CA$2, 0)+1), "")</f>
        <v/>
      </c>
      <c r="O118" s="206" t="str">
        <f>IF(AND($A118&gt;=SYear_O, $A118&lt;=EYear_O, O$3&gt;0), O$3 * VLOOKUP($A118, Data_All!$A$8:$CA$153, MATCH(O$2, Data_All!$B$2:$CA$2, 0)+1), "")</f>
        <v/>
      </c>
      <c r="P118" s="206" t="str">
        <f>IF(AND($A118&gt;=SYear_O, $A118&lt;=EYear_O, P$3&gt;0), P$3 * VLOOKUP($A118, Data_All!$A$8:$CA$153, MATCH(P$2, Data_All!$B$2:$CA$2, 0)+1), "")</f>
        <v/>
      </c>
      <c r="Q118" s="206" t="str">
        <f>IF(AND($A118&gt;=SYear_O, $A118&lt;=EYear_O, Q$3&gt;0), Q$3 * VLOOKUP($A118, Data_All!$A$8:$CA$153, MATCH(Q$2, Data_All!$B$2:$CA$2, 0)+1), "")</f>
        <v/>
      </c>
      <c r="R118" s="206" t="str">
        <f>IF(AND($A118&gt;=SYear_O, $A118&lt;=EYear_O, R$3&gt;0), R$3 * VLOOKUP($A118, Data_All!$A$8:$CA$153, MATCH(R$2, Data_All!$B$2:$CA$2, 0)+1), "")</f>
        <v/>
      </c>
      <c r="S118" s="206" t="str">
        <f>IF(AND($A118&gt;=SYear_O, $A118&lt;=EYear_O, S$3&gt;0), S$3 * VLOOKUP($A118, Data_All!$A$8:$CA$153, MATCH(S$2, Data_All!$B$2:$CA$2, 0)+1), "")</f>
        <v/>
      </c>
      <c r="T118" s="206" t="str">
        <f>IF(AND($A118&gt;=SYear_O, $A118&lt;=EYear_O, T$3&gt;0), T$3 * VLOOKUP($A118, Data_All!$A$8:$CA$153, MATCH(T$2, Data_All!$B$2:$CA$2, 0)+1), "")</f>
        <v/>
      </c>
      <c r="U118" s="206" t="str">
        <f>IF(AND($A118&gt;=SYear_O, $A118&lt;=EYear_O, U$3&gt;0), U$3 * VLOOKUP($A118, Data_All!$A$8:$CA$153, MATCH(U$2, Data_All!$B$2:$CA$2, 0)+1), "")</f>
        <v/>
      </c>
      <c r="V118" s="206" t="str">
        <f>IF(AND($A118&gt;=SYear_O, $A118&lt;=EYear_O, V$3&gt;0), V$3 * VLOOKUP($A118, Data_All!$A$8:$CA$153, MATCH(V$2, Data_All!$B$2:$CA$2, 0)+1), "")</f>
        <v/>
      </c>
      <c r="W118" s="206" t="str">
        <f>IF(AND($A118&gt;=SYear_O, $A118&lt;=EYear_O, W$3&gt;0), W$3 * VLOOKUP($A118, Data_All!$A$8:$CA$153, MATCH(W$2, Data_All!$B$2:$CA$2, 0)+1), "")</f>
        <v/>
      </c>
      <c r="X118" s="206" t="str">
        <f>IF(AND($A118&gt;=SYear_O, $A118&lt;=EYear_O, X$3&gt;0), X$3 * VLOOKUP($A118, Data_All!$A$8:$CA$153, MATCH(X$2, Data_All!$B$2:$CA$2, 0)+1), "")</f>
        <v/>
      </c>
      <c r="Y118" s="206" t="str">
        <f>IF(AND($A118&gt;=SYear_O, $A118&lt;=EYear_O, Y$3&gt;0), Y$3 * VLOOKUP($A118, Data_All!$A$8:$CA$153, MATCH(Y$2, Data_All!$B$2:$CA$2, 0)+1), "")</f>
        <v/>
      </c>
      <c r="Z118" s="206" t="str">
        <f>IF(AND($A118&gt;=SYear_O, $A118&lt;=EYear_O, Z$3&gt;0), Z$3 * VLOOKUP($A118, Data_All!$A$8:$CA$153, MATCH(Z$2, Data_All!$B$2:$CA$2, 0)+1), "")</f>
        <v/>
      </c>
      <c r="AA118" s="206" t="str">
        <f>IF(AND($A118&gt;=SYear_O, $A118&lt;=EYear_O, AA$3&gt;0), AA$3 * VLOOKUP($A118, Data_All!$A$8:$CA$153, MATCH(AA$2, Data_All!$B$2:$CA$2, 0)+1), "")</f>
        <v/>
      </c>
      <c r="AB118" s="206" t="str">
        <f>IF(AND($A118&gt;=SYear_O, $A118&lt;=EYear_O, AB$3&gt;0), AB$3 * VLOOKUP($A118, Data_All!$A$8:$CA$153, MATCH(AB$2, Data_All!$B$2:$CA$2, 0)+1), "")</f>
        <v/>
      </c>
      <c r="AC118" s="206" t="str">
        <f>IF(AND($A118&gt;=SYear_O, $A118&lt;=EYear_O, AC$3&gt;0), AC$3 * VLOOKUP($A118, Data_All!$A$8:$CA$153, MATCH(AC$2, Data_All!$B$2:$CA$2, 0)+1), "")</f>
        <v/>
      </c>
      <c r="AD118" s="206" t="str">
        <f>IF(AND($A118&gt;=SYear_O, $A118&lt;=EYear_O, AD$3&gt;0), AD$3 * VLOOKUP($A118, Data_All!$A$8:$CA$153, MATCH(AD$2, Data_All!$B$2:$CA$2, 0)+1), "")</f>
        <v/>
      </c>
      <c r="AE118" s="206" t="str">
        <f>IF(AND($A118&gt;=SYear_O, $A118&lt;=EYear_O, AE$3&gt;0), AE$3 * VLOOKUP($A118, Data_All!$A$8:$CA$153, MATCH(AE$2, Data_All!$B$2:$CA$2, 0)+1), "")</f>
        <v/>
      </c>
      <c r="AF118" s="206" t="str">
        <f>IF(AND($A118&gt;=SYear_O, $A118&lt;=EYear_O, AF$3&gt;0), AF$3 * VLOOKUP($A118, Data_All!$A$8:$CA$153, MATCH(AF$2, Data_All!$B$2:$CA$2, 0)+1), "")</f>
        <v/>
      </c>
      <c r="AG118" s="206" t="str">
        <f>IF(AND($A118&gt;=SYear_O, $A118&lt;=EYear_O, AG$3&gt;0), AG$3 * VLOOKUP($A118, Data_All!$A$8:$CA$153, MATCH(AG$2, Data_All!$B$2:$CA$2, 0)+1), "")</f>
        <v/>
      </c>
      <c r="AH118" s="206" t="str">
        <f>IF(AND($A118&gt;=SYear_O, $A118&lt;=EYear_O, AH$3&gt;0), AH$3 * VLOOKUP($A118, Data_All!$A$8:$CA$153, MATCH(AH$2, Data_All!$B$2:$CA$2, 0)+1), "")</f>
        <v/>
      </c>
      <c r="AI118" s="206" t="str">
        <f>IF(AND($A118&gt;=SYear_O, $A118&lt;=EYear_O, AI$3&gt;0), AI$3 * VLOOKUP($A118, Data_All!$A$8:$CA$153, MATCH(AI$2, Data_All!$B$2:$CA$2, 0)+1), "")</f>
        <v/>
      </c>
      <c r="AJ118" s="206" t="str">
        <f>IF(AND($A118&gt;=SYear_O, $A118&lt;=EYear_O, AJ$3&gt;0), AJ$3 * VLOOKUP($A118, Data_All!$A$8:$CA$153, MATCH(AJ$2, Data_All!$B$2:$CA$2, 0)+1), "")</f>
        <v/>
      </c>
      <c r="AK118" s="206" t="str">
        <f>IF(AND($A118&gt;=SYear_O, $A118&lt;=EYear_O, AK$3&gt;0), AK$3 * VLOOKUP($A118, Data_All!$A$8:$CA$153, MATCH(AK$2, Data_All!$B$2:$CA$2, 0)+1), "")</f>
        <v/>
      </c>
      <c r="AL118" s="206" t="str">
        <f>IF(AND($A118&gt;=SYear_O, $A118&lt;=EYear_O, AL$3&gt;0), AL$3 * VLOOKUP($A118, Data_All!$A$8:$CA$153, MATCH(AL$2, Data_All!$B$2:$CA$2, 0)+1), "")</f>
        <v/>
      </c>
      <c r="AM118" s="206" t="str">
        <f>IF(AND($A118&gt;=SYear_O, $A118&lt;=EYear_O, AM$3&gt;0), AM$3 * VLOOKUP($A118, Data_All!$A$8:$CA$153, MATCH(AM$2, Data_All!$B$2:$CA$2, 0)+1), "")</f>
        <v/>
      </c>
      <c r="AN118" s="206" t="str">
        <f>IF(AND($A118&gt;=SYear_O, $A118&lt;=EYear_O, AN$3&gt;0), AN$3 * VLOOKUP($A118, Data_All!$A$8:$CA$153, MATCH(AN$2, Data_All!$B$2:$CA$2, 0)+1), "")</f>
        <v/>
      </c>
      <c r="AO118" s="206" t="str">
        <f>IF(AND($A118&gt;=SYear_O, $A118&lt;=EYear_O, AO$3&gt;0), AO$3 * VLOOKUP($A118, Data_All!$A$8:$CA$153, MATCH(AO$2, Data_All!$B$2:$CA$2, 0)+1), "")</f>
        <v/>
      </c>
      <c r="AP118" s="206" t="str">
        <f>IF(AND($A118&gt;=SYear_O, $A118&lt;=EYear_O, AP$3&gt;0), AP$3 * VLOOKUP($A118, Data_All!$A$8:$CA$153, MATCH(AP$2, Data_All!$B$2:$CA$2, 0)+1), "")</f>
        <v/>
      </c>
      <c r="AQ118" s="206" t="str">
        <f>IF(AND($A118&gt;=SYear_O, $A118&lt;=EYear_O, AQ$3&gt;0), AQ$3 * VLOOKUP($A118, Data_All!$A$8:$CA$153, MATCH(AQ$2, Data_All!$B$2:$CA$2, 0)+1), "")</f>
        <v/>
      </c>
      <c r="AR118" s="206" t="str">
        <f>IF(AND($A118&gt;=SYear_O, $A118&lt;=EYear_O, AR$3&gt;0), AR$3 * VLOOKUP($A118, Data_All!$A$8:$CA$153, MATCH(AR$2, Data_All!$B$2:$CA$2, 0)+1), "")</f>
        <v/>
      </c>
      <c r="AS118" s="206" t="str">
        <f>IF(AND($A118&gt;=SYear_O, $A118&lt;=EYear_O, AS$3&gt;0), AS$3 * VLOOKUP($A118, Data_All!$A$8:$CA$153, MATCH(AS$2, Data_All!$B$2:$CA$2, 0)+1), "")</f>
        <v/>
      </c>
      <c r="AT118" s="206" t="str">
        <f>IF(AND($A118&gt;=SYear_O, $A118&lt;=EYear_O, AT$3&gt;0), AT$3 * VLOOKUP($A118, Data_All!$A$8:$CA$153, MATCH(AT$2, Data_All!$B$2:$CA$2, 0)+1), "")</f>
        <v/>
      </c>
      <c r="AU118" s="206" t="str">
        <f>IF(AND($A118&gt;=SYear_O, $A118&lt;=EYear_O, AU$3&gt;0), AU$3 * VLOOKUP($A118, Data_All!$A$8:$CA$153, MATCH(AU$2, Data_All!$B$2:$CA$2, 0)+1), "")</f>
        <v/>
      </c>
      <c r="AV118" s="206" t="str">
        <f>IF(AND($A118&gt;=SYear_O, $A118&lt;=EYear_O, AV$3&gt;0), AV$3 * VLOOKUP($A118, Data_All!$A$8:$CA$153, MATCH(AV$2, Data_All!$B$2:$CA$2, 0)+1), "")</f>
        <v/>
      </c>
      <c r="AW118" s="206" t="str">
        <f>IF(AND($A118&gt;=SYear_O, $A118&lt;=EYear_O, AW$3&gt;0), AW$3 * VLOOKUP($A118, Data_All!$A$8:$CA$153, MATCH(AW$2, Data_All!$B$2:$CA$2, 0)+1), "")</f>
        <v/>
      </c>
      <c r="AX118" s="206" t="str">
        <f>IF(AND($A118&gt;=SYear_O, $A118&lt;=EYear_O, AX$3&gt;0), AX$3 * VLOOKUP($A118, Data_All!$A$8:$CA$153, MATCH(AX$2, Data_All!$B$2:$CA$2, 0)+1), "")</f>
        <v/>
      </c>
      <c r="AY118" s="206" t="str">
        <f>IF(AND($A118&gt;=SYear_O, $A118&lt;=EYear_O, AY$3&gt;0), AY$3 * VLOOKUP($A118, Data_All!$A$8:$CA$153, MATCH(AY$2, Data_All!$B$2:$CA$2, 0)+1), "")</f>
        <v/>
      </c>
      <c r="AZ118" s="206" t="str">
        <f>IF(AND($A118&gt;=SYear_O, $A118&lt;=EYear_O, AZ$3&gt;0), AZ$3 * VLOOKUP($A118, Data_All!$A$8:$CA$153, MATCH(AZ$2, Data_All!$B$2:$CA$2, 0)+1), "")</f>
        <v/>
      </c>
      <c r="BA118" s="206" t="str">
        <f>IF(AND($A118&gt;=SYear_O, $A118&lt;=EYear_O, BA$3&gt;0), BA$3 * VLOOKUP($A118, Data_All!$A$8:$CA$153, MATCH(BA$2, Data_All!$B$2:$CA$2, 0)+1), "")</f>
        <v/>
      </c>
      <c r="BB118" s="206" t="str">
        <f>IF(AND($A118&gt;=SYear_O, $A118&lt;=EYear_O, BB$3&gt;0), BB$3 * VLOOKUP($A118, Data_All!$A$8:$CA$153, MATCH(BB$2, Data_All!$B$2:$CA$2, 0)+1), "")</f>
        <v/>
      </c>
      <c r="BC118" s="206" t="str">
        <f>IF(AND($A118&gt;=SYear_O, $A118&lt;=EYear_O, BC$3&gt;0), BC$3 * VLOOKUP($A118, Data_All!$A$8:$CA$153, MATCH(BC$2, Data_All!$B$2:$CA$2, 0)+1), "")</f>
        <v/>
      </c>
      <c r="BD118" s="206" t="str">
        <f>IF(AND($A118&gt;=SYear_O, $A118&lt;=EYear_O, BD$3&gt;0), BD$3 * VLOOKUP($A118, Data_All!$A$8:$CA$153, MATCH(BD$2, Data_All!$B$2:$CA$2, 0)+1), "")</f>
        <v/>
      </c>
      <c r="BE118" s="206" t="str">
        <f>IF(AND($A118&gt;=SYear_O, $A118&lt;=EYear_O, BE$3&gt;0), BE$3 * VLOOKUP($A118, Data_All!$A$8:$CA$153, MATCH(BE$2, Data_All!$B$2:$CA$2, 0)+1), "")</f>
        <v/>
      </c>
      <c r="BF118" s="206" t="str">
        <f>IF(AND($A118&gt;=SYear_O, $A118&lt;=EYear_O, BF$3&gt;0), BF$3 * VLOOKUP($A118, Data_All!$A$8:$CA$153, MATCH(BF$2, Data_All!$B$2:$CA$2, 0)+1), "")</f>
        <v/>
      </c>
      <c r="BG118" s="206" t="str">
        <f>IF(AND($A118&gt;=SYear_O, $A118&lt;=EYear_O, BG$3&gt;0), BG$3 * VLOOKUP($A118, Data_All!$A$8:$CA$153, MATCH(BG$2, Data_All!$B$2:$CA$2, 0)+1), "")</f>
        <v/>
      </c>
      <c r="BH118" s="206" t="str">
        <f>IF(AND($A118&gt;=SYear_O, $A118&lt;=EYear_O, BH$3&gt;0), BH$3 * VLOOKUP($A118, Data_All!$A$8:$CA$153, MATCH(BH$2, Data_All!$B$2:$CA$2, 0)+1), "")</f>
        <v/>
      </c>
      <c r="BI118" s="206" t="str">
        <f>IF(AND($A118&gt;=SYear_O, $A118&lt;=EYear_O, BI$3&gt;0), BI$3 * VLOOKUP($A118, Data_All!$A$8:$CA$153, MATCH(BI$2, Data_All!$B$2:$CA$2, 0)+1), "")</f>
        <v/>
      </c>
      <c r="BJ118" s="206" t="str">
        <f>IF(AND($A118&gt;=SYear_O, $A118&lt;=EYear_O, BJ$3&gt;0), BJ$3 * VLOOKUP($A118, Data_All!$A$8:$CA$153, MATCH(BJ$2, Data_All!$B$2:$CA$2, 0)+1), "")</f>
        <v/>
      </c>
      <c r="BK118" s="206" t="str">
        <f>IF(AND($A118&gt;=SYear_O, $A118&lt;=EYear_O, BK$3&gt;0), BK$3 * VLOOKUP($A118, Data_All!$A$8:$CA$153, MATCH(BK$2, Data_All!$B$2:$CA$2, 0)+1), "")</f>
        <v/>
      </c>
      <c r="BL118" s="206" t="str">
        <f>IF(AND($A118&gt;=SYear_O, $A118&lt;=EYear_O, BL$3&gt;0), BL$3 * VLOOKUP($A118, Data_All!$A$8:$CA$153, MATCH(BL$2, Data_All!$B$2:$CA$2, 0)+1), "")</f>
        <v/>
      </c>
      <c r="BM118" s="206" t="str">
        <f>IF(AND($A118&gt;=SYear_O, $A118&lt;=EYear_O, BM$3&gt;0), BM$3 * VLOOKUP($A118, Data_All!$A$8:$CA$153, MATCH(BM$2, Data_All!$B$2:$CA$2, 0)+1), "")</f>
        <v/>
      </c>
      <c r="BN118" s="206" t="str">
        <f>IF(AND($A118&gt;=SYear_O, $A118&lt;=EYear_O, BN$3&gt;0), BN$3 * VLOOKUP($A118, Data_All!$A$8:$CA$153, MATCH(BN$2, Data_All!$B$2:$CA$2, 0)+1), "")</f>
        <v/>
      </c>
      <c r="BO118" s="206" t="str">
        <f>IF(AND($A118&gt;=SYear_O, $A118&lt;=EYear_O, BO$3&gt;0), BO$3 * VLOOKUP($A118, Data_All!$A$8:$CA$153, MATCH(BO$2, Data_All!$B$2:$CA$2, 0)+1), "")</f>
        <v/>
      </c>
      <c r="BP118" s="206" t="str">
        <f>IF(AND($A118&gt;=SYear_O, $A118&lt;=EYear_O, BP$3&gt;0), BP$3 * VLOOKUP($A118, Data_All!$A$8:$CA$153, MATCH(BP$2, Data_All!$B$2:$CA$2, 0)+1), "")</f>
        <v/>
      </c>
      <c r="BQ118" s="206" t="str">
        <f>IF(AND($A118&gt;=SYear_O, $A118&lt;=EYear_O, BQ$3&gt;0), BQ$3 * VLOOKUP($A118, Data_All!$A$8:$CA$153, MATCH(BQ$2, Data_All!$B$2:$CA$2, 0)+1), "")</f>
        <v/>
      </c>
      <c r="BR118" s="206" t="str">
        <f>IF(AND($A118&gt;=SYear_O, $A118&lt;=EYear_O, BR$3&gt;0), BR$3 * VLOOKUP($A118, Data_All!$A$8:$CA$153, MATCH(BR$2, Data_All!$B$2:$CA$2, 0)+1), "")</f>
        <v/>
      </c>
      <c r="BS118" s="206" t="str">
        <f>IF(AND($A118&gt;=SYear_O, $A118&lt;=EYear_O, BS$3&gt;0), BS$3 * VLOOKUP($A118, Data_All!$A$8:$CA$153, MATCH(BS$2, Data_All!$B$2:$CA$2, 0)+1), "")</f>
        <v/>
      </c>
      <c r="BT118" s="206" t="str">
        <f>IF(AND($A118&gt;=SYear_O, $A118&lt;=EYear_O, BT$3&gt;0), BT$3 * VLOOKUP($A118, Data_All!$A$8:$CA$153, MATCH(BT$2, Data_All!$B$2:$CA$2, 0)+1), "")</f>
        <v/>
      </c>
      <c r="BU118" s="206" t="str">
        <f>IF(AND($A118&gt;=SYear_O, $A118&lt;=EYear_O, BU$3&gt;0), BU$3 * VLOOKUP($A118, Data_All!$A$8:$CA$153, MATCH(BU$2, Data_All!$B$2:$CA$2, 0)+1), "")</f>
        <v/>
      </c>
      <c r="BV118" s="206" t="str">
        <f>IF(AND($A118&gt;=SYear_O, $A118&lt;=EYear_O, BV$3&gt;0), BV$3 * VLOOKUP($A118, Data_All!$A$8:$CA$153, MATCH(BV$2, Data_All!$B$2:$CA$2, 0)+1), "")</f>
        <v/>
      </c>
      <c r="BW118" s="206" t="str">
        <f>IF(AND($A118&gt;=SYear_O, $A118&lt;=EYear_O, BW$3&gt;0), BW$3 * VLOOKUP($A118, Data_All!$A$8:$CA$153, MATCH(BW$2, Data_All!$B$2:$CA$2, 0)+1), "")</f>
        <v/>
      </c>
      <c r="BX118" s="206">
        <f>IF(AND($A118&gt;=SYear_O, $A118&lt;=EYear_O, BX$3&gt;0), BX$3 * VLOOKUP($A118, Data_All!$A$8:$CA$153, MATCH(BX$2, Data_All!$B$2:$CA$2, 0)+1), "")</f>
        <v>17.322646657571632</v>
      </c>
      <c r="BY118" s="206">
        <f>IF(AND($A118&gt;=SYear_O, $A118&lt;=EYear_O, BY$3&gt;0), BY$3 * VLOOKUP($A118, Data_All!$A$8:$CA$153, MATCH(BY$2, Data_All!$B$2:$CA$2, 0)+1), "")</f>
        <v>13.328130826608408</v>
      </c>
      <c r="BZ118" s="206" t="str">
        <f>IF(AND($A118&gt;=SYear_O, $A118&lt;=EYear_O, BZ$3&gt;0), BZ$3 * VLOOKUP($A118, Data_All!$A$8:$CA$153, MATCH(BZ$2, Data_All!$B$2:$CA$2, 0)+1), "")</f>
        <v/>
      </c>
      <c r="CA118" s="565">
        <f t="shared" si="52"/>
        <v>30.65077748418004</v>
      </c>
      <c r="CB118" s="427">
        <f t="shared" si="53"/>
        <v>18219162.352162711</v>
      </c>
      <c r="CC118" s="565">
        <f>IF(AND($A118&gt;=SYear_O,$A118&lt;=EYear_O),(CA118-Data_All!CA119)/(1+Data_All!CA119%),"")</f>
        <v>25.831691429435701</v>
      </c>
      <c r="CD118" s="436">
        <f t="shared" si="54"/>
        <v>2326688.021785446</v>
      </c>
      <c r="CE118" s="438">
        <f t="shared" si="55"/>
        <v>1652.4641563075713</v>
      </c>
      <c r="CF118" s="438">
        <f>IF(AND($A118&gt;=SYear_O,$A118&lt;=EYear_O),MAX($CE$7:CE118),"")</f>
        <v>1652.4641563075713</v>
      </c>
      <c r="CG118" s="209">
        <f t="shared" si="56"/>
        <v>0</v>
      </c>
      <c r="CI118" s="143">
        <f>IF(AND($A118&gt;=SYear_O,$A118&lt;=EYear_O),Data_All!V119,"")</f>
        <v>10.400639424517935</v>
      </c>
      <c r="CJ118" s="143">
        <f>IF(AND($A118&gt;=SYear_O,$A118&lt;=EYear_O),Data_All!CA119,"")</f>
        <v>3.8297872340425476</v>
      </c>
      <c r="CK118" s="143">
        <f t="shared" si="57"/>
        <v>6.3284846916463779</v>
      </c>
      <c r="CN118" s="61">
        <f t="shared" si="58"/>
        <v>0.30650777484180014</v>
      </c>
      <c r="CO118" s="61">
        <f t="shared" si="59"/>
        <v>0.18014318713714172</v>
      </c>
      <c r="CP118" s="61">
        <f t="shared" si="60"/>
        <v>0.20702032635347334</v>
      </c>
      <c r="CQ118" s="61">
        <f t="shared" si="61"/>
        <v>0.15986409195155238</v>
      </c>
      <c r="CR118" s="61">
        <f t="shared" si="62"/>
        <v>0.14738724504923817</v>
      </c>
      <c r="CU118" s="61">
        <f t="shared" si="63"/>
        <v>0.25831691429435688</v>
      </c>
      <c r="CV118" s="61">
        <f t="shared" si="64"/>
        <v>0.13632143148166009</v>
      </c>
      <c r="CW118" s="61">
        <f t="shared" si="65"/>
        <v>0.16860488883676772</v>
      </c>
      <c r="CX118" s="61">
        <f t="shared" si="66"/>
        <v>0.11625511543053624</v>
      </c>
      <c r="CY118" s="61">
        <f t="shared" si="67"/>
        <v>0.10806438399345653</v>
      </c>
    </row>
    <row r="119" spans="1:103">
      <c r="A119" s="204">
        <f t="shared" si="51"/>
        <v>1983</v>
      </c>
      <c r="B119" s="206" t="str">
        <f>IF(AND($A119&gt;=SYear_O, $A119&lt;=EYear_O, B$3&gt;0), B$3 * VLOOKUP($A119, Data_All!$A$8:$CA$153, MATCH(B$2, Data_All!$B$2:$CA$2, 0)+1), "")</f>
        <v/>
      </c>
      <c r="C119" s="206" t="str">
        <f>IF(AND($A119&gt;=SYear_O, $A119&lt;=EYear_O, C$3&gt;0), C$3 * VLOOKUP($A119, Data_All!$A$8:$CA$153, MATCH(C$2, Data_All!$B$2:$CA$2, 0)+1), "")</f>
        <v/>
      </c>
      <c r="D119" s="206" t="str">
        <f>IF(AND($A119&gt;=SYear_O, $A119&lt;=EYear_O, D$3&gt;0), D$3 * VLOOKUP($A119, Data_All!$A$8:$CA$153, MATCH(D$2, Data_All!$B$2:$CA$2, 0)+1), "")</f>
        <v/>
      </c>
      <c r="E119" s="206" t="str">
        <f>IF(AND($A119&gt;=SYear_O, $A119&lt;=EYear_O, E$3&gt;0), E$3 * VLOOKUP($A119, Data_All!$A$8:$CA$153, MATCH(E$2, Data_All!$B$2:$CA$2, 0)+1), "")</f>
        <v/>
      </c>
      <c r="F119" s="206" t="str">
        <f>IF(AND($A119&gt;=SYear_O, $A119&lt;=EYear_O, F$3&gt;0), F$3 * VLOOKUP($A119, Data_All!$A$8:$CA$153, MATCH(F$2, Data_All!$B$2:$CA$2, 0)+1), "")</f>
        <v/>
      </c>
      <c r="G119" s="206" t="str">
        <f>IF(AND($A119&gt;=SYear_O, $A119&lt;=EYear_O, G$3&gt;0), G$3 * VLOOKUP($A119, Data_All!$A$8:$CA$153, MATCH(G$2, Data_All!$B$2:$CA$2, 0)+1), "")</f>
        <v/>
      </c>
      <c r="H119" s="206" t="str">
        <f>IF(AND($A119&gt;=SYear_O, $A119&lt;=EYear_O, H$3&gt;0), H$3 * VLOOKUP($A119, Data_All!$A$8:$CA$153, MATCH(H$2, Data_All!$B$2:$CA$2, 0)+1), "")</f>
        <v/>
      </c>
      <c r="I119" s="206" t="str">
        <f>IF(AND($A119&gt;=SYear_O, $A119&lt;=EYear_O, I$3&gt;0), I$3 * VLOOKUP($A119, Data_All!$A$8:$CA$153, MATCH(I$2, Data_All!$B$2:$CA$2, 0)+1), "")</f>
        <v/>
      </c>
      <c r="J119" s="206" t="str">
        <f>IF(AND($A119&gt;=SYear_O, $A119&lt;=EYear_O, J$3&gt;0), J$3 * VLOOKUP($A119, Data_All!$A$8:$CA$153, MATCH(J$2, Data_All!$B$2:$CA$2, 0)+1), "")</f>
        <v/>
      </c>
      <c r="K119" s="206" t="str">
        <f>IF(AND($A119&gt;=SYear_O, $A119&lt;=EYear_O, K$3&gt;0), K$3 * VLOOKUP($A119, Data_All!$A$8:$CA$153, MATCH(K$2, Data_All!$B$2:$CA$2, 0)+1), "")</f>
        <v/>
      </c>
      <c r="L119" s="206" t="str">
        <f>IF(AND($A119&gt;=SYear_O, $A119&lt;=EYear_O, L$3&gt;0), L$3 * VLOOKUP($A119, Data_All!$A$8:$CA$153, MATCH(L$2, Data_All!$B$2:$CA$2, 0)+1), "")</f>
        <v/>
      </c>
      <c r="M119" s="206" t="str">
        <f>IF(AND($A119&gt;=SYear_O, $A119&lt;=EYear_O, M$3&gt;0), M$3 * VLOOKUP($A119, Data_All!$A$8:$CA$153, MATCH(M$2, Data_All!$B$2:$CA$2, 0)+1), "")</f>
        <v/>
      </c>
      <c r="N119" s="206" t="str">
        <f>IF(AND($A119&gt;=SYear_O, $A119&lt;=EYear_O, N$3&gt;0), N$3 * VLOOKUP($A119, Data_All!$A$8:$CA$153, MATCH(N$2, Data_All!$B$2:$CA$2, 0)+1), "")</f>
        <v/>
      </c>
      <c r="O119" s="206" t="str">
        <f>IF(AND($A119&gt;=SYear_O, $A119&lt;=EYear_O, O$3&gt;0), O$3 * VLOOKUP($A119, Data_All!$A$8:$CA$153, MATCH(O$2, Data_All!$B$2:$CA$2, 0)+1), "")</f>
        <v/>
      </c>
      <c r="P119" s="206" t="str">
        <f>IF(AND($A119&gt;=SYear_O, $A119&lt;=EYear_O, P$3&gt;0), P$3 * VLOOKUP($A119, Data_All!$A$8:$CA$153, MATCH(P$2, Data_All!$B$2:$CA$2, 0)+1), "")</f>
        <v/>
      </c>
      <c r="Q119" s="206" t="str">
        <f>IF(AND($A119&gt;=SYear_O, $A119&lt;=EYear_O, Q$3&gt;0), Q$3 * VLOOKUP($A119, Data_All!$A$8:$CA$153, MATCH(Q$2, Data_All!$B$2:$CA$2, 0)+1), "")</f>
        <v/>
      </c>
      <c r="R119" s="206" t="str">
        <f>IF(AND($A119&gt;=SYear_O, $A119&lt;=EYear_O, R$3&gt;0), R$3 * VLOOKUP($A119, Data_All!$A$8:$CA$153, MATCH(R$2, Data_All!$B$2:$CA$2, 0)+1), "")</f>
        <v/>
      </c>
      <c r="S119" s="206" t="str">
        <f>IF(AND($A119&gt;=SYear_O, $A119&lt;=EYear_O, S$3&gt;0), S$3 * VLOOKUP($A119, Data_All!$A$8:$CA$153, MATCH(S$2, Data_All!$B$2:$CA$2, 0)+1), "")</f>
        <v/>
      </c>
      <c r="T119" s="206" t="str">
        <f>IF(AND($A119&gt;=SYear_O, $A119&lt;=EYear_O, T$3&gt;0), T$3 * VLOOKUP($A119, Data_All!$A$8:$CA$153, MATCH(T$2, Data_All!$B$2:$CA$2, 0)+1), "")</f>
        <v/>
      </c>
      <c r="U119" s="206" t="str">
        <f>IF(AND($A119&gt;=SYear_O, $A119&lt;=EYear_O, U$3&gt;0), U$3 * VLOOKUP($A119, Data_All!$A$8:$CA$153, MATCH(U$2, Data_All!$B$2:$CA$2, 0)+1), "")</f>
        <v/>
      </c>
      <c r="V119" s="206" t="str">
        <f>IF(AND($A119&gt;=SYear_O, $A119&lt;=EYear_O, V$3&gt;0), V$3 * VLOOKUP($A119, Data_All!$A$8:$CA$153, MATCH(V$2, Data_All!$B$2:$CA$2, 0)+1), "")</f>
        <v/>
      </c>
      <c r="W119" s="206" t="str">
        <f>IF(AND($A119&gt;=SYear_O, $A119&lt;=EYear_O, W$3&gt;0), W$3 * VLOOKUP($A119, Data_All!$A$8:$CA$153, MATCH(W$2, Data_All!$B$2:$CA$2, 0)+1), "")</f>
        <v/>
      </c>
      <c r="X119" s="206" t="str">
        <f>IF(AND($A119&gt;=SYear_O, $A119&lt;=EYear_O, X$3&gt;0), X$3 * VLOOKUP($A119, Data_All!$A$8:$CA$153, MATCH(X$2, Data_All!$B$2:$CA$2, 0)+1), "")</f>
        <v/>
      </c>
      <c r="Y119" s="206" t="str">
        <f>IF(AND($A119&gt;=SYear_O, $A119&lt;=EYear_O, Y$3&gt;0), Y$3 * VLOOKUP($A119, Data_All!$A$8:$CA$153, MATCH(Y$2, Data_All!$B$2:$CA$2, 0)+1), "")</f>
        <v/>
      </c>
      <c r="Z119" s="206" t="str">
        <f>IF(AND($A119&gt;=SYear_O, $A119&lt;=EYear_O, Z$3&gt;0), Z$3 * VLOOKUP($A119, Data_All!$A$8:$CA$153, MATCH(Z$2, Data_All!$B$2:$CA$2, 0)+1), "")</f>
        <v/>
      </c>
      <c r="AA119" s="206" t="str">
        <f>IF(AND($A119&gt;=SYear_O, $A119&lt;=EYear_O, AA$3&gt;0), AA$3 * VLOOKUP($A119, Data_All!$A$8:$CA$153, MATCH(AA$2, Data_All!$B$2:$CA$2, 0)+1), "")</f>
        <v/>
      </c>
      <c r="AB119" s="206" t="str">
        <f>IF(AND($A119&gt;=SYear_O, $A119&lt;=EYear_O, AB$3&gt;0), AB$3 * VLOOKUP($A119, Data_All!$A$8:$CA$153, MATCH(AB$2, Data_All!$B$2:$CA$2, 0)+1), "")</f>
        <v/>
      </c>
      <c r="AC119" s="206" t="str">
        <f>IF(AND($A119&gt;=SYear_O, $A119&lt;=EYear_O, AC$3&gt;0), AC$3 * VLOOKUP($A119, Data_All!$A$8:$CA$153, MATCH(AC$2, Data_All!$B$2:$CA$2, 0)+1), "")</f>
        <v/>
      </c>
      <c r="AD119" s="206" t="str">
        <f>IF(AND($A119&gt;=SYear_O, $A119&lt;=EYear_O, AD$3&gt;0), AD$3 * VLOOKUP($A119, Data_All!$A$8:$CA$153, MATCH(AD$2, Data_All!$B$2:$CA$2, 0)+1), "")</f>
        <v/>
      </c>
      <c r="AE119" s="206" t="str">
        <f>IF(AND($A119&gt;=SYear_O, $A119&lt;=EYear_O, AE$3&gt;0), AE$3 * VLOOKUP($A119, Data_All!$A$8:$CA$153, MATCH(AE$2, Data_All!$B$2:$CA$2, 0)+1), "")</f>
        <v/>
      </c>
      <c r="AF119" s="206" t="str">
        <f>IF(AND($A119&gt;=SYear_O, $A119&lt;=EYear_O, AF$3&gt;0), AF$3 * VLOOKUP($A119, Data_All!$A$8:$CA$153, MATCH(AF$2, Data_All!$B$2:$CA$2, 0)+1), "")</f>
        <v/>
      </c>
      <c r="AG119" s="206" t="str">
        <f>IF(AND($A119&gt;=SYear_O, $A119&lt;=EYear_O, AG$3&gt;0), AG$3 * VLOOKUP($A119, Data_All!$A$8:$CA$153, MATCH(AG$2, Data_All!$B$2:$CA$2, 0)+1), "")</f>
        <v/>
      </c>
      <c r="AH119" s="206" t="str">
        <f>IF(AND($A119&gt;=SYear_O, $A119&lt;=EYear_O, AH$3&gt;0), AH$3 * VLOOKUP($A119, Data_All!$A$8:$CA$153, MATCH(AH$2, Data_All!$B$2:$CA$2, 0)+1), "")</f>
        <v/>
      </c>
      <c r="AI119" s="206" t="str">
        <f>IF(AND($A119&gt;=SYear_O, $A119&lt;=EYear_O, AI$3&gt;0), AI$3 * VLOOKUP($A119, Data_All!$A$8:$CA$153, MATCH(AI$2, Data_All!$B$2:$CA$2, 0)+1), "")</f>
        <v/>
      </c>
      <c r="AJ119" s="206" t="str">
        <f>IF(AND($A119&gt;=SYear_O, $A119&lt;=EYear_O, AJ$3&gt;0), AJ$3 * VLOOKUP($A119, Data_All!$A$8:$CA$153, MATCH(AJ$2, Data_All!$B$2:$CA$2, 0)+1), "")</f>
        <v/>
      </c>
      <c r="AK119" s="206" t="str">
        <f>IF(AND($A119&gt;=SYear_O, $A119&lt;=EYear_O, AK$3&gt;0), AK$3 * VLOOKUP($A119, Data_All!$A$8:$CA$153, MATCH(AK$2, Data_All!$B$2:$CA$2, 0)+1), "")</f>
        <v/>
      </c>
      <c r="AL119" s="206" t="str">
        <f>IF(AND($A119&gt;=SYear_O, $A119&lt;=EYear_O, AL$3&gt;0), AL$3 * VLOOKUP($A119, Data_All!$A$8:$CA$153, MATCH(AL$2, Data_All!$B$2:$CA$2, 0)+1), "")</f>
        <v/>
      </c>
      <c r="AM119" s="206" t="str">
        <f>IF(AND($A119&gt;=SYear_O, $A119&lt;=EYear_O, AM$3&gt;0), AM$3 * VLOOKUP($A119, Data_All!$A$8:$CA$153, MATCH(AM$2, Data_All!$B$2:$CA$2, 0)+1), "")</f>
        <v/>
      </c>
      <c r="AN119" s="206" t="str">
        <f>IF(AND($A119&gt;=SYear_O, $A119&lt;=EYear_O, AN$3&gt;0), AN$3 * VLOOKUP($A119, Data_All!$A$8:$CA$153, MATCH(AN$2, Data_All!$B$2:$CA$2, 0)+1), "")</f>
        <v/>
      </c>
      <c r="AO119" s="206" t="str">
        <f>IF(AND($A119&gt;=SYear_O, $A119&lt;=EYear_O, AO$3&gt;0), AO$3 * VLOOKUP($A119, Data_All!$A$8:$CA$153, MATCH(AO$2, Data_All!$B$2:$CA$2, 0)+1), "")</f>
        <v/>
      </c>
      <c r="AP119" s="206" t="str">
        <f>IF(AND($A119&gt;=SYear_O, $A119&lt;=EYear_O, AP$3&gt;0), AP$3 * VLOOKUP($A119, Data_All!$A$8:$CA$153, MATCH(AP$2, Data_All!$B$2:$CA$2, 0)+1), "")</f>
        <v/>
      </c>
      <c r="AQ119" s="206" t="str">
        <f>IF(AND($A119&gt;=SYear_O, $A119&lt;=EYear_O, AQ$3&gt;0), AQ$3 * VLOOKUP($A119, Data_All!$A$8:$CA$153, MATCH(AQ$2, Data_All!$B$2:$CA$2, 0)+1), "")</f>
        <v/>
      </c>
      <c r="AR119" s="206" t="str">
        <f>IF(AND($A119&gt;=SYear_O, $A119&lt;=EYear_O, AR$3&gt;0), AR$3 * VLOOKUP($A119, Data_All!$A$8:$CA$153, MATCH(AR$2, Data_All!$B$2:$CA$2, 0)+1), "")</f>
        <v/>
      </c>
      <c r="AS119" s="206" t="str">
        <f>IF(AND($A119&gt;=SYear_O, $A119&lt;=EYear_O, AS$3&gt;0), AS$3 * VLOOKUP($A119, Data_All!$A$8:$CA$153, MATCH(AS$2, Data_All!$B$2:$CA$2, 0)+1), "")</f>
        <v/>
      </c>
      <c r="AT119" s="206" t="str">
        <f>IF(AND($A119&gt;=SYear_O, $A119&lt;=EYear_O, AT$3&gt;0), AT$3 * VLOOKUP($A119, Data_All!$A$8:$CA$153, MATCH(AT$2, Data_All!$B$2:$CA$2, 0)+1), "")</f>
        <v/>
      </c>
      <c r="AU119" s="206" t="str">
        <f>IF(AND($A119&gt;=SYear_O, $A119&lt;=EYear_O, AU$3&gt;0), AU$3 * VLOOKUP($A119, Data_All!$A$8:$CA$153, MATCH(AU$2, Data_All!$B$2:$CA$2, 0)+1), "")</f>
        <v/>
      </c>
      <c r="AV119" s="206" t="str">
        <f>IF(AND($A119&gt;=SYear_O, $A119&lt;=EYear_O, AV$3&gt;0), AV$3 * VLOOKUP($A119, Data_All!$A$8:$CA$153, MATCH(AV$2, Data_All!$B$2:$CA$2, 0)+1), "")</f>
        <v/>
      </c>
      <c r="AW119" s="206" t="str">
        <f>IF(AND($A119&gt;=SYear_O, $A119&lt;=EYear_O, AW$3&gt;0), AW$3 * VLOOKUP($A119, Data_All!$A$8:$CA$153, MATCH(AW$2, Data_All!$B$2:$CA$2, 0)+1), "")</f>
        <v/>
      </c>
      <c r="AX119" s="206" t="str">
        <f>IF(AND($A119&gt;=SYear_O, $A119&lt;=EYear_O, AX$3&gt;0), AX$3 * VLOOKUP($A119, Data_All!$A$8:$CA$153, MATCH(AX$2, Data_All!$B$2:$CA$2, 0)+1), "")</f>
        <v/>
      </c>
      <c r="AY119" s="206" t="str">
        <f>IF(AND($A119&gt;=SYear_O, $A119&lt;=EYear_O, AY$3&gt;0), AY$3 * VLOOKUP($A119, Data_All!$A$8:$CA$153, MATCH(AY$2, Data_All!$B$2:$CA$2, 0)+1), "")</f>
        <v/>
      </c>
      <c r="AZ119" s="206" t="str">
        <f>IF(AND($A119&gt;=SYear_O, $A119&lt;=EYear_O, AZ$3&gt;0), AZ$3 * VLOOKUP($A119, Data_All!$A$8:$CA$153, MATCH(AZ$2, Data_All!$B$2:$CA$2, 0)+1), "")</f>
        <v/>
      </c>
      <c r="BA119" s="206" t="str">
        <f>IF(AND($A119&gt;=SYear_O, $A119&lt;=EYear_O, BA$3&gt;0), BA$3 * VLOOKUP($A119, Data_All!$A$8:$CA$153, MATCH(BA$2, Data_All!$B$2:$CA$2, 0)+1), "")</f>
        <v/>
      </c>
      <c r="BB119" s="206" t="str">
        <f>IF(AND($A119&gt;=SYear_O, $A119&lt;=EYear_O, BB$3&gt;0), BB$3 * VLOOKUP($A119, Data_All!$A$8:$CA$153, MATCH(BB$2, Data_All!$B$2:$CA$2, 0)+1), "")</f>
        <v/>
      </c>
      <c r="BC119" s="206" t="str">
        <f>IF(AND($A119&gt;=SYear_O, $A119&lt;=EYear_O, BC$3&gt;0), BC$3 * VLOOKUP($A119, Data_All!$A$8:$CA$153, MATCH(BC$2, Data_All!$B$2:$CA$2, 0)+1), "")</f>
        <v/>
      </c>
      <c r="BD119" s="206" t="str">
        <f>IF(AND($A119&gt;=SYear_O, $A119&lt;=EYear_O, BD$3&gt;0), BD$3 * VLOOKUP($A119, Data_All!$A$8:$CA$153, MATCH(BD$2, Data_All!$B$2:$CA$2, 0)+1), "")</f>
        <v/>
      </c>
      <c r="BE119" s="206" t="str">
        <f>IF(AND($A119&gt;=SYear_O, $A119&lt;=EYear_O, BE$3&gt;0), BE$3 * VLOOKUP($A119, Data_All!$A$8:$CA$153, MATCH(BE$2, Data_All!$B$2:$CA$2, 0)+1), "")</f>
        <v/>
      </c>
      <c r="BF119" s="206" t="str">
        <f>IF(AND($A119&gt;=SYear_O, $A119&lt;=EYear_O, BF$3&gt;0), BF$3 * VLOOKUP($A119, Data_All!$A$8:$CA$153, MATCH(BF$2, Data_All!$B$2:$CA$2, 0)+1), "")</f>
        <v/>
      </c>
      <c r="BG119" s="206" t="str">
        <f>IF(AND($A119&gt;=SYear_O, $A119&lt;=EYear_O, BG$3&gt;0), BG$3 * VLOOKUP($A119, Data_All!$A$8:$CA$153, MATCH(BG$2, Data_All!$B$2:$CA$2, 0)+1), "")</f>
        <v/>
      </c>
      <c r="BH119" s="206" t="str">
        <f>IF(AND($A119&gt;=SYear_O, $A119&lt;=EYear_O, BH$3&gt;0), BH$3 * VLOOKUP($A119, Data_All!$A$8:$CA$153, MATCH(BH$2, Data_All!$B$2:$CA$2, 0)+1), "")</f>
        <v/>
      </c>
      <c r="BI119" s="206" t="str">
        <f>IF(AND($A119&gt;=SYear_O, $A119&lt;=EYear_O, BI$3&gt;0), BI$3 * VLOOKUP($A119, Data_All!$A$8:$CA$153, MATCH(BI$2, Data_All!$B$2:$CA$2, 0)+1), "")</f>
        <v/>
      </c>
      <c r="BJ119" s="206" t="str">
        <f>IF(AND($A119&gt;=SYear_O, $A119&lt;=EYear_O, BJ$3&gt;0), BJ$3 * VLOOKUP($A119, Data_All!$A$8:$CA$153, MATCH(BJ$2, Data_All!$B$2:$CA$2, 0)+1), "")</f>
        <v/>
      </c>
      <c r="BK119" s="206" t="str">
        <f>IF(AND($A119&gt;=SYear_O, $A119&lt;=EYear_O, BK$3&gt;0), BK$3 * VLOOKUP($A119, Data_All!$A$8:$CA$153, MATCH(BK$2, Data_All!$B$2:$CA$2, 0)+1), "")</f>
        <v/>
      </c>
      <c r="BL119" s="206" t="str">
        <f>IF(AND($A119&gt;=SYear_O, $A119&lt;=EYear_O, BL$3&gt;0), BL$3 * VLOOKUP($A119, Data_All!$A$8:$CA$153, MATCH(BL$2, Data_All!$B$2:$CA$2, 0)+1), "")</f>
        <v/>
      </c>
      <c r="BM119" s="206" t="str">
        <f>IF(AND($A119&gt;=SYear_O, $A119&lt;=EYear_O, BM$3&gt;0), BM$3 * VLOOKUP($A119, Data_All!$A$8:$CA$153, MATCH(BM$2, Data_All!$B$2:$CA$2, 0)+1), "")</f>
        <v/>
      </c>
      <c r="BN119" s="206" t="str">
        <f>IF(AND($A119&gt;=SYear_O, $A119&lt;=EYear_O, BN$3&gt;0), BN$3 * VLOOKUP($A119, Data_All!$A$8:$CA$153, MATCH(BN$2, Data_All!$B$2:$CA$2, 0)+1), "")</f>
        <v/>
      </c>
      <c r="BO119" s="206" t="str">
        <f>IF(AND($A119&gt;=SYear_O, $A119&lt;=EYear_O, BO$3&gt;0), BO$3 * VLOOKUP($A119, Data_All!$A$8:$CA$153, MATCH(BO$2, Data_All!$B$2:$CA$2, 0)+1), "")</f>
        <v/>
      </c>
      <c r="BP119" s="206" t="str">
        <f>IF(AND($A119&gt;=SYear_O, $A119&lt;=EYear_O, BP$3&gt;0), BP$3 * VLOOKUP($A119, Data_All!$A$8:$CA$153, MATCH(BP$2, Data_All!$B$2:$CA$2, 0)+1), "")</f>
        <v/>
      </c>
      <c r="BQ119" s="206" t="str">
        <f>IF(AND($A119&gt;=SYear_O, $A119&lt;=EYear_O, BQ$3&gt;0), BQ$3 * VLOOKUP($A119, Data_All!$A$8:$CA$153, MATCH(BQ$2, Data_All!$B$2:$CA$2, 0)+1), "")</f>
        <v/>
      </c>
      <c r="BR119" s="206" t="str">
        <f>IF(AND($A119&gt;=SYear_O, $A119&lt;=EYear_O, BR$3&gt;0), BR$3 * VLOOKUP($A119, Data_All!$A$8:$CA$153, MATCH(BR$2, Data_All!$B$2:$CA$2, 0)+1), "")</f>
        <v/>
      </c>
      <c r="BS119" s="206" t="str">
        <f>IF(AND($A119&gt;=SYear_O, $A119&lt;=EYear_O, BS$3&gt;0), BS$3 * VLOOKUP($A119, Data_All!$A$8:$CA$153, MATCH(BS$2, Data_All!$B$2:$CA$2, 0)+1), "")</f>
        <v/>
      </c>
      <c r="BT119" s="206" t="str">
        <f>IF(AND($A119&gt;=SYear_O, $A119&lt;=EYear_O, BT$3&gt;0), BT$3 * VLOOKUP($A119, Data_All!$A$8:$CA$153, MATCH(BT$2, Data_All!$B$2:$CA$2, 0)+1), "")</f>
        <v/>
      </c>
      <c r="BU119" s="206" t="str">
        <f>IF(AND($A119&gt;=SYear_O, $A119&lt;=EYear_O, BU$3&gt;0), BU$3 * VLOOKUP($A119, Data_All!$A$8:$CA$153, MATCH(BU$2, Data_All!$B$2:$CA$2, 0)+1), "")</f>
        <v/>
      </c>
      <c r="BV119" s="206" t="str">
        <f>IF(AND($A119&gt;=SYear_O, $A119&lt;=EYear_O, BV$3&gt;0), BV$3 * VLOOKUP($A119, Data_All!$A$8:$CA$153, MATCH(BV$2, Data_All!$B$2:$CA$2, 0)+1), "")</f>
        <v/>
      </c>
      <c r="BW119" s="206" t="str">
        <f>IF(AND($A119&gt;=SYear_O, $A119&lt;=EYear_O, BW$3&gt;0), BW$3 * VLOOKUP($A119, Data_All!$A$8:$CA$153, MATCH(BW$2, Data_All!$B$2:$CA$2, 0)+1), "")</f>
        <v/>
      </c>
      <c r="BX119" s="206">
        <f>IF(AND($A119&gt;=SYear_O, $A119&lt;=EYear_O, BX$3&gt;0), BX$3 * VLOOKUP($A119, Data_All!$A$8:$CA$153, MATCH(BX$2, Data_All!$B$2:$CA$2, 0)+1), "")</f>
        <v>12.148055728841749</v>
      </c>
      <c r="BY119" s="206">
        <f>IF(AND($A119&gt;=SYear_O, $A119&lt;=EYear_O, BY$3&gt;0), BY$3 * VLOOKUP($A119, Data_All!$A$8:$CA$153, MATCH(BY$2, Data_All!$B$2:$CA$2, 0)+1), "")</f>
        <v>2.32918361799201</v>
      </c>
      <c r="BZ119" s="206" t="str">
        <f>IF(AND($A119&gt;=SYear_O, $A119&lt;=EYear_O, BZ$3&gt;0), BZ$3 * VLOOKUP($A119, Data_All!$A$8:$CA$153, MATCH(BZ$2, Data_All!$B$2:$CA$2, 0)+1), "")</f>
        <v/>
      </c>
      <c r="CA119" s="565">
        <f t="shared" si="52"/>
        <v>14.477239346833759</v>
      </c>
      <c r="CB119" s="427">
        <f t="shared" si="53"/>
        <v>20856794.092873536</v>
      </c>
      <c r="CC119" s="565">
        <f>IF(AND($A119&gt;=SYear_O,$A119&lt;=EYear_O),(CA119-Data_All!CA120)/(1+Data_All!CA120%),"")</f>
        <v>10.295938403267265</v>
      </c>
      <c r="CD119" s="436">
        <f t="shared" si="54"/>
        <v>2566242.3873446728</v>
      </c>
      <c r="CE119" s="438">
        <f t="shared" si="55"/>
        <v>1891.6953473368555</v>
      </c>
      <c r="CF119" s="438">
        <f>IF(AND($A119&gt;=SYear_O,$A119&lt;=EYear_O),MAX($CE$7:CE119),"")</f>
        <v>1891.6953473368555</v>
      </c>
      <c r="CG119" s="209">
        <f t="shared" si="56"/>
        <v>0</v>
      </c>
      <c r="CI119" s="143">
        <f>IF(AND($A119&gt;=SYear_O,$A119&lt;=EYear_O),Data_All!V120,"")</f>
        <v>8.7021680487561213</v>
      </c>
      <c r="CJ119" s="143">
        <f>IF(AND($A119&gt;=SYear_O,$A119&lt;=EYear_O),Data_All!CA120,"")</f>
        <v>3.7909836065573854</v>
      </c>
      <c r="CK119" s="143">
        <f t="shared" si="57"/>
        <v>4.7318025820197098</v>
      </c>
      <c r="CN119" s="61">
        <f t="shared" si="58"/>
        <v>0.14477239346833759</v>
      </c>
      <c r="CO119" s="61">
        <f t="shared" si="59"/>
        <v>0.15910143243905228</v>
      </c>
      <c r="CP119" s="61">
        <f t="shared" si="60"/>
        <v>0.14241080585801336</v>
      </c>
      <c r="CQ119" s="61">
        <f t="shared" si="61"/>
        <v>0.1382124259351416</v>
      </c>
      <c r="CR119" s="61">
        <f t="shared" si="62"/>
        <v>0.14149610609116592</v>
      </c>
      <c r="CU119" s="61">
        <f t="shared" si="63"/>
        <v>0.10295938403267257</v>
      </c>
      <c r="CV119" s="61">
        <f t="shared" si="64"/>
        <v>0.1161725244484535</v>
      </c>
      <c r="CW119" s="61">
        <f t="shared" si="65"/>
        <v>0.10476804547422058</v>
      </c>
      <c r="CX119" s="61">
        <f t="shared" si="66"/>
        <v>9.6402620165451092E-2</v>
      </c>
      <c r="CY119" s="61">
        <f t="shared" si="67"/>
        <v>0.10389762176540263</v>
      </c>
    </row>
    <row r="120" spans="1:103">
      <c r="A120" s="204">
        <f t="shared" si="51"/>
        <v>1984</v>
      </c>
      <c r="B120" s="206" t="str">
        <f>IF(AND($A120&gt;=SYear_O, $A120&lt;=EYear_O, B$3&gt;0), B$3 * VLOOKUP($A120, Data_All!$A$8:$CA$153, MATCH(B$2, Data_All!$B$2:$CA$2, 0)+1), "")</f>
        <v/>
      </c>
      <c r="C120" s="206" t="str">
        <f>IF(AND($A120&gt;=SYear_O, $A120&lt;=EYear_O, C$3&gt;0), C$3 * VLOOKUP($A120, Data_All!$A$8:$CA$153, MATCH(C$2, Data_All!$B$2:$CA$2, 0)+1), "")</f>
        <v/>
      </c>
      <c r="D120" s="206" t="str">
        <f>IF(AND($A120&gt;=SYear_O, $A120&lt;=EYear_O, D$3&gt;0), D$3 * VLOOKUP($A120, Data_All!$A$8:$CA$153, MATCH(D$2, Data_All!$B$2:$CA$2, 0)+1), "")</f>
        <v/>
      </c>
      <c r="E120" s="206" t="str">
        <f>IF(AND($A120&gt;=SYear_O, $A120&lt;=EYear_O, E$3&gt;0), E$3 * VLOOKUP($A120, Data_All!$A$8:$CA$153, MATCH(E$2, Data_All!$B$2:$CA$2, 0)+1), "")</f>
        <v/>
      </c>
      <c r="F120" s="206" t="str">
        <f>IF(AND($A120&gt;=SYear_O, $A120&lt;=EYear_O, F$3&gt;0), F$3 * VLOOKUP($A120, Data_All!$A$8:$CA$153, MATCH(F$2, Data_All!$B$2:$CA$2, 0)+1), "")</f>
        <v/>
      </c>
      <c r="G120" s="206" t="str">
        <f>IF(AND($A120&gt;=SYear_O, $A120&lt;=EYear_O, G$3&gt;0), G$3 * VLOOKUP($A120, Data_All!$A$8:$CA$153, MATCH(G$2, Data_All!$B$2:$CA$2, 0)+1), "")</f>
        <v/>
      </c>
      <c r="H120" s="206" t="str">
        <f>IF(AND($A120&gt;=SYear_O, $A120&lt;=EYear_O, H$3&gt;0), H$3 * VLOOKUP($A120, Data_All!$A$8:$CA$153, MATCH(H$2, Data_All!$B$2:$CA$2, 0)+1), "")</f>
        <v/>
      </c>
      <c r="I120" s="206" t="str">
        <f>IF(AND($A120&gt;=SYear_O, $A120&lt;=EYear_O, I$3&gt;0), I$3 * VLOOKUP($A120, Data_All!$A$8:$CA$153, MATCH(I$2, Data_All!$B$2:$CA$2, 0)+1), "")</f>
        <v/>
      </c>
      <c r="J120" s="206" t="str">
        <f>IF(AND($A120&gt;=SYear_O, $A120&lt;=EYear_O, J$3&gt;0), J$3 * VLOOKUP($A120, Data_All!$A$8:$CA$153, MATCH(J$2, Data_All!$B$2:$CA$2, 0)+1), "")</f>
        <v/>
      </c>
      <c r="K120" s="206" t="str">
        <f>IF(AND($A120&gt;=SYear_O, $A120&lt;=EYear_O, K$3&gt;0), K$3 * VLOOKUP($A120, Data_All!$A$8:$CA$153, MATCH(K$2, Data_All!$B$2:$CA$2, 0)+1), "")</f>
        <v/>
      </c>
      <c r="L120" s="206" t="str">
        <f>IF(AND($A120&gt;=SYear_O, $A120&lt;=EYear_O, L$3&gt;0), L$3 * VLOOKUP($A120, Data_All!$A$8:$CA$153, MATCH(L$2, Data_All!$B$2:$CA$2, 0)+1), "")</f>
        <v/>
      </c>
      <c r="M120" s="206" t="str">
        <f>IF(AND($A120&gt;=SYear_O, $A120&lt;=EYear_O, M$3&gt;0), M$3 * VLOOKUP($A120, Data_All!$A$8:$CA$153, MATCH(M$2, Data_All!$B$2:$CA$2, 0)+1), "")</f>
        <v/>
      </c>
      <c r="N120" s="206" t="str">
        <f>IF(AND($A120&gt;=SYear_O, $A120&lt;=EYear_O, N$3&gt;0), N$3 * VLOOKUP($A120, Data_All!$A$8:$CA$153, MATCH(N$2, Data_All!$B$2:$CA$2, 0)+1), "")</f>
        <v/>
      </c>
      <c r="O120" s="206" t="str">
        <f>IF(AND($A120&gt;=SYear_O, $A120&lt;=EYear_O, O$3&gt;0), O$3 * VLOOKUP($A120, Data_All!$A$8:$CA$153, MATCH(O$2, Data_All!$B$2:$CA$2, 0)+1), "")</f>
        <v/>
      </c>
      <c r="P120" s="206" t="str">
        <f>IF(AND($A120&gt;=SYear_O, $A120&lt;=EYear_O, P$3&gt;0), P$3 * VLOOKUP($A120, Data_All!$A$8:$CA$153, MATCH(P$2, Data_All!$B$2:$CA$2, 0)+1), "")</f>
        <v/>
      </c>
      <c r="Q120" s="206" t="str">
        <f>IF(AND($A120&gt;=SYear_O, $A120&lt;=EYear_O, Q$3&gt;0), Q$3 * VLOOKUP($A120, Data_All!$A$8:$CA$153, MATCH(Q$2, Data_All!$B$2:$CA$2, 0)+1), "")</f>
        <v/>
      </c>
      <c r="R120" s="206" t="str">
        <f>IF(AND($A120&gt;=SYear_O, $A120&lt;=EYear_O, R$3&gt;0), R$3 * VLOOKUP($A120, Data_All!$A$8:$CA$153, MATCH(R$2, Data_All!$B$2:$CA$2, 0)+1), "")</f>
        <v/>
      </c>
      <c r="S120" s="206" t="str">
        <f>IF(AND($A120&gt;=SYear_O, $A120&lt;=EYear_O, S$3&gt;0), S$3 * VLOOKUP($A120, Data_All!$A$8:$CA$153, MATCH(S$2, Data_All!$B$2:$CA$2, 0)+1), "")</f>
        <v/>
      </c>
      <c r="T120" s="206" t="str">
        <f>IF(AND($A120&gt;=SYear_O, $A120&lt;=EYear_O, T$3&gt;0), T$3 * VLOOKUP($A120, Data_All!$A$8:$CA$153, MATCH(T$2, Data_All!$B$2:$CA$2, 0)+1), "")</f>
        <v/>
      </c>
      <c r="U120" s="206" t="str">
        <f>IF(AND($A120&gt;=SYear_O, $A120&lt;=EYear_O, U$3&gt;0), U$3 * VLOOKUP($A120, Data_All!$A$8:$CA$153, MATCH(U$2, Data_All!$B$2:$CA$2, 0)+1), "")</f>
        <v/>
      </c>
      <c r="V120" s="206" t="str">
        <f>IF(AND($A120&gt;=SYear_O, $A120&lt;=EYear_O, V$3&gt;0), V$3 * VLOOKUP($A120, Data_All!$A$8:$CA$153, MATCH(V$2, Data_All!$B$2:$CA$2, 0)+1), "")</f>
        <v/>
      </c>
      <c r="W120" s="206" t="str">
        <f>IF(AND($A120&gt;=SYear_O, $A120&lt;=EYear_O, W$3&gt;0), W$3 * VLOOKUP($A120, Data_All!$A$8:$CA$153, MATCH(W$2, Data_All!$B$2:$CA$2, 0)+1), "")</f>
        <v/>
      </c>
      <c r="X120" s="206" t="str">
        <f>IF(AND($A120&gt;=SYear_O, $A120&lt;=EYear_O, X$3&gt;0), X$3 * VLOOKUP($A120, Data_All!$A$8:$CA$153, MATCH(X$2, Data_All!$B$2:$CA$2, 0)+1), "")</f>
        <v/>
      </c>
      <c r="Y120" s="206" t="str">
        <f>IF(AND($A120&gt;=SYear_O, $A120&lt;=EYear_O, Y$3&gt;0), Y$3 * VLOOKUP($A120, Data_All!$A$8:$CA$153, MATCH(Y$2, Data_All!$B$2:$CA$2, 0)+1), "")</f>
        <v/>
      </c>
      <c r="Z120" s="206" t="str">
        <f>IF(AND($A120&gt;=SYear_O, $A120&lt;=EYear_O, Z$3&gt;0), Z$3 * VLOOKUP($A120, Data_All!$A$8:$CA$153, MATCH(Z$2, Data_All!$B$2:$CA$2, 0)+1), "")</f>
        <v/>
      </c>
      <c r="AA120" s="206" t="str">
        <f>IF(AND($A120&gt;=SYear_O, $A120&lt;=EYear_O, AA$3&gt;0), AA$3 * VLOOKUP($A120, Data_All!$A$8:$CA$153, MATCH(AA$2, Data_All!$B$2:$CA$2, 0)+1), "")</f>
        <v/>
      </c>
      <c r="AB120" s="206" t="str">
        <f>IF(AND($A120&gt;=SYear_O, $A120&lt;=EYear_O, AB$3&gt;0), AB$3 * VLOOKUP($A120, Data_All!$A$8:$CA$153, MATCH(AB$2, Data_All!$B$2:$CA$2, 0)+1), "")</f>
        <v/>
      </c>
      <c r="AC120" s="206" t="str">
        <f>IF(AND($A120&gt;=SYear_O, $A120&lt;=EYear_O, AC$3&gt;0), AC$3 * VLOOKUP($A120, Data_All!$A$8:$CA$153, MATCH(AC$2, Data_All!$B$2:$CA$2, 0)+1), "")</f>
        <v/>
      </c>
      <c r="AD120" s="206" t="str">
        <f>IF(AND($A120&gt;=SYear_O, $A120&lt;=EYear_O, AD$3&gt;0), AD$3 * VLOOKUP($A120, Data_All!$A$8:$CA$153, MATCH(AD$2, Data_All!$B$2:$CA$2, 0)+1), "")</f>
        <v/>
      </c>
      <c r="AE120" s="206" t="str">
        <f>IF(AND($A120&gt;=SYear_O, $A120&lt;=EYear_O, AE$3&gt;0), AE$3 * VLOOKUP($A120, Data_All!$A$8:$CA$153, MATCH(AE$2, Data_All!$B$2:$CA$2, 0)+1), "")</f>
        <v/>
      </c>
      <c r="AF120" s="206" t="str">
        <f>IF(AND($A120&gt;=SYear_O, $A120&lt;=EYear_O, AF$3&gt;0), AF$3 * VLOOKUP($A120, Data_All!$A$8:$CA$153, MATCH(AF$2, Data_All!$B$2:$CA$2, 0)+1), "")</f>
        <v/>
      </c>
      <c r="AG120" s="206" t="str">
        <f>IF(AND($A120&gt;=SYear_O, $A120&lt;=EYear_O, AG$3&gt;0), AG$3 * VLOOKUP($A120, Data_All!$A$8:$CA$153, MATCH(AG$2, Data_All!$B$2:$CA$2, 0)+1), "")</f>
        <v/>
      </c>
      <c r="AH120" s="206" t="str">
        <f>IF(AND($A120&gt;=SYear_O, $A120&lt;=EYear_O, AH$3&gt;0), AH$3 * VLOOKUP($A120, Data_All!$A$8:$CA$153, MATCH(AH$2, Data_All!$B$2:$CA$2, 0)+1), "")</f>
        <v/>
      </c>
      <c r="AI120" s="206" t="str">
        <f>IF(AND($A120&gt;=SYear_O, $A120&lt;=EYear_O, AI$3&gt;0), AI$3 * VLOOKUP($A120, Data_All!$A$8:$CA$153, MATCH(AI$2, Data_All!$B$2:$CA$2, 0)+1), "")</f>
        <v/>
      </c>
      <c r="AJ120" s="206" t="str">
        <f>IF(AND($A120&gt;=SYear_O, $A120&lt;=EYear_O, AJ$3&gt;0), AJ$3 * VLOOKUP($A120, Data_All!$A$8:$CA$153, MATCH(AJ$2, Data_All!$B$2:$CA$2, 0)+1), "")</f>
        <v/>
      </c>
      <c r="AK120" s="206" t="str">
        <f>IF(AND($A120&gt;=SYear_O, $A120&lt;=EYear_O, AK$3&gt;0), AK$3 * VLOOKUP($A120, Data_All!$A$8:$CA$153, MATCH(AK$2, Data_All!$B$2:$CA$2, 0)+1), "")</f>
        <v/>
      </c>
      <c r="AL120" s="206" t="str">
        <f>IF(AND($A120&gt;=SYear_O, $A120&lt;=EYear_O, AL$3&gt;0), AL$3 * VLOOKUP($A120, Data_All!$A$8:$CA$153, MATCH(AL$2, Data_All!$B$2:$CA$2, 0)+1), "")</f>
        <v/>
      </c>
      <c r="AM120" s="206" t="str">
        <f>IF(AND($A120&gt;=SYear_O, $A120&lt;=EYear_O, AM$3&gt;0), AM$3 * VLOOKUP($A120, Data_All!$A$8:$CA$153, MATCH(AM$2, Data_All!$B$2:$CA$2, 0)+1), "")</f>
        <v/>
      </c>
      <c r="AN120" s="206" t="str">
        <f>IF(AND($A120&gt;=SYear_O, $A120&lt;=EYear_O, AN$3&gt;0), AN$3 * VLOOKUP($A120, Data_All!$A$8:$CA$153, MATCH(AN$2, Data_All!$B$2:$CA$2, 0)+1), "")</f>
        <v/>
      </c>
      <c r="AO120" s="206" t="str">
        <f>IF(AND($A120&gt;=SYear_O, $A120&lt;=EYear_O, AO$3&gt;0), AO$3 * VLOOKUP($A120, Data_All!$A$8:$CA$153, MATCH(AO$2, Data_All!$B$2:$CA$2, 0)+1), "")</f>
        <v/>
      </c>
      <c r="AP120" s="206" t="str">
        <f>IF(AND($A120&gt;=SYear_O, $A120&lt;=EYear_O, AP$3&gt;0), AP$3 * VLOOKUP($A120, Data_All!$A$8:$CA$153, MATCH(AP$2, Data_All!$B$2:$CA$2, 0)+1), "")</f>
        <v/>
      </c>
      <c r="AQ120" s="206" t="str">
        <f>IF(AND($A120&gt;=SYear_O, $A120&lt;=EYear_O, AQ$3&gt;0), AQ$3 * VLOOKUP($A120, Data_All!$A$8:$CA$153, MATCH(AQ$2, Data_All!$B$2:$CA$2, 0)+1), "")</f>
        <v/>
      </c>
      <c r="AR120" s="206" t="str">
        <f>IF(AND($A120&gt;=SYear_O, $A120&lt;=EYear_O, AR$3&gt;0), AR$3 * VLOOKUP($A120, Data_All!$A$8:$CA$153, MATCH(AR$2, Data_All!$B$2:$CA$2, 0)+1), "")</f>
        <v/>
      </c>
      <c r="AS120" s="206" t="str">
        <f>IF(AND($A120&gt;=SYear_O, $A120&lt;=EYear_O, AS$3&gt;0), AS$3 * VLOOKUP($A120, Data_All!$A$8:$CA$153, MATCH(AS$2, Data_All!$B$2:$CA$2, 0)+1), "")</f>
        <v/>
      </c>
      <c r="AT120" s="206" t="str">
        <f>IF(AND($A120&gt;=SYear_O, $A120&lt;=EYear_O, AT$3&gt;0), AT$3 * VLOOKUP($A120, Data_All!$A$8:$CA$153, MATCH(AT$2, Data_All!$B$2:$CA$2, 0)+1), "")</f>
        <v/>
      </c>
      <c r="AU120" s="206" t="str">
        <f>IF(AND($A120&gt;=SYear_O, $A120&lt;=EYear_O, AU$3&gt;0), AU$3 * VLOOKUP($A120, Data_All!$A$8:$CA$153, MATCH(AU$2, Data_All!$B$2:$CA$2, 0)+1), "")</f>
        <v/>
      </c>
      <c r="AV120" s="206" t="str">
        <f>IF(AND($A120&gt;=SYear_O, $A120&lt;=EYear_O, AV$3&gt;0), AV$3 * VLOOKUP($A120, Data_All!$A$8:$CA$153, MATCH(AV$2, Data_All!$B$2:$CA$2, 0)+1), "")</f>
        <v/>
      </c>
      <c r="AW120" s="206" t="str">
        <f>IF(AND($A120&gt;=SYear_O, $A120&lt;=EYear_O, AW$3&gt;0), AW$3 * VLOOKUP($A120, Data_All!$A$8:$CA$153, MATCH(AW$2, Data_All!$B$2:$CA$2, 0)+1), "")</f>
        <v/>
      </c>
      <c r="AX120" s="206" t="str">
        <f>IF(AND($A120&gt;=SYear_O, $A120&lt;=EYear_O, AX$3&gt;0), AX$3 * VLOOKUP($A120, Data_All!$A$8:$CA$153, MATCH(AX$2, Data_All!$B$2:$CA$2, 0)+1), "")</f>
        <v/>
      </c>
      <c r="AY120" s="206" t="str">
        <f>IF(AND($A120&gt;=SYear_O, $A120&lt;=EYear_O, AY$3&gt;0), AY$3 * VLOOKUP($A120, Data_All!$A$8:$CA$153, MATCH(AY$2, Data_All!$B$2:$CA$2, 0)+1), "")</f>
        <v/>
      </c>
      <c r="AZ120" s="206" t="str">
        <f>IF(AND($A120&gt;=SYear_O, $A120&lt;=EYear_O, AZ$3&gt;0), AZ$3 * VLOOKUP($A120, Data_All!$A$8:$CA$153, MATCH(AZ$2, Data_All!$B$2:$CA$2, 0)+1), "")</f>
        <v/>
      </c>
      <c r="BA120" s="206" t="str">
        <f>IF(AND($A120&gt;=SYear_O, $A120&lt;=EYear_O, BA$3&gt;0), BA$3 * VLOOKUP($A120, Data_All!$A$8:$CA$153, MATCH(BA$2, Data_All!$B$2:$CA$2, 0)+1), "")</f>
        <v/>
      </c>
      <c r="BB120" s="206" t="str">
        <f>IF(AND($A120&gt;=SYear_O, $A120&lt;=EYear_O, BB$3&gt;0), BB$3 * VLOOKUP($A120, Data_All!$A$8:$CA$153, MATCH(BB$2, Data_All!$B$2:$CA$2, 0)+1), "")</f>
        <v/>
      </c>
      <c r="BC120" s="206" t="str">
        <f>IF(AND($A120&gt;=SYear_O, $A120&lt;=EYear_O, BC$3&gt;0), BC$3 * VLOOKUP($A120, Data_All!$A$8:$CA$153, MATCH(BC$2, Data_All!$B$2:$CA$2, 0)+1), "")</f>
        <v/>
      </c>
      <c r="BD120" s="206" t="str">
        <f>IF(AND($A120&gt;=SYear_O, $A120&lt;=EYear_O, BD$3&gt;0), BD$3 * VLOOKUP($A120, Data_All!$A$8:$CA$153, MATCH(BD$2, Data_All!$B$2:$CA$2, 0)+1), "")</f>
        <v/>
      </c>
      <c r="BE120" s="206" t="str">
        <f>IF(AND($A120&gt;=SYear_O, $A120&lt;=EYear_O, BE$3&gt;0), BE$3 * VLOOKUP($A120, Data_All!$A$8:$CA$153, MATCH(BE$2, Data_All!$B$2:$CA$2, 0)+1), "")</f>
        <v/>
      </c>
      <c r="BF120" s="206" t="str">
        <f>IF(AND($A120&gt;=SYear_O, $A120&lt;=EYear_O, BF$3&gt;0), BF$3 * VLOOKUP($A120, Data_All!$A$8:$CA$153, MATCH(BF$2, Data_All!$B$2:$CA$2, 0)+1), "")</f>
        <v/>
      </c>
      <c r="BG120" s="206" t="str">
        <f>IF(AND($A120&gt;=SYear_O, $A120&lt;=EYear_O, BG$3&gt;0), BG$3 * VLOOKUP($A120, Data_All!$A$8:$CA$153, MATCH(BG$2, Data_All!$B$2:$CA$2, 0)+1), "")</f>
        <v/>
      </c>
      <c r="BH120" s="206" t="str">
        <f>IF(AND($A120&gt;=SYear_O, $A120&lt;=EYear_O, BH$3&gt;0), BH$3 * VLOOKUP($A120, Data_All!$A$8:$CA$153, MATCH(BH$2, Data_All!$B$2:$CA$2, 0)+1), "")</f>
        <v/>
      </c>
      <c r="BI120" s="206" t="str">
        <f>IF(AND($A120&gt;=SYear_O, $A120&lt;=EYear_O, BI$3&gt;0), BI$3 * VLOOKUP($A120, Data_All!$A$8:$CA$153, MATCH(BI$2, Data_All!$B$2:$CA$2, 0)+1), "")</f>
        <v/>
      </c>
      <c r="BJ120" s="206" t="str">
        <f>IF(AND($A120&gt;=SYear_O, $A120&lt;=EYear_O, BJ$3&gt;0), BJ$3 * VLOOKUP($A120, Data_All!$A$8:$CA$153, MATCH(BJ$2, Data_All!$B$2:$CA$2, 0)+1), "")</f>
        <v/>
      </c>
      <c r="BK120" s="206" t="str">
        <f>IF(AND($A120&gt;=SYear_O, $A120&lt;=EYear_O, BK$3&gt;0), BK$3 * VLOOKUP($A120, Data_All!$A$8:$CA$153, MATCH(BK$2, Data_All!$B$2:$CA$2, 0)+1), "")</f>
        <v/>
      </c>
      <c r="BL120" s="206" t="str">
        <f>IF(AND($A120&gt;=SYear_O, $A120&lt;=EYear_O, BL$3&gt;0), BL$3 * VLOOKUP($A120, Data_All!$A$8:$CA$153, MATCH(BL$2, Data_All!$B$2:$CA$2, 0)+1), "")</f>
        <v/>
      </c>
      <c r="BM120" s="206" t="str">
        <f>IF(AND($A120&gt;=SYear_O, $A120&lt;=EYear_O, BM$3&gt;0), BM$3 * VLOOKUP($A120, Data_All!$A$8:$CA$153, MATCH(BM$2, Data_All!$B$2:$CA$2, 0)+1), "")</f>
        <v/>
      </c>
      <c r="BN120" s="206" t="str">
        <f>IF(AND($A120&gt;=SYear_O, $A120&lt;=EYear_O, BN$3&gt;0), BN$3 * VLOOKUP($A120, Data_All!$A$8:$CA$153, MATCH(BN$2, Data_All!$B$2:$CA$2, 0)+1), "")</f>
        <v/>
      </c>
      <c r="BO120" s="206" t="str">
        <f>IF(AND($A120&gt;=SYear_O, $A120&lt;=EYear_O, BO$3&gt;0), BO$3 * VLOOKUP($A120, Data_All!$A$8:$CA$153, MATCH(BO$2, Data_All!$B$2:$CA$2, 0)+1), "")</f>
        <v/>
      </c>
      <c r="BP120" s="206" t="str">
        <f>IF(AND($A120&gt;=SYear_O, $A120&lt;=EYear_O, BP$3&gt;0), BP$3 * VLOOKUP($A120, Data_All!$A$8:$CA$153, MATCH(BP$2, Data_All!$B$2:$CA$2, 0)+1), "")</f>
        <v/>
      </c>
      <c r="BQ120" s="206" t="str">
        <f>IF(AND($A120&gt;=SYear_O, $A120&lt;=EYear_O, BQ$3&gt;0), BQ$3 * VLOOKUP($A120, Data_All!$A$8:$CA$153, MATCH(BQ$2, Data_All!$B$2:$CA$2, 0)+1), "")</f>
        <v/>
      </c>
      <c r="BR120" s="206" t="str">
        <f>IF(AND($A120&gt;=SYear_O, $A120&lt;=EYear_O, BR$3&gt;0), BR$3 * VLOOKUP($A120, Data_All!$A$8:$CA$153, MATCH(BR$2, Data_All!$B$2:$CA$2, 0)+1), "")</f>
        <v/>
      </c>
      <c r="BS120" s="206" t="str">
        <f>IF(AND($A120&gt;=SYear_O, $A120&lt;=EYear_O, BS$3&gt;0), BS$3 * VLOOKUP($A120, Data_All!$A$8:$CA$153, MATCH(BS$2, Data_All!$B$2:$CA$2, 0)+1), "")</f>
        <v/>
      </c>
      <c r="BT120" s="206" t="str">
        <f>IF(AND($A120&gt;=SYear_O, $A120&lt;=EYear_O, BT$3&gt;0), BT$3 * VLOOKUP($A120, Data_All!$A$8:$CA$153, MATCH(BT$2, Data_All!$B$2:$CA$2, 0)+1), "")</f>
        <v/>
      </c>
      <c r="BU120" s="206" t="str">
        <f>IF(AND($A120&gt;=SYear_O, $A120&lt;=EYear_O, BU$3&gt;0), BU$3 * VLOOKUP($A120, Data_All!$A$8:$CA$153, MATCH(BU$2, Data_All!$B$2:$CA$2, 0)+1), "")</f>
        <v/>
      </c>
      <c r="BV120" s="206" t="str">
        <f>IF(AND($A120&gt;=SYear_O, $A120&lt;=EYear_O, BV$3&gt;0), BV$3 * VLOOKUP($A120, Data_All!$A$8:$CA$153, MATCH(BV$2, Data_All!$B$2:$CA$2, 0)+1), "")</f>
        <v/>
      </c>
      <c r="BW120" s="206" t="str">
        <f>IF(AND($A120&gt;=SYear_O, $A120&lt;=EYear_O, BW$3&gt;0), BW$3 * VLOOKUP($A120, Data_All!$A$8:$CA$153, MATCH(BW$2, Data_All!$B$2:$CA$2, 0)+1), "")</f>
        <v/>
      </c>
      <c r="BX120" s="206">
        <f>IF(AND($A120&gt;=SYear_O, $A120&lt;=EYear_O, BX$3&gt;0), BX$3 * VLOOKUP($A120, Data_All!$A$8:$CA$153, MATCH(BX$2, Data_All!$B$2:$CA$2, 0)+1), "")</f>
        <v>4.5976320692349448</v>
      </c>
      <c r="BY120" s="206">
        <f>IF(AND($A120&gt;=SYear_O, $A120&lt;=EYear_O, BY$3&gt;0), BY$3 * VLOOKUP($A120, Data_All!$A$8:$CA$153, MATCH(BY$2, Data_All!$B$2:$CA$2, 0)+1), "")</f>
        <v>5.2961106136364045</v>
      </c>
      <c r="BZ120" s="206" t="str">
        <f>IF(AND($A120&gt;=SYear_O, $A120&lt;=EYear_O, BZ$3&gt;0), BZ$3 * VLOOKUP($A120, Data_All!$A$8:$CA$153, MATCH(BZ$2, Data_All!$B$2:$CA$2, 0)+1), "")</f>
        <v/>
      </c>
      <c r="CA120" s="565">
        <f t="shared" si="52"/>
        <v>9.8937426828713484</v>
      </c>
      <c r="CB120" s="427">
        <f t="shared" si="53"/>
        <v>22920311.632318757</v>
      </c>
      <c r="CC120" s="565">
        <f>IF(AND($A120&gt;=SYear_O,$A120&lt;=EYear_O),(CA120-Data_All!CA121)/(1+Data_All!CA121%),"")</f>
        <v>5.7192415363235396</v>
      </c>
      <c r="CD120" s="436">
        <f t="shared" si="54"/>
        <v>2713011.9878844302</v>
      </c>
      <c r="CE120" s="438">
        <f t="shared" si="55"/>
        <v>2078.8548173462136</v>
      </c>
      <c r="CF120" s="438">
        <f>IF(AND($A120&gt;=SYear_O,$A120&lt;=EYear_O),MAX($CE$7:CE120),"")</f>
        <v>2078.8548173462136</v>
      </c>
      <c r="CG120" s="209">
        <f t="shared" si="56"/>
        <v>0</v>
      </c>
      <c r="CI120" s="143">
        <f>IF(AND($A120&gt;=SYear_O,$A120&lt;=EYear_O),Data_All!V121,"")</f>
        <v>9.7012688580277775</v>
      </c>
      <c r="CJ120" s="143">
        <f>IF(AND($A120&gt;=SYear_O,$A120&lt;=EYear_O),Data_All!CA121,"")</f>
        <v>3.948667324777877</v>
      </c>
      <c r="CK120" s="143">
        <f t="shared" si="57"/>
        <v>5.5340791578178061</v>
      </c>
      <c r="CN120" s="61">
        <f t="shared" si="58"/>
        <v>9.8937426828713537E-2</v>
      </c>
      <c r="CO120" s="61">
        <f t="shared" si="59"/>
        <v>0.1965033644141323</v>
      </c>
      <c r="CP120" s="61">
        <f t="shared" si="60"/>
        <v>0.13934662042771895</v>
      </c>
      <c r="CQ120" s="61">
        <f t="shared" si="61"/>
        <v>0.13469841650419268</v>
      </c>
      <c r="CR120" s="61">
        <f t="shared" si="62"/>
        <v>0.14659805279597049</v>
      </c>
      <c r="CU120" s="61">
        <f t="shared" si="63"/>
        <v>5.7192415363235494E-2</v>
      </c>
      <c r="CV120" s="61">
        <f t="shared" si="64"/>
        <v>0.16233053364257954</v>
      </c>
      <c r="CW120" s="61">
        <f t="shared" si="65"/>
        <v>0.10047542369231266</v>
      </c>
      <c r="CX120" s="61">
        <f t="shared" si="66"/>
        <v>9.4121723529455581E-2</v>
      </c>
      <c r="CY120" s="61">
        <f t="shared" si="67"/>
        <v>0.11040114095010334</v>
      </c>
    </row>
    <row r="121" spans="1:103">
      <c r="A121" s="204">
        <f t="shared" si="51"/>
        <v>1985</v>
      </c>
      <c r="B121" s="206" t="str">
        <f>IF(AND($A121&gt;=SYear_O, $A121&lt;=EYear_O, B$3&gt;0), B$3 * VLOOKUP($A121, Data_All!$A$8:$CA$153, MATCH(B$2, Data_All!$B$2:$CA$2, 0)+1), "")</f>
        <v/>
      </c>
      <c r="C121" s="206" t="str">
        <f>IF(AND($A121&gt;=SYear_O, $A121&lt;=EYear_O, C$3&gt;0), C$3 * VLOOKUP($A121, Data_All!$A$8:$CA$153, MATCH(C$2, Data_All!$B$2:$CA$2, 0)+1), "")</f>
        <v/>
      </c>
      <c r="D121" s="206" t="str">
        <f>IF(AND($A121&gt;=SYear_O, $A121&lt;=EYear_O, D$3&gt;0), D$3 * VLOOKUP($A121, Data_All!$A$8:$CA$153, MATCH(D$2, Data_All!$B$2:$CA$2, 0)+1), "")</f>
        <v/>
      </c>
      <c r="E121" s="206" t="str">
        <f>IF(AND($A121&gt;=SYear_O, $A121&lt;=EYear_O, E$3&gt;0), E$3 * VLOOKUP($A121, Data_All!$A$8:$CA$153, MATCH(E$2, Data_All!$B$2:$CA$2, 0)+1), "")</f>
        <v/>
      </c>
      <c r="F121" s="206" t="str">
        <f>IF(AND($A121&gt;=SYear_O, $A121&lt;=EYear_O, F$3&gt;0), F$3 * VLOOKUP($A121, Data_All!$A$8:$CA$153, MATCH(F$2, Data_All!$B$2:$CA$2, 0)+1), "")</f>
        <v/>
      </c>
      <c r="G121" s="206" t="str">
        <f>IF(AND($A121&gt;=SYear_O, $A121&lt;=EYear_O, G$3&gt;0), G$3 * VLOOKUP($A121, Data_All!$A$8:$CA$153, MATCH(G$2, Data_All!$B$2:$CA$2, 0)+1), "")</f>
        <v/>
      </c>
      <c r="H121" s="206" t="str">
        <f>IF(AND($A121&gt;=SYear_O, $A121&lt;=EYear_O, H$3&gt;0), H$3 * VLOOKUP($A121, Data_All!$A$8:$CA$153, MATCH(H$2, Data_All!$B$2:$CA$2, 0)+1), "")</f>
        <v/>
      </c>
      <c r="I121" s="206" t="str">
        <f>IF(AND($A121&gt;=SYear_O, $A121&lt;=EYear_O, I$3&gt;0), I$3 * VLOOKUP($A121, Data_All!$A$8:$CA$153, MATCH(I$2, Data_All!$B$2:$CA$2, 0)+1), "")</f>
        <v/>
      </c>
      <c r="J121" s="206" t="str">
        <f>IF(AND($A121&gt;=SYear_O, $A121&lt;=EYear_O, J$3&gt;0), J$3 * VLOOKUP($A121, Data_All!$A$8:$CA$153, MATCH(J$2, Data_All!$B$2:$CA$2, 0)+1), "")</f>
        <v/>
      </c>
      <c r="K121" s="206" t="str">
        <f>IF(AND($A121&gt;=SYear_O, $A121&lt;=EYear_O, K$3&gt;0), K$3 * VLOOKUP($A121, Data_All!$A$8:$CA$153, MATCH(K$2, Data_All!$B$2:$CA$2, 0)+1), "")</f>
        <v/>
      </c>
      <c r="L121" s="206" t="str">
        <f>IF(AND($A121&gt;=SYear_O, $A121&lt;=EYear_O, L$3&gt;0), L$3 * VLOOKUP($A121, Data_All!$A$8:$CA$153, MATCH(L$2, Data_All!$B$2:$CA$2, 0)+1), "")</f>
        <v/>
      </c>
      <c r="M121" s="206" t="str">
        <f>IF(AND($A121&gt;=SYear_O, $A121&lt;=EYear_O, M$3&gt;0), M$3 * VLOOKUP($A121, Data_All!$A$8:$CA$153, MATCH(M$2, Data_All!$B$2:$CA$2, 0)+1), "")</f>
        <v/>
      </c>
      <c r="N121" s="206" t="str">
        <f>IF(AND($A121&gt;=SYear_O, $A121&lt;=EYear_O, N$3&gt;0), N$3 * VLOOKUP($A121, Data_All!$A$8:$CA$153, MATCH(N$2, Data_All!$B$2:$CA$2, 0)+1), "")</f>
        <v/>
      </c>
      <c r="O121" s="206" t="str">
        <f>IF(AND($A121&gt;=SYear_O, $A121&lt;=EYear_O, O$3&gt;0), O$3 * VLOOKUP($A121, Data_All!$A$8:$CA$153, MATCH(O$2, Data_All!$B$2:$CA$2, 0)+1), "")</f>
        <v/>
      </c>
      <c r="P121" s="206" t="str">
        <f>IF(AND($A121&gt;=SYear_O, $A121&lt;=EYear_O, P$3&gt;0), P$3 * VLOOKUP($A121, Data_All!$A$8:$CA$153, MATCH(P$2, Data_All!$B$2:$CA$2, 0)+1), "")</f>
        <v/>
      </c>
      <c r="Q121" s="206" t="str">
        <f>IF(AND($A121&gt;=SYear_O, $A121&lt;=EYear_O, Q$3&gt;0), Q$3 * VLOOKUP($A121, Data_All!$A$8:$CA$153, MATCH(Q$2, Data_All!$B$2:$CA$2, 0)+1), "")</f>
        <v/>
      </c>
      <c r="R121" s="206" t="str">
        <f>IF(AND($A121&gt;=SYear_O, $A121&lt;=EYear_O, R$3&gt;0), R$3 * VLOOKUP($A121, Data_All!$A$8:$CA$153, MATCH(R$2, Data_All!$B$2:$CA$2, 0)+1), "")</f>
        <v/>
      </c>
      <c r="S121" s="206" t="str">
        <f>IF(AND($A121&gt;=SYear_O, $A121&lt;=EYear_O, S$3&gt;0), S$3 * VLOOKUP($A121, Data_All!$A$8:$CA$153, MATCH(S$2, Data_All!$B$2:$CA$2, 0)+1), "")</f>
        <v/>
      </c>
      <c r="T121" s="206" t="str">
        <f>IF(AND($A121&gt;=SYear_O, $A121&lt;=EYear_O, T$3&gt;0), T$3 * VLOOKUP($A121, Data_All!$A$8:$CA$153, MATCH(T$2, Data_All!$B$2:$CA$2, 0)+1), "")</f>
        <v/>
      </c>
      <c r="U121" s="206" t="str">
        <f>IF(AND($A121&gt;=SYear_O, $A121&lt;=EYear_O, U$3&gt;0), U$3 * VLOOKUP($A121, Data_All!$A$8:$CA$153, MATCH(U$2, Data_All!$B$2:$CA$2, 0)+1), "")</f>
        <v/>
      </c>
      <c r="V121" s="206" t="str">
        <f>IF(AND($A121&gt;=SYear_O, $A121&lt;=EYear_O, V$3&gt;0), V$3 * VLOOKUP($A121, Data_All!$A$8:$CA$153, MATCH(V$2, Data_All!$B$2:$CA$2, 0)+1), "")</f>
        <v/>
      </c>
      <c r="W121" s="206" t="str">
        <f>IF(AND($A121&gt;=SYear_O, $A121&lt;=EYear_O, W$3&gt;0), W$3 * VLOOKUP($A121, Data_All!$A$8:$CA$153, MATCH(W$2, Data_All!$B$2:$CA$2, 0)+1), "")</f>
        <v/>
      </c>
      <c r="X121" s="206" t="str">
        <f>IF(AND($A121&gt;=SYear_O, $A121&lt;=EYear_O, X$3&gt;0), X$3 * VLOOKUP($A121, Data_All!$A$8:$CA$153, MATCH(X$2, Data_All!$B$2:$CA$2, 0)+1), "")</f>
        <v/>
      </c>
      <c r="Y121" s="206" t="str">
        <f>IF(AND($A121&gt;=SYear_O, $A121&lt;=EYear_O, Y$3&gt;0), Y$3 * VLOOKUP($A121, Data_All!$A$8:$CA$153, MATCH(Y$2, Data_All!$B$2:$CA$2, 0)+1), "")</f>
        <v/>
      </c>
      <c r="Z121" s="206" t="str">
        <f>IF(AND($A121&gt;=SYear_O, $A121&lt;=EYear_O, Z$3&gt;0), Z$3 * VLOOKUP($A121, Data_All!$A$8:$CA$153, MATCH(Z$2, Data_All!$B$2:$CA$2, 0)+1), "")</f>
        <v/>
      </c>
      <c r="AA121" s="206" t="str">
        <f>IF(AND($A121&gt;=SYear_O, $A121&lt;=EYear_O, AA$3&gt;0), AA$3 * VLOOKUP($A121, Data_All!$A$8:$CA$153, MATCH(AA$2, Data_All!$B$2:$CA$2, 0)+1), "")</f>
        <v/>
      </c>
      <c r="AB121" s="206" t="str">
        <f>IF(AND($A121&gt;=SYear_O, $A121&lt;=EYear_O, AB$3&gt;0), AB$3 * VLOOKUP($A121, Data_All!$A$8:$CA$153, MATCH(AB$2, Data_All!$B$2:$CA$2, 0)+1), "")</f>
        <v/>
      </c>
      <c r="AC121" s="206" t="str">
        <f>IF(AND($A121&gt;=SYear_O, $A121&lt;=EYear_O, AC$3&gt;0), AC$3 * VLOOKUP($A121, Data_All!$A$8:$CA$153, MATCH(AC$2, Data_All!$B$2:$CA$2, 0)+1), "")</f>
        <v/>
      </c>
      <c r="AD121" s="206" t="str">
        <f>IF(AND($A121&gt;=SYear_O, $A121&lt;=EYear_O, AD$3&gt;0), AD$3 * VLOOKUP($A121, Data_All!$A$8:$CA$153, MATCH(AD$2, Data_All!$B$2:$CA$2, 0)+1), "")</f>
        <v/>
      </c>
      <c r="AE121" s="206" t="str">
        <f>IF(AND($A121&gt;=SYear_O, $A121&lt;=EYear_O, AE$3&gt;0), AE$3 * VLOOKUP($A121, Data_All!$A$8:$CA$153, MATCH(AE$2, Data_All!$B$2:$CA$2, 0)+1), "")</f>
        <v/>
      </c>
      <c r="AF121" s="206" t="str">
        <f>IF(AND($A121&gt;=SYear_O, $A121&lt;=EYear_O, AF$3&gt;0), AF$3 * VLOOKUP($A121, Data_All!$A$8:$CA$153, MATCH(AF$2, Data_All!$B$2:$CA$2, 0)+1), "")</f>
        <v/>
      </c>
      <c r="AG121" s="206" t="str">
        <f>IF(AND($A121&gt;=SYear_O, $A121&lt;=EYear_O, AG$3&gt;0), AG$3 * VLOOKUP($A121, Data_All!$A$8:$CA$153, MATCH(AG$2, Data_All!$B$2:$CA$2, 0)+1), "")</f>
        <v/>
      </c>
      <c r="AH121" s="206" t="str">
        <f>IF(AND($A121&gt;=SYear_O, $A121&lt;=EYear_O, AH$3&gt;0), AH$3 * VLOOKUP($A121, Data_All!$A$8:$CA$153, MATCH(AH$2, Data_All!$B$2:$CA$2, 0)+1), "")</f>
        <v/>
      </c>
      <c r="AI121" s="206" t="str">
        <f>IF(AND($A121&gt;=SYear_O, $A121&lt;=EYear_O, AI$3&gt;0), AI$3 * VLOOKUP($A121, Data_All!$A$8:$CA$153, MATCH(AI$2, Data_All!$B$2:$CA$2, 0)+1), "")</f>
        <v/>
      </c>
      <c r="AJ121" s="206" t="str">
        <f>IF(AND($A121&gt;=SYear_O, $A121&lt;=EYear_O, AJ$3&gt;0), AJ$3 * VLOOKUP($A121, Data_All!$A$8:$CA$153, MATCH(AJ$2, Data_All!$B$2:$CA$2, 0)+1), "")</f>
        <v/>
      </c>
      <c r="AK121" s="206" t="str">
        <f>IF(AND($A121&gt;=SYear_O, $A121&lt;=EYear_O, AK$3&gt;0), AK$3 * VLOOKUP($A121, Data_All!$A$8:$CA$153, MATCH(AK$2, Data_All!$B$2:$CA$2, 0)+1), "")</f>
        <v/>
      </c>
      <c r="AL121" s="206" t="str">
        <f>IF(AND($A121&gt;=SYear_O, $A121&lt;=EYear_O, AL$3&gt;0), AL$3 * VLOOKUP($A121, Data_All!$A$8:$CA$153, MATCH(AL$2, Data_All!$B$2:$CA$2, 0)+1), "")</f>
        <v/>
      </c>
      <c r="AM121" s="206" t="str">
        <f>IF(AND($A121&gt;=SYear_O, $A121&lt;=EYear_O, AM$3&gt;0), AM$3 * VLOOKUP($A121, Data_All!$A$8:$CA$153, MATCH(AM$2, Data_All!$B$2:$CA$2, 0)+1), "")</f>
        <v/>
      </c>
      <c r="AN121" s="206" t="str">
        <f>IF(AND($A121&gt;=SYear_O, $A121&lt;=EYear_O, AN$3&gt;0), AN$3 * VLOOKUP($A121, Data_All!$A$8:$CA$153, MATCH(AN$2, Data_All!$B$2:$CA$2, 0)+1), "")</f>
        <v/>
      </c>
      <c r="AO121" s="206" t="str">
        <f>IF(AND($A121&gt;=SYear_O, $A121&lt;=EYear_O, AO$3&gt;0), AO$3 * VLOOKUP($A121, Data_All!$A$8:$CA$153, MATCH(AO$2, Data_All!$B$2:$CA$2, 0)+1), "")</f>
        <v/>
      </c>
      <c r="AP121" s="206" t="str">
        <f>IF(AND($A121&gt;=SYear_O, $A121&lt;=EYear_O, AP$3&gt;0), AP$3 * VLOOKUP($A121, Data_All!$A$8:$CA$153, MATCH(AP$2, Data_All!$B$2:$CA$2, 0)+1), "")</f>
        <v/>
      </c>
      <c r="AQ121" s="206" t="str">
        <f>IF(AND($A121&gt;=SYear_O, $A121&lt;=EYear_O, AQ$3&gt;0), AQ$3 * VLOOKUP($A121, Data_All!$A$8:$CA$153, MATCH(AQ$2, Data_All!$B$2:$CA$2, 0)+1), "")</f>
        <v/>
      </c>
      <c r="AR121" s="206" t="str">
        <f>IF(AND($A121&gt;=SYear_O, $A121&lt;=EYear_O, AR$3&gt;0), AR$3 * VLOOKUP($A121, Data_All!$A$8:$CA$153, MATCH(AR$2, Data_All!$B$2:$CA$2, 0)+1), "")</f>
        <v/>
      </c>
      <c r="AS121" s="206" t="str">
        <f>IF(AND($A121&gt;=SYear_O, $A121&lt;=EYear_O, AS$3&gt;0), AS$3 * VLOOKUP($A121, Data_All!$A$8:$CA$153, MATCH(AS$2, Data_All!$B$2:$CA$2, 0)+1), "")</f>
        <v/>
      </c>
      <c r="AT121" s="206" t="str">
        <f>IF(AND($A121&gt;=SYear_O, $A121&lt;=EYear_O, AT$3&gt;0), AT$3 * VLOOKUP($A121, Data_All!$A$8:$CA$153, MATCH(AT$2, Data_All!$B$2:$CA$2, 0)+1), "")</f>
        <v/>
      </c>
      <c r="AU121" s="206" t="str">
        <f>IF(AND($A121&gt;=SYear_O, $A121&lt;=EYear_O, AU$3&gt;0), AU$3 * VLOOKUP($A121, Data_All!$A$8:$CA$153, MATCH(AU$2, Data_All!$B$2:$CA$2, 0)+1), "")</f>
        <v/>
      </c>
      <c r="AV121" s="206" t="str">
        <f>IF(AND($A121&gt;=SYear_O, $A121&lt;=EYear_O, AV$3&gt;0), AV$3 * VLOOKUP($A121, Data_All!$A$8:$CA$153, MATCH(AV$2, Data_All!$B$2:$CA$2, 0)+1), "")</f>
        <v/>
      </c>
      <c r="AW121" s="206" t="str">
        <f>IF(AND($A121&gt;=SYear_O, $A121&lt;=EYear_O, AW$3&gt;0), AW$3 * VLOOKUP($A121, Data_All!$A$8:$CA$153, MATCH(AW$2, Data_All!$B$2:$CA$2, 0)+1), "")</f>
        <v/>
      </c>
      <c r="AX121" s="206" t="str">
        <f>IF(AND($A121&gt;=SYear_O, $A121&lt;=EYear_O, AX$3&gt;0), AX$3 * VLOOKUP($A121, Data_All!$A$8:$CA$153, MATCH(AX$2, Data_All!$B$2:$CA$2, 0)+1), "")</f>
        <v/>
      </c>
      <c r="AY121" s="206" t="str">
        <f>IF(AND($A121&gt;=SYear_O, $A121&lt;=EYear_O, AY$3&gt;0), AY$3 * VLOOKUP($A121, Data_All!$A$8:$CA$153, MATCH(AY$2, Data_All!$B$2:$CA$2, 0)+1), "")</f>
        <v/>
      </c>
      <c r="AZ121" s="206" t="str">
        <f>IF(AND($A121&gt;=SYear_O, $A121&lt;=EYear_O, AZ$3&gt;0), AZ$3 * VLOOKUP($A121, Data_All!$A$8:$CA$153, MATCH(AZ$2, Data_All!$B$2:$CA$2, 0)+1), "")</f>
        <v/>
      </c>
      <c r="BA121" s="206" t="str">
        <f>IF(AND($A121&gt;=SYear_O, $A121&lt;=EYear_O, BA$3&gt;0), BA$3 * VLOOKUP($A121, Data_All!$A$8:$CA$153, MATCH(BA$2, Data_All!$B$2:$CA$2, 0)+1), "")</f>
        <v/>
      </c>
      <c r="BB121" s="206" t="str">
        <f>IF(AND($A121&gt;=SYear_O, $A121&lt;=EYear_O, BB$3&gt;0), BB$3 * VLOOKUP($A121, Data_All!$A$8:$CA$153, MATCH(BB$2, Data_All!$B$2:$CA$2, 0)+1), "")</f>
        <v/>
      </c>
      <c r="BC121" s="206" t="str">
        <f>IF(AND($A121&gt;=SYear_O, $A121&lt;=EYear_O, BC$3&gt;0), BC$3 * VLOOKUP($A121, Data_All!$A$8:$CA$153, MATCH(BC$2, Data_All!$B$2:$CA$2, 0)+1), "")</f>
        <v/>
      </c>
      <c r="BD121" s="206" t="str">
        <f>IF(AND($A121&gt;=SYear_O, $A121&lt;=EYear_O, BD$3&gt;0), BD$3 * VLOOKUP($A121, Data_All!$A$8:$CA$153, MATCH(BD$2, Data_All!$B$2:$CA$2, 0)+1), "")</f>
        <v/>
      </c>
      <c r="BE121" s="206" t="str">
        <f>IF(AND($A121&gt;=SYear_O, $A121&lt;=EYear_O, BE$3&gt;0), BE$3 * VLOOKUP($A121, Data_All!$A$8:$CA$153, MATCH(BE$2, Data_All!$B$2:$CA$2, 0)+1), "")</f>
        <v/>
      </c>
      <c r="BF121" s="206" t="str">
        <f>IF(AND($A121&gt;=SYear_O, $A121&lt;=EYear_O, BF$3&gt;0), BF$3 * VLOOKUP($A121, Data_All!$A$8:$CA$153, MATCH(BF$2, Data_All!$B$2:$CA$2, 0)+1), "")</f>
        <v/>
      </c>
      <c r="BG121" s="206" t="str">
        <f>IF(AND($A121&gt;=SYear_O, $A121&lt;=EYear_O, BG$3&gt;0), BG$3 * VLOOKUP($A121, Data_All!$A$8:$CA$153, MATCH(BG$2, Data_All!$B$2:$CA$2, 0)+1), "")</f>
        <v/>
      </c>
      <c r="BH121" s="206" t="str">
        <f>IF(AND($A121&gt;=SYear_O, $A121&lt;=EYear_O, BH$3&gt;0), BH$3 * VLOOKUP($A121, Data_All!$A$8:$CA$153, MATCH(BH$2, Data_All!$B$2:$CA$2, 0)+1), "")</f>
        <v/>
      </c>
      <c r="BI121" s="206" t="str">
        <f>IF(AND($A121&gt;=SYear_O, $A121&lt;=EYear_O, BI$3&gt;0), BI$3 * VLOOKUP($A121, Data_All!$A$8:$CA$153, MATCH(BI$2, Data_All!$B$2:$CA$2, 0)+1), "")</f>
        <v/>
      </c>
      <c r="BJ121" s="206" t="str">
        <f>IF(AND($A121&gt;=SYear_O, $A121&lt;=EYear_O, BJ$3&gt;0), BJ$3 * VLOOKUP($A121, Data_All!$A$8:$CA$153, MATCH(BJ$2, Data_All!$B$2:$CA$2, 0)+1), "")</f>
        <v/>
      </c>
      <c r="BK121" s="206" t="str">
        <f>IF(AND($A121&gt;=SYear_O, $A121&lt;=EYear_O, BK$3&gt;0), BK$3 * VLOOKUP($A121, Data_All!$A$8:$CA$153, MATCH(BK$2, Data_All!$B$2:$CA$2, 0)+1), "")</f>
        <v/>
      </c>
      <c r="BL121" s="206" t="str">
        <f>IF(AND($A121&gt;=SYear_O, $A121&lt;=EYear_O, BL$3&gt;0), BL$3 * VLOOKUP($A121, Data_All!$A$8:$CA$153, MATCH(BL$2, Data_All!$B$2:$CA$2, 0)+1), "")</f>
        <v/>
      </c>
      <c r="BM121" s="206" t="str">
        <f>IF(AND($A121&gt;=SYear_O, $A121&lt;=EYear_O, BM$3&gt;0), BM$3 * VLOOKUP($A121, Data_All!$A$8:$CA$153, MATCH(BM$2, Data_All!$B$2:$CA$2, 0)+1), "")</f>
        <v/>
      </c>
      <c r="BN121" s="206" t="str">
        <f>IF(AND($A121&gt;=SYear_O, $A121&lt;=EYear_O, BN$3&gt;0), BN$3 * VLOOKUP($A121, Data_All!$A$8:$CA$153, MATCH(BN$2, Data_All!$B$2:$CA$2, 0)+1), "")</f>
        <v/>
      </c>
      <c r="BO121" s="206" t="str">
        <f>IF(AND($A121&gt;=SYear_O, $A121&lt;=EYear_O, BO$3&gt;0), BO$3 * VLOOKUP($A121, Data_All!$A$8:$CA$153, MATCH(BO$2, Data_All!$B$2:$CA$2, 0)+1), "")</f>
        <v/>
      </c>
      <c r="BP121" s="206" t="str">
        <f>IF(AND($A121&gt;=SYear_O, $A121&lt;=EYear_O, BP$3&gt;0), BP$3 * VLOOKUP($A121, Data_All!$A$8:$CA$153, MATCH(BP$2, Data_All!$B$2:$CA$2, 0)+1), "")</f>
        <v/>
      </c>
      <c r="BQ121" s="206" t="str">
        <f>IF(AND($A121&gt;=SYear_O, $A121&lt;=EYear_O, BQ$3&gt;0), BQ$3 * VLOOKUP($A121, Data_All!$A$8:$CA$153, MATCH(BQ$2, Data_All!$B$2:$CA$2, 0)+1), "")</f>
        <v/>
      </c>
      <c r="BR121" s="206" t="str">
        <f>IF(AND($A121&gt;=SYear_O, $A121&lt;=EYear_O, BR$3&gt;0), BR$3 * VLOOKUP($A121, Data_All!$A$8:$CA$153, MATCH(BR$2, Data_All!$B$2:$CA$2, 0)+1), "")</f>
        <v/>
      </c>
      <c r="BS121" s="206" t="str">
        <f>IF(AND($A121&gt;=SYear_O, $A121&lt;=EYear_O, BS$3&gt;0), BS$3 * VLOOKUP($A121, Data_All!$A$8:$CA$153, MATCH(BS$2, Data_All!$B$2:$CA$2, 0)+1), "")</f>
        <v/>
      </c>
      <c r="BT121" s="206" t="str">
        <f>IF(AND($A121&gt;=SYear_O, $A121&lt;=EYear_O, BT$3&gt;0), BT$3 * VLOOKUP($A121, Data_All!$A$8:$CA$153, MATCH(BT$2, Data_All!$B$2:$CA$2, 0)+1), "")</f>
        <v/>
      </c>
      <c r="BU121" s="206" t="str">
        <f>IF(AND($A121&gt;=SYear_O, $A121&lt;=EYear_O, BU$3&gt;0), BU$3 * VLOOKUP($A121, Data_All!$A$8:$CA$153, MATCH(BU$2, Data_All!$B$2:$CA$2, 0)+1), "")</f>
        <v/>
      </c>
      <c r="BV121" s="206" t="str">
        <f>IF(AND($A121&gt;=SYear_O, $A121&lt;=EYear_O, BV$3&gt;0), BV$3 * VLOOKUP($A121, Data_All!$A$8:$CA$153, MATCH(BV$2, Data_All!$B$2:$CA$2, 0)+1), "")</f>
        <v/>
      </c>
      <c r="BW121" s="206" t="str">
        <f>IF(AND($A121&gt;=SYear_O, $A121&lt;=EYear_O, BW$3&gt;0), BW$3 * VLOOKUP($A121, Data_All!$A$8:$CA$153, MATCH(BW$2, Data_All!$B$2:$CA$2, 0)+1), "")</f>
        <v/>
      </c>
      <c r="BX121" s="206">
        <f>IF(AND($A121&gt;=SYear_O, $A121&lt;=EYear_O, BX$3&gt;0), BX$3 * VLOOKUP($A121, Data_All!$A$8:$CA$153, MATCH(BX$2, Data_All!$B$2:$CA$2, 0)+1), "")</f>
        <v>15.551541285472869</v>
      </c>
      <c r="BY121" s="206">
        <f>IF(AND($A121&gt;=SYear_O, $A121&lt;=EYear_O, BY$3&gt;0), BY$3 * VLOOKUP($A121, Data_All!$A$8:$CA$153, MATCH(BY$2, Data_All!$B$2:$CA$2, 0)+1), "")</f>
        <v>8.2346542175544357</v>
      </c>
      <c r="BZ121" s="206" t="str">
        <f>IF(AND($A121&gt;=SYear_O, $A121&lt;=EYear_O, BZ$3&gt;0), BZ$3 * VLOOKUP($A121, Data_All!$A$8:$CA$153, MATCH(BZ$2, Data_All!$B$2:$CA$2, 0)+1), "")</f>
        <v/>
      </c>
      <c r="CA121" s="565">
        <f t="shared" si="52"/>
        <v>23.786195503027304</v>
      </c>
      <c r="CB121" s="427">
        <f t="shared" si="53"/>
        <v>28372181.767085206</v>
      </c>
      <c r="CC121" s="565">
        <f>IF(AND($A121&gt;=SYear_O,$A121&lt;=EYear_O),(CA121-Data_All!CA122)/(1+Data_All!CA122%),"")</f>
        <v>19.256051111333718</v>
      </c>
      <c r="CD121" s="436">
        <f t="shared" si="54"/>
        <v>3235430.9629280674</v>
      </c>
      <c r="CE121" s="438">
        <f t="shared" si="55"/>
        <v>2573.335288424285</v>
      </c>
      <c r="CF121" s="438">
        <f>IF(AND($A121&gt;=SYear_O,$A121&lt;=EYear_O),MAX($CE$7:CE121),"")</f>
        <v>2573.335288424285</v>
      </c>
      <c r="CG121" s="209">
        <f t="shared" si="56"/>
        <v>0</v>
      </c>
      <c r="CI121" s="143">
        <f>IF(AND($A121&gt;=SYear_O,$A121&lt;=EYear_O),Data_All!V122,"")</f>
        <v>7.37</v>
      </c>
      <c r="CJ121" s="143">
        <f>IF(AND($A121&gt;=SYear_O,$A121&lt;=EYear_O),Data_All!CA122,"")</f>
        <v>3.7986704653371284</v>
      </c>
      <c r="CK121" s="143">
        <f t="shared" si="57"/>
        <v>3.4406312900274512</v>
      </c>
      <c r="CN121" s="61">
        <f t="shared" si="58"/>
        <v>0.23786195503027296</v>
      </c>
      <c r="CO121" s="61">
        <f t="shared" si="59"/>
        <v>0.15648445585113713</v>
      </c>
      <c r="CP121" s="61">
        <f t="shared" si="60"/>
        <v>0.15770802917564386</v>
      </c>
      <c r="CQ121" s="61">
        <f t="shared" si="61"/>
        <v>0.12294569503595199</v>
      </c>
      <c r="CR121" s="61">
        <f t="shared" si="62"/>
        <v>0.14527659470120291</v>
      </c>
      <c r="CU121" s="61">
        <f t="shared" si="63"/>
        <v>0.19256051111333727</v>
      </c>
      <c r="CV121" s="61">
        <f t="shared" si="64"/>
        <v>0.12171016108121768</v>
      </c>
      <c r="CW121" s="61">
        <f t="shared" si="65"/>
        <v>0.11671333506799142</v>
      </c>
      <c r="CX121" s="61">
        <f t="shared" si="66"/>
        <v>8.4125130408082116E-2</v>
      </c>
      <c r="CY121" s="61">
        <f t="shared" si="67"/>
        <v>0.11002647137004118</v>
      </c>
    </row>
    <row r="122" spans="1:103">
      <c r="A122" s="204">
        <f t="shared" si="51"/>
        <v>1986</v>
      </c>
      <c r="B122" s="206" t="str">
        <f>IF(AND($A122&gt;=SYear_O, $A122&lt;=EYear_O, B$3&gt;0), B$3 * VLOOKUP($A122, Data_All!$A$8:$CA$153, MATCH(B$2, Data_All!$B$2:$CA$2, 0)+1), "")</f>
        <v/>
      </c>
      <c r="C122" s="206" t="str">
        <f>IF(AND($A122&gt;=SYear_O, $A122&lt;=EYear_O, C$3&gt;0), C$3 * VLOOKUP($A122, Data_All!$A$8:$CA$153, MATCH(C$2, Data_All!$B$2:$CA$2, 0)+1), "")</f>
        <v/>
      </c>
      <c r="D122" s="206" t="str">
        <f>IF(AND($A122&gt;=SYear_O, $A122&lt;=EYear_O, D$3&gt;0), D$3 * VLOOKUP($A122, Data_All!$A$8:$CA$153, MATCH(D$2, Data_All!$B$2:$CA$2, 0)+1), "")</f>
        <v/>
      </c>
      <c r="E122" s="206" t="str">
        <f>IF(AND($A122&gt;=SYear_O, $A122&lt;=EYear_O, E$3&gt;0), E$3 * VLOOKUP($A122, Data_All!$A$8:$CA$153, MATCH(E$2, Data_All!$B$2:$CA$2, 0)+1), "")</f>
        <v/>
      </c>
      <c r="F122" s="206" t="str">
        <f>IF(AND($A122&gt;=SYear_O, $A122&lt;=EYear_O, F$3&gt;0), F$3 * VLOOKUP($A122, Data_All!$A$8:$CA$153, MATCH(F$2, Data_All!$B$2:$CA$2, 0)+1), "")</f>
        <v/>
      </c>
      <c r="G122" s="206" t="str">
        <f>IF(AND($A122&gt;=SYear_O, $A122&lt;=EYear_O, G$3&gt;0), G$3 * VLOOKUP($A122, Data_All!$A$8:$CA$153, MATCH(G$2, Data_All!$B$2:$CA$2, 0)+1), "")</f>
        <v/>
      </c>
      <c r="H122" s="206" t="str">
        <f>IF(AND($A122&gt;=SYear_O, $A122&lt;=EYear_O, H$3&gt;0), H$3 * VLOOKUP($A122, Data_All!$A$8:$CA$153, MATCH(H$2, Data_All!$B$2:$CA$2, 0)+1), "")</f>
        <v/>
      </c>
      <c r="I122" s="206" t="str">
        <f>IF(AND($A122&gt;=SYear_O, $A122&lt;=EYear_O, I$3&gt;0), I$3 * VLOOKUP($A122, Data_All!$A$8:$CA$153, MATCH(I$2, Data_All!$B$2:$CA$2, 0)+1), "")</f>
        <v/>
      </c>
      <c r="J122" s="206" t="str">
        <f>IF(AND($A122&gt;=SYear_O, $A122&lt;=EYear_O, J$3&gt;0), J$3 * VLOOKUP($A122, Data_All!$A$8:$CA$153, MATCH(J$2, Data_All!$B$2:$CA$2, 0)+1), "")</f>
        <v/>
      </c>
      <c r="K122" s="206" t="str">
        <f>IF(AND($A122&gt;=SYear_O, $A122&lt;=EYear_O, K$3&gt;0), K$3 * VLOOKUP($A122, Data_All!$A$8:$CA$153, MATCH(K$2, Data_All!$B$2:$CA$2, 0)+1), "")</f>
        <v/>
      </c>
      <c r="L122" s="206" t="str">
        <f>IF(AND($A122&gt;=SYear_O, $A122&lt;=EYear_O, L$3&gt;0), L$3 * VLOOKUP($A122, Data_All!$A$8:$CA$153, MATCH(L$2, Data_All!$B$2:$CA$2, 0)+1), "")</f>
        <v/>
      </c>
      <c r="M122" s="206" t="str">
        <f>IF(AND($A122&gt;=SYear_O, $A122&lt;=EYear_O, M$3&gt;0), M$3 * VLOOKUP($A122, Data_All!$A$8:$CA$153, MATCH(M$2, Data_All!$B$2:$CA$2, 0)+1), "")</f>
        <v/>
      </c>
      <c r="N122" s="206" t="str">
        <f>IF(AND($A122&gt;=SYear_O, $A122&lt;=EYear_O, N$3&gt;0), N$3 * VLOOKUP($A122, Data_All!$A$8:$CA$153, MATCH(N$2, Data_All!$B$2:$CA$2, 0)+1), "")</f>
        <v/>
      </c>
      <c r="O122" s="206" t="str">
        <f>IF(AND($A122&gt;=SYear_O, $A122&lt;=EYear_O, O$3&gt;0), O$3 * VLOOKUP($A122, Data_All!$A$8:$CA$153, MATCH(O$2, Data_All!$B$2:$CA$2, 0)+1), "")</f>
        <v/>
      </c>
      <c r="P122" s="206" t="str">
        <f>IF(AND($A122&gt;=SYear_O, $A122&lt;=EYear_O, P$3&gt;0), P$3 * VLOOKUP($A122, Data_All!$A$8:$CA$153, MATCH(P$2, Data_All!$B$2:$CA$2, 0)+1), "")</f>
        <v/>
      </c>
      <c r="Q122" s="206" t="str">
        <f>IF(AND($A122&gt;=SYear_O, $A122&lt;=EYear_O, Q$3&gt;0), Q$3 * VLOOKUP($A122, Data_All!$A$8:$CA$153, MATCH(Q$2, Data_All!$B$2:$CA$2, 0)+1), "")</f>
        <v/>
      </c>
      <c r="R122" s="206" t="str">
        <f>IF(AND($A122&gt;=SYear_O, $A122&lt;=EYear_O, R$3&gt;0), R$3 * VLOOKUP($A122, Data_All!$A$8:$CA$153, MATCH(R$2, Data_All!$B$2:$CA$2, 0)+1), "")</f>
        <v/>
      </c>
      <c r="S122" s="206" t="str">
        <f>IF(AND($A122&gt;=SYear_O, $A122&lt;=EYear_O, S$3&gt;0), S$3 * VLOOKUP($A122, Data_All!$A$8:$CA$153, MATCH(S$2, Data_All!$B$2:$CA$2, 0)+1), "")</f>
        <v/>
      </c>
      <c r="T122" s="206" t="str">
        <f>IF(AND($A122&gt;=SYear_O, $A122&lt;=EYear_O, T$3&gt;0), T$3 * VLOOKUP($A122, Data_All!$A$8:$CA$153, MATCH(T$2, Data_All!$B$2:$CA$2, 0)+1), "")</f>
        <v/>
      </c>
      <c r="U122" s="206" t="str">
        <f>IF(AND($A122&gt;=SYear_O, $A122&lt;=EYear_O, U$3&gt;0), U$3 * VLOOKUP($A122, Data_All!$A$8:$CA$153, MATCH(U$2, Data_All!$B$2:$CA$2, 0)+1), "")</f>
        <v/>
      </c>
      <c r="V122" s="206" t="str">
        <f>IF(AND($A122&gt;=SYear_O, $A122&lt;=EYear_O, V$3&gt;0), V$3 * VLOOKUP($A122, Data_All!$A$8:$CA$153, MATCH(V$2, Data_All!$B$2:$CA$2, 0)+1), "")</f>
        <v/>
      </c>
      <c r="W122" s="206" t="str">
        <f>IF(AND($A122&gt;=SYear_O, $A122&lt;=EYear_O, W$3&gt;0), W$3 * VLOOKUP($A122, Data_All!$A$8:$CA$153, MATCH(W$2, Data_All!$B$2:$CA$2, 0)+1), "")</f>
        <v/>
      </c>
      <c r="X122" s="206" t="str">
        <f>IF(AND($A122&gt;=SYear_O, $A122&lt;=EYear_O, X$3&gt;0), X$3 * VLOOKUP($A122, Data_All!$A$8:$CA$153, MATCH(X$2, Data_All!$B$2:$CA$2, 0)+1), "")</f>
        <v/>
      </c>
      <c r="Y122" s="206" t="str">
        <f>IF(AND($A122&gt;=SYear_O, $A122&lt;=EYear_O, Y$3&gt;0), Y$3 * VLOOKUP($A122, Data_All!$A$8:$CA$153, MATCH(Y$2, Data_All!$B$2:$CA$2, 0)+1), "")</f>
        <v/>
      </c>
      <c r="Z122" s="206" t="str">
        <f>IF(AND($A122&gt;=SYear_O, $A122&lt;=EYear_O, Z$3&gt;0), Z$3 * VLOOKUP($A122, Data_All!$A$8:$CA$153, MATCH(Z$2, Data_All!$B$2:$CA$2, 0)+1), "")</f>
        <v/>
      </c>
      <c r="AA122" s="206" t="str">
        <f>IF(AND($A122&gt;=SYear_O, $A122&lt;=EYear_O, AA$3&gt;0), AA$3 * VLOOKUP($A122, Data_All!$A$8:$CA$153, MATCH(AA$2, Data_All!$B$2:$CA$2, 0)+1), "")</f>
        <v/>
      </c>
      <c r="AB122" s="206" t="str">
        <f>IF(AND($A122&gt;=SYear_O, $A122&lt;=EYear_O, AB$3&gt;0), AB$3 * VLOOKUP($A122, Data_All!$A$8:$CA$153, MATCH(AB$2, Data_All!$B$2:$CA$2, 0)+1), "")</f>
        <v/>
      </c>
      <c r="AC122" s="206" t="str">
        <f>IF(AND($A122&gt;=SYear_O, $A122&lt;=EYear_O, AC$3&gt;0), AC$3 * VLOOKUP($A122, Data_All!$A$8:$CA$153, MATCH(AC$2, Data_All!$B$2:$CA$2, 0)+1), "")</f>
        <v/>
      </c>
      <c r="AD122" s="206" t="str">
        <f>IF(AND($A122&gt;=SYear_O, $A122&lt;=EYear_O, AD$3&gt;0), AD$3 * VLOOKUP($A122, Data_All!$A$8:$CA$153, MATCH(AD$2, Data_All!$B$2:$CA$2, 0)+1), "")</f>
        <v/>
      </c>
      <c r="AE122" s="206" t="str">
        <f>IF(AND($A122&gt;=SYear_O, $A122&lt;=EYear_O, AE$3&gt;0), AE$3 * VLOOKUP($A122, Data_All!$A$8:$CA$153, MATCH(AE$2, Data_All!$B$2:$CA$2, 0)+1), "")</f>
        <v/>
      </c>
      <c r="AF122" s="206" t="str">
        <f>IF(AND($A122&gt;=SYear_O, $A122&lt;=EYear_O, AF$3&gt;0), AF$3 * VLOOKUP($A122, Data_All!$A$8:$CA$153, MATCH(AF$2, Data_All!$B$2:$CA$2, 0)+1), "")</f>
        <v/>
      </c>
      <c r="AG122" s="206" t="str">
        <f>IF(AND($A122&gt;=SYear_O, $A122&lt;=EYear_O, AG$3&gt;0), AG$3 * VLOOKUP($A122, Data_All!$A$8:$CA$153, MATCH(AG$2, Data_All!$B$2:$CA$2, 0)+1), "")</f>
        <v/>
      </c>
      <c r="AH122" s="206" t="str">
        <f>IF(AND($A122&gt;=SYear_O, $A122&lt;=EYear_O, AH$3&gt;0), AH$3 * VLOOKUP($A122, Data_All!$A$8:$CA$153, MATCH(AH$2, Data_All!$B$2:$CA$2, 0)+1), "")</f>
        <v/>
      </c>
      <c r="AI122" s="206" t="str">
        <f>IF(AND($A122&gt;=SYear_O, $A122&lt;=EYear_O, AI$3&gt;0), AI$3 * VLOOKUP($A122, Data_All!$A$8:$CA$153, MATCH(AI$2, Data_All!$B$2:$CA$2, 0)+1), "")</f>
        <v/>
      </c>
      <c r="AJ122" s="206" t="str">
        <f>IF(AND($A122&gt;=SYear_O, $A122&lt;=EYear_O, AJ$3&gt;0), AJ$3 * VLOOKUP($A122, Data_All!$A$8:$CA$153, MATCH(AJ$2, Data_All!$B$2:$CA$2, 0)+1), "")</f>
        <v/>
      </c>
      <c r="AK122" s="206" t="str">
        <f>IF(AND($A122&gt;=SYear_O, $A122&lt;=EYear_O, AK$3&gt;0), AK$3 * VLOOKUP($A122, Data_All!$A$8:$CA$153, MATCH(AK$2, Data_All!$B$2:$CA$2, 0)+1), "")</f>
        <v/>
      </c>
      <c r="AL122" s="206" t="str">
        <f>IF(AND($A122&gt;=SYear_O, $A122&lt;=EYear_O, AL$3&gt;0), AL$3 * VLOOKUP($A122, Data_All!$A$8:$CA$153, MATCH(AL$2, Data_All!$B$2:$CA$2, 0)+1), "")</f>
        <v/>
      </c>
      <c r="AM122" s="206" t="str">
        <f>IF(AND($A122&gt;=SYear_O, $A122&lt;=EYear_O, AM$3&gt;0), AM$3 * VLOOKUP($A122, Data_All!$A$8:$CA$153, MATCH(AM$2, Data_All!$B$2:$CA$2, 0)+1), "")</f>
        <v/>
      </c>
      <c r="AN122" s="206" t="str">
        <f>IF(AND($A122&gt;=SYear_O, $A122&lt;=EYear_O, AN$3&gt;0), AN$3 * VLOOKUP($A122, Data_All!$A$8:$CA$153, MATCH(AN$2, Data_All!$B$2:$CA$2, 0)+1), "")</f>
        <v/>
      </c>
      <c r="AO122" s="206" t="str">
        <f>IF(AND($A122&gt;=SYear_O, $A122&lt;=EYear_O, AO$3&gt;0), AO$3 * VLOOKUP($A122, Data_All!$A$8:$CA$153, MATCH(AO$2, Data_All!$B$2:$CA$2, 0)+1), "")</f>
        <v/>
      </c>
      <c r="AP122" s="206" t="str">
        <f>IF(AND($A122&gt;=SYear_O, $A122&lt;=EYear_O, AP$3&gt;0), AP$3 * VLOOKUP($A122, Data_All!$A$8:$CA$153, MATCH(AP$2, Data_All!$B$2:$CA$2, 0)+1), "")</f>
        <v/>
      </c>
      <c r="AQ122" s="206" t="str">
        <f>IF(AND($A122&gt;=SYear_O, $A122&lt;=EYear_O, AQ$3&gt;0), AQ$3 * VLOOKUP($A122, Data_All!$A$8:$CA$153, MATCH(AQ$2, Data_All!$B$2:$CA$2, 0)+1), "")</f>
        <v/>
      </c>
      <c r="AR122" s="206" t="str">
        <f>IF(AND($A122&gt;=SYear_O, $A122&lt;=EYear_O, AR$3&gt;0), AR$3 * VLOOKUP($A122, Data_All!$A$8:$CA$153, MATCH(AR$2, Data_All!$B$2:$CA$2, 0)+1), "")</f>
        <v/>
      </c>
      <c r="AS122" s="206" t="str">
        <f>IF(AND($A122&gt;=SYear_O, $A122&lt;=EYear_O, AS$3&gt;0), AS$3 * VLOOKUP($A122, Data_All!$A$8:$CA$153, MATCH(AS$2, Data_All!$B$2:$CA$2, 0)+1), "")</f>
        <v/>
      </c>
      <c r="AT122" s="206" t="str">
        <f>IF(AND($A122&gt;=SYear_O, $A122&lt;=EYear_O, AT$3&gt;0), AT$3 * VLOOKUP($A122, Data_All!$A$8:$CA$153, MATCH(AT$2, Data_All!$B$2:$CA$2, 0)+1), "")</f>
        <v/>
      </c>
      <c r="AU122" s="206" t="str">
        <f>IF(AND($A122&gt;=SYear_O, $A122&lt;=EYear_O, AU$3&gt;0), AU$3 * VLOOKUP($A122, Data_All!$A$8:$CA$153, MATCH(AU$2, Data_All!$B$2:$CA$2, 0)+1), "")</f>
        <v/>
      </c>
      <c r="AV122" s="206" t="str">
        <f>IF(AND($A122&gt;=SYear_O, $A122&lt;=EYear_O, AV$3&gt;0), AV$3 * VLOOKUP($A122, Data_All!$A$8:$CA$153, MATCH(AV$2, Data_All!$B$2:$CA$2, 0)+1), "")</f>
        <v/>
      </c>
      <c r="AW122" s="206" t="str">
        <f>IF(AND($A122&gt;=SYear_O, $A122&lt;=EYear_O, AW$3&gt;0), AW$3 * VLOOKUP($A122, Data_All!$A$8:$CA$153, MATCH(AW$2, Data_All!$B$2:$CA$2, 0)+1), "")</f>
        <v/>
      </c>
      <c r="AX122" s="206" t="str">
        <f>IF(AND($A122&gt;=SYear_O, $A122&lt;=EYear_O, AX$3&gt;0), AX$3 * VLOOKUP($A122, Data_All!$A$8:$CA$153, MATCH(AX$2, Data_All!$B$2:$CA$2, 0)+1), "")</f>
        <v/>
      </c>
      <c r="AY122" s="206" t="str">
        <f>IF(AND($A122&gt;=SYear_O, $A122&lt;=EYear_O, AY$3&gt;0), AY$3 * VLOOKUP($A122, Data_All!$A$8:$CA$153, MATCH(AY$2, Data_All!$B$2:$CA$2, 0)+1), "")</f>
        <v/>
      </c>
      <c r="AZ122" s="206" t="str">
        <f>IF(AND($A122&gt;=SYear_O, $A122&lt;=EYear_O, AZ$3&gt;0), AZ$3 * VLOOKUP($A122, Data_All!$A$8:$CA$153, MATCH(AZ$2, Data_All!$B$2:$CA$2, 0)+1), "")</f>
        <v/>
      </c>
      <c r="BA122" s="206" t="str">
        <f>IF(AND($A122&gt;=SYear_O, $A122&lt;=EYear_O, BA$3&gt;0), BA$3 * VLOOKUP($A122, Data_All!$A$8:$CA$153, MATCH(BA$2, Data_All!$B$2:$CA$2, 0)+1), "")</f>
        <v/>
      </c>
      <c r="BB122" s="206" t="str">
        <f>IF(AND($A122&gt;=SYear_O, $A122&lt;=EYear_O, BB$3&gt;0), BB$3 * VLOOKUP($A122, Data_All!$A$8:$CA$153, MATCH(BB$2, Data_All!$B$2:$CA$2, 0)+1), "")</f>
        <v/>
      </c>
      <c r="BC122" s="206" t="str">
        <f>IF(AND($A122&gt;=SYear_O, $A122&lt;=EYear_O, BC$3&gt;0), BC$3 * VLOOKUP($A122, Data_All!$A$8:$CA$153, MATCH(BC$2, Data_All!$B$2:$CA$2, 0)+1), "")</f>
        <v/>
      </c>
      <c r="BD122" s="206" t="str">
        <f>IF(AND($A122&gt;=SYear_O, $A122&lt;=EYear_O, BD$3&gt;0), BD$3 * VLOOKUP($A122, Data_All!$A$8:$CA$153, MATCH(BD$2, Data_All!$B$2:$CA$2, 0)+1), "")</f>
        <v/>
      </c>
      <c r="BE122" s="206" t="str">
        <f>IF(AND($A122&gt;=SYear_O, $A122&lt;=EYear_O, BE$3&gt;0), BE$3 * VLOOKUP($A122, Data_All!$A$8:$CA$153, MATCH(BE$2, Data_All!$B$2:$CA$2, 0)+1), "")</f>
        <v/>
      </c>
      <c r="BF122" s="206" t="str">
        <f>IF(AND($A122&gt;=SYear_O, $A122&lt;=EYear_O, BF$3&gt;0), BF$3 * VLOOKUP($A122, Data_All!$A$8:$CA$153, MATCH(BF$2, Data_All!$B$2:$CA$2, 0)+1), "")</f>
        <v/>
      </c>
      <c r="BG122" s="206" t="str">
        <f>IF(AND($A122&gt;=SYear_O, $A122&lt;=EYear_O, BG$3&gt;0), BG$3 * VLOOKUP($A122, Data_All!$A$8:$CA$153, MATCH(BG$2, Data_All!$B$2:$CA$2, 0)+1), "")</f>
        <v/>
      </c>
      <c r="BH122" s="206" t="str">
        <f>IF(AND($A122&gt;=SYear_O, $A122&lt;=EYear_O, BH$3&gt;0), BH$3 * VLOOKUP($A122, Data_All!$A$8:$CA$153, MATCH(BH$2, Data_All!$B$2:$CA$2, 0)+1), "")</f>
        <v/>
      </c>
      <c r="BI122" s="206" t="str">
        <f>IF(AND($A122&gt;=SYear_O, $A122&lt;=EYear_O, BI$3&gt;0), BI$3 * VLOOKUP($A122, Data_All!$A$8:$CA$153, MATCH(BI$2, Data_All!$B$2:$CA$2, 0)+1), "")</f>
        <v/>
      </c>
      <c r="BJ122" s="206" t="str">
        <f>IF(AND($A122&gt;=SYear_O, $A122&lt;=EYear_O, BJ$3&gt;0), BJ$3 * VLOOKUP($A122, Data_All!$A$8:$CA$153, MATCH(BJ$2, Data_All!$B$2:$CA$2, 0)+1), "")</f>
        <v/>
      </c>
      <c r="BK122" s="206" t="str">
        <f>IF(AND($A122&gt;=SYear_O, $A122&lt;=EYear_O, BK$3&gt;0), BK$3 * VLOOKUP($A122, Data_All!$A$8:$CA$153, MATCH(BK$2, Data_All!$B$2:$CA$2, 0)+1), "")</f>
        <v/>
      </c>
      <c r="BL122" s="206" t="str">
        <f>IF(AND($A122&gt;=SYear_O, $A122&lt;=EYear_O, BL$3&gt;0), BL$3 * VLOOKUP($A122, Data_All!$A$8:$CA$153, MATCH(BL$2, Data_All!$B$2:$CA$2, 0)+1), "")</f>
        <v/>
      </c>
      <c r="BM122" s="206" t="str">
        <f>IF(AND($A122&gt;=SYear_O, $A122&lt;=EYear_O, BM$3&gt;0), BM$3 * VLOOKUP($A122, Data_All!$A$8:$CA$153, MATCH(BM$2, Data_All!$B$2:$CA$2, 0)+1), "")</f>
        <v/>
      </c>
      <c r="BN122" s="206" t="str">
        <f>IF(AND($A122&gt;=SYear_O, $A122&lt;=EYear_O, BN$3&gt;0), BN$3 * VLOOKUP($A122, Data_All!$A$8:$CA$153, MATCH(BN$2, Data_All!$B$2:$CA$2, 0)+1), "")</f>
        <v/>
      </c>
      <c r="BO122" s="206" t="str">
        <f>IF(AND($A122&gt;=SYear_O, $A122&lt;=EYear_O, BO$3&gt;0), BO$3 * VLOOKUP($A122, Data_All!$A$8:$CA$153, MATCH(BO$2, Data_All!$B$2:$CA$2, 0)+1), "")</f>
        <v/>
      </c>
      <c r="BP122" s="206" t="str">
        <f>IF(AND($A122&gt;=SYear_O, $A122&lt;=EYear_O, BP$3&gt;0), BP$3 * VLOOKUP($A122, Data_All!$A$8:$CA$153, MATCH(BP$2, Data_All!$B$2:$CA$2, 0)+1), "")</f>
        <v/>
      </c>
      <c r="BQ122" s="206" t="str">
        <f>IF(AND($A122&gt;=SYear_O, $A122&lt;=EYear_O, BQ$3&gt;0), BQ$3 * VLOOKUP($A122, Data_All!$A$8:$CA$153, MATCH(BQ$2, Data_All!$B$2:$CA$2, 0)+1), "")</f>
        <v/>
      </c>
      <c r="BR122" s="206" t="str">
        <f>IF(AND($A122&gt;=SYear_O, $A122&lt;=EYear_O, BR$3&gt;0), BR$3 * VLOOKUP($A122, Data_All!$A$8:$CA$153, MATCH(BR$2, Data_All!$B$2:$CA$2, 0)+1), "")</f>
        <v/>
      </c>
      <c r="BS122" s="206" t="str">
        <f>IF(AND($A122&gt;=SYear_O, $A122&lt;=EYear_O, BS$3&gt;0), BS$3 * VLOOKUP($A122, Data_All!$A$8:$CA$153, MATCH(BS$2, Data_All!$B$2:$CA$2, 0)+1), "")</f>
        <v/>
      </c>
      <c r="BT122" s="206" t="str">
        <f>IF(AND($A122&gt;=SYear_O, $A122&lt;=EYear_O, BT$3&gt;0), BT$3 * VLOOKUP($A122, Data_All!$A$8:$CA$153, MATCH(BT$2, Data_All!$B$2:$CA$2, 0)+1), "")</f>
        <v/>
      </c>
      <c r="BU122" s="206" t="str">
        <f>IF(AND($A122&gt;=SYear_O, $A122&lt;=EYear_O, BU$3&gt;0), BU$3 * VLOOKUP($A122, Data_All!$A$8:$CA$153, MATCH(BU$2, Data_All!$B$2:$CA$2, 0)+1), "")</f>
        <v/>
      </c>
      <c r="BV122" s="206" t="str">
        <f>IF(AND($A122&gt;=SYear_O, $A122&lt;=EYear_O, BV$3&gt;0), BV$3 * VLOOKUP($A122, Data_All!$A$8:$CA$153, MATCH(BV$2, Data_All!$B$2:$CA$2, 0)+1), "")</f>
        <v/>
      </c>
      <c r="BW122" s="206" t="str">
        <f>IF(AND($A122&gt;=SYear_O, $A122&lt;=EYear_O, BW$3&gt;0), BW$3 * VLOOKUP($A122, Data_All!$A$8:$CA$153, MATCH(BW$2, Data_All!$B$2:$CA$2, 0)+1), "")</f>
        <v/>
      </c>
      <c r="BX122" s="206">
        <f>IF(AND($A122&gt;=SYear_O, $A122&lt;=EYear_O, BX$3&gt;0), BX$3 * VLOOKUP($A122, Data_All!$A$8:$CA$153, MATCH(BX$2, Data_All!$B$2:$CA$2, 0)+1), "")</f>
        <v>18.61760891493347</v>
      </c>
      <c r="BY122" s="206">
        <f>IF(AND($A122&gt;=SYear_O, $A122&lt;=EYear_O, BY$3&gt;0), BY$3 * VLOOKUP($A122, Data_All!$A$8:$CA$153, MATCH(BY$2, Data_All!$B$2:$CA$2, 0)+1), "")</f>
        <v>7.3029354508465261</v>
      </c>
      <c r="BZ122" s="206" t="str">
        <f>IF(AND($A122&gt;=SYear_O, $A122&lt;=EYear_O, BZ$3&gt;0), BZ$3 * VLOOKUP($A122, Data_All!$A$8:$CA$153, MATCH(BZ$2, Data_All!$B$2:$CA$2, 0)+1), "")</f>
        <v/>
      </c>
      <c r="CA122" s="565">
        <f t="shared" si="52"/>
        <v>25.920544365779996</v>
      </c>
      <c r="CB122" s="427">
        <f t="shared" si="53"/>
        <v>35726405.729562268</v>
      </c>
      <c r="CC122" s="565">
        <f>IF(AND($A122&gt;=SYear_O,$A122&lt;=EYear_O),(CA122-Data_All!CA123)/(1+Data_All!CA123%),"")</f>
        <v>24.553081440540765</v>
      </c>
      <c r="CD122" s="436">
        <f t="shared" si="54"/>
        <v>4029828.9622082678</v>
      </c>
      <c r="CE122" s="438">
        <f t="shared" si="55"/>
        <v>3240.3578035405744</v>
      </c>
      <c r="CF122" s="438">
        <f>IF(AND($A122&gt;=SYear_O,$A122&lt;=EYear_O),MAX($CE$7:CE122),"")</f>
        <v>3240.3578035405744</v>
      </c>
      <c r="CG122" s="209">
        <f t="shared" si="56"/>
        <v>0</v>
      </c>
      <c r="CI122" s="143">
        <f>IF(AND($A122&gt;=SYear_O,$A122&lt;=EYear_O),Data_All!V123,"")</f>
        <v>6</v>
      </c>
      <c r="CJ122" s="143">
        <f>IF(AND($A122&gt;=SYear_O,$A122&lt;=EYear_O),Data_All!CA123,"")</f>
        <v>1.0978956999085021</v>
      </c>
      <c r="CK122" s="143">
        <f t="shared" si="57"/>
        <v>4.8488687782805497</v>
      </c>
      <c r="CN122" s="61">
        <f t="shared" si="58"/>
        <v>0.25920544365779996</v>
      </c>
      <c r="CO122" s="61">
        <f t="shared" si="59"/>
        <v>0.12170344611540407</v>
      </c>
      <c r="CP122" s="61">
        <f t="shared" si="60"/>
        <v>0.11686175789528819</v>
      </c>
      <c r="CQ122" s="61">
        <f t="shared" si="61"/>
        <v>0.1269545820406921</v>
      </c>
      <c r="CR122" s="61">
        <f t="shared" si="62"/>
        <v>0.13095032611038127</v>
      </c>
      <c r="CU122" s="61">
        <f t="shared" si="63"/>
        <v>0.24553081440540758</v>
      </c>
      <c r="CV122" s="61">
        <f t="shared" si="64"/>
        <v>8.5814805510107339E-2</v>
      </c>
      <c r="CW122" s="61">
        <f t="shared" si="65"/>
        <v>7.2586262659462886E-2</v>
      </c>
      <c r="CX122" s="61">
        <f t="shared" si="66"/>
        <v>8.9325303730381611E-2</v>
      </c>
      <c r="CY122" s="61">
        <f t="shared" si="67"/>
        <v>9.6431719450453146E-2</v>
      </c>
    </row>
    <row r="123" spans="1:103">
      <c r="A123" s="204">
        <f t="shared" si="51"/>
        <v>1987</v>
      </c>
      <c r="B123" s="206" t="str">
        <f>IF(AND($A123&gt;=SYear_O, $A123&lt;=EYear_O, B$3&gt;0), B$3 * VLOOKUP($A123, Data_All!$A$8:$CA$153, MATCH(B$2, Data_All!$B$2:$CA$2, 0)+1), "")</f>
        <v/>
      </c>
      <c r="C123" s="206" t="str">
        <f>IF(AND($A123&gt;=SYear_O, $A123&lt;=EYear_O, C$3&gt;0), C$3 * VLOOKUP($A123, Data_All!$A$8:$CA$153, MATCH(C$2, Data_All!$B$2:$CA$2, 0)+1), "")</f>
        <v/>
      </c>
      <c r="D123" s="206" t="str">
        <f>IF(AND($A123&gt;=SYear_O, $A123&lt;=EYear_O, D$3&gt;0), D$3 * VLOOKUP($A123, Data_All!$A$8:$CA$153, MATCH(D$2, Data_All!$B$2:$CA$2, 0)+1), "")</f>
        <v/>
      </c>
      <c r="E123" s="206" t="str">
        <f>IF(AND($A123&gt;=SYear_O, $A123&lt;=EYear_O, E$3&gt;0), E$3 * VLOOKUP($A123, Data_All!$A$8:$CA$153, MATCH(E$2, Data_All!$B$2:$CA$2, 0)+1), "")</f>
        <v/>
      </c>
      <c r="F123" s="206" t="str">
        <f>IF(AND($A123&gt;=SYear_O, $A123&lt;=EYear_O, F$3&gt;0), F$3 * VLOOKUP($A123, Data_All!$A$8:$CA$153, MATCH(F$2, Data_All!$B$2:$CA$2, 0)+1), "")</f>
        <v/>
      </c>
      <c r="G123" s="206" t="str">
        <f>IF(AND($A123&gt;=SYear_O, $A123&lt;=EYear_O, G$3&gt;0), G$3 * VLOOKUP($A123, Data_All!$A$8:$CA$153, MATCH(G$2, Data_All!$B$2:$CA$2, 0)+1), "")</f>
        <v/>
      </c>
      <c r="H123" s="206" t="str">
        <f>IF(AND($A123&gt;=SYear_O, $A123&lt;=EYear_O, H$3&gt;0), H$3 * VLOOKUP($A123, Data_All!$A$8:$CA$153, MATCH(H$2, Data_All!$B$2:$CA$2, 0)+1), "")</f>
        <v/>
      </c>
      <c r="I123" s="206" t="str">
        <f>IF(AND($A123&gt;=SYear_O, $A123&lt;=EYear_O, I$3&gt;0), I$3 * VLOOKUP($A123, Data_All!$A$8:$CA$153, MATCH(I$2, Data_All!$B$2:$CA$2, 0)+1), "")</f>
        <v/>
      </c>
      <c r="J123" s="206" t="str">
        <f>IF(AND($A123&gt;=SYear_O, $A123&lt;=EYear_O, J$3&gt;0), J$3 * VLOOKUP($A123, Data_All!$A$8:$CA$153, MATCH(J$2, Data_All!$B$2:$CA$2, 0)+1), "")</f>
        <v/>
      </c>
      <c r="K123" s="206" t="str">
        <f>IF(AND($A123&gt;=SYear_O, $A123&lt;=EYear_O, K$3&gt;0), K$3 * VLOOKUP($A123, Data_All!$A$8:$CA$153, MATCH(K$2, Data_All!$B$2:$CA$2, 0)+1), "")</f>
        <v/>
      </c>
      <c r="L123" s="206" t="str">
        <f>IF(AND($A123&gt;=SYear_O, $A123&lt;=EYear_O, L$3&gt;0), L$3 * VLOOKUP($A123, Data_All!$A$8:$CA$153, MATCH(L$2, Data_All!$B$2:$CA$2, 0)+1), "")</f>
        <v/>
      </c>
      <c r="M123" s="206" t="str">
        <f>IF(AND($A123&gt;=SYear_O, $A123&lt;=EYear_O, M$3&gt;0), M$3 * VLOOKUP($A123, Data_All!$A$8:$CA$153, MATCH(M$2, Data_All!$B$2:$CA$2, 0)+1), "")</f>
        <v/>
      </c>
      <c r="N123" s="206" t="str">
        <f>IF(AND($A123&gt;=SYear_O, $A123&lt;=EYear_O, N$3&gt;0), N$3 * VLOOKUP($A123, Data_All!$A$8:$CA$153, MATCH(N$2, Data_All!$B$2:$CA$2, 0)+1), "")</f>
        <v/>
      </c>
      <c r="O123" s="206" t="str">
        <f>IF(AND($A123&gt;=SYear_O, $A123&lt;=EYear_O, O$3&gt;0), O$3 * VLOOKUP($A123, Data_All!$A$8:$CA$153, MATCH(O$2, Data_All!$B$2:$CA$2, 0)+1), "")</f>
        <v/>
      </c>
      <c r="P123" s="206" t="str">
        <f>IF(AND($A123&gt;=SYear_O, $A123&lt;=EYear_O, P$3&gt;0), P$3 * VLOOKUP($A123, Data_All!$A$8:$CA$153, MATCH(P$2, Data_All!$B$2:$CA$2, 0)+1), "")</f>
        <v/>
      </c>
      <c r="Q123" s="206" t="str">
        <f>IF(AND($A123&gt;=SYear_O, $A123&lt;=EYear_O, Q$3&gt;0), Q$3 * VLOOKUP($A123, Data_All!$A$8:$CA$153, MATCH(Q$2, Data_All!$B$2:$CA$2, 0)+1), "")</f>
        <v/>
      </c>
      <c r="R123" s="206" t="str">
        <f>IF(AND($A123&gt;=SYear_O, $A123&lt;=EYear_O, R$3&gt;0), R$3 * VLOOKUP($A123, Data_All!$A$8:$CA$153, MATCH(R$2, Data_All!$B$2:$CA$2, 0)+1), "")</f>
        <v/>
      </c>
      <c r="S123" s="206" t="str">
        <f>IF(AND($A123&gt;=SYear_O, $A123&lt;=EYear_O, S$3&gt;0), S$3 * VLOOKUP($A123, Data_All!$A$8:$CA$153, MATCH(S$2, Data_All!$B$2:$CA$2, 0)+1), "")</f>
        <v/>
      </c>
      <c r="T123" s="206" t="str">
        <f>IF(AND($A123&gt;=SYear_O, $A123&lt;=EYear_O, T$3&gt;0), T$3 * VLOOKUP($A123, Data_All!$A$8:$CA$153, MATCH(T$2, Data_All!$B$2:$CA$2, 0)+1), "")</f>
        <v/>
      </c>
      <c r="U123" s="206" t="str">
        <f>IF(AND($A123&gt;=SYear_O, $A123&lt;=EYear_O, U$3&gt;0), U$3 * VLOOKUP($A123, Data_All!$A$8:$CA$153, MATCH(U$2, Data_All!$B$2:$CA$2, 0)+1), "")</f>
        <v/>
      </c>
      <c r="V123" s="206" t="str">
        <f>IF(AND($A123&gt;=SYear_O, $A123&lt;=EYear_O, V$3&gt;0), V$3 * VLOOKUP($A123, Data_All!$A$8:$CA$153, MATCH(V$2, Data_All!$B$2:$CA$2, 0)+1), "")</f>
        <v/>
      </c>
      <c r="W123" s="206" t="str">
        <f>IF(AND($A123&gt;=SYear_O, $A123&lt;=EYear_O, W$3&gt;0), W$3 * VLOOKUP($A123, Data_All!$A$8:$CA$153, MATCH(W$2, Data_All!$B$2:$CA$2, 0)+1), "")</f>
        <v/>
      </c>
      <c r="X123" s="206" t="str">
        <f>IF(AND($A123&gt;=SYear_O, $A123&lt;=EYear_O, X$3&gt;0), X$3 * VLOOKUP($A123, Data_All!$A$8:$CA$153, MATCH(X$2, Data_All!$B$2:$CA$2, 0)+1), "")</f>
        <v/>
      </c>
      <c r="Y123" s="206" t="str">
        <f>IF(AND($A123&gt;=SYear_O, $A123&lt;=EYear_O, Y$3&gt;0), Y$3 * VLOOKUP($A123, Data_All!$A$8:$CA$153, MATCH(Y$2, Data_All!$B$2:$CA$2, 0)+1), "")</f>
        <v/>
      </c>
      <c r="Z123" s="206" t="str">
        <f>IF(AND($A123&gt;=SYear_O, $A123&lt;=EYear_O, Z$3&gt;0), Z$3 * VLOOKUP($A123, Data_All!$A$8:$CA$153, MATCH(Z$2, Data_All!$B$2:$CA$2, 0)+1), "")</f>
        <v/>
      </c>
      <c r="AA123" s="206" t="str">
        <f>IF(AND($A123&gt;=SYear_O, $A123&lt;=EYear_O, AA$3&gt;0), AA$3 * VLOOKUP($A123, Data_All!$A$8:$CA$153, MATCH(AA$2, Data_All!$B$2:$CA$2, 0)+1), "")</f>
        <v/>
      </c>
      <c r="AB123" s="206" t="str">
        <f>IF(AND($A123&gt;=SYear_O, $A123&lt;=EYear_O, AB$3&gt;0), AB$3 * VLOOKUP($A123, Data_All!$A$8:$CA$153, MATCH(AB$2, Data_All!$B$2:$CA$2, 0)+1), "")</f>
        <v/>
      </c>
      <c r="AC123" s="206" t="str">
        <f>IF(AND($A123&gt;=SYear_O, $A123&lt;=EYear_O, AC$3&gt;0), AC$3 * VLOOKUP($A123, Data_All!$A$8:$CA$153, MATCH(AC$2, Data_All!$B$2:$CA$2, 0)+1), "")</f>
        <v/>
      </c>
      <c r="AD123" s="206" t="str">
        <f>IF(AND($A123&gt;=SYear_O, $A123&lt;=EYear_O, AD$3&gt;0), AD$3 * VLOOKUP($A123, Data_All!$A$8:$CA$153, MATCH(AD$2, Data_All!$B$2:$CA$2, 0)+1), "")</f>
        <v/>
      </c>
      <c r="AE123" s="206" t="str">
        <f>IF(AND($A123&gt;=SYear_O, $A123&lt;=EYear_O, AE$3&gt;0), AE$3 * VLOOKUP($A123, Data_All!$A$8:$CA$153, MATCH(AE$2, Data_All!$B$2:$CA$2, 0)+1), "")</f>
        <v/>
      </c>
      <c r="AF123" s="206" t="str">
        <f>IF(AND($A123&gt;=SYear_O, $A123&lt;=EYear_O, AF$3&gt;0), AF$3 * VLOOKUP($A123, Data_All!$A$8:$CA$153, MATCH(AF$2, Data_All!$B$2:$CA$2, 0)+1), "")</f>
        <v/>
      </c>
      <c r="AG123" s="206" t="str">
        <f>IF(AND($A123&gt;=SYear_O, $A123&lt;=EYear_O, AG$3&gt;0), AG$3 * VLOOKUP($A123, Data_All!$A$8:$CA$153, MATCH(AG$2, Data_All!$B$2:$CA$2, 0)+1), "")</f>
        <v/>
      </c>
      <c r="AH123" s="206" t="str">
        <f>IF(AND($A123&gt;=SYear_O, $A123&lt;=EYear_O, AH$3&gt;0), AH$3 * VLOOKUP($A123, Data_All!$A$8:$CA$153, MATCH(AH$2, Data_All!$B$2:$CA$2, 0)+1), "")</f>
        <v/>
      </c>
      <c r="AI123" s="206" t="str">
        <f>IF(AND($A123&gt;=SYear_O, $A123&lt;=EYear_O, AI$3&gt;0), AI$3 * VLOOKUP($A123, Data_All!$A$8:$CA$153, MATCH(AI$2, Data_All!$B$2:$CA$2, 0)+1), "")</f>
        <v/>
      </c>
      <c r="AJ123" s="206" t="str">
        <f>IF(AND($A123&gt;=SYear_O, $A123&lt;=EYear_O, AJ$3&gt;0), AJ$3 * VLOOKUP($A123, Data_All!$A$8:$CA$153, MATCH(AJ$2, Data_All!$B$2:$CA$2, 0)+1), "")</f>
        <v/>
      </c>
      <c r="AK123" s="206" t="str">
        <f>IF(AND($A123&gt;=SYear_O, $A123&lt;=EYear_O, AK$3&gt;0), AK$3 * VLOOKUP($A123, Data_All!$A$8:$CA$153, MATCH(AK$2, Data_All!$B$2:$CA$2, 0)+1), "")</f>
        <v/>
      </c>
      <c r="AL123" s="206" t="str">
        <f>IF(AND($A123&gt;=SYear_O, $A123&lt;=EYear_O, AL$3&gt;0), AL$3 * VLOOKUP($A123, Data_All!$A$8:$CA$153, MATCH(AL$2, Data_All!$B$2:$CA$2, 0)+1), "")</f>
        <v/>
      </c>
      <c r="AM123" s="206" t="str">
        <f>IF(AND($A123&gt;=SYear_O, $A123&lt;=EYear_O, AM$3&gt;0), AM$3 * VLOOKUP($A123, Data_All!$A$8:$CA$153, MATCH(AM$2, Data_All!$B$2:$CA$2, 0)+1), "")</f>
        <v/>
      </c>
      <c r="AN123" s="206" t="str">
        <f>IF(AND($A123&gt;=SYear_O, $A123&lt;=EYear_O, AN$3&gt;0), AN$3 * VLOOKUP($A123, Data_All!$A$8:$CA$153, MATCH(AN$2, Data_All!$B$2:$CA$2, 0)+1), "")</f>
        <v/>
      </c>
      <c r="AO123" s="206" t="str">
        <f>IF(AND($A123&gt;=SYear_O, $A123&lt;=EYear_O, AO$3&gt;0), AO$3 * VLOOKUP($A123, Data_All!$A$8:$CA$153, MATCH(AO$2, Data_All!$B$2:$CA$2, 0)+1), "")</f>
        <v/>
      </c>
      <c r="AP123" s="206" t="str">
        <f>IF(AND($A123&gt;=SYear_O, $A123&lt;=EYear_O, AP$3&gt;0), AP$3 * VLOOKUP($A123, Data_All!$A$8:$CA$153, MATCH(AP$2, Data_All!$B$2:$CA$2, 0)+1), "")</f>
        <v/>
      </c>
      <c r="AQ123" s="206" t="str">
        <f>IF(AND($A123&gt;=SYear_O, $A123&lt;=EYear_O, AQ$3&gt;0), AQ$3 * VLOOKUP($A123, Data_All!$A$8:$CA$153, MATCH(AQ$2, Data_All!$B$2:$CA$2, 0)+1), "")</f>
        <v/>
      </c>
      <c r="AR123" s="206" t="str">
        <f>IF(AND($A123&gt;=SYear_O, $A123&lt;=EYear_O, AR$3&gt;0), AR$3 * VLOOKUP($A123, Data_All!$A$8:$CA$153, MATCH(AR$2, Data_All!$B$2:$CA$2, 0)+1), "")</f>
        <v/>
      </c>
      <c r="AS123" s="206" t="str">
        <f>IF(AND($A123&gt;=SYear_O, $A123&lt;=EYear_O, AS$3&gt;0), AS$3 * VLOOKUP($A123, Data_All!$A$8:$CA$153, MATCH(AS$2, Data_All!$B$2:$CA$2, 0)+1), "")</f>
        <v/>
      </c>
      <c r="AT123" s="206" t="str">
        <f>IF(AND($A123&gt;=SYear_O, $A123&lt;=EYear_O, AT$3&gt;0), AT$3 * VLOOKUP($A123, Data_All!$A$8:$CA$153, MATCH(AT$2, Data_All!$B$2:$CA$2, 0)+1), "")</f>
        <v/>
      </c>
      <c r="AU123" s="206" t="str">
        <f>IF(AND($A123&gt;=SYear_O, $A123&lt;=EYear_O, AU$3&gt;0), AU$3 * VLOOKUP($A123, Data_All!$A$8:$CA$153, MATCH(AU$2, Data_All!$B$2:$CA$2, 0)+1), "")</f>
        <v/>
      </c>
      <c r="AV123" s="206" t="str">
        <f>IF(AND($A123&gt;=SYear_O, $A123&lt;=EYear_O, AV$3&gt;0), AV$3 * VLOOKUP($A123, Data_All!$A$8:$CA$153, MATCH(AV$2, Data_All!$B$2:$CA$2, 0)+1), "")</f>
        <v/>
      </c>
      <c r="AW123" s="206" t="str">
        <f>IF(AND($A123&gt;=SYear_O, $A123&lt;=EYear_O, AW$3&gt;0), AW$3 * VLOOKUP($A123, Data_All!$A$8:$CA$153, MATCH(AW$2, Data_All!$B$2:$CA$2, 0)+1), "")</f>
        <v/>
      </c>
      <c r="AX123" s="206" t="str">
        <f>IF(AND($A123&gt;=SYear_O, $A123&lt;=EYear_O, AX$3&gt;0), AX$3 * VLOOKUP($A123, Data_All!$A$8:$CA$153, MATCH(AX$2, Data_All!$B$2:$CA$2, 0)+1), "")</f>
        <v/>
      </c>
      <c r="AY123" s="206" t="str">
        <f>IF(AND($A123&gt;=SYear_O, $A123&lt;=EYear_O, AY$3&gt;0), AY$3 * VLOOKUP($A123, Data_All!$A$8:$CA$153, MATCH(AY$2, Data_All!$B$2:$CA$2, 0)+1), "")</f>
        <v/>
      </c>
      <c r="AZ123" s="206" t="str">
        <f>IF(AND($A123&gt;=SYear_O, $A123&lt;=EYear_O, AZ$3&gt;0), AZ$3 * VLOOKUP($A123, Data_All!$A$8:$CA$153, MATCH(AZ$2, Data_All!$B$2:$CA$2, 0)+1), "")</f>
        <v/>
      </c>
      <c r="BA123" s="206" t="str">
        <f>IF(AND($A123&gt;=SYear_O, $A123&lt;=EYear_O, BA$3&gt;0), BA$3 * VLOOKUP($A123, Data_All!$A$8:$CA$153, MATCH(BA$2, Data_All!$B$2:$CA$2, 0)+1), "")</f>
        <v/>
      </c>
      <c r="BB123" s="206" t="str">
        <f>IF(AND($A123&gt;=SYear_O, $A123&lt;=EYear_O, BB$3&gt;0), BB$3 * VLOOKUP($A123, Data_All!$A$8:$CA$153, MATCH(BB$2, Data_All!$B$2:$CA$2, 0)+1), "")</f>
        <v/>
      </c>
      <c r="BC123" s="206" t="str">
        <f>IF(AND($A123&gt;=SYear_O, $A123&lt;=EYear_O, BC$3&gt;0), BC$3 * VLOOKUP($A123, Data_All!$A$8:$CA$153, MATCH(BC$2, Data_All!$B$2:$CA$2, 0)+1), "")</f>
        <v/>
      </c>
      <c r="BD123" s="206" t="str">
        <f>IF(AND($A123&gt;=SYear_O, $A123&lt;=EYear_O, BD$3&gt;0), BD$3 * VLOOKUP($A123, Data_All!$A$8:$CA$153, MATCH(BD$2, Data_All!$B$2:$CA$2, 0)+1), "")</f>
        <v/>
      </c>
      <c r="BE123" s="206" t="str">
        <f>IF(AND($A123&gt;=SYear_O, $A123&lt;=EYear_O, BE$3&gt;0), BE$3 * VLOOKUP($A123, Data_All!$A$8:$CA$153, MATCH(BE$2, Data_All!$B$2:$CA$2, 0)+1), "")</f>
        <v/>
      </c>
      <c r="BF123" s="206" t="str">
        <f>IF(AND($A123&gt;=SYear_O, $A123&lt;=EYear_O, BF$3&gt;0), BF$3 * VLOOKUP($A123, Data_All!$A$8:$CA$153, MATCH(BF$2, Data_All!$B$2:$CA$2, 0)+1), "")</f>
        <v/>
      </c>
      <c r="BG123" s="206" t="str">
        <f>IF(AND($A123&gt;=SYear_O, $A123&lt;=EYear_O, BG$3&gt;0), BG$3 * VLOOKUP($A123, Data_All!$A$8:$CA$153, MATCH(BG$2, Data_All!$B$2:$CA$2, 0)+1), "")</f>
        <v/>
      </c>
      <c r="BH123" s="206" t="str">
        <f>IF(AND($A123&gt;=SYear_O, $A123&lt;=EYear_O, BH$3&gt;0), BH$3 * VLOOKUP($A123, Data_All!$A$8:$CA$153, MATCH(BH$2, Data_All!$B$2:$CA$2, 0)+1), "")</f>
        <v/>
      </c>
      <c r="BI123" s="206" t="str">
        <f>IF(AND($A123&gt;=SYear_O, $A123&lt;=EYear_O, BI$3&gt;0), BI$3 * VLOOKUP($A123, Data_All!$A$8:$CA$153, MATCH(BI$2, Data_All!$B$2:$CA$2, 0)+1), "")</f>
        <v/>
      </c>
      <c r="BJ123" s="206" t="str">
        <f>IF(AND($A123&gt;=SYear_O, $A123&lt;=EYear_O, BJ$3&gt;0), BJ$3 * VLOOKUP($A123, Data_All!$A$8:$CA$153, MATCH(BJ$2, Data_All!$B$2:$CA$2, 0)+1), "")</f>
        <v/>
      </c>
      <c r="BK123" s="206" t="str">
        <f>IF(AND($A123&gt;=SYear_O, $A123&lt;=EYear_O, BK$3&gt;0), BK$3 * VLOOKUP($A123, Data_All!$A$8:$CA$153, MATCH(BK$2, Data_All!$B$2:$CA$2, 0)+1), "")</f>
        <v/>
      </c>
      <c r="BL123" s="206" t="str">
        <f>IF(AND($A123&gt;=SYear_O, $A123&lt;=EYear_O, BL$3&gt;0), BL$3 * VLOOKUP($A123, Data_All!$A$8:$CA$153, MATCH(BL$2, Data_All!$B$2:$CA$2, 0)+1), "")</f>
        <v/>
      </c>
      <c r="BM123" s="206" t="str">
        <f>IF(AND($A123&gt;=SYear_O, $A123&lt;=EYear_O, BM$3&gt;0), BM$3 * VLOOKUP($A123, Data_All!$A$8:$CA$153, MATCH(BM$2, Data_All!$B$2:$CA$2, 0)+1), "")</f>
        <v/>
      </c>
      <c r="BN123" s="206" t="str">
        <f>IF(AND($A123&gt;=SYear_O, $A123&lt;=EYear_O, BN$3&gt;0), BN$3 * VLOOKUP($A123, Data_All!$A$8:$CA$153, MATCH(BN$2, Data_All!$B$2:$CA$2, 0)+1), "")</f>
        <v/>
      </c>
      <c r="BO123" s="206" t="str">
        <f>IF(AND($A123&gt;=SYear_O, $A123&lt;=EYear_O, BO$3&gt;0), BO$3 * VLOOKUP($A123, Data_All!$A$8:$CA$153, MATCH(BO$2, Data_All!$B$2:$CA$2, 0)+1), "")</f>
        <v/>
      </c>
      <c r="BP123" s="206" t="str">
        <f>IF(AND($A123&gt;=SYear_O, $A123&lt;=EYear_O, BP$3&gt;0), BP$3 * VLOOKUP($A123, Data_All!$A$8:$CA$153, MATCH(BP$2, Data_All!$B$2:$CA$2, 0)+1), "")</f>
        <v/>
      </c>
      <c r="BQ123" s="206" t="str">
        <f>IF(AND($A123&gt;=SYear_O, $A123&lt;=EYear_O, BQ$3&gt;0), BQ$3 * VLOOKUP($A123, Data_All!$A$8:$CA$153, MATCH(BQ$2, Data_All!$B$2:$CA$2, 0)+1), "")</f>
        <v/>
      </c>
      <c r="BR123" s="206" t="str">
        <f>IF(AND($A123&gt;=SYear_O, $A123&lt;=EYear_O, BR$3&gt;0), BR$3 * VLOOKUP($A123, Data_All!$A$8:$CA$153, MATCH(BR$2, Data_All!$B$2:$CA$2, 0)+1), "")</f>
        <v/>
      </c>
      <c r="BS123" s="206" t="str">
        <f>IF(AND($A123&gt;=SYear_O, $A123&lt;=EYear_O, BS$3&gt;0), BS$3 * VLOOKUP($A123, Data_All!$A$8:$CA$153, MATCH(BS$2, Data_All!$B$2:$CA$2, 0)+1), "")</f>
        <v/>
      </c>
      <c r="BT123" s="206" t="str">
        <f>IF(AND($A123&gt;=SYear_O, $A123&lt;=EYear_O, BT$3&gt;0), BT$3 * VLOOKUP($A123, Data_All!$A$8:$CA$153, MATCH(BT$2, Data_All!$B$2:$CA$2, 0)+1), "")</f>
        <v/>
      </c>
      <c r="BU123" s="206" t="str">
        <f>IF(AND($A123&gt;=SYear_O, $A123&lt;=EYear_O, BU$3&gt;0), BU$3 * VLOOKUP($A123, Data_All!$A$8:$CA$153, MATCH(BU$2, Data_All!$B$2:$CA$2, 0)+1), "")</f>
        <v/>
      </c>
      <c r="BV123" s="206" t="str">
        <f>IF(AND($A123&gt;=SYear_O, $A123&lt;=EYear_O, BV$3&gt;0), BV$3 * VLOOKUP($A123, Data_All!$A$8:$CA$153, MATCH(BV$2, Data_All!$B$2:$CA$2, 0)+1), "")</f>
        <v/>
      </c>
      <c r="BW123" s="206" t="str">
        <f>IF(AND($A123&gt;=SYear_O, $A123&lt;=EYear_O, BW$3&gt;0), BW$3 * VLOOKUP($A123, Data_All!$A$8:$CA$153, MATCH(BW$2, Data_All!$B$2:$CA$2, 0)+1), "")</f>
        <v/>
      </c>
      <c r="BX123" s="206">
        <f>IF(AND($A123&gt;=SYear_O, $A123&lt;=EYear_O, BX$3&gt;0), BX$3 * VLOOKUP($A123, Data_All!$A$8:$CA$153, MATCH(BX$2, Data_All!$B$2:$CA$2, 0)+1), "")</f>
        <v>-1.1840762164001406</v>
      </c>
      <c r="BY123" s="206">
        <f>IF(AND($A123&gt;=SYear_O, $A123&lt;=EYear_O, BY$3&gt;0), BY$3 * VLOOKUP($A123, Data_All!$A$8:$CA$153, MATCH(BY$2, Data_All!$B$2:$CA$2, 0)+1), "")</f>
        <v>0.41581279880368527</v>
      </c>
      <c r="BZ123" s="206" t="str">
        <f>IF(AND($A123&gt;=SYear_O, $A123&lt;=EYear_O, BZ$3&gt;0), BZ$3 * VLOOKUP($A123, Data_All!$A$8:$CA$153, MATCH(BZ$2, Data_All!$B$2:$CA$2, 0)+1), "")</f>
        <v/>
      </c>
      <c r="CA123" s="565">
        <f t="shared" si="52"/>
        <v>-0.76826341759645533</v>
      </c>
      <c r="CB123" s="427">
        <f t="shared" si="53"/>
        <v>35451932.823919952</v>
      </c>
      <c r="CC123" s="565">
        <f>IF(AND($A123&gt;=SYear_O,$A123&lt;=EYear_O),(CA123-Data_All!CA124)/(1+Data_All!CA124%),"")</f>
        <v>-4.9817427005581365</v>
      </c>
      <c r="CD123" s="436">
        <f t="shared" si="54"/>
        <v>3829073.2520384798</v>
      </c>
      <c r="CE123" s="438">
        <f t="shared" si="55"/>
        <v>3215.4633199367399</v>
      </c>
      <c r="CF123" s="438">
        <f>IF(AND($A123&gt;=SYear_O,$A123&lt;=EYear_O),MAX($CE$7:CE123),"")</f>
        <v>3240.3578035405744</v>
      </c>
      <c r="CG123" s="209">
        <f t="shared" si="56"/>
        <v>7.6826341759645977E-3</v>
      </c>
      <c r="CI123" s="143">
        <f>IF(AND($A123&gt;=SYear_O,$A123&lt;=EYear_O),Data_All!V124,"")</f>
        <v>6.12</v>
      </c>
      <c r="CJ123" s="143">
        <f>IF(AND($A123&gt;=SYear_O,$A123&lt;=EYear_O),Data_All!CA124,"")</f>
        <v>4.4343891402714997</v>
      </c>
      <c r="CK123" s="143">
        <f t="shared" si="57"/>
        <v>1.6140381282495606</v>
      </c>
      <c r="CN123" s="61">
        <f t="shared" si="58"/>
        <v>-7.6826341759647088E-3</v>
      </c>
      <c r="CO123" s="61">
        <f t="shared" si="59"/>
        <v>0.10088546954792488</v>
      </c>
      <c r="CP123" s="61">
        <f t="shared" si="60"/>
        <v>0.11455017154751301</v>
      </c>
      <c r="CQ123" s="61">
        <f t="shared" si="61"/>
        <v>0.11868479365979501</v>
      </c>
      <c r="CR123" s="61">
        <f t="shared" si="62"/>
        <v>0.10985168133013112</v>
      </c>
      <c r="CU123" s="61">
        <f t="shared" si="63"/>
        <v>-4.9817427005581338E-2</v>
      </c>
      <c r="CV123" s="61">
        <f t="shared" si="64"/>
        <v>5.3475734702513655E-2</v>
      </c>
      <c r="CW123" s="61">
        <f t="shared" si="65"/>
        <v>6.6250444977289824E-2</v>
      </c>
      <c r="CX123" s="61">
        <f t="shared" si="66"/>
        <v>7.8980620051295025E-2</v>
      </c>
      <c r="CY123" s="61">
        <f t="shared" si="67"/>
        <v>7.5655807163745648E-2</v>
      </c>
    </row>
    <row r="124" spans="1:103">
      <c r="A124" s="204">
        <f t="shared" si="51"/>
        <v>1988</v>
      </c>
      <c r="B124" s="206" t="str">
        <f>IF(AND($A124&gt;=SYear_O, $A124&lt;=EYear_O, B$3&gt;0), B$3 * VLOOKUP($A124, Data_All!$A$8:$CA$153, MATCH(B$2, Data_All!$B$2:$CA$2, 0)+1), "")</f>
        <v/>
      </c>
      <c r="C124" s="206" t="str">
        <f>IF(AND($A124&gt;=SYear_O, $A124&lt;=EYear_O, C$3&gt;0), C$3 * VLOOKUP($A124, Data_All!$A$8:$CA$153, MATCH(C$2, Data_All!$B$2:$CA$2, 0)+1), "")</f>
        <v/>
      </c>
      <c r="D124" s="206" t="str">
        <f>IF(AND($A124&gt;=SYear_O, $A124&lt;=EYear_O, D$3&gt;0), D$3 * VLOOKUP($A124, Data_All!$A$8:$CA$153, MATCH(D$2, Data_All!$B$2:$CA$2, 0)+1), "")</f>
        <v/>
      </c>
      <c r="E124" s="206" t="str">
        <f>IF(AND($A124&gt;=SYear_O, $A124&lt;=EYear_O, E$3&gt;0), E$3 * VLOOKUP($A124, Data_All!$A$8:$CA$153, MATCH(E$2, Data_All!$B$2:$CA$2, 0)+1), "")</f>
        <v/>
      </c>
      <c r="F124" s="206" t="str">
        <f>IF(AND($A124&gt;=SYear_O, $A124&lt;=EYear_O, F$3&gt;0), F$3 * VLOOKUP($A124, Data_All!$A$8:$CA$153, MATCH(F$2, Data_All!$B$2:$CA$2, 0)+1), "")</f>
        <v/>
      </c>
      <c r="G124" s="206" t="str">
        <f>IF(AND($A124&gt;=SYear_O, $A124&lt;=EYear_O, G$3&gt;0), G$3 * VLOOKUP($A124, Data_All!$A$8:$CA$153, MATCH(G$2, Data_All!$B$2:$CA$2, 0)+1), "")</f>
        <v/>
      </c>
      <c r="H124" s="206" t="str">
        <f>IF(AND($A124&gt;=SYear_O, $A124&lt;=EYear_O, H$3&gt;0), H$3 * VLOOKUP($A124, Data_All!$A$8:$CA$153, MATCH(H$2, Data_All!$B$2:$CA$2, 0)+1), "")</f>
        <v/>
      </c>
      <c r="I124" s="206" t="str">
        <f>IF(AND($A124&gt;=SYear_O, $A124&lt;=EYear_O, I$3&gt;0), I$3 * VLOOKUP($A124, Data_All!$A$8:$CA$153, MATCH(I$2, Data_All!$B$2:$CA$2, 0)+1), "")</f>
        <v/>
      </c>
      <c r="J124" s="206" t="str">
        <f>IF(AND($A124&gt;=SYear_O, $A124&lt;=EYear_O, J$3&gt;0), J$3 * VLOOKUP($A124, Data_All!$A$8:$CA$153, MATCH(J$2, Data_All!$B$2:$CA$2, 0)+1), "")</f>
        <v/>
      </c>
      <c r="K124" s="206" t="str">
        <f>IF(AND($A124&gt;=SYear_O, $A124&lt;=EYear_O, K$3&gt;0), K$3 * VLOOKUP($A124, Data_All!$A$8:$CA$153, MATCH(K$2, Data_All!$B$2:$CA$2, 0)+1), "")</f>
        <v/>
      </c>
      <c r="L124" s="206" t="str">
        <f>IF(AND($A124&gt;=SYear_O, $A124&lt;=EYear_O, L$3&gt;0), L$3 * VLOOKUP($A124, Data_All!$A$8:$CA$153, MATCH(L$2, Data_All!$B$2:$CA$2, 0)+1), "")</f>
        <v/>
      </c>
      <c r="M124" s="206" t="str">
        <f>IF(AND($A124&gt;=SYear_O, $A124&lt;=EYear_O, M$3&gt;0), M$3 * VLOOKUP($A124, Data_All!$A$8:$CA$153, MATCH(M$2, Data_All!$B$2:$CA$2, 0)+1), "")</f>
        <v/>
      </c>
      <c r="N124" s="206" t="str">
        <f>IF(AND($A124&gt;=SYear_O, $A124&lt;=EYear_O, N$3&gt;0), N$3 * VLOOKUP($A124, Data_All!$A$8:$CA$153, MATCH(N$2, Data_All!$B$2:$CA$2, 0)+1), "")</f>
        <v/>
      </c>
      <c r="O124" s="206" t="str">
        <f>IF(AND($A124&gt;=SYear_O, $A124&lt;=EYear_O, O$3&gt;0), O$3 * VLOOKUP($A124, Data_All!$A$8:$CA$153, MATCH(O$2, Data_All!$B$2:$CA$2, 0)+1), "")</f>
        <v/>
      </c>
      <c r="P124" s="206" t="str">
        <f>IF(AND($A124&gt;=SYear_O, $A124&lt;=EYear_O, P$3&gt;0), P$3 * VLOOKUP($A124, Data_All!$A$8:$CA$153, MATCH(P$2, Data_All!$B$2:$CA$2, 0)+1), "")</f>
        <v/>
      </c>
      <c r="Q124" s="206" t="str">
        <f>IF(AND($A124&gt;=SYear_O, $A124&lt;=EYear_O, Q$3&gt;0), Q$3 * VLOOKUP($A124, Data_All!$A$8:$CA$153, MATCH(Q$2, Data_All!$B$2:$CA$2, 0)+1), "")</f>
        <v/>
      </c>
      <c r="R124" s="206" t="str">
        <f>IF(AND($A124&gt;=SYear_O, $A124&lt;=EYear_O, R$3&gt;0), R$3 * VLOOKUP($A124, Data_All!$A$8:$CA$153, MATCH(R$2, Data_All!$B$2:$CA$2, 0)+1), "")</f>
        <v/>
      </c>
      <c r="S124" s="206" t="str">
        <f>IF(AND($A124&gt;=SYear_O, $A124&lt;=EYear_O, S$3&gt;0), S$3 * VLOOKUP($A124, Data_All!$A$8:$CA$153, MATCH(S$2, Data_All!$B$2:$CA$2, 0)+1), "")</f>
        <v/>
      </c>
      <c r="T124" s="206" t="str">
        <f>IF(AND($A124&gt;=SYear_O, $A124&lt;=EYear_O, T$3&gt;0), T$3 * VLOOKUP($A124, Data_All!$A$8:$CA$153, MATCH(T$2, Data_All!$B$2:$CA$2, 0)+1), "")</f>
        <v/>
      </c>
      <c r="U124" s="206" t="str">
        <f>IF(AND($A124&gt;=SYear_O, $A124&lt;=EYear_O, U$3&gt;0), U$3 * VLOOKUP($A124, Data_All!$A$8:$CA$153, MATCH(U$2, Data_All!$B$2:$CA$2, 0)+1), "")</f>
        <v/>
      </c>
      <c r="V124" s="206" t="str">
        <f>IF(AND($A124&gt;=SYear_O, $A124&lt;=EYear_O, V$3&gt;0), V$3 * VLOOKUP($A124, Data_All!$A$8:$CA$153, MATCH(V$2, Data_All!$B$2:$CA$2, 0)+1), "")</f>
        <v/>
      </c>
      <c r="W124" s="206" t="str">
        <f>IF(AND($A124&gt;=SYear_O, $A124&lt;=EYear_O, W$3&gt;0), W$3 * VLOOKUP($A124, Data_All!$A$8:$CA$153, MATCH(W$2, Data_All!$B$2:$CA$2, 0)+1), "")</f>
        <v/>
      </c>
      <c r="X124" s="206" t="str">
        <f>IF(AND($A124&gt;=SYear_O, $A124&lt;=EYear_O, X$3&gt;0), X$3 * VLOOKUP($A124, Data_All!$A$8:$CA$153, MATCH(X$2, Data_All!$B$2:$CA$2, 0)+1), "")</f>
        <v/>
      </c>
      <c r="Y124" s="206" t="str">
        <f>IF(AND($A124&gt;=SYear_O, $A124&lt;=EYear_O, Y$3&gt;0), Y$3 * VLOOKUP($A124, Data_All!$A$8:$CA$153, MATCH(Y$2, Data_All!$B$2:$CA$2, 0)+1), "")</f>
        <v/>
      </c>
      <c r="Z124" s="206" t="str">
        <f>IF(AND($A124&gt;=SYear_O, $A124&lt;=EYear_O, Z$3&gt;0), Z$3 * VLOOKUP($A124, Data_All!$A$8:$CA$153, MATCH(Z$2, Data_All!$B$2:$CA$2, 0)+1), "")</f>
        <v/>
      </c>
      <c r="AA124" s="206" t="str">
        <f>IF(AND($A124&gt;=SYear_O, $A124&lt;=EYear_O, AA$3&gt;0), AA$3 * VLOOKUP($A124, Data_All!$A$8:$CA$153, MATCH(AA$2, Data_All!$B$2:$CA$2, 0)+1), "")</f>
        <v/>
      </c>
      <c r="AB124" s="206" t="str">
        <f>IF(AND($A124&gt;=SYear_O, $A124&lt;=EYear_O, AB$3&gt;0), AB$3 * VLOOKUP($A124, Data_All!$A$8:$CA$153, MATCH(AB$2, Data_All!$B$2:$CA$2, 0)+1), "")</f>
        <v/>
      </c>
      <c r="AC124" s="206" t="str">
        <f>IF(AND($A124&gt;=SYear_O, $A124&lt;=EYear_O, AC$3&gt;0), AC$3 * VLOOKUP($A124, Data_All!$A$8:$CA$153, MATCH(AC$2, Data_All!$B$2:$CA$2, 0)+1), "")</f>
        <v/>
      </c>
      <c r="AD124" s="206" t="str">
        <f>IF(AND($A124&gt;=SYear_O, $A124&lt;=EYear_O, AD$3&gt;0), AD$3 * VLOOKUP($A124, Data_All!$A$8:$CA$153, MATCH(AD$2, Data_All!$B$2:$CA$2, 0)+1), "")</f>
        <v/>
      </c>
      <c r="AE124" s="206" t="str">
        <f>IF(AND($A124&gt;=SYear_O, $A124&lt;=EYear_O, AE$3&gt;0), AE$3 * VLOOKUP($A124, Data_All!$A$8:$CA$153, MATCH(AE$2, Data_All!$B$2:$CA$2, 0)+1), "")</f>
        <v/>
      </c>
      <c r="AF124" s="206" t="str">
        <f>IF(AND($A124&gt;=SYear_O, $A124&lt;=EYear_O, AF$3&gt;0), AF$3 * VLOOKUP($A124, Data_All!$A$8:$CA$153, MATCH(AF$2, Data_All!$B$2:$CA$2, 0)+1), "")</f>
        <v/>
      </c>
      <c r="AG124" s="206" t="str">
        <f>IF(AND($A124&gt;=SYear_O, $A124&lt;=EYear_O, AG$3&gt;0), AG$3 * VLOOKUP($A124, Data_All!$A$8:$CA$153, MATCH(AG$2, Data_All!$B$2:$CA$2, 0)+1), "")</f>
        <v/>
      </c>
      <c r="AH124" s="206" t="str">
        <f>IF(AND($A124&gt;=SYear_O, $A124&lt;=EYear_O, AH$3&gt;0), AH$3 * VLOOKUP($A124, Data_All!$A$8:$CA$153, MATCH(AH$2, Data_All!$B$2:$CA$2, 0)+1), "")</f>
        <v/>
      </c>
      <c r="AI124" s="206" t="str">
        <f>IF(AND($A124&gt;=SYear_O, $A124&lt;=EYear_O, AI$3&gt;0), AI$3 * VLOOKUP($A124, Data_All!$A$8:$CA$153, MATCH(AI$2, Data_All!$B$2:$CA$2, 0)+1), "")</f>
        <v/>
      </c>
      <c r="AJ124" s="206" t="str">
        <f>IF(AND($A124&gt;=SYear_O, $A124&lt;=EYear_O, AJ$3&gt;0), AJ$3 * VLOOKUP($A124, Data_All!$A$8:$CA$153, MATCH(AJ$2, Data_All!$B$2:$CA$2, 0)+1), "")</f>
        <v/>
      </c>
      <c r="AK124" s="206" t="str">
        <f>IF(AND($A124&gt;=SYear_O, $A124&lt;=EYear_O, AK$3&gt;0), AK$3 * VLOOKUP($A124, Data_All!$A$8:$CA$153, MATCH(AK$2, Data_All!$B$2:$CA$2, 0)+1), "")</f>
        <v/>
      </c>
      <c r="AL124" s="206" t="str">
        <f>IF(AND($A124&gt;=SYear_O, $A124&lt;=EYear_O, AL$3&gt;0), AL$3 * VLOOKUP($A124, Data_All!$A$8:$CA$153, MATCH(AL$2, Data_All!$B$2:$CA$2, 0)+1), "")</f>
        <v/>
      </c>
      <c r="AM124" s="206" t="str">
        <f>IF(AND($A124&gt;=SYear_O, $A124&lt;=EYear_O, AM$3&gt;0), AM$3 * VLOOKUP($A124, Data_All!$A$8:$CA$153, MATCH(AM$2, Data_All!$B$2:$CA$2, 0)+1), "")</f>
        <v/>
      </c>
      <c r="AN124" s="206" t="str">
        <f>IF(AND($A124&gt;=SYear_O, $A124&lt;=EYear_O, AN$3&gt;0), AN$3 * VLOOKUP($A124, Data_All!$A$8:$CA$153, MATCH(AN$2, Data_All!$B$2:$CA$2, 0)+1), "")</f>
        <v/>
      </c>
      <c r="AO124" s="206" t="str">
        <f>IF(AND($A124&gt;=SYear_O, $A124&lt;=EYear_O, AO$3&gt;0), AO$3 * VLOOKUP($A124, Data_All!$A$8:$CA$153, MATCH(AO$2, Data_All!$B$2:$CA$2, 0)+1), "")</f>
        <v/>
      </c>
      <c r="AP124" s="206" t="str">
        <f>IF(AND($A124&gt;=SYear_O, $A124&lt;=EYear_O, AP$3&gt;0), AP$3 * VLOOKUP($A124, Data_All!$A$8:$CA$153, MATCH(AP$2, Data_All!$B$2:$CA$2, 0)+1), "")</f>
        <v/>
      </c>
      <c r="AQ124" s="206" t="str">
        <f>IF(AND($A124&gt;=SYear_O, $A124&lt;=EYear_O, AQ$3&gt;0), AQ$3 * VLOOKUP($A124, Data_All!$A$8:$CA$153, MATCH(AQ$2, Data_All!$B$2:$CA$2, 0)+1), "")</f>
        <v/>
      </c>
      <c r="AR124" s="206" t="str">
        <f>IF(AND($A124&gt;=SYear_O, $A124&lt;=EYear_O, AR$3&gt;0), AR$3 * VLOOKUP($A124, Data_All!$A$8:$CA$153, MATCH(AR$2, Data_All!$B$2:$CA$2, 0)+1), "")</f>
        <v/>
      </c>
      <c r="AS124" s="206" t="str">
        <f>IF(AND($A124&gt;=SYear_O, $A124&lt;=EYear_O, AS$3&gt;0), AS$3 * VLOOKUP($A124, Data_All!$A$8:$CA$153, MATCH(AS$2, Data_All!$B$2:$CA$2, 0)+1), "")</f>
        <v/>
      </c>
      <c r="AT124" s="206" t="str">
        <f>IF(AND($A124&gt;=SYear_O, $A124&lt;=EYear_O, AT$3&gt;0), AT$3 * VLOOKUP($A124, Data_All!$A$8:$CA$153, MATCH(AT$2, Data_All!$B$2:$CA$2, 0)+1), "")</f>
        <v/>
      </c>
      <c r="AU124" s="206" t="str">
        <f>IF(AND($A124&gt;=SYear_O, $A124&lt;=EYear_O, AU$3&gt;0), AU$3 * VLOOKUP($A124, Data_All!$A$8:$CA$153, MATCH(AU$2, Data_All!$B$2:$CA$2, 0)+1), "")</f>
        <v/>
      </c>
      <c r="AV124" s="206" t="str">
        <f>IF(AND($A124&gt;=SYear_O, $A124&lt;=EYear_O, AV$3&gt;0), AV$3 * VLOOKUP($A124, Data_All!$A$8:$CA$153, MATCH(AV$2, Data_All!$B$2:$CA$2, 0)+1), "")</f>
        <v/>
      </c>
      <c r="AW124" s="206" t="str">
        <f>IF(AND($A124&gt;=SYear_O, $A124&lt;=EYear_O, AW$3&gt;0), AW$3 * VLOOKUP($A124, Data_All!$A$8:$CA$153, MATCH(AW$2, Data_All!$B$2:$CA$2, 0)+1), "")</f>
        <v/>
      </c>
      <c r="AX124" s="206" t="str">
        <f>IF(AND($A124&gt;=SYear_O, $A124&lt;=EYear_O, AX$3&gt;0), AX$3 * VLOOKUP($A124, Data_All!$A$8:$CA$153, MATCH(AX$2, Data_All!$B$2:$CA$2, 0)+1), "")</f>
        <v/>
      </c>
      <c r="AY124" s="206" t="str">
        <f>IF(AND($A124&gt;=SYear_O, $A124&lt;=EYear_O, AY$3&gt;0), AY$3 * VLOOKUP($A124, Data_All!$A$8:$CA$153, MATCH(AY$2, Data_All!$B$2:$CA$2, 0)+1), "")</f>
        <v/>
      </c>
      <c r="AZ124" s="206" t="str">
        <f>IF(AND($A124&gt;=SYear_O, $A124&lt;=EYear_O, AZ$3&gt;0), AZ$3 * VLOOKUP($A124, Data_All!$A$8:$CA$153, MATCH(AZ$2, Data_All!$B$2:$CA$2, 0)+1), "")</f>
        <v/>
      </c>
      <c r="BA124" s="206" t="str">
        <f>IF(AND($A124&gt;=SYear_O, $A124&lt;=EYear_O, BA$3&gt;0), BA$3 * VLOOKUP($A124, Data_All!$A$8:$CA$153, MATCH(BA$2, Data_All!$B$2:$CA$2, 0)+1), "")</f>
        <v/>
      </c>
      <c r="BB124" s="206" t="str">
        <f>IF(AND($A124&gt;=SYear_O, $A124&lt;=EYear_O, BB$3&gt;0), BB$3 * VLOOKUP($A124, Data_All!$A$8:$CA$153, MATCH(BB$2, Data_All!$B$2:$CA$2, 0)+1), "")</f>
        <v/>
      </c>
      <c r="BC124" s="206" t="str">
        <f>IF(AND($A124&gt;=SYear_O, $A124&lt;=EYear_O, BC$3&gt;0), BC$3 * VLOOKUP($A124, Data_All!$A$8:$CA$153, MATCH(BC$2, Data_All!$B$2:$CA$2, 0)+1), "")</f>
        <v/>
      </c>
      <c r="BD124" s="206" t="str">
        <f>IF(AND($A124&gt;=SYear_O, $A124&lt;=EYear_O, BD$3&gt;0), BD$3 * VLOOKUP($A124, Data_All!$A$8:$CA$153, MATCH(BD$2, Data_All!$B$2:$CA$2, 0)+1), "")</f>
        <v/>
      </c>
      <c r="BE124" s="206" t="str">
        <f>IF(AND($A124&gt;=SYear_O, $A124&lt;=EYear_O, BE$3&gt;0), BE$3 * VLOOKUP($A124, Data_All!$A$8:$CA$153, MATCH(BE$2, Data_All!$B$2:$CA$2, 0)+1), "")</f>
        <v/>
      </c>
      <c r="BF124" s="206" t="str">
        <f>IF(AND($A124&gt;=SYear_O, $A124&lt;=EYear_O, BF$3&gt;0), BF$3 * VLOOKUP($A124, Data_All!$A$8:$CA$153, MATCH(BF$2, Data_All!$B$2:$CA$2, 0)+1), "")</f>
        <v/>
      </c>
      <c r="BG124" s="206" t="str">
        <f>IF(AND($A124&gt;=SYear_O, $A124&lt;=EYear_O, BG$3&gt;0), BG$3 * VLOOKUP($A124, Data_All!$A$8:$CA$153, MATCH(BG$2, Data_All!$B$2:$CA$2, 0)+1), "")</f>
        <v/>
      </c>
      <c r="BH124" s="206" t="str">
        <f>IF(AND($A124&gt;=SYear_O, $A124&lt;=EYear_O, BH$3&gt;0), BH$3 * VLOOKUP($A124, Data_All!$A$8:$CA$153, MATCH(BH$2, Data_All!$B$2:$CA$2, 0)+1), "")</f>
        <v/>
      </c>
      <c r="BI124" s="206" t="str">
        <f>IF(AND($A124&gt;=SYear_O, $A124&lt;=EYear_O, BI$3&gt;0), BI$3 * VLOOKUP($A124, Data_All!$A$8:$CA$153, MATCH(BI$2, Data_All!$B$2:$CA$2, 0)+1), "")</f>
        <v/>
      </c>
      <c r="BJ124" s="206" t="str">
        <f>IF(AND($A124&gt;=SYear_O, $A124&lt;=EYear_O, BJ$3&gt;0), BJ$3 * VLOOKUP($A124, Data_All!$A$8:$CA$153, MATCH(BJ$2, Data_All!$B$2:$CA$2, 0)+1), "")</f>
        <v/>
      </c>
      <c r="BK124" s="206" t="str">
        <f>IF(AND($A124&gt;=SYear_O, $A124&lt;=EYear_O, BK$3&gt;0), BK$3 * VLOOKUP($A124, Data_All!$A$8:$CA$153, MATCH(BK$2, Data_All!$B$2:$CA$2, 0)+1), "")</f>
        <v/>
      </c>
      <c r="BL124" s="206" t="str">
        <f>IF(AND($A124&gt;=SYear_O, $A124&lt;=EYear_O, BL$3&gt;0), BL$3 * VLOOKUP($A124, Data_All!$A$8:$CA$153, MATCH(BL$2, Data_All!$B$2:$CA$2, 0)+1), "")</f>
        <v/>
      </c>
      <c r="BM124" s="206" t="str">
        <f>IF(AND($A124&gt;=SYear_O, $A124&lt;=EYear_O, BM$3&gt;0), BM$3 * VLOOKUP($A124, Data_All!$A$8:$CA$153, MATCH(BM$2, Data_All!$B$2:$CA$2, 0)+1), "")</f>
        <v/>
      </c>
      <c r="BN124" s="206" t="str">
        <f>IF(AND($A124&gt;=SYear_O, $A124&lt;=EYear_O, BN$3&gt;0), BN$3 * VLOOKUP($A124, Data_All!$A$8:$CA$153, MATCH(BN$2, Data_All!$B$2:$CA$2, 0)+1), "")</f>
        <v/>
      </c>
      <c r="BO124" s="206" t="str">
        <f>IF(AND($A124&gt;=SYear_O, $A124&lt;=EYear_O, BO$3&gt;0), BO$3 * VLOOKUP($A124, Data_All!$A$8:$CA$153, MATCH(BO$2, Data_All!$B$2:$CA$2, 0)+1), "")</f>
        <v/>
      </c>
      <c r="BP124" s="206" t="str">
        <f>IF(AND($A124&gt;=SYear_O, $A124&lt;=EYear_O, BP$3&gt;0), BP$3 * VLOOKUP($A124, Data_All!$A$8:$CA$153, MATCH(BP$2, Data_All!$B$2:$CA$2, 0)+1), "")</f>
        <v/>
      </c>
      <c r="BQ124" s="206" t="str">
        <f>IF(AND($A124&gt;=SYear_O, $A124&lt;=EYear_O, BQ$3&gt;0), BQ$3 * VLOOKUP($A124, Data_All!$A$8:$CA$153, MATCH(BQ$2, Data_All!$B$2:$CA$2, 0)+1), "")</f>
        <v/>
      </c>
      <c r="BR124" s="206" t="str">
        <f>IF(AND($A124&gt;=SYear_O, $A124&lt;=EYear_O, BR$3&gt;0), BR$3 * VLOOKUP($A124, Data_All!$A$8:$CA$153, MATCH(BR$2, Data_All!$B$2:$CA$2, 0)+1), "")</f>
        <v/>
      </c>
      <c r="BS124" s="206" t="str">
        <f>IF(AND($A124&gt;=SYear_O, $A124&lt;=EYear_O, BS$3&gt;0), BS$3 * VLOOKUP($A124, Data_All!$A$8:$CA$153, MATCH(BS$2, Data_All!$B$2:$CA$2, 0)+1), "")</f>
        <v/>
      </c>
      <c r="BT124" s="206" t="str">
        <f>IF(AND($A124&gt;=SYear_O, $A124&lt;=EYear_O, BT$3&gt;0), BT$3 * VLOOKUP($A124, Data_All!$A$8:$CA$153, MATCH(BT$2, Data_All!$B$2:$CA$2, 0)+1), "")</f>
        <v/>
      </c>
      <c r="BU124" s="206" t="str">
        <f>IF(AND($A124&gt;=SYear_O, $A124&lt;=EYear_O, BU$3&gt;0), BU$3 * VLOOKUP($A124, Data_All!$A$8:$CA$153, MATCH(BU$2, Data_All!$B$2:$CA$2, 0)+1), "")</f>
        <v/>
      </c>
      <c r="BV124" s="206" t="str">
        <f>IF(AND($A124&gt;=SYear_O, $A124&lt;=EYear_O, BV$3&gt;0), BV$3 * VLOOKUP($A124, Data_All!$A$8:$CA$153, MATCH(BV$2, Data_All!$B$2:$CA$2, 0)+1), "")</f>
        <v/>
      </c>
      <c r="BW124" s="206" t="str">
        <f>IF(AND($A124&gt;=SYear_O, $A124&lt;=EYear_O, BW$3&gt;0), BW$3 * VLOOKUP($A124, Data_All!$A$8:$CA$153, MATCH(BW$2, Data_All!$B$2:$CA$2, 0)+1), "")</f>
        <v/>
      </c>
      <c r="BX124" s="206">
        <f>IF(AND($A124&gt;=SYear_O, $A124&lt;=EYear_O, BX$3&gt;0), BX$3 * VLOOKUP($A124, Data_All!$A$8:$CA$153, MATCH(BX$2, Data_All!$B$2:$CA$2, 0)+1), "")</f>
        <v>10.697860108591524</v>
      </c>
      <c r="BY124" s="206">
        <f>IF(AND($A124&gt;=SYear_O, $A124&lt;=EYear_O, BY$3&gt;0), BY$3 * VLOOKUP($A124, Data_All!$A$8:$CA$153, MATCH(BY$2, Data_All!$B$2:$CA$2, 0)+1), "")</f>
        <v>2.252333103896742</v>
      </c>
      <c r="BZ124" s="206" t="str">
        <f>IF(AND($A124&gt;=SYear_O, $A124&lt;=EYear_O, BZ$3&gt;0), BZ$3 * VLOOKUP($A124, Data_All!$A$8:$CA$153, MATCH(BZ$2, Data_All!$B$2:$CA$2, 0)+1), "")</f>
        <v/>
      </c>
      <c r="CA124" s="565">
        <f t="shared" si="52"/>
        <v>12.950193212488266</v>
      </c>
      <c r="CB124" s="427">
        <f t="shared" si="53"/>
        <v>40043026.622179136</v>
      </c>
      <c r="CC124" s="565">
        <f>IF(AND($A124&gt;=SYear_O,$A124&lt;=EYear_O),(CA124-Data_All!CA125)/(1+Data_All!CA125%),"")</f>
        <v>8.1697286034950025</v>
      </c>
      <c r="CD124" s="436">
        <f t="shared" si="54"/>
        <v>4141898.1447590441</v>
      </c>
      <c r="CE124" s="438">
        <f t="shared" si="55"/>
        <v>3631.8720325452377</v>
      </c>
      <c r="CF124" s="438">
        <f>IF(AND($A124&gt;=SYear_O,$A124&lt;=EYear_O),MAX($CE$7:CE124),"")</f>
        <v>3631.8720325452377</v>
      </c>
      <c r="CG124" s="209">
        <f t="shared" si="56"/>
        <v>0</v>
      </c>
      <c r="CI124" s="143">
        <f>IF(AND($A124&gt;=SYear_O,$A124&lt;=EYear_O),Data_All!V125,"")</f>
        <v>7.18</v>
      </c>
      <c r="CJ124" s="143">
        <f>IF(AND($A124&gt;=SYear_O,$A124&lt;=EYear_O),Data_All!CA125,"")</f>
        <v>4.4194107452339537</v>
      </c>
      <c r="CK124" s="143">
        <f t="shared" si="57"/>
        <v>2.6437510373444129</v>
      </c>
      <c r="CN124" s="61">
        <f t="shared" si="58"/>
        <v>0.1295019321248827</v>
      </c>
      <c r="CO124" s="61">
        <f t="shared" si="59"/>
        <v>0.11622044528793585</v>
      </c>
      <c r="CP124" s="61">
        <f t="shared" si="60"/>
        <v>0.13402947513276353</v>
      </c>
      <c r="CQ124" s="61">
        <f t="shared" si="61"/>
        <v>0.14103903088586511</v>
      </c>
      <c r="CR124" s="61">
        <f t="shared" si="62"/>
        <v>0.10451045464793673</v>
      </c>
      <c r="CU124" s="61">
        <f t="shared" si="63"/>
        <v>8.1697286034950078E-2</v>
      </c>
      <c r="CV124" s="61">
        <f t="shared" si="64"/>
        <v>6.2510437041022993E-2</v>
      </c>
      <c r="CW124" s="61">
        <f t="shared" si="65"/>
        <v>8.8100538778406401E-2</v>
      </c>
      <c r="CX124" s="61">
        <f t="shared" si="66"/>
        <v>0.1034626671155332</v>
      </c>
      <c r="CY124" s="61">
        <f t="shared" si="67"/>
        <v>7.1900105831160133E-2</v>
      </c>
    </row>
    <row r="125" spans="1:103">
      <c r="A125" s="204">
        <f t="shared" si="51"/>
        <v>1989</v>
      </c>
      <c r="B125" s="206" t="str">
        <f>IF(AND($A125&gt;=SYear_O, $A125&lt;=EYear_O, B$3&gt;0), B$3 * VLOOKUP($A125, Data_All!$A$8:$CA$153, MATCH(B$2, Data_All!$B$2:$CA$2, 0)+1), "")</f>
        <v/>
      </c>
      <c r="C125" s="206" t="str">
        <f>IF(AND($A125&gt;=SYear_O, $A125&lt;=EYear_O, C$3&gt;0), C$3 * VLOOKUP($A125, Data_All!$A$8:$CA$153, MATCH(C$2, Data_All!$B$2:$CA$2, 0)+1), "")</f>
        <v/>
      </c>
      <c r="D125" s="206" t="str">
        <f>IF(AND($A125&gt;=SYear_O, $A125&lt;=EYear_O, D$3&gt;0), D$3 * VLOOKUP($A125, Data_All!$A$8:$CA$153, MATCH(D$2, Data_All!$B$2:$CA$2, 0)+1), "")</f>
        <v/>
      </c>
      <c r="E125" s="206" t="str">
        <f>IF(AND($A125&gt;=SYear_O, $A125&lt;=EYear_O, E$3&gt;0), E$3 * VLOOKUP($A125, Data_All!$A$8:$CA$153, MATCH(E$2, Data_All!$B$2:$CA$2, 0)+1), "")</f>
        <v/>
      </c>
      <c r="F125" s="206" t="str">
        <f>IF(AND($A125&gt;=SYear_O, $A125&lt;=EYear_O, F$3&gt;0), F$3 * VLOOKUP($A125, Data_All!$A$8:$CA$153, MATCH(F$2, Data_All!$B$2:$CA$2, 0)+1), "")</f>
        <v/>
      </c>
      <c r="G125" s="206" t="str">
        <f>IF(AND($A125&gt;=SYear_O, $A125&lt;=EYear_O, G$3&gt;0), G$3 * VLOOKUP($A125, Data_All!$A$8:$CA$153, MATCH(G$2, Data_All!$B$2:$CA$2, 0)+1), "")</f>
        <v/>
      </c>
      <c r="H125" s="206" t="str">
        <f>IF(AND($A125&gt;=SYear_O, $A125&lt;=EYear_O, H$3&gt;0), H$3 * VLOOKUP($A125, Data_All!$A$8:$CA$153, MATCH(H$2, Data_All!$B$2:$CA$2, 0)+1), "")</f>
        <v/>
      </c>
      <c r="I125" s="206" t="str">
        <f>IF(AND($A125&gt;=SYear_O, $A125&lt;=EYear_O, I$3&gt;0), I$3 * VLOOKUP($A125, Data_All!$A$8:$CA$153, MATCH(I$2, Data_All!$B$2:$CA$2, 0)+1), "")</f>
        <v/>
      </c>
      <c r="J125" s="206" t="str">
        <f>IF(AND($A125&gt;=SYear_O, $A125&lt;=EYear_O, J$3&gt;0), J$3 * VLOOKUP($A125, Data_All!$A$8:$CA$153, MATCH(J$2, Data_All!$B$2:$CA$2, 0)+1), "")</f>
        <v/>
      </c>
      <c r="K125" s="206" t="str">
        <f>IF(AND($A125&gt;=SYear_O, $A125&lt;=EYear_O, K$3&gt;0), K$3 * VLOOKUP($A125, Data_All!$A$8:$CA$153, MATCH(K$2, Data_All!$B$2:$CA$2, 0)+1), "")</f>
        <v/>
      </c>
      <c r="L125" s="206" t="str">
        <f>IF(AND($A125&gt;=SYear_O, $A125&lt;=EYear_O, L$3&gt;0), L$3 * VLOOKUP($A125, Data_All!$A$8:$CA$153, MATCH(L$2, Data_All!$B$2:$CA$2, 0)+1), "")</f>
        <v/>
      </c>
      <c r="M125" s="206" t="str">
        <f>IF(AND($A125&gt;=SYear_O, $A125&lt;=EYear_O, M$3&gt;0), M$3 * VLOOKUP($A125, Data_All!$A$8:$CA$153, MATCH(M$2, Data_All!$B$2:$CA$2, 0)+1), "")</f>
        <v/>
      </c>
      <c r="N125" s="206" t="str">
        <f>IF(AND($A125&gt;=SYear_O, $A125&lt;=EYear_O, N$3&gt;0), N$3 * VLOOKUP($A125, Data_All!$A$8:$CA$153, MATCH(N$2, Data_All!$B$2:$CA$2, 0)+1), "")</f>
        <v/>
      </c>
      <c r="O125" s="206" t="str">
        <f>IF(AND($A125&gt;=SYear_O, $A125&lt;=EYear_O, O$3&gt;0), O$3 * VLOOKUP($A125, Data_All!$A$8:$CA$153, MATCH(O$2, Data_All!$B$2:$CA$2, 0)+1), "")</f>
        <v/>
      </c>
      <c r="P125" s="206" t="str">
        <f>IF(AND($A125&gt;=SYear_O, $A125&lt;=EYear_O, P$3&gt;0), P$3 * VLOOKUP($A125, Data_All!$A$8:$CA$153, MATCH(P$2, Data_All!$B$2:$CA$2, 0)+1), "")</f>
        <v/>
      </c>
      <c r="Q125" s="206" t="str">
        <f>IF(AND($A125&gt;=SYear_O, $A125&lt;=EYear_O, Q$3&gt;0), Q$3 * VLOOKUP($A125, Data_All!$A$8:$CA$153, MATCH(Q$2, Data_All!$B$2:$CA$2, 0)+1), "")</f>
        <v/>
      </c>
      <c r="R125" s="206" t="str">
        <f>IF(AND($A125&gt;=SYear_O, $A125&lt;=EYear_O, R$3&gt;0), R$3 * VLOOKUP($A125, Data_All!$A$8:$CA$153, MATCH(R$2, Data_All!$B$2:$CA$2, 0)+1), "")</f>
        <v/>
      </c>
      <c r="S125" s="206" t="str">
        <f>IF(AND($A125&gt;=SYear_O, $A125&lt;=EYear_O, S$3&gt;0), S$3 * VLOOKUP($A125, Data_All!$A$8:$CA$153, MATCH(S$2, Data_All!$B$2:$CA$2, 0)+1), "")</f>
        <v/>
      </c>
      <c r="T125" s="206" t="str">
        <f>IF(AND($A125&gt;=SYear_O, $A125&lt;=EYear_O, T$3&gt;0), T$3 * VLOOKUP($A125, Data_All!$A$8:$CA$153, MATCH(T$2, Data_All!$B$2:$CA$2, 0)+1), "")</f>
        <v/>
      </c>
      <c r="U125" s="206" t="str">
        <f>IF(AND($A125&gt;=SYear_O, $A125&lt;=EYear_O, U$3&gt;0), U$3 * VLOOKUP($A125, Data_All!$A$8:$CA$153, MATCH(U$2, Data_All!$B$2:$CA$2, 0)+1), "")</f>
        <v/>
      </c>
      <c r="V125" s="206" t="str">
        <f>IF(AND($A125&gt;=SYear_O, $A125&lt;=EYear_O, V$3&gt;0), V$3 * VLOOKUP($A125, Data_All!$A$8:$CA$153, MATCH(V$2, Data_All!$B$2:$CA$2, 0)+1), "")</f>
        <v/>
      </c>
      <c r="W125" s="206" t="str">
        <f>IF(AND($A125&gt;=SYear_O, $A125&lt;=EYear_O, W$3&gt;0), W$3 * VLOOKUP($A125, Data_All!$A$8:$CA$153, MATCH(W$2, Data_All!$B$2:$CA$2, 0)+1), "")</f>
        <v/>
      </c>
      <c r="X125" s="206" t="str">
        <f>IF(AND($A125&gt;=SYear_O, $A125&lt;=EYear_O, X$3&gt;0), X$3 * VLOOKUP($A125, Data_All!$A$8:$CA$153, MATCH(X$2, Data_All!$B$2:$CA$2, 0)+1), "")</f>
        <v/>
      </c>
      <c r="Y125" s="206" t="str">
        <f>IF(AND($A125&gt;=SYear_O, $A125&lt;=EYear_O, Y$3&gt;0), Y$3 * VLOOKUP($A125, Data_All!$A$8:$CA$153, MATCH(Y$2, Data_All!$B$2:$CA$2, 0)+1), "")</f>
        <v/>
      </c>
      <c r="Z125" s="206" t="str">
        <f>IF(AND($A125&gt;=SYear_O, $A125&lt;=EYear_O, Z$3&gt;0), Z$3 * VLOOKUP($A125, Data_All!$A$8:$CA$153, MATCH(Z$2, Data_All!$B$2:$CA$2, 0)+1), "")</f>
        <v/>
      </c>
      <c r="AA125" s="206" t="str">
        <f>IF(AND($A125&gt;=SYear_O, $A125&lt;=EYear_O, AA$3&gt;0), AA$3 * VLOOKUP($A125, Data_All!$A$8:$CA$153, MATCH(AA$2, Data_All!$B$2:$CA$2, 0)+1), "")</f>
        <v/>
      </c>
      <c r="AB125" s="206" t="str">
        <f>IF(AND($A125&gt;=SYear_O, $A125&lt;=EYear_O, AB$3&gt;0), AB$3 * VLOOKUP($A125, Data_All!$A$8:$CA$153, MATCH(AB$2, Data_All!$B$2:$CA$2, 0)+1), "")</f>
        <v/>
      </c>
      <c r="AC125" s="206" t="str">
        <f>IF(AND($A125&gt;=SYear_O, $A125&lt;=EYear_O, AC$3&gt;0), AC$3 * VLOOKUP($A125, Data_All!$A$8:$CA$153, MATCH(AC$2, Data_All!$B$2:$CA$2, 0)+1), "")</f>
        <v/>
      </c>
      <c r="AD125" s="206" t="str">
        <f>IF(AND($A125&gt;=SYear_O, $A125&lt;=EYear_O, AD$3&gt;0), AD$3 * VLOOKUP($A125, Data_All!$A$8:$CA$153, MATCH(AD$2, Data_All!$B$2:$CA$2, 0)+1), "")</f>
        <v/>
      </c>
      <c r="AE125" s="206" t="str">
        <f>IF(AND($A125&gt;=SYear_O, $A125&lt;=EYear_O, AE$3&gt;0), AE$3 * VLOOKUP($A125, Data_All!$A$8:$CA$153, MATCH(AE$2, Data_All!$B$2:$CA$2, 0)+1), "")</f>
        <v/>
      </c>
      <c r="AF125" s="206" t="str">
        <f>IF(AND($A125&gt;=SYear_O, $A125&lt;=EYear_O, AF$3&gt;0), AF$3 * VLOOKUP($A125, Data_All!$A$8:$CA$153, MATCH(AF$2, Data_All!$B$2:$CA$2, 0)+1), "")</f>
        <v/>
      </c>
      <c r="AG125" s="206" t="str">
        <f>IF(AND($A125&gt;=SYear_O, $A125&lt;=EYear_O, AG$3&gt;0), AG$3 * VLOOKUP($A125, Data_All!$A$8:$CA$153, MATCH(AG$2, Data_All!$B$2:$CA$2, 0)+1), "")</f>
        <v/>
      </c>
      <c r="AH125" s="206" t="str">
        <f>IF(AND($A125&gt;=SYear_O, $A125&lt;=EYear_O, AH$3&gt;0), AH$3 * VLOOKUP($A125, Data_All!$A$8:$CA$153, MATCH(AH$2, Data_All!$B$2:$CA$2, 0)+1), "")</f>
        <v/>
      </c>
      <c r="AI125" s="206" t="str">
        <f>IF(AND($A125&gt;=SYear_O, $A125&lt;=EYear_O, AI$3&gt;0), AI$3 * VLOOKUP($A125, Data_All!$A$8:$CA$153, MATCH(AI$2, Data_All!$B$2:$CA$2, 0)+1), "")</f>
        <v/>
      </c>
      <c r="AJ125" s="206" t="str">
        <f>IF(AND($A125&gt;=SYear_O, $A125&lt;=EYear_O, AJ$3&gt;0), AJ$3 * VLOOKUP($A125, Data_All!$A$8:$CA$153, MATCH(AJ$2, Data_All!$B$2:$CA$2, 0)+1), "")</f>
        <v/>
      </c>
      <c r="AK125" s="206" t="str">
        <f>IF(AND($A125&gt;=SYear_O, $A125&lt;=EYear_O, AK$3&gt;0), AK$3 * VLOOKUP($A125, Data_All!$A$8:$CA$153, MATCH(AK$2, Data_All!$B$2:$CA$2, 0)+1), "")</f>
        <v/>
      </c>
      <c r="AL125" s="206" t="str">
        <f>IF(AND($A125&gt;=SYear_O, $A125&lt;=EYear_O, AL$3&gt;0), AL$3 * VLOOKUP($A125, Data_All!$A$8:$CA$153, MATCH(AL$2, Data_All!$B$2:$CA$2, 0)+1), "")</f>
        <v/>
      </c>
      <c r="AM125" s="206" t="str">
        <f>IF(AND($A125&gt;=SYear_O, $A125&lt;=EYear_O, AM$3&gt;0), AM$3 * VLOOKUP($A125, Data_All!$A$8:$CA$153, MATCH(AM$2, Data_All!$B$2:$CA$2, 0)+1), "")</f>
        <v/>
      </c>
      <c r="AN125" s="206" t="str">
        <f>IF(AND($A125&gt;=SYear_O, $A125&lt;=EYear_O, AN$3&gt;0), AN$3 * VLOOKUP($A125, Data_All!$A$8:$CA$153, MATCH(AN$2, Data_All!$B$2:$CA$2, 0)+1), "")</f>
        <v/>
      </c>
      <c r="AO125" s="206" t="str">
        <f>IF(AND($A125&gt;=SYear_O, $A125&lt;=EYear_O, AO$3&gt;0), AO$3 * VLOOKUP($A125, Data_All!$A$8:$CA$153, MATCH(AO$2, Data_All!$B$2:$CA$2, 0)+1), "")</f>
        <v/>
      </c>
      <c r="AP125" s="206" t="str">
        <f>IF(AND($A125&gt;=SYear_O, $A125&lt;=EYear_O, AP$3&gt;0), AP$3 * VLOOKUP($A125, Data_All!$A$8:$CA$153, MATCH(AP$2, Data_All!$B$2:$CA$2, 0)+1), "")</f>
        <v/>
      </c>
      <c r="AQ125" s="206" t="str">
        <f>IF(AND($A125&gt;=SYear_O, $A125&lt;=EYear_O, AQ$3&gt;0), AQ$3 * VLOOKUP($A125, Data_All!$A$8:$CA$153, MATCH(AQ$2, Data_All!$B$2:$CA$2, 0)+1), "")</f>
        <v/>
      </c>
      <c r="AR125" s="206" t="str">
        <f>IF(AND($A125&gt;=SYear_O, $A125&lt;=EYear_O, AR$3&gt;0), AR$3 * VLOOKUP($A125, Data_All!$A$8:$CA$153, MATCH(AR$2, Data_All!$B$2:$CA$2, 0)+1), "")</f>
        <v/>
      </c>
      <c r="AS125" s="206" t="str">
        <f>IF(AND($A125&gt;=SYear_O, $A125&lt;=EYear_O, AS$3&gt;0), AS$3 * VLOOKUP($A125, Data_All!$A$8:$CA$153, MATCH(AS$2, Data_All!$B$2:$CA$2, 0)+1), "")</f>
        <v/>
      </c>
      <c r="AT125" s="206" t="str">
        <f>IF(AND($A125&gt;=SYear_O, $A125&lt;=EYear_O, AT$3&gt;0), AT$3 * VLOOKUP($A125, Data_All!$A$8:$CA$153, MATCH(AT$2, Data_All!$B$2:$CA$2, 0)+1), "")</f>
        <v/>
      </c>
      <c r="AU125" s="206" t="str">
        <f>IF(AND($A125&gt;=SYear_O, $A125&lt;=EYear_O, AU$3&gt;0), AU$3 * VLOOKUP($A125, Data_All!$A$8:$CA$153, MATCH(AU$2, Data_All!$B$2:$CA$2, 0)+1), "")</f>
        <v/>
      </c>
      <c r="AV125" s="206" t="str">
        <f>IF(AND($A125&gt;=SYear_O, $A125&lt;=EYear_O, AV$3&gt;0), AV$3 * VLOOKUP($A125, Data_All!$A$8:$CA$153, MATCH(AV$2, Data_All!$B$2:$CA$2, 0)+1), "")</f>
        <v/>
      </c>
      <c r="AW125" s="206" t="str">
        <f>IF(AND($A125&gt;=SYear_O, $A125&lt;=EYear_O, AW$3&gt;0), AW$3 * VLOOKUP($A125, Data_All!$A$8:$CA$153, MATCH(AW$2, Data_All!$B$2:$CA$2, 0)+1), "")</f>
        <v/>
      </c>
      <c r="AX125" s="206" t="str">
        <f>IF(AND($A125&gt;=SYear_O, $A125&lt;=EYear_O, AX$3&gt;0), AX$3 * VLOOKUP($A125, Data_All!$A$8:$CA$153, MATCH(AX$2, Data_All!$B$2:$CA$2, 0)+1), "")</f>
        <v/>
      </c>
      <c r="AY125" s="206" t="str">
        <f>IF(AND($A125&gt;=SYear_O, $A125&lt;=EYear_O, AY$3&gt;0), AY$3 * VLOOKUP($A125, Data_All!$A$8:$CA$153, MATCH(AY$2, Data_All!$B$2:$CA$2, 0)+1), "")</f>
        <v/>
      </c>
      <c r="AZ125" s="206" t="str">
        <f>IF(AND($A125&gt;=SYear_O, $A125&lt;=EYear_O, AZ$3&gt;0), AZ$3 * VLOOKUP($A125, Data_All!$A$8:$CA$153, MATCH(AZ$2, Data_All!$B$2:$CA$2, 0)+1), "")</f>
        <v/>
      </c>
      <c r="BA125" s="206" t="str">
        <f>IF(AND($A125&gt;=SYear_O, $A125&lt;=EYear_O, BA$3&gt;0), BA$3 * VLOOKUP($A125, Data_All!$A$8:$CA$153, MATCH(BA$2, Data_All!$B$2:$CA$2, 0)+1), "")</f>
        <v/>
      </c>
      <c r="BB125" s="206" t="str">
        <f>IF(AND($A125&gt;=SYear_O, $A125&lt;=EYear_O, BB$3&gt;0), BB$3 * VLOOKUP($A125, Data_All!$A$8:$CA$153, MATCH(BB$2, Data_All!$B$2:$CA$2, 0)+1), "")</f>
        <v/>
      </c>
      <c r="BC125" s="206" t="str">
        <f>IF(AND($A125&gt;=SYear_O, $A125&lt;=EYear_O, BC$3&gt;0), BC$3 * VLOOKUP($A125, Data_All!$A$8:$CA$153, MATCH(BC$2, Data_All!$B$2:$CA$2, 0)+1), "")</f>
        <v/>
      </c>
      <c r="BD125" s="206" t="str">
        <f>IF(AND($A125&gt;=SYear_O, $A125&lt;=EYear_O, BD$3&gt;0), BD$3 * VLOOKUP($A125, Data_All!$A$8:$CA$153, MATCH(BD$2, Data_All!$B$2:$CA$2, 0)+1), "")</f>
        <v/>
      </c>
      <c r="BE125" s="206" t="str">
        <f>IF(AND($A125&gt;=SYear_O, $A125&lt;=EYear_O, BE$3&gt;0), BE$3 * VLOOKUP($A125, Data_All!$A$8:$CA$153, MATCH(BE$2, Data_All!$B$2:$CA$2, 0)+1), "")</f>
        <v/>
      </c>
      <c r="BF125" s="206" t="str">
        <f>IF(AND($A125&gt;=SYear_O, $A125&lt;=EYear_O, BF$3&gt;0), BF$3 * VLOOKUP($A125, Data_All!$A$8:$CA$153, MATCH(BF$2, Data_All!$B$2:$CA$2, 0)+1), "")</f>
        <v/>
      </c>
      <c r="BG125" s="206" t="str">
        <f>IF(AND($A125&gt;=SYear_O, $A125&lt;=EYear_O, BG$3&gt;0), BG$3 * VLOOKUP($A125, Data_All!$A$8:$CA$153, MATCH(BG$2, Data_All!$B$2:$CA$2, 0)+1), "")</f>
        <v/>
      </c>
      <c r="BH125" s="206" t="str">
        <f>IF(AND($A125&gt;=SYear_O, $A125&lt;=EYear_O, BH$3&gt;0), BH$3 * VLOOKUP($A125, Data_All!$A$8:$CA$153, MATCH(BH$2, Data_All!$B$2:$CA$2, 0)+1), "")</f>
        <v/>
      </c>
      <c r="BI125" s="206" t="str">
        <f>IF(AND($A125&gt;=SYear_O, $A125&lt;=EYear_O, BI$3&gt;0), BI$3 * VLOOKUP($A125, Data_All!$A$8:$CA$153, MATCH(BI$2, Data_All!$B$2:$CA$2, 0)+1), "")</f>
        <v/>
      </c>
      <c r="BJ125" s="206" t="str">
        <f>IF(AND($A125&gt;=SYear_O, $A125&lt;=EYear_O, BJ$3&gt;0), BJ$3 * VLOOKUP($A125, Data_All!$A$8:$CA$153, MATCH(BJ$2, Data_All!$B$2:$CA$2, 0)+1), "")</f>
        <v/>
      </c>
      <c r="BK125" s="206" t="str">
        <f>IF(AND($A125&gt;=SYear_O, $A125&lt;=EYear_O, BK$3&gt;0), BK$3 * VLOOKUP($A125, Data_All!$A$8:$CA$153, MATCH(BK$2, Data_All!$B$2:$CA$2, 0)+1), "")</f>
        <v/>
      </c>
      <c r="BL125" s="206" t="str">
        <f>IF(AND($A125&gt;=SYear_O, $A125&lt;=EYear_O, BL$3&gt;0), BL$3 * VLOOKUP($A125, Data_All!$A$8:$CA$153, MATCH(BL$2, Data_All!$B$2:$CA$2, 0)+1), "")</f>
        <v/>
      </c>
      <c r="BM125" s="206" t="str">
        <f>IF(AND($A125&gt;=SYear_O, $A125&lt;=EYear_O, BM$3&gt;0), BM$3 * VLOOKUP($A125, Data_All!$A$8:$CA$153, MATCH(BM$2, Data_All!$B$2:$CA$2, 0)+1), "")</f>
        <v/>
      </c>
      <c r="BN125" s="206" t="str">
        <f>IF(AND($A125&gt;=SYear_O, $A125&lt;=EYear_O, BN$3&gt;0), BN$3 * VLOOKUP($A125, Data_All!$A$8:$CA$153, MATCH(BN$2, Data_All!$B$2:$CA$2, 0)+1), "")</f>
        <v/>
      </c>
      <c r="BO125" s="206" t="str">
        <f>IF(AND($A125&gt;=SYear_O, $A125&lt;=EYear_O, BO$3&gt;0), BO$3 * VLOOKUP($A125, Data_All!$A$8:$CA$153, MATCH(BO$2, Data_All!$B$2:$CA$2, 0)+1), "")</f>
        <v/>
      </c>
      <c r="BP125" s="206" t="str">
        <f>IF(AND($A125&gt;=SYear_O, $A125&lt;=EYear_O, BP$3&gt;0), BP$3 * VLOOKUP($A125, Data_All!$A$8:$CA$153, MATCH(BP$2, Data_All!$B$2:$CA$2, 0)+1), "")</f>
        <v/>
      </c>
      <c r="BQ125" s="206" t="str">
        <f>IF(AND($A125&gt;=SYear_O, $A125&lt;=EYear_O, BQ$3&gt;0), BQ$3 * VLOOKUP($A125, Data_All!$A$8:$CA$153, MATCH(BQ$2, Data_All!$B$2:$CA$2, 0)+1), "")</f>
        <v/>
      </c>
      <c r="BR125" s="206" t="str">
        <f>IF(AND($A125&gt;=SYear_O, $A125&lt;=EYear_O, BR$3&gt;0), BR$3 * VLOOKUP($A125, Data_All!$A$8:$CA$153, MATCH(BR$2, Data_All!$B$2:$CA$2, 0)+1), "")</f>
        <v/>
      </c>
      <c r="BS125" s="206" t="str">
        <f>IF(AND($A125&gt;=SYear_O, $A125&lt;=EYear_O, BS$3&gt;0), BS$3 * VLOOKUP($A125, Data_All!$A$8:$CA$153, MATCH(BS$2, Data_All!$B$2:$CA$2, 0)+1), "")</f>
        <v/>
      </c>
      <c r="BT125" s="206" t="str">
        <f>IF(AND($A125&gt;=SYear_O, $A125&lt;=EYear_O, BT$3&gt;0), BT$3 * VLOOKUP($A125, Data_All!$A$8:$CA$153, MATCH(BT$2, Data_All!$B$2:$CA$2, 0)+1), "")</f>
        <v/>
      </c>
      <c r="BU125" s="206" t="str">
        <f>IF(AND($A125&gt;=SYear_O, $A125&lt;=EYear_O, BU$3&gt;0), BU$3 * VLOOKUP($A125, Data_All!$A$8:$CA$153, MATCH(BU$2, Data_All!$B$2:$CA$2, 0)+1), "")</f>
        <v/>
      </c>
      <c r="BV125" s="206" t="str">
        <f>IF(AND($A125&gt;=SYear_O, $A125&lt;=EYear_O, BV$3&gt;0), BV$3 * VLOOKUP($A125, Data_All!$A$8:$CA$153, MATCH(BV$2, Data_All!$B$2:$CA$2, 0)+1), "")</f>
        <v/>
      </c>
      <c r="BW125" s="206" t="str">
        <f>IF(AND($A125&gt;=SYear_O, $A125&lt;=EYear_O, BW$3&gt;0), BW$3 * VLOOKUP($A125, Data_All!$A$8:$CA$153, MATCH(BW$2, Data_All!$B$2:$CA$2, 0)+1), "")</f>
        <v/>
      </c>
      <c r="BX125" s="206">
        <f>IF(AND($A125&gt;=SYear_O, $A125&lt;=EYear_O, BX$3&gt;0), BX$3 * VLOOKUP($A125, Data_All!$A$8:$CA$153, MATCH(BX$2, Data_All!$B$2:$CA$2, 0)+1), "")</f>
        <v>13.792789320626474</v>
      </c>
      <c r="BY125" s="206">
        <f>IF(AND($A125&gt;=SYear_O, $A125&lt;=EYear_O, BY$3&gt;0), BY$3 * VLOOKUP($A125, Data_All!$A$8:$CA$153, MATCH(BY$2, Data_All!$B$2:$CA$2, 0)+1), "")</f>
        <v>5.2460952709916597</v>
      </c>
      <c r="BZ125" s="206" t="str">
        <f>IF(AND($A125&gt;=SYear_O, $A125&lt;=EYear_O, BZ$3&gt;0), BZ$3 * VLOOKUP($A125, Data_All!$A$8:$CA$153, MATCH(BZ$2, Data_All!$B$2:$CA$2, 0)+1), "")</f>
        <v/>
      </c>
      <c r="CA125" s="565">
        <f t="shared" si="52"/>
        <v>19.038884591618135</v>
      </c>
      <c r="CB125" s="427">
        <f t="shared" si="53"/>
        <v>47666772.247766748</v>
      </c>
      <c r="CC125" s="565">
        <f>IF(AND($A125&gt;=SYear_O,$A125&lt;=EYear_O),(CA125-Data_All!CA126)/(1+Data_All!CA126%),"")</f>
        <v>13.752463071292503</v>
      </c>
      <c r="CD125" s="436">
        <f t="shared" si="54"/>
        <v>4711511.1575675802</v>
      </c>
      <c r="CE125" s="438">
        <f t="shared" si="55"/>
        <v>4323.3399573367815</v>
      </c>
      <c r="CF125" s="438">
        <f>IF(AND($A125&gt;=SYear_O,$A125&lt;=EYear_O),MAX($CE$7:CE125),"")</f>
        <v>4323.3399573367815</v>
      </c>
      <c r="CG125" s="209">
        <f t="shared" si="56"/>
        <v>0</v>
      </c>
      <c r="CI125" s="143">
        <f>IF(AND($A125&gt;=SYear_O,$A125&lt;=EYear_O),Data_All!V126,"")</f>
        <v>8.8699999999999992</v>
      </c>
      <c r="CJ125" s="143">
        <f>IF(AND($A125&gt;=SYear_O,$A125&lt;=EYear_O),Data_All!CA126,"")</f>
        <v>4.647302904564321</v>
      </c>
      <c r="CK125" s="143">
        <f t="shared" si="57"/>
        <v>4.035170499603483</v>
      </c>
      <c r="CN125" s="61">
        <f t="shared" si="58"/>
        <v>0.19038884591618133</v>
      </c>
      <c r="CO125" s="61">
        <f t="shared" si="59"/>
        <v>0.15341832887062368</v>
      </c>
      <c r="CP125" s="61">
        <f t="shared" si="60"/>
        <v>0.13006917590519596</v>
      </c>
      <c r="CQ125" s="61">
        <f t="shared" si="61"/>
        <v>0.15024105771327712</v>
      </c>
      <c r="CR125" s="61">
        <f t="shared" si="62"/>
        <v>0.10812415927970953</v>
      </c>
      <c r="CU125" s="61">
        <f t="shared" si="63"/>
        <v>0.13752463071292498</v>
      </c>
      <c r="CV125" s="61">
        <f t="shared" si="64"/>
        <v>0.10270948123917156</v>
      </c>
      <c r="CW125" s="61">
        <f t="shared" si="65"/>
        <v>8.7804707062472342E-2</v>
      </c>
      <c r="CX125" s="61">
        <f t="shared" si="66"/>
        <v>0.11539752108932566</v>
      </c>
      <c r="CY125" s="61">
        <f t="shared" si="67"/>
        <v>7.7174021574760054E-2</v>
      </c>
    </row>
    <row r="126" spans="1:103">
      <c r="A126" s="204">
        <f t="shared" si="51"/>
        <v>1990</v>
      </c>
      <c r="B126" s="206" t="str">
        <f>IF(AND($A126&gt;=SYear_O, $A126&lt;=EYear_O, B$3&gt;0), B$3 * VLOOKUP($A126, Data_All!$A$8:$CA$153, MATCH(B$2, Data_All!$B$2:$CA$2, 0)+1), "")</f>
        <v/>
      </c>
      <c r="C126" s="206" t="str">
        <f>IF(AND($A126&gt;=SYear_O, $A126&lt;=EYear_O, C$3&gt;0), C$3 * VLOOKUP($A126, Data_All!$A$8:$CA$153, MATCH(C$2, Data_All!$B$2:$CA$2, 0)+1), "")</f>
        <v/>
      </c>
      <c r="D126" s="206" t="str">
        <f>IF(AND($A126&gt;=SYear_O, $A126&lt;=EYear_O, D$3&gt;0), D$3 * VLOOKUP($A126, Data_All!$A$8:$CA$153, MATCH(D$2, Data_All!$B$2:$CA$2, 0)+1), "")</f>
        <v/>
      </c>
      <c r="E126" s="206" t="str">
        <f>IF(AND($A126&gt;=SYear_O, $A126&lt;=EYear_O, E$3&gt;0), E$3 * VLOOKUP($A126, Data_All!$A$8:$CA$153, MATCH(E$2, Data_All!$B$2:$CA$2, 0)+1), "")</f>
        <v/>
      </c>
      <c r="F126" s="206" t="str">
        <f>IF(AND($A126&gt;=SYear_O, $A126&lt;=EYear_O, F$3&gt;0), F$3 * VLOOKUP($A126, Data_All!$A$8:$CA$153, MATCH(F$2, Data_All!$B$2:$CA$2, 0)+1), "")</f>
        <v/>
      </c>
      <c r="G126" s="206" t="str">
        <f>IF(AND($A126&gt;=SYear_O, $A126&lt;=EYear_O, G$3&gt;0), G$3 * VLOOKUP($A126, Data_All!$A$8:$CA$153, MATCH(G$2, Data_All!$B$2:$CA$2, 0)+1), "")</f>
        <v/>
      </c>
      <c r="H126" s="206" t="str">
        <f>IF(AND($A126&gt;=SYear_O, $A126&lt;=EYear_O, H$3&gt;0), H$3 * VLOOKUP($A126, Data_All!$A$8:$CA$153, MATCH(H$2, Data_All!$B$2:$CA$2, 0)+1), "")</f>
        <v/>
      </c>
      <c r="I126" s="206" t="str">
        <f>IF(AND($A126&gt;=SYear_O, $A126&lt;=EYear_O, I$3&gt;0), I$3 * VLOOKUP($A126, Data_All!$A$8:$CA$153, MATCH(I$2, Data_All!$B$2:$CA$2, 0)+1), "")</f>
        <v/>
      </c>
      <c r="J126" s="206" t="str">
        <f>IF(AND($A126&gt;=SYear_O, $A126&lt;=EYear_O, J$3&gt;0), J$3 * VLOOKUP($A126, Data_All!$A$8:$CA$153, MATCH(J$2, Data_All!$B$2:$CA$2, 0)+1), "")</f>
        <v/>
      </c>
      <c r="K126" s="206" t="str">
        <f>IF(AND($A126&gt;=SYear_O, $A126&lt;=EYear_O, K$3&gt;0), K$3 * VLOOKUP($A126, Data_All!$A$8:$CA$153, MATCH(K$2, Data_All!$B$2:$CA$2, 0)+1), "")</f>
        <v/>
      </c>
      <c r="L126" s="206" t="str">
        <f>IF(AND($A126&gt;=SYear_O, $A126&lt;=EYear_O, L$3&gt;0), L$3 * VLOOKUP($A126, Data_All!$A$8:$CA$153, MATCH(L$2, Data_All!$B$2:$CA$2, 0)+1), "")</f>
        <v/>
      </c>
      <c r="M126" s="206" t="str">
        <f>IF(AND($A126&gt;=SYear_O, $A126&lt;=EYear_O, M$3&gt;0), M$3 * VLOOKUP($A126, Data_All!$A$8:$CA$153, MATCH(M$2, Data_All!$B$2:$CA$2, 0)+1), "")</f>
        <v/>
      </c>
      <c r="N126" s="206" t="str">
        <f>IF(AND($A126&gt;=SYear_O, $A126&lt;=EYear_O, N$3&gt;0), N$3 * VLOOKUP($A126, Data_All!$A$8:$CA$153, MATCH(N$2, Data_All!$B$2:$CA$2, 0)+1), "")</f>
        <v/>
      </c>
      <c r="O126" s="206" t="str">
        <f>IF(AND($A126&gt;=SYear_O, $A126&lt;=EYear_O, O$3&gt;0), O$3 * VLOOKUP($A126, Data_All!$A$8:$CA$153, MATCH(O$2, Data_All!$B$2:$CA$2, 0)+1), "")</f>
        <v/>
      </c>
      <c r="P126" s="206" t="str">
        <f>IF(AND($A126&gt;=SYear_O, $A126&lt;=EYear_O, P$3&gt;0), P$3 * VLOOKUP($A126, Data_All!$A$8:$CA$153, MATCH(P$2, Data_All!$B$2:$CA$2, 0)+1), "")</f>
        <v/>
      </c>
      <c r="Q126" s="206" t="str">
        <f>IF(AND($A126&gt;=SYear_O, $A126&lt;=EYear_O, Q$3&gt;0), Q$3 * VLOOKUP($A126, Data_All!$A$8:$CA$153, MATCH(Q$2, Data_All!$B$2:$CA$2, 0)+1), "")</f>
        <v/>
      </c>
      <c r="R126" s="206" t="str">
        <f>IF(AND($A126&gt;=SYear_O, $A126&lt;=EYear_O, R$3&gt;0), R$3 * VLOOKUP($A126, Data_All!$A$8:$CA$153, MATCH(R$2, Data_All!$B$2:$CA$2, 0)+1), "")</f>
        <v/>
      </c>
      <c r="S126" s="206" t="str">
        <f>IF(AND($A126&gt;=SYear_O, $A126&lt;=EYear_O, S$3&gt;0), S$3 * VLOOKUP($A126, Data_All!$A$8:$CA$153, MATCH(S$2, Data_All!$B$2:$CA$2, 0)+1), "")</f>
        <v/>
      </c>
      <c r="T126" s="206" t="str">
        <f>IF(AND($A126&gt;=SYear_O, $A126&lt;=EYear_O, T$3&gt;0), T$3 * VLOOKUP($A126, Data_All!$A$8:$CA$153, MATCH(T$2, Data_All!$B$2:$CA$2, 0)+1), "")</f>
        <v/>
      </c>
      <c r="U126" s="206" t="str">
        <f>IF(AND($A126&gt;=SYear_O, $A126&lt;=EYear_O, U$3&gt;0), U$3 * VLOOKUP($A126, Data_All!$A$8:$CA$153, MATCH(U$2, Data_All!$B$2:$CA$2, 0)+1), "")</f>
        <v/>
      </c>
      <c r="V126" s="206" t="str">
        <f>IF(AND($A126&gt;=SYear_O, $A126&lt;=EYear_O, V$3&gt;0), V$3 * VLOOKUP($A126, Data_All!$A$8:$CA$153, MATCH(V$2, Data_All!$B$2:$CA$2, 0)+1), "")</f>
        <v/>
      </c>
      <c r="W126" s="206" t="str">
        <f>IF(AND($A126&gt;=SYear_O, $A126&lt;=EYear_O, W$3&gt;0), W$3 * VLOOKUP($A126, Data_All!$A$8:$CA$153, MATCH(W$2, Data_All!$B$2:$CA$2, 0)+1), "")</f>
        <v/>
      </c>
      <c r="X126" s="206" t="str">
        <f>IF(AND($A126&gt;=SYear_O, $A126&lt;=EYear_O, X$3&gt;0), X$3 * VLOOKUP($A126, Data_All!$A$8:$CA$153, MATCH(X$2, Data_All!$B$2:$CA$2, 0)+1), "")</f>
        <v/>
      </c>
      <c r="Y126" s="206" t="str">
        <f>IF(AND($A126&gt;=SYear_O, $A126&lt;=EYear_O, Y$3&gt;0), Y$3 * VLOOKUP($A126, Data_All!$A$8:$CA$153, MATCH(Y$2, Data_All!$B$2:$CA$2, 0)+1), "")</f>
        <v/>
      </c>
      <c r="Z126" s="206" t="str">
        <f>IF(AND($A126&gt;=SYear_O, $A126&lt;=EYear_O, Z$3&gt;0), Z$3 * VLOOKUP($A126, Data_All!$A$8:$CA$153, MATCH(Z$2, Data_All!$B$2:$CA$2, 0)+1), "")</f>
        <v/>
      </c>
      <c r="AA126" s="206" t="str">
        <f>IF(AND($A126&gt;=SYear_O, $A126&lt;=EYear_O, AA$3&gt;0), AA$3 * VLOOKUP($A126, Data_All!$A$8:$CA$153, MATCH(AA$2, Data_All!$B$2:$CA$2, 0)+1), "")</f>
        <v/>
      </c>
      <c r="AB126" s="206" t="str">
        <f>IF(AND($A126&gt;=SYear_O, $A126&lt;=EYear_O, AB$3&gt;0), AB$3 * VLOOKUP($A126, Data_All!$A$8:$CA$153, MATCH(AB$2, Data_All!$B$2:$CA$2, 0)+1), "")</f>
        <v/>
      </c>
      <c r="AC126" s="206" t="str">
        <f>IF(AND($A126&gt;=SYear_O, $A126&lt;=EYear_O, AC$3&gt;0), AC$3 * VLOOKUP($A126, Data_All!$A$8:$CA$153, MATCH(AC$2, Data_All!$B$2:$CA$2, 0)+1), "")</f>
        <v/>
      </c>
      <c r="AD126" s="206" t="str">
        <f>IF(AND($A126&gt;=SYear_O, $A126&lt;=EYear_O, AD$3&gt;0), AD$3 * VLOOKUP($A126, Data_All!$A$8:$CA$153, MATCH(AD$2, Data_All!$B$2:$CA$2, 0)+1), "")</f>
        <v/>
      </c>
      <c r="AE126" s="206" t="str">
        <f>IF(AND($A126&gt;=SYear_O, $A126&lt;=EYear_O, AE$3&gt;0), AE$3 * VLOOKUP($A126, Data_All!$A$8:$CA$153, MATCH(AE$2, Data_All!$B$2:$CA$2, 0)+1), "")</f>
        <v/>
      </c>
      <c r="AF126" s="206" t="str">
        <f>IF(AND($A126&gt;=SYear_O, $A126&lt;=EYear_O, AF$3&gt;0), AF$3 * VLOOKUP($A126, Data_All!$A$8:$CA$153, MATCH(AF$2, Data_All!$B$2:$CA$2, 0)+1), "")</f>
        <v/>
      </c>
      <c r="AG126" s="206" t="str">
        <f>IF(AND($A126&gt;=SYear_O, $A126&lt;=EYear_O, AG$3&gt;0), AG$3 * VLOOKUP($A126, Data_All!$A$8:$CA$153, MATCH(AG$2, Data_All!$B$2:$CA$2, 0)+1), "")</f>
        <v/>
      </c>
      <c r="AH126" s="206" t="str">
        <f>IF(AND($A126&gt;=SYear_O, $A126&lt;=EYear_O, AH$3&gt;0), AH$3 * VLOOKUP($A126, Data_All!$A$8:$CA$153, MATCH(AH$2, Data_All!$B$2:$CA$2, 0)+1), "")</f>
        <v/>
      </c>
      <c r="AI126" s="206" t="str">
        <f>IF(AND($A126&gt;=SYear_O, $A126&lt;=EYear_O, AI$3&gt;0), AI$3 * VLOOKUP($A126, Data_All!$A$8:$CA$153, MATCH(AI$2, Data_All!$B$2:$CA$2, 0)+1), "")</f>
        <v/>
      </c>
      <c r="AJ126" s="206" t="str">
        <f>IF(AND($A126&gt;=SYear_O, $A126&lt;=EYear_O, AJ$3&gt;0), AJ$3 * VLOOKUP($A126, Data_All!$A$8:$CA$153, MATCH(AJ$2, Data_All!$B$2:$CA$2, 0)+1), "")</f>
        <v/>
      </c>
      <c r="AK126" s="206" t="str">
        <f>IF(AND($A126&gt;=SYear_O, $A126&lt;=EYear_O, AK$3&gt;0), AK$3 * VLOOKUP($A126, Data_All!$A$8:$CA$153, MATCH(AK$2, Data_All!$B$2:$CA$2, 0)+1), "")</f>
        <v/>
      </c>
      <c r="AL126" s="206" t="str">
        <f>IF(AND($A126&gt;=SYear_O, $A126&lt;=EYear_O, AL$3&gt;0), AL$3 * VLOOKUP($A126, Data_All!$A$8:$CA$153, MATCH(AL$2, Data_All!$B$2:$CA$2, 0)+1), "")</f>
        <v/>
      </c>
      <c r="AM126" s="206" t="str">
        <f>IF(AND($A126&gt;=SYear_O, $A126&lt;=EYear_O, AM$3&gt;0), AM$3 * VLOOKUP($A126, Data_All!$A$8:$CA$153, MATCH(AM$2, Data_All!$B$2:$CA$2, 0)+1), "")</f>
        <v/>
      </c>
      <c r="AN126" s="206" t="str">
        <f>IF(AND($A126&gt;=SYear_O, $A126&lt;=EYear_O, AN$3&gt;0), AN$3 * VLOOKUP($A126, Data_All!$A$8:$CA$153, MATCH(AN$2, Data_All!$B$2:$CA$2, 0)+1), "")</f>
        <v/>
      </c>
      <c r="AO126" s="206" t="str">
        <f>IF(AND($A126&gt;=SYear_O, $A126&lt;=EYear_O, AO$3&gt;0), AO$3 * VLOOKUP($A126, Data_All!$A$8:$CA$153, MATCH(AO$2, Data_All!$B$2:$CA$2, 0)+1), "")</f>
        <v/>
      </c>
      <c r="AP126" s="206" t="str">
        <f>IF(AND($A126&gt;=SYear_O, $A126&lt;=EYear_O, AP$3&gt;0), AP$3 * VLOOKUP($A126, Data_All!$A$8:$CA$153, MATCH(AP$2, Data_All!$B$2:$CA$2, 0)+1), "")</f>
        <v/>
      </c>
      <c r="AQ126" s="206" t="str">
        <f>IF(AND($A126&gt;=SYear_O, $A126&lt;=EYear_O, AQ$3&gt;0), AQ$3 * VLOOKUP($A126, Data_All!$A$8:$CA$153, MATCH(AQ$2, Data_All!$B$2:$CA$2, 0)+1), "")</f>
        <v/>
      </c>
      <c r="AR126" s="206" t="str">
        <f>IF(AND($A126&gt;=SYear_O, $A126&lt;=EYear_O, AR$3&gt;0), AR$3 * VLOOKUP($A126, Data_All!$A$8:$CA$153, MATCH(AR$2, Data_All!$B$2:$CA$2, 0)+1), "")</f>
        <v/>
      </c>
      <c r="AS126" s="206" t="str">
        <f>IF(AND($A126&gt;=SYear_O, $A126&lt;=EYear_O, AS$3&gt;0), AS$3 * VLOOKUP($A126, Data_All!$A$8:$CA$153, MATCH(AS$2, Data_All!$B$2:$CA$2, 0)+1), "")</f>
        <v/>
      </c>
      <c r="AT126" s="206" t="str">
        <f>IF(AND($A126&gt;=SYear_O, $A126&lt;=EYear_O, AT$3&gt;0), AT$3 * VLOOKUP($A126, Data_All!$A$8:$CA$153, MATCH(AT$2, Data_All!$B$2:$CA$2, 0)+1), "")</f>
        <v/>
      </c>
      <c r="AU126" s="206" t="str">
        <f>IF(AND($A126&gt;=SYear_O, $A126&lt;=EYear_O, AU$3&gt;0), AU$3 * VLOOKUP($A126, Data_All!$A$8:$CA$153, MATCH(AU$2, Data_All!$B$2:$CA$2, 0)+1), "")</f>
        <v/>
      </c>
      <c r="AV126" s="206" t="str">
        <f>IF(AND($A126&gt;=SYear_O, $A126&lt;=EYear_O, AV$3&gt;0), AV$3 * VLOOKUP($A126, Data_All!$A$8:$CA$153, MATCH(AV$2, Data_All!$B$2:$CA$2, 0)+1), "")</f>
        <v/>
      </c>
      <c r="AW126" s="206" t="str">
        <f>IF(AND($A126&gt;=SYear_O, $A126&lt;=EYear_O, AW$3&gt;0), AW$3 * VLOOKUP($A126, Data_All!$A$8:$CA$153, MATCH(AW$2, Data_All!$B$2:$CA$2, 0)+1), "")</f>
        <v/>
      </c>
      <c r="AX126" s="206" t="str">
        <f>IF(AND($A126&gt;=SYear_O, $A126&lt;=EYear_O, AX$3&gt;0), AX$3 * VLOOKUP($A126, Data_All!$A$8:$CA$153, MATCH(AX$2, Data_All!$B$2:$CA$2, 0)+1), "")</f>
        <v/>
      </c>
      <c r="AY126" s="206" t="str">
        <f>IF(AND($A126&gt;=SYear_O, $A126&lt;=EYear_O, AY$3&gt;0), AY$3 * VLOOKUP($A126, Data_All!$A$8:$CA$153, MATCH(AY$2, Data_All!$B$2:$CA$2, 0)+1), "")</f>
        <v/>
      </c>
      <c r="AZ126" s="206" t="str">
        <f>IF(AND($A126&gt;=SYear_O, $A126&lt;=EYear_O, AZ$3&gt;0), AZ$3 * VLOOKUP($A126, Data_All!$A$8:$CA$153, MATCH(AZ$2, Data_All!$B$2:$CA$2, 0)+1), "")</f>
        <v/>
      </c>
      <c r="BA126" s="206" t="str">
        <f>IF(AND($A126&gt;=SYear_O, $A126&lt;=EYear_O, BA$3&gt;0), BA$3 * VLOOKUP($A126, Data_All!$A$8:$CA$153, MATCH(BA$2, Data_All!$B$2:$CA$2, 0)+1), "")</f>
        <v/>
      </c>
      <c r="BB126" s="206" t="str">
        <f>IF(AND($A126&gt;=SYear_O, $A126&lt;=EYear_O, BB$3&gt;0), BB$3 * VLOOKUP($A126, Data_All!$A$8:$CA$153, MATCH(BB$2, Data_All!$B$2:$CA$2, 0)+1), "")</f>
        <v/>
      </c>
      <c r="BC126" s="206" t="str">
        <f>IF(AND($A126&gt;=SYear_O, $A126&lt;=EYear_O, BC$3&gt;0), BC$3 * VLOOKUP($A126, Data_All!$A$8:$CA$153, MATCH(BC$2, Data_All!$B$2:$CA$2, 0)+1), "")</f>
        <v/>
      </c>
      <c r="BD126" s="206" t="str">
        <f>IF(AND($A126&gt;=SYear_O, $A126&lt;=EYear_O, BD$3&gt;0), BD$3 * VLOOKUP($A126, Data_All!$A$8:$CA$153, MATCH(BD$2, Data_All!$B$2:$CA$2, 0)+1), "")</f>
        <v/>
      </c>
      <c r="BE126" s="206" t="str">
        <f>IF(AND($A126&gt;=SYear_O, $A126&lt;=EYear_O, BE$3&gt;0), BE$3 * VLOOKUP($A126, Data_All!$A$8:$CA$153, MATCH(BE$2, Data_All!$B$2:$CA$2, 0)+1), "")</f>
        <v/>
      </c>
      <c r="BF126" s="206" t="str">
        <f>IF(AND($A126&gt;=SYear_O, $A126&lt;=EYear_O, BF$3&gt;0), BF$3 * VLOOKUP($A126, Data_All!$A$8:$CA$153, MATCH(BF$2, Data_All!$B$2:$CA$2, 0)+1), "")</f>
        <v/>
      </c>
      <c r="BG126" s="206" t="str">
        <f>IF(AND($A126&gt;=SYear_O, $A126&lt;=EYear_O, BG$3&gt;0), BG$3 * VLOOKUP($A126, Data_All!$A$8:$CA$153, MATCH(BG$2, Data_All!$B$2:$CA$2, 0)+1), "")</f>
        <v/>
      </c>
      <c r="BH126" s="206" t="str">
        <f>IF(AND($A126&gt;=SYear_O, $A126&lt;=EYear_O, BH$3&gt;0), BH$3 * VLOOKUP($A126, Data_All!$A$8:$CA$153, MATCH(BH$2, Data_All!$B$2:$CA$2, 0)+1), "")</f>
        <v/>
      </c>
      <c r="BI126" s="206" t="str">
        <f>IF(AND($A126&gt;=SYear_O, $A126&lt;=EYear_O, BI$3&gt;0), BI$3 * VLOOKUP($A126, Data_All!$A$8:$CA$153, MATCH(BI$2, Data_All!$B$2:$CA$2, 0)+1), "")</f>
        <v/>
      </c>
      <c r="BJ126" s="206" t="str">
        <f>IF(AND($A126&gt;=SYear_O, $A126&lt;=EYear_O, BJ$3&gt;0), BJ$3 * VLOOKUP($A126, Data_All!$A$8:$CA$153, MATCH(BJ$2, Data_All!$B$2:$CA$2, 0)+1), "")</f>
        <v/>
      </c>
      <c r="BK126" s="206" t="str">
        <f>IF(AND($A126&gt;=SYear_O, $A126&lt;=EYear_O, BK$3&gt;0), BK$3 * VLOOKUP($A126, Data_All!$A$8:$CA$153, MATCH(BK$2, Data_All!$B$2:$CA$2, 0)+1), "")</f>
        <v/>
      </c>
      <c r="BL126" s="206" t="str">
        <f>IF(AND($A126&gt;=SYear_O, $A126&lt;=EYear_O, BL$3&gt;0), BL$3 * VLOOKUP($A126, Data_All!$A$8:$CA$153, MATCH(BL$2, Data_All!$B$2:$CA$2, 0)+1), "")</f>
        <v/>
      </c>
      <c r="BM126" s="206" t="str">
        <f>IF(AND($A126&gt;=SYear_O, $A126&lt;=EYear_O, BM$3&gt;0), BM$3 * VLOOKUP($A126, Data_All!$A$8:$CA$153, MATCH(BM$2, Data_All!$B$2:$CA$2, 0)+1), "")</f>
        <v/>
      </c>
      <c r="BN126" s="206" t="str">
        <f>IF(AND($A126&gt;=SYear_O, $A126&lt;=EYear_O, BN$3&gt;0), BN$3 * VLOOKUP($A126, Data_All!$A$8:$CA$153, MATCH(BN$2, Data_All!$B$2:$CA$2, 0)+1), "")</f>
        <v/>
      </c>
      <c r="BO126" s="206" t="str">
        <f>IF(AND($A126&gt;=SYear_O, $A126&lt;=EYear_O, BO$3&gt;0), BO$3 * VLOOKUP($A126, Data_All!$A$8:$CA$153, MATCH(BO$2, Data_All!$B$2:$CA$2, 0)+1), "")</f>
        <v/>
      </c>
      <c r="BP126" s="206" t="str">
        <f>IF(AND($A126&gt;=SYear_O, $A126&lt;=EYear_O, BP$3&gt;0), BP$3 * VLOOKUP($A126, Data_All!$A$8:$CA$153, MATCH(BP$2, Data_All!$B$2:$CA$2, 0)+1), "")</f>
        <v/>
      </c>
      <c r="BQ126" s="206" t="str">
        <f>IF(AND($A126&gt;=SYear_O, $A126&lt;=EYear_O, BQ$3&gt;0), BQ$3 * VLOOKUP($A126, Data_All!$A$8:$CA$153, MATCH(BQ$2, Data_All!$B$2:$CA$2, 0)+1), "")</f>
        <v/>
      </c>
      <c r="BR126" s="206" t="str">
        <f>IF(AND($A126&gt;=SYear_O, $A126&lt;=EYear_O, BR$3&gt;0), BR$3 * VLOOKUP($A126, Data_All!$A$8:$CA$153, MATCH(BR$2, Data_All!$B$2:$CA$2, 0)+1), "")</f>
        <v/>
      </c>
      <c r="BS126" s="206" t="str">
        <f>IF(AND($A126&gt;=SYear_O, $A126&lt;=EYear_O, BS$3&gt;0), BS$3 * VLOOKUP($A126, Data_All!$A$8:$CA$153, MATCH(BS$2, Data_All!$B$2:$CA$2, 0)+1), "")</f>
        <v/>
      </c>
      <c r="BT126" s="206" t="str">
        <f>IF(AND($A126&gt;=SYear_O, $A126&lt;=EYear_O, BT$3&gt;0), BT$3 * VLOOKUP($A126, Data_All!$A$8:$CA$153, MATCH(BT$2, Data_All!$B$2:$CA$2, 0)+1), "")</f>
        <v/>
      </c>
      <c r="BU126" s="206" t="str">
        <f>IF(AND($A126&gt;=SYear_O, $A126&lt;=EYear_O, BU$3&gt;0), BU$3 * VLOOKUP($A126, Data_All!$A$8:$CA$153, MATCH(BU$2, Data_All!$B$2:$CA$2, 0)+1), "")</f>
        <v/>
      </c>
      <c r="BV126" s="206" t="str">
        <f>IF(AND($A126&gt;=SYear_O, $A126&lt;=EYear_O, BV$3&gt;0), BV$3 * VLOOKUP($A126, Data_All!$A$8:$CA$153, MATCH(BV$2, Data_All!$B$2:$CA$2, 0)+1), "")</f>
        <v/>
      </c>
      <c r="BW126" s="206" t="str">
        <f>IF(AND($A126&gt;=SYear_O, $A126&lt;=EYear_O, BW$3&gt;0), BW$3 * VLOOKUP($A126, Data_All!$A$8:$CA$153, MATCH(BW$2, Data_All!$B$2:$CA$2, 0)+1), "")</f>
        <v/>
      </c>
      <c r="BX126" s="206">
        <f>IF(AND($A126&gt;=SYear_O, $A126&lt;=EYear_O, BX$3&gt;0), BX$3 * VLOOKUP($A126, Data_All!$A$8:$CA$153, MATCH(BX$2, Data_All!$B$2:$CA$2, 0)+1), "")</f>
        <v>-0.41827220048827662</v>
      </c>
      <c r="BY126" s="206">
        <f>IF(AND($A126&gt;=SYear_O, $A126&lt;=EYear_O, BY$3&gt;0), BY$3 * VLOOKUP($A126, Data_All!$A$8:$CA$153, MATCH(BY$2, Data_All!$B$2:$CA$2, 0)+1), "")</f>
        <v>3.854837759086216</v>
      </c>
      <c r="BZ126" s="206" t="str">
        <f>IF(AND($A126&gt;=SYear_O, $A126&lt;=EYear_O, BZ$3&gt;0), BZ$3 * VLOOKUP($A126, Data_All!$A$8:$CA$153, MATCH(BZ$2, Data_All!$B$2:$CA$2, 0)+1), "")</f>
        <v/>
      </c>
      <c r="CA126" s="565">
        <f t="shared" si="52"/>
        <v>3.4365655585979393</v>
      </c>
      <c r="CB126" s="427">
        <f t="shared" si="53"/>
        <v>49304872.125728823</v>
      </c>
      <c r="CC126" s="565">
        <f>IF(AND($A126&gt;=SYear_O,$A126&lt;=EYear_O),(CA126-Data_All!CA127)/(1+Data_All!CA127%),"")</f>
        <v>-2.5160619062840257</v>
      </c>
      <c r="CD126" s="436">
        <f t="shared" si="54"/>
        <v>4592966.6201217007</v>
      </c>
      <c r="CE126" s="438">
        <f t="shared" si="55"/>
        <v>4471.9143692917205</v>
      </c>
      <c r="CF126" s="438">
        <f>IF(AND($A126&gt;=SYear_O,$A126&lt;=EYear_O),MAX($CE$7:CE126),"")</f>
        <v>4471.9143692917205</v>
      </c>
      <c r="CG126" s="209">
        <f t="shared" si="56"/>
        <v>0</v>
      </c>
      <c r="CI126" s="143">
        <f>IF(AND($A126&gt;=SYear_O,$A126&lt;=EYear_O),Data_All!V127,"")</f>
        <v>7.94</v>
      </c>
      <c r="CJ126" s="143">
        <f>IF(AND($A126&gt;=SYear_O,$A126&lt;=EYear_O),Data_All!CA127,"")</f>
        <v>6.1062648691514898</v>
      </c>
      <c r="CK126" s="143">
        <f t="shared" si="57"/>
        <v>1.7282062780268843</v>
      </c>
      <c r="CN126" s="61">
        <f t="shared" si="58"/>
        <v>3.4365655585979482E-2</v>
      </c>
      <c r="CO126" s="61">
        <f t="shared" si="59"/>
        <v>0.11733129283775257</v>
      </c>
      <c r="CP126" s="61">
        <f t="shared" si="60"/>
        <v>8.9227164553473903E-2</v>
      </c>
      <c r="CQ126" s="61">
        <f t="shared" si="61"/>
        <v>0.13911102555429378</v>
      </c>
      <c r="CR126" s="61">
        <f t="shared" si="62"/>
        <v>9.8561599793780097E-2</v>
      </c>
      <c r="CU126" s="61">
        <f t="shared" si="63"/>
        <v>-2.5160619062840284E-2</v>
      </c>
      <c r="CV126" s="61">
        <f t="shared" si="64"/>
        <v>7.4219073138097835E-2</v>
      </c>
      <c r="CW126" s="61">
        <f t="shared" si="65"/>
        <v>5.2487922794242303E-2</v>
      </c>
      <c r="CX126" s="61">
        <f t="shared" si="66"/>
        <v>0.1066980698571296</v>
      </c>
      <c r="CY126" s="61">
        <f t="shared" si="67"/>
        <v>6.8832130386756507E-2</v>
      </c>
    </row>
    <row r="127" spans="1:103">
      <c r="A127" s="204">
        <f t="shared" si="51"/>
        <v>1991</v>
      </c>
      <c r="B127" s="206" t="str">
        <f>IF(AND($A127&gt;=SYear_O, $A127&lt;=EYear_O, B$3&gt;0), B$3 * VLOOKUP($A127, Data_All!$A$8:$CA$153, MATCH(B$2, Data_All!$B$2:$CA$2, 0)+1), "")</f>
        <v/>
      </c>
      <c r="C127" s="206" t="str">
        <f>IF(AND($A127&gt;=SYear_O, $A127&lt;=EYear_O, C$3&gt;0), C$3 * VLOOKUP($A127, Data_All!$A$8:$CA$153, MATCH(C$2, Data_All!$B$2:$CA$2, 0)+1), "")</f>
        <v/>
      </c>
      <c r="D127" s="206" t="str">
        <f>IF(AND($A127&gt;=SYear_O, $A127&lt;=EYear_O, D$3&gt;0), D$3 * VLOOKUP($A127, Data_All!$A$8:$CA$153, MATCH(D$2, Data_All!$B$2:$CA$2, 0)+1), "")</f>
        <v/>
      </c>
      <c r="E127" s="206" t="str">
        <f>IF(AND($A127&gt;=SYear_O, $A127&lt;=EYear_O, E$3&gt;0), E$3 * VLOOKUP($A127, Data_All!$A$8:$CA$153, MATCH(E$2, Data_All!$B$2:$CA$2, 0)+1), "")</f>
        <v/>
      </c>
      <c r="F127" s="206" t="str">
        <f>IF(AND($A127&gt;=SYear_O, $A127&lt;=EYear_O, F$3&gt;0), F$3 * VLOOKUP($A127, Data_All!$A$8:$CA$153, MATCH(F$2, Data_All!$B$2:$CA$2, 0)+1), "")</f>
        <v/>
      </c>
      <c r="G127" s="206" t="str">
        <f>IF(AND($A127&gt;=SYear_O, $A127&lt;=EYear_O, G$3&gt;0), G$3 * VLOOKUP($A127, Data_All!$A$8:$CA$153, MATCH(G$2, Data_All!$B$2:$CA$2, 0)+1), "")</f>
        <v/>
      </c>
      <c r="H127" s="206" t="str">
        <f>IF(AND($A127&gt;=SYear_O, $A127&lt;=EYear_O, H$3&gt;0), H$3 * VLOOKUP($A127, Data_All!$A$8:$CA$153, MATCH(H$2, Data_All!$B$2:$CA$2, 0)+1), "")</f>
        <v/>
      </c>
      <c r="I127" s="206" t="str">
        <f>IF(AND($A127&gt;=SYear_O, $A127&lt;=EYear_O, I$3&gt;0), I$3 * VLOOKUP($A127, Data_All!$A$8:$CA$153, MATCH(I$2, Data_All!$B$2:$CA$2, 0)+1), "")</f>
        <v/>
      </c>
      <c r="J127" s="206" t="str">
        <f>IF(AND($A127&gt;=SYear_O, $A127&lt;=EYear_O, J$3&gt;0), J$3 * VLOOKUP($A127, Data_All!$A$8:$CA$153, MATCH(J$2, Data_All!$B$2:$CA$2, 0)+1), "")</f>
        <v/>
      </c>
      <c r="K127" s="206" t="str">
        <f>IF(AND($A127&gt;=SYear_O, $A127&lt;=EYear_O, K$3&gt;0), K$3 * VLOOKUP($A127, Data_All!$A$8:$CA$153, MATCH(K$2, Data_All!$B$2:$CA$2, 0)+1), "")</f>
        <v/>
      </c>
      <c r="L127" s="206" t="str">
        <f>IF(AND($A127&gt;=SYear_O, $A127&lt;=EYear_O, L$3&gt;0), L$3 * VLOOKUP($A127, Data_All!$A$8:$CA$153, MATCH(L$2, Data_All!$B$2:$CA$2, 0)+1), "")</f>
        <v/>
      </c>
      <c r="M127" s="206" t="str">
        <f>IF(AND($A127&gt;=SYear_O, $A127&lt;=EYear_O, M$3&gt;0), M$3 * VLOOKUP($A127, Data_All!$A$8:$CA$153, MATCH(M$2, Data_All!$B$2:$CA$2, 0)+1), "")</f>
        <v/>
      </c>
      <c r="N127" s="206" t="str">
        <f>IF(AND($A127&gt;=SYear_O, $A127&lt;=EYear_O, N$3&gt;0), N$3 * VLOOKUP($A127, Data_All!$A$8:$CA$153, MATCH(N$2, Data_All!$B$2:$CA$2, 0)+1), "")</f>
        <v/>
      </c>
      <c r="O127" s="206" t="str">
        <f>IF(AND($A127&gt;=SYear_O, $A127&lt;=EYear_O, O$3&gt;0), O$3 * VLOOKUP($A127, Data_All!$A$8:$CA$153, MATCH(O$2, Data_All!$B$2:$CA$2, 0)+1), "")</f>
        <v/>
      </c>
      <c r="P127" s="206" t="str">
        <f>IF(AND($A127&gt;=SYear_O, $A127&lt;=EYear_O, P$3&gt;0), P$3 * VLOOKUP($A127, Data_All!$A$8:$CA$153, MATCH(P$2, Data_All!$B$2:$CA$2, 0)+1), "")</f>
        <v/>
      </c>
      <c r="Q127" s="206" t="str">
        <f>IF(AND($A127&gt;=SYear_O, $A127&lt;=EYear_O, Q$3&gt;0), Q$3 * VLOOKUP($A127, Data_All!$A$8:$CA$153, MATCH(Q$2, Data_All!$B$2:$CA$2, 0)+1), "")</f>
        <v/>
      </c>
      <c r="R127" s="206" t="str">
        <f>IF(AND($A127&gt;=SYear_O, $A127&lt;=EYear_O, R$3&gt;0), R$3 * VLOOKUP($A127, Data_All!$A$8:$CA$153, MATCH(R$2, Data_All!$B$2:$CA$2, 0)+1), "")</f>
        <v/>
      </c>
      <c r="S127" s="206" t="str">
        <f>IF(AND($A127&gt;=SYear_O, $A127&lt;=EYear_O, S$3&gt;0), S$3 * VLOOKUP($A127, Data_All!$A$8:$CA$153, MATCH(S$2, Data_All!$B$2:$CA$2, 0)+1), "")</f>
        <v/>
      </c>
      <c r="T127" s="206" t="str">
        <f>IF(AND($A127&gt;=SYear_O, $A127&lt;=EYear_O, T$3&gt;0), T$3 * VLOOKUP($A127, Data_All!$A$8:$CA$153, MATCH(T$2, Data_All!$B$2:$CA$2, 0)+1), "")</f>
        <v/>
      </c>
      <c r="U127" s="206" t="str">
        <f>IF(AND($A127&gt;=SYear_O, $A127&lt;=EYear_O, U$3&gt;0), U$3 * VLOOKUP($A127, Data_All!$A$8:$CA$153, MATCH(U$2, Data_All!$B$2:$CA$2, 0)+1), "")</f>
        <v/>
      </c>
      <c r="V127" s="206" t="str">
        <f>IF(AND($A127&gt;=SYear_O, $A127&lt;=EYear_O, V$3&gt;0), V$3 * VLOOKUP($A127, Data_All!$A$8:$CA$153, MATCH(V$2, Data_All!$B$2:$CA$2, 0)+1), "")</f>
        <v/>
      </c>
      <c r="W127" s="206" t="str">
        <f>IF(AND($A127&gt;=SYear_O, $A127&lt;=EYear_O, W$3&gt;0), W$3 * VLOOKUP($A127, Data_All!$A$8:$CA$153, MATCH(W$2, Data_All!$B$2:$CA$2, 0)+1), "")</f>
        <v/>
      </c>
      <c r="X127" s="206" t="str">
        <f>IF(AND($A127&gt;=SYear_O, $A127&lt;=EYear_O, X$3&gt;0), X$3 * VLOOKUP($A127, Data_All!$A$8:$CA$153, MATCH(X$2, Data_All!$B$2:$CA$2, 0)+1), "")</f>
        <v/>
      </c>
      <c r="Y127" s="206" t="str">
        <f>IF(AND($A127&gt;=SYear_O, $A127&lt;=EYear_O, Y$3&gt;0), Y$3 * VLOOKUP($A127, Data_All!$A$8:$CA$153, MATCH(Y$2, Data_All!$B$2:$CA$2, 0)+1), "")</f>
        <v/>
      </c>
      <c r="Z127" s="206" t="str">
        <f>IF(AND($A127&gt;=SYear_O, $A127&lt;=EYear_O, Z$3&gt;0), Z$3 * VLOOKUP($A127, Data_All!$A$8:$CA$153, MATCH(Z$2, Data_All!$B$2:$CA$2, 0)+1), "")</f>
        <v/>
      </c>
      <c r="AA127" s="206" t="str">
        <f>IF(AND($A127&gt;=SYear_O, $A127&lt;=EYear_O, AA$3&gt;0), AA$3 * VLOOKUP($A127, Data_All!$A$8:$CA$153, MATCH(AA$2, Data_All!$B$2:$CA$2, 0)+1), "")</f>
        <v/>
      </c>
      <c r="AB127" s="206" t="str">
        <f>IF(AND($A127&gt;=SYear_O, $A127&lt;=EYear_O, AB$3&gt;0), AB$3 * VLOOKUP($A127, Data_All!$A$8:$CA$153, MATCH(AB$2, Data_All!$B$2:$CA$2, 0)+1), "")</f>
        <v/>
      </c>
      <c r="AC127" s="206" t="str">
        <f>IF(AND($A127&gt;=SYear_O, $A127&lt;=EYear_O, AC$3&gt;0), AC$3 * VLOOKUP($A127, Data_All!$A$8:$CA$153, MATCH(AC$2, Data_All!$B$2:$CA$2, 0)+1), "")</f>
        <v/>
      </c>
      <c r="AD127" s="206" t="str">
        <f>IF(AND($A127&gt;=SYear_O, $A127&lt;=EYear_O, AD$3&gt;0), AD$3 * VLOOKUP($A127, Data_All!$A$8:$CA$153, MATCH(AD$2, Data_All!$B$2:$CA$2, 0)+1), "")</f>
        <v/>
      </c>
      <c r="AE127" s="206" t="str">
        <f>IF(AND($A127&gt;=SYear_O, $A127&lt;=EYear_O, AE$3&gt;0), AE$3 * VLOOKUP($A127, Data_All!$A$8:$CA$153, MATCH(AE$2, Data_All!$B$2:$CA$2, 0)+1), "")</f>
        <v/>
      </c>
      <c r="AF127" s="206" t="str">
        <f>IF(AND($A127&gt;=SYear_O, $A127&lt;=EYear_O, AF$3&gt;0), AF$3 * VLOOKUP($A127, Data_All!$A$8:$CA$153, MATCH(AF$2, Data_All!$B$2:$CA$2, 0)+1), "")</f>
        <v/>
      </c>
      <c r="AG127" s="206" t="str">
        <f>IF(AND($A127&gt;=SYear_O, $A127&lt;=EYear_O, AG$3&gt;0), AG$3 * VLOOKUP($A127, Data_All!$A$8:$CA$153, MATCH(AG$2, Data_All!$B$2:$CA$2, 0)+1), "")</f>
        <v/>
      </c>
      <c r="AH127" s="206" t="str">
        <f>IF(AND($A127&gt;=SYear_O, $A127&lt;=EYear_O, AH$3&gt;0), AH$3 * VLOOKUP($A127, Data_All!$A$8:$CA$153, MATCH(AH$2, Data_All!$B$2:$CA$2, 0)+1), "")</f>
        <v/>
      </c>
      <c r="AI127" s="206" t="str">
        <f>IF(AND($A127&gt;=SYear_O, $A127&lt;=EYear_O, AI$3&gt;0), AI$3 * VLOOKUP($A127, Data_All!$A$8:$CA$153, MATCH(AI$2, Data_All!$B$2:$CA$2, 0)+1), "")</f>
        <v/>
      </c>
      <c r="AJ127" s="206" t="str">
        <f>IF(AND($A127&gt;=SYear_O, $A127&lt;=EYear_O, AJ$3&gt;0), AJ$3 * VLOOKUP($A127, Data_All!$A$8:$CA$153, MATCH(AJ$2, Data_All!$B$2:$CA$2, 0)+1), "")</f>
        <v/>
      </c>
      <c r="AK127" s="206" t="str">
        <f>IF(AND($A127&gt;=SYear_O, $A127&lt;=EYear_O, AK$3&gt;0), AK$3 * VLOOKUP($A127, Data_All!$A$8:$CA$153, MATCH(AK$2, Data_All!$B$2:$CA$2, 0)+1), "")</f>
        <v/>
      </c>
      <c r="AL127" s="206" t="str">
        <f>IF(AND($A127&gt;=SYear_O, $A127&lt;=EYear_O, AL$3&gt;0), AL$3 * VLOOKUP($A127, Data_All!$A$8:$CA$153, MATCH(AL$2, Data_All!$B$2:$CA$2, 0)+1), "")</f>
        <v/>
      </c>
      <c r="AM127" s="206" t="str">
        <f>IF(AND($A127&gt;=SYear_O, $A127&lt;=EYear_O, AM$3&gt;0), AM$3 * VLOOKUP($A127, Data_All!$A$8:$CA$153, MATCH(AM$2, Data_All!$B$2:$CA$2, 0)+1), "")</f>
        <v/>
      </c>
      <c r="AN127" s="206" t="str">
        <f>IF(AND($A127&gt;=SYear_O, $A127&lt;=EYear_O, AN$3&gt;0), AN$3 * VLOOKUP($A127, Data_All!$A$8:$CA$153, MATCH(AN$2, Data_All!$B$2:$CA$2, 0)+1), "")</f>
        <v/>
      </c>
      <c r="AO127" s="206" t="str">
        <f>IF(AND($A127&gt;=SYear_O, $A127&lt;=EYear_O, AO$3&gt;0), AO$3 * VLOOKUP($A127, Data_All!$A$8:$CA$153, MATCH(AO$2, Data_All!$B$2:$CA$2, 0)+1), "")</f>
        <v/>
      </c>
      <c r="AP127" s="206" t="str">
        <f>IF(AND($A127&gt;=SYear_O, $A127&lt;=EYear_O, AP$3&gt;0), AP$3 * VLOOKUP($A127, Data_All!$A$8:$CA$153, MATCH(AP$2, Data_All!$B$2:$CA$2, 0)+1), "")</f>
        <v/>
      </c>
      <c r="AQ127" s="206" t="str">
        <f>IF(AND($A127&gt;=SYear_O, $A127&lt;=EYear_O, AQ$3&gt;0), AQ$3 * VLOOKUP($A127, Data_All!$A$8:$CA$153, MATCH(AQ$2, Data_All!$B$2:$CA$2, 0)+1), "")</f>
        <v/>
      </c>
      <c r="AR127" s="206" t="str">
        <f>IF(AND($A127&gt;=SYear_O, $A127&lt;=EYear_O, AR$3&gt;0), AR$3 * VLOOKUP($A127, Data_All!$A$8:$CA$153, MATCH(AR$2, Data_All!$B$2:$CA$2, 0)+1), "")</f>
        <v/>
      </c>
      <c r="AS127" s="206" t="str">
        <f>IF(AND($A127&gt;=SYear_O, $A127&lt;=EYear_O, AS$3&gt;0), AS$3 * VLOOKUP($A127, Data_All!$A$8:$CA$153, MATCH(AS$2, Data_All!$B$2:$CA$2, 0)+1), "")</f>
        <v/>
      </c>
      <c r="AT127" s="206" t="str">
        <f>IF(AND($A127&gt;=SYear_O, $A127&lt;=EYear_O, AT$3&gt;0), AT$3 * VLOOKUP($A127, Data_All!$A$8:$CA$153, MATCH(AT$2, Data_All!$B$2:$CA$2, 0)+1), "")</f>
        <v/>
      </c>
      <c r="AU127" s="206" t="str">
        <f>IF(AND($A127&gt;=SYear_O, $A127&lt;=EYear_O, AU$3&gt;0), AU$3 * VLOOKUP($A127, Data_All!$A$8:$CA$153, MATCH(AU$2, Data_All!$B$2:$CA$2, 0)+1), "")</f>
        <v/>
      </c>
      <c r="AV127" s="206" t="str">
        <f>IF(AND($A127&gt;=SYear_O, $A127&lt;=EYear_O, AV$3&gt;0), AV$3 * VLOOKUP($A127, Data_All!$A$8:$CA$153, MATCH(AV$2, Data_All!$B$2:$CA$2, 0)+1), "")</f>
        <v/>
      </c>
      <c r="AW127" s="206" t="str">
        <f>IF(AND($A127&gt;=SYear_O, $A127&lt;=EYear_O, AW$3&gt;0), AW$3 * VLOOKUP($A127, Data_All!$A$8:$CA$153, MATCH(AW$2, Data_All!$B$2:$CA$2, 0)+1), "")</f>
        <v/>
      </c>
      <c r="AX127" s="206" t="str">
        <f>IF(AND($A127&gt;=SYear_O, $A127&lt;=EYear_O, AX$3&gt;0), AX$3 * VLOOKUP($A127, Data_All!$A$8:$CA$153, MATCH(AX$2, Data_All!$B$2:$CA$2, 0)+1), "")</f>
        <v/>
      </c>
      <c r="AY127" s="206" t="str">
        <f>IF(AND($A127&gt;=SYear_O, $A127&lt;=EYear_O, AY$3&gt;0), AY$3 * VLOOKUP($A127, Data_All!$A$8:$CA$153, MATCH(AY$2, Data_All!$B$2:$CA$2, 0)+1), "")</f>
        <v/>
      </c>
      <c r="AZ127" s="206" t="str">
        <f>IF(AND($A127&gt;=SYear_O, $A127&lt;=EYear_O, AZ$3&gt;0), AZ$3 * VLOOKUP($A127, Data_All!$A$8:$CA$153, MATCH(AZ$2, Data_All!$B$2:$CA$2, 0)+1), "")</f>
        <v/>
      </c>
      <c r="BA127" s="206" t="str">
        <f>IF(AND($A127&gt;=SYear_O, $A127&lt;=EYear_O, BA$3&gt;0), BA$3 * VLOOKUP($A127, Data_All!$A$8:$CA$153, MATCH(BA$2, Data_All!$B$2:$CA$2, 0)+1), "")</f>
        <v/>
      </c>
      <c r="BB127" s="206" t="str">
        <f>IF(AND($A127&gt;=SYear_O, $A127&lt;=EYear_O, BB$3&gt;0), BB$3 * VLOOKUP($A127, Data_All!$A$8:$CA$153, MATCH(BB$2, Data_All!$B$2:$CA$2, 0)+1), "")</f>
        <v/>
      </c>
      <c r="BC127" s="206" t="str">
        <f>IF(AND($A127&gt;=SYear_O, $A127&lt;=EYear_O, BC$3&gt;0), BC$3 * VLOOKUP($A127, Data_All!$A$8:$CA$153, MATCH(BC$2, Data_All!$B$2:$CA$2, 0)+1), "")</f>
        <v/>
      </c>
      <c r="BD127" s="206" t="str">
        <f>IF(AND($A127&gt;=SYear_O, $A127&lt;=EYear_O, BD$3&gt;0), BD$3 * VLOOKUP($A127, Data_All!$A$8:$CA$153, MATCH(BD$2, Data_All!$B$2:$CA$2, 0)+1), "")</f>
        <v/>
      </c>
      <c r="BE127" s="206" t="str">
        <f>IF(AND($A127&gt;=SYear_O, $A127&lt;=EYear_O, BE$3&gt;0), BE$3 * VLOOKUP($A127, Data_All!$A$8:$CA$153, MATCH(BE$2, Data_All!$B$2:$CA$2, 0)+1), "")</f>
        <v/>
      </c>
      <c r="BF127" s="206" t="str">
        <f>IF(AND($A127&gt;=SYear_O, $A127&lt;=EYear_O, BF$3&gt;0), BF$3 * VLOOKUP($A127, Data_All!$A$8:$CA$153, MATCH(BF$2, Data_All!$B$2:$CA$2, 0)+1), "")</f>
        <v/>
      </c>
      <c r="BG127" s="206" t="str">
        <f>IF(AND($A127&gt;=SYear_O, $A127&lt;=EYear_O, BG$3&gt;0), BG$3 * VLOOKUP($A127, Data_All!$A$8:$CA$153, MATCH(BG$2, Data_All!$B$2:$CA$2, 0)+1), "")</f>
        <v/>
      </c>
      <c r="BH127" s="206" t="str">
        <f>IF(AND($A127&gt;=SYear_O, $A127&lt;=EYear_O, BH$3&gt;0), BH$3 * VLOOKUP($A127, Data_All!$A$8:$CA$153, MATCH(BH$2, Data_All!$B$2:$CA$2, 0)+1), "")</f>
        <v/>
      </c>
      <c r="BI127" s="206" t="str">
        <f>IF(AND($A127&gt;=SYear_O, $A127&lt;=EYear_O, BI$3&gt;0), BI$3 * VLOOKUP($A127, Data_All!$A$8:$CA$153, MATCH(BI$2, Data_All!$B$2:$CA$2, 0)+1), "")</f>
        <v/>
      </c>
      <c r="BJ127" s="206" t="str">
        <f>IF(AND($A127&gt;=SYear_O, $A127&lt;=EYear_O, BJ$3&gt;0), BJ$3 * VLOOKUP($A127, Data_All!$A$8:$CA$153, MATCH(BJ$2, Data_All!$B$2:$CA$2, 0)+1), "")</f>
        <v/>
      </c>
      <c r="BK127" s="206" t="str">
        <f>IF(AND($A127&gt;=SYear_O, $A127&lt;=EYear_O, BK$3&gt;0), BK$3 * VLOOKUP($A127, Data_All!$A$8:$CA$153, MATCH(BK$2, Data_All!$B$2:$CA$2, 0)+1), "")</f>
        <v/>
      </c>
      <c r="BL127" s="206" t="str">
        <f>IF(AND($A127&gt;=SYear_O, $A127&lt;=EYear_O, BL$3&gt;0), BL$3 * VLOOKUP($A127, Data_All!$A$8:$CA$153, MATCH(BL$2, Data_All!$B$2:$CA$2, 0)+1), "")</f>
        <v/>
      </c>
      <c r="BM127" s="206" t="str">
        <f>IF(AND($A127&gt;=SYear_O, $A127&lt;=EYear_O, BM$3&gt;0), BM$3 * VLOOKUP($A127, Data_All!$A$8:$CA$153, MATCH(BM$2, Data_All!$B$2:$CA$2, 0)+1), "")</f>
        <v/>
      </c>
      <c r="BN127" s="206" t="str">
        <f>IF(AND($A127&gt;=SYear_O, $A127&lt;=EYear_O, BN$3&gt;0), BN$3 * VLOOKUP($A127, Data_All!$A$8:$CA$153, MATCH(BN$2, Data_All!$B$2:$CA$2, 0)+1), "")</f>
        <v/>
      </c>
      <c r="BO127" s="206" t="str">
        <f>IF(AND($A127&gt;=SYear_O, $A127&lt;=EYear_O, BO$3&gt;0), BO$3 * VLOOKUP($A127, Data_All!$A$8:$CA$153, MATCH(BO$2, Data_All!$B$2:$CA$2, 0)+1), "")</f>
        <v/>
      </c>
      <c r="BP127" s="206" t="str">
        <f>IF(AND($A127&gt;=SYear_O, $A127&lt;=EYear_O, BP$3&gt;0), BP$3 * VLOOKUP($A127, Data_All!$A$8:$CA$153, MATCH(BP$2, Data_All!$B$2:$CA$2, 0)+1), "")</f>
        <v/>
      </c>
      <c r="BQ127" s="206" t="str">
        <f>IF(AND($A127&gt;=SYear_O, $A127&lt;=EYear_O, BQ$3&gt;0), BQ$3 * VLOOKUP($A127, Data_All!$A$8:$CA$153, MATCH(BQ$2, Data_All!$B$2:$CA$2, 0)+1), "")</f>
        <v/>
      </c>
      <c r="BR127" s="206" t="str">
        <f>IF(AND($A127&gt;=SYear_O, $A127&lt;=EYear_O, BR$3&gt;0), BR$3 * VLOOKUP($A127, Data_All!$A$8:$CA$153, MATCH(BR$2, Data_All!$B$2:$CA$2, 0)+1), "")</f>
        <v/>
      </c>
      <c r="BS127" s="206" t="str">
        <f>IF(AND($A127&gt;=SYear_O, $A127&lt;=EYear_O, BS$3&gt;0), BS$3 * VLOOKUP($A127, Data_All!$A$8:$CA$153, MATCH(BS$2, Data_All!$B$2:$CA$2, 0)+1), "")</f>
        <v/>
      </c>
      <c r="BT127" s="206" t="str">
        <f>IF(AND($A127&gt;=SYear_O, $A127&lt;=EYear_O, BT$3&gt;0), BT$3 * VLOOKUP($A127, Data_All!$A$8:$CA$153, MATCH(BT$2, Data_All!$B$2:$CA$2, 0)+1), "")</f>
        <v/>
      </c>
      <c r="BU127" s="206" t="str">
        <f>IF(AND($A127&gt;=SYear_O, $A127&lt;=EYear_O, BU$3&gt;0), BU$3 * VLOOKUP($A127, Data_All!$A$8:$CA$153, MATCH(BU$2, Data_All!$B$2:$CA$2, 0)+1), "")</f>
        <v/>
      </c>
      <c r="BV127" s="206" t="str">
        <f>IF(AND($A127&gt;=SYear_O, $A127&lt;=EYear_O, BV$3&gt;0), BV$3 * VLOOKUP($A127, Data_All!$A$8:$CA$153, MATCH(BV$2, Data_All!$B$2:$CA$2, 0)+1), "")</f>
        <v/>
      </c>
      <c r="BW127" s="206" t="str">
        <f>IF(AND($A127&gt;=SYear_O, $A127&lt;=EYear_O, BW$3&gt;0), BW$3 * VLOOKUP($A127, Data_All!$A$8:$CA$153, MATCH(BW$2, Data_All!$B$2:$CA$2, 0)+1), "")</f>
        <v/>
      </c>
      <c r="BX127" s="206">
        <f>IF(AND($A127&gt;=SYear_O, $A127&lt;=EYear_O, BX$3&gt;0), BX$3 * VLOOKUP($A127, Data_All!$A$8:$CA$153, MATCH(BX$2, Data_All!$B$2:$CA$2, 0)+1), "")</f>
        <v>18.945622119815663</v>
      </c>
      <c r="BY127" s="206">
        <f>IF(AND($A127&gt;=SYear_O, $A127&lt;=EYear_O, BY$3&gt;0), BY$3 * VLOOKUP($A127, Data_All!$A$8:$CA$153, MATCH(BY$2, Data_All!$B$2:$CA$2, 0)+1), "")</f>
        <v>5.6772065242753023</v>
      </c>
      <c r="BZ127" s="206" t="str">
        <f>IF(AND($A127&gt;=SYear_O, $A127&lt;=EYear_O, BZ$3&gt;0), BZ$3 * VLOOKUP($A127, Data_All!$A$8:$CA$153, MATCH(BZ$2, Data_All!$B$2:$CA$2, 0)+1), "")</f>
        <v/>
      </c>
      <c r="CA127" s="565">
        <f t="shared" si="52"/>
        <v>24.622828644090966</v>
      </c>
      <c r="CB127" s="427">
        <f t="shared" si="53"/>
        <v>61445126.302435197</v>
      </c>
      <c r="CC127" s="565">
        <f>IF(AND($A127&gt;=SYear_O,$A127&lt;=EYear_O),(CA127-Data_All!CA128)/(1+Data_All!CA128%),"")</f>
        <v>20.917581382011388</v>
      </c>
      <c r="CD127" s="436">
        <f t="shared" si="54"/>
        <v>5553704.1507342756</v>
      </c>
      <c r="CE127" s="438">
        <f t="shared" si="55"/>
        <v>5573.026181552902</v>
      </c>
      <c r="CF127" s="438">
        <f>IF(AND($A127&gt;=SYear_O,$A127&lt;=EYear_O),MAX($CE$7:CE127),"")</f>
        <v>5573.026181552902</v>
      </c>
      <c r="CG127" s="209">
        <f t="shared" si="56"/>
        <v>0</v>
      </c>
      <c r="CI127" s="143">
        <f>IF(AND($A127&gt;=SYear_O,$A127&lt;=EYear_O),Data_All!V128,"")</f>
        <v>5.73</v>
      </c>
      <c r="CJ127" s="143">
        <f>IF(AND($A127&gt;=SYear_O,$A127&lt;=EYear_O),Data_All!CA128,"")</f>
        <v>3.0642750373692129</v>
      </c>
      <c r="CK127" s="143">
        <f t="shared" si="57"/>
        <v>2.5864684554024611</v>
      </c>
      <c r="CN127" s="61">
        <f t="shared" si="58"/>
        <v>0.24622828644090955</v>
      </c>
      <c r="CO127" s="61">
        <f t="shared" si="59"/>
        <v>0.14389826584496745</v>
      </c>
      <c r="CP127" s="61">
        <f t="shared" si="60"/>
        <v>0.1371386127284544</v>
      </c>
      <c r="CQ127" s="61">
        <f t="shared" si="61"/>
        <v>0.13806111545452127</v>
      </c>
      <c r="CR127" s="61">
        <f t="shared" si="62"/>
        <v>0.10095861193047906</v>
      </c>
      <c r="CU127" s="61">
        <f t="shared" si="63"/>
        <v>0.20917581382011385</v>
      </c>
      <c r="CV127" s="61">
        <f t="shared" si="64"/>
        <v>0.11161295136375204</v>
      </c>
      <c r="CW127" s="61">
        <f t="shared" si="65"/>
        <v>0.10632557833162659</v>
      </c>
      <c r="CX127" s="61">
        <f t="shared" si="66"/>
        <v>0.10855251454880022</v>
      </c>
      <c r="CY127" s="61">
        <f t="shared" si="67"/>
        <v>7.3000013856017842E-2</v>
      </c>
    </row>
    <row r="128" spans="1:103">
      <c r="A128" s="204">
        <f t="shared" si="51"/>
        <v>1992</v>
      </c>
      <c r="B128" s="206" t="str">
        <f>IF(AND($A128&gt;=SYear_O, $A128&lt;=EYear_O, B$3&gt;0), B$3 * VLOOKUP($A128, Data_All!$A$8:$CA$153, MATCH(B$2, Data_All!$B$2:$CA$2, 0)+1), "")</f>
        <v/>
      </c>
      <c r="C128" s="206" t="str">
        <f>IF(AND($A128&gt;=SYear_O, $A128&lt;=EYear_O, C$3&gt;0), C$3 * VLOOKUP($A128, Data_All!$A$8:$CA$153, MATCH(C$2, Data_All!$B$2:$CA$2, 0)+1), "")</f>
        <v/>
      </c>
      <c r="D128" s="206" t="str">
        <f>IF(AND($A128&gt;=SYear_O, $A128&lt;=EYear_O, D$3&gt;0), D$3 * VLOOKUP($A128, Data_All!$A$8:$CA$153, MATCH(D$2, Data_All!$B$2:$CA$2, 0)+1), "")</f>
        <v/>
      </c>
      <c r="E128" s="206" t="str">
        <f>IF(AND($A128&gt;=SYear_O, $A128&lt;=EYear_O, E$3&gt;0), E$3 * VLOOKUP($A128, Data_All!$A$8:$CA$153, MATCH(E$2, Data_All!$B$2:$CA$2, 0)+1), "")</f>
        <v/>
      </c>
      <c r="F128" s="206" t="str">
        <f>IF(AND($A128&gt;=SYear_O, $A128&lt;=EYear_O, F$3&gt;0), F$3 * VLOOKUP($A128, Data_All!$A$8:$CA$153, MATCH(F$2, Data_All!$B$2:$CA$2, 0)+1), "")</f>
        <v/>
      </c>
      <c r="G128" s="206" t="str">
        <f>IF(AND($A128&gt;=SYear_O, $A128&lt;=EYear_O, G$3&gt;0), G$3 * VLOOKUP($A128, Data_All!$A$8:$CA$153, MATCH(G$2, Data_All!$B$2:$CA$2, 0)+1), "")</f>
        <v/>
      </c>
      <c r="H128" s="206" t="str">
        <f>IF(AND($A128&gt;=SYear_O, $A128&lt;=EYear_O, H$3&gt;0), H$3 * VLOOKUP($A128, Data_All!$A$8:$CA$153, MATCH(H$2, Data_All!$B$2:$CA$2, 0)+1), "")</f>
        <v/>
      </c>
      <c r="I128" s="206" t="str">
        <f>IF(AND($A128&gt;=SYear_O, $A128&lt;=EYear_O, I$3&gt;0), I$3 * VLOOKUP($A128, Data_All!$A$8:$CA$153, MATCH(I$2, Data_All!$B$2:$CA$2, 0)+1), "")</f>
        <v/>
      </c>
      <c r="J128" s="206" t="str">
        <f>IF(AND($A128&gt;=SYear_O, $A128&lt;=EYear_O, J$3&gt;0), J$3 * VLOOKUP($A128, Data_All!$A$8:$CA$153, MATCH(J$2, Data_All!$B$2:$CA$2, 0)+1), "")</f>
        <v/>
      </c>
      <c r="K128" s="206" t="str">
        <f>IF(AND($A128&gt;=SYear_O, $A128&lt;=EYear_O, K$3&gt;0), K$3 * VLOOKUP($A128, Data_All!$A$8:$CA$153, MATCH(K$2, Data_All!$B$2:$CA$2, 0)+1), "")</f>
        <v/>
      </c>
      <c r="L128" s="206" t="str">
        <f>IF(AND($A128&gt;=SYear_O, $A128&lt;=EYear_O, L$3&gt;0), L$3 * VLOOKUP($A128, Data_All!$A$8:$CA$153, MATCH(L$2, Data_All!$B$2:$CA$2, 0)+1), "")</f>
        <v/>
      </c>
      <c r="M128" s="206" t="str">
        <f>IF(AND($A128&gt;=SYear_O, $A128&lt;=EYear_O, M$3&gt;0), M$3 * VLOOKUP($A128, Data_All!$A$8:$CA$153, MATCH(M$2, Data_All!$B$2:$CA$2, 0)+1), "")</f>
        <v/>
      </c>
      <c r="N128" s="206" t="str">
        <f>IF(AND($A128&gt;=SYear_O, $A128&lt;=EYear_O, N$3&gt;0), N$3 * VLOOKUP($A128, Data_All!$A$8:$CA$153, MATCH(N$2, Data_All!$B$2:$CA$2, 0)+1), "")</f>
        <v/>
      </c>
      <c r="O128" s="206" t="str">
        <f>IF(AND($A128&gt;=SYear_O, $A128&lt;=EYear_O, O$3&gt;0), O$3 * VLOOKUP($A128, Data_All!$A$8:$CA$153, MATCH(O$2, Data_All!$B$2:$CA$2, 0)+1), "")</f>
        <v/>
      </c>
      <c r="P128" s="206" t="str">
        <f>IF(AND($A128&gt;=SYear_O, $A128&lt;=EYear_O, P$3&gt;0), P$3 * VLOOKUP($A128, Data_All!$A$8:$CA$153, MATCH(P$2, Data_All!$B$2:$CA$2, 0)+1), "")</f>
        <v/>
      </c>
      <c r="Q128" s="206" t="str">
        <f>IF(AND($A128&gt;=SYear_O, $A128&lt;=EYear_O, Q$3&gt;0), Q$3 * VLOOKUP($A128, Data_All!$A$8:$CA$153, MATCH(Q$2, Data_All!$B$2:$CA$2, 0)+1), "")</f>
        <v/>
      </c>
      <c r="R128" s="206" t="str">
        <f>IF(AND($A128&gt;=SYear_O, $A128&lt;=EYear_O, R$3&gt;0), R$3 * VLOOKUP($A128, Data_All!$A$8:$CA$153, MATCH(R$2, Data_All!$B$2:$CA$2, 0)+1), "")</f>
        <v/>
      </c>
      <c r="S128" s="206" t="str">
        <f>IF(AND($A128&gt;=SYear_O, $A128&lt;=EYear_O, S$3&gt;0), S$3 * VLOOKUP($A128, Data_All!$A$8:$CA$153, MATCH(S$2, Data_All!$B$2:$CA$2, 0)+1), "")</f>
        <v/>
      </c>
      <c r="T128" s="206" t="str">
        <f>IF(AND($A128&gt;=SYear_O, $A128&lt;=EYear_O, T$3&gt;0), T$3 * VLOOKUP($A128, Data_All!$A$8:$CA$153, MATCH(T$2, Data_All!$B$2:$CA$2, 0)+1), "")</f>
        <v/>
      </c>
      <c r="U128" s="206" t="str">
        <f>IF(AND($A128&gt;=SYear_O, $A128&lt;=EYear_O, U$3&gt;0), U$3 * VLOOKUP($A128, Data_All!$A$8:$CA$153, MATCH(U$2, Data_All!$B$2:$CA$2, 0)+1), "")</f>
        <v/>
      </c>
      <c r="V128" s="206" t="str">
        <f>IF(AND($A128&gt;=SYear_O, $A128&lt;=EYear_O, V$3&gt;0), V$3 * VLOOKUP($A128, Data_All!$A$8:$CA$153, MATCH(V$2, Data_All!$B$2:$CA$2, 0)+1), "")</f>
        <v/>
      </c>
      <c r="W128" s="206" t="str">
        <f>IF(AND($A128&gt;=SYear_O, $A128&lt;=EYear_O, W$3&gt;0), W$3 * VLOOKUP($A128, Data_All!$A$8:$CA$153, MATCH(W$2, Data_All!$B$2:$CA$2, 0)+1), "")</f>
        <v/>
      </c>
      <c r="X128" s="206" t="str">
        <f>IF(AND($A128&gt;=SYear_O, $A128&lt;=EYear_O, X$3&gt;0), X$3 * VLOOKUP($A128, Data_All!$A$8:$CA$153, MATCH(X$2, Data_All!$B$2:$CA$2, 0)+1), "")</f>
        <v/>
      </c>
      <c r="Y128" s="206" t="str">
        <f>IF(AND($A128&gt;=SYear_O, $A128&lt;=EYear_O, Y$3&gt;0), Y$3 * VLOOKUP($A128, Data_All!$A$8:$CA$153, MATCH(Y$2, Data_All!$B$2:$CA$2, 0)+1), "")</f>
        <v/>
      </c>
      <c r="Z128" s="206" t="str">
        <f>IF(AND($A128&gt;=SYear_O, $A128&lt;=EYear_O, Z$3&gt;0), Z$3 * VLOOKUP($A128, Data_All!$A$8:$CA$153, MATCH(Z$2, Data_All!$B$2:$CA$2, 0)+1), "")</f>
        <v/>
      </c>
      <c r="AA128" s="206" t="str">
        <f>IF(AND($A128&gt;=SYear_O, $A128&lt;=EYear_O, AA$3&gt;0), AA$3 * VLOOKUP($A128, Data_All!$A$8:$CA$153, MATCH(AA$2, Data_All!$B$2:$CA$2, 0)+1), "")</f>
        <v/>
      </c>
      <c r="AB128" s="206" t="str">
        <f>IF(AND($A128&gt;=SYear_O, $A128&lt;=EYear_O, AB$3&gt;0), AB$3 * VLOOKUP($A128, Data_All!$A$8:$CA$153, MATCH(AB$2, Data_All!$B$2:$CA$2, 0)+1), "")</f>
        <v/>
      </c>
      <c r="AC128" s="206" t="str">
        <f>IF(AND($A128&gt;=SYear_O, $A128&lt;=EYear_O, AC$3&gt;0), AC$3 * VLOOKUP($A128, Data_All!$A$8:$CA$153, MATCH(AC$2, Data_All!$B$2:$CA$2, 0)+1), "")</f>
        <v/>
      </c>
      <c r="AD128" s="206" t="str">
        <f>IF(AND($A128&gt;=SYear_O, $A128&lt;=EYear_O, AD$3&gt;0), AD$3 * VLOOKUP($A128, Data_All!$A$8:$CA$153, MATCH(AD$2, Data_All!$B$2:$CA$2, 0)+1), "")</f>
        <v/>
      </c>
      <c r="AE128" s="206" t="str">
        <f>IF(AND($A128&gt;=SYear_O, $A128&lt;=EYear_O, AE$3&gt;0), AE$3 * VLOOKUP($A128, Data_All!$A$8:$CA$153, MATCH(AE$2, Data_All!$B$2:$CA$2, 0)+1), "")</f>
        <v/>
      </c>
      <c r="AF128" s="206" t="str">
        <f>IF(AND($A128&gt;=SYear_O, $A128&lt;=EYear_O, AF$3&gt;0), AF$3 * VLOOKUP($A128, Data_All!$A$8:$CA$153, MATCH(AF$2, Data_All!$B$2:$CA$2, 0)+1), "")</f>
        <v/>
      </c>
      <c r="AG128" s="206" t="str">
        <f>IF(AND($A128&gt;=SYear_O, $A128&lt;=EYear_O, AG$3&gt;0), AG$3 * VLOOKUP($A128, Data_All!$A$8:$CA$153, MATCH(AG$2, Data_All!$B$2:$CA$2, 0)+1), "")</f>
        <v/>
      </c>
      <c r="AH128" s="206" t="str">
        <f>IF(AND($A128&gt;=SYear_O, $A128&lt;=EYear_O, AH$3&gt;0), AH$3 * VLOOKUP($A128, Data_All!$A$8:$CA$153, MATCH(AH$2, Data_All!$B$2:$CA$2, 0)+1), "")</f>
        <v/>
      </c>
      <c r="AI128" s="206" t="str">
        <f>IF(AND($A128&gt;=SYear_O, $A128&lt;=EYear_O, AI$3&gt;0), AI$3 * VLOOKUP($A128, Data_All!$A$8:$CA$153, MATCH(AI$2, Data_All!$B$2:$CA$2, 0)+1), "")</f>
        <v/>
      </c>
      <c r="AJ128" s="206" t="str">
        <f>IF(AND($A128&gt;=SYear_O, $A128&lt;=EYear_O, AJ$3&gt;0), AJ$3 * VLOOKUP($A128, Data_All!$A$8:$CA$153, MATCH(AJ$2, Data_All!$B$2:$CA$2, 0)+1), "")</f>
        <v/>
      </c>
      <c r="AK128" s="206" t="str">
        <f>IF(AND($A128&gt;=SYear_O, $A128&lt;=EYear_O, AK$3&gt;0), AK$3 * VLOOKUP($A128, Data_All!$A$8:$CA$153, MATCH(AK$2, Data_All!$B$2:$CA$2, 0)+1), "")</f>
        <v/>
      </c>
      <c r="AL128" s="206" t="str">
        <f>IF(AND($A128&gt;=SYear_O, $A128&lt;=EYear_O, AL$3&gt;0), AL$3 * VLOOKUP($A128, Data_All!$A$8:$CA$153, MATCH(AL$2, Data_All!$B$2:$CA$2, 0)+1), "")</f>
        <v/>
      </c>
      <c r="AM128" s="206" t="str">
        <f>IF(AND($A128&gt;=SYear_O, $A128&lt;=EYear_O, AM$3&gt;0), AM$3 * VLOOKUP($A128, Data_All!$A$8:$CA$153, MATCH(AM$2, Data_All!$B$2:$CA$2, 0)+1), "")</f>
        <v/>
      </c>
      <c r="AN128" s="206" t="str">
        <f>IF(AND($A128&gt;=SYear_O, $A128&lt;=EYear_O, AN$3&gt;0), AN$3 * VLOOKUP($A128, Data_All!$A$8:$CA$153, MATCH(AN$2, Data_All!$B$2:$CA$2, 0)+1), "")</f>
        <v/>
      </c>
      <c r="AO128" s="206" t="str">
        <f>IF(AND($A128&gt;=SYear_O, $A128&lt;=EYear_O, AO$3&gt;0), AO$3 * VLOOKUP($A128, Data_All!$A$8:$CA$153, MATCH(AO$2, Data_All!$B$2:$CA$2, 0)+1), "")</f>
        <v/>
      </c>
      <c r="AP128" s="206" t="str">
        <f>IF(AND($A128&gt;=SYear_O, $A128&lt;=EYear_O, AP$3&gt;0), AP$3 * VLOOKUP($A128, Data_All!$A$8:$CA$153, MATCH(AP$2, Data_All!$B$2:$CA$2, 0)+1), "")</f>
        <v/>
      </c>
      <c r="AQ128" s="206" t="str">
        <f>IF(AND($A128&gt;=SYear_O, $A128&lt;=EYear_O, AQ$3&gt;0), AQ$3 * VLOOKUP($A128, Data_All!$A$8:$CA$153, MATCH(AQ$2, Data_All!$B$2:$CA$2, 0)+1), "")</f>
        <v/>
      </c>
      <c r="AR128" s="206" t="str">
        <f>IF(AND($A128&gt;=SYear_O, $A128&lt;=EYear_O, AR$3&gt;0), AR$3 * VLOOKUP($A128, Data_All!$A$8:$CA$153, MATCH(AR$2, Data_All!$B$2:$CA$2, 0)+1), "")</f>
        <v/>
      </c>
      <c r="AS128" s="206" t="str">
        <f>IF(AND($A128&gt;=SYear_O, $A128&lt;=EYear_O, AS$3&gt;0), AS$3 * VLOOKUP($A128, Data_All!$A$8:$CA$153, MATCH(AS$2, Data_All!$B$2:$CA$2, 0)+1), "")</f>
        <v/>
      </c>
      <c r="AT128" s="206" t="str">
        <f>IF(AND($A128&gt;=SYear_O, $A128&lt;=EYear_O, AT$3&gt;0), AT$3 * VLOOKUP($A128, Data_All!$A$8:$CA$153, MATCH(AT$2, Data_All!$B$2:$CA$2, 0)+1), "")</f>
        <v/>
      </c>
      <c r="AU128" s="206" t="str">
        <f>IF(AND($A128&gt;=SYear_O, $A128&lt;=EYear_O, AU$3&gt;0), AU$3 * VLOOKUP($A128, Data_All!$A$8:$CA$153, MATCH(AU$2, Data_All!$B$2:$CA$2, 0)+1), "")</f>
        <v/>
      </c>
      <c r="AV128" s="206" t="str">
        <f>IF(AND($A128&gt;=SYear_O, $A128&lt;=EYear_O, AV$3&gt;0), AV$3 * VLOOKUP($A128, Data_All!$A$8:$CA$153, MATCH(AV$2, Data_All!$B$2:$CA$2, 0)+1), "")</f>
        <v/>
      </c>
      <c r="AW128" s="206" t="str">
        <f>IF(AND($A128&gt;=SYear_O, $A128&lt;=EYear_O, AW$3&gt;0), AW$3 * VLOOKUP($A128, Data_All!$A$8:$CA$153, MATCH(AW$2, Data_All!$B$2:$CA$2, 0)+1), "")</f>
        <v/>
      </c>
      <c r="AX128" s="206" t="str">
        <f>IF(AND($A128&gt;=SYear_O, $A128&lt;=EYear_O, AX$3&gt;0), AX$3 * VLOOKUP($A128, Data_All!$A$8:$CA$153, MATCH(AX$2, Data_All!$B$2:$CA$2, 0)+1), "")</f>
        <v/>
      </c>
      <c r="AY128" s="206" t="str">
        <f>IF(AND($A128&gt;=SYear_O, $A128&lt;=EYear_O, AY$3&gt;0), AY$3 * VLOOKUP($A128, Data_All!$A$8:$CA$153, MATCH(AY$2, Data_All!$B$2:$CA$2, 0)+1), "")</f>
        <v/>
      </c>
      <c r="AZ128" s="206" t="str">
        <f>IF(AND($A128&gt;=SYear_O, $A128&lt;=EYear_O, AZ$3&gt;0), AZ$3 * VLOOKUP($A128, Data_All!$A$8:$CA$153, MATCH(AZ$2, Data_All!$B$2:$CA$2, 0)+1), "")</f>
        <v/>
      </c>
      <c r="BA128" s="206" t="str">
        <f>IF(AND($A128&gt;=SYear_O, $A128&lt;=EYear_O, BA$3&gt;0), BA$3 * VLOOKUP($A128, Data_All!$A$8:$CA$153, MATCH(BA$2, Data_All!$B$2:$CA$2, 0)+1), "")</f>
        <v/>
      </c>
      <c r="BB128" s="206" t="str">
        <f>IF(AND($A128&gt;=SYear_O, $A128&lt;=EYear_O, BB$3&gt;0), BB$3 * VLOOKUP($A128, Data_All!$A$8:$CA$153, MATCH(BB$2, Data_All!$B$2:$CA$2, 0)+1), "")</f>
        <v/>
      </c>
      <c r="BC128" s="206" t="str">
        <f>IF(AND($A128&gt;=SYear_O, $A128&lt;=EYear_O, BC$3&gt;0), BC$3 * VLOOKUP($A128, Data_All!$A$8:$CA$153, MATCH(BC$2, Data_All!$B$2:$CA$2, 0)+1), "")</f>
        <v/>
      </c>
      <c r="BD128" s="206" t="str">
        <f>IF(AND($A128&gt;=SYear_O, $A128&lt;=EYear_O, BD$3&gt;0), BD$3 * VLOOKUP($A128, Data_All!$A$8:$CA$153, MATCH(BD$2, Data_All!$B$2:$CA$2, 0)+1), "")</f>
        <v/>
      </c>
      <c r="BE128" s="206" t="str">
        <f>IF(AND($A128&gt;=SYear_O, $A128&lt;=EYear_O, BE$3&gt;0), BE$3 * VLOOKUP($A128, Data_All!$A$8:$CA$153, MATCH(BE$2, Data_All!$B$2:$CA$2, 0)+1), "")</f>
        <v/>
      </c>
      <c r="BF128" s="206" t="str">
        <f>IF(AND($A128&gt;=SYear_O, $A128&lt;=EYear_O, BF$3&gt;0), BF$3 * VLOOKUP($A128, Data_All!$A$8:$CA$153, MATCH(BF$2, Data_All!$B$2:$CA$2, 0)+1), "")</f>
        <v/>
      </c>
      <c r="BG128" s="206" t="str">
        <f>IF(AND($A128&gt;=SYear_O, $A128&lt;=EYear_O, BG$3&gt;0), BG$3 * VLOOKUP($A128, Data_All!$A$8:$CA$153, MATCH(BG$2, Data_All!$B$2:$CA$2, 0)+1), "")</f>
        <v/>
      </c>
      <c r="BH128" s="206" t="str">
        <f>IF(AND($A128&gt;=SYear_O, $A128&lt;=EYear_O, BH$3&gt;0), BH$3 * VLOOKUP($A128, Data_All!$A$8:$CA$153, MATCH(BH$2, Data_All!$B$2:$CA$2, 0)+1), "")</f>
        <v/>
      </c>
      <c r="BI128" s="206" t="str">
        <f>IF(AND($A128&gt;=SYear_O, $A128&lt;=EYear_O, BI$3&gt;0), BI$3 * VLOOKUP($A128, Data_All!$A$8:$CA$153, MATCH(BI$2, Data_All!$B$2:$CA$2, 0)+1), "")</f>
        <v/>
      </c>
      <c r="BJ128" s="206" t="str">
        <f>IF(AND($A128&gt;=SYear_O, $A128&lt;=EYear_O, BJ$3&gt;0), BJ$3 * VLOOKUP($A128, Data_All!$A$8:$CA$153, MATCH(BJ$2, Data_All!$B$2:$CA$2, 0)+1), "")</f>
        <v/>
      </c>
      <c r="BK128" s="206" t="str">
        <f>IF(AND($A128&gt;=SYear_O, $A128&lt;=EYear_O, BK$3&gt;0), BK$3 * VLOOKUP($A128, Data_All!$A$8:$CA$153, MATCH(BK$2, Data_All!$B$2:$CA$2, 0)+1), "")</f>
        <v/>
      </c>
      <c r="BL128" s="206" t="str">
        <f>IF(AND($A128&gt;=SYear_O, $A128&lt;=EYear_O, BL$3&gt;0), BL$3 * VLOOKUP($A128, Data_All!$A$8:$CA$153, MATCH(BL$2, Data_All!$B$2:$CA$2, 0)+1), "")</f>
        <v/>
      </c>
      <c r="BM128" s="206" t="str">
        <f>IF(AND($A128&gt;=SYear_O, $A128&lt;=EYear_O, BM$3&gt;0), BM$3 * VLOOKUP($A128, Data_All!$A$8:$CA$153, MATCH(BM$2, Data_All!$B$2:$CA$2, 0)+1), "")</f>
        <v/>
      </c>
      <c r="BN128" s="206" t="str">
        <f>IF(AND($A128&gt;=SYear_O, $A128&lt;=EYear_O, BN$3&gt;0), BN$3 * VLOOKUP($A128, Data_All!$A$8:$CA$153, MATCH(BN$2, Data_All!$B$2:$CA$2, 0)+1), "")</f>
        <v/>
      </c>
      <c r="BO128" s="206" t="str">
        <f>IF(AND($A128&gt;=SYear_O, $A128&lt;=EYear_O, BO$3&gt;0), BO$3 * VLOOKUP($A128, Data_All!$A$8:$CA$153, MATCH(BO$2, Data_All!$B$2:$CA$2, 0)+1), "")</f>
        <v/>
      </c>
      <c r="BP128" s="206" t="str">
        <f>IF(AND($A128&gt;=SYear_O, $A128&lt;=EYear_O, BP$3&gt;0), BP$3 * VLOOKUP($A128, Data_All!$A$8:$CA$153, MATCH(BP$2, Data_All!$B$2:$CA$2, 0)+1), "")</f>
        <v/>
      </c>
      <c r="BQ128" s="206" t="str">
        <f>IF(AND($A128&gt;=SYear_O, $A128&lt;=EYear_O, BQ$3&gt;0), BQ$3 * VLOOKUP($A128, Data_All!$A$8:$CA$153, MATCH(BQ$2, Data_All!$B$2:$CA$2, 0)+1), "")</f>
        <v/>
      </c>
      <c r="BR128" s="206" t="str">
        <f>IF(AND($A128&gt;=SYear_O, $A128&lt;=EYear_O, BR$3&gt;0), BR$3 * VLOOKUP($A128, Data_All!$A$8:$CA$153, MATCH(BR$2, Data_All!$B$2:$CA$2, 0)+1), "")</f>
        <v/>
      </c>
      <c r="BS128" s="206" t="str">
        <f>IF(AND($A128&gt;=SYear_O, $A128&lt;=EYear_O, BS$3&gt;0), BS$3 * VLOOKUP($A128, Data_All!$A$8:$CA$153, MATCH(BS$2, Data_All!$B$2:$CA$2, 0)+1), "")</f>
        <v/>
      </c>
      <c r="BT128" s="206" t="str">
        <f>IF(AND($A128&gt;=SYear_O, $A128&lt;=EYear_O, BT$3&gt;0), BT$3 * VLOOKUP($A128, Data_All!$A$8:$CA$153, MATCH(BT$2, Data_All!$B$2:$CA$2, 0)+1), "")</f>
        <v/>
      </c>
      <c r="BU128" s="206" t="str">
        <f>IF(AND($A128&gt;=SYear_O, $A128&lt;=EYear_O, BU$3&gt;0), BU$3 * VLOOKUP($A128, Data_All!$A$8:$CA$153, MATCH(BU$2, Data_All!$B$2:$CA$2, 0)+1), "")</f>
        <v/>
      </c>
      <c r="BV128" s="206" t="str">
        <f>IF(AND($A128&gt;=SYear_O, $A128&lt;=EYear_O, BV$3&gt;0), BV$3 * VLOOKUP($A128, Data_All!$A$8:$CA$153, MATCH(BV$2, Data_All!$B$2:$CA$2, 0)+1), "")</f>
        <v/>
      </c>
      <c r="BW128" s="206" t="str">
        <f>IF(AND($A128&gt;=SYear_O, $A128&lt;=EYear_O, BW$3&gt;0), BW$3 * VLOOKUP($A128, Data_All!$A$8:$CA$153, MATCH(BW$2, Data_All!$B$2:$CA$2, 0)+1), "")</f>
        <v/>
      </c>
      <c r="BX128" s="206">
        <f>IF(AND($A128&gt;=SYear_O, $A128&lt;=EYear_O, BX$3&gt;0), BX$3 * VLOOKUP($A128, Data_All!$A$8:$CA$153, MATCH(BX$2, Data_All!$B$2:$CA$2, 0)+1), "")</f>
        <v>4.5467217842722629</v>
      </c>
      <c r="BY128" s="206">
        <f>IF(AND($A128&gt;=SYear_O, $A128&lt;=EYear_O, BY$3&gt;0), BY$3 * VLOOKUP($A128, Data_All!$A$8:$CA$153, MATCH(BY$2, Data_All!$B$2:$CA$2, 0)+1), "")</f>
        <v>3.6649707311553392</v>
      </c>
      <c r="BZ128" s="206" t="str">
        <f>IF(AND($A128&gt;=SYear_O, $A128&lt;=EYear_O, BZ$3&gt;0), BZ$3 * VLOOKUP($A128, Data_All!$A$8:$CA$153, MATCH(BZ$2, Data_All!$B$2:$CA$2, 0)+1), "")</f>
        <v/>
      </c>
      <c r="CA128" s="565">
        <f t="shared" si="52"/>
        <v>8.2116925154276021</v>
      </c>
      <c r="CB128" s="427">
        <f t="shared" si="53"/>
        <v>66490811.140107296</v>
      </c>
      <c r="CC128" s="565">
        <f>IF(AND($A128&gt;=SYear_O,$A128&lt;=EYear_O),(CA128-Data_All!CA129)/(1+Data_All!CA129%),"")</f>
        <v>5.1613276806023034</v>
      </c>
      <c r="CD128" s="436">
        <f t="shared" si="54"/>
        <v>5840349.0203648834</v>
      </c>
      <c r="CE128" s="438">
        <f t="shared" si="55"/>
        <v>6030.6659553863019</v>
      </c>
      <c r="CF128" s="438">
        <f>IF(AND($A128&gt;=SYear_O,$A128&lt;=EYear_O),MAX($CE$7:CE128),"")</f>
        <v>6030.6659553863019</v>
      </c>
      <c r="CG128" s="209">
        <f t="shared" si="56"/>
        <v>0</v>
      </c>
      <c r="CI128" s="143">
        <f>IF(AND($A128&gt;=SYear_O,$A128&lt;=EYear_O),Data_All!V129,"")</f>
        <v>3.53</v>
      </c>
      <c r="CJ128" s="143">
        <f>IF(AND($A128&gt;=SYear_O,$A128&lt;=EYear_O),Data_All!CA129,"")</f>
        <v>2.9006526468455363</v>
      </c>
      <c r="CK128" s="143">
        <f t="shared" si="57"/>
        <v>0.61160676532769931</v>
      </c>
      <c r="CN128" s="61">
        <f t="shared" si="58"/>
        <v>8.2116925154275933E-2</v>
      </c>
      <c r="CO128" s="61">
        <f t="shared" si="59"/>
        <v>5.9514425623822698E-2</v>
      </c>
      <c r="CP128" s="61">
        <f t="shared" si="60"/>
        <v>0.12283475388824927</v>
      </c>
      <c r="CQ128" s="61">
        <f t="shared" si="61"/>
        <v>0.10750986904475468</v>
      </c>
      <c r="CR128" s="61">
        <f t="shared" si="62"/>
        <v>9.1212091261532624E-2</v>
      </c>
      <c r="CU128" s="61">
        <f t="shared" si="63"/>
        <v>5.1613276806023123E-2</v>
      </c>
      <c r="CV128" s="61">
        <f t="shared" si="64"/>
        <v>3.0910657642963413E-2</v>
      </c>
      <c r="CW128" s="61">
        <f t="shared" si="65"/>
        <v>9.1862783204815779E-2</v>
      </c>
      <c r="CX128" s="61">
        <f t="shared" si="66"/>
        <v>8.038955432177386E-2</v>
      </c>
      <c r="CY128" s="61">
        <f t="shared" si="67"/>
        <v>6.3862195693404677E-2</v>
      </c>
    </row>
    <row r="129" spans="1:103">
      <c r="A129" s="204">
        <f t="shared" si="51"/>
        <v>1993</v>
      </c>
      <c r="B129" s="206" t="str">
        <f>IF(AND($A129&gt;=SYear_O, $A129&lt;=EYear_O, B$3&gt;0), B$3 * VLOOKUP($A129, Data_All!$A$8:$CA$153, MATCH(B$2, Data_All!$B$2:$CA$2, 0)+1), "")</f>
        <v/>
      </c>
      <c r="C129" s="206" t="str">
        <f>IF(AND($A129&gt;=SYear_O, $A129&lt;=EYear_O, C$3&gt;0), C$3 * VLOOKUP($A129, Data_All!$A$8:$CA$153, MATCH(C$2, Data_All!$B$2:$CA$2, 0)+1), "")</f>
        <v/>
      </c>
      <c r="D129" s="206" t="str">
        <f>IF(AND($A129&gt;=SYear_O, $A129&lt;=EYear_O, D$3&gt;0), D$3 * VLOOKUP($A129, Data_All!$A$8:$CA$153, MATCH(D$2, Data_All!$B$2:$CA$2, 0)+1), "")</f>
        <v/>
      </c>
      <c r="E129" s="206" t="str">
        <f>IF(AND($A129&gt;=SYear_O, $A129&lt;=EYear_O, E$3&gt;0), E$3 * VLOOKUP($A129, Data_All!$A$8:$CA$153, MATCH(E$2, Data_All!$B$2:$CA$2, 0)+1), "")</f>
        <v/>
      </c>
      <c r="F129" s="206" t="str">
        <f>IF(AND($A129&gt;=SYear_O, $A129&lt;=EYear_O, F$3&gt;0), F$3 * VLOOKUP($A129, Data_All!$A$8:$CA$153, MATCH(F$2, Data_All!$B$2:$CA$2, 0)+1), "")</f>
        <v/>
      </c>
      <c r="G129" s="206" t="str">
        <f>IF(AND($A129&gt;=SYear_O, $A129&lt;=EYear_O, G$3&gt;0), G$3 * VLOOKUP($A129, Data_All!$A$8:$CA$153, MATCH(G$2, Data_All!$B$2:$CA$2, 0)+1), "")</f>
        <v/>
      </c>
      <c r="H129" s="206" t="str">
        <f>IF(AND($A129&gt;=SYear_O, $A129&lt;=EYear_O, H$3&gt;0), H$3 * VLOOKUP($A129, Data_All!$A$8:$CA$153, MATCH(H$2, Data_All!$B$2:$CA$2, 0)+1), "")</f>
        <v/>
      </c>
      <c r="I129" s="206" t="str">
        <f>IF(AND($A129&gt;=SYear_O, $A129&lt;=EYear_O, I$3&gt;0), I$3 * VLOOKUP($A129, Data_All!$A$8:$CA$153, MATCH(I$2, Data_All!$B$2:$CA$2, 0)+1), "")</f>
        <v/>
      </c>
      <c r="J129" s="206" t="str">
        <f>IF(AND($A129&gt;=SYear_O, $A129&lt;=EYear_O, J$3&gt;0), J$3 * VLOOKUP($A129, Data_All!$A$8:$CA$153, MATCH(J$2, Data_All!$B$2:$CA$2, 0)+1), "")</f>
        <v/>
      </c>
      <c r="K129" s="206" t="str">
        <f>IF(AND($A129&gt;=SYear_O, $A129&lt;=EYear_O, K$3&gt;0), K$3 * VLOOKUP($A129, Data_All!$A$8:$CA$153, MATCH(K$2, Data_All!$B$2:$CA$2, 0)+1), "")</f>
        <v/>
      </c>
      <c r="L129" s="206" t="str">
        <f>IF(AND($A129&gt;=SYear_O, $A129&lt;=EYear_O, L$3&gt;0), L$3 * VLOOKUP($A129, Data_All!$A$8:$CA$153, MATCH(L$2, Data_All!$B$2:$CA$2, 0)+1), "")</f>
        <v/>
      </c>
      <c r="M129" s="206" t="str">
        <f>IF(AND($A129&gt;=SYear_O, $A129&lt;=EYear_O, M$3&gt;0), M$3 * VLOOKUP($A129, Data_All!$A$8:$CA$153, MATCH(M$2, Data_All!$B$2:$CA$2, 0)+1), "")</f>
        <v/>
      </c>
      <c r="N129" s="206" t="str">
        <f>IF(AND($A129&gt;=SYear_O, $A129&lt;=EYear_O, N$3&gt;0), N$3 * VLOOKUP($A129, Data_All!$A$8:$CA$153, MATCH(N$2, Data_All!$B$2:$CA$2, 0)+1), "")</f>
        <v/>
      </c>
      <c r="O129" s="206" t="str">
        <f>IF(AND($A129&gt;=SYear_O, $A129&lt;=EYear_O, O$3&gt;0), O$3 * VLOOKUP($A129, Data_All!$A$8:$CA$153, MATCH(O$2, Data_All!$B$2:$CA$2, 0)+1), "")</f>
        <v/>
      </c>
      <c r="P129" s="206" t="str">
        <f>IF(AND($A129&gt;=SYear_O, $A129&lt;=EYear_O, P$3&gt;0), P$3 * VLOOKUP($A129, Data_All!$A$8:$CA$153, MATCH(P$2, Data_All!$B$2:$CA$2, 0)+1), "")</f>
        <v/>
      </c>
      <c r="Q129" s="206" t="str">
        <f>IF(AND($A129&gt;=SYear_O, $A129&lt;=EYear_O, Q$3&gt;0), Q$3 * VLOOKUP($A129, Data_All!$A$8:$CA$153, MATCH(Q$2, Data_All!$B$2:$CA$2, 0)+1), "")</f>
        <v/>
      </c>
      <c r="R129" s="206" t="str">
        <f>IF(AND($A129&gt;=SYear_O, $A129&lt;=EYear_O, R$3&gt;0), R$3 * VLOOKUP($A129, Data_All!$A$8:$CA$153, MATCH(R$2, Data_All!$B$2:$CA$2, 0)+1), "")</f>
        <v/>
      </c>
      <c r="S129" s="206" t="str">
        <f>IF(AND($A129&gt;=SYear_O, $A129&lt;=EYear_O, S$3&gt;0), S$3 * VLOOKUP($A129, Data_All!$A$8:$CA$153, MATCH(S$2, Data_All!$B$2:$CA$2, 0)+1), "")</f>
        <v/>
      </c>
      <c r="T129" s="206" t="str">
        <f>IF(AND($A129&gt;=SYear_O, $A129&lt;=EYear_O, T$3&gt;0), T$3 * VLOOKUP($A129, Data_All!$A$8:$CA$153, MATCH(T$2, Data_All!$B$2:$CA$2, 0)+1), "")</f>
        <v/>
      </c>
      <c r="U129" s="206" t="str">
        <f>IF(AND($A129&gt;=SYear_O, $A129&lt;=EYear_O, U$3&gt;0), U$3 * VLOOKUP($A129, Data_All!$A$8:$CA$153, MATCH(U$2, Data_All!$B$2:$CA$2, 0)+1), "")</f>
        <v/>
      </c>
      <c r="V129" s="206" t="str">
        <f>IF(AND($A129&gt;=SYear_O, $A129&lt;=EYear_O, V$3&gt;0), V$3 * VLOOKUP($A129, Data_All!$A$8:$CA$153, MATCH(V$2, Data_All!$B$2:$CA$2, 0)+1), "")</f>
        <v/>
      </c>
      <c r="W129" s="206" t="str">
        <f>IF(AND($A129&gt;=SYear_O, $A129&lt;=EYear_O, W$3&gt;0), W$3 * VLOOKUP($A129, Data_All!$A$8:$CA$153, MATCH(W$2, Data_All!$B$2:$CA$2, 0)+1), "")</f>
        <v/>
      </c>
      <c r="X129" s="206" t="str">
        <f>IF(AND($A129&gt;=SYear_O, $A129&lt;=EYear_O, X$3&gt;0), X$3 * VLOOKUP($A129, Data_All!$A$8:$CA$153, MATCH(X$2, Data_All!$B$2:$CA$2, 0)+1), "")</f>
        <v/>
      </c>
      <c r="Y129" s="206" t="str">
        <f>IF(AND($A129&gt;=SYear_O, $A129&lt;=EYear_O, Y$3&gt;0), Y$3 * VLOOKUP($A129, Data_All!$A$8:$CA$153, MATCH(Y$2, Data_All!$B$2:$CA$2, 0)+1), "")</f>
        <v/>
      </c>
      <c r="Z129" s="206" t="str">
        <f>IF(AND($A129&gt;=SYear_O, $A129&lt;=EYear_O, Z$3&gt;0), Z$3 * VLOOKUP($A129, Data_All!$A$8:$CA$153, MATCH(Z$2, Data_All!$B$2:$CA$2, 0)+1), "")</f>
        <v/>
      </c>
      <c r="AA129" s="206" t="str">
        <f>IF(AND($A129&gt;=SYear_O, $A129&lt;=EYear_O, AA$3&gt;0), AA$3 * VLOOKUP($A129, Data_All!$A$8:$CA$153, MATCH(AA$2, Data_All!$B$2:$CA$2, 0)+1), "")</f>
        <v/>
      </c>
      <c r="AB129" s="206" t="str">
        <f>IF(AND($A129&gt;=SYear_O, $A129&lt;=EYear_O, AB$3&gt;0), AB$3 * VLOOKUP($A129, Data_All!$A$8:$CA$153, MATCH(AB$2, Data_All!$B$2:$CA$2, 0)+1), "")</f>
        <v/>
      </c>
      <c r="AC129" s="206" t="str">
        <f>IF(AND($A129&gt;=SYear_O, $A129&lt;=EYear_O, AC$3&gt;0), AC$3 * VLOOKUP($A129, Data_All!$A$8:$CA$153, MATCH(AC$2, Data_All!$B$2:$CA$2, 0)+1), "")</f>
        <v/>
      </c>
      <c r="AD129" s="206" t="str">
        <f>IF(AND($A129&gt;=SYear_O, $A129&lt;=EYear_O, AD$3&gt;0), AD$3 * VLOOKUP($A129, Data_All!$A$8:$CA$153, MATCH(AD$2, Data_All!$B$2:$CA$2, 0)+1), "")</f>
        <v/>
      </c>
      <c r="AE129" s="206" t="str">
        <f>IF(AND($A129&gt;=SYear_O, $A129&lt;=EYear_O, AE$3&gt;0), AE$3 * VLOOKUP($A129, Data_All!$A$8:$CA$153, MATCH(AE$2, Data_All!$B$2:$CA$2, 0)+1), "")</f>
        <v/>
      </c>
      <c r="AF129" s="206" t="str">
        <f>IF(AND($A129&gt;=SYear_O, $A129&lt;=EYear_O, AF$3&gt;0), AF$3 * VLOOKUP($A129, Data_All!$A$8:$CA$153, MATCH(AF$2, Data_All!$B$2:$CA$2, 0)+1), "")</f>
        <v/>
      </c>
      <c r="AG129" s="206" t="str">
        <f>IF(AND($A129&gt;=SYear_O, $A129&lt;=EYear_O, AG$3&gt;0), AG$3 * VLOOKUP($A129, Data_All!$A$8:$CA$153, MATCH(AG$2, Data_All!$B$2:$CA$2, 0)+1), "")</f>
        <v/>
      </c>
      <c r="AH129" s="206" t="str">
        <f>IF(AND($A129&gt;=SYear_O, $A129&lt;=EYear_O, AH$3&gt;0), AH$3 * VLOOKUP($A129, Data_All!$A$8:$CA$153, MATCH(AH$2, Data_All!$B$2:$CA$2, 0)+1), "")</f>
        <v/>
      </c>
      <c r="AI129" s="206" t="str">
        <f>IF(AND($A129&gt;=SYear_O, $A129&lt;=EYear_O, AI$3&gt;0), AI$3 * VLOOKUP($A129, Data_All!$A$8:$CA$153, MATCH(AI$2, Data_All!$B$2:$CA$2, 0)+1), "")</f>
        <v/>
      </c>
      <c r="AJ129" s="206" t="str">
        <f>IF(AND($A129&gt;=SYear_O, $A129&lt;=EYear_O, AJ$3&gt;0), AJ$3 * VLOOKUP($A129, Data_All!$A$8:$CA$153, MATCH(AJ$2, Data_All!$B$2:$CA$2, 0)+1), "")</f>
        <v/>
      </c>
      <c r="AK129" s="206" t="str">
        <f>IF(AND($A129&gt;=SYear_O, $A129&lt;=EYear_O, AK$3&gt;0), AK$3 * VLOOKUP($A129, Data_All!$A$8:$CA$153, MATCH(AK$2, Data_All!$B$2:$CA$2, 0)+1), "")</f>
        <v/>
      </c>
      <c r="AL129" s="206" t="str">
        <f>IF(AND($A129&gt;=SYear_O, $A129&lt;=EYear_O, AL$3&gt;0), AL$3 * VLOOKUP($A129, Data_All!$A$8:$CA$153, MATCH(AL$2, Data_All!$B$2:$CA$2, 0)+1), "")</f>
        <v/>
      </c>
      <c r="AM129" s="206" t="str">
        <f>IF(AND($A129&gt;=SYear_O, $A129&lt;=EYear_O, AM$3&gt;0), AM$3 * VLOOKUP($A129, Data_All!$A$8:$CA$153, MATCH(AM$2, Data_All!$B$2:$CA$2, 0)+1), "")</f>
        <v/>
      </c>
      <c r="AN129" s="206" t="str">
        <f>IF(AND($A129&gt;=SYear_O, $A129&lt;=EYear_O, AN$3&gt;0), AN$3 * VLOOKUP($A129, Data_All!$A$8:$CA$153, MATCH(AN$2, Data_All!$B$2:$CA$2, 0)+1), "")</f>
        <v/>
      </c>
      <c r="AO129" s="206" t="str">
        <f>IF(AND($A129&gt;=SYear_O, $A129&lt;=EYear_O, AO$3&gt;0), AO$3 * VLOOKUP($A129, Data_All!$A$8:$CA$153, MATCH(AO$2, Data_All!$B$2:$CA$2, 0)+1), "")</f>
        <v/>
      </c>
      <c r="AP129" s="206" t="str">
        <f>IF(AND($A129&gt;=SYear_O, $A129&lt;=EYear_O, AP$3&gt;0), AP$3 * VLOOKUP($A129, Data_All!$A$8:$CA$153, MATCH(AP$2, Data_All!$B$2:$CA$2, 0)+1), "")</f>
        <v/>
      </c>
      <c r="AQ129" s="206" t="str">
        <f>IF(AND($A129&gt;=SYear_O, $A129&lt;=EYear_O, AQ$3&gt;0), AQ$3 * VLOOKUP($A129, Data_All!$A$8:$CA$153, MATCH(AQ$2, Data_All!$B$2:$CA$2, 0)+1), "")</f>
        <v/>
      </c>
      <c r="AR129" s="206" t="str">
        <f>IF(AND($A129&gt;=SYear_O, $A129&lt;=EYear_O, AR$3&gt;0), AR$3 * VLOOKUP($A129, Data_All!$A$8:$CA$153, MATCH(AR$2, Data_All!$B$2:$CA$2, 0)+1), "")</f>
        <v/>
      </c>
      <c r="AS129" s="206" t="str">
        <f>IF(AND($A129&gt;=SYear_O, $A129&lt;=EYear_O, AS$3&gt;0), AS$3 * VLOOKUP($A129, Data_All!$A$8:$CA$153, MATCH(AS$2, Data_All!$B$2:$CA$2, 0)+1), "")</f>
        <v/>
      </c>
      <c r="AT129" s="206" t="str">
        <f>IF(AND($A129&gt;=SYear_O, $A129&lt;=EYear_O, AT$3&gt;0), AT$3 * VLOOKUP($A129, Data_All!$A$8:$CA$153, MATCH(AT$2, Data_All!$B$2:$CA$2, 0)+1), "")</f>
        <v/>
      </c>
      <c r="AU129" s="206" t="str">
        <f>IF(AND($A129&gt;=SYear_O, $A129&lt;=EYear_O, AU$3&gt;0), AU$3 * VLOOKUP($A129, Data_All!$A$8:$CA$153, MATCH(AU$2, Data_All!$B$2:$CA$2, 0)+1), "")</f>
        <v/>
      </c>
      <c r="AV129" s="206" t="str">
        <f>IF(AND($A129&gt;=SYear_O, $A129&lt;=EYear_O, AV$3&gt;0), AV$3 * VLOOKUP($A129, Data_All!$A$8:$CA$153, MATCH(AV$2, Data_All!$B$2:$CA$2, 0)+1), "")</f>
        <v/>
      </c>
      <c r="AW129" s="206" t="str">
        <f>IF(AND($A129&gt;=SYear_O, $A129&lt;=EYear_O, AW$3&gt;0), AW$3 * VLOOKUP($A129, Data_All!$A$8:$CA$153, MATCH(AW$2, Data_All!$B$2:$CA$2, 0)+1), "")</f>
        <v/>
      </c>
      <c r="AX129" s="206" t="str">
        <f>IF(AND($A129&gt;=SYear_O, $A129&lt;=EYear_O, AX$3&gt;0), AX$3 * VLOOKUP($A129, Data_All!$A$8:$CA$153, MATCH(AX$2, Data_All!$B$2:$CA$2, 0)+1), "")</f>
        <v/>
      </c>
      <c r="AY129" s="206" t="str">
        <f>IF(AND($A129&gt;=SYear_O, $A129&lt;=EYear_O, AY$3&gt;0), AY$3 * VLOOKUP($A129, Data_All!$A$8:$CA$153, MATCH(AY$2, Data_All!$B$2:$CA$2, 0)+1), "")</f>
        <v/>
      </c>
      <c r="AZ129" s="206" t="str">
        <f>IF(AND($A129&gt;=SYear_O, $A129&lt;=EYear_O, AZ$3&gt;0), AZ$3 * VLOOKUP($A129, Data_All!$A$8:$CA$153, MATCH(AZ$2, Data_All!$B$2:$CA$2, 0)+1), "")</f>
        <v/>
      </c>
      <c r="BA129" s="206" t="str">
        <f>IF(AND($A129&gt;=SYear_O, $A129&lt;=EYear_O, BA$3&gt;0), BA$3 * VLOOKUP($A129, Data_All!$A$8:$CA$153, MATCH(BA$2, Data_All!$B$2:$CA$2, 0)+1), "")</f>
        <v/>
      </c>
      <c r="BB129" s="206" t="str">
        <f>IF(AND($A129&gt;=SYear_O, $A129&lt;=EYear_O, BB$3&gt;0), BB$3 * VLOOKUP($A129, Data_All!$A$8:$CA$153, MATCH(BB$2, Data_All!$B$2:$CA$2, 0)+1), "")</f>
        <v/>
      </c>
      <c r="BC129" s="206" t="str">
        <f>IF(AND($A129&gt;=SYear_O, $A129&lt;=EYear_O, BC$3&gt;0), BC$3 * VLOOKUP($A129, Data_All!$A$8:$CA$153, MATCH(BC$2, Data_All!$B$2:$CA$2, 0)+1), "")</f>
        <v/>
      </c>
      <c r="BD129" s="206" t="str">
        <f>IF(AND($A129&gt;=SYear_O, $A129&lt;=EYear_O, BD$3&gt;0), BD$3 * VLOOKUP($A129, Data_All!$A$8:$CA$153, MATCH(BD$2, Data_All!$B$2:$CA$2, 0)+1), "")</f>
        <v/>
      </c>
      <c r="BE129" s="206" t="str">
        <f>IF(AND($A129&gt;=SYear_O, $A129&lt;=EYear_O, BE$3&gt;0), BE$3 * VLOOKUP($A129, Data_All!$A$8:$CA$153, MATCH(BE$2, Data_All!$B$2:$CA$2, 0)+1), "")</f>
        <v/>
      </c>
      <c r="BF129" s="206" t="str">
        <f>IF(AND($A129&gt;=SYear_O, $A129&lt;=EYear_O, BF$3&gt;0), BF$3 * VLOOKUP($A129, Data_All!$A$8:$CA$153, MATCH(BF$2, Data_All!$B$2:$CA$2, 0)+1), "")</f>
        <v/>
      </c>
      <c r="BG129" s="206" t="str">
        <f>IF(AND($A129&gt;=SYear_O, $A129&lt;=EYear_O, BG$3&gt;0), BG$3 * VLOOKUP($A129, Data_All!$A$8:$CA$153, MATCH(BG$2, Data_All!$B$2:$CA$2, 0)+1), "")</f>
        <v/>
      </c>
      <c r="BH129" s="206" t="str">
        <f>IF(AND($A129&gt;=SYear_O, $A129&lt;=EYear_O, BH$3&gt;0), BH$3 * VLOOKUP($A129, Data_All!$A$8:$CA$153, MATCH(BH$2, Data_All!$B$2:$CA$2, 0)+1), "")</f>
        <v/>
      </c>
      <c r="BI129" s="206" t="str">
        <f>IF(AND($A129&gt;=SYear_O, $A129&lt;=EYear_O, BI$3&gt;0), BI$3 * VLOOKUP($A129, Data_All!$A$8:$CA$153, MATCH(BI$2, Data_All!$B$2:$CA$2, 0)+1), "")</f>
        <v/>
      </c>
      <c r="BJ129" s="206" t="str">
        <f>IF(AND($A129&gt;=SYear_O, $A129&lt;=EYear_O, BJ$3&gt;0), BJ$3 * VLOOKUP($A129, Data_All!$A$8:$CA$153, MATCH(BJ$2, Data_All!$B$2:$CA$2, 0)+1), "")</f>
        <v/>
      </c>
      <c r="BK129" s="206" t="str">
        <f>IF(AND($A129&gt;=SYear_O, $A129&lt;=EYear_O, BK$3&gt;0), BK$3 * VLOOKUP($A129, Data_All!$A$8:$CA$153, MATCH(BK$2, Data_All!$B$2:$CA$2, 0)+1), "")</f>
        <v/>
      </c>
      <c r="BL129" s="206" t="str">
        <f>IF(AND($A129&gt;=SYear_O, $A129&lt;=EYear_O, BL$3&gt;0), BL$3 * VLOOKUP($A129, Data_All!$A$8:$CA$153, MATCH(BL$2, Data_All!$B$2:$CA$2, 0)+1), "")</f>
        <v/>
      </c>
      <c r="BM129" s="206" t="str">
        <f>IF(AND($A129&gt;=SYear_O, $A129&lt;=EYear_O, BM$3&gt;0), BM$3 * VLOOKUP($A129, Data_All!$A$8:$CA$153, MATCH(BM$2, Data_All!$B$2:$CA$2, 0)+1), "")</f>
        <v/>
      </c>
      <c r="BN129" s="206" t="str">
        <f>IF(AND($A129&gt;=SYear_O, $A129&lt;=EYear_O, BN$3&gt;0), BN$3 * VLOOKUP($A129, Data_All!$A$8:$CA$153, MATCH(BN$2, Data_All!$B$2:$CA$2, 0)+1), "")</f>
        <v/>
      </c>
      <c r="BO129" s="206" t="str">
        <f>IF(AND($A129&gt;=SYear_O, $A129&lt;=EYear_O, BO$3&gt;0), BO$3 * VLOOKUP($A129, Data_All!$A$8:$CA$153, MATCH(BO$2, Data_All!$B$2:$CA$2, 0)+1), "")</f>
        <v/>
      </c>
      <c r="BP129" s="206" t="str">
        <f>IF(AND($A129&gt;=SYear_O, $A129&lt;=EYear_O, BP$3&gt;0), BP$3 * VLOOKUP($A129, Data_All!$A$8:$CA$153, MATCH(BP$2, Data_All!$B$2:$CA$2, 0)+1), "")</f>
        <v/>
      </c>
      <c r="BQ129" s="206" t="str">
        <f>IF(AND($A129&gt;=SYear_O, $A129&lt;=EYear_O, BQ$3&gt;0), BQ$3 * VLOOKUP($A129, Data_All!$A$8:$CA$153, MATCH(BQ$2, Data_All!$B$2:$CA$2, 0)+1), "")</f>
        <v/>
      </c>
      <c r="BR129" s="206" t="str">
        <f>IF(AND($A129&gt;=SYear_O, $A129&lt;=EYear_O, BR$3&gt;0), BR$3 * VLOOKUP($A129, Data_All!$A$8:$CA$153, MATCH(BR$2, Data_All!$B$2:$CA$2, 0)+1), "")</f>
        <v/>
      </c>
      <c r="BS129" s="206" t="str">
        <f>IF(AND($A129&gt;=SYear_O, $A129&lt;=EYear_O, BS$3&gt;0), BS$3 * VLOOKUP($A129, Data_All!$A$8:$CA$153, MATCH(BS$2, Data_All!$B$2:$CA$2, 0)+1), "")</f>
        <v/>
      </c>
      <c r="BT129" s="206" t="str">
        <f>IF(AND($A129&gt;=SYear_O, $A129&lt;=EYear_O, BT$3&gt;0), BT$3 * VLOOKUP($A129, Data_All!$A$8:$CA$153, MATCH(BT$2, Data_All!$B$2:$CA$2, 0)+1), "")</f>
        <v/>
      </c>
      <c r="BU129" s="206" t="str">
        <f>IF(AND($A129&gt;=SYear_O, $A129&lt;=EYear_O, BU$3&gt;0), BU$3 * VLOOKUP($A129, Data_All!$A$8:$CA$153, MATCH(BU$2, Data_All!$B$2:$CA$2, 0)+1), "")</f>
        <v/>
      </c>
      <c r="BV129" s="206" t="str">
        <f>IF(AND($A129&gt;=SYear_O, $A129&lt;=EYear_O, BV$3&gt;0), BV$3 * VLOOKUP($A129, Data_All!$A$8:$CA$153, MATCH(BV$2, Data_All!$B$2:$CA$2, 0)+1), "")</f>
        <v/>
      </c>
      <c r="BW129" s="206" t="str">
        <f>IF(AND($A129&gt;=SYear_O, $A129&lt;=EYear_O, BW$3&gt;0), BW$3 * VLOOKUP($A129, Data_All!$A$8:$CA$153, MATCH(BW$2, Data_All!$B$2:$CA$2, 0)+1), "")</f>
        <v/>
      </c>
      <c r="BX129" s="206">
        <f>IF(AND($A129&gt;=SYear_O, $A129&lt;=EYear_O, BX$3&gt;0), BX$3 * VLOOKUP($A129, Data_All!$A$8:$CA$153, MATCH(BX$2, Data_All!$B$2:$CA$2, 0)+1), "")</f>
        <v>6.9397789674424981</v>
      </c>
      <c r="BY129" s="206">
        <f>IF(AND($A129&gt;=SYear_O, $A129&lt;=EYear_O, BY$3&gt;0), BY$3 * VLOOKUP($A129, Data_All!$A$8:$CA$153, MATCH(BY$2, Data_All!$B$2:$CA$2, 0)+1), "")</f>
        <v>4.0518973202639961</v>
      </c>
      <c r="BZ129" s="206" t="str">
        <f>IF(AND($A129&gt;=SYear_O, $A129&lt;=EYear_O, BZ$3&gt;0), BZ$3 * VLOOKUP($A129, Data_All!$A$8:$CA$153, MATCH(BZ$2, Data_All!$B$2:$CA$2, 0)+1), "")</f>
        <v/>
      </c>
      <c r="CA129" s="565">
        <f t="shared" si="52"/>
        <v>10.991676287706493</v>
      </c>
      <c r="CB129" s="427">
        <f t="shared" si="53"/>
        <v>73799265.86169818</v>
      </c>
      <c r="CC129" s="565">
        <f>IF(AND($A129&gt;=SYear_O,$A129&lt;=EYear_O),(CA129-Data_All!CA130)/(1+Data_All!CA130%),"")</f>
        <v>8.0227631359777103</v>
      </c>
      <c r="CD129" s="436">
        <f t="shared" si="54"/>
        <v>6308906.3885831526</v>
      </c>
      <c r="CE129" s="438">
        <f t="shared" si="55"/>
        <v>6693.5372351952865</v>
      </c>
      <c r="CF129" s="438">
        <f>IF(AND($A129&gt;=SYear_O,$A129&lt;=EYear_O),MAX($CE$7:CE129),"")</f>
        <v>6693.5372351952865</v>
      </c>
      <c r="CG129" s="209">
        <f t="shared" si="56"/>
        <v>0</v>
      </c>
      <c r="CI129" s="143">
        <f>IF(AND($A129&gt;=SYear_O,$A129&lt;=EYear_O),Data_All!V130,"")</f>
        <v>2.86</v>
      </c>
      <c r="CJ129" s="143">
        <f>IF(AND($A129&gt;=SYear_O,$A129&lt;=EYear_O),Data_All!CA130,"")</f>
        <v>2.748414376321362</v>
      </c>
      <c r="CK129" s="143">
        <f t="shared" si="57"/>
        <v>0.10860082304525868</v>
      </c>
      <c r="CN129" s="61">
        <f t="shared" si="58"/>
        <v>0.10991676287706498</v>
      </c>
      <c r="CO129" s="61">
        <f t="shared" si="59"/>
        <v>0.12132562362930988</v>
      </c>
      <c r="CP129" s="61">
        <f t="shared" si="60"/>
        <v>0.14809191344213457</v>
      </c>
      <c r="CQ129" s="61">
        <f t="shared" si="61"/>
        <v>9.0040351662857843E-2</v>
      </c>
      <c r="CR129" s="61">
        <f t="shared" si="62"/>
        <v>8.8405036084278743E-2</v>
      </c>
      <c r="CU129" s="61">
        <f t="shared" si="63"/>
        <v>8.0227631359777174E-2</v>
      </c>
      <c r="CV129" s="61">
        <f t="shared" si="64"/>
        <v>9.2336431126705421E-2</v>
      </c>
      <c r="CW129" s="61">
        <f t="shared" si="65"/>
        <v>0.11904168256799164</v>
      </c>
      <c r="CX129" s="61">
        <f t="shared" si="66"/>
        <v>6.3890566511066726E-2</v>
      </c>
      <c r="CY129" s="61">
        <f t="shared" si="67"/>
        <v>6.0318778776330406E-2</v>
      </c>
    </row>
    <row r="130" spans="1:103">
      <c r="A130" s="204">
        <f t="shared" si="51"/>
        <v>1994</v>
      </c>
      <c r="B130" s="206" t="str">
        <f>IF(AND($A130&gt;=SYear_O, $A130&lt;=EYear_O, B$3&gt;0), B$3 * VLOOKUP($A130, Data_All!$A$8:$CA$153, MATCH(B$2, Data_All!$B$2:$CA$2, 0)+1), "")</f>
        <v/>
      </c>
      <c r="C130" s="206" t="str">
        <f>IF(AND($A130&gt;=SYear_O, $A130&lt;=EYear_O, C$3&gt;0), C$3 * VLOOKUP($A130, Data_All!$A$8:$CA$153, MATCH(C$2, Data_All!$B$2:$CA$2, 0)+1), "")</f>
        <v/>
      </c>
      <c r="D130" s="206" t="str">
        <f>IF(AND($A130&gt;=SYear_O, $A130&lt;=EYear_O, D$3&gt;0), D$3 * VLOOKUP($A130, Data_All!$A$8:$CA$153, MATCH(D$2, Data_All!$B$2:$CA$2, 0)+1), "")</f>
        <v/>
      </c>
      <c r="E130" s="206" t="str">
        <f>IF(AND($A130&gt;=SYear_O, $A130&lt;=EYear_O, E$3&gt;0), E$3 * VLOOKUP($A130, Data_All!$A$8:$CA$153, MATCH(E$2, Data_All!$B$2:$CA$2, 0)+1), "")</f>
        <v/>
      </c>
      <c r="F130" s="206" t="str">
        <f>IF(AND($A130&gt;=SYear_O, $A130&lt;=EYear_O, F$3&gt;0), F$3 * VLOOKUP($A130, Data_All!$A$8:$CA$153, MATCH(F$2, Data_All!$B$2:$CA$2, 0)+1), "")</f>
        <v/>
      </c>
      <c r="G130" s="206" t="str">
        <f>IF(AND($A130&gt;=SYear_O, $A130&lt;=EYear_O, G$3&gt;0), G$3 * VLOOKUP($A130, Data_All!$A$8:$CA$153, MATCH(G$2, Data_All!$B$2:$CA$2, 0)+1), "")</f>
        <v/>
      </c>
      <c r="H130" s="206" t="str">
        <f>IF(AND($A130&gt;=SYear_O, $A130&lt;=EYear_O, H$3&gt;0), H$3 * VLOOKUP($A130, Data_All!$A$8:$CA$153, MATCH(H$2, Data_All!$B$2:$CA$2, 0)+1), "")</f>
        <v/>
      </c>
      <c r="I130" s="206" t="str">
        <f>IF(AND($A130&gt;=SYear_O, $A130&lt;=EYear_O, I$3&gt;0), I$3 * VLOOKUP($A130, Data_All!$A$8:$CA$153, MATCH(I$2, Data_All!$B$2:$CA$2, 0)+1), "")</f>
        <v/>
      </c>
      <c r="J130" s="206" t="str">
        <f>IF(AND($A130&gt;=SYear_O, $A130&lt;=EYear_O, J$3&gt;0), J$3 * VLOOKUP($A130, Data_All!$A$8:$CA$153, MATCH(J$2, Data_All!$B$2:$CA$2, 0)+1), "")</f>
        <v/>
      </c>
      <c r="K130" s="206" t="str">
        <f>IF(AND($A130&gt;=SYear_O, $A130&lt;=EYear_O, K$3&gt;0), K$3 * VLOOKUP($A130, Data_All!$A$8:$CA$153, MATCH(K$2, Data_All!$B$2:$CA$2, 0)+1), "")</f>
        <v/>
      </c>
      <c r="L130" s="206" t="str">
        <f>IF(AND($A130&gt;=SYear_O, $A130&lt;=EYear_O, L$3&gt;0), L$3 * VLOOKUP($A130, Data_All!$A$8:$CA$153, MATCH(L$2, Data_All!$B$2:$CA$2, 0)+1), "")</f>
        <v/>
      </c>
      <c r="M130" s="206" t="str">
        <f>IF(AND($A130&gt;=SYear_O, $A130&lt;=EYear_O, M$3&gt;0), M$3 * VLOOKUP($A130, Data_All!$A$8:$CA$153, MATCH(M$2, Data_All!$B$2:$CA$2, 0)+1), "")</f>
        <v/>
      </c>
      <c r="N130" s="206" t="str">
        <f>IF(AND($A130&gt;=SYear_O, $A130&lt;=EYear_O, N$3&gt;0), N$3 * VLOOKUP($A130, Data_All!$A$8:$CA$153, MATCH(N$2, Data_All!$B$2:$CA$2, 0)+1), "")</f>
        <v/>
      </c>
      <c r="O130" s="206" t="str">
        <f>IF(AND($A130&gt;=SYear_O, $A130&lt;=EYear_O, O$3&gt;0), O$3 * VLOOKUP($A130, Data_All!$A$8:$CA$153, MATCH(O$2, Data_All!$B$2:$CA$2, 0)+1), "")</f>
        <v/>
      </c>
      <c r="P130" s="206" t="str">
        <f>IF(AND($A130&gt;=SYear_O, $A130&lt;=EYear_O, P$3&gt;0), P$3 * VLOOKUP($A130, Data_All!$A$8:$CA$153, MATCH(P$2, Data_All!$B$2:$CA$2, 0)+1), "")</f>
        <v/>
      </c>
      <c r="Q130" s="206" t="str">
        <f>IF(AND($A130&gt;=SYear_O, $A130&lt;=EYear_O, Q$3&gt;0), Q$3 * VLOOKUP($A130, Data_All!$A$8:$CA$153, MATCH(Q$2, Data_All!$B$2:$CA$2, 0)+1), "")</f>
        <v/>
      </c>
      <c r="R130" s="206" t="str">
        <f>IF(AND($A130&gt;=SYear_O, $A130&lt;=EYear_O, R$3&gt;0), R$3 * VLOOKUP($A130, Data_All!$A$8:$CA$153, MATCH(R$2, Data_All!$B$2:$CA$2, 0)+1), "")</f>
        <v/>
      </c>
      <c r="S130" s="206" t="str">
        <f>IF(AND($A130&gt;=SYear_O, $A130&lt;=EYear_O, S$3&gt;0), S$3 * VLOOKUP($A130, Data_All!$A$8:$CA$153, MATCH(S$2, Data_All!$B$2:$CA$2, 0)+1), "")</f>
        <v/>
      </c>
      <c r="T130" s="206" t="str">
        <f>IF(AND($A130&gt;=SYear_O, $A130&lt;=EYear_O, T$3&gt;0), T$3 * VLOOKUP($A130, Data_All!$A$8:$CA$153, MATCH(T$2, Data_All!$B$2:$CA$2, 0)+1), "")</f>
        <v/>
      </c>
      <c r="U130" s="206" t="str">
        <f>IF(AND($A130&gt;=SYear_O, $A130&lt;=EYear_O, U$3&gt;0), U$3 * VLOOKUP($A130, Data_All!$A$8:$CA$153, MATCH(U$2, Data_All!$B$2:$CA$2, 0)+1), "")</f>
        <v/>
      </c>
      <c r="V130" s="206" t="str">
        <f>IF(AND($A130&gt;=SYear_O, $A130&lt;=EYear_O, V$3&gt;0), V$3 * VLOOKUP($A130, Data_All!$A$8:$CA$153, MATCH(V$2, Data_All!$B$2:$CA$2, 0)+1), "")</f>
        <v/>
      </c>
      <c r="W130" s="206" t="str">
        <f>IF(AND($A130&gt;=SYear_O, $A130&lt;=EYear_O, W$3&gt;0), W$3 * VLOOKUP($A130, Data_All!$A$8:$CA$153, MATCH(W$2, Data_All!$B$2:$CA$2, 0)+1), "")</f>
        <v/>
      </c>
      <c r="X130" s="206" t="str">
        <f>IF(AND($A130&gt;=SYear_O, $A130&lt;=EYear_O, X$3&gt;0), X$3 * VLOOKUP($A130, Data_All!$A$8:$CA$153, MATCH(X$2, Data_All!$B$2:$CA$2, 0)+1), "")</f>
        <v/>
      </c>
      <c r="Y130" s="206" t="str">
        <f>IF(AND($A130&gt;=SYear_O, $A130&lt;=EYear_O, Y$3&gt;0), Y$3 * VLOOKUP($A130, Data_All!$A$8:$CA$153, MATCH(Y$2, Data_All!$B$2:$CA$2, 0)+1), "")</f>
        <v/>
      </c>
      <c r="Z130" s="206" t="str">
        <f>IF(AND($A130&gt;=SYear_O, $A130&lt;=EYear_O, Z$3&gt;0), Z$3 * VLOOKUP($A130, Data_All!$A$8:$CA$153, MATCH(Z$2, Data_All!$B$2:$CA$2, 0)+1), "")</f>
        <v/>
      </c>
      <c r="AA130" s="206" t="str">
        <f>IF(AND($A130&gt;=SYear_O, $A130&lt;=EYear_O, AA$3&gt;0), AA$3 * VLOOKUP($A130, Data_All!$A$8:$CA$153, MATCH(AA$2, Data_All!$B$2:$CA$2, 0)+1), "")</f>
        <v/>
      </c>
      <c r="AB130" s="206" t="str">
        <f>IF(AND($A130&gt;=SYear_O, $A130&lt;=EYear_O, AB$3&gt;0), AB$3 * VLOOKUP($A130, Data_All!$A$8:$CA$153, MATCH(AB$2, Data_All!$B$2:$CA$2, 0)+1), "")</f>
        <v/>
      </c>
      <c r="AC130" s="206" t="str">
        <f>IF(AND($A130&gt;=SYear_O, $A130&lt;=EYear_O, AC$3&gt;0), AC$3 * VLOOKUP($A130, Data_All!$A$8:$CA$153, MATCH(AC$2, Data_All!$B$2:$CA$2, 0)+1), "")</f>
        <v/>
      </c>
      <c r="AD130" s="206" t="str">
        <f>IF(AND($A130&gt;=SYear_O, $A130&lt;=EYear_O, AD$3&gt;0), AD$3 * VLOOKUP($A130, Data_All!$A$8:$CA$153, MATCH(AD$2, Data_All!$B$2:$CA$2, 0)+1), "")</f>
        <v/>
      </c>
      <c r="AE130" s="206" t="str">
        <f>IF(AND($A130&gt;=SYear_O, $A130&lt;=EYear_O, AE$3&gt;0), AE$3 * VLOOKUP($A130, Data_All!$A$8:$CA$153, MATCH(AE$2, Data_All!$B$2:$CA$2, 0)+1), "")</f>
        <v/>
      </c>
      <c r="AF130" s="206" t="str">
        <f>IF(AND($A130&gt;=SYear_O, $A130&lt;=EYear_O, AF$3&gt;0), AF$3 * VLOOKUP($A130, Data_All!$A$8:$CA$153, MATCH(AF$2, Data_All!$B$2:$CA$2, 0)+1), "")</f>
        <v/>
      </c>
      <c r="AG130" s="206" t="str">
        <f>IF(AND($A130&gt;=SYear_O, $A130&lt;=EYear_O, AG$3&gt;0), AG$3 * VLOOKUP($A130, Data_All!$A$8:$CA$153, MATCH(AG$2, Data_All!$B$2:$CA$2, 0)+1), "")</f>
        <v/>
      </c>
      <c r="AH130" s="206" t="str">
        <f>IF(AND($A130&gt;=SYear_O, $A130&lt;=EYear_O, AH$3&gt;0), AH$3 * VLOOKUP($A130, Data_All!$A$8:$CA$153, MATCH(AH$2, Data_All!$B$2:$CA$2, 0)+1), "")</f>
        <v/>
      </c>
      <c r="AI130" s="206" t="str">
        <f>IF(AND($A130&gt;=SYear_O, $A130&lt;=EYear_O, AI$3&gt;0), AI$3 * VLOOKUP($A130, Data_All!$A$8:$CA$153, MATCH(AI$2, Data_All!$B$2:$CA$2, 0)+1), "")</f>
        <v/>
      </c>
      <c r="AJ130" s="206" t="str">
        <f>IF(AND($A130&gt;=SYear_O, $A130&lt;=EYear_O, AJ$3&gt;0), AJ$3 * VLOOKUP($A130, Data_All!$A$8:$CA$153, MATCH(AJ$2, Data_All!$B$2:$CA$2, 0)+1), "")</f>
        <v/>
      </c>
      <c r="AK130" s="206" t="str">
        <f>IF(AND($A130&gt;=SYear_O, $A130&lt;=EYear_O, AK$3&gt;0), AK$3 * VLOOKUP($A130, Data_All!$A$8:$CA$153, MATCH(AK$2, Data_All!$B$2:$CA$2, 0)+1), "")</f>
        <v/>
      </c>
      <c r="AL130" s="206" t="str">
        <f>IF(AND($A130&gt;=SYear_O, $A130&lt;=EYear_O, AL$3&gt;0), AL$3 * VLOOKUP($A130, Data_All!$A$8:$CA$153, MATCH(AL$2, Data_All!$B$2:$CA$2, 0)+1), "")</f>
        <v/>
      </c>
      <c r="AM130" s="206" t="str">
        <f>IF(AND($A130&gt;=SYear_O, $A130&lt;=EYear_O, AM$3&gt;0), AM$3 * VLOOKUP($A130, Data_All!$A$8:$CA$153, MATCH(AM$2, Data_All!$B$2:$CA$2, 0)+1), "")</f>
        <v/>
      </c>
      <c r="AN130" s="206" t="str">
        <f>IF(AND($A130&gt;=SYear_O, $A130&lt;=EYear_O, AN$3&gt;0), AN$3 * VLOOKUP($A130, Data_All!$A$8:$CA$153, MATCH(AN$2, Data_All!$B$2:$CA$2, 0)+1), "")</f>
        <v/>
      </c>
      <c r="AO130" s="206" t="str">
        <f>IF(AND($A130&gt;=SYear_O, $A130&lt;=EYear_O, AO$3&gt;0), AO$3 * VLOOKUP($A130, Data_All!$A$8:$CA$153, MATCH(AO$2, Data_All!$B$2:$CA$2, 0)+1), "")</f>
        <v/>
      </c>
      <c r="AP130" s="206" t="str">
        <f>IF(AND($A130&gt;=SYear_O, $A130&lt;=EYear_O, AP$3&gt;0), AP$3 * VLOOKUP($A130, Data_All!$A$8:$CA$153, MATCH(AP$2, Data_All!$B$2:$CA$2, 0)+1), "")</f>
        <v/>
      </c>
      <c r="AQ130" s="206" t="str">
        <f>IF(AND($A130&gt;=SYear_O, $A130&lt;=EYear_O, AQ$3&gt;0), AQ$3 * VLOOKUP($A130, Data_All!$A$8:$CA$153, MATCH(AQ$2, Data_All!$B$2:$CA$2, 0)+1), "")</f>
        <v/>
      </c>
      <c r="AR130" s="206" t="str">
        <f>IF(AND($A130&gt;=SYear_O, $A130&lt;=EYear_O, AR$3&gt;0), AR$3 * VLOOKUP($A130, Data_All!$A$8:$CA$153, MATCH(AR$2, Data_All!$B$2:$CA$2, 0)+1), "")</f>
        <v/>
      </c>
      <c r="AS130" s="206" t="str">
        <f>IF(AND($A130&gt;=SYear_O, $A130&lt;=EYear_O, AS$3&gt;0), AS$3 * VLOOKUP($A130, Data_All!$A$8:$CA$153, MATCH(AS$2, Data_All!$B$2:$CA$2, 0)+1), "")</f>
        <v/>
      </c>
      <c r="AT130" s="206" t="str">
        <f>IF(AND($A130&gt;=SYear_O, $A130&lt;=EYear_O, AT$3&gt;0), AT$3 * VLOOKUP($A130, Data_All!$A$8:$CA$153, MATCH(AT$2, Data_All!$B$2:$CA$2, 0)+1), "")</f>
        <v/>
      </c>
      <c r="AU130" s="206" t="str">
        <f>IF(AND($A130&gt;=SYear_O, $A130&lt;=EYear_O, AU$3&gt;0), AU$3 * VLOOKUP($A130, Data_All!$A$8:$CA$153, MATCH(AU$2, Data_All!$B$2:$CA$2, 0)+1), "")</f>
        <v/>
      </c>
      <c r="AV130" s="206" t="str">
        <f>IF(AND($A130&gt;=SYear_O, $A130&lt;=EYear_O, AV$3&gt;0), AV$3 * VLOOKUP($A130, Data_All!$A$8:$CA$153, MATCH(AV$2, Data_All!$B$2:$CA$2, 0)+1), "")</f>
        <v/>
      </c>
      <c r="AW130" s="206" t="str">
        <f>IF(AND($A130&gt;=SYear_O, $A130&lt;=EYear_O, AW$3&gt;0), AW$3 * VLOOKUP($A130, Data_All!$A$8:$CA$153, MATCH(AW$2, Data_All!$B$2:$CA$2, 0)+1), "")</f>
        <v/>
      </c>
      <c r="AX130" s="206" t="str">
        <f>IF(AND($A130&gt;=SYear_O, $A130&lt;=EYear_O, AX$3&gt;0), AX$3 * VLOOKUP($A130, Data_All!$A$8:$CA$153, MATCH(AX$2, Data_All!$B$2:$CA$2, 0)+1), "")</f>
        <v/>
      </c>
      <c r="AY130" s="206" t="str">
        <f>IF(AND($A130&gt;=SYear_O, $A130&lt;=EYear_O, AY$3&gt;0), AY$3 * VLOOKUP($A130, Data_All!$A$8:$CA$153, MATCH(AY$2, Data_All!$B$2:$CA$2, 0)+1), "")</f>
        <v/>
      </c>
      <c r="AZ130" s="206" t="str">
        <f>IF(AND($A130&gt;=SYear_O, $A130&lt;=EYear_O, AZ$3&gt;0), AZ$3 * VLOOKUP($A130, Data_All!$A$8:$CA$153, MATCH(AZ$2, Data_All!$B$2:$CA$2, 0)+1), "")</f>
        <v/>
      </c>
      <c r="BA130" s="206" t="str">
        <f>IF(AND($A130&gt;=SYear_O, $A130&lt;=EYear_O, BA$3&gt;0), BA$3 * VLOOKUP($A130, Data_All!$A$8:$CA$153, MATCH(BA$2, Data_All!$B$2:$CA$2, 0)+1), "")</f>
        <v/>
      </c>
      <c r="BB130" s="206" t="str">
        <f>IF(AND($A130&gt;=SYear_O, $A130&lt;=EYear_O, BB$3&gt;0), BB$3 * VLOOKUP($A130, Data_All!$A$8:$CA$153, MATCH(BB$2, Data_All!$B$2:$CA$2, 0)+1), "")</f>
        <v/>
      </c>
      <c r="BC130" s="206" t="str">
        <f>IF(AND($A130&gt;=SYear_O, $A130&lt;=EYear_O, BC$3&gt;0), BC$3 * VLOOKUP($A130, Data_All!$A$8:$CA$153, MATCH(BC$2, Data_All!$B$2:$CA$2, 0)+1), "")</f>
        <v/>
      </c>
      <c r="BD130" s="206" t="str">
        <f>IF(AND($A130&gt;=SYear_O, $A130&lt;=EYear_O, BD$3&gt;0), BD$3 * VLOOKUP($A130, Data_All!$A$8:$CA$153, MATCH(BD$2, Data_All!$B$2:$CA$2, 0)+1), "")</f>
        <v/>
      </c>
      <c r="BE130" s="206" t="str">
        <f>IF(AND($A130&gt;=SYear_O, $A130&lt;=EYear_O, BE$3&gt;0), BE$3 * VLOOKUP($A130, Data_All!$A$8:$CA$153, MATCH(BE$2, Data_All!$B$2:$CA$2, 0)+1), "")</f>
        <v/>
      </c>
      <c r="BF130" s="206" t="str">
        <f>IF(AND($A130&gt;=SYear_O, $A130&lt;=EYear_O, BF$3&gt;0), BF$3 * VLOOKUP($A130, Data_All!$A$8:$CA$153, MATCH(BF$2, Data_All!$B$2:$CA$2, 0)+1), "")</f>
        <v/>
      </c>
      <c r="BG130" s="206" t="str">
        <f>IF(AND($A130&gt;=SYear_O, $A130&lt;=EYear_O, BG$3&gt;0), BG$3 * VLOOKUP($A130, Data_All!$A$8:$CA$153, MATCH(BG$2, Data_All!$B$2:$CA$2, 0)+1), "")</f>
        <v/>
      </c>
      <c r="BH130" s="206" t="str">
        <f>IF(AND($A130&gt;=SYear_O, $A130&lt;=EYear_O, BH$3&gt;0), BH$3 * VLOOKUP($A130, Data_All!$A$8:$CA$153, MATCH(BH$2, Data_All!$B$2:$CA$2, 0)+1), "")</f>
        <v/>
      </c>
      <c r="BI130" s="206" t="str">
        <f>IF(AND($A130&gt;=SYear_O, $A130&lt;=EYear_O, BI$3&gt;0), BI$3 * VLOOKUP($A130, Data_All!$A$8:$CA$153, MATCH(BI$2, Data_All!$B$2:$CA$2, 0)+1), "")</f>
        <v/>
      </c>
      <c r="BJ130" s="206" t="str">
        <f>IF(AND($A130&gt;=SYear_O, $A130&lt;=EYear_O, BJ$3&gt;0), BJ$3 * VLOOKUP($A130, Data_All!$A$8:$CA$153, MATCH(BJ$2, Data_All!$B$2:$CA$2, 0)+1), "")</f>
        <v/>
      </c>
      <c r="BK130" s="206" t="str">
        <f>IF(AND($A130&gt;=SYear_O, $A130&lt;=EYear_O, BK$3&gt;0), BK$3 * VLOOKUP($A130, Data_All!$A$8:$CA$153, MATCH(BK$2, Data_All!$B$2:$CA$2, 0)+1), "")</f>
        <v/>
      </c>
      <c r="BL130" s="206" t="str">
        <f>IF(AND($A130&gt;=SYear_O, $A130&lt;=EYear_O, BL$3&gt;0), BL$3 * VLOOKUP($A130, Data_All!$A$8:$CA$153, MATCH(BL$2, Data_All!$B$2:$CA$2, 0)+1), "")</f>
        <v/>
      </c>
      <c r="BM130" s="206" t="str">
        <f>IF(AND($A130&gt;=SYear_O, $A130&lt;=EYear_O, BM$3&gt;0), BM$3 * VLOOKUP($A130, Data_All!$A$8:$CA$153, MATCH(BM$2, Data_All!$B$2:$CA$2, 0)+1), "")</f>
        <v/>
      </c>
      <c r="BN130" s="206" t="str">
        <f>IF(AND($A130&gt;=SYear_O, $A130&lt;=EYear_O, BN$3&gt;0), BN$3 * VLOOKUP($A130, Data_All!$A$8:$CA$153, MATCH(BN$2, Data_All!$B$2:$CA$2, 0)+1), "")</f>
        <v/>
      </c>
      <c r="BO130" s="206" t="str">
        <f>IF(AND($A130&gt;=SYear_O, $A130&lt;=EYear_O, BO$3&gt;0), BO$3 * VLOOKUP($A130, Data_All!$A$8:$CA$153, MATCH(BO$2, Data_All!$B$2:$CA$2, 0)+1), "")</f>
        <v/>
      </c>
      <c r="BP130" s="206" t="str">
        <f>IF(AND($A130&gt;=SYear_O, $A130&lt;=EYear_O, BP$3&gt;0), BP$3 * VLOOKUP($A130, Data_All!$A$8:$CA$153, MATCH(BP$2, Data_All!$B$2:$CA$2, 0)+1), "")</f>
        <v/>
      </c>
      <c r="BQ130" s="206" t="str">
        <f>IF(AND($A130&gt;=SYear_O, $A130&lt;=EYear_O, BQ$3&gt;0), BQ$3 * VLOOKUP($A130, Data_All!$A$8:$CA$153, MATCH(BQ$2, Data_All!$B$2:$CA$2, 0)+1), "")</f>
        <v/>
      </c>
      <c r="BR130" s="206" t="str">
        <f>IF(AND($A130&gt;=SYear_O, $A130&lt;=EYear_O, BR$3&gt;0), BR$3 * VLOOKUP($A130, Data_All!$A$8:$CA$153, MATCH(BR$2, Data_All!$B$2:$CA$2, 0)+1), "")</f>
        <v/>
      </c>
      <c r="BS130" s="206" t="str">
        <f>IF(AND($A130&gt;=SYear_O, $A130&lt;=EYear_O, BS$3&gt;0), BS$3 * VLOOKUP($A130, Data_All!$A$8:$CA$153, MATCH(BS$2, Data_All!$B$2:$CA$2, 0)+1), "")</f>
        <v/>
      </c>
      <c r="BT130" s="206" t="str">
        <f>IF(AND($A130&gt;=SYear_O, $A130&lt;=EYear_O, BT$3&gt;0), BT$3 * VLOOKUP($A130, Data_All!$A$8:$CA$153, MATCH(BT$2, Data_All!$B$2:$CA$2, 0)+1), "")</f>
        <v/>
      </c>
      <c r="BU130" s="206" t="str">
        <f>IF(AND($A130&gt;=SYear_O, $A130&lt;=EYear_O, BU$3&gt;0), BU$3 * VLOOKUP($A130, Data_All!$A$8:$CA$153, MATCH(BU$2, Data_All!$B$2:$CA$2, 0)+1), "")</f>
        <v/>
      </c>
      <c r="BV130" s="206" t="str">
        <f>IF(AND($A130&gt;=SYear_O, $A130&lt;=EYear_O, BV$3&gt;0), BV$3 * VLOOKUP($A130, Data_All!$A$8:$CA$153, MATCH(BV$2, Data_All!$B$2:$CA$2, 0)+1), "")</f>
        <v/>
      </c>
      <c r="BW130" s="206" t="str">
        <f>IF(AND($A130&gt;=SYear_O, $A130&lt;=EYear_O, BW$3&gt;0), BW$3 * VLOOKUP($A130, Data_All!$A$8:$CA$153, MATCH(BW$2, Data_All!$B$2:$CA$2, 0)+1), "")</f>
        <v/>
      </c>
      <c r="BX130" s="206">
        <f>IF(AND($A130&gt;=SYear_O, $A130&lt;=EYear_O, BX$3&gt;0), BX$3 * VLOOKUP($A130, Data_All!$A$8:$CA$153, MATCH(BX$2, Data_All!$B$2:$CA$2, 0)+1), "")</f>
        <v>0.69007801433434324</v>
      </c>
      <c r="BY130" s="206">
        <f>IF(AND($A130&gt;=SYear_O, $A130&lt;=EYear_O, BY$3&gt;0), BY$3 * VLOOKUP($A130, Data_All!$A$8:$CA$153, MATCH(BY$2, Data_All!$B$2:$CA$2, 0)+1), "")</f>
        <v>-1.6625308335377831</v>
      </c>
      <c r="BZ130" s="206" t="str">
        <f>IF(AND($A130&gt;=SYear_O, $A130&lt;=EYear_O, BZ$3&gt;0), BZ$3 * VLOOKUP($A130, Data_All!$A$8:$CA$153, MATCH(BZ$2, Data_All!$B$2:$CA$2, 0)+1), "")</f>
        <v/>
      </c>
      <c r="CA130" s="565">
        <f t="shared" si="52"/>
        <v>-0.97245281920343984</v>
      </c>
      <c r="CB130" s="427">
        <f t="shared" si="53"/>
        <v>73081602.820274651</v>
      </c>
      <c r="CC130" s="565">
        <f>IF(AND($A130&gt;=SYear_O,$A130&lt;=EYear_O),(CA130-Data_All!CA131)/(1+Data_All!CA131%),"")</f>
        <v>-3.5523287978614499</v>
      </c>
      <c r="CD130" s="436">
        <f t="shared" si="54"/>
        <v>6084793.2901113927</v>
      </c>
      <c r="CE130" s="438">
        <f t="shared" si="55"/>
        <v>6628.4457436471976</v>
      </c>
      <c r="CF130" s="438">
        <f>IF(AND($A130&gt;=SYear_O,$A130&lt;=EYear_O),MAX($CE$7:CE130),"")</f>
        <v>6693.5372351952865</v>
      </c>
      <c r="CG130" s="209">
        <f t="shared" si="56"/>
        <v>9.7245281920345095E-3</v>
      </c>
      <c r="CI130" s="143">
        <f>IF(AND($A130&gt;=SYear_O,$A130&lt;=EYear_O),Data_All!V131,"")</f>
        <v>3.81</v>
      </c>
      <c r="CJ130" s="143">
        <f>IF(AND($A130&gt;=SYear_O,$A130&lt;=EYear_O),Data_All!CA131,"")</f>
        <v>2.6748971193415461</v>
      </c>
      <c r="CK130" s="143">
        <f t="shared" si="57"/>
        <v>1.105531062124266</v>
      </c>
      <c r="CN130" s="61">
        <f t="shared" si="58"/>
        <v>-9.7245281920343984E-3</v>
      </c>
      <c r="CO130" s="61">
        <f t="shared" si="59"/>
        <v>0.14113811281374922</v>
      </c>
      <c r="CP130" s="61">
        <f t="shared" si="60"/>
        <v>0.17077301023592573</v>
      </c>
      <c r="CQ130" s="61">
        <f t="shared" si="61"/>
        <v>9.7311979827975348E-2</v>
      </c>
      <c r="CR130" s="61">
        <f t="shared" si="62"/>
        <v>6.755695583164778E-2</v>
      </c>
      <c r="CU130" s="61">
        <f t="shared" si="63"/>
        <v>-3.5523287978614482E-2</v>
      </c>
      <c r="CV130" s="61">
        <f t="shared" si="64"/>
        <v>0.10957413449518527</v>
      </c>
      <c r="CW130" s="61">
        <f t="shared" si="65"/>
        <v>0.14369024327154656</v>
      </c>
      <c r="CX130" s="61">
        <f t="shared" si="66"/>
        <v>7.1897701076979459E-2</v>
      </c>
      <c r="CY130" s="61">
        <f t="shared" si="67"/>
        <v>4.1826785383092702E-2</v>
      </c>
    </row>
    <row r="131" spans="1:103">
      <c r="A131" s="204">
        <f t="shared" si="51"/>
        <v>1995</v>
      </c>
      <c r="B131" s="206" t="str">
        <f>IF(AND($A131&gt;=SYear_O, $A131&lt;=EYear_O, B$3&gt;0), B$3 * VLOOKUP($A131, Data_All!$A$8:$CA$153, MATCH(B$2, Data_All!$B$2:$CA$2, 0)+1), "")</f>
        <v/>
      </c>
      <c r="C131" s="206" t="str">
        <f>IF(AND($A131&gt;=SYear_O, $A131&lt;=EYear_O, C$3&gt;0), C$3 * VLOOKUP($A131, Data_All!$A$8:$CA$153, MATCH(C$2, Data_All!$B$2:$CA$2, 0)+1), "")</f>
        <v/>
      </c>
      <c r="D131" s="206" t="str">
        <f>IF(AND($A131&gt;=SYear_O, $A131&lt;=EYear_O, D$3&gt;0), D$3 * VLOOKUP($A131, Data_All!$A$8:$CA$153, MATCH(D$2, Data_All!$B$2:$CA$2, 0)+1), "")</f>
        <v/>
      </c>
      <c r="E131" s="206" t="str">
        <f>IF(AND($A131&gt;=SYear_O, $A131&lt;=EYear_O, E$3&gt;0), E$3 * VLOOKUP($A131, Data_All!$A$8:$CA$153, MATCH(E$2, Data_All!$B$2:$CA$2, 0)+1), "")</f>
        <v/>
      </c>
      <c r="F131" s="206" t="str">
        <f>IF(AND($A131&gt;=SYear_O, $A131&lt;=EYear_O, F$3&gt;0), F$3 * VLOOKUP($A131, Data_All!$A$8:$CA$153, MATCH(F$2, Data_All!$B$2:$CA$2, 0)+1), "")</f>
        <v/>
      </c>
      <c r="G131" s="206" t="str">
        <f>IF(AND($A131&gt;=SYear_O, $A131&lt;=EYear_O, G$3&gt;0), G$3 * VLOOKUP($A131, Data_All!$A$8:$CA$153, MATCH(G$2, Data_All!$B$2:$CA$2, 0)+1), "")</f>
        <v/>
      </c>
      <c r="H131" s="206" t="str">
        <f>IF(AND($A131&gt;=SYear_O, $A131&lt;=EYear_O, H$3&gt;0), H$3 * VLOOKUP($A131, Data_All!$A$8:$CA$153, MATCH(H$2, Data_All!$B$2:$CA$2, 0)+1), "")</f>
        <v/>
      </c>
      <c r="I131" s="206" t="str">
        <f>IF(AND($A131&gt;=SYear_O, $A131&lt;=EYear_O, I$3&gt;0), I$3 * VLOOKUP($A131, Data_All!$A$8:$CA$153, MATCH(I$2, Data_All!$B$2:$CA$2, 0)+1), "")</f>
        <v/>
      </c>
      <c r="J131" s="206" t="str">
        <f>IF(AND($A131&gt;=SYear_O, $A131&lt;=EYear_O, J$3&gt;0), J$3 * VLOOKUP($A131, Data_All!$A$8:$CA$153, MATCH(J$2, Data_All!$B$2:$CA$2, 0)+1), "")</f>
        <v/>
      </c>
      <c r="K131" s="206" t="str">
        <f>IF(AND($A131&gt;=SYear_O, $A131&lt;=EYear_O, K$3&gt;0), K$3 * VLOOKUP($A131, Data_All!$A$8:$CA$153, MATCH(K$2, Data_All!$B$2:$CA$2, 0)+1), "")</f>
        <v/>
      </c>
      <c r="L131" s="206" t="str">
        <f>IF(AND($A131&gt;=SYear_O, $A131&lt;=EYear_O, L$3&gt;0), L$3 * VLOOKUP($A131, Data_All!$A$8:$CA$153, MATCH(L$2, Data_All!$B$2:$CA$2, 0)+1), "")</f>
        <v/>
      </c>
      <c r="M131" s="206" t="str">
        <f>IF(AND($A131&gt;=SYear_O, $A131&lt;=EYear_O, M$3&gt;0), M$3 * VLOOKUP($A131, Data_All!$A$8:$CA$153, MATCH(M$2, Data_All!$B$2:$CA$2, 0)+1), "")</f>
        <v/>
      </c>
      <c r="N131" s="206" t="str">
        <f>IF(AND($A131&gt;=SYear_O, $A131&lt;=EYear_O, N$3&gt;0), N$3 * VLOOKUP($A131, Data_All!$A$8:$CA$153, MATCH(N$2, Data_All!$B$2:$CA$2, 0)+1), "")</f>
        <v/>
      </c>
      <c r="O131" s="206" t="str">
        <f>IF(AND($A131&gt;=SYear_O, $A131&lt;=EYear_O, O$3&gt;0), O$3 * VLOOKUP($A131, Data_All!$A$8:$CA$153, MATCH(O$2, Data_All!$B$2:$CA$2, 0)+1), "")</f>
        <v/>
      </c>
      <c r="P131" s="206" t="str">
        <f>IF(AND($A131&gt;=SYear_O, $A131&lt;=EYear_O, P$3&gt;0), P$3 * VLOOKUP($A131, Data_All!$A$8:$CA$153, MATCH(P$2, Data_All!$B$2:$CA$2, 0)+1), "")</f>
        <v/>
      </c>
      <c r="Q131" s="206" t="str">
        <f>IF(AND($A131&gt;=SYear_O, $A131&lt;=EYear_O, Q$3&gt;0), Q$3 * VLOOKUP($A131, Data_All!$A$8:$CA$153, MATCH(Q$2, Data_All!$B$2:$CA$2, 0)+1), "")</f>
        <v/>
      </c>
      <c r="R131" s="206" t="str">
        <f>IF(AND($A131&gt;=SYear_O, $A131&lt;=EYear_O, R$3&gt;0), R$3 * VLOOKUP($A131, Data_All!$A$8:$CA$153, MATCH(R$2, Data_All!$B$2:$CA$2, 0)+1), "")</f>
        <v/>
      </c>
      <c r="S131" s="206" t="str">
        <f>IF(AND($A131&gt;=SYear_O, $A131&lt;=EYear_O, S$3&gt;0), S$3 * VLOOKUP($A131, Data_All!$A$8:$CA$153, MATCH(S$2, Data_All!$B$2:$CA$2, 0)+1), "")</f>
        <v/>
      </c>
      <c r="T131" s="206" t="str">
        <f>IF(AND($A131&gt;=SYear_O, $A131&lt;=EYear_O, T$3&gt;0), T$3 * VLOOKUP($A131, Data_All!$A$8:$CA$153, MATCH(T$2, Data_All!$B$2:$CA$2, 0)+1), "")</f>
        <v/>
      </c>
      <c r="U131" s="206" t="str">
        <f>IF(AND($A131&gt;=SYear_O, $A131&lt;=EYear_O, U$3&gt;0), U$3 * VLOOKUP($A131, Data_All!$A$8:$CA$153, MATCH(U$2, Data_All!$B$2:$CA$2, 0)+1), "")</f>
        <v/>
      </c>
      <c r="V131" s="206" t="str">
        <f>IF(AND($A131&gt;=SYear_O, $A131&lt;=EYear_O, V$3&gt;0), V$3 * VLOOKUP($A131, Data_All!$A$8:$CA$153, MATCH(V$2, Data_All!$B$2:$CA$2, 0)+1), "")</f>
        <v/>
      </c>
      <c r="W131" s="206" t="str">
        <f>IF(AND($A131&gt;=SYear_O, $A131&lt;=EYear_O, W$3&gt;0), W$3 * VLOOKUP($A131, Data_All!$A$8:$CA$153, MATCH(W$2, Data_All!$B$2:$CA$2, 0)+1), "")</f>
        <v/>
      </c>
      <c r="X131" s="206" t="str">
        <f>IF(AND($A131&gt;=SYear_O, $A131&lt;=EYear_O, X$3&gt;0), X$3 * VLOOKUP($A131, Data_All!$A$8:$CA$153, MATCH(X$2, Data_All!$B$2:$CA$2, 0)+1), "")</f>
        <v/>
      </c>
      <c r="Y131" s="206" t="str">
        <f>IF(AND($A131&gt;=SYear_O, $A131&lt;=EYear_O, Y$3&gt;0), Y$3 * VLOOKUP($A131, Data_All!$A$8:$CA$153, MATCH(Y$2, Data_All!$B$2:$CA$2, 0)+1), "")</f>
        <v/>
      </c>
      <c r="Z131" s="206" t="str">
        <f>IF(AND($A131&gt;=SYear_O, $A131&lt;=EYear_O, Z$3&gt;0), Z$3 * VLOOKUP($A131, Data_All!$A$8:$CA$153, MATCH(Z$2, Data_All!$B$2:$CA$2, 0)+1), "")</f>
        <v/>
      </c>
      <c r="AA131" s="206" t="str">
        <f>IF(AND($A131&gt;=SYear_O, $A131&lt;=EYear_O, AA$3&gt;0), AA$3 * VLOOKUP($A131, Data_All!$A$8:$CA$153, MATCH(AA$2, Data_All!$B$2:$CA$2, 0)+1), "")</f>
        <v/>
      </c>
      <c r="AB131" s="206" t="str">
        <f>IF(AND($A131&gt;=SYear_O, $A131&lt;=EYear_O, AB$3&gt;0), AB$3 * VLOOKUP($A131, Data_All!$A$8:$CA$153, MATCH(AB$2, Data_All!$B$2:$CA$2, 0)+1), "")</f>
        <v/>
      </c>
      <c r="AC131" s="206" t="str">
        <f>IF(AND($A131&gt;=SYear_O, $A131&lt;=EYear_O, AC$3&gt;0), AC$3 * VLOOKUP($A131, Data_All!$A$8:$CA$153, MATCH(AC$2, Data_All!$B$2:$CA$2, 0)+1), "")</f>
        <v/>
      </c>
      <c r="AD131" s="206" t="str">
        <f>IF(AND($A131&gt;=SYear_O, $A131&lt;=EYear_O, AD$3&gt;0), AD$3 * VLOOKUP($A131, Data_All!$A$8:$CA$153, MATCH(AD$2, Data_All!$B$2:$CA$2, 0)+1), "")</f>
        <v/>
      </c>
      <c r="AE131" s="206" t="str">
        <f>IF(AND($A131&gt;=SYear_O, $A131&lt;=EYear_O, AE$3&gt;0), AE$3 * VLOOKUP($A131, Data_All!$A$8:$CA$153, MATCH(AE$2, Data_All!$B$2:$CA$2, 0)+1), "")</f>
        <v/>
      </c>
      <c r="AF131" s="206" t="str">
        <f>IF(AND($A131&gt;=SYear_O, $A131&lt;=EYear_O, AF$3&gt;0), AF$3 * VLOOKUP($A131, Data_All!$A$8:$CA$153, MATCH(AF$2, Data_All!$B$2:$CA$2, 0)+1), "")</f>
        <v/>
      </c>
      <c r="AG131" s="206" t="str">
        <f>IF(AND($A131&gt;=SYear_O, $A131&lt;=EYear_O, AG$3&gt;0), AG$3 * VLOOKUP($A131, Data_All!$A$8:$CA$153, MATCH(AG$2, Data_All!$B$2:$CA$2, 0)+1), "")</f>
        <v/>
      </c>
      <c r="AH131" s="206" t="str">
        <f>IF(AND($A131&gt;=SYear_O, $A131&lt;=EYear_O, AH$3&gt;0), AH$3 * VLOOKUP($A131, Data_All!$A$8:$CA$153, MATCH(AH$2, Data_All!$B$2:$CA$2, 0)+1), "")</f>
        <v/>
      </c>
      <c r="AI131" s="206" t="str">
        <f>IF(AND($A131&gt;=SYear_O, $A131&lt;=EYear_O, AI$3&gt;0), AI$3 * VLOOKUP($A131, Data_All!$A$8:$CA$153, MATCH(AI$2, Data_All!$B$2:$CA$2, 0)+1), "")</f>
        <v/>
      </c>
      <c r="AJ131" s="206" t="str">
        <f>IF(AND($A131&gt;=SYear_O, $A131&lt;=EYear_O, AJ$3&gt;0), AJ$3 * VLOOKUP($A131, Data_All!$A$8:$CA$153, MATCH(AJ$2, Data_All!$B$2:$CA$2, 0)+1), "")</f>
        <v/>
      </c>
      <c r="AK131" s="206" t="str">
        <f>IF(AND($A131&gt;=SYear_O, $A131&lt;=EYear_O, AK$3&gt;0), AK$3 * VLOOKUP($A131, Data_All!$A$8:$CA$153, MATCH(AK$2, Data_All!$B$2:$CA$2, 0)+1), "")</f>
        <v/>
      </c>
      <c r="AL131" s="206" t="str">
        <f>IF(AND($A131&gt;=SYear_O, $A131&lt;=EYear_O, AL$3&gt;0), AL$3 * VLOOKUP($A131, Data_All!$A$8:$CA$153, MATCH(AL$2, Data_All!$B$2:$CA$2, 0)+1), "")</f>
        <v/>
      </c>
      <c r="AM131" s="206" t="str">
        <f>IF(AND($A131&gt;=SYear_O, $A131&lt;=EYear_O, AM$3&gt;0), AM$3 * VLOOKUP($A131, Data_All!$A$8:$CA$153, MATCH(AM$2, Data_All!$B$2:$CA$2, 0)+1), "")</f>
        <v/>
      </c>
      <c r="AN131" s="206" t="str">
        <f>IF(AND($A131&gt;=SYear_O, $A131&lt;=EYear_O, AN$3&gt;0), AN$3 * VLOOKUP($A131, Data_All!$A$8:$CA$153, MATCH(AN$2, Data_All!$B$2:$CA$2, 0)+1), "")</f>
        <v/>
      </c>
      <c r="AO131" s="206" t="str">
        <f>IF(AND($A131&gt;=SYear_O, $A131&lt;=EYear_O, AO$3&gt;0), AO$3 * VLOOKUP($A131, Data_All!$A$8:$CA$153, MATCH(AO$2, Data_All!$B$2:$CA$2, 0)+1), "")</f>
        <v/>
      </c>
      <c r="AP131" s="206" t="str">
        <f>IF(AND($A131&gt;=SYear_O, $A131&lt;=EYear_O, AP$3&gt;0), AP$3 * VLOOKUP($A131, Data_All!$A$8:$CA$153, MATCH(AP$2, Data_All!$B$2:$CA$2, 0)+1), "")</f>
        <v/>
      </c>
      <c r="AQ131" s="206" t="str">
        <f>IF(AND($A131&gt;=SYear_O, $A131&lt;=EYear_O, AQ$3&gt;0), AQ$3 * VLOOKUP($A131, Data_All!$A$8:$CA$153, MATCH(AQ$2, Data_All!$B$2:$CA$2, 0)+1), "")</f>
        <v/>
      </c>
      <c r="AR131" s="206" t="str">
        <f>IF(AND($A131&gt;=SYear_O, $A131&lt;=EYear_O, AR$3&gt;0), AR$3 * VLOOKUP($A131, Data_All!$A$8:$CA$153, MATCH(AR$2, Data_All!$B$2:$CA$2, 0)+1), "")</f>
        <v/>
      </c>
      <c r="AS131" s="206" t="str">
        <f>IF(AND($A131&gt;=SYear_O, $A131&lt;=EYear_O, AS$3&gt;0), AS$3 * VLOOKUP($A131, Data_All!$A$8:$CA$153, MATCH(AS$2, Data_All!$B$2:$CA$2, 0)+1), "")</f>
        <v/>
      </c>
      <c r="AT131" s="206" t="str">
        <f>IF(AND($A131&gt;=SYear_O, $A131&lt;=EYear_O, AT$3&gt;0), AT$3 * VLOOKUP($A131, Data_All!$A$8:$CA$153, MATCH(AT$2, Data_All!$B$2:$CA$2, 0)+1), "")</f>
        <v/>
      </c>
      <c r="AU131" s="206" t="str">
        <f>IF(AND($A131&gt;=SYear_O, $A131&lt;=EYear_O, AU$3&gt;0), AU$3 * VLOOKUP($A131, Data_All!$A$8:$CA$153, MATCH(AU$2, Data_All!$B$2:$CA$2, 0)+1), "")</f>
        <v/>
      </c>
      <c r="AV131" s="206" t="str">
        <f>IF(AND($A131&gt;=SYear_O, $A131&lt;=EYear_O, AV$3&gt;0), AV$3 * VLOOKUP($A131, Data_All!$A$8:$CA$153, MATCH(AV$2, Data_All!$B$2:$CA$2, 0)+1), "")</f>
        <v/>
      </c>
      <c r="AW131" s="206" t="str">
        <f>IF(AND($A131&gt;=SYear_O, $A131&lt;=EYear_O, AW$3&gt;0), AW$3 * VLOOKUP($A131, Data_All!$A$8:$CA$153, MATCH(AW$2, Data_All!$B$2:$CA$2, 0)+1), "")</f>
        <v/>
      </c>
      <c r="AX131" s="206" t="str">
        <f>IF(AND($A131&gt;=SYear_O, $A131&lt;=EYear_O, AX$3&gt;0), AX$3 * VLOOKUP($A131, Data_All!$A$8:$CA$153, MATCH(AX$2, Data_All!$B$2:$CA$2, 0)+1), "")</f>
        <v/>
      </c>
      <c r="AY131" s="206" t="str">
        <f>IF(AND($A131&gt;=SYear_O, $A131&lt;=EYear_O, AY$3&gt;0), AY$3 * VLOOKUP($A131, Data_All!$A$8:$CA$153, MATCH(AY$2, Data_All!$B$2:$CA$2, 0)+1), "")</f>
        <v/>
      </c>
      <c r="AZ131" s="206" t="str">
        <f>IF(AND($A131&gt;=SYear_O, $A131&lt;=EYear_O, AZ$3&gt;0), AZ$3 * VLOOKUP($A131, Data_All!$A$8:$CA$153, MATCH(AZ$2, Data_All!$B$2:$CA$2, 0)+1), "")</f>
        <v/>
      </c>
      <c r="BA131" s="206" t="str">
        <f>IF(AND($A131&gt;=SYear_O, $A131&lt;=EYear_O, BA$3&gt;0), BA$3 * VLOOKUP($A131, Data_All!$A$8:$CA$153, MATCH(BA$2, Data_All!$B$2:$CA$2, 0)+1), "")</f>
        <v/>
      </c>
      <c r="BB131" s="206" t="str">
        <f>IF(AND($A131&gt;=SYear_O, $A131&lt;=EYear_O, BB$3&gt;0), BB$3 * VLOOKUP($A131, Data_All!$A$8:$CA$153, MATCH(BB$2, Data_All!$B$2:$CA$2, 0)+1), "")</f>
        <v/>
      </c>
      <c r="BC131" s="206" t="str">
        <f>IF(AND($A131&gt;=SYear_O, $A131&lt;=EYear_O, BC$3&gt;0), BC$3 * VLOOKUP($A131, Data_All!$A$8:$CA$153, MATCH(BC$2, Data_All!$B$2:$CA$2, 0)+1), "")</f>
        <v/>
      </c>
      <c r="BD131" s="206" t="str">
        <f>IF(AND($A131&gt;=SYear_O, $A131&lt;=EYear_O, BD$3&gt;0), BD$3 * VLOOKUP($A131, Data_All!$A$8:$CA$153, MATCH(BD$2, Data_All!$B$2:$CA$2, 0)+1), "")</f>
        <v/>
      </c>
      <c r="BE131" s="206" t="str">
        <f>IF(AND($A131&gt;=SYear_O, $A131&lt;=EYear_O, BE$3&gt;0), BE$3 * VLOOKUP($A131, Data_All!$A$8:$CA$153, MATCH(BE$2, Data_All!$B$2:$CA$2, 0)+1), "")</f>
        <v/>
      </c>
      <c r="BF131" s="206" t="str">
        <f>IF(AND($A131&gt;=SYear_O, $A131&lt;=EYear_O, BF$3&gt;0), BF$3 * VLOOKUP($A131, Data_All!$A$8:$CA$153, MATCH(BF$2, Data_All!$B$2:$CA$2, 0)+1), "")</f>
        <v/>
      </c>
      <c r="BG131" s="206" t="str">
        <f>IF(AND($A131&gt;=SYear_O, $A131&lt;=EYear_O, BG$3&gt;0), BG$3 * VLOOKUP($A131, Data_All!$A$8:$CA$153, MATCH(BG$2, Data_All!$B$2:$CA$2, 0)+1), "")</f>
        <v/>
      </c>
      <c r="BH131" s="206" t="str">
        <f>IF(AND($A131&gt;=SYear_O, $A131&lt;=EYear_O, BH$3&gt;0), BH$3 * VLOOKUP($A131, Data_All!$A$8:$CA$153, MATCH(BH$2, Data_All!$B$2:$CA$2, 0)+1), "")</f>
        <v/>
      </c>
      <c r="BI131" s="206" t="str">
        <f>IF(AND($A131&gt;=SYear_O, $A131&lt;=EYear_O, BI$3&gt;0), BI$3 * VLOOKUP($A131, Data_All!$A$8:$CA$153, MATCH(BI$2, Data_All!$B$2:$CA$2, 0)+1), "")</f>
        <v/>
      </c>
      <c r="BJ131" s="206" t="str">
        <f>IF(AND($A131&gt;=SYear_O, $A131&lt;=EYear_O, BJ$3&gt;0), BJ$3 * VLOOKUP($A131, Data_All!$A$8:$CA$153, MATCH(BJ$2, Data_All!$B$2:$CA$2, 0)+1), "")</f>
        <v/>
      </c>
      <c r="BK131" s="206" t="str">
        <f>IF(AND($A131&gt;=SYear_O, $A131&lt;=EYear_O, BK$3&gt;0), BK$3 * VLOOKUP($A131, Data_All!$A$8:$CA$153, MATCH(BK$2, Data_All!$B$2:$CA$2, 0)+1), "")</f>
        <v/>
      </c>
      <c r="BL131" s="206" t="str">
        <f>IF(AND($A131&gt;=SYear_O, $A131&lt;=EYear_O, BL$3&gt;0), BL$3 * VLOOKUP($A131, Data_All!$A$8:$CA$153, MATCH(BL$2, Data_All!$B$2:$CA$2, 0)+1), "")</f>
        <v/>
      </c>
      <c r="BM131" s="206" t="str">
        <f>IF(AND($A131&gt;=SYear_O, $A131&lt;=EYear_O, BM$3&gt;0), BM$3 * VLOOKUP($A131, Data_All!$A$8:$CA$153, MATCH(BM$2, Data_All!$B$2:$CA$2, 0)+1), "")</f>
        <v/>
      </c>
      <c r="BN131" s="206" t="str">
        <f>IF(AND($A131&gt;=SYear_O, $A131&lt;=EYear_O, BN$3&gt;0), BN$3 * VLOOKUP($A131, Data_All!$A$8:$CA$153, MATCH(BN$2, Data_All!$B$2:$CA$2, 0)+1), "")</f>
        <v/>
      </c>
      <c r="BO131" s="206" t="str">
        <f>IF(AND($A131&gt;=SYear_O, $A131&lt;=EYear_O, BO$3&gt;0), BO$3 * VLOOKUP($A131, Data_All!$A$8:$CA$153, MATCH(BO$2, Data_All!$B$2:$CA$2, 0)+1), "")</f>
        <v/>
      </c>
      <c r="BP131" s="206" t="str">
        <f>IF(AND($A131&gt;=SYear_O, $A131&lt;=EYear_O, BP$3&gt;0), BP$3 * VLOOKUP($A131, Data_All!$A$8:$CA$153, MATCH(BP$2, Data_All!$B$2:$CA$2, 0)+1), "")</f>
        <v/>
      </c>
      <c r="BQ131" s="206" t="str">
        <f>IF(AND($A131&gt;=SYear_O, $A131&lt;=EYear_O, BQ$3&gt;0), BQ$3 * VLOOKUP($A131, Data_All!$A$8:$CA$153, MATCH(BQ$2, Data_All!$B$2:$CA$2, 0)+1), "")</f>
        <v/>
      </c>
      <c r="BR131" s="206" t="str">
        <f>IF(AND($A131&gt;=SYear_O, $A131&lt;=EYear_O, BR$3&gt;0), BR$3 * VLOOKUP($A131, Data_All!$A$8:$CA$153, MATCH(BR$2, Data_All!$B$2:$CA$2, 0)+1), "")</f>
        <v/>
      </c>
      <c r="BS131" s="206" t="str">
        <f>IF(AND($A131&gt;=SYear_O, $A131&lt;=EYear_O, BS$3&gt;0), BS$3 * VLOOKUP($A131, Data_All!$A$8:$CA$153, MATCH(BS$2, Data_All!$B$2:$CA$2, 0)+1), "")</f>
        <v/>
      </c>
      <c r="BT131" s="206" t="str">
        <f>IF(AND($A131&gt;=SYear_O, $A131&lt;=EYear_O, BT$3&gt;0), BT$3 * VLOOKUP($A131, Data_All!$A$8:$CA$153, MATCH(BT$2, Data_All!$B$2:$CA$2, 0)+1), "")</f>
        <v/>
      </c>
      <c r="BU131" s="206" t="str">
        <f>IF(AND($A131&gt;=SYear_O, $A131&lt;=EYear_O, BU$3&gt;0), BU$3 * VLOOKUP($A131, Data_All!$A$8:$CA$153, MATCH(BU$2, Data_All!$B$2:$CA$2, 0)+1), "")</f>
        <v/>
      </c>
      <c r="BV131" s="206" t="str">
        <f>IF(AND($A131&gt;=SYear_O, $A131&lt;=EYear_O, BV$3&gt;0), BV$3 * VLOOKUP($A131, Data_All!$A$8:$CA$153, MATCH(BV$2, Data_All!$B$2:$CA$2, 0)+1), "")</f>
        <v/>
      </c>
      <c r="BW131" s="206" t="str">
        <f>IF(AND($A131&gt;=SYear_O, $A131&lt;=EYear_O, BW$3&gt;0), BW$3 * VLOOKUP($A131, Data_All!$A$8:$CA$153, MATCH(BW$2, Data_All!$B$2:$CA$2, 0)+1), "")</f>
        <v/>
      </c>
      <c r="BX131" s="206">
        <f>IF(AND($A131&gt;=SYear_O, $A131&lt;=EYear_O, BX$3&gt;0), BX$3 * VLOOKUP($A131, Data_All!$A$8:$CA$153, MATCH(BX$2, Data_All!$B$2:$CA$2, 0)+1), "")</f>
        <v>21.015797958087045</v>
      </c>
      <c r="BY131" s="206">
        <f>IF(AND($A131&gt;=SYear_O, $A131&lt;=EYear_O, BY$3&gt;0), BY$3 * VLOOKUP($A131, Data_All!$A$8:$CA$153, MATCH(BY$2, Data_All!$B$2:$CA$2, 0)+1), "")</f>
        <v>7.2612055942058893</v>
      </c>
      <c r="BZ131" s="206" t="str">
        <f>IF(AND($A131&gt;=SYear_O, $A131&lt;=EYear_O, BZ$3&gt;0), BZ$3 * VLOOKUP($A131, Data_All!$A$8:$CA$153, MATCH(BZ$2, Data_All!$B$2:$CA$2, 0)+1), "")</f>
        <v/>
      </c>
      <c r="CA131" s="565">
        <f t="shared" si="52"/>
        <v>28.277003552292935</v>
      </c>
      <c r="CB131" s="427">
        <f t="shared" si="53"/>
        <v>93746890.245836318</v>
      </c>
      <c r="CC131" s="565">
        <f>IF(AND($A131&gt;=SYear_O,$A131&lt;=EYear_O),(CA131-Data_All!CA132)/(1+Data_All!CA132%),"")</f>
        <v>25.101416493669387</v>
      </c>
      <c r="CD131" s="436">
        <f t="shared" si="54"/>
        <v>7612162.5966411028</v>
      </c>
      <c r="CE131" s="438">
        <f t="shared" si="55"/>
        <v>8502.7715820401245</v>
      </c>
      <c r="CF131" s="438">
        <f>IF(AND($A131&gt;=SYear_O,$A131&lt;=EYear_O),MAX($CE$7:CE131),"")</f>
        <v>8502.7715820401245</v>
      </c>
      <c r="CG131" s="209">
        <f t="shared" si="56"/>
        <v>0</v>
      </c>
      <c r="CI131" s="143">
        <f>IF(AND($A131&gt;=SYear_O,$A131&lt;=EYear_O),Data_All!V132,"")</f>
        <v>5.49</v>
      </c>
      <c r="CJ131" s="143">
        <f>IF(AND($A131&gt;=SYear_O,$A131&lt;=EYear_O),Data_All!CA132,"")</f>
        <v>2.5384101536406245</v>
      </c>
      <c r="CK131" s="143">
        <f t="shared" si="57"/>
        <v>2.8785211726384268</v>
      </c>
      <c r="CN131" s="61">
        <f t="shared" si="58"/>
        <v>0.28277003552292923</v>
      </c>
      <c r="CO131" s="61">
        <f t="shared" si="59"/>
        <v>0.21977282185178404</v>
      </c>
      <c r="CP131" s="61">
        <f t="shared" si="60"/>
        <v>0.19127944176024303</v>
      </c>
      <c r="CQ131" s="61">
        <f t="shared" si="61"/>
        <v>0.10325877247029935</v>
      </c>
      <c r="CR131" s="61">
        <f t="shared" si="62"/>
        <v>8.0556271805873436E-2</v>
      </c>
      <c r="CU131" s="61">
        <f t="shared" si="63"/>
        <v>0.25101416493669393</v>
      </c>
      <c r="CV131" s="61">
        <f t="shared" si="64"/>
        <v>0.18980218860168163</v>
      </c>
      <c r="CW131" s="61">
        <f t="shared" si="65"/>
        <v>0.16370040102107297</v>
      </c>
      <c r="CX131" s="61">
        <f t="shared" si="66"/>
        <v>7.70991684292055E-2</v>
      </c>
      <c r="CY131" s="61">
        <f t="shared" si="67"/>
        <v>5.4481007501821166E-2</v>
      </c>
    </row>
    <row r="132" spans="1:103">
      <c r="A132" s="204">
        <f t="shared" si="51"/>
        <v>1996</v>
      </c>
      <c r="B132" s="206" t="str">
        <f>IF(AND($A132&gt;=SYear_O, $A132&lt;=EYear_O, B$3&gt;0), B$3 * VLOOKUP($A132, Data_All!$A$8:$CA$153, MATCH(B$2, Data_All!$B$2:$CA$2, 0)+1), "")</f>
        <v/>
      </c>
      <c r="C132" s="206" t="str">
        <f>IF(AND($A132&gt;=SYear_O, $A132&lt;=EYear_O, C$3&gt;0), C$3 * VLOOKUP($A132, Data_All!$A$8:$CA$153, MATCH(C$2, Data_All!$B$2:$CA$2, 0)+1), "")</f>
        <v/>
      </c>
      <c r="D132" s="206" t="str">
        <f>IF(AND($A132&gt;=SYear_O, $A132&lt;=EYear_O, D$3&gt;0), D$3 * VLOOKUP($A132, Data_All!$A$8:$CA$153, MATCH(D$2, Data_All!$B$2:$CA$2, 0)+1), "")</f>
        <v/>
      </c>
      <c r="E132" s="206" t="str">
        <f>IF(AND($A132&gt;=SYear_O, $A132&lt;=EYear_O, E$3&gt;0), E$3 * VLOOKUP($A132, Data_All!$A$8:$CA$153, MATCH(E$2, Data_All!$B$2:$CA$2, 0)+1), "")</f>
        <v/>
      </c>
      <c r="F132" s="206" t="str">
        <f>IF(AND($A132&gt;=SYear_O, $A132&lt;=EYear_O, F$3&gt;0), F$3 * VLOOKUP($A132, Data_All!$A$8:$CA$153, MATCH(F$2, Data_All!$B$2:$CA$2, 0)+1), "")</f>
        <v/>
      </c>
      <c r="G132" s="206" t="str">
        <f>IF(AND($A132&gt;=SYear_O, $A132&lt;=EYear_O, G$3&gt;0), G$3 * VLOOKUP($A132, Data_All!$A$8:$CA$153, MATCH(G$2, Data_All!$B$2:$CA$2, 0)+1), "")</f>
        <v/>
      </c>
      <c r="H132" s="206" t="str">
        <f>IF(AND($A132&gt;=SYear_O, $A132&lt;=EYear_O, H$3&gt;0), H$3 * VLOOKUP($A132, Data_All!$A$8:$CA$153, MATCH(H$2, Data_All!$B$2:$CA$2, 0)+1), "")</f>
        <v/>
      </c>
      <c r="I132" s="206" t="str">
        <f>IF(AND($A132&gt;=SYear_O, $A132&lt;=EYear_O, I$3&gt;0), I$3 * VLOOKUP($A132, Data_All!$A$8:$CA$153, MATCH(I$2, Data_All!$B$2:$CA$2, 0)+1), "")</f>
        <v/>
      </c>
      <c r="J132" s="206" t="str">
        <f>IF(AND($A132&gt;=SYear_O, $A132&lt;=EYear_O, J$3&gt;0), J$3 * VLOOKUP($A132, Data_All!$A$8:$CA$153, MATCH(J$2, Data_All!$B$2:$CA$2, 0)+1), "")</f>
        <v/>
      </c>
      <c r="K132" s="206" t="str">
        <f>IF(AND($A132&gt;=SYear_O, $A132&lt;=EYear_O, K$3&gt;0), K$3 * VLOOKUP($A132, Data_All!$A$8:$CA$153, MATCH(K$2, Data_All!$B$2:$CA$2, 0)+1), "")</f>
        <v/>
      </c>
      <c r="L132" s="206" t="str">
        <f>IF(AND($A132&gt;=SYear_O, $A132&lt;=EYear_O, L$3&gt;0), L$3 * VLOOKUP($A132, Data_All!$A$8:$CA$153, MATCH(L$2, Data_All!$B$2:$CA$2, 0)+1), "")</f>
        <v/>
      </c>
      <c r="M132" s="206" t="str">
        <f>IF(AND($A132&gt;=SYear_O, $A132&lt;=EYear_O, M$3&gt;0), M$3 * VLOOKUP($A132, Data_All!$A$8:$CA$153, MATCH(M$2, Data_All!$B$2:$CA$2, 0)+1), "")</f>
        <v/>
      </c>
      <c r="N132" s="206" t="str">
        <f>IF(AND($A132&gt;=SYear_O, $A132&lt;=EYear_O, N$3&gt;0), N$3 * VLOOKUP($A132, Data_All!$A$8:$CA$153, MATCH(N$2, Data_All!$B$2:$CA$2, 0)+1), "")</f>
        <v/>
      </c>
      <c r="O132" s="206" t="str">
        <f>IF(AND($A132&gt;=SYear_O, $A132&lt;=EYear_O, O$3&gt;0), O$3 * VLOOKUP($A132, Data_All!$A$8:$CA$153, MATCH(O$2, Data_All!$B$2:$CA$2, 0)+1), "")</f>
        <v/>
      </c>
      <c r="P132" s="206" t="str">
        <f>IF(AND($A132&gt;=SYear_O, $A132&lt;=EYear_O, P$3&gt;0), P$3 * VLOOKUP($A132, Data_All!$A$8:$CA$153, MATCH(P$2, Data_All!$B$2:$CA$2, 0)+1), "")</f>
        <v/>
      </c>
      <c r="Q132" s="206" t="str">
        <f>IF(AND($A132&gt;=SYear_O, $A132&lt;=EYear_O, Q$3&gt;0), Q$3 * VLOOKUP($A132, Data_All!$A$8:$CA$153, MATCH(Q$2, Data_All!$B$2:$CA$2, 0)+1), "")</f>
        <v/>
      </c>
      <c r="R132" s="206" t="str">
        <f>IF(AND($A132&gt;=SYear_O, $A132&lt;=EYear_O, R$3&gt;0), R$3 * VLOOKUP($A132, Data_All!$A$8:$CA$153, MATCH(R$2, Data_All!$B$2:$CA$2, 0)+1), "")</f>
        <v/>
      </c>
      <c r="S132" s="206" t="str">
        <f>IF(AND($A132&gt;=SYear_O, $A132&lt;=EYear_O, S$3&gt;0), S$3 * VLOOKUP($A132, Data_All!$A$8:$CA$153, MATCH(S$2, Data_All!$B$2:$CA$2, 0)+1), "")</f>
        <v/>
      </c>
      <c r="T132" s="206" t="str">
        <f>IF(AND($A132&gt;=SYear_O, $A132&lt;=EYear_O, T$3&gt;0), T$3 * VLOOKUP($A132, Data_All!$A$8:$CA$153, MATCH(T$2, Data_All!$B$2:$CA$2, 0)+1), "")</f>
        <v/>
      </c>
      <c r="U132" s="206" t="str">
        <f>IF(AND($A132&gt;=SYear_O, $A132&lt;=EYear_O, U$3&gt;0), U$3 * VLOOKUP($A132, Data_All!$A$8:$CA$153, MATCH(U$2, Data_All!$B$2:$CA$2, 0)+1), "")</f>
        <v/>
      </c>
      <c r="V132" s="206" t="str">
        <f>IF(AND($A132&gt;=SYear_O, $A132&lt;=EYear_O, V$3&gt;0), V$3 * VLOOKUP($A132, Data_All!$A$8:$CA$153, MATCH(V$2, Data_All!$B$2:$CA$2, 0)+1), "")</f>
        <v/>
      </c>
      <c r="W132" s="206" t="str">
        <f>IF(AND($A132&gt;=SYear_O, $A132&lt;=EYear_O, W$3&gt;0), W$3 * VLOOKUP($A132, Data_All!$A$8:$CA$153, MATCH(W$2, Data_All!$B$2:$CA$2, 0)+1), "")</f>
        <v/>
      </c>
      <c r="X132" s="206" t="str">
        <f>IF(AND($A132&gt;=SYear_O, $A132&lt;=EYear_O, X$3&gt;0), X$3 * VLOOKUP($A132, Data_All!$A$8:$CA$153, MATCH(X$2, Data_All!$B$2:$CA$2, 0)+1), "")</f>
        <v/>
      </c>
      <c r="Y132" s="206" t="str">
        <f>IF(AND($A132&gt;=SYear_O, $A132&lt;=EYear_O, Y$3&gt;0), Y$3 * VLOOKUP($A132, Data_All!$A$8:$CA$153, MATCH(Y$2, Data_All!$B$2:$CA$2, 0)+1), "")</f>
        <v/>
      </c>
      <c r="Z132" s="206" t="str">
        <f>IF(AND($A132&gt;=SYear_O, $A132&lt;=EYear_O, Z$3&gt;0), Z$3 * VLOOKUP($A132, Data_All!$A$8:$CA$153, MATCH(Z$2, Data_All!$B$2:$CA$2, 0)+1), "")</f>
        <v/>
      </c>
      <c r="AA132" s="206" t="str">
        <f>IF(AND($A132&gt;=SYear_O, $A132&lt;=EYear_O, AA$3&gt;0), AA$3 * VLOOKUP($A132, Data_All!$A$8:$CA$153, MATCH(AA$2, Data_All!$B$2:$CA$2, 0)+1), "")</f>
        <v/>
      </c>
      <c r="AB132" s="206" t="str">
        <f>IF(AND($A132&gt;=SYear_O, $A132&lt;=EYear_O, AB$3&gt;0), AB$3 * VLOOKUP($A132, Data_All!$A$8:$CA$153, MATCH(AB$2, Data_All!$B$2:$CA$2, 0)+1), "")</f>
        <v/>
      </c>
      <c r="AC132" s="206" t="str">
        <f>IF(AND($A132&gt;=SYear_O, $A132&lt;=EYear_O, AC$3&gt;0), AC$3 * VLOOKUP($A132, Data_All!$A$8:$CA$153, MATCH(AC$2, Data_All!$B$2:$CA$2, 0)+1), "")</f>
        <v/>
      </c>
      <c r="AD132" s="206" t="str">
        <f>IF(AND($A132&gt;=SYear_O, $A132&lt;=EYear_O, AD$3&gt;0), AD$3 * VLOOKUP($A132, Data_All!$A$8:$CA$153, MATCH(AD$2, Data_All!$B$2:$CA$2, 0)+1), "")</f>
        <v/>
      </c>
      <c r="AE132" s="206" t="str">
        <f>IF(AND($A132&gt;=SYear_O, $A132&lt;=EYear_O, AE$3&gt;0), AE$3 * VLOOKUP($A132, Data_All!$A$8:$CA$153, MATCH(AE$2, Data_All!$B$2:$CA$2, 0)+1), "")</f>
        <v/>
      </c>
      <c r="AF132" s="206" t="str">
        <f>IF(AND($A132&gt;=SYear_O, $A132&lt;=EYear_O, AF$3&gt;0), AF$3 * VLOOKUP($A132, Data_All!$A$8:$CA$153, MATCH(AF$2, Data_All!$B$2:$CA$2, 0)+1), "")</f>
        <v/>
      </c>
      <c r="AG132" s="206" t="str">
        <f>IF(AND($A132&gt;=SYear_O, $A132&lt;=EYear_O, AG$3&gt;0), AG$3 * VLOOKUP($A132, Data_All!$A$8:$CA$153, MATCH(AG$2, Data_All!$B$2:$CA$2, 0)+1), "")</f>
        <v/>
      </c>
      <c r="AH132" s="206" t="str">
        <f>IF(AND($A132&gt;=SYear_O, $A132&lt;=EYear_O, AH$3&gt;0), AH$3 * VLOOKUP($A132, Data_All!$A$8:$CA$153, MATCH(AH$2, Data_All!$B$2:$CA$2, 0)+1), "")</f>
        <v/>
      </c>
      <c r="AI132" s="206" t="str">
        <f>IF(AND($A132&gt;=SYear_O, $A132&lt;=EYear_O, AI$3&gt;0), AI$3 * VLOOKUP($A132, Data_All!$A$8:$CA$153, MATCH(AI$2, Data_All!$B$2:$CA$2, 0)+1), "")</f>
        <v/>
      </c>
      <c r="AJ132" s="206" t="str">
        <f>IF(AND($A132&gt;=SYear_O, $A132&lt;=EYear_O, AJ$3&gt;0), AJ$3 * VLOOKUP($A132, Data_All!$A$8:$CA$153, MATCH(AJ$2, Data_All!$B$2:$CA$2, 0)+1), "")</f>
        <v/>
      </c>
      <c r="AK132" s="206" t="str">
        <f>IF(AND($A132&gt;=SYear_O, $A132&lt;=EYear_O, AK$3&gt;0), AK$3 * VLOOKUP($A132, Data_All!$A$8:$CA$153, MATCH(AK$2, Data_All!$B$2:$CA$2, 0)+1), "")</f>
        <v/>
      </c>
      <c r="AL132" s="206" t="str">
        <f>IF(AND($A132&gt;=SYear_O, $A132&lt;=EYear_O, AL$3&gt;0), AL$3 * VLOOKUP($A132, Data_All!$A$8:$CA$153, MATCH(AL$2, Data_All!$B$2:$CA$2, 0)+1), "")</f>
        <v/>
      </c>
      <c r="AM132" s="206" t="str">
        <f>IF(AND($A132&gt;=SYear_O, $A132&lt;=EYear_O, AM$3&gt;0), AM$3 * VLOOKUP($A132, Data_All!$A$8:$CA$153, MATCH(AM$2, Data_All!$B$2:$CA$2, 0)+1), "")</f>
        <v/>
      </c>
      <c r="AN132" s="206" t="str">
        <f>IF(AND($A132&gt;=SYear_O, $A132&lt;=EYear_O, AN$3&gt;0), AN$3 * VLOOKUP($A132, Data_All!$A$8:$CA$153, MATCH(AN$2, Data_All!$B$2:$CA$2, 0)+1), "")</f>
        <v/>
      </c>
      <c r="AO132" s="206" t="str">
        <f>IF(AND($A132&gt;=SYear_O, $A132&lt;=EYear_O, AO$3&gt;0), AO$3 * VLOOKUP($A132, Data_All!$A$8:$CA$153, MATCH(AO$2, Data_All!$B$2:$CA$2, 0)+1), "")</f>
        <v/>
      </c>
      <c r="AP132" s="206" t="str">
        <f>IF(AND($A132&gt;=SYear_O, $A132&lt;=EYear_O, AP$3&gt;0), AP$3 * VLOOKUP($A132, Data_All!$A$8:$CA$153, MATCH(AP$2, Data_All!$B$2:$CA$2, 0)+1), "")</f>
        <v/>
      </c>
      <c r="AQ132" s="206" t="str">
        <f>IF(AND($A132&gt;=SYear_O, $A132&lt;=EYear_O, AQ$3&gt;0), AQ$3 * VLOOKUP($A132, Data_All!$A$8:$CA$153, MATCH(AQ$2, Data_All!$B$2:$CA$2, 0)+1), "")</f>
        <v/>
      </c>
      <c r="AR132" s="206" t="str">
        <f>IF(AND($A132&gt;=SYear_O, $A132&lt;=EYear_O, AR$3&gt;0), AR$3 * VLOOKUP($A132, Data_All!$A$8:$CA$153, MATCH(AR$2, Data_All!$B$2:$CA$2, 0)+1), "")</f>
        <v/>
      </c>
      <c r="AS132" s="206" t="str">
        <f>IF(AND($A132&gt;=SYear_O, $A132&lt;=EYear_O, AS$3&gt;0), AS$3 * VLOOKUP($A132, Data_All!$A$8:$CA$153, MATCH(AS$2, Data_All!$B$2:$CA$2, 0)+1), "")</f>
        <v/>
      </c>
      <c r="AT132" s="206" t="str">
        <f>IF(AND($A132&gt;=SYear_O, $A132&lt;=EYear_O, AT$3&gt;0), AT$3 * VLOOKUP($A132, Data_All!$A$8:$CA$153, MATCH(AT$2, Data_All!$B$2:$CA$2, 0)+1), "")</f>
        <v/>
      </c>
      <c r="AU132" s="206" t="str">
        <f>IF(AND($A132&gt;=SYear_O, $A132&lt;=EYear_O, AU$3&gt;0), AU$3 * VLOOKUP($A132, Data_All!$A$8:$CA$153, MATCH(AU$2, Data_All!$B$2:$CA$2, 0)+1), "")</f>
        <v/>
      </c>
      <c r="AV132" s="206" t="str">
        <f>IF(AND($A132&gt;=SYear_O, $A132&lt;=EYear_O, AV$3&gt;0), AV$3 * VLOOKUP($A132, Data_All!$A$8:$CA$153, MATCH(AV$2, Data_All!$B$2:$CA$2, 0)+1), "")</f>
        <v/>
      </c>
      <c r="AW132" s="206" t="str">
        <f>IF(AND($A132&gt;=SYear_O, $A132&lt;=EYear_O, AW$3&gt;0), AW$3 * VLOOKUP($A132, Data_All!$A$8:$CA$153, MATCH(AW$2, Data_All!$B$2:$CA$2, 0)+1), "")</f>
        <v/>
      </c>
      <c r="AX132" s="206" t="str">
        <f>IF(AND($A132&gt;=SYear_O, $A132&lt;=EYear_O, AX$3&gt;0), AX$3 * VLOOKUP($A132, Data_All!$A$8:$CA$153, MATCH(AX$2, Data_All!$B$2:$CA$2, 0)+1), "")</f>
        <v/>
      </c>
      <c r="AY132" s="206" t="str">
        <f>IF(AND($A132&gt;=SYear_O, $A132&lt;=EYear_O, AY$3&gt;0), AY$3 * VLOOKUP($A132, Data_All!$A$8:$CA$153, MATCH(AY$2, Data_All!$B$2:$CA$2, 0)+1), "")</f>
        <v/>
      </c>
      <c r="AZ132" s="206" t="str">
        <f>IF(AND($A132&gt;=SYear_O, $A132&lt;=EYear_O, AZ$3&gt;0), AZ$3 * VLOOKUP($A132, Data_All!$A$8:$CA$153, MATCH(AZ$2, Data_All!$B$2:$CA$2, 0)+1), "")</f>
        <v/>
      </c>
      <c r="BA132" s="206" t="str">
        <f>IF(AND($A132&gt;=SYear_O, $A132&lt;=EYear_O, BA$3&gt;0), BA$3 * VLOOKUP($A132, Data_All!$A$8:$CA$153, MATCH(BA$2, Data_All!$B$2:$CA$2, 0)+1), "")</f>
        <v/>
      </c>
      <c r="BB132" s="206" t="str">
        <f>IF(AND($A132&gt;=SYear_O, $A132&lt;=EYear_O, BB$3&gt;0), BB$3 * VLOOKUP($A132, Data_All!$A$8:$CA$153, MATCH(BB$2, Data_All!$B$2:$CA$2, 0)+1), "")</f>
        <v/>
      </c>
      <c r="BC132" s="206" t="str">
        <f>IF(AND($A132&gt;=SYear_O, $A132&lt;=EYear_O, BC$3&gt;0), BC$3 * VLOOKUP($A132, Data_All!$A$8:$CA$153, MATCH(BC$2, Data_All!$B$2:$CA$2, 0)+1), "")</f>
        <v/>
      </c>
      <c r="BD132" s="206" t="str">
        <f>IF(AND($A132&gt;=SYear_O, $A132&lt;=EYear_O, BD$3&gt;0), BD$3 * VLOOKUP($A132, Data_All!$A$8:$CA$153, MATCH(BD$2, Data_All!$B$2:$CA$2, 0)+1), "")</f>
        <v/>
      </c>
      <c r="BE132" s="206" t="str">
        <f>IF(AND($A132&gt;=SYear_O, $A132&lt;=EYear_O, BE$3&gt;0), BE$3 * VLOOKUP($A132, Data_All!$A$8:$CA$153, MATCH(BE$2, Data_All!$B$2:$CA$2, 0)+1), "")</f>
        <v/>
      </c>
      <c r="BF132" s="206" t="str">
        <f>IF(AND($A132&gt;=SYear_O, $A132&lt;=EYear_O, BF$3&gt;0), BF$3 * VLOOKUP($A132, Data_All!$A$8:$CA$153, MATCH(BF$2, Data_All!$B$2:$CA$2, 0)+1), "")</f>
        <v/>
      </c>
      <c r="BG132" s="206" t="str">
        <f>IF(AND($A132&gt;=SYear_O, $A132&lt;=EYear_O, BG$3&gt;0), BG$3 * VLOOKUP($A132, Data_All!$A$8:$CA$153, MATCH(BG$2, Data_All!$B$2:$CA$2, 0)+1), "")</f>
        <v/>
      </c>
      <c r="BH132" s="206" t="str">
        <f>IF(AND($A132&gt;=SYear_O, $A132&lt;=EYear_O, BH$3&gt;0), BH$3 * VLOOKUP($A132, Data_All!$A$8:$CA$153, MATCH(BH$2, Data_All!$B$2:$CA$2, 0)+1), "")</f>
        <v/>
      </c>
      <c r="BI132" s="206" t="str">
        <f>IF(AND($A132&gt;=SYear_O, $A132&lt;=EYear_O, BI$3&gt;0), BI$3 * VLOOKUP($A132, Data_All!$A$8:$CA$153, MATCH(BI$2, Data_All!$B$2:$CA$2, 0)+1), "")</f>
        <v/>
      </c>
      <c r="BJ132" s="206" t="str">
        <f>IF(AND($A132&gt;=SYear_O, $A132&lt;=EYear_O, BJ$3&gt;0), BJ$3 * VLOOKUP($A132, Data_All!$A$8:$CA$153, MATCH(BJ$2, Data_All!$B$2:$CA$2, 0)+1), "")</f>
        <v/>
      </c>
      <c r="BK132" s="206" t="str">
        <f>IF(AND($A132&gt;=SYear_O, $A132&lt;=EYear_O, BK$3&gt;0), BK$3 * VLOOKUP($A132, Data_All!$A$8:$CA$153, MATCH(BK$2, Data_All!$B$2:$CA$2, 0)+1), "")</f>
        <v/>
      </c>
      <c r="BL132" s="206" t="str">
        <f>IF(AND($A132&gt;=SYear_O, $A132&lt;=EYear_O, BL$3&gt;0), BL$3 * VLOOKUP($A132, Data_All!$A$8:$CA$153, MATCH(BL$2, Data_All!$B$2:$CA$2, 0)+1), "")</f>
        <v/>
      </c>
      <c r="BM132" s="206" t="str">
        <f>IF(AND($A132&gt;=SYear_O, $A132&lt;=EYear_O, BM$3&gt;0), BM$3 * VLOOKUP($A132, Data_All!$A$8:$CA$153, MATCH(BM$2, Data_All!$B$2:$CA$2, 0)+1), "")</f>
        <v/>
      </c>
      <c r="BN132" s="206" t="str">
        <f>IF(AND($A132&gt;=SYear_O, $A132&lt;=EYear_O, BN$3&gt;0), BN$3 * VLOOKUP($A132, Data_All!$A$8:$CA$153, MATCH(BN$2, Data_All!$B$2:$CA$2, 0)+1), "")</f>
        <v/>
      </c>
      <c r="BO132" s="206" t="str">
        <f>IF(AND($A132&gt;=SYear_O, $A132&lt;=EYear_O, BO$3&gt;0), BO$3 * VLOOKUP($A132, Data_All!$A$8:$CA$153, MATCH(BO$2, Data_All!$B$2:$CA$2, 0)+1), "")</f>
        <v/>
      </c>
      <c r="BP132" s="206" t="str">
        <f>IF(AND($A132&gt;=SYear_O, $A132&lt;=EYear_O, BP$3&gt;0), BP$3 * VLOOKUP($A132, Data_All!$A$8:$CA$153, MATCH(BP$2, Data_All!$B$2:$CA$2, 0)+1), "")</f>
        <v/>
      </c>
      <c r="BQ132" s="206" t="str">
        <f>IF(AND($A132&gt;=SYear_O, $A132&lt;=EYear_O, BQ$3&gt;0), BQ$3 * VLOOKUP($A132, Data_All!$A$8:$CA$153, MATCH(BQ$2, Data_All!$B$2:$CA$2, 0)+1), "")</f>
        <v/>
      </c>
      <c r="BR132" s="206" t="str">
        <f>IF(AND($A132&gt;=SYear_O, $A132&lt;=EYear_O, BR$3&gt;0), BR$3 * VLOOKUP($A132, Data_All!$A$8:$CA$153, MATCH(BR$2, Data_All!$B$2:$CA$2, 0)+1), "")</f>
        <v/>
      </c>
      <c r="BS132" s="206" t="str">
        <f>IF(AND($A132&gt;=SYear_O, $A132&lt;=EYear_O, BS$3&gt;0), BS$3 * VLOOKUP($A132, Data_All!$A$8:$CA$153, MATCH(BS$2, Data_All!$B$2:$CA$2, 0)+1), "")</f>
        <v/>
      </c>
      <c r="BT132" s="206" t="str">
        <f>IF(AND($A132&gt;=SYear_O, $A132&lt;=EYear_O, BT$3&gt;0), BT$3 * VLOOKUP($A132, Data_All!$A$8:$CA$153, MATCH(BT$2, Data_All!$B$2:$CA$2, 0)+1), "")</f>
        <v/>
      </c>
      <c r="BU132" s="206" t="str">
        <f>IF(AND($A132&gt;=SYear_O, $A132&lt;=EYear_O, BU$3&gt;0), BU$3 * VLOOKUP($A132, Data_All!$A$8:$CA$153, MATCH(BU$2, Data_All!$B$2:$CA$2, 0)+1), "")</f>
        <v/>
      </c>
      <c r="BV132" s="206" t="str">
        <f>IF(AND($A132&gt;=SYear_O, $A132&lt;=EYear_O, BV$3&gt;0), BV$3 * VLOOKUP($A132, Data_All!$A$8:$CA$153, MATCH(BV$2, Data_All!$B$2:$CA$2, 0)+1), "")</f>
        <v/>
      </c>
      <c r="BW132" s="206" t="str">
        <f>IF(AND($A132&gt;=SYear_O, $A132&lt;=EYear_O, BW$3&gt;0), BW$3 * VLOOKUP($A132, Data_All!$A$8:$CA$153, MATCH(BW$2, Data_All!$B$2:$CA$2, 0)+1), "")</f>
        <v/>
      </c>
      <c r="BX132" s="206">
        <f>IF(AND($A132&gt;=SYear_O, $A132&lt;=EYear_O, BX$3&gt;0), BX$3 * VLOOKUP($A132, Data_All!$A$8:$CA$153, MATCH(BX$2, Data_All!$B$2:$CA$2, 0)+1), "")</f>
        <v>16.278766967221127</v>
      </c>
      <c r="BY132" s="206">
        <f>IF(AND($A132&gt;=SYear_O, $A132&lt;=EYear_O, BY$3&gt;0), BY$3 * VLOOKUP($A132, Data_All!$A$8:$CA$153, MATCH(BY$2, Data_All!$B$2:$CA$2, 0)+1), "")</f>
        <v>0.70074442746371091</v>
      </c>
      <c r="BZ132" s="206" t="str">
        <f>IF(AND($A132&gt;=SYear_O, $A132&lt;=EYear_O, BZ$3&gt;0), BZ$3 * VLOOKUP($A132, Data_All!$A$8:$CA$153, MATCH(BZ$2, Data_All!$B$2:$CA$2, 0)+1), "")</f>
        <v/>
      </c>
      <c r="CA132" s="565">
        <f t="shared" si="52"/>
        <v>16.979511394684838</v>
      </c>
      <c r="CB132" s="427">
        <f t="shared" si="53"/>
        <v>109664654.15729077</v>
      </c>
      <c r="CC132" s="565">
        <f>IF(AND($A132&gt;=SYear_O,$A132&lt;=EYear_O),(CA132-Data_All!CA133)/(1+Data_All!CA133%),"")</f>
        <v>13.217875151854486</v>
      </c>
      <c r="CD132" s="436">
        <f t="shared" si="54"/>
        <v>8618328.7450212892</v>
      </c>
      <c r="CE132" s="438">
        <f t="shared" si="55"/>
        <v>9946.5006516766516</v>
      </c>
      <c r="CF132" s="438">
        <f>IF(AND($A132&gt;=SYear_O,$A132&lt;=EYear_O),MAX($CE$7:CE132),"")</f>
        <v>9946.5006516766516</v>
      </c>
      <c r="CG132" s="209">
        <f t="shared" si="56"/>
        <v>0</v>
      </c>
      <c r="CI132" s="143">
        <f>IF(AND($A132&gt;=SYear_O,$A132&lt;=EYear_O),Data_All!V133,"")</f>
        <v>5.09</v>
      </c>
      <c r="CJ132" s="143">
        <f>IF(AND($A132&gt;=SYear_O,$A132&lt;=EYear_O),Data_All!CA133,"")</f>
        <v>3.3224755700325792</v>
      </c>
      <c r="CK132" s="143">
        <f t="shared" si="57"/>
        <v>1.7106872635561101</v>
      </c>
      <c r="CN132" s="61">
        <f t="shared" si="58"/>
        <v>0.16979511394684832</v>
      </c>
      <c r="CO132" s="61">
        <f t="shared" si="59"/>
        <v>0.20084299023881713</v>
      </c>
      <c r="CP132" s="61">
        <f t="shared" si="60"/>
        <v>0.13898436656013513</v>
      </c>
      <c r="CQ132" s="61">
        <f t="shared" si="61"/>
        <v>8.330260147384938E-2</v>
      </c>
      <c r="CR132" s="61">
        <f t="shared" si="62"/>
        <v>7.0922552890215984E-2</v>
      </c>
      <c r="CU132" s="61">
        <f t="shared" si="63"/>
        <v>0.13217875151854508</v>
      </c>
      <c r="CV132" s="61">
        <f t="shared" si="64"/>
        <v>0.17488683124101412</v>
      </c>
      <c r="CW132" s="61">
        <f t="shared" si="65"/>
        <v>0.11078393339298009</v>
      </c>
      <c r="CX132" s="61">
        <f t="shared" si="66"/>
        <v>5.6715589797061039E-2</v>
      </c>
      <c r="CY132" s="61">
        <f t="shared" si="67"/>
        <v>4.5792108927282138E-2</v>
      </c>
    </row>
    <row r="133" spans="1:103">
      <c r="A133" s="204">
        <f t="shared" si="51"/>
        <v>1997</v>
      </c>
      <c r="B133" s="206" t="str">
        <f>IF(AND($A133&gt;=SYear_O, $A133&lt;=EYear_O, B$3&gt;0), B$3 * VLOOKUP($A133, Data_All!$A$8:$CA$153, MATCH(B$2, Data_All!$B$2:$CA$2, 0)+1), "")</f>
        <v/>
      </c>
      <c r="C133" s="206" t="str">
        <f>IF(AND($A133&gt;=SYear_O, $A133&lt;=EYear_O, C$3&gt;0), C$3 * VLOOKUP($A133, Data_All!$A$8:$CA$153, MATCH(C$2, Data_All!$B$2:$CA$2, 0)+1), "")</f>
        <v/>
      </c>
      <c r="D133" s="206" t="str">
        <f>IF(AND($A133&gt;=SYear_O, $A133&lt;=EYear_O, D$3&gt;0), D$3 * VLOOKUP($A133, Data_All!$A$8:$CA$153, MATCH(D$2, Data_All!$B$2:$CA$2, 0)+1), "")</f>
        <v/>
      </c>
      <c r="E133" s="206" t="str">
        <f>IF(AND($A133&gt;=SYear_O, $A133&lt;=EYear_O, E$3&gt;0), E$3 * VLOOKUP($A133, Data_All!$A$8:$CA$153, MATCH(E$2, Data_All!$B$2:$CA$2, 0)+1), "")</f>
        <v/>
      </c>
      <c r="F133" s="206" t="str">
        <f>IF(AND($A133&gt;=SYear_O, $A133&lt;=EYear_O, F$3&gt;0), F$3 * VLOOKUP($A133, Data_All!$A$8:$CA$153, MATCH(F$2, Data_All!$B$2:$CA$2, 0)+1), "")</f>
        <v/>
      </c>
      <c r="G133" s="206" t="str">
        <f>IF(AND($A133&gt;=SYear_O, $A133&lt;=EYear_O, G$3&gt;0), G$3 * VLOOKUP($A133, Data_All!$A$8:$CA$153, MATCH(G$2, Data_All!$B$2:$CA$2, 0)+1), "")</f>
        <v/>
      </c>
      <c r="H133" s="206" t="str">
        <f>IF(AND($A133&gt;=SYear_O, $A133&lt;=EYear_O, H$3&gt;0), H$3 * VLOOKUP($A133, Data_All!$A$8:$CA$153, MATCH(H$2, Data_All!$B$2:$CA$2, 0)+1), "")</f>
        <v/>
      </c>
      <c r="I133" s="206" t="str">
        <f>IF(AND($A133&gt;=SYear_O, $A133&lt;=EYear_O, I$3&gt;0), I$3 * VLOOKUP($A133, Data_All!$A$8:$CA$153, MATCH(I$2, Data_All!$B$2:$CA$2, 0)+1), "")</f>
        <v/>
      </c>
      <c r="J133" s="206" t="str">
        <f>IF(AND($A133&gt;=SYear_O, $A133&lt;=EYear_O, J$3&gt;0), J$3 * VLOOKUP($A133, Data_All!$A$8:$CA$153, MATCH(J$2, Data_All!$B$2:$CA$2, 0)+1), "")</f>
        <v/>
      </c>
      <c r="K133" s="206" t="str">
        <f>IF(AND($A133&gt;=SYear_O, $A133&lt;=EYear_O, K$3&gt;0), K$3 * VLOOKUP($A133, Data_All!$A$8:$CA$153, MATCH(K$2, Data_All!$B$2:$CA$2, 0)+1), "")</f>
        <v/>
      </c>
      <c r="L133" s="206" t="str">
        <f>IF(AND($A133&gt;=SYear_O, $A133&lt;=EYear_O, L$3&gt;0), L$3 * VLOOKUP($A133, Data_All!$A$8:$CA$153, MATCH(L$2, Data_All!$B$2:$CA$2, 0)+1), "")</f>
        <v/>
      </c>
      <c r="M133" s="206" t="str">
        <f>IF(AND($A133&gt;=SYear_O, $A133&lt;=EYear_O, M$3&gt;0), M$3 * VLOOKUP($A133, Data_All!$A$8:$CA$153, MATCH(M$2, Data_All!$B$2:$CA$2, 0)+1), "")</f>
        <v/>
      </c>
      <c r="N133" s="206" t="str">
        <f>IF(AND($A133&gt;=SYear_O, $A133&lt;=EYear_O, N$3&gt;0), N$3 * VLOOKUP($A133, Data_All!$A$8:$CA$153, MATCH(N$2, Data_All!$B$2:$CA$2, 0)+1), "")</f>
        <v/>
      </c>
      <c r="O133" s="206" t="str">
        <f>IF(AND($A133&gt;=SYear_O, $A133&lt;=EYear_O, O$3&gt;0), O$3 * VLOOKUP($A133, Data_All!$A$8:$CA$153, MATCH(O$2, Data_All!$B$2:$CA$2, 0)+1), "")</f>
        <v/>
      </c>
      <c r="P133" s="206" t="str">
        <f>IF(AND($A133&gt;=SYear_O, $A133&lt;=EYear_O, P$3&gt;0), P$3 * VLOOKUP($A133, Data_All!$A$8:$CA$153, MATCH(P$2, Data_All!$B$2:$CA$2, 0)+1), "")</f>
        <v/>
      </c>
      <c r="Q133" s="206" t="str">
        <f>IF(AND($A133&gt;=SYear_O, $A133&lt;=EYear_O, Q$3&gt;0), Q$3 * VLOOKUP($A133, Data_All!$A$8:$CA$153, MATCH(Q$2, Data_All!$B$2:$CA$2, 0)+1), "")</f>
        <v/>
      </c>
      <c r="R133" s="206" t="str">
        <f>IF(AND($A133&gt;=SYear_O, $A133&lt;=EYear_O, R$3&gt;0), R$3 * VLOOKUP($A133, Data_All!$A$8:$CA$153, MATCH(R$2, Data_All!$B$2:$CA$2, 0)+1), "")</f>
        <v/>
      </c>
      <c r="S133" s="206" t="str">
        <f>IF(AND($A133&gt;=SYear_O, $A133&lt;=EYear_O, S$3&gt;0), S$3 * VLOOKUP($A133, Data_All!$A$8:$CA$153, MATCH(S$2, Data_All!$B$2:$CA$2, 0)+1), "")</f>
        <v/>
      </c>
      <c r="T133" s="206" t="str">
        <f>IF(AND($A133&gt;=SYear_O, $A133&lt;=EYear_O, T$3&gt;0), T$3 * VLOOKUP($A133, Data_All!$A$8:$CA$153, MATCH(T$2, Data_All!$B$2:$CA$2, 0)+1), "")</f>
        <v/>
      </c>
      <c r="U133" s="206" t="str">
        <f>IF(AND($A133&gt;=SYear_O, $A133&lt;=EYear_O, U$3&gt;0), U$3 * VLOOKUP($A133, Data_All!$A$8:$CA$153, MATCH(U$2, Data_All!$B$2:$CA$2, 0)+1), "")</f>
        <v/>
      </c>
      <c r="V133" s="206" t="str">
        <f>IF(AND($A133&gt;=SYear_O, $A133&lt;=EYear_O, V$3&gt;0), V$3 * VLOOKUP($A133, Data_All!$A$8:$CA$153, MATCH(V$2, Data_All!$B$2:$CA$2, 0)+1), "")</f>
        <v/>
      </c>
      <c r="W133" s="206" t="str">
        <f>IF(AND($A133&gt;=SYear_O, $A133&lt;=EYear_O, W$3&gt;0), W$3 * VLOOKUP($A133, Data_All!$A$8:$CA$153, MATCH(W$2, Data_All!$B$2:$CA$2, 0)+1), "")</f>
        <v/>
      </c>
      <c r="X133" s="206" t="str">
        <f>IF(AND($A133&gt;=SYear_O, $A133&lt;=EYear_O, X$3&gt;0), X$3 * VLOOKUP($A133, Data_All!$A$8:$CA$153, MATCH(X$2, Data_All!$B$2:$CA$2, 0)+1), "")</f>
        <v/>
      </c>
      <c r="Y133" s="206" t="str">
        <f>IF(AND($A133&gt;=SYear_O, $A133&lt;=EYear_O, Y$3&gt;0), Y$3 * VLOOKUP($A133, Data_All!$A$8:$CA$153, MATCH(Y$2, Data_All!$B$2:$CA$2, 0)+1), "")</f>
        <v/>
      </c>
      <c r="Z133" s="206" t="str">
        <f>IF(AND($A133&gt;=SYear_O, $A133&lt;=EYear_O, Z$3&gt;0), Z$3 * VLOOKUP($A133, Data_All!$A$8:$CA$153, MATCH(Z$2, Data_All!$B$2:$CA$2, 0)+1), "")</f>
        <v/>
      </c>
      <c r="AA133" s="206" t="str">
        <f>IF(AND($A133&gt;=SYear_O, $A133&lt;=EYear_O, AA$3&gt;0), AA$3 * VLOOKUP($A133, Data_All!$A$8:$CA$153, MATCH(AA$2, Data_All!$B$2:$CA$2, 0)+1), "")</f>
        <v/>
      </c>
      <c r="AB133" s="206" t="str">
        <f>IF(AND($A133&gt;=SYear_O, $A133&lt;=EYear_O, AB$3&gt;0), AB$3 * VLOOKUP($A133, Data_All!$A$8:$CA$153, MATCH(AB$2, Data_All!$B$2:$CA$2, 0)+1), "")</f>
        <v/>
      </c>
      <c r="AC133" s="206" t="str">
        <f>IF(AND($A133&gt;=SYear_O, $A133&lt;=EYear_O, AC$3&gt;0), AC$3 * VLOOKUP($A133, Data_All!$A$8:$CA$153, MATCH(AC$2, Data_All!$B$2:$CA$2, 0)+1), "")</f>
        <v/>
      </c>
      <c r="AD133" s="206" t="str">
        <f>IF(AND($A133&gt;=SYear_O, $A133&lt;=EYear_O, AD$3&gt;0), AD$3 * VLOOKUP($A133, Data_All!$A$8:$CA$153, MATCH(AD$2, Data_All!$B$2:$CA$2, 0)+1), "")</f>
        <v/>
      </c>
      <c r="AE133" s="206" t="str">
        <f>IF(AND($A133&gt;=SYear_O, $A133&lt;=EYear_O, AE$3&gt;0), AE$3 * VLOOKUP($A133, Data_All!$A$8:$CA$153, MATCH(AE$2, Data_All!$B$2:$CA$2, 0)+1), "")</f>
        <v/>
      </c>
      <c r="AF133" s="206" t="str">
        <f>IF(AND($A133&gt;=SYear_O, $A133&lt;=EYear_O, AF$3&gt;0), AF$3 * VLOOKUP($A133, Data_All!$A$8:$CA$153, MATCH(AF$2, Data_All!$B$2:$CA$2, 0)+1), "")</f>
        <v/>
      </c>
      <c r="AG133" s="206" t="str">
        <f>IF(AND($A133&gt;=SYear_O, $A133&lt;=EYear_O, AG$3&gt;0), AG$3 * VLOOKUP($A133, Data_All!$A$8:$CA$153, MATCH(AG$2, Data_All!$B$2:$CA$2, 0)+1), "")</f>
        <v/>
      </c>
      <c r="AH133" s="206" t="str">
        <f>IF(AND($A133&gt;=SYear_O, $A133&lt;=EYear_O, AH$3&gt;0), AH$3 * VLOOKUP($A133, Data_All!$A$8:$CA$153, MATCH(AH$2, Data_All!$B$2:$CA$2, 0)+1), "")</f>
        <v/>
      </c>
      <c r="AI133" s="206" t="str">
        <f>IF(AND($A133&gt;=SYear_O, $A133&lt;=EYear_O, AI$3&gt;0), AI$3 * VLOOKUP($A133, Data_All!$A$8:$CA$153, MATCH(AI$2, Data_All!$B$2:$CA$2, 0)+1), "")</f>
        <v/>
      </c>
      <c r="AJ133" s="206" t="str">
        <f>IF(AND($A133&gt;=SYear_O, $A133&lt;=EYear_O, AJ$3&gt;0), AJ$3 * VLOOKUP($A133, Data_All!$A$8:$CA$153, MATCH(AJ$2, Data_All!$B$2:$CA$2, 0)+1), "")</f>
        <v/>
      </c>
      <c r="AK133" s="206" t="str">
        <f>IF(AND($A133&gt;=SYear_O, $A133&lt;=EYear_O, AK$3&gt;0), AK$3 * VLOOKUP($A133, Data_All!$A$8:$CA$153, MATCH(AK$2, Data_All!$B$2:$CA$2, 0)+1), "")</f>
        <v/>
      </c>
      <c r="AL133" s="206" t="str">
        <f>IF(AND($A133&gt;=SYear_O, $A133&lt;=EYear_O, AL$3&gt;0), AL$3 * VLOOKUP($A133, Data_All!$A$8:$CA$153, MATCH(AL$2, Data_All!$B$2:$CA$2, 0)+1), "")</f>
        <v/>
      </c>
      <c r="AM133" s="206" t="str">
        <f>IF(AND($A133&gt;=SYear_O, $A133&lt;=EYear_O, AM$3&gt;0), AM$3 * VLOOKUP($A133, Data_All!$A$8:$CA$153, MATCH(AM$2, Data_All!$B$2:$CA$2, 0)+1), "")</f>
        <v/>
      </c>
      <c r="AN133" s="206" t="str">
        <f>IF(AND($A133&gt;=SYear_O, $A133&lt;=EYear_O, AN$3&gt;0), AN$3 * VLOOKUP($A133, Data_All!$A$8:$CA$153, MATCH(AN$2, Data_All!$B$2:$CA$2, 0)+1), "")</f>
        <v/>
      </c>
      <c r="AO133" s="206" t="str">
        <f>IF(AND($A133&gt;=SYear_O, $A133&lt;=EYear_O, AO$3&gt;0), AO$3 * VLOOKUP($A133, Data_All!$A$8:$CA$153, MATCH(AO$2, Data_All!$B$2:$CA$2, 0)+1), "")</f>
        <v/>
      </c>
      <c r="AP133" s="206" t="str">
        <f>IF(AND($A133&gt;=SYear_O, $A133&lt;=EYear_O, AP$3&gt;0), AP$3 * VLOOKUP($A133, Data_All!$A$8:$CA$153, MATCH(AP$2, Data_All!$B$2:$CA$2, 0)+1), "")</f>
        <v/>
      </c>
      <c r="AQ133" s="206" t="str">
        <f>IF(AND($A133&gt;=SYear_O, $A133&lt;=EYear_O, AQ$3&gt;0), AQ$3 * VLOOKUP($A133, Data_All!$A$8:$CA$153, MATCH(AQ$2, Data_All!$B$2:$CA$2, 0)+1), "")</f>
        <v/>
      </c>
      <c r="AR133" s="206" t="str">
        <f>IF(AND($A133&gt;=SYear_O, $A133&lt;=EYear_O, AR$3&gt;0), AR$3 * VLOOKUP($A133, Data_All!$A$8:$CA$153, MATCH(AR$2, Data_All!$B$2:$CA$2, 0)+1), "")</f>
        <v/>
      </c>
      <c r="AS133" s="206" t="str">
        <f>IF(AND($A133&gt;=SYear_O, $A133&lt;=EYear_O, AS$3&gt;0), AS$3 * VLOOKUP($A133, Data_All!$A$8:$CA$153, MATCH(AS$2, Data_All!$B$2:$CA$2, 0)+1), "")</f>
        <v/>
      </c>
      <c r="AT133" s="206" t="str">
        <f>IF(AND($A133&gt;=SYear_O, $A133&lt;=EYear_O, AT$3&gt;0), AT$3 * VLOOKUP($A133, Data_All!$A$8:$CA$153, MATCH(AT$2, Data_All!$B$2:$CA$2, 0)+1), "")</f>
        <v/>
      </c>
      <c r="AU133" s="206" t="str">
        <f>IF(AND($A133&gt;=SYear_O, $A133&lt;=EYear_O, AU$3&gt;0), AU$3 * VLOOKUP($A133, Data_All!$A$8:$CA$153, MATCH(AU$2, Data_All!$B$2:$CA$2, 0)+1), "")</f>
        <v/>
      </c>
      <c r="AV133" s="206" t="str">
        <f>IF(AND($A133&gt;=SYear_O, $A133&lt;=EYear_O, AV$3&gt;0), AV$3 * VLOOKUP($A133, Data_All!$A$8:$CA$153, MATCH(AV$2, Data_All!$B$2:$CA$2, 0)+1), "")</f>
        <v/>
      </c>
      <c r="AW133" s="206" t="str">
        <f>IF(AND($A133&gt;=SYear_O, $A133&lt;=EYear_O, AW$3&gt;0), AW$3 * VLOOKUP($A133, Data_All!$A$8:$CA$153, MATCH(AW$2, Data_All!$B$2:$CA$2, 0)+1), "")</f>
        <v/>
      </c>
      <c r="AX133" s="206" t="str">
        <f>IF(AND($A133&gt;=SYear_O, $A133&lt;=EYear_O, AX$3&gt;0), AX$3 * VLOOKUP($A133, Data_All!$A$8:$CA$153, MATCH(AX$2, Data_All!$B$2:$CA$2, 0)+1), "")</f>
        <v/>
      </c>
      <c r="AY133" s="206" t="str">
        <f>IF(AND($A133&gt;=SYear_O, $A133&lt;=EYear_O, AY$3&gt;0), AY$3 * VLOOKUP($A133, Data_All!$A$8:$CA$153, MATCH(AY$2, Data_All!$B$2:$CA$2, 0)+1), "")</f>
        <v/>
      </c>
      <c r="AZ133" s="206" t="str">
        <f>IF(AND($A133&gt;=SYear_O, $A133&lt;=EYear_O, AZ$3&gt;0), AZ$3 * VLOOKUP($A133, Data_All!$A$8:$CA$153, MATCH(AZ$2, Data_All!$B$2:$CA$2, 0)+1), "")</f>
        <v/>
      </c>
      <c r="BA133" s="206" t="str">
        <f>IF(AND($A133&gt;=SYear_O, $A133&lt;=EYear_O, BA$3&gt;0), BA$3 * VLOOKUP($A133, Data_All!$A$8:$CA$153, MATCH(BA$2, Data_All!$B$2:$CA$2, 0)+1), "")</f>
        <v/>
      </c>
      <c r="BB133" s="206" t="str">
        <f>IF(AND($A133&gt;=SYear_O, $A133&lt;=EYear_O, BB$3&gt;0), BB$3 * VLOOKUP($A133, Data_All!$A$8:$CA$153, MATCH(BB$2, Data_All!$B$2:$CA$2, 0)+1), "")</f>
        <v/>
      </c>
      <c r="BC133" s="206" t="str">
        <f>IF(AND($A133&gt;=SYear_O, $A133&lt;=EYear_O, BC$3&gt;0), BC$3 * VLOOKUP($A133, Data_All!$A$8:$CA$153, MATCH(BC$2, Data_All!$B$2:$CA$2, 0)+1), "")</f>
        <v/>
      </c>
      <c r="BD133" s="206" t="str">
        <f>IF(AND($A133&gt;=SYear_O, $A133&lt;=EYear_O, BD$3&gt;0), BD$3 * VLOOKUP($A133, Data_All!$A$8:$CA$153, MATCH(BD$2, Data_All!$B$2:$CA$2, 0)+1), "")</f>
        <v/>
      </c>
      <c r="BE133" s="206" t="str">
        <f>IF(AND($A133&gt;=SYear_O, $A133&lt;=EYear_O, BE$3&gt;0), BE$3 * VLOOKUP($A133, Data_All!$A$8:$CA$153, MATCH(BE$2, Data_All!$B$2:$CA$2, 0)+1), "")</f>
        <v/>
      </c>
      <c r="BF133" s="206" t="str">
        <f>IF(AND($A133&gt;=SYear_O, $A133&lt;=EYear_O, BF$3&gt;0), BF$3 * VLOOKUP($A133, Data_All!$A$8:$CA$153, MATCH(BF$2, Data_All!$B$2:$CA$2, 0)+1), "")</f>
        <v/>
      </c>
      <c r="BG133" s="206" t="str">
        <f>IF(AND($A133&gt;=SYear_O, $A133&lt;=EYear_O, BG$3&gt;0), BG$3 * VLOOKUP($A133, Data_All!$A$8:$CA$153, MATCH(BG$2, Data_All!$B$2:$CA$2, 0)+1), "")</f>
        <v/>
      </c>
      <c r="BH133" s="206" t="str">
        <f>IF(AND($A133&gt;=SYear_O, $A133&lt;=EYear_O, BH$3&gt;0), BH$3 * VLOOKUP($A133, Data_All!$A$8:$CA$153, MATCH(BH$2, Data_All!$B$2:$CA$2, 0)+1), "")</f>
        <v/>
      </c>
      <c r="BI133" s="206" t="str">
        <f>IF(AND($A133&gt;=SYear_O, $A133&lt;=EYear_O, BI$3&gt;0), BI$3 * VLOOKUP($A133, Data_All!$A$8:$CA$153, MATCH(BI$2, Data_All!$B$2:$CA$2, 0)+1), "")</f>
        <v/>
      </c>
      <c r="BJ133" s="206" t="str">
        <f>IF(AND($A133&gt;=SYear_O, $A133&lt;=EYear_O, BJ$3&gt;0), BJ$3 * VLOOKUP($A133, Data_All!$A$8:$CA$153, MATCH(BJ$2, Data_All!$B$2:$CA$2, 0)+1), "")</f>
        <v/>
      </c>
      <c r="BK133" s="206" t="str">
        <f>IF(AND($A133&gt;=SYear_O, $A133&lt;=EYear_O, BK$3&gt;0), BK$3 * VLOOKUP($A133, Data_All!$A$8:$CA$153, MATCH(BK$2, Data_All!$B$2:$CA$2, 0)+1), "")</f>
        <v/>
      </c>
      <c r="BL133" s="206" t="str">
        <f>IF(AND($A133&gt;=SYear_O, $A133&lt;=EYear_O, BL$3&gt;0), BL$3 * VLOOKUP($A133, Data_All!$A$8:$CA$153, MATCH(BL$2, Data_All!$B$2:$CA$2, 0)+1), "")</f>
        <v/>
      </c>
      <c r="BM133" s="206" t="str">
        <f>IF(AND($A133&gt;=SYear_O, $A133&lt;=EYear_O, BM$3&gt;0), BM$3 * VLOOKUP($A133, Data_All!$A$8:$CA$153, MATCH(BM$2, Data_All!$B$2:$CA$2, 0)+1), "")</f>
        <v/>
      </c>
      <c r="BN133" s="206" t="str">
        <f>IF(AND($A133&gt;=SYear_O, $A133&lt;=EYear_O, BN$3&gt;0), BN$3 * VLOOKUP($A133, Data_All!$A$8:$CA$153, MATCH(BN$2, Data_All!$B$2:$CA$2, 0)+1), "")</f>
        <v/>
      </c>
      <c r="BO133" s="206" t="str">
        <f>IF(AND($A133&gt;=SYear_O, $A133&lt;=EYear_O, BO$3&gt;0), BO$3 * VLOOKUP($A133, Data_All!$A$8:$CA$153, MATCH(BO$2, Data_All!$B$2:$CA$2, 0)+1), "")</f>
        <v/>
      </c>
      <c r="BP133" s="206" t="str">
        <f>IF(AND($A133&gt;=SYear_O, $A133&lt;=EYear_O, BP$3&gt;0), BP$3 * VLOOKUP($A133, Data_All!$A$8:$CA$153, MATCH(BP$2, Data_All!$B$2:$CA$2, 0)+1), "")</f>
        <v/>
      </c>
      <c r="BQ133" s="206" t="str">
        <f>IF(AND($A133&gt;=SYear_O, $A133&lt;=EYear_O, BQ$3&gt;0), BQ$3 * VLOOKUP($A133, Data_All!$A$8:$CA$153, MATCH(BQ$2, Data_All!$B$2:$CA$2, 0)+1), "")</f>
        <v/>
      </c>
      <c r="BR133" s="206" t="str">
        <f>IF(AND($A133&gt;=SYear_O, $A133&lt;=EYear_O, BR$3&gt;0), BR$3 * VLOOKUP($A133, Data_All!$A$8:$CA$153, MATCH(BR$2, Data_All!$B$2:$CA$2, 0)+1), "")</f>
        <v/>
      </c>
      <c r="BS133" s="206" t="str">
        <f>IF(AND($A133&gt;=SYear_O, $A133&lt;=EYear_O, BS$3&gt;0), BS$3 * VLOOKUP($A133, Data_All!$A$8:$CA$153, MATCH(BS$2, Data_All!$B$2:$CA$2, 0)+1), "")</f>
        <v/>
      </c>
      <c r="BT133" s="206" t="str">
        <f>IF(AND($A133&gt;=SYear_O, $A133&lt;=EYear_O, BT$3&gt;0), BT$3 * VLOOKUP($A133, Data_All!$A$8:$CA$153, MATCH(BT$2, Data_All!$B$2:$CA$2, 0)+1), "")</f>
        <v/>
      </c>
      <c r="BU133" s="206" t="str">
        <f>IF(AND($A133&gt;=SYear_O, $A133&lt;=EYear_O, BU$3&gt;0), BU$3 * VLOOKUP($A133, Data_All!$A$8:$CA$153, MATCH(BU$2, Data_All!$B$2:$CA$2, 0)+1), "")</f>
        <v/>
      </c>
      <c r="BV133" s="206" t="str">
        <f>IF(AND($A133&gt;=SYear_O, $A133&lt;=EYear_O, BV$3&gt;0), BV$3 * VLOOKUP($A133, Data_All!$A$8:$CA$153, MATCH(BV$2, Data_All!$B$2:$CA$2, 0)+1), "")</f>
        <v/>
      </c>
      <c r="BW133" s="206" t="str">
        <f>IF(AND($A133&gt;=SYear_O, $A133&lt;=EYear_O, BW$3&gt;0), BW$3 * VLOOKUP($A133, Data_All!$A$8:$CA$153, MATCH(BW$2, Data_All!$B$2:$CA$2, 0)+1), "")</f>
        <v/>
      </c>
      <c r="BX133" s="206">
        <f>IF(AND($A133&gt;=SYear_O, $A133&lt;=EYear_O, BX$3&gt;0), BX$3 * VLOOKUP($A133, Data_All!$A$8:$CA$153, MATCH(BX$2, Data_All!$B$2:$CA$2, 0)+1), "")</f>
        <v>16.651092375557933</v>
      </c>
      <c r="BY133" s="206">
        <f>IF(AND($A133&gt;=SYear_O, $A133&lt;=EYear_O, BY$3&gt;0), BY$3 * VLOOKUP($A133, Data_All!$A$8:$CA$153, MATCH(BY$2, Data_All!$B$2:$CA$2, 0)+1), "")</f>
        <v>4.2912143913675749</v>
      </c>
      <c r="BZ133" s="206" t="str">
        <f>IF(AND($A133&gt;=SYear_O, $A133&lt;=EYear_O, BZ$3&gt;0), BZ$3 * VLOOKUP($A133, Data_All!$A$8:$CA$153, MATCH(BZ$2, Data_All!$B$2:$CA$2, 0)+1), "")</f>
        <v/>
      </c>
      <c r="CA133" s="565">
        <f t="shared" si="52"/>
        <v>20.942306766925508</v>
      </c>
      <c r="CB133" s="427">
        <f t="shared" si="53"/>
        <v>132630962.44579853</v>
      </c>
      <c r="CC133" s="565">
        <f>IF(AND($A133&gt;=SYear_O,$A133&lt;=EYear_O),(CA133-Data_All!CA134)/(1+Data_All!CA134%),"")</f>
        <v>18.917854018812047</v>
      </c>
      <c r="CD133" s="436">
        <f t="shared" si="54"/>
        <v>10248731.595865734</v>
      </c>
      <c r="CE133" s="438">
        <f t="shared" si="55"/>
        <v>12029.527330725021</v>
      </c>
      <c r="CF133" s="438">
        <f>IF(AND($A133&gt;=SYear_O,$A133&lt;=EYear_O),MAX($CE$7:CE133),"")</f>
        <v>12029.527330725021</v>
      </c>
      <c r="CG133" s="209">
        <f t="shared" si="56"/>
        <v>0</v>
      </c>
      <c r="CI133" s="143">
        <f>IF(AND($A133&gt;=SYear_O,$A133&lt;=EYear_O),Data_All!V134,"")</f>
        <v>5.12</v>
      </c>
      <c r="CJ133" s="143">
        <f>IF(AND($A133&gt;=SYear_O,$A133&lt;=EYear_O),Data_All!CA134,"")</f>
        <v>1.7023959646910614</v>
      </c>
      <c r="CK133" s="143">
        <f t="shared" si="57"/>
        <v>3.3603967761934137</v>
      </c>
      <c r="CN133" s="61">
        <f t="shared" si="58"/>
        <v>0.209423067669255</v>
      </c>
      <c r="CO133" s="61">
        <f t="shared" si="59"/>
        <v>0.16932851913726443</v>
      </c>
      <c r="CP133" s="61">
        <f t="shared" si="60"/>
        <v>9.2394144181972226E-2</v>
      </c>
      <c r="CQ133" s="61">
        <f t="shared" si="61"/>
        <v>7.5736318088977628E-2</v>
      </c>
      <c r="CR133" s="61">
        <f>IF(AND($A133&gt;=SYear_O,$A133&lt;=EYear_O),IF($A133=SYear_O,(($CB149/$CB$4)^(1/(1+($A149-$A133)))-1),(($CB149/$CB132)^(1/(1+($A149-$A133)))-1)),"")</f>
        <v>7.0975928640305552E-2</v>
      </c>
      <c r="CU133" s="61">
        <f t="shared" si="63"/>
        <v>0.18917854018812053</v>
      </c>
      <c r="CV133" s="61">
        <f t="shared" si="64"/>
        <v>0.1464177394461692</v>
      </c>
      <c r="CW133" s="61">
        <f t="shared" si="65"/>
        <v>6.9036885442266716E-2</v>
      </c>
      <c r="CX133" s="61">
        <f t="shared" si="66"/>
        <v>5.0132339974324314E-2</v>
      </c>
      <c r="CY133" s="61">
        <f>IF(AND($A133&gt;=SYear_O,$A133&lt;=EYear_O),IF($A133=SYear_O,(($CD149/$CD$4)^(1/(1+($A149-$A133)))-1),(($CD149/$CD132)^(1/(1+($A149-$A133)))-1)),"")</f>
        <v>4.700246973796296E-2</v>
      </c>
    </row>
    <row r="134" spans="1:103">
      <c r="A134" s="204">
        <f t="shared" si="51"/>
        <v>1998</v>
      </c>
      <c r="B134" s="206" t="str">
        <f>IF(AND($A134&gt;=SYear_O, $A134&lt;=EYear_O, B$3&gt;0), B$3 * VLOOKUP($A134, Data_All!$A$8:$CA$153, MATCH(B$2, Data_All!$B$2:$CA$2, 0)+1), "")</f>
        <v/>
      </c>
      <c r="C134" s="206" t="str">
        <f>IF(AND($A134&gt;=SYear_O, $A134&lt;=EYear_O, C$3&gt;0), C$3 * VLOOKUP($A134, Data_All!$A$8:$CA$153, MATCH(C$2, Data_All!$B$2:$CA$2, 0)+1), "")</f>
        <v/>
      </c>
      <c r="D134" s="206" t="str">
        <f>IF(AND($A134&gt;=SYear_O, $A134&lt;=EYear_O, D$3&gt;0), D$3 * VLOOKUP($A134, Data_All!$A$8:$CA$153, MATCH(D$2, Data_All!$B$2:$CA$2, 0)+1), "")</f>
        <v/>
      </c>
      <c r="E134" s="206" t="str">
        <f>IF(AND($A134&gt;=SYear_O, $A134&lt;=EYear_O, E$3&gt;0), E$3 * VLOOKUP($A134, Data_All!$A$8:$CA$153, MATCH(E$2, Data_All!$B$2:$CA$2, 0)+1), "")</f>
        <v/>
      </c>
      <c r="F134" s="206" t="str">
        <f>IF(AND($A134&gt;=SYear_O, $A134&lt;=EYear_O, F$3&gt;0), F$3 * VLOOKUP($A134, Data_All!$A$8:$CA$153, MATCH(F$2, Data_All!$B$2:$CA$2, 0)+1), "")</f>
        <v/>
      </c>
      <c r="G134" s="206" t="str">
        <f>IF(AND($A134&gt;=SYear_O, $A134&lt;=EYear_O, G$3&gt;0), G$3 * VLOOKUP($A134, Data_All!$A$8:$CA$153, MATCH(G$2, Data_All!$B$2:$CA$2, 0)+1), "")</f>
        <v/>
      </c>
      <c r="H134" s="206" t="str">
        <f>IF(AND($A134&gt;=SYear_O, $A134&lt;=EYear_O, H$3&gt;0), H$3 * VLOOKUP($A134, Data_All!$A$8:$CA$153, MATCH(H$2, Data_All!$B$2:$CA$2, 0)+1), "")</f>
        <v/>
      </c>
      <c r="I134" s="206" t="str">
        <f>IF(AND($A134&gt;=SYear_O, $A134&lt;=EYear_O, I$3&gt;0), I$3 * VLOOKUP($A134, Data_All!$A$8:$CA$153, MATCH(I$2, Data_All!$B$2:$CA$2, 0)+1), "")</f>
        <v/>
      </c>
      <c r="J134" s="206" t="str">
        <f>IF(AND($A134&gt;=SYear_O, $A134&lt;=EYear_O, J$3&gt;0), J$3 * VLOOKUP($A134, Data_All!$A$8:$CA$153, MATCH(J$2, Data_All!$B$2:$CA$2, 0)+1), "")</f>
        <v/>
      </c>
      <c r="K134" s="206" t="str">
        <f>IF(AND($A134&gt;=SYear_O, $A134&lt;=EYear_O, K$3&gt;0), K$3 * VLOOKUP($A134, Data_All!$A$8:$CA$153, MATCH(K$2, Data_All!$B$2:$CA$2, 0)+1), "")</f>
        <v/>
      </c>
      <c r="L134" s="206" t="str">
        <f>IF(AND($A134&gt;=SYear_O, $A134&lt;=EYear_O, L$3&gt;0), L$3 * VLOOKUP($A134, Data_All!$A$8:$CA$153, MATCH(L$2, Data_All!$B$2:$CA$2, 0)+1), "")</f>
        <v/>
      </c>
      <c r="M134" s="206" t="str">
        <f>IF(AND($A134&gt;=SYear_O, $A134&lt;=EYear_O, M$3&gt;0), M$3 * VLOOKUP($A134, Data_All!$A$8:$CA$153, MATCH(M$2, Data_All!$B$2:$CA$2, 0)+1), "")</f>
        <v/>
      </c>
      <c r="N134" s="206" t="str">
        <f>IF(AND($A134&gt;=SYear_O, $A134&lt;=EYear_O, N$3&gt;0), N$3 * VLOOKUP($A134, Data_All!$A$8:$CA$153, MATCH(N$2, Data_All!$B$2:$CA$2, 0)+1), "")</f>
        <v/>
      </c>
      <c r="O134" s="206" t="str">
        <f>IF(AND($A134&gt;=SYear_O, $A134&lt;=EYear_O, O$3&gt;0), O$3 * VLOOKUP($A134, Data_All!$A$8:$CA$153, MATCH(O$2, Data_All!$B$2:$CA$2, 0)+1), "")</f>
        <v/>
      </c>
      <c r="P134" s="206" t="str">
        <f>IF(AND($A134&gt;=SYear_O, $A134&lt;=EYear_O, P$3&gt;0), P$3 * VLOOKUP($A134, Data_All!$A$8:$CA$153, MATCH(P$2, Data_All!$B$2:$CA$2, 0)+1), "")</f>
        <v/>
      </c>
      <c r="Q134" s="206" t="str">
        <f>IF(AND($A134&gt;=SYear_O, $A134&lt;=EYear_O, Q$3&gt;0), Q$3 * VLOOKUP($A134, Data_All!$A$8:$CA$153, MATCH(Q$2, Data_All!$B$2:$CA$2, 0)+1), "")</f>
        <v/>
      </c>
      <c r="R134" s="206" t="str">
        <f>IF(AND($A134&gt;=SYear_O, $A134&lt;=EYear_O, R$3&gt;0), R$3 * VLOOKUP($A134, Data_All!$A$8:$CA$153, MATCH(R$2, Data_All!$B$2:$CA$2, 0)+1), "")</f>
        <v/>
      </c>
      <c r="S134" s="206" t="str">
        <f>IF(AND($A134&gt;=SYear_O, $A134&lt;=EYear_O, S$3&gt;0), S$3 * VLOOKUP($A134, Data_All!$A$8:$CA$153, MATCH(S$2, Data_All!$B$2:$CA$2, 0)+1), "")</f>
        <v/>
      </c>
      <c r="T134" s="206" t="str">
        <f>IF(AND($A134&gt;=SYear_O, $A134&lt;=EYear_O, T$3&gt;0), T$3 * VLOOKUP($A134, Data_All!$A$8:$CA$153, MATCH(T$2, Data_All!$B$2:$CA$2, 0)+1), "")</f>
        <v/>
      </c>
      <c r="U134" s="206" t="str">
        <f>IF(AND($A134&gt;=SYear_O, $A134&lt;=EYear_O, U$3&gt;0), U$3 * VLOOKUP($A134, Data_All!$A$8:$CA$153, MATCH(U$2, Data_All!$B$2:$CA$2, 0)+1), "")</f>
        <v/>
      </c>
      <c r="V134" s="206" t="str">
        <f>IF(AND($A134&gt;=SYear_O, $A134&lt;=EYear_O, V$3&gt;0), V$3 * VLOOKUP($A134, Data_All!$A$8:$CA$153, MATCH(V$2, Data_All!$B$2:$CA$2, 0)+1), "")</f>
        <v/>
      </c>
      <c r="W134" s="206" t="str">
        <f>IF(AND($A134&gt;=SYear_O, $A134&lt;=EYear_O, W$3&gt;0), W$3 * VLOOKUP($A134, Data_All!$A$8:$CA$153, MATCH(W$2, Data_All!$B$2:$CA$2, 0)+1), "")</f>
        <v/>
      </c>
      <c r="X134" s="206" t="str">
        <f>IF(AND($A134&gt;=SYear_O, $A134&lt;=EYear_O, X$3&gt;0), X$3 * VLOOKUP($A134, Data_All!$A$8:$CA$153, MATCH(X$2, Data_All!$B$2:$CA$2, 0)+1), "")</f>
        <v/>
      </c>
      <c r="Y134" s="206" t="str">
        <f>IF(AND($A134&gt;=SYear_O, $A134&lt;=EYear_O, Y$3&gt;0), Y$3 * VLOOKUP($A134, Data_All!$A$8:$CA$153, MATCH(Y$2, Data_All!$B$2:$CA$2, 0)+1), "")</f>
        <v/>
      </c>
      <c r="Z134" s="206" t="str">
        <f>IF(AND($A134&gt;=SYear_O, $A134&lt;=EYear_O, Z$3&gt;0), Z$3 * VLOOKUP($A134, Data_All!$A$8:$CA$153, MATCH(Z$2, Data_All!$B$2:$CA$2, 0)+1), "")</f>
        <v/>
      </c>
      <c r="AA134" s="206" t="str">
        <f>IF(AND($A134&gt;=SYear_O, $A134&lt;=EYear_O, AA$3&gt;0), AA$3 * VLOOKUP($A134, Data_All!$A$8:$CA$153, MATCH(AA$2, Data_All!$B$2:$CA$2, 0)+1), "")</f>
        <v/>
      </c>
      <c r="AB134" s="206" t="str">
        <f>IF(AND($A134&gt;=SYear_O, $A134&lt;=EYear_O, AB$3&gt;0), AB$3 * VLOOKUP($A134, Data_All!$A$8:$CA$153, MATCH(AB$2, Data_All!$B$2:$CA$2, 0)+1), "")</f>
        <v/>
      </c>
      <c r="AC134" s="206" t="str">
        <f>IF(AND($A134&gt;=SYear_O, $A134&lt;=EYear_O, AC$3&gt;0), AC$3 * VLOOKUP($A134, Data_All!$A$8:$CA$153, MATCH(AC$2, Data_All!$B$2:$CA$2, 0)+1), "")</f>
        <v/>
      </c>
      <c r="AD134" s="206" t="str">
        <f>IF(AND($A134&gt;=SYear_O, $A134&lt;=EYear_O, AD$3&gt;0), AD$3 * VLOOKUP($A134, Data_All!$A$8:$CA$153, MATCH(AD$2, Data_All!$B$2:$CA$2, 0)+1), "")</f>
        <v/>
      </c>
      <c r="AE134" s="206" t="str">
        <f>IF(AND($A134&gt;=SYear_O, $A134&lt;=EYear_O, AE$3&gt;0), AE$3 * VLOOKUP($A134, Data_All!$A$8:$CA$153, MATCH(AE$2, Data_All!$B$2:$CA$2, 0)+1), "")</f>
        <v/>
      </c>
      <c r="AF134" s="206" t="str">
        <f>IF(AND($A134&gt;=SYear_O, $A134&lt;=EYear_O, AF$3&gt;0), AF$3 * VLOOKUP($A134, Data_All!$A$8:$CA$153, MATCH(AF$2, Data_All!$B$2:$CA$2, 0)+1), "")</f>
        <v/>
      </c>
      <c r="AG134" s="206" t="str">
        <f>IF(AND($A134&gt;=SYear_O, $A134&lt;=EYear_O, AG$3&gt;0), AG$3 * VLOOKUP($A134, Data_All!$A$8:$CA$153, MATCH(AG$2, Data_All!$B$2:$CA$2, 0)+1), "")</f>
        <v/>
      </c>
      <c r="AH134" s="206" t="str">
        <f>IF(AND($A134&gt;=SYear_O, $A134&lt;=EYear_O, AH$3&gt;0), AH$3 * VLOOKUP($A134, Data_All!$A$8:$CA$153, MATCH(AH$2, Data_All!$B$2:$CA$2, 0)+1), "")</f>
        <v/>
      </c>
      <c r="AI134" s="206" t="str">
        <f>IF(AND($A134&gt;=SYear_O, $A134&lt;=EYear_O, AI$3&gt;0), AI$3 * VLOOKUP($A134, Data_All!$A$8:$CA$153, MATCH(AI$2, Data_All!$B$2:$CA$2, 0)+1), "")</f>
        <v/>
      </c>
      <c r="AJ134" s="206" t="str">
        <f>IF(AND($A134&gt;=SYear_O, $A134&lt;=EYear_O, AJ$3&gt;0), AJ$3 * VLOOKUP($A134, Data_All!$A$8:$CA$153, MATCH(AJ$2, Data_All!$B$2:$CA$2, 0)+1), "")</f>
        <v/>
      </c>
      <c r="AK134" s="206" t="str">
        <f>IF(AND($A134&gt;=SYear_O, $A134&lt;=EYear_O, AK$3&gt;0), AK$3 * VLOOKUP($A134, Data_All!$A$8:$CA$153, MATCH(AK$2, Data_All!$B$2:$CA$2, 0)+1), "")</f>
        <v/>
      </c>
      <c r="AL134" s="206" t="str">
        <f>IF(AND($A134&gt;=SYear_O, $A134&lt;=EYear_O, AL$3&gt;0), AL$3 * VLOOKUP($A134, Data_All!$A$8:$CA$153, MATCH(AL$2, Data_All!$B$2:$CA$2, 0)+1), "")</f>
        <v/>
      </c>
      <c r="AM134" s="206" t="str">
        <f>IF(AND($A134&gt;=SYear_O, $A134&lt;=EYear_O, AM$3&gt;0), AM$3 * VLOOKUP($A134, Data_All!$A$8:$CA$153, MATCH(AM$2, Data_All!$B$2:$CA$2, 0)+1), "")</f>
        <v/>
      </c>
      <c r="AN134" s="206" t="str">
        <f>IF(AND($A134&gt;=SYear_O, $A134&lt;=EYear_O, AN$3&gt;0), AN$3 * VLOOKUP($A134, Data_All!$A$8:$CA$153, MATCH(AN$2, Data_All!$B$2:$CA$2, 0)+1), "")</f>
        <v/>
      </c>
      <c r="AO134" s="206" t="str">
        <f>IF(AND($A134&gt;=SYear_O, $A134&lt;=EYear_O, AO$3&gt;0), AO$3 * VLOOKUP($A134, Data_All!$A$8:$CA$153, MATCH(AO$2, Data_All!$B$2:$CA$2, 0)+1), "")</f>
        <v/>
      </c>
      <c r="AP134" s="206" t="str">
        <f>IF(AND($A134&gt;=SYear_O, $A134&lt;=EYear_O, AP$3&gt;0), AP$3 * VLOOKUP($A134, Data_All!$A$8:$CA$153, MATCH(AP$2, Data_All!$B$2:$CA$2, 0)+1), "")</f>
        <v/>
      </c>
      <c r="AQ134" s="206" t="str">
        <f>IF(AND($A134&gt;=SYear_O, $A134&lt;=EYear_O, AQ$3&gt;0), AQ$3 * VLOOKUP($A134, Data_All!$A$8:$CA$153, MATCH(AQ$2, Data_All!$B$2:$CA$2, 0)+1), "")</f>
        <v/>
      </c>
      <c r="AR134" s="206" t="str">
        <f>IF(AND($A134&gt;=SYear_O, $A134&lt;=EYear_O, AR$3&gt;0), AR$3 * VLOOKUP($A134, Data_All!$A$8:$CA$153, MATCH(AR$2, Data_All!$B$2:$CA$2, 0)+1), "")</f>
        <v/>
      </c>
      <c r="AS134" s="206" t="str">
        <f>IF(AND($A134&gt;=SYear_O, $A134&lt;=EYear_O, AS$3&gt;0), AS$3 * VLOOKUP($A134, Data_All!$A$8:$CA$153, MATCH(AS$2, Data_All!$B$2:$CA$2, 0)+1), "")</f>
        <v/>
      </c>
      <c r="AT134" s="206" t="str">
        <f>IF(AND($A134&gt;=SYear_O, $A134&lt;=EYear_O, AT$3&gt;0), AT$3 * VLOOKUP($A134, Data_All!$A$8:$CA$153, MATCH(AT$2, Data_All!$B$2:$CA$2, 0)+1), "")</f>
        <v/>
      </c>
      <c r="AU134" s="206" t="str">
        <f>IF(AND($A134&gt;=SYear_O, $A134&lt;=EYear_O, AU$3&gt;0), AU$3 * VLOOKUP($A134, Data_All!$A$8:$CA$153, MATCH(AU$2, Data_All!$B$2:$CA$2, 0)+1), "")</f>
        <v/>
      </c>
      <c r="AV134" s="206" t="str">
        <f>IF(AND($A134&gt;=SYear_O, $A134&lt;=EYear_O, AV$3&gt;0), AV$3 * VLOOKUP($A134, Data_All!$A$8:$CA$153, MATCH(AV$2, Data_All!$B$2:$CA$2, 0)+1), "")</f>
        <v/>
      </c>
      <c r="AW134" s="206" t="str">
        <f>IF(AND($A134&gt;=SYear_O, $A134&lt;=EYear_O, AW$3&gt;0), AW$3 * VLOOKUP($A134, Data_All!$A$8:$CA$153, MATCH(AW$2, Data_All!$B$2:$CA$2, 0)+1), "")</f>
        <v/>
      </c>
      <c r="AX134" s="206" t="str">
        <f>IF(AND($A134&gt;=SYear_O, $A134&lt;=EYear_O, AX$3&gt;0), AX$3 * VLOOKUP($A134, Data_All!$A$8:$CA$153, MATCH(AX$2, Data_All!$B$2:$CA$2, 0)+1), "")</f>
        <v/>
      </c>
      <c r="AY134" s="206" t="str">
        <f>IF(AND($A134&gt;=SYear_O, $A134&lt;=EYear_O, AY$3&gt;0), AY$3 * VLOOKUP($A134, Data_All!$A$8:$CA$153, MATCH(AY$2, Data_All!$B$2:$CA$2, 0)+1), "")</f>
        <v/>
      </c>
      <c r="AZ134" s="206" t="str">
        <f>IF(AND($A134&gt;=SYear_O, $A134&lt;=EYear_O, AZ$3&gt;0), AZ$3 * VLOOKUP($A134, Data_All!$A$8:$CA$153, MATCH(AZ$2, Data_All!$B$2:$CA$2, 0)+1), "")</f>
        <v/>
      </c>
      <c r="BA134" s="206" t="str">
        <f>IF(AND($A134&gt;=SYear_O, $A134&lt;=EYear_O, BA$3&gt;0), BA$3 * VLOOKUP($A134, Data_All!$A$8:$CA$153, MATCH(BA$2, Data_All!$B$2:$CA$2, 0)+1), "")</f>
        <v/>
      </c>
      <c r="BB134" s="206" t="str">
        <f>IF(AND($A134&gt;=SYear_O, $A134&lt;=EYear_O, BB$3&gt;0), BB$3 * VLOOKUP($A134, Data_All!$A$8:$CA$153, MATCH(BB$2, Data_All!$B$2:$CA$2, 0)+1), "")</f>
        <v/>
      </c>
      <c r="BC134" s="206" t="str">
        <f>IF(AND($A134&gt;=SYear_O, $A134&lt;=EYear_O, BC$3&gt;0), BC$3 * VLOOKUP($A134, Data_All!$A$8:$CA$153, MATCH(BC$2, Data_All!$B$2:$CA$2, 0)+1), "")</f>
        <v/>
      </c>
      <c r="BD134" s="206" t="str">
        <f>IF(AND($A134&gt;=SYear_O, $A134&lt;=EYear_O, BD$3&gt;0), BD$3 * VLOOKUP($A134, Data_All!$A$8:$CA$153, MATCH(BD$2, Data_All!$B$2:$CA$2, 0)+1), "")</f>
        <v/>
      </c>
      <c r="BE134" s="206" t="str">
        <f>IF(AND($A134&gt;=SYear_O, $A134&lt;=EYear_O, BE$3&gt;0), BE$3 * VLOOKUP($A134, Data_All!$A$8:$CA$153, MATCH(BE$2, Data_All!$B$2:$CA$2, 0)+1), "")</f>
        <v/>
      </c>
      <c r="BF134" s="206" t="str">
        <f>IF(AND($A134&gt;=SYear_O, $A134&lt;=EYear_O, BF$3&gt;0), BF$3 * VLOOKUP($A134, Data_All!$A$8:$CA$153, MATCH(BF$2, Data_All!$B$2:$CA$2, 0)+1), "")</f>
        <v/>
      </c>
      <c r="BG134" s="206" t="str">
        <f>IF(AND($A134&gt;=SYear_O, $A134&lt;=EYear_O, BG$3&gt;0), BG$3 * VLOOKUP($A134, Data_All!$A$8:$CA$153, MATCH(BG$2, Data_All!$B$2:$CA$2, 0)+1), "")</f>
        <v/>
      </c>
      <c r="BH134" s="206" t="str">
        <f>IF(AND($A134&gt;=SYear_O, $A134&lt;=EYear_O, BH$3&gt;0), BH$3 * VLOOKUP($A134, Data_All!$A$8:$CA$153, MATCH(BH$2, Data_All!$B$2:$CA$2, 0)+1), "")</f>
        <v/>
      </c>
      <c r="BI134" s="206" t="str">
        <f>IF(AND($A134&gt;=SYear_O, $A134&lt;=EYear_O, BI$3&gt;0), BI$3 * VLOOKUP($A134, Data_All!$A$8:$CA$153, MATCH(BI$2, Data_All!$B$2:$CA$2, 0)+1), "")</f>
        <v/>
      </c>
      <c r="BJ134" s="206" t="str">
        <f>IF(AND($A134&gt;=SYear_O, $A134&lt;=EYear_O, BJ$3&gt;0), BJ$3 * VLOOKUP($A134, Data_All!$A$8:$CA$153, MATCH(BJ$2, Data_All!$B$2:$CA$2, 0)+1), "")</f>
        <v/>
      </c>
      <c r="BK134" s="206" t="str">
        <f>IF(AND($A134&gt;=SYear_O, $A134&lt;=EYear_O, BK$3&gt;0), BK$3 * VLOOKUP($A134, Data_All!$A$8:$CA$153, MATCH(BK$2, Data_All!$B$2:$CA$2, 0)+1), "")</f>
        <v/>
      </c>
      <c r="BL134" s="206" t="str">
        <f>IF(AND($A134&gt;=SYear_O, $A134&lt;=EYear_O, BL$3&gt;0), BL$3 * VLOOKUP($A134, Data_All!$A$8:$CA$153, MATCH(BL$2, Data_All!$B$2:$CA$2, 0)+1), "")</f>
        <v/>
      </c>
      <c r="BM134" s="206" t="str">
        <f>IF(AND($A134&gt;=SYear_O, $A134&lt;=EYear_O, BM$3&gt;0), BM$3 * VLOOKUP($A134, Data_All!$A$8:$CA$153, MATCH(BM$2, Data_All!$B$2:$CA$2, 0)+1), "")</f>
        <v/>
      </c>
      <c r="BN134" s="206" t="str">
        <f>IF(AND($A134&gt;=SYear_O, $A134&lt;=EYear_O, BN$3&gt;0), BN$3 * VLOOKUP($A134, Data_All!$A$8:$CA$153, MATCH(BN$2, Data_All!$B$2:$CA$2, 0)+1), "")</f>
        <v/>
      </c>
      <c r="BO134" s="206" t="str">
        <f>IF(AND($A134&gt;=SYear_O, $A134&lt;=EYear_O, BO$3&gt;0), BO$3 * VLOOKUP($A134, Data_All!$A$8:$CA$153, MATCH(BO$2, Data_All!$B$2:$CA$2, 0)+1), "")</f>
        <v/>
      </c>
      <c r="BP134" s="206" t="str">
        <f>IF(AND($A134&gt;=SYear_O, $A134&lt;=EYear_O, BP$3&gt;0), BP$3 * VLOOKUP($A134, Data_All!$A$8:$CA$153, MATCH(BP$2, Data_All!$B$2:$CA$2, 0)+1), "")</f>
        <v/>
      </c>
      <c r="BQ134" s="206" t="str">
        <f>IF(AND($A134&gt;=SYear_O, $A134&lt;=EYear_O, BQ$3&gt;0), BQ$3 * VLOOKUP($A134, Data_All!$A$8:$CA$153, MATCH(BQ$2, Data_All!$B$2:$CA$2, 0)+1), "")</f>
        <v/>
      </c>
      <c r="BR134" s="206" t="str">
        <f>IF(AND($A134&gt;=SYear_O, $A134&lt;=EYear_O, BR$3&gt;0), BR$3 * VLOOKUP($A134, Data_All!$A$8:$CA$153, MATCH(BR$2, Data_All!$B$2:$CA$2, 0)+1), "")</f>
        <v/>
      </c>
      <c r="BS134" s="206" t="str">
        <f>IF(AND($A134&gt;=SYear_O, $A134&lt;=EYear_O, BS$3&gt;0), BS$3 * VLOOKUP($A134, Data_All!$A$8:$CA$153, MATCH(BS$2, Data_All!$B$2:$CA$2, 0)+1), "")</f>
        <v/>
      </c>
      <c r="BT134" s="206" t="str">
        <f>IF(AND($A134&gt;=SYear_O, $A134&lt;=EYear_O, BT$3&gt;0), BT$3 * VLOOKUP($A134, Data_All!$A$8:$CA$153, MATCH(BT$2, Data_All!$B$2:$CA$2, 0)+1), "")</f>
        <v/>
      </c>
      <c r="BU134" s="206" t="str">
        <f>IF(AND($A134&gt;=SYear_O, $A134&lt;=EYear_O, BU$3&gt;0), BU$3 * VLOOKUP($A134, Data_All!$A$8:$CA$153, MATCH(BU$2, Data_All!$B$2:$CA$2, 0)+1), "")</f>
        <v/>
      </c>
      <c r="BV134" s="206" t="str">
        <f>IF(AND($A134&gt;=SYear_O, $A134&lt;=EYear_O, BV$3&gt;0), BV$3 * VLOOKUP($A134, Data_All!$A$8:$CA$153, MATCH(BV$2, Data_All!$B$2:$CA$2, 0)+1), "")</f>
        <v/>
      </c>
      <c r="BW134" s="206" t="str">
        <f>IF(AND($A134&gt;=SYear_O, $A134&lt;=EYear_O, BW$3&gt;0), BW$3 * VLOOKUP($A134, Data_All!$A$8:$CA$153, MATCH(BW$2, Data_All!$B$2:$CA$2, 0)+1), "")</f>
        <v/>
      </c>
      <c r="BX134" s="206">
        <f>IF(AND($A134&gt;=SYear_O, $A134&lt;=EYear_O, BX$3&gt;0), BX$3 * VLOOKUP($A134, Data_All!$A$8:$CA$153, MATCH(BX$2, Data_All!$B$2:$CA$2, 0)+1), "")</f>
        <v>18.784877927254609</v>
      </c>
      <c r="BY134" s="206">
        <f>IF(AND($A134&gt;=SYear_O, $A134&lt;=EYear_O, BY$3&gt;0), BY$3 * VLOOKUP($A134, Data_All!$A$8:$CA$153, MATCH(BY$2, Data_All!$B$2:$CA$2, 0)+1), "")</f>
        <v>3.6120819980773877</v>
      </c>
      <c r="BZ134" s="206" t="str">
        <f>IF(AND($A134&gt;=SYear_O, $A134&lt;=EYear_O, BZ$3&gt;0), BZ$3 * VLOOKUP($A134, Data_All!$A$8:$CA$153, MATCH(BZ$2, Data_All!$B$2:$CA$2, 0)+1), "")</f>
        <v/>
      </c>
      <c r="CA134" s="565">
        <f t="shared" si="52"/>
        <v>22.396959925331998</v>
      </c>
      <c r="CB134" s="427">
        <f t="shared" si="53"/>
        <v>162336265.95336616</v>
      </c>
      <c r="CC134" s="565">
        <f>IF(AND($A134&gt;=SYear_O,$A134&lt;=EYear_O),(CA134-Data_All!CA135)/(1+Data_All!CA135%),"")</f>
        <v>20.455336399975906</v>
      </c>
      <c r="CD134" s="436">
        <f t="shared" si="54"/>
        <v>12345144.120530687</v>
      </c>
      <c r="CE134" s="438">
        <f t="shared" si="55"/>
        <v>14723.775746194364</v>
      </c>
      <c r="CF134" s="438">
        <f>IF(AND($A134&gt;=SYear_O,$A134&lt;=EYear_O),MAX($CE$7:CE134),"")</f>
        <v>14723.775746194364</v>
      </c>
      <c r="CG134" s="209">
        <f t="shared" si="56"/>
        <v>0</v>
      </c>
      <c r="CI134" s="143">
        <f>IF(AND($A134&gt;=SYear_O,$A134&lt;=EYear_O),Data_All!V135,"")</f>
        <v>5</v>
      </c>
      <c r="CJ134" s="143">
        <f>IF(AND($A134&gt;=SYear_O,$A134&lt;=EYear_O),Data_All!CA135,"")</f>
        <v>1.6119032858028515</v>
      </c>
      <c r="CK134" s="143">
        <f t="shared" si="57"/>
        <v>3.3343502135448446</v>
      </c>
      <c r="CN134" s="61">
        <f t="shared" si="58"/>
        <v>0.22396959925331994</v>
      </c>
      <c r="CO134" s="61">
        <f t="shared" si="59"/>
        <v>0.1065395001347913</v>
      </c>
      <c r="CP134" s="61">
        <f t="shared" si="60"/>
        <v>3.4924080852497763E-2</v>
      </c>
      <c r="CQ134" s="61">
        <f t="shared" si="61"/>
        <v>5.9735504700628494E-2</v>
      </c>
      <c r="CR134" s="61">
        <f>IF(AND($A134&gt;=SYear_O,$A134&lt;=EYear_O),IF($A134=SYear_O,(($CB150/$CB$4)^(1/(1+($A150-$A134)))-1),(($CB150/$CB133)^(1/(1+($A150-$A134)))-1)),"")</f>
        <v>6.5176593481703238E-2</v>
      </c>
      <c r="CU134" s="61">
        <f t="shared" si="63"/>
        <v>0.20455336399975899</v>
      </c>
      <c r="CV134" s="61">
        <f t="shared" si="64"/>
        <v>7.893503231290655E-2</v>
      </c>
      <c r="CW134" s="61">
        <f t="shared" si="65"/>
        <v>1.1457531156323197E-2</v>
      </c>
      <c r="CX134" s="61">
        <f t="shared" si="66"/>
        <v>3.2123217953478944E-2</v>
      </c>
      <c r="CY134" s="61">
        <f>IF(AND($A134&gt;=SYear_O,$A134&lt;=EYear_O),IF($A134=SYear_O,(($CD150/$CD$4)^(1/(1+($A150-$A134)))-1),(($CD150/$CD133)^(1/(1+($A150-$A134)))-1)),"")</f>
        <v>4.1905486898740074E-2</v>
      </c>
    </row>
    <row r="135" spans="1:103">
      <c r="A135" s="204">
        <f t="shared" si="51"/>
        <v>1999</v>
      </c>
      <c r="B135" s="206" t="str">
        <f>IF(AND($A135&gt;=SYear_O, $A135&lt;=EYear_O, B$3&gt;0), B$3 * VLOOKUP($A135, Data_All!$A$8:$CA$153, MATCH(B$2, Data_All!$B$2:$CA$2, 0)+1), "")</f>
        <v/>
      </c>
      <c r="C135" s="206" t="str">
        <f>IF(AND($A135&gt;=SYear_O, $A135&lt;=EYear_O, C$3&gt;0), C$3 * VLOOKUP($A135, Data_All!$A$8:$CA$153, MATCH(C$2, Data_All!$B$2:$CA$2, 0)+1), "")</f>
        <v/>
      </c>
      <c r="D135" s="206" t="str">
        <f>IF(AND($A135&gt;=SYear_O, $A135&lt;=EYear_O, D$3&gt;0), D$3 * VLOOKUP($A135, Data_All!$A$8:$CA$153, MATCH(D$2, Data_All!$B$2:$CA$2, 0)+1), "")</f>
        <v/>
      </c>
      <c r="E135" s="206" t="str">
        <f>IF(AND($A135&gt;=SYear_O, $A135&lt;=EYear_O, E$3&gt;0), E$3 * VLOOKUP($A135, Data_All!$A$8:$CA$153, MATCH(E$2, Data_All!$B$2:$CA$2, 0)+1), "")</f>
        <v/>
      </c>
      <c r="F135" s="206" t="str">
        <f>IF(AND($A135&gt;=SYear_O, $A135&lt;=EYear_O, F$3&gt;0), F$3 * VLOOKUP($A135, Data_All!$A$8:$CA$153, MATCH(F$2, Data_All!$B$2:$CA$2, 0)+1), "")</f>
        <v/>
      </c>
      <c r="G135" s="206" t="str">
        <f>IF(AND($A135&gt;=SYear_O, $A135&lt;=EYear_O, G$3&gt;0), G$3 * VLOOKUP($A135, Data_All!$A$8:$CA$153, MATCH(G$2, Data_All!$B$2:$CA$2, 0)+1), "")</f>
        <v/>
      </c>
      <c r="H135" s="206" t="str">
        <f>IF(AND($A135&gt;=SYear_O, $A135&lt;=EYear_O, H$3&gt;0), H$3 * VLOOKUP($A135, Data_All!$A$8:$CA$153, MATCH(H$2, Data_All!$B$2:$CA$2, 0)+1), "")</f>
        <v/>
      </c>
      <c r="I135" s="206" t="str">
        <f>IF(AND($A135&gt;=SYear_O, $A135&lt;=EYear_O, I$3&gt;0), I$3 * VLOOKUP($A135, Data_All!$A$8:$CA$153, MATCH(I$2, Data_All!$B$2:$CA$2, 0)+1), "")</f>
        <v/>
      </c>
      <c r="J135" s="206" t="str">
        <f>IF(AND($A135&gt;=SYear_O, $A135&lt;=EYear_O, J$3&gt;0), J$3 * VLOOKUP($A135, Data_All!$A$8:$CA$153, MATCH(J$2, Data_All!$B$2:$CA$2, 0)+1), "")</f>
        <v/>
      </c>
      <c r="K135" s="206" t="str">
        <f>IF(AND($A135&gt;=SYear_O, $A135&lt;=EYear_O, K$3&gt;0), K$3 * VLOOKUP($A135, Data_All!$A$8:$CA$153, MATCH(K$2, Data_All!$B$2:$CA$2, 0)+1), "")</f>
        <v/>
      </c>
      <c r="L135" s="206" t="str">
        <f>IF(AND($A135&gt;=SYear_O, $A135&lt;=EYear_O, L$3&gt;0), L$3 * VLOOKUP($A135, Data_All!$A$8:$CA$153, MATCH(L$2, Data_All!$B$2:$CA$2, 0)+1), "")</f>
        <v/>
      </c>
      <c r="M135" s="206" t="str">
        <f>IF(AND($A135&gt;=SYear_O, $A135&lt;=EYear_O, M$3&gt;0), M$3 * VLOOKUP($A135, Data_All!$A$8:$CA$153, MATCH(M$2, Data_All!$B$2:$CA$2, 0)+1), "")</f>
        <v/>
      </c>
      <c r="N135" s="206" t="str">
        <f>IF(AND($A135&gt;=SYear_O, $A135&lt;=EYear_O, N$3&gt;0), N$3 * VLOOKUP($A135, Data_All!$A$8:$CA$153, MATCH(N$2, Data_All!$B$2:$CA$2, 0)+1), "")</f>
        <v/>
      </c>
      <c r="O135" s="206" t="str">
        <f>IF(AND($A135&gt;=SYear_O, $A135&lt;=EYear_O, O$3&gt;0), O$3 * VLOOKUP($A135, Data_All!$A$8:$CA$153, MATCH(O$2, Data_All!$B$2:$CA$2, 0)+1), "")</f>
        <v/>
      </c>
      <c r="P135" s="206" t="str">
        <f>IF(AND($A135&gt;=SYear_O, $A135&lt;=EYear_O, P$3&gt;0), P$3 * VLOOKUP($A135, Data_All!$A$8:$CA$153, MATCH(P$2, Data_All!$B$2:$CA$2, 0)+1), "")</f>
        <v/>
      </c>
      <c r="Q135" s="206" t="str">
        <f>IF(AND($A135&gt;=SYear_O, $A135&lt;=EYear_O, Q$3&gt;0), Q$3 * VLOOKUP($A135, Data_All!$A$8:$CA$153, MATCH(Q$2, Data_All!$B$2:$CA$2, 0)+1), "")</f>
        <v/>
      </c>
      <c r="R135" s="206" t="str">
        <f>IF(AND($A135&gt;=SYear_O, $A135&lt;=EYear_O, R$3&gt;0), R$3 * VLOOKUP($A135, Data_All!$A$8:$CA$153, MATCH(R$2, Data_All!$B$2:$CA$2, 0)+1), "")</f>
        <v/>
      </c>
      <c r="S135" s="206" t="str">
        <f>IF(AND($A135&gt;=SYear_O, $A135&lt;=EYear_O, S$3&gt;0), S$3 * VLOOKUP($A135, Data_All!$A$8:$CA$153, MATCH(S$2, Data_All!$B$2:$CA$2, 0)+1), "")</f>
        <v/>
      </c>
      <c r="T135" s="206" t="str">
        <f>IF(AND($A135&gt;=SYear_O, $A135&lt;=EYear_O, T$3&gt;0), T$3 * VLOOKUP($A135, Data_All!$A$8:$CA$153, MATCH(T$2, Data_All!$B$2:$CA$2, 0)+1), "")</f>
        <v/>
      </c>
      <c r="U135" s="206" t="str">
        <f>IF(AND($A135&gt;=SYear_O, $A135&lt;=EYear_O, U$3&gt;0), U$3 * VLOOKUP($A135, Data_All!$A$8:$CA$153, MATCH(U$2, Data_All!$B$2:$CA$2, 0)+1), "")</f>
        <v/>
      </c>
      <c r="V135" s="206" t="str">
        <f>IF(AND($A135&gt;=SYear_O, $A135&lt;=EYear_O, V$3&gt;0), V$3 * VLOOKUP($A135, Data_All!$A$8:$CA$153, MATCH(V$2, Data_All!$B$2:$CA$2, 0)+1), "")</f>
        <v/>
      </c>
      <c r="W135" s="206" t="str">
        <f>IF(AND($A135&gt;=SYear_O, $A135&lt;=EYear_O, W$3&gt;0), W$3 * VLOOKUP($A135, Data_All!$A$8:$CA$153, MATCH(W$2, Data_All!$B$2:$CA$2, 0)+1), "")</f>
        <v/>
      </c>
      <c r="X135" s="206" t="str">
        <f>IF(AND($A135&gt;=SYear_O, $A135&lt;=EYear_O, X$3&gt;0), X$3 * VLOOKUP($A135, Data_All!$A$8:$CA$153, MATCH(X$2, Data_All!$B$2:$CA$2, 0)+1), "")</f>
        <v/>
      </c>
      <c r="Y135" s="206" t="str">
        <f>IF(AND($A135&gt;=SYear_O, $A135&lt;=EYear_O, Y$3&gt;0), Y$3 * VLOOKUP($A135, Data_All!$A$8:$CA$153, MATCH(Y$2, Data_All!$B$2:$CA$2, 0)+1), "")</f>
        <v/>
      </c>
      <c r="Z135" s="206" t="str">
        <f>IF(AND($A135&gt;=SYear_O, $A135&lt;=EYear_O, Z$3&gt;0), Z$3 * VLOOKUP($A135, Data_All!$A$8:$CA$153, MATCH(Z$2, Data_All!$B$2:$CA$2, 0)+1), "")</f>
        <v/>
      </c>
      <c r="AA135" s="206" t="str">
        <f>IF(AND($A135&gt;=SYear_O, $A135&lt;=EYear_O, AA$3&gt;0), AA$3 * VLOOKUP($A135, Data_All!$A$8:$CA$153, MATCH(AA$2, Data_All!$B$2:$CA$2, 0)+1), "")</f>
        <v/>
      </c>
      <c r="AB135" s="206" t="str">
        <f>IF(AND($A135&gt;=SYear_O, $A135&lt;=EYear_O, AB$3&gt;0), AB$3 * VLOOKUP($A135, Data_All!$A$8:$CA$153, MATCH(AB$2, Data_All!$B$2:$CA$2, 0)+1), "")</f>
        <v/>
      </c>
      <c r="AC135" s="206" t="str">
        <f>IF(AND($A135&gt;=SYear_O, $A135&lt;=EYear_O, AC$3&gt;0), AC$3 * VLOOKUP($A135, Data_All!$A$8:$CA$153, MATCH(AC$2, Data_All!$B$2:$CA$2, 0)+1), "")</f>
        <v/>
      </c>
      <c r="AD135" s="206" t="str">
        <f>IF(AND($A135&gt;=SYear_O, $A135&lt;=EYear_O, AD$3&gt;0), AD$3 * VLOOKUP($A135, Data_All!$A$8:$CA$153, MATCH(AD$2, Data_All!$B$2:$CA$2, 0)+1), "")</f>
        <v/>
      </c>
      <c r="AE135" s="206" t="str">
        <f>IF(AND($A135&gt;=SYear_O, $A135&lt;=EYear_O, AE$3&gt;0), AE$3 * VLOOKUP($A135, Data_All!$A$8:$CA$153, MATCH(AE$2, Data_All!$B$2:$CA$2, 0)+1), "")</f>
        <v/>
      </c>
      <c r="AF135" s="206" t="str">
        <f>IF(AND($A135&gt;=SYear_O, $A135&lt;=EYear_O, AF$3&gt;0), AF$3 * VLOOKUP($A135, Data_All!$A$8:$CA$153, MATCH(AF$2, Data_All!$B$2:$CA$2, 0)+1), "")</f>
        <v/>
      </c>
      <c r="AG135" s="206" t="str">
        <f>IF(AND($A135&gt;=SYear_O, $A135&lt;=EYear_O, AG$3&gt;0), AG$3 * VLOOKUP($A135, Data_All!$A$8:$CA$153, MATCH(AG$2, Data_All!$B$2:$CA$2, 0)+1), "")</f>
        <v/>
      </c>
      <c r="AH135" s="206" t="str">
        <f>IF(AND($A135&gt;=SYear_O, $A135&lt;=EYear_O, AH$3&gt;0), AH$3 * VLOOKUP($A135, Data_All!$A$8:$CA$153, MATCH(AH$2, Data_All!$B$2:$CA$2, 0)+1), "")</f>
        <v/>
      </c>
      <c r="AI135" s="206" t="str">
        <f>IF(AND($A135&gt;=SYear_O, $A135&lt;=EYear_O, AI$3&gt;0), AI$3 * VLOOKUP($A135, Data_All!$A$8:$CA$153, MATCH(AI$2, Data_All!$B$2:$CA$2, 0)+1), "")</f>
        <v/>
      </c>
      <c r="AJ135" s="206" t="str">
        <f>IF(AND($A135&gt;=SYear_O, $A135&lt;=EYear_O, AJ$3&gt;0), AJ$3 * VLOOKUP($A135, Data_All!$A$8:$CA$153, MATCH(AJ$2, Data_All!$B$2:$CA$2, 0)+1), "")</f>
        <v/>
      </c>
      <c r="AK135" s="206" t="str">
        <f>IF(AND($A135&gt;=SYear_O, $A135&lt;=EYear_O, AK$3&gt;0), AK$3 * VLOOKUP($A135, Data_All!$A$8:$CA$153, MATCH(AK$2, Data_All!$B$2:$CA$2, 0)+1), "")</f>
        <v/>
      </c>
      <c r="AL135" s="206" t="str">
        <f>IF(AND($A135&gt;=SYear_O, $A135&lt;=EYear_O, AL$3&gt;0), AL$3 * VLOOKUP($A135, Data_All!$A$8:$CA$153, MATCH(AL$2, Data_All!$B$2:$CA$2, 0)+1), "")</f>
        <v/>
      </c>
      <c r="AM135" s="206" t="str">
        <f>IF(AND($A135&gt;=SYear_O, $A135&lt;=EYear_O, AM$3&gt;0), AM$3 * VLOOKUP($A135, Data_All!$A$8:$CA$153, MATCH(AM$2, Data_All!$B$2:$CA$2, 0)+1), "")</f>
        <v/>
      </c>
      <c r="AN135" s="206" t="str">
        <f>IF(AND($A135&gt;=SYear_O, $A135&lt;=EYear_O, AN$3&gt;0), AN$3 * VLOOKUP($A135, Data_All!$A$8:$CA$153, MATCH(AN$2, Data_All!$B$2:$CA$2, 0)+1), "")</f>
        <v/>
      </c>
      <c r="AO135" s="206" t="str">
        <f>IF(AND($A135&gt;=SYear_O, $A135&lt;=EYear_O, AO$3&gt;0), AO$3 * VLOOKUP($A135, Data_All!$A$8:$CA$153, MATCH(AO$2, Data_All!$B$2:$CA$2, 0)+1), "")</f>
        <v/>
      </c>
      <c r="AP135" s="206" t="str">
        <f>IF(AND($A135&gt;=SYear_O, $A135&lt;=EYear_O, AP$3&gt;0), AP$3 * VLOOKUP($A135, Data_All!$A$8:$CA$153, MATCH(AP$2, Data_All!$B$2:$CA$2, 0)+1), "")</f>
        <v/>
      </c>
      <c r="AQ135" s="206" t="str">
        <f>IF(AND($A135&gt;=SYear_O, $A135&lt;=EYear_O, AQ$3&gt;0), AQ$3 * VLOOKUP($A135, Data_All!$A$8:$CA$153, MATCH(AQ$2, Data_All!$B$2:$CA$2, 0)+1), "")</f>
        <v/>
      </c>
      <c r="AR135" s="206" t="str">
        <f>IF(AND($A135&gt;=SYear_O, $A135&lt;=EYear_O, AR$3&gt;0), AR$3 * VLOOKUP($A135, Data_All!$A$8:$CA$153, MATCH(AR$2, Data_All!$B$2:$CA$2, 0)+1), "")</f>
        <v/>
      </c>
      <c r="AS135" s="206" t="str">
        <f>IF(AND($A135&gt;=SYear_O, $A135&lt;=EYear_O, AS$3&gt;0), AS$3 * VLOOKUP($A135, Data_All!$A$8:$CA$153, MATCH(AS$2, Data_All!$B$2:$CA$2, 0)+1), "")</f>
        <v/>
      </c>
      <c r="AT135" s="206" t="str">
        <f>IF(AND($A135&gt;=SYear_O, $A135&lt;=EYear_O, AT$3&gt;0), AT$3 * VLOOKUP($A135, Data_All!$A$8:$CA$153, MATCH(AT$2, Data_All!$B$2:$CA$2, 0)+1), "")</f>
        <v/>
      </c>
      <c r="AU135" s="206" t="str">
        <f>IF(AND($A135&gt;=SYear_O, $A135&lt;=EYear_O, AU$3&gt;0), AU$3 * VLOOKUP($A135, Data_All!$A$8:$CA$153, MATCH(AU$2, Data_All!$B$2:$CA$2, 0)+1), "")</f>
        <v/>
      </c>
      <c r="AV135" s="206" t="str">
        <f>IF(AND($A135&gt;=SYear_O, $A135&lt;=EYear_O, AV$3&gt;0), AV$3 * VLOOKUP($A135, Data_All!$A$8:$CA$153, MATCH(AV$2, Data_All!$B$2:$CA$2, 0)+1), "")</f>
        <v/>
      </c>
      <c r="AW135" s="206" t="str">
        <f>IF(AND($A135&gt;=SYear_O, $A135&lt;=EYear_O, AW$3&gt;0), AW$3 * VLOOKUP($A135, Data_All!$A$8:$CA$153, MATCH(AW$2, Data_All!$B$2:$CA$2, 0)+1), "")</f>
        <v/>
      </c>
      <c r="AX135" s="206" t="str">
        <f>IF(AND($A135&gt;=SYear_O, $A135&lt;=EYear_O, AX$3&gt;0), AX$3 * VLOOKUP($A135, Data_All!$A$8:$CA$153, MATCH(AX$2, Data_All!$B$2:$CA$2, 0)+1), "")</f>
        <v/>
      </c>
      <c r="AY135" s="206" t="str">
        <f>IF(AND($A135&gt;=SYear_O, $A135&lt;=EYear_O, AY$3&gt;0), AY$3 * VLOOKUP($A135, Data_All!$A$8:$CA$153, MATCH(AY$2, Data_All!$B$2:$CA$2, 0)+1), "")</f>
        <v/>
      </c>
      <c r="AZ135" s="206" t="str">
        <f>IF(AND($A135&gt;=SYear_O, $A135&lt;=EYear_O, AZ$3&gt;0), AZ$3 * VLOOKUP($A135, Data_All!$A$8:$CA$153, MATCH(AZ$2, Data_All!$B$2:$CA$2, 0)+1), "")</f>
        <v/>
      </c>
      <c r="BA135" s="206" t="str">
        <f>IF(AND($A135&gt;=SYear_O, $A135&lt;=EYear_O, BA$3&gt;0), BA$3 * VLOOKUP($A135, Data_All!$A$8:$CA$153, MATCH(BA$2, Data_All!$B$2:$CA$2, 0)+1), "")</f>
        <v/>
      </c>
      <c r="BB135" s="206" t="str">
        <f>IF(AND($A135&gt;=SYear_O, $A135&lt;=EYear_O, BB$3&gt;0), BB$3 * VLOOKUP($A135, Data_All!$A$8:$CA$153, MATCH(BB$2, Data_All!$B$2:$CA$2, 0)+1), "")</f>
        <v/>
      </c>
      <c r="BC135" s="206" t="str">
        <f>IF(AND($A135&gt;=SYear_O, $A135&lt;=EYear_O, BC$3&gt;0), BC$3 * VLOOKUP($A135, Data_All!$A$8:$CA$153, MATCH(BC$2, Data_All!$B$2:$CA$2, 0)+1), "")</f>
        <v/>
      </c>
      <c r="BD135" s="206" t="str">
        <f>IF(AND($A135&gt;=SYear_O, $A135&lt;=EYear_O, BD$3&gt;0), BD$3 * VLOOKUP($A135, Data_All!$A$8:$CA$153, MATCH(BD$2, Data_All!$B$2:$CA$2, 0)+1), "")</f>
        <v/>
      </c>
      <c r="BE135" s="206" t="str">
        <f>IF(AND($A135&gt;=SYear_O, $A135&lt;=EYear_O, BE$3&gt;0), BE$3 * VLOOKUP($A135, Data_All!$A$8:$CA$153, MATCH(BE$2, Data_All!$B$2:$CA$2, 0)+1), "")</f>
        <v/>
      </c>
      <c r="BF135" s="206" t="str">
        <f>IF(AND($A135&gt;=SYear_O, $A135&lt;=EYear_O, BF$3&gt;0), BF$3 * VLOOKUP($A135, Data_All!$A$8:$CA$153, MATCH(BF$2, Data_All!$B$2:$CA$2, 0)+1), "")</f>
        <v/>
      </c>
      <c r="BG135" s="206" t="str">
        <f>IF(AND($A135&gt;=SYear_O, $A135&lt;=EYear_O, BG$3&gt;0), BG$3 * VLOOKUP($A135, Data_All!$A$8:$CA$153, MATCH(BG$2, Data_All!$B$2:$CA$2, 0)+1), "")</f>
        <v/>
      </c>
      <c r="BH135" s="206" t="str">
        <f>IF(AND($A135&gt;=SYear_O, $A135&lt;=EYear_O, BH$3&gt;0), BH$3 * VLOOKUP($A135, Data_All!$A$8:$CA$153, MATCH(BH$2, Data_All!$B$2:$CA$2, 0)+1), "")</f>
        <v/>
      </c>
      <c r="BI135" s="206" t="str">
        <f>IF(AND($A135&gt;=SYear_O, $A135&lt;=EYear_O, BI$3&gt;0), BI$3 * VLOOKUP($A135, Data_All!$A$8:$CA$153, MATCH(BI$2, Data_All!$B$2:$CA$2, 0)+1), "")</f>
        <v/>
      </c>
      <c r="BJ135" s="206" t="str">
        <f>IF(AND($A135&gt;=SYear_O, $A135&lt;=EYear_O, BJ$3&gt;0), BJ$3 * VLOOKUP($A135, Data_All!$A$8:$CA$153, MATCH(BJ$2, Data_All!$B$2:$CA$2, 0)+1), "")</f>
        <v/>
      </c>
      <c r="BK135" s="206" t="str">
        <f>IF(AND($A135&gt;=SYear_O, $A135&lt;=EYear_O, BK$3&gt;0), BK$3 * VLOOKUP($A135, Data_All!$A$8:$CA$153, MATCH(BK$2, Data_All!$B$2:$CA$2, 0)+1), "")</f>
        <v/>
      </c>
      <c r="BL135" s="206" t="str">
        <f>IF(AND($A135&gt;=SYear_O, $A135&lt;=EYear_O, BL$3&gt;0), BL$3 * VLOOKUP($A135, Data_All!$A$8:$CA$153, MATCH(BL$2, Data_All!$B$2:$CA$2, 0)+1), "")</f>
        <v/>
      </c>
      <c r="BM135" s="206" t="str">
        <f>IF(AND($A135&gt;=SYear_O, $A135&lt;=EYear_O, BM$3&gt;0), BM$3 * VLOOKUP($A135, Data_All!$A$8:$CA$153, MATCH(BM$2, Data_All!$B$2:$CA$2, 0)+1), "")</f>
        <v/>
      </c>
      <c r="BN135" s="206" t="str">
        <f>IF(AND($A135&gt;=SYear_O, $A135&lt;=EYear_O, BN$3&gt;0), BN$3 * VLOOKUP($A135, Data_All!$A$8:$CA$153, MATCH(BN$2, Data_All!$B$2:$CA$2, 0)+1), "")</f>
        <v/>
      </c>
      <c r="BO135" s="206" t="str">
        <f>IF(AND($A135&gt;=SYear_O, $A135&lt;=EYear_O, BO$3&gt;0), BO$3 * VLOOKUP($A135, Data_All!$A$8:$CA$153, MATCH(BO$2, Data_All!$B$2:$CA$2, 0)+1), "")</f>
        <v/>
      </c>
      <c r="BP135" s="206" t="str">
        <f>IF(AND($A135&gt;=SYear_O, $A135&lt;=EYear_O, BP$3&gt;0), BP$3 * VLOOKUP($A135, Data_All!$A$8:$CA$153, MATCH(BP$2, Data_All!$B$2:$CA$2, 0)+1), "")</f>
        <v/>
      </c>
      <c r="BQ135" s="206" t="str">
        <f>IF(AND($A135&gt;=SYear_O, $A135&lt;=EYear_O, BQ$3&gt;0), BQ$3 * VLOOKUP($A135, Data_All!$A$8:$CA$153, MATCH(BQ$2, Data_All!$B$2:$CA$2, 0)+1), "")</f>
        <v/>
      </c>
      <c r="BR135" s="206" t="str">
        <f>IF(AND($A135&gt;=SYear_O, $A135&lt;=EYear_O, BR$3&gt;0), BR$3 * VLOOKUP($A135, Data_All!$A$8:$CA$153, MATCH(BR$2, Data_All!$B$2:$CA$2, 0)+1), "")</f>
        <v/>
      </c>
      <c r="BS135" s="206" t="str">
        <f>IF(AND($A135&gt;=SYear_O, $A135&lt;=EYear_O, BS$3&gt;0), BS$3 * VLOOKUP($A135, Data_All!$A$8:$CA$153, MATCH(BS$2, Data_All!$B$2:$CA$2, 0)+1), "")</f>
        <v/>
      </c>
      <c r="BT135" s="206" t="str">
        <f>IF(AND($A135&gt;=SYear_O, $A135&lt;=EYear_O, BT$3&gt;0), BT$3 * VLOOKUP($A135, Data_All!$A$8:$CA$153, MATCH(BT$2, Data_All!$B$2:$CA$2, 0)+1), "")</f>
        <v/>
      </c>
      <c r="BU135" s="206" t="str">
        <f>IF(AND($A135&gt;=SYear_O, $A135&lt;=EYear_O, BU$3&gt;0), BU$3 * VLOOKUP($A135, Data_All!$A$8:$CA$153, MATCH(BU$2, Data_All!$B$2:$CA$2, 0)+1), "")</f>
        <v/>
      </c>
      <c r="BV135" s="206" t="str">
        <f>IF(AND($A135&gt;=SYear_O, $A135&lt;=EYear_O, BV$3&gt;0), BV$3 * VLOOKUP($A135, Data_All!$A$8:$CA$153, MATCH(BV$2, Data_All!$B$2:$CA$2, 0)+1), "")</f>
        <v/>
      </c>
      <c r="BW135" s="206" t="str">
        <f>IF(AND($A135&gt;=SYear_O, $A135&lt;=EYear_O, BW$3&gt;0), BW$3 * VLOOKUP($A135, Data_All!$A$8:$CA$153, MATCH(BW$2, Data_All!$B$2:$CA$2, 0)+1), "")</f>
        <v/>
      </c>
      <c r="BX135" s="206">
        <f>IF(AND($A135&gt;=SYear_O, $A135&lt;=EYear_O, BX$3&gt;0), BX$3 * VLOOKUP($A135, Data_All!$A$8:$CA$153, MATCH(BX$2, Data_All!$B$2:$CA$2, 0)+1), "")</f>
        <v>9.2976288668049332</v>
      </c>
      <c r="BY135" s="206">
        <f>IF(AND($A135&gt;=SYear_O, $A135&lt;=EYear_O, BY$3&gt;0), BY$3 * VLOOKUP($A135, Data_All!$A$8:$CA$153, MATCH(BY$2, Data_All!$B$2:$CA$2, 0)+1), "")</f>
        <v>-1.2884294302097654</v>
      </c>
      <c r="BZ135" s="206" t="str">
        <f>IF(AND($A135&gt;=SYear_O, $A135&lt;=EYear_O, BZ$3&gt;0), BZ$3 * VLOOKUP($A135, Data_All!$A$8:$CA$153, MATCH(BZ$2, Data_All!$B$2:$CA$2, 0)+1), "")</f>
        <v/>
      </c>
      <c r="CA135" s="565">
        <f>IF(AND($A135&gt;=SYear_O,$A135&lt;=EYear_O),SUM(B135:BZ135),"")</f>
        <v>8.0091994365951678</v>
      </c>
      <c r="CB135" s="427">
        <f>IF(AND($A135&gt;=SYear_O,$A135&lt;=EYear_O),IF($A135=SYear_O,$CB$4*(1+CA135%),$CB134*(1+CA135%)),"")</f>
        <v>175338101.2514928</v>
      </c>
      <c r="CC135" s="565">
        <f>IF(AND($A135&gt;=SYear_O,$A135&lt;=EYear_O),(CA135-Data_All!CA136)/(1+Data_All!CA136%),"")</f>
        <v>5.1854295166841871</v>
      </c>
      <c r="CD135" s="436">
        <f>IF(AND($A135&gt;=SYear_O,$A135&lt;=EYear_O),IF($A135=SYear_O,$CD$4*(1+CC135%),$CD134*(1+CC135%)),"")</f>
        <v>12985292.867633888</v>
      </c>
      <c r="CE135" s="438">
        <f>IF(AND($A135&gt;=SYear_O,$A135&lt;=EYear_O),IF($A135=SYear_O,CE$2,CE134*(1+CA135%)),"")</f>
        <v>15903.032310304099</v>
      </c>
      <c r="CF135" s="438">
        <f>IF(AND($A135&gt;=SYear_O,$A135&lt;=EYear_O),MAX($CE$7:CE135),"")</f>
        <v>15903.032310304099</v>
      </c>
      <c r="CG135" s="209">
        <f>IF(AND($A135&gt;=SYear_O,$A135&lt;=EYear_O),1-(CE135/CF135),"")</f>
        <v>0</v>
      </c>
      <c r="CI135" s="143">
        <f>IF(AND($A135&gt;=SYear_O,$A135&lt;=EYear_O),Data_All!V136,"")</f>
        <v>4.55</v>
      </c>
      <c r="CJ135" s="143">
        <f>IF(AND($A135&gt;=SYear_O,$A135&lt;=EYear_O),Data_All!CA136,"")</f>
        <v>2.6845637583892579</v>
      </c>
      <c r="CK135" s="143">
        <f>IF(AND($A135&gt;=SYear_O,$A135&lt;=EYear_O),(CI135-CJ135)/(1+CJ135%),"")</f>
        <v>1.8166666666666704</v>
      </c>
      <c r="CN135" s="61">
        <f t="shared" si="58"/>
        <v>8.0091994365951713E-2</v>
      </c>
      <c r="CO135" s="61">
        <f t="shared" si="59"/>
        <v>1.6676174487264328E-2</v>
      </c>
      <c r="CP135" s="61">
        <f t="shared" si="60"/>
        <v>2.8460316856254275E-2</v>
      </c>
      <c r="CQ135" s="61">
        <f t="shared" si="61"/>
        <v>1.9413148465914354E-2</v>
      </c>
      <c r="CR135" s="61">
        <f>IF(AND($A135&gt;=SYear_O,$A135&lt;=EYear_O),IF($A135=SYear_O,(($CB151/$CB$4)^(1/(1+($A151-$A135)))-1),(($CB151/$CB134)^(1/(1+($A151-$A135)))-1)),"")</f>
        <v>5.1649131120401703E-2</v>
      </c>
      <c r="CU135" s="61">
        <f t="shared" si="63"/>
        <v>5.1854295166841924E-2</v>
      </c>
      <c r="CV135" s="61">
        <f t="shared" si="64"/>
        <v>-8.4907257705137962E-3</v>
      </c>
      <c r="CW135" s="61">
        <f t="shared" si="65"/>
        <v>4.6117717044427131E-3</v>
      </c>
      <c r="CX135" s="61">
        <f t="shared" si="66"/>
        <v>-5.6504756192508054E-3</v>
      </c>
      <c r="CY135" s="61">
        <f>IF(AND($A135&gt;=SYear_O,$A135&lt;=EYear_O),IF($A135=SYear_O,(($CD151/$CD$4)^(1/(1+($A151-$A135)))-1),(($CD151/$CD134)^(1/(1+($A151-$A135)))-1)),"")</f>
        <v>2.9201453847734982E-2</v>
      </c>
    </row>
    <row r="136" spans="1:103">
      <c r="A136" s="204">
        <f t="shared" si="51"/>
        <v>2000</v>
      </c>
      <c r="B136" s="206" t="str">
        <f>IF(AND($A136&gt;=SYear_O, $A136&lt;=EYear_O, B$3&gt;0), B$3 * VLOOKUP($A136, Data_All!$A$8:$CA$153, MATCH(B$2, Data_All!$B$2:$CA$2, 0)+1), "")</f>
        <v/>
      </c>
      <c r="C136" s="206" t="str">
        <f>IF(AND($A136&gt;=SYear_O, $A136&lt;=EYear_O, C$3&gt;0), C$3 * VLOOKUP($A136, Data_All!$A$8:$CA$153, MATCH(C$2, Data_All!$B$2:$CA$2, 0)+1), "")</f>
        <v/>
      </c>
      <c r="D136" s="206" t="str">
        <f>IF(AND($A136&gt;=SYear_O, $A136&lt;=EYear_O, D$3&gt;0), D$3 * VLOOKUP($A136, Data_All!$A$8:$CA$153, MATCH(D$2, Data_All!$B$2:$CA$2, 0)+1), "")</f>
        <v/>
      </c>
      <c r="E136" s="206" t="str">
        <f>IF(AND($A136&gt;=SYear_O, $A136&lt;=EYear_O, E$3&gt;0), E$3 * VLOOKUP($A136, Data_All!$A$8:$CA$153, MATCH(E$2, Data_All!$B$2:$CA$2, 0)+1), "")</f>
        <v/>
      </c>
      <c r="F136" s="206" t="str">
        <f>IF(AND($A136&gt;=SYear_O, $A136&lt;=EYear_O, F$3&gt;0), F$3 * VLOOKUP($A136, Data_All!$A$8:$CA$153, MATCH(F$2, Data_All!$B$2:$CA$2, 0)+1), "")</f>
        <v/>
      </c>
      <c r="G136" s="206" t="str">
        <f>IF(AND($A136&gt;=SYear_O, $A136&lt;=EYear_O, G$3&gt;0), G$3 * VLOOKUP($A136, Data_All!$A$8:$CA$153, MATCH(G$2, Data_All!$B$2:$CA$2, 0)+1), "")</f>
        <v/>
      </c>
      <c r="H136" s="206" t="str">
        <f>IF(AND($A136&gt;=SYear_O, $A136&lt;=EYear_O, H$3&gt;0), H$3 * VLOOKUP($A136, Data_All!$A$8:$CA$153, MATCH(H$2, Data_All!$B$2:$CA$2, 0)+1), "")</f>
        <v/>
      </c>
      <c r="I136" s="206" t="str">
        <f>IF(AND($A136&gt;=SYear_O, $A136&lt;=EYear_O, I$3&gt;0), I$3 * VLOOKUP($A136, Data_All!$A$8:$CA$153, MATCH(I$2, Data_All!$B$2:$CA$2, 0)+1), "")</f>
        <v/>
      </c>
      <c r="J136" s="206" t="str">
        <f>IF(AND($A136&gt;=SYear_O, $A136&lt;=EYear_O, J$3&gt;0), J$3 * VLOOKUP($A136, Data_All!$A$8:$CA$153, MATCH(J$2, Data_All!$B$2:$CA$2, 0)+1), "")</f>
        <v/>
      </c>
      <c r="K136" s="206" t="str">
        <f>IF(AND($A136&gt;=SYear_O, $A136&lt;=EYear_O, K$3&gt;0), K$3 * VLOOKUP($A136, Data_All!$A$8:$CA$153, MATCH(K$2, Data_All!$B$2:$CA$2, 0)+1), "")</f>
        <v/>
      </c>
      <c r="L136" s="206" t="str">
        <f>IF(AND($A136&gt;=SYear_O, $A136&lt;=EYear_O, L$3&gt;0), L$3 * VLOOKUP($A136, Data_All!$A$8:$CA$153, MATCH(L$2, Data_All!$B$2:$CA$2, 0)+1), "")</f>
        <v/>
      </c>
      <c r="M136" s="206" t="str">
        <f>IF(AND($A136&gt;=SYear_O, $A136&lt;=EYear_O, M$3&gt;0), M$3 * VLOOKUP($A136, Data_All!$A$8:$CA$153, MATCH(M$2, Data_All!$B$2:$CA$2, 0)+1), "")</f>
        <v/>
      </c>
      <c r="N136" s="206" t="str">
        <f>IF(AND($A136&gt;=SYear_O, $A136&lt;=EYear_O, N$3&gt;0), N$3 * VLOOKUP($A136, Data_All!$A$8:$CA$153, MATCH(N$2, Data_All!$B$2:$CA$2, 0)+1), "")</f>
        <v/>
      </c>
      <c r="O136" s="206" t="str">
        <f>IF(AND($A136&gt;=SYear_O, $A136&lt;=EYear_O, O$3&gt;0), O$3 * VLOOKUP($A136, Data_All!$A$8:$CA$153, MATCH(O$2, Data_All!$B$2:$CA$2, 0)+1), "")</f>
        <v/>
      </c>
      <c r="P136" s="206" t="str">
        <f>IF(AND($A136&gt;=SYear_O, $A136&lt;=EYear_O, P$3&gt;0), P$3 * VLOOKUP($A136, Data_All!$A$8:$CA$153, MATCH(P$2, Data_All!$B$2:$CA$2, 0)+1), "")</f>
        <v/>
      </c>
      <c r="Q136" s="206" t="str">
        <f>IF(AND($A136&gt;=SYear_O, $A136&lt;=EYear_O, Q$3&gt;0), Q$3 * VLOOKUP($A136, Data_All!$A$8:$CA$153, MATCH(Q$2, Data_All!$B$2:$CA$2, 0)+1), "")</f>
        <v/>
      </c>
      <c r="R136" s="206" t="str">
        <f>IF(AND($A136&gt;=SYear_O, $A136&lt;=EYear_O, R$3&gt;0), R$3 * VLOOKUP($A136, Data_All!$A$8:$CA$153, MATCH(R$2, Data_All!$B$2:$CA$2, 0)+1), "")</f>
        <v/>
      </c>
      <c r="S136" s="206" t="str">
        <f>IF(AND($A136&gt;=SYear_O, $A136&lt;=EYear_O, S$3&gt;0), S$3 * VLOOKUP($A136, Data_All!$A$8:$CA$153, MATCH(S$2, Data_All!$B$2:$CA$2, 0)+1), "")</f>
        <v/>
      </c>
      <c r="T136" s="206" t="str">
        <f>IF(AND($A136&gt;=SYear_O, $A136&lt;=EYear_O, T$3&gt;0), T$3 * VLOOKUP($A136, Data_All!$A$8:$CA$153, MATCH(T$2, Data_All!$B$2:$CA$2, 0)+1), "")</f>
        <v/>
      </c>
      <c r="U136" s="206" t="str">
        <f>IF(AND($A136&gt;=SYear_O, $A136&lt;=EYear_O, U$3&gt;0), U$3 * VLOOKUP($A136, Data_All!$A$8:$CA$153, MATCH(U$2, Data_All!$B$2:$CA$2, 0)+1), "")</f>
        <v/>
      </c>
      <c r="V136" s="206" t="str">
        <f>IF(AND($A136&gt;=SYear_O, $A136&lt;=EYear_O, V$3&gt;0), V$3 * VLOOKUP($A136, Data_All!$A$8:$CA$153, MATCH(V$2, Data_All!$B$2:$CA$2, 0)+1), "")</f>
        <v/>
      </c>
      <c r="W136" s="206" t="str">
        <f>IF(AND($A136&gt;=SYear_O, $A136&lt;=EYear_O, W$3&gt;0), W$3 * VLOOKUP($A136, Data_All!$A$8:$CA$153, MATCH(W$2, Data_All!$B$2:$CA$2, 0)+1), "")</f>
        <v/>
      </c>
      <c r="X136" s="206" t="str">
        <f>IF(AND($A136&gt;=SYear_O, $A136&lt;=EYear_O, X$3&gt;0), X$3 * VLOOKUP($A136, Data_All!$A$8:$CA$153, MATCH(X$2, Data_All!$B$2:$CA$2, 0)+1), "")</f>
        <v/>
      </c>
      <c r="Y136" s="206" t="str">
        <f>IF(AND($A136&gt;=SYear_O, $A136&lt;=EYear_O, Y$3&gt;0), Y$3 * VLOOKUP($A136, Data_All!$A$8:$CA$153, MATCH(Y$2, Data_All!$B$2:$CA$2, 0)+1), "")</f>
        <v/>
      </c>
      <c r="Z136" s="206" t="str">
        <f>IF(AND($A136&gt;=SYear_O, $A136&lt;=EYear_O, Z$3&gt;0), Z$3 * VLOOKUP($A136, Data_All!$A$8:$CA$153, MATCH(Z$2, Data_All!$B$2:$CA$2, 0)+1), "")</f>
        <v/>
      </c>
      <c r="AA136" s="206" t="str">
        <f>IF(AND($A136&gt;=SYear_O, $A136&lt;=EYear_O, AA$3&gt;0), AA$3 * VLOOKUP($A136, Data_All!$A$8:$CA$153, MATCH(AA$2, Data_All!$B$2:$CA$2, 0)+1), "")</f>
        <v/>
      </c>
      <c r="AB136" s="206" t="str">
        <f>IF(AND($A136&gt;=SYear_O, $A136&lt;=EYear_O, AB$3&gt;0), AB$3 * VLOOKUP($A136, Data_All!$A$8:$CA$153, MATCH(AB$2, Data_All!$B$2:$CA$2, 0)+1), "")</f>
        <v/>
      </c>
      <c r="AC136" s="206" t="str">
        <f>IF(AND($A136&gt;=SYear_O, $A136&lt;=EYear_O, AC$3&gt;0), AC$3 * VLOOKUP($A136, Data_All!$A$8:$CA$153, MATCH(AC$2, Data_All!$B$2:$CA$2, 0)+1), "")</f>
        <v/>
      </c>
      <c r="AD136" s="206" t="str">
        <f>IF(AND($A136&gt;=SYear_O, $A136&lt;=EYear_O, AD$3&gt;0), AD$3 * VLOOKUP($A136, Data_All!$A$8:$CA$153, MATCH(AD$2, Data_All!$B$2:$CA$2, 0)+1), "")</f>
        <v/>
      </c>
      <c r="AE136" s="206" t="str">
        <f>IF(AND($A136&gt;=SYear_O, $A136&lt;=EYear_O, AE$3&gt;0), AE$3 * VLOOKUP($A136, Data_All!$A$8:$CA$153, MATCH(AE$2, Data_All!$B$2:$CA$2, 0)+1), "")</f>
        <v/>
      </c>
      <c r="AF136" s="206" t="str">
        <f>IF(AND($A136&gt;=SYear_O, $A136&lt;=EYear_O, AF$3&gt;0), AF$3 * VLOOKUP($A136, Data_All!$A$8:$CA$153, MATCH(AF$2, Data_All!$B$2:$CA$2, 0)+1), "")</f>
        <v/>
      </c>
      <c r="AG136" s="206" t="str">
        <f>IF(AND($A136&gt;=SYear_O, $A136&lt;=EYear_O, AG$3&gt;0), AG$3 * VLOOKUP($A136, Data_All!$A$8:$CA$153, MATCH(AG$2, Data_All!$B$2:$CA$2, 0)+1), "")</f>
        <v/>
      </c>
      <c r="AH136" s="206" t="str">
        <f>IF(AND($A136&gt;=SYear_O, $A136&lt;=EYear_O, AH$3&gt;0), AH$3 * VLOOKUP($A136, Data_All!$A$8:$CA$153, MATCH(AH$2, Data_All!$B$2:$CA$2, 0)+1), "")</f>
        <v/>
      </c>
      <c r="AI136" s="206" t="str">
        <f>IF(AND($A136&gt;=SYear_O, $A136&lt;=EYear_O, AI$3&gt;0), AI$3 * VLOOKUP($A136, Data_All!$A$8:$CA$153, MATCH(AI$2, Data_All!$B$2:$CA$2, 0)+1), "")</f>
        <v/>
      </c>
      <c r="AJ136" s="206" t="str">
        <f>IF(AND($A136&gt;=SYear_O, $A136&lt;=EYear_O, AJ$3&gt;0), AJ$3 * VLOOKUP($A136, Data_All!$A$8:$CA$153, MATCH(AJ$2, Data_All!$B$2:$CA$2, 0)+1), "")</f>
        <v/>
      </c>
      <c r="AK136" s="206" t="str">
        <f>IF(AND($A136&gt;=SYear_O, $A136&lt;=EYear_O, AK$3&gt;0), AK$3 * VLOOKUP($A136, Data_All!$A$8:$CA$153, MATCH(AK$2, Data_All!$B$2:$CA$2, 0)+1), "")</f>
        <v/>
      </c>
      <c r="AL136" s="206" t="str">
        <f>IF(AND($A136&gt;=SYear_O, $A136&lt;=EYear_O, AL$3&gt;0), AL$3 * VLOOKUP($A136, Data_All!$A$8:$CA$153, MATCH(AL$2, Data_All!$B$2:$CA$2, 0)+1), "")</f>
        <v/>
      </c>
      <c r="AM136" s="206" t="str">
        <f>IF(AND($A136&gt;=SYear_O, $A136&lt;=EYear_O, AM$3&gt;0), AM$3 * VLOOKUP($A136, Data_All!$A$8:$CA$153, MATCH(AM$2, Data_All!$B$2:$CA$2, 0)+1), "")</f>
        <v/>
      </c>
      <c r="AN136" s="206" t="str">
        <f>IF(AND($A136&gt;=SYear_O, $A136&lt;=EYear_O, AN$3&gt;0), AN$3 * VLOOKUP($A136, Data_All!$A$8:$CA$153, MATCH(AN$2, Data_All!$B$2:$CA$2, 0)+1), "")</f>
        <v/>
      </c>
      <c r="AO136" s="206" t="str">
        <f>IF(AND($A136&gt;=SYear_O, $A136&lt;=EYear_O, AO$3&gt;0), AO$3 * VLOOKUP($A136, Data_All!$A$8:$CA$153, MATCH(AO$2, Data_All!$B$2:$CA$2, 0)+1), "")</f>
        <v/>
      </c>
      <c r="AP136" s="206" t="str">
        <f>IF(AND($A136&gt;=SYear_O, $A136&lt;=EYear_O, AP$3&gt;0), AP$3 * VLOOKUP($A136, Data_All!$A$8:$CA$153, MATCH(AP$2, Data_All!$B$2:$CA$2, 0)+1), "")</f>
        <v/>
      </c>
      <c r="AQ136" s="206" t="str">
        <f>IF(AND($A136&gt;=SYear_O, $A136&lt;=EYear_O, AQ$3&gt;0), AQ$3 * VLOOKUP($A136, Data_All!$A$8:$CA$153, MATCH(AQ$2, Data_All!$B$2:$CA$2, 0)+1), "")</f>
        <v/>
      </c>
      <c r="AR136" s="206" t="str">
        <f>IF(AND($A136&gt;=SYear_O, $A136&lt;=EYear_O, AR$3&gt;0), AR$3 * VLOOKUP($A136, Data_All!$A$8:$CA$153, MATCH(AR$2, Data_All!$B$2:$CA$2, 0)+1), "")</f>
        <v/>
      </c>
      <c r="AS136" s="206" t="str">
        <f>IF(AND($A136&gt;=SYear_O, $A136&lt;=EYear_O, AS$3&gt;0), AS$3 * VLOOKUP($A136, Data_All!$A$8:$CA$153, MATCH(AS$2, Data_All!$B$2:$CA$2, 0)+1), "")</f>
        <v/>
      </c>
      <c r="AT136" s="206" t="str">
        <f>IF(AND($A136&gt;=SYear_O, $A136&lt;=EYear_O, AT$3&gt;0), AT$3 * VLOOKUP($A136, Data_All!$A$8:$CA$153, MATCH(AT$2, Data_All!$B$2:$CA$2, 0)+1), "")</f>
        <v/>
      </c>
      <c r="AU136" s="206" t="str">
        <f>IF(AND($A136&gt;=SYear_O, $A136&lt;=EYear_O, AU$3&gt;0), AU$3 * VLOOKUP($A136, Data_All!$A$8:$CA$153, MATCH(AU$2, Data_All!$B$2:$CA$2, 0)+1), "")</f>
        <v/>
      </c>
      <c r="AV136" s="206" t="str">
        <f>IF(AND($A136&gt;=SYear_O, $A136&lt;=EYear_O, AV$3&gt;0), AV$3 * VLOOKUP($A136, Data_All!$A$8:$CA$153, MATCH(AV$2, Data_All!$B$2:$CA$2, 0)+1), "")</f>
        <v/>
      </c>
      <c r="AW136" s="206" t="str">
        <f>IF(AND($A136&gt;=SYear_O, $A136&lt;=EYear_O, AW$3&gt;0), AW$3 * VLOOKUP($A136, Data_All!$A$8:$CA$153, MATCH(AW$2, Data_All!$B$2:$CA$2, 0)+1), "")</f>
        <v/>
      </c>
      <c r="AX136" s="206" t="str">
        <f>IF(AND($A136&gt;=SYear_O, $A136&lt;=EYear_O, AX$3&gt;0), AX$3 * VLOOKUP($A136, Data_All!$A$8:$CA$153, MATCH(AX$2, Data_All!$B$2:$CA$2, 0)+1), "")</f>
        <v/>
      </c>
      <c r="AY136" s="206" t="str">
        <f>IF(AND($A136&gt;=SYear_O, $A136&lt;=EYear_O, AY$3&gt;0), AY$3 * VLOOKUP($A136, Data_All!$A$8:$CA$153, MATCH(AY$2, Data_All!$B$2:$CA$2, 0)+1), "")</f>
        <v/>
      </c>
      <c r="AZ136" s="206" t="str">
        <f>IF(AND($A136&gt;=SYear_O, $A136&lt;=EYear_O, AZ$3&gt;0), AZ$3 * VLOOKUP($A136, Data_All!$A$8:$CA$153, MATCH(AZ$2, Data_All!$B$2:$CA$2, 0)+1), "")</f>
        <v/>
      </c>
      <c r="BA136" s="206" t="str">
        <f>IF(AND($A136&gt;=SYear_O, $A136&lt;=EYear_O, BA$3&gt;0), BA$3 * VLOOKUP($A136, Data_All!$A$8:$CA$153, MATCH(BA$2, Data_All!$B$2:$CA$2, 0)+1), "")</f>
        <v/>
      </c>
      <c r="BB136" s="206" t="str">
        <f>IF(AND($A136&gt;=SYear_O, $A136&lt;=EYear_O, BB$3&gt;0), BB$3 * VLOOKUP($A136, Data_All!$A$8:$CA$153, MATCH(BB$2, Data_All!$B$2:$CA$2, 0)+1), "")</f>
        <v/>
      </c>
      <c r="BC136" s="206" t="str">
        <f>IF(AND($A136&gt;=SYear_O, $A136&lt;=EYear_O, BC$3&gt;0), BC$3 * VLOOKUP($A136, Data_All!$A$8:$CA$153, MATCH(BC$2, Data_All!$B$2:$CA$2, 0)+1), "")</f>
        <v/>
      </c>
      <c r="BD136" s="206" t="str">
        <f>IF(AND($A136&gt;=SYear_O, $A136&lt;=EYear_O, BD$3&gt;0), BD$3 * VLOOKUP($A136, Data_All!$A$8:$CA$153, MATCH(BD$2, Data_All!$B$2:$CA$2, 0)+1), "")</f>
        <v/>
      </c>
      <c r="BE136" s="206" t="str">
        <f>IF(AND($A136&gt;=SYear_O, $A136&lt;=EYear_O, BE$3&gt;0), BE$3 * VLOOKUP($A136, Data_All!$A$8:$CA$153, MATCH(BE$2, Data_All!$B$2:$CA$2, 0)+1), "")</f>
        <v/>
      </c>
      <c r="BF136" s="206" t="str">
        <f>IF(AND($A136&gt;=SYear_O, $A136&lt;=EYear_O, BF$3&gt;0), BF$3 * VLOOKUP($A136, Data_All!$A$8:$CA$153, MATCH(BF$2, Data_All!$B$2:$CA$2, 0)+1), "")</f>
        <v/>
      </c>
      <c r="BG136" s="206" t="str">
        <f>IF(AND($A136&gt;=SYear_O, $A136&lt;=EYear_O, BG$3&gt;0), BG$3 * VLOOKUP($A136, Data_All!$A$8:$CA$153, MATCH(BG$2, Data_All!$B$2:$CA$2, 0)+1), "")</f>
        <v/>
      </c>
      <c r="BH136" s="206" t="str">
        <f>IF(AND($A136&gt;=SYear_O, $A136&lt;=EYear_O, BH$3&gt;0), BH$3 * VLOOKUP($A136, Data_All!$A$8:$CA$153, MATCH(BH$2, Data_All!$B$2:$CA$2, 0)+1), "")</f>
        <v/>
      </c>
      <c r="BI136" s="206" t="str">
        <f>IF(AND($A136&gt;=SYear_O, $A136&lt;=EYear_O, BI$3&gt;0), BI$3 * VLOOKUP($A136, Data_All!$A$8:$CA$153, MATCH(BI$2, Data_All!$B$2:$CA$2, 0)+1), "")</f>
        <v/>
      </c>
      <c r="BJ136" s="206" t="str">
        <f>IF(AND($A136&gt;=SYear_O, $A136&lt;=EYear_O, BJ$3&gt;0), BJ$3 * VLOOKUP($A136, Data_All!$A$8:$CA$153, MATCH(BJ$2, Data_All!$B$2:$CA$2, 0)+1), "")</f>
        <v/>
      </c>
      <c r="BK136" s="206" t="str">
        <f>IF(AND($A136&gt;=SYear_O, $A136&lt;=EYear_O, BK$3&gt;0), BK$3 * VLOOKUP($A136, Data_All!$A$8:$CA$153, MATCH(BK$2, Data_All!$B$2:$CA$2, 0)+1), "")</f>
        <v/>
      </c>
      <c r="BL136" s="206" t="str">
        <f>IF(AND($A136&gt;=SYear_O, $A136&lt;=EYear_O, BL$3&gt;0), BL$3 * VLOOKUP($A136, Data_All!$A$8:$CA$153, MATCH(BL$2, Data_All!$B$2:$CA$2, 0)+1), "")</f>
        <v/>
      </c>
      <c r="BM136" s="206" t="str">
        <f>IF(AND($A136&gt;=SYear_O, $A136&lt;=EYear_O, BM$3&gt;0), BM$3 * VLOOKUP($A136, Data_All!$A$8:$CA$153, MATCH(BM$2, Data_All!$B$2:$CA$2, 0)+1), "")</f>
        <v/>
      </c>
      <c r="BN136" s="206" t="str">
        <f>IF(AND($A136&gt;=SYear_O, $A136&lt;=EYear_O, BN$3&gt;0), BN$3 * VLOOKUP($A136, Data_All!$A$8:$CA$153, MATCH(BN$2, Data_All!$B$2:$CA$2, 0)+1), "")</f>
        <v/>
      </c>
      <c r="BO136" s="206" t="str">
        <f>IF(AND($A136&gt;=SYear_O, $A136&lt;=EYear_O, BO$3&gt;0), BO$3 * VLOOKUP($A136, Data_All!$A$8:$CA$153, MATCH(BO$2, Data_All!$B$2:$CA$2, 0)+1), "")</f>
        <v/>
      </c>
      <c r="BP136" s="206" t="str">
        <f>IF(AND($A136&gt;=SYear_O, $A136&lt;=EYear_O, BP$3&gt;0), BP$3 * VLOOKUP($A136, Data_All!$A$8:$CA$153, MATCH(BP$2, Data_All!$B$2:$CA$2, 0)+1), "")</f>
        <v/>
      </c>
      <c r="BQ136" s="206" t="str">
        <f>IF(AND($A136&gt;=SYear_O, $A136&lt;=EYear_O, BQ$3&gt;0), BQ$3 * VLOOKUP($A136, Data_All!$A$8:$CA$153, MATCH(BQ$2, Data_All!$B$2:$CA$2, 0)+1), "")</f>
        <v/>
      </c>
      <c r="BR136" s="206" t="str">
        <f>IF(AND($A136&gt;=SYear_O, $A136&lt;=EYear_O, BR$3&gt;0), BR$3 * VLOOKUP($A136, Data_All!$A$8:$CA$153, MATCH(BR$2, Data_All!$B$2:$CA$2, 0)+1), "")</f>
        <v/>
      </c>
      <c r="BS136" s="206" t="str">
        <f>IF(AND($A136&gt;=SYear_O, $A136&lt;=EYear_O, BS$3&gt;0), BS$3 * VLOOKUP($A136, Data_All!$A$8:$CA$153, MATCH(BS$2, Data_All!$B$2:$CA$2, 0)+1), "")</f>
        <v/>
      </c>
      <c r="BT136" s="206" t="str">
        <f>IF(AND($A136&gt;=SYear_O, $A136&lt;=EYear_O, BT$3&gt;0), BT$3 * VLOOKUP($A136, Data_All!$A$8:$CA$153, MATCH(BT$2, Data_All!$B$2:$CA$2, 0)+1), "")</f>
        <v/>
      </c>
      <c r="BU136" s="206" t="str">
        <f>IF(AND($A136&gt;=SYear_O, $A136&lt;=EYear_O, BU$3&gt;0), BU$3 * VLOOKUP($A136, Data_All!$A$8:$CA$153, MATCH(BU$2, Data_All!$B$2:$CA$2, 0)+1), "")</f>
        <v/>
      </c>
      <c r="BV136" s="206" t="str">
        <f>IF(AND($A136&gt;=SYear_O, $A136&lt;=EYear_O, BV$3&gt;0), BV$3 * VLOOKUP($A136, Data_All!$A$8:$CA$153, MATCH(BV$2, Data_All!$B$2:$CA$2, 0)+1), "")</f>
        <v/>
      </c>
      <c r="BW136" s="206" t="str">
        <f>IF(AND($A136&gt;=SYear_O, $A136&lt;=EYear_O, BW$3&gt;0), BW$3 * VLOOKUP($A136, Data_All!$A$8:$CA$153, MATCH(BW$2, Data_All!$B$2:$CA$2, 0)+1), "")</f>
        <v/>
      </c>
      <c r="BX136" s="206">
        <f>IF(AND($A136&gt;=SYear_O, $A136&lt;=EYear_O, BX$3&gt;0), BX$3 * VLOOKUP($A136, Data_All!$A$8:$CA$153, MATCH(BX$2, Data_All!$B$2:$CA$2, 0)+1), "")</f>
        <v>-3.1014527318513663</v>
      </c>
      <c r="BY136" s="206">
        <f>IF(AND($A136&gt;=SYear_O, $A136&lt;=EYear_O, BY$3&gt;0), BY$3 * VLOOKUP($A136, Data_All!$A$8:$CA$153, MATCH(BY$2, Data_All!$B$2:$CA$2, 0)+1), "")</f>
        <v>5.5885957112447491</v>
      </c>
      <c r="BZ136" s="206" t="str">
        <f>IF(AND($A136&gt;=SYear_O, $A136&lt;=EYear_O, BZ$3&gt;0), BZ$3 * VLOOKUP($A136, Data_All!$A$8:$CA$153, MATCH(BZ$2, Data_All!$B$2:$CA$2, 0)+1), "")</f>
        <v/>
      </c>
      <c r="CA136" s="565">
        <f>IF(AND($A136&gt;=SYear_O,$A136&lt;=EYear_O),SUM(B136:BZ136),"")</f>
        <v>2.4871429793933828</v>
      </c>
      <c r="CB136" s="427">
        <f>IF(AND($A136&gt;=SYear_O,$A136&lt;=EYear_O),IF($A136=SYear_O,$CB$4*(1+CA136%),$CB135*(1+CA136%)),"")</f>
        <v>179699010.52697098</v>
      </c>
      <c r="CC136" s="565">
        <f>IF(AND($A136&gt;=SYear_O,$A136&lt;=EYear_O),(CA136-Data_All!CA137)/(1+Data_All!CA137%),"")</f>
        <v>-0.87019446303500569</v>
      </c>
      <c r="CD136" s="436">
        <f>IF(AND($A136&gt;=SYear_O,$A136&lt;=EYear_O),IF($A136=SYear_O,$CD$4*(1+CC136%),$CD135*(1+CC136%)),"")</f>
        <v>12872295.56809086</v>
      </c>
      <c r="CE136" s="438">
        <f>IF(AND($A136&gt;=SYear_O,$A136&lt;=EYear_O),IF($A136=SYear_O,CE$2,CE135*(1+CA136%)),"")</f>
        <v>16298.56346192049</v>
      </c>
      <c r="CF136" s="438">
        <f>IF(AND($A136&gt;=SYear_O,$A136&lt;=EYear_O),MAX($CE$7:CE136),"")</f>
        <v>16298.56346192049</v>
      </c>
      <c r="CG136" s="209">
        <f>IF(AND($A136&gt;=SYear_O,$A136&lt;=EYear_O),1-(CE136/CF136),"")</f>
        <v>0</v>
      </c>
      <c r="CI136" s="143">
        <f>IF(AND($A136&gt;=SYear_O,$A136&lt;=EYear_O),Data_All!V137,"")</f>
        <v>5.8</v>
      </c>
      <c r="CJ136" s="143">
        <f>IF(AND($A136&gt;=SYear_O,$A136&lt;=EYear_O),Data_All!CA137,"")</f>
        <v>3.3868092691621943</v>
      </c>
      <c r="CK136" s="143">
        <f>IF(AND($A136&gt;=SYear_O,$A136&lt;=EYear_O),(CI136-CJ136)/(1+CJ136%),"")</f>
        <v>2.3341379310344985</v>
      </c>
      <c r="CN136" s="61">
        <f t="shared" si="58"/>
        <v>2.4871429793933864E-2</v>
      </c>
      <c r="CO136" s="61">
        <f t="shared" si="59"/>
        <v>-3.5200593046810336E-2</v>
      </c>
      <c r="CP136" s="61">
        <f t="shared" si="60"/>
        <v>2.1741731087173033E-2</v>
      </c>
      <c r="CQ136" s="61">
        <f t="shared" si="61"/>
        <v>2.9115831102028533E-2</v>
      </c>
      <c r="CR136" s="61"/>
      <c r="CU136" s="61">
        <f t="shared" si="63"/>
        <v>-8.7019446303500114E-3</v>
      </c>
      <c r="CV136" s="61">
        <f t="shared" si="64"/>
        <v>-5.8141754388014499E-2</v>
      </c>
      <c r="CW136" s="61">
        <f t="shared" si="65"/>
        <v>-3.0573009917888028E-3</v>
      </c>
      <c r="CX136" s="61">
        <f t="shared" si="66"/>
        <v>3.7777180925886444E-3</v>
      </c>
      <c r="CY136" s="61"/>
    </row>
    <row r="137" spans="1:103">
      <c r="A137" s="204">
        <f t="shared" si="51"/>
        <v>2001</v>
      </c>
      <c r="B137" s="206" t="str">
        <f>IF(AND($A137&gt;=SYear_O, $A137&lt;=EYear_O, B$3&gt;0), B$3 * VLOOKUP($A137, Data_All!$A$8:$CA$153, MATCH(B$2, Data_All!$B$2:$CA$2, 0)+1), "")</f>
        <v/>
      </c>
      <c r="C137" s="206" t="str">
        <f>IF(AND($A137&gt;=SYear_O, $A137&lt;=EYear_O, C$3&gt;0), C$3 * VLOOKUP($A137, Data_All!$A$8:$CA$153, MATCH(C$2, Data_All!$B$2:$CA$2, 0)+1), "")</f>
        <v/>
      </c>
      <c r="D137" s="206" t="str">
        <f>IF(AND($A137&gt;=SYear_O, $A137&lt;=EYear_O, D$3&gt;0), D$3 * VLOOKUP($A137, Data_All!$A$8:$CA$153, MATCH(D$2, Data_All!$B$2:$CA$2, 0)+1), "")</f>
        <v/>
      </c>
      <c r="E137" s="206" t="str">
        <f>IF(AND($A137&gt;=SYear_O, $A137&lt;=EYear_O, E$3&gt;0), E$3 * VLOOKUP($A137, Data_All!$A$8:$CA$153, MATCH(E$2, Data_All!$B$2:$CA$2, 0)+1), "")</f>
        <v/>
      </c>
      <c r="F137" s="206" t="str">
        <f>IF(AND($A137&gt;=SYear_O, $A137&lt;=EYear_O, F$3&gt;0), F$3 * VLOOKUP($A137, Data_All!$A$8:$CA$153, MATCH(F$2, Data_All!$B$2:$CA$2, 0)+1), "")</f>
        <v/>
      </c>
      <c r="G137" s="206" t="str">
        <f>IF(AND($A137&gt;=SYear_O, $A137&lt;=EYear_O, G$3&gt;0), G$3 * VLOOKUP($A137, Data_All!$A$8:$CA$153, MATCH(G$2, Data_All!$B$2:$CA$2, 0)+1), "")</f>
        <v/>
      </c>
      <c r="H137" s="206" t="str">
        <f>IF(AND($A137&gt;=SYear_O, $A137&lt;=EYear_O, H$3&gt;0), H$3 * VLOOKUP($A137, Data_All!$A$8:$CA$153, MATCH(H$2, Data_All!$B$2:$CA$2, 0)+1), "")</f>
        <v/>
      </c>
      <c r="I137" s="206" t="str">
        <f>IF(AND($A137&gt;=SYear_O, $A137&lt;=EYear_O, I$3&gt;0), I$3 * VLOOKUP($A137, Data_All!$A$8:$CA$153, MATCH(I$2, Data_All!$B$2:$CA$2, 0)+1), "")</f>
        <v/>
      </c>
      <c r="J137" s="206" t="str">
        <f>IF(AND($A137&gt;=SYear_O, $A137&lt;=EYear_O, J$3&gt;0), J$3 * VLOOKUP($A137, Data_All!$A$8:$CA$153, MATCH(J$2, Data_All!$B$2:$CA$2, 0)+1), "")</f>
        <v/>
      </c>
      <c r="K137" s="206" t="str">
        <f>IF(AND($A137&gt;=SYear_O, $A137&lt;=EYear_O, K$3&gt;0), K$3 * VLOOKUP($A137, Data_All!$A$8:$CA$153, MATCH(K$2, Data_All!$B$2:$CA$2, 0)+1), "")</f>
        <v/>
      </c>
      <c r="L137" s="206" t="str">
        <f>IF(AND($A137&gt;=SYear_O, $A137&lt;=EYear_O, L$3&gt;0), L$3 * VLOOKUP($A137, Data_All!$A$8:$CA$153, MATCH(L$2, Data_All!$B$2:$CA$2, 0)+1), "")</f>
        <v/>
      </c>
      <c r="M137" s="206" t="str">
        <f>IF(AND($A137&gt;=SYear_O, $A137&lt;=EYear_O, M$3&gt;0), M$3 * VLOOKUP($A137, Data_All!$A$8:$CA$153, MATCH(M$2, Data_All!$B$2:$CA$2, 0)+1), "")</f>
        <v/>
      </c>
      <c r="N137" s="206" t="str">
        <f>IF(AND($A137&gt;=SYear_O, $A137&lt;=EYear_O, N$3&gt;0), N$3 * VLOOKUP($A137, Data_All!$A$8:$CA$153, MATCH(N$2, Data_All!$B$2:$CA$2, 0)+1), "")</f>
        <v/>
      </c>
      <c r="O137" s="206" t="str">
        <f>IF(AND($A137&gt;=SYear_O, $A137&lt;=EYear_O, O$3&gt;0), O$3 * VLOOKUP($A137, Data_All!$A$8:$CA$153, MATCH(O$2, Data_All!$B$2:$CA$2, 0)+1), "")</f>
        <v/>
      </c>
      <c r="P137" s="206" t="str">
        <f>IF(AND($A137&gt;=SYear_O, $A137&lt;=EYear_O, P$3&gt;0), P$3 * VLOOKUP($A137, Data_All!$A$8:$CA$153, MATCH(P$2, Data_All!$B$2:$CA$2, 0)+1), "")</f>
        <v/>
      </c>
      <c r="Q137" s="206" t="str">
        <f>IF(AND($A137&gt;=SYear_O, $A137&lt;=EYear_O, Q$3&gt;0), Q$3 * VLOOKUP($A137, Data_All!$A$8:$CA$153, MATCH(Q$2, Data_All!$B$2:$CA$2, 0)+1), "")</f>
        <v/>
      </c>
      <c r="R137" s="206" t="str">
        <f>IF(AND($A137&gt;=SYear_O, $A137&lt;=EYear_O, R$3&gt;0), R$3 * VLOOKUP($A137, Data_All!$A$8:$CA$153, MATCH(R$2, Data_All!$B$2:$CA$2, 0)+1), "")</f>
        <v/>
      </c>
      <c r="S137" s="206" t="str">
        <f>IF(AND($A137&gt;=SYear_O, $A137&lt;=EYear_O, S$3&gt;0), S$3 * VLOOKUP($A137, Data_All!$A$8:$CA$153, MATCH(S$2, Data_All!$B$2:$CA$2, 0)+1), "")</f>
        <v/>
      </c>
      <c r="T137" s="206" t="str">
        <f>IF(AND($A137&gt;=SYear_O, $A137&lt;=EYear_O, T$3&gt;0), T$3 * VLOOKUP($A137, Data_All!$A$8:$CA$153, MATCH(T$2, Data_All!$B$2:$CA$2, 0)+1), "")</f>
        <v/>
      </c>
      <c r="U137" s="206" t="str">
        <f>IF(AND($A137&gt;=SYear_O, $A137&lt;=EYear_O, U$3&gt;0), U$3 * VLOOKUP($A137, Data_All!$A$8:$CA$153, MATCH(U$2, Data_All!$B$2:$CA$2, 0)+1), "")</f>
        <v/>
      </c>
      <c r="V137" s="206" t="str">
        <f>IF(AND($A137&gt;=SYear_O, $A137&lt;=EYear_O, V$3&gt;0), V$3 * VLOOKUP($A137, Data_All!$A$8:$CA$153, MATCH(V$2, Data_All!$B$2:$CA$2, 0)+1), "")</f>
        <v/>
      </c>
      <c r="W137" s="206" t="str">
        <f>IF(AND($A137&gt;=SYear_O, $A137&lt;=EYear_O, W$3&gt;0), W$3 * VLOOKUP($A137, Data_All!$A$8:$CA$153, MATCH(W$2, Data_All!$B$2:$CA$2, 0)+1), "")</f>
        <v/>
      </c>
      <c r="X137" s="206" t="str">
        <f>IF(AND($A137&gt;=SYear_O, $A137&lt;=EYear_O, X$3&gt;0), X$3 * VLOOKUP($A137, Data_All!$A$8:$CA$153, MATCH(X$2, Data_All!$B$2:$CA$2, 0)+1), "")</f>
        <v/>
      </c>
      <c r="Y137" s="206" t="str">
        <f>IF(AND($A137&gt;=SYear_O, $A137&lt;=EYear_O, Y$3&gt;0), Y$3 * VLOOKUP($A137, Data_All!$A$8:$CA$153, MATCH(Y$2, Data_All!$B$2:$CA$2, 0)+1), "")</f>
        <v/>
      </c>
      <c r="Z137" s="206" t="str">
        <f>IF(AND($A137&gt;=SYear_O, $A137&lt;=EYear_O, Z$3&gt;0), Z$3 * VLOOKUP($A137, Data_All!$A$8:$CA$153, MATCH(Z$2, Data_All!$B$2:$CA$2, 0)+1), "")</f>
        <v/>
      </c>
      <c r="AA137" s="206" t="str">
        <f>IF(AND($A137&gt;=SYear_O, $A137&lt;=EYear_O, AA$3&gt;0), AA$3 * VLOOKUP($A137, Data_All!$A$8:$CA$153, MATCH(AA$2, Data_All!$B$2:$CA$2, 0)+1), "")</f>
        <v/>
      </c>
      <c r="AB137" s="206" t="str">
        <f>IF(AND($A137&gt;=SYear_O, $A137&lt;=EYear_O, AB$3&gt;0), AB$3 * VLOOKUP($A137, Data_All!$A$8:$CA$153, MATCH(AB$2, Data_All!$B$2:$CA$2, 0)+1), "")</f>
        <v/>
      </c>
      <c r="AC137" s="206" t="str">
        <f>IF(AND($A137&gt;=SYear_O, $A137&lt;=EYear_O, AC$3&gt;0), AC$3 * VLOOKUP($A137, Data_All!$A$8:$CA$153, MATCH(AC$2, Data_All!$B$2:$CA$2, 0)+1), "")</f>
        <v/>
      </c>
      <c r="AD137" s="206" t="str">
        <f>IF(AND($A137&gt;=SYear_O, $A137&lt;=EYear_O, AD$3&gt;0), AD$3 * VLOOKUP($A137, Data_All!$A$8:$CA$153, MATCH(AD$2, Data_All!$B$2:$CA$2, 0)+1), "")</f>
        <v/>
      </c>
      <c r="AE137" s="206" t="str">
        <f>IF(AND($A137&gt;=SYear_O, $A137&lt;=EYear_O, AE$3&gt;0), AE$3 * VLOOKUP($A137, Data_All!$A$8:$CA$153, MATCH(AE$2, Data_All!$B$2:$CA$2, 0)+1), "")</f>
        <v/>
      </c>
      <c r="AF137" s="206" t="str">
        <f>IF(AND($A137&gt;=SYear_O, $A137&lt;=EYear_O, AF$3&gt;0), AF$3 * VLOOKUP($A137, Data_All!$A$8:$CA$153, MATCH(AF$2, Data_All!$B$2:$CA$2, 0)+1), "")</f>
        <v/>
      </c>
      <c r="AG137" s="206" t="str">
        <f>IF(AND($A137&gt;=SYear_O, $A137&lt;=EYear_O, AG$3&gt;0), AG$3 * VLOOKUP($A137, Data_All!$A$8:$CA$153, MATCH(AG$2, Data_All!$B$2:$CA$2, 0)+1), "")</f>
        <v/>
      </c>
      <c r="AH137" s="206" t="str">
        <f>IF(AND($A137&gt;=SYear_O, $A137&lt;=EYear_O, AH$3&gt;0), AH$3 * VLOOKUP($A137, Data_All!$A$8:$CA$153, MATCH(AH$2, Data_All!$B$2:$CA$2, 0)+1), "")</f>
        <v/>
      </c>
      <c r="AI137" s="206" t="str">
        <f>IF(AND($A137&gt;=SYear_O, $A137&lt;=EYear_O, AI$3&gt;0), AI$3 * VLOOKUP($A137, Data_All!$A$8:$CA$153, MATCH(AI$2, Data_All!$B$2:$CA$2, 0)+1), "")</f>
        <v/>
      </c>
      <c r="AJ137" s="206" t="str">
        <f>IF(AND($A137&gt;=SYear_O, $A137&lt;=EYear_O, AJ$3&gt;0), AJ$3 * VLOOKUP($A137, Data_All!$A$8:$CA$153, MATCH(AJ$2, Data_All!$B$2:$CA$2, 0)+1), "")</f>
        <v/>
      </c>
      <c r="AK137" s="206" t="str">
        <f>IF(AND($A137&gt;=SYear_O, $A137&lt;=EYear_O, AK$3&gt;0), AK$3 * VLOOKUP($A137, Data_All!$A$8:$CA$153, MATCH(AK$2, Data_All!$B$2:$CA$2, 0)+1), "")</f>
        <v/>
      </c>
      <c r="AL137" s="206" t="str">
        <f>IF(AND($A137&gt;=SYear_O, $A137&lt;=EYear_O, AL$3&gt;0), AL$3 * VLOOKUP($A137, Data_All!$A$8:$CA$153, MATCH(AL$2, Data_All!$B$2:$CA$2, 0)+1), "")</f>
        <v/>
      </c>
      <c r="AM137" s="206" t="str">
        <f>IF(AND($A137&gt;=SYear_O, $A137&lt;=EYear_O, AM$3&gt;0), AM$3 * VLOOKUP($A137, Data_All!$A$8:$CA$153, MATCH(AM$2, Data_All!$B$2:$CA$2, 0)+1), "")</f>
        <v/>
      </c>
      <c r="AN137" s="206" t="str">
        <f>IF(AND($A137&gt;=SYear_O, $A137&lt;=EYear_O, AN$3&gt;0), AN$3 * VLOOKUP($A137, Data_All!$A$8:$CA$153, MATCH(AN$2, Data_All!$B$2:$CA$2, 0)+1), "")</f>
        <v/>
      </c>
      <c r="AO137" s="206" t="str">
        <f>IF(AND($A137&gt;=SYear_O, $A137&lt;=EYear_O, AO$3&gt;0), AO$3 * VLOOKUP($A137, Data_All!$A$8:$CA$153, MATCH(AO$2, Data_All!$B$2:$CA$2, 0)+1), "")</f>
        <v/>
      </c>
      <c r="AP137" s="206" t="str">
        <f>IF(AND($A137&gt;=SYear_O, $A137&lt;=EYear_O, AP$3&gt;0), AP$3 * VLOOKUP($A137, Data_All!$A$8:$CA$153, MATCH(AP$2, Data_All!$B$2:$CA$2, 0)+1), "")</f>
        <v/>
      </c>
      <c r="AQ137" s="206" t="str">
        <f>IF(AND($A137&gt;=SYear_O, $A137&lt;=EYear_O, AQ$3&gt;0), AQ$3 * VLOOKUP($A137, Data_All!$A$8:$CA$153, MATCH(AQ$2, Data_All!$B$2:$CA$2, 0)+1), "")</f>
        <v/>
      </c>
      <c r="AR137" s="206" t="str">
        <f>IF(AND($A137&gt;=SYear_O, $A137&lt;=EYear_O, AR$3&gt;0), AR$3 * VLOOKUP($A137, Data_All!$A$8:$CA$153, MATCH(AR$2, Data_All!$B$2:$CA$2, 0)+1), "")</f>
        <v/>
      </c>
      <c r="AS137" s="206" t="str">
        <f>IF(AND($A137&gt;=SYear_O, $A137&lt;=EYear_O, AS$3&gt;0), AS$3 * VLOOKUP($A137, Data_All!$A$8:$CA$153, MATCH(AS$2, Data_All!$B$2:$CA$2, 0)+1), "")</f>
        <v/>
      </c>
      <c r="AT137" s="206" t="str">
        <f>IF(AND($A137&gt;=SYear_O, $A137&lt;=EYear_O, AT$3&gt;0), AT$3 * VLOOKUP($A137, Data_All!$A$8:$CA$153, MATCH(AT$2, Data_All!$B$2:$CA$2, 0)+1), "")</f>
        <v/>
      </c>
      <c r="AU137" s="206" t="str">
        <f>IF(AND($A137&gt;=SYear_O, $A137&lt;=EYear_O, AU$3&gt;0), AU$3 * VLOOKUP($A137, Data_All!$A$8:$CA$153, MATCH(AU$2, Data_All!$B$2:$CA$2, 0)+1), "")</f>
        <v/>
      </c>
      <c r="AV137" s="206" t="str">
        <f>IF(AND($A137&gt;=SYear_O, $A137&lt;=EYear_O, AV$3&gt;0), AV$3 * VLOOKUP($A137, Data_All!$A$8:$CA$153, MATCH(AV$2, Data_All!$B$2:$CA$2, 0)+1), "")</f>
        <v/>
      </c>
      <c r="AW137" s="206" t="str">
        <f>IF(AND($A137&gt;=SYear_O, $A137&lt;=EYear_O, AW$3&gt;0), AW$3 * VLOOKUP($A137, Data_All!$A$8:$CA$153, MATCH(AW$2, Data_All!$B$2:$CA$2, 0)+1), "")</f>
        <v/>
      </c>
      <c r="AX137" s="206" t="str">
        <f>IF(AND($A137&gt;=SYear_O, $A137&lt;=EYear_O, AX$3&gt;0), AX$3 * VLOOKUP($A137, Data_All!$A$8:$CA$153, MATCH(AX$2, Data_All!$B$2:$CA$2, 0)+1), "")</f>
        <v/>
      </c>
      <c r="AY137" s="206" t="str">
        <f>IF(AND($A137&gt;=SYear_O, $A137&lt;=EYear_O, AY$3&gt;0), AY$3 * VLOOKUP($A137, Data_All!$A$8:$CA$153, MATCH(AY$2, Data_All!$B$2:$CA$2, 0)+1), "")</f>
        <v/>
      </c>
      <c r="AZ137" s="206" t="str">
        <f>IF(AND($A137&gt;=SYear_O, $A137&lt;=EYear_O, AZ$3&gt;0), AZ$3 * VLOOKUP($A137, Data_All!$A$8:$CA$153, MATCH(AZ$2, Data_All!$B$2:$CA$2, 0)+1), "")</f>
        <v/>
      </c>
      <c r="BA137" s="206" t="str">
        <f>IF(AND($A137&gt;=SYear_O, $A137&lt;=EYear_O, BA$3&gt;0), BA$3 * VLOOKUP($A137, Data_All!$A$8:$CA$153, MATCH(BA$2, Data_All!$B$2:$CA$2, 0)+1), "")</f>
        <v/>
      </c>
      <c r="BB137" s="206" t="str">
        <f>IF(AND($A137&gt;=SYear_O, $A137&lt;=EYear_O, BB$3&gt;0), BB$3 * VLOOKUP($A137, Data_All!$A$8:$CA$153, MATCH(BB$2, Data_All!$B$2:$CA$2, 0)+1), "")</f>
        <v/>
      </c>
      <c r="BC137" s="206" t="str">
        <f>IF(AND($A137&gt;=SYear_O, $A137&lt;=EYear_O, BC$3&gt;0), BC$3 * VLOOKUP($A137, Data_All!$A$8:$CA$153, MATCH(BC$2, Data_All!$B$2:$CA$2, 0)+1), "")</f>
        <v/>
      </c>
      <c r="BD137" s="206" t="str">
        <f>IF(AND($A137&gt;=SYear_O, $A137&lt;=EYear_O, BD$3&gt;0), BD$3 * VLOOKUP($A137, Data_All!$A$8:$CA$153, MATCH(BD$2, Data_All!$B$2:$CA$2, 0)+1), "")</f>
        <v/>
      </c>
      <c r="BE137" s="206" t="str">
        <f>IF(AND($A137&gt;=SYear_O, $A137&lt;=EYear_O, BE$3&gt;0), BE$3 * VLOOKUP($A137, Data_All!$A$8:$CA$153, MATCH(BE$2, Data_All!$B$2:$CA$2, 0)+1), "")</f>
        <v/>
      </c>
      <c r="BF137" s="206" t="str">
        <f>IF(AND($A137&gt;=SYear_O, $A137&lt;=EYear_O, BF$3&gt;0), BF$3 * VLOOKUP($A137, Data_All!$A$8:$CA$153, MATCH(BF$2, Data_All!$B$2:$CA$2, 0)+1), "")</f>
        <v/>
      </c>
      <c r="BG137" s="206" t="str">
        <f>IF(AND($A137&gt;=SYear_O, $A137&lt;=EYear_O, BG$3&gt;0), BG$3 * VLOOKUP($A137, Data_All!$A$8:$CA$153, MATCH(BG$2, Data_All!$B$2:$CA$2, 0)+1), "")</f>
        <v/>
      </c>
      <c r="BH137" s="206" t="str">
        <f>IF(AND($A137&gt;=SYear_O, $A137&lt;=EYear_O, BH$3&gt;0), BH$3 * VLOOKUP($A137, Data_All!$A$8:$CA$153, MATCH(BH$2, Data_All!$B$2:$CA$2, 0)+1), "")</f>
        <v/>
      </c>
      <c r="BI137" s="206" t="str">
        <f>IF(AND($A137&gt;=SYear_O, $A137&lt;=EYear_O, BI$3&gt;0), BI$3 * VLOOKUP($A137, Data_All!$A$8:$CA$153, MATCH(BI$2, Data_All!$B$2:$CA$2, 0)+1), "")</f>
        <v/>
      </c>
      <c r="BJ137" s="206" t="str">
        <f>IF(AND($A137&gt;=SYear_O, $A137&lt;=EYear_O, BJ$3&gt;0), BJ$3 * VLOOKUP($A137, Data_All!$A$8:$CA$153, MATCH(BJ$2, Data_All!$B$2:$CA$2, 0)+1), "")</f>
        <v/>
      </c>
      <c r="BK137" s="206" t="str">
        <f>IF(AND($A137&gt;=SYear_O, $A137&lt;=EYear_O, BK$3&gt;0), BK$3 * VLOOKUP($A137, Data_All!$A$8:$CA$153, MATCH(BK$2, Data_All!$B$2:$CA$2, 0)+1), "")</f>
        <v/>
      </c>
      <c r="BL137" s="206" t="str">
        <f>IF(AND($A137&gt;=SYear_O, $A137&lt;=EYear_O, BL$3&gt;0), BL$3 * VLOOKUP($A137, Data_All!$A$8:$CA$153, MATCH(BL$2, Data_All!$B$2:$CA$2, 0)+1), "")</f>
        <v/>
      </c>
      <c r="BM137" s="206" t="str">
        <f>IF(AND($A137&gt;=SYear_O, $A137&lt;=EYear_O, BM$3&gt;0), BM$3 * VLOOKUP($A137, Data_All!$A$8:$CA$153, MATCH(BM$2, Data_All!$B$2:$CA$2, 0)+1), "")</f>
        <v/>
      </c>
      <c r="BN137" s="206" t="str">
        <f>IF(AND($A137&gt;=SYear_O, $A137&lt;=EYear_O, BN$3&gt;0), BN$3 * VLOOKUP($A137, Data_All!$A$8:$CA$153, MATCH(BN$2, Data_All!$B$2:$CA$2, 0)+1), "")</f>
        <v/>
      </c>
      <c r="BO137" s="206" t="str">
        <f>IF(AND($A137&gt;=SYear_O, $A137&lt;=EYear_O, BO$3&gt;0), BO$3 * VLOOKUP($A137, Data_All!$A$8:$CA$153, MATCH(BO$2, Data_All!$B$2:$CA$2, 0)+1), "")</f>
        <v/>
      </c>
      <c r="BP137" s="206" t="str">
        <f>IF(AND($A137&gt;=SYear_O, $A137&lt;=EYear_O, BP$3&gt;0), BP$3 * VLOOKUP($A137, Data_All!$A$8:$CA$153, MATCH(BP$2, Data_All!$B$2:$CA$2, 0)+1), "")</f>
        <v/>
      </c>
      <c r="BQ137" s="206" t="str">
        <f>IF(AND($A137&gt;=SYear_O, $A137&lt;=EYear_O, BQ$3&gt;0), BQ$3 * VLOOKUP($A137, Data_All!$A$8:$CA$153, MATCH(BQ$2, Data_All!$B$2:$CA$2, 0)+1), "")</f>
        <v/>
      </c>
      <c r="BR137" s="206" t="str">
        <f>IF(AND($A137&gt;=SYear_O, $A137&lt;=EYear_O, BR$3&gt;0), BR$3 * VLOOKUP($A137, Data_All!$A$8:$CA$153, MATCH(BR$2, Data_All!$B$2:$CA$2, 0)+1), "")</f>
        <v/>
      </c>
      <c r="BS137" s="206" t="str">
        <f>IF(AND($A137&gt;=SYear_O, $A137&lt;=EYear_O, BS$3&gt;0), BS$3 * VLOOKUP($A137, Data_All!$A$8:$CA$153, MATCH(BS$2, Data_All!$B$2:$CA$2, 0)+1), "")</f>
        <v/>
      </c>
      <c r="BT137" s="206" t="str">
        <f>IF(AND($A137&gt;=SYear_O, $A137&lt;=EYear_O, BT$3&gt;0), BT$3 * VLOOKUP($A137, Data_All!$A$8:$CA$153, MATCH(BT$2, Data_All!$B$2:$CA$2, 0)+1), "")</f>
        <v/>
      </c>
      <c r="BU137" s="206" t="str">
        <f>IF(AND($A137&gt;=SYear_O, $A137&lt;=EYear_O, BU$3&gt;0), BU$3 * VLOOKUP($A137, Data_All!$A$8:$CA$153, MATCH(BU$2, Data_All!$B$2:$CA$2, 0)+1), "")</f>
        <v/>
      </c>
      <c r="BV137" s="206" t="str">
        <f>IF(AND($A137&gt;=SYear_O, $A137&lt;=EYear_O, BV$3&gt;0), BV$3 * VLOOKUP($A137, Data_All!$A$8:$CA$153, MATCH(BV$2, Data_All!$B$2:$CA$2, 0)+1), "")</f>
        <v/>
      </c>
      <c r="BW137" s="206" t="str">
        <f>IF(AND($A137&gt;=SYear_O, $A137&lt;=EYear_O, BW$3&gt;0), BW$3 * VLOOKUP($A137, Data_All!$A$8:$CA$153, MATCH(BW$2, Data_All!$B$2:$CA$2, 0)+1), "")</f>
        <v/>
      </c>
      <c r="BX137" s="206">
        <f>IF(AND($A137&gt;=SYear_O, $A137&lt;=EYear_O, BX$3&gt;0), BX$3 * VLOOKUP($A137, Data_All!$A$8:$CA$153, MATCH(BX$2, Data_All!$B$2:$CA$2, 0)+1), "")</f>
        <v>-8.0716965027739729</v>
      </c>
      <c r="BY137" s="206">
        <f>IF(AND($A137&gt;=SYear_O, $A137&lt;=EYear_O, BY$3&gt;0), BY$3 * VLOOKUP($A137, Data_All!$A$8:$CA$153, MATCH(BY$2, Data_All!$B$2:$CA$2, 0)+1), "")</f>
        <v>3.0048275193815499</v>
      </c>
      <c r="BZ137" s="206" t="str">
        <f>IF(AND($A137&gt;=SYear_O, $A137&lt;=EYear_O, BZ$3&gt;0), BZ$3 * VLOOKUP($A137, Data_All!$A$8:$CA$153, MATCH(BZ$2, Data_All!$B$2:$CA$2, 0)+1), "")</f>
        <v/>
      </c>
      <c r="CA137" s="565">
        <f t="shared" ref="CA137:CA146" si="68">IF(AND($A137&gt;=SYear_O,$A137&lt;=EYear_O),SUM(B137:BZ137),"")</f>
        <v>-5.066868983392423</v>
      </c>
      <c r="CB137" s="427">
        <f t="shared" ref="CB137:CB146" si="69">IF(AND($A137&gt;=SYear_O,$A137&lt;=EYear_O),IF($A137=SYear_O,$CB$4*(1+CA137%),$CB136*(1+CA137%)),"")</f>
        <v>170593897.0991168</v>
      </c>
      <c r="CC137" s="565">
        <f>IF(AND($A137&gt;=SYear_O,$A137&lt;=EYear_O),(CA137-Data_All!CA138)/(1+Data_All!CA138%),"")</f>
        <v>-6.5174601194696162</v>
      </c>
      <c r="CD137" s="436">
        <f t="shared" ref="CD137:CD146" si="70">IF(AND($A137&gt;=SYear_O,$A137&lt;=EYear_O),IF($A137=SYear_O,$CD$4*(1+CC137%),$CD136*(1+CC137%)),"")</f>
        <v>12033348.837980283</v>
      </c>
      <c r="CE137" s="438">
        <f t="shared" ref="CE137:CE146" si="71">IF(AND($A137&gt;=SYear_O,$A137&lt;=EYear_O),IF($A137=SYear_O,CE$2,CE136*(1+CA137%)),"")</f>
        <v>15472.73660512991</v>
      </c>
      <c r="CF137" s="438">
        <f>IF(AND($A137&gt;=SYear_O,$A137&lt;=EYear_O),MAX($CE$7:CE137),"")</f>
        <v>16298.56346192049</v>
      </c>
      <c r="CG137" s="209">
        <f t="shared" ref="CG137:CG146" si="72">IF(AND($A137&gt;=SYear_O,$A137&lt;=EYear_O),1-(CE137/CF137),"")</f>
        <v>5.0668689833924252E-2</v>
      </c>
      <c r="CI137" s="143">
        <f>IF(AND($A137&gt;=SYear_O,$A137&lt;=EYear_O),Data_All!V138,"")</f>
        <v>3.99</v>
      </c>
      <c r="CJ137" s="143">
        <f>IF(AND($A137&gt;=SYear_O,$A137&lt;=EYear_O),Data_All!CA138,"")</f>
        <v>1.551724137931032</v>
      </c>
      <c r="CK137" s="143">
        <f t="shared" ref="CK137:CK146" si="73">IF(AND($A137&gt;=SYear_O,$A137&lt;=EYear_O),(CI137-CJ137)/(1+CJ137%),"")</f>
        <v>2.4010186757215646</v>
      </c>
      <c r="CN137" s="61">
        <f t="shared" si="58"/>
        <v>-5.0668689833924252E-2</v>
      </c>
      <c r="CO137" s="61">
        <f t="shared" si="59"/>
        <v>1.2983848050571289E-2</v>
      </c>
      <c r="CP137" s="61">
        <f t="shared" si="60"/>
        <v>3.0342962392232442E-2</v>
      </c>
      <c r="CQ137" s="61">
        <f t="shared" si="61"/>
        <v>3.8432364912873496E-2</v>
      </c>
      <c r="CR137" s="61"/>
      <c r="CU137" s="61">
        <f t="shared" si="63"/>
        <v>-6.5174601194696091E-2</v>
      </c>
      <c r="CV137" s="61">
        <f t="shared" si="64"/>
        <v>-6.2499619090257141E-3</v>
      </c>
      <c r="CW137" s="61">
        <f t="shared" si="65"/>
        <v>5.2790683686416706E-3</v>
      </c>
      <c r="CX137" s="61">
        <f t="shared" si="66"/>
        <v>1.4736415601701802E-2</v>
      </c>
      <c r="CY137" s="61"/>
    </row>
    <row r="138" spans="1:103">
      <c r="A138" s="204">
        <f t="shared" si="51"/>
        <v>2002</v>
      </c>
      <c r="B138" s="206" t="str">
        <f>IF(AND($A138&gt;=SYear_O, $A138&lt;=EYear_O, B$3&gt;0), B$3 * VLOOKUP($A138, Data_All!$A$8:$CA$153, MATCH(B$2, Data_All!$B$2:$CA$2, 0)+1), "")</f>
        <v/>
      </c>
      <c r="C138" s="206" t="str">
        <f>IF(AND($A138&gt;=SYear_O, $A138&lt;=EYear_O, C$3&gt;0), C$3 * VLOOKUP($A138, Data_All!$A$8:$CA$153, MATCH(C$2, Data_All!$B$2:$CA$2, 0)+1), "")</f>
        <v/>
      </c>
      <c r="D138" s="206" t="str">
        <f>IF(AND($A138&gt;=SYear_O, $A138&lt;=EYear_O, D$3&gt;0), D$3 * VLOOKUP($A138, Data_All!$A$8:$CA$153, MATCH(D$2, Data_All!$B$2:$CA$2, 0)+1), "")</f>
        <v/>
      </c>
      <c r="E138" s="206" t="str">
        <f>IF(AND($A138&gt;=SYear_O, $A138&lt;=EYear_O, E$3&gt;0), E$3 * VLOOKUP($A138, Data_All!$A$8:$CA$153, MATCH(E$2, Data_All!$B$2:$CA$2, 0)+1), "")</f>
        <v/>
      </c>
      <c r="F138" s="206" t="str">
        <f>IF(AND($A138&gt;=SYear_O, $A138&lt;=EYear_O, F$3&gt;0), F$3 * VLOOKUP($A138, Data_All!$A$8:$CA$153, MATCH(F$2, Data_All!$B$2:$CA$2, 0)+1), "")</f>
        <v/>
      </c>
      <c r="G138" s="206" t="str">
        <f>IF(AND($A138&gt;=SYear_O, $A138&lt;=EYear_O, G$3&gt;0), G$3 * VLOOKUP($A138, Data_All!$A$8:$CA$153, MATCH(G$2, Data_All!$B$2:$CA$2, 0)+1), "")</f>
        <v/>
      </c>
      <c r="H138" s="206" t="str">
        <f>IF(AND($A138&gt;=SYear_O, $A138&lt;=EYear_O, H$3&gt;0), H$3 * VLOOKUP($A138, Data_All!$A$8:$CA$153, MATCH(H$2, Data_All!$B$2:$CA$2, 0)+1), "")</f>
        <v/>
      </c>
      <c r="I138" s="206" t="str">
        <f>IF(AND($A138&gt;=SYear_O, $A138&lt;=EYear_O, I$3&gt;0), I$3 * VLOOKUP($A138, Data_All!$A$8:$CA$153, MATCH(I$2, Data_All!$B$2:$CA$2, 0)+1), "")</f>
        <v/>
      </c>
      <c r="J138" s="206" t="str">
        <f>IF(AND($A138&gt;=SYear_O, $A138&lt;=EYear_O, J$3&gt;0), J$3 * VLOOKUP($A138, Data_All!$A$8:$CA$153, MATCH(J$2, Data_All!$B$2:$CA$2, 0)+1), "")</f>
        <v/>
      </c>
      <c r="K138" s="206" t="str">
        <f>IF(AND($A138&gt;=SYear_O, $A138&lt;=EYear_O, K$3&gt;0), K$3 * VLOOKUP($A138, Data_All!$A$8:$CA$153, MATCH(K$2, Data_All!$B$2:$CA$2, 0)+1), "")</f>
        <v/>
      </c>
      <c r="L138" s="206" t="str">
        <f>IF(AND($A138&gt;=SYear_O, $A138&lt;=EYear_O, L$3&gt;0), L$3 * VLOOKUP($A138, Data_All!$A$8:$CA$153, MATCH(L$2, Data_All!$B$2:$CA$2, 0)+1), "")</f>
        <v/>
      </c>
      <c r="M138" s="206" t="str">
        <f>IF(AND($A138&gt;=SYear_O, $A138&lt;=EYear_O, M$3&gt;0), M$3 * VLOOKUP($A138, Data_All!$A$8:$CA$153, MATCH(M$2, Data_All!$B$2:$CA$2, 0)+1), "")</f>
        <v/>
      </c>
      <c r="N138" s="206" t="str">
        <f>IF(AND($A138&gt;=SYear_O, $A138&lt;=EYear_O, N$3&gt;0), N$3 * VLOOKUP($A138, Data_All!$A$8:$CA$153, MATCH(N$2, Data_All!$B$2:$CA$2, 0)+1), "")</f>
        <v/>
      </c>
      <c r="O138" s="206" t="str">
        <f>IF(AND($A138&gt;=SYear_O, $A138&lt;=EYear_O, O$3&gt;0), O$3 * VLOOKUP($A138, Data_All!$A$8:$CA$153, MATCH(O$2, Data_All!$B$2:$CA$2, 0)+1), "")</f>
        <v/>
      </c>
      <c r="P138" s="206" t="str">
        <f>IF(AND($A138&gt;=SYear_O, $A138&lt;=EYear_O, P$3&gt;0), P$3 * VLOOKUP($A138, Data_All!$A$8:$CA$153, MATCH(P$2, Data_All!$B$2:$CA$2, 0)+1), "")</f>
        <v/>
      </c>
      <c r="Q138" s="206" t="str">
        <f>IF(AND($A138&gt;=SYear_O, $A138&lt;=EYear_O, Q$3&gt;0), Q$3 * VLOOKUP($A138, Data_All!$A$8:$CA$153, MATCH(Q$2, Data_All!$B$2:$CA$2, 0)+1), "")</f>
        <v/>
      </c>
      <c r="R138" s="206" t="str">
        <f>IF(AND($A138&gt;=SYear_O, $A138&lt;=EYear_O, R$3&gt;0), R$3 * VLOOKUP($A138, Data_All!$A$8:$CA$153, MATCH(R$2, Data_All!$B$2:$CA$2, 0)+1), "")</f>
        <v/>
      </c>
      <c r="S138" s="206" t="str">
        <f>IF(AND($A138&gt;=SYear_O, $A138&lt;=EYear_O, S$3&gt;0), S$3 * VLOOKUP($A138, Data_All!$A$8:$CA$153, MATCH(S$2, Data_All!$B$2:$CA$2, 0)+1), "")</f>
        <v/>
      </c>
      <c r="T138" s="206" t="str">
        <f>IF(AND($A138&gt;=SYear_O, $A138&lt;=EYear_O, T$3&gt;0), T$3 * VLOOKUP($A138, Data_All!$A$8:$CA$153, MATCH(T$2, Data_All!$B$2:$CA$2, 0)+1), "")</f>
        <v/>
      </c>
      <c r="U138" s="206" t="str">
        <f>IF(AND($A138&gt;=SYear_O, $A138&lt;=EYear_O, U$3&gt;0), U$3 * VLOOKUP($A138, Data_All!$A$8:$CA$153, MATCH(U$2, Data_All!$B$2:$CA$2, 0)+1), "")</f>
        <v/>
      </c>
      <c r="V138" s="206" t="str">
        <f>IF(AND($A138&gt;=SYear_O, $A138&lt;=EYear_O, V$3&gt;0), V$3 * VLOOKUP($A138, Data_All!$A$8:$CA$153, MATCH(V$2, Data_All!$B$2:$CA$2, 0)+1), "")</f>
        <v/>
      </c>
      <c r="W138" s="206" t="str">
        <f>IF(AND($A138&gt;=SYear_O, $A138&lt;=EYear_O, W$3&gt;0), W$3 * VLOOKUP($A138, Data_All!$A$8:$CA$153, MATCH(W$2, Data_All!$B$2:$CA$2, 0)+1), "")</f>
        <v/>
      </c>
      <c r="X138" s="206" t="str">
        <f>IF(AND($A138&gt;=SYear_O, $A138&lt;=EYear_O, X$3&gt;0), X$3 * VLOOKUP($A138, Data_All!$A$8:$CA$153, MATCH(X$2, Data_All!$B$2:$CA$2, 0)+1), "")</f>
        <v/>
      </c>
      <c r="Y138" s="206" t="str">
        <f>IF(AND($A138&gt;=SYear_O, $A138&lt;=EYear_O, Y$3&gt;0), Y$3 * VLOOKUP($A138, Data_All!$A$8:$CA$153, MATCH(Y$2, Data_All!$B$2:$CA$2, 0)+1), "")</f>
        <v/>
      </c>
      <c r="Z138" s="206" t="str">
        <f>IF(AND($A138&gt;=SYear_O, $A138&lt;=EYear_O, Z$3&gt;0), Z$3 * VLOOKUP($A138, Data_All!$A$8:$CA$153, MATCH(Z$2, Data_All!$B$2:$CA$2, 0)+1), "")</f>
        <v/>
      </c>
      <c r="AA138" s="206" t="str">
        <f>IF(AND($A138&gt;=SYear_O, $A138&lt;=EYear_O, AA$3&gt;0), AA$3 * VLOOKUP($A138, Data_All!$A$8:$CA$153, MATCH(AA$2, Data_All!$B$2:$CA$2, 0)+1), "")</f>
        <v/>
      </c>
      <c r="AB138" s="206" t="str">
        <f>IF(AND($A138&gt;=SYear_O, $A138&lt;=EYear_O, AB$3&gt;0), AB$3 * VLOOKUP($A138, Data_All!$A$8:$CA$153, MATCH(AB$2, Data_All!$B$2:$CA$2, 0)+1), "")</f>
        <v/>
      </c>
      <c r="AC138" s="206" t="str">
        <f>IF(AND($A138&gt;=SYear_O, $A138&lt;=EYear_O, AC$3&gt;0), AC$3 * VLOOKUP($A138, Data_All!$A$8:$CA$153, MATCH(AC$2, Data_All!$B$2:$CA$2, 0)+1), "")</f>
        <v/>
      </c>
      <c r="AD138" s="206" t="str">
        <f>IF(AND($A138&gt;=SYear_O, $A138&lt;=EYear_O, AD$3&gt;0), AD$3 * VLOOKUP($A138, Data_All!$A$8:$CA$153, MATCH(AD$2, Data_All!$B$2:$CA$2, 0)+1), "")</f>
        <v/>
      </c>
      <c r="AE138" s="206" t="str">
        <f>IF(AND($A138&gt;=SYear_O, $A138&lt;=EYear_O, AE$3&gt;0), AE$3 * VLOOKUP($A138, Data_All!$A$8:$CA$153, MATCH(AE$2, Data_All!$B$2:$CA$2, 0)+1), "")</f>
        <v/>
      </c>
      <c r="AF138" s="206" t="str">
        <f>IF(AND($A138&gt;=SYear_O, $A138&lt;=EYear_O, AF$3&gt;0), AF$3 * VLOOKUP($A138, Data_All!$A$8:$CA$153, MATCH(AF$2, Data_All!$B$2:$CA$2, 0)+1), "")</f>
        <v/>
      </c>
      <c r="AG138" s="206" t="str">
        <f>IF(AND($A138&gt;=SYear_O, $A138&lt;=EYear_O, AG$3&gt;0), AG$3 * VLOOKUP($A138, Data_All!$A$8:$CA$153, MATCH(AG$2, Data_All!$B$2:$CA$2, 0)+1), "")</f>
        <v/>
      </c>
      <c r="AH138" s="206" t="str">
        <f>IF(AND($A138&gt;=SYear_O, $A138&lt;=EYear_O, AH$3&gt;0), AH$3 * VLOOKUP($A138, Data_All!$A$8:$CA$153, MATCH(AH$2, Data_All!$B$2:$CA$2, 0)+1), "")</f>
        <v/>
      </c>
      <c r="AI138" s="206" t="str">
        <f>IF(AND($A138&gt;=SYear_O, $A138&lt;=EYear_O, AI$3&gt;0), AI$3 * VLOOKUP($A138, Data_All!$A$8:$CA$153, MATCH(AI$2, Data_All!$B$2:$CA$2, 0)+1), "")</f>
        <v/>
      </c>
      <c r="AJ138" s="206" t="str">
        <f>IF(AND($A138&gt;=SYear_O, $A138&lt;=EYear_O, AJ$3&gt;0), AJ$3 * VLOOKUP($A138, Data_All!$A$8:$CA$153, MATCH(AJ$2, Data_All!$B$2:$CA$2, 0)+1), "")</f>
        <v/>
      </c>
      <c r="AK138" s="206" t="str">
        <f>IF(AND($A138&gt;=SYear_O, $A138&lt;=EYear_O, AK$3&gt;0), AK$3 * VLOOKUP($A138, Data_All!$A$8:$CA$153, MATCH(AK$2, Data_All!$B$2:$CA$2, 0)+1), "")</f>
        <v/>
      </c>
      <c r="AL138" s="206" t="str">
        <f>IF(AND($A138&gt;=SYear_O, $A138&lt;=EYear_O, AL$3&gt;0), AL$3 * VLOOKUP($A138, Data_All!$A$8:$CA$153, MATCH(AL$2, Data_All!$B$2:$CA$2, 0)+1), "")</f>
        <v/>
      </c>
      <c r="AM138" s="206" t="str">
        <f>IF(AND($A138&gt;=SYear_O, $A138&lt;=EYear_O, AM$3&gt;0), AM$3 * VLOOKUP($A138, Data_All!$A$8:$CA$153, MATCH(AM$2, Data_All!$B$2:$CA$2, 0)+1), "")</f>
        <v/>
      </c>
      <c r="AN138" s="206" t="str">
        <f>IF(AND($A138&gt;=SYear_O, $A138&lt;=EYear_O, AN$3&gt;0), AN$3 * VLOOKUP($A138, Data_All!$A$8:$CA$153, MATCH(AN$2, Data_All!$B$2:$CA$2, 0)+1), "")</f>
        <v/>
      </c>
      <c r="AO138" s="206" t="str">
        <f>IF(AND($A138&gt;=SYear_O, $A138&lt;=EYear_O, AO$3&gt;0), AO$3 * VLOOKUP($A138, Data_All!$A$8:$CA$153, MATCH(AO$2, Data_All!$B$2:$CA$2, 0)+1), "")</f>
        <v/>
      </c>
      <c r="AP138" s="206" t="str">
        <f>IF(AND($A138&gt;=SYear_O, $A138&lt;=EYear_O, AP$3&gt;0), AP$3 * VLOOKUP($A138, Data_All!$A$8:$CA$153, MATCH(AP$2, Data_All!$B$2:$CA$2, 0)+1), "")</f>
        <v/>
      </c>
      <c r="AQ138" s="206" t="str">
        <f>IF(AND($A138&gt;=SYear_O, $A138&lt;=EYear_O, AQ$3&gt;0), AQ$3 * VLOOKUP($A138, Data_All!$A$8:$CA$153, MATCH(AQ$2, Data_All!$B$2:$CA$2, 0)+1), "")</f>
        <v/>
      </c>
      <c r="AR138" s="206" t="str">
        <f>IF(AND($A138&gt;=SYear_O, $A138&lt;=EYear_O, AR$3&gt;0), AR$3 * VLOOKUP($A138, Data_All!$A$8:$CA$153, MATCH(AR$2, Data_All!$B$2:$CA$2, 0)+1), "")</f>
        <v/>
      </c>
      <c r="AS138" s="206" t="str">
        <f>IF(AND($A138&gt;=SYear_O, $A138&lt;=EYear_O, AS$3&gt;0), AS$3 * VLOOKUP($A138, Data_All!$A$8:$CA$153, MATCH(AS$2, Data_All!$B$2:$CA$2, 0)+1), "")</f>
        <v/>
      </c>
      <c r="AT138" s="206" t="str">
        <f>IF(AND($A138&gt;=SYear_O, $A138&lt;=EYear_O, AT$3&gt;0), AT$3 * VLOOKUP($A138, Data_All!$A$8:$CA$153, MATCH(AT$2, Data_All!$B$2:$CA$2, 0)+1), "")</f>
        <v/>
      </c>
      <c r="AU138" s="206" t="str">
        <f>IF(AND($A138&gt;=SYear_O, $A138&lt;=EYear_O, AU$3&gt;0), AU$3 * VLOOKUP($A138, Data_All!$A$8:$CA$153, MATCH(AU$2, Data_All!$B$2:$CA$2, 0)+1), "")</f>
        <v/>
      </c>
      <c r="AV138" s="206" t="str">
        <f>IF(AND($A138&gt;=SYear_O, $A138&lt;=EYear_O, AV$3&gt;0), AV$3 * VLOOKUP($A138, Data_All!$A$8:$CA$153, MATCH(AV$2, Data_All!$B$2:$CA$2, 0)+1), "")</f>
        <v/>
      </c>
      <c r="AW138" s="206" t="str">
        <f>IF(AND($A138&gt;=SYear_O, $A138&lt;=EYear_O, AW$3&gt;0), AW$3 * VLOOKUP($A138, Data_All!$A$8:$CA$153, MATCH(AW$2, Data_All!$B$2:$CA$2, 0)+1), "")</f>
        <v/>
      </c>
      <c r="AX138" s="206" t="str">
        <f>IF(AND($A138&gt;=SYear_O, $A138&lt;=EYear_O, AX$3&gt;0), AX$3 * VLOOKUP($A138, Data_All!$A$8:$CA$153, MATCH(AX$2, Data_All!$B$2:$CA$2, 0)+1), "")</f>
        <v/>
      </c>
      <c r="AY138" s="206" t="str">
        <f>IF(AND($A138&gt;=SYear_O, $A138&lt;=EYear_O, AY$3&gt;0), AY$3 * VLOOKUP($A138, Data_All!$A$8:$CA$153, MATCH(AY$2, Data_All!$B$2:$CA$2, 0)+1), "")</f>
        <v/>
      </c>
      <c r="AZ138" s="206" t="str">
        <f>IF(AND($A138&gt;=SYear_O, $A138&lt;=EYear_O, AZ$3&gt;0), AZ$3 * VLOOKUP($A138, Data_All!$A$8:$CA$153, MATCH(AZ$2, Data_All!$B$2:$CA$2, 0)+1), "")</f>
        <v/>
      </c>
      <c r="BA138" s="206" t="str">
        <f>IF(AND($A138&gt;=SYear_O, $A138&lt;=EYear_O, BA$3&gt;0), BA$3 * VLOOKUP($A138, Data_All!$A$8:$CA$153, MATCH(BA$2, Data_All!$B$2:$CA$2, 0)+1), "")</f>
        <v/>
      </c>
      <c r="BB138" s="206" t="str">
        <f>IF(AND($A138&gt;=SYear_O, $A138&lt;=EYear_O, BB$3&gt;0), BB$3 * VLOOKUP($A138, Data_All!$A$8:$CA$153, MATCH(BB$2, Data_All!$B$2:$CA$2, 0)+1), "")</f>
        <v/>
      </c>
      <c r="BC138" s="206" t="str">
        <f>IF(AND($A138&gt;=SYear_O, $A138&lt;=EYear_O, BC$3&gt;0), BC$3 * VLOOKUP($A138, Data_All!$A$8:$CA$153, MATCH(BC$2, Data_All!$B$2:$CA$2, 0)+1), "")</f>
        <v/>
      </c>
      <c r="BD138" s="206" t="str">
        <f>IF(AND($A138&gt;=SYear_O, $A138&lt;=EYear_O, BD$3&gt;0), BD$3 * VLOOKUP($A138, Data_All!$A$8:$CA$153, MATCH(BD$2, Data_All!$B$2:$CA$2, 0)+1), "")</f>
        <v/>
      </c>
      <c r="BE138" s="206" t="str">
        <f>IF(AND($A138&gt;=SYear_O, $A138&lt;=EYear_O, BE$3&gt;0), BE$3 * VLOOKUP($A138, Data_All!$A$8:$CA$153, MATCH(BE$2, Data_All!$B$2:$CA$2, 0)+1), "")</f>
        <v/>
      </c>
      <c r="BF138" s="206" t="str">
        <f>IF(AND($A138&gt;=SYear_O, $A138&lt;=EYear_O, BF$3&gt;0), BF$3 * VLOOKUP($A138, Data_All!$A$8:$CA$153, MATCH(BF$2, Data_All!$B$2:$CA$2, 0)+1), "")</f>
        <v/>
      </c>
      <c r="BG138" s="206" t="str">
        <f>IF(AND($A138&gt;=SYear_O, $A138&lt;=EYear_O, BG$3&gt;0), BG$3 * VLOOKUP($A138, Data_All!$A$8:$CA$153, MATCH(BG$2, Data_All!$B$2:$CA$2, 0)+1), "")</f>
        <v/>
      </c>
      <c r="BH138" s="206" t="str">
        <f>IF(AND($A138&gt;=SYear_O, $A138&lt;=EYear_O, BH$3&gt;0), BH$3 * VLOOKUP($A138, Data_All!$A$8:$CA$153, MATCH(BH$2, Data_All!$B$2:$CA$2, 0)+1), "")</f>
        <v/>
      </c>
      <c r="BI138" s="206" t="str">
        <f>IF(AND($A138&gt;=SYear_O, $A138&lt;=EYear_O, BI$3&gt;0), BI$3 * VLOOKUP($A138, Data_All!$A$8:$CA$153, MATCH(BI$2, Data_All!$B$2:$CA$2, 0)+1), "")</f>
        <v/>
      </c>
      <c r="BJ138" s="206" t="str">
        <f>IF(AND($A138&gt;=SYear_O, $A138&lt;=EYear_O, BJ$3&gt;0), BJ$3 * VLOOKUP($A138, Data_All!$A$8:$CA$153, MATCH(BJ$2, Data_All!$B$2:$CA$2, 0)+1), "")</f>
        <v/>
      </c>
      <c r="BK138" s="206" t="str">
        <f>IF(AND($A138&gt;=SYear_O, $A138&lt;=EYear_O, BK$3&gt;0), BK$3 * VLOOKUP($A138, Data_All!$A$8:$CA$153, MATCH(BK$2, Data_All!$B$2:$CA$2, 0)+1), "")</f>
        <v/>
      </c>
      <c r="BL138" s="206" t="str">
        <f>IF(AND($A138&gt;=SYear_O, $A138&lt;=EYear_O, BL$3&gt;0), BL$3 * VLOOKUP($A138, Data_All!$A$8:$CA$153, MATCH(BL$2, Data_All!$B$2:$CA$2, 0)+1), "")</f>
        <v/>
      </c>
      <c r="BM138" s="206" t="str">
        <f>IF(AND($A138&gt;=SYear_O, $A138&lt;=EYear_O, BM$3&gt;0), BM$3 * VLOOKUP($A138, Data_All!$A$8:$CA$153, MATCH(BM$2, Data_All!$B$2:$CA$2, 0)+1), "")</f>
        <v/>
      </c>
      <c r="BN138" s="206" t="str">
        <f>IF(AND($A138&gt;=SYear_O, $A138&lt;=EYear_O, BN$3&gt;0), BN$3 * VLOOKUP($A138, Data_All!$A$8:$CA$153, MATCH(BN$2, Data_All!$B$2:$CA$2, 0)+1), "")</f>
        <v/>
      </c>
      <c r="BO138" s="206" t="str">
        <f>IF(AND($A138&gt;=SYear_O, $A138&lt;=EYear_O, BO$3&gt;0), BO$3 * VLOOKUP($A138, Data_All!$A$8:$CA$153, MATCH(BO$2, Data_All!$B$2:$CA$2, 0)+1), "")</f>
        <v/>
      </c>
      <c r="BP138" s="206" t="str">
        <f>IF(AND($A138&gt;=SYear_O, $A138&lt;=EYear_O, BP$3&gt;0), BP$3 * VLOOKUP($A138, Data_All!$A$8:$CA$153, MATCH(BP$2, Data_All!$B$2:$CA$2, 0)+1), "")</f>
        <v/>
      </c>
      <c r="BQ138" s="206" t="str">
        <f>IF(AND($A138&gt;=SYear_O, $A138&lt;=EYear_O, BQ$3&gt;0), BQ$3 * VLOOKUP($A138, Data_All!$A$8:$CA$153, MATCH(BQ$2, Data_All!$B$2:$CA$2, 0)+1), "")</f>
        <v/>
      </c>
      <c r="BR138" s="206" t="str">
        <f>IF(AND($A138&gt;=SYear_O, $A138&lt;=EYear_O, BR$3&gt;0), BR$3 * VLOOKUP($A138, Data_All!$A$8:$CA$153, MATCH(BR$2, Data_All!$B$2:$CA$2, 0)+1), "")</f>
        <v/>
      </c>
      <c r="BS138" s="206" t="str">
        <f>IF(AND($A138&gt;=SYear_O, $A138&lt;=EYear_O, BS$3&gt;0), BS$3 * VLOOKUP($A138, Data_All!$A$8:$CA$153, MATCH(BS$2, Data_All!$B$2:$CA$2, 0)+1), "")</f>
        <v/>
      </c>
      <c r="BT138" s="206" t="str">
        <f>IF(AND($A138&gt;=SYear_O, $A138&lt;=EYear_O, BT$3&gt;0), BT$3 * VLOOKUP($A138, Data_All!$A$8:$CA$153, MATCH(BT$2, Data_All!$B$2:$CA$2, 0)+1), "")</f>
        <v/>
      </c>
      <c r="BU138" s="206" t="str">
        <f>IF(AND($A138&gt;=SYear_O, $A138&lt;=EYear_O, BU$3&gt;0), BU$3 * VLOOKUP($A138, Data_All!$A$8:$CA$153, MATCH(BU$2, Data_All!$B$2:$CA$2, 0)+1), "")</f>
        <v/>
      </c>
      <c r="BV138" s="206" t="str">
        <f>IF(AND($A138&gt;=SYear_O, $A138&lt;=EYear_O, BV$3&gt;0), BV$3 * VLOOKUP($A138, Data_All!$A$8:$CA$153, MATCH(BV$2, Data_All!$B$2:$CA$2, 0)+1), "")</f>
        <v/>
      </c>
      <c r="BW138" s="206" t="str">
        <f>IF(AND($A138&gt;=SYear_O, $A138&lt;=EYear_O, BW$3&gt;0), BW$3 * VLOOKUP($A138, Data_All!$A$8:$CA$153, MATCH(BW$2, Data_All!$B$2:$CA$2, 0)+1), "")</f>
        <v/>
      </c>
      <c r="BX138" s="206">
        <f>IF(AND($A138&gt;=SYear_O, $A138&lt;=EYear_O, BX$3&gt;0), BX$3 * VLOOKUP($A138, Data_All!$A$8:$CA$153, MATCH(BX$2, Data_All!$B$2:$CA$2, 0)+1), "")</f>
        <v>-12.013576446444075</v>
      </c>
      <c r="BY138" s="206">
        <f>IF(AND($A138&gt;=SYear_O, $A138&lt;=EYear_O, BY$3&gt;0), BY$3 * VLOOKUP($A138, Data_All!$A$8:$CA$153, MATCH(BY$2, Data_All!$B$2:$CA$2, 0)+1), "")</f>
        <v>4.3182928468570925</v>
      </c>
      <c r="BZ138" s="206" t="str">
        <f>IF(AND($A138&gt;=SYear_O, $A138&lt;=EYear_O, BZ$3&gt;0), BZ$3 * VLOOKUP($A138, Data_All!$A$8:$CA$153, MATCH(BZ$2, Data_All!$B$2:$CA$2, 0)+1), "")</f>
        <v/>
      </c>
      <c r="CA138" s="565">
        <f t="shared" si="68"/>
        <v>-7.6952835995869826</v>
      </c>
      <c r="CB138" s="427">
        <f t="shared" si="69"/>
        <v>157466212.91375217</v>
      </c>
      <c r="CC138" s="565">
        <f>IF(AND($A138&gt;=SYear_O,$A138&lt;=EYear_O),(CA138-Data_All!CA139)/(1+Data_All!CA139%),"")</f>
        <v>-9.8383450085517961</v>
      </c>
      <c r="CD138" s="436">
        <f t="shared" si="70"/>
        <v>10849466.463217225</v>
      </c>
      <c r="CE138" s="438">
        <f t="shared" si="71"/>
        <v>14282.065642748057</v>
      </c>
      <c r="CF138" s="438">
        <f>IF(AND($A138&gt;=SYear_O,$A138&lt;=EYear_O),MAX($CE$7:CE138),"")</f>
        <v>16298.56346192049</v>
      </c>
      <c r="CG138" s="209">
        <f t="shared" si="72"/>
        <v>0.1237224264508785</v>
      </c>
      <c r="CI138" s="143">
        <f>IF(AND($A138&gt;=SYear_O,$A138&lt;=EYear_O),Data_All!V139,"")</f>
        <v>1.51</v>
      </c>
      <c r="CJ138" s="143">
        <f>IF(AND($A138&gt;=SYear_O,$A138&lt;=EYear_O),Data_All!CA139,"")</f>
        <v>2.3769100169779289</v>
      </c>
      <c r="CK138" s="143">
        <f t="shared" si="73"/>
        <v>-0.8467827529021561</v>
      </c>
      <c r="CN138" s="61">
        <f t="shared" si="58"/>
        <v>-7.6952835995869884E-2</v>
      </c>
      <c r="CO138" s="61">
        <f t="shared" si="59"/>
        <v>4.6018797363405639E-2</v>
      </c>
      <c r="CP138" s="61">
        <f t="shared" si="60"/>
        <v>5.9332505779947864E-2</v>
      </c>
      <c r="CQ138" s="61">
        <f t="shared" si="61"/>
        <v>4.9818388013323167E-2</v>
      </c>
      <c r="CR138" s="61"/>
      <c r="CU138" s="61">
        <f t="shared" si="63"/>
        <v>-9.8383450085517965E-2</v>
      </c>
      <c r="CV138" s="61">
        <f t="shared" si="64"/>
        <v>2.0482142697573646E-2</v>
      </c>
      <c r="CW138" s="61">
        <f t="shared" si="65"/>
        <v>3.1562097133556399E-2</v>
      </c>
      <c r="CX138" s="61">
        <f t="shared" si="66"/>
        <v>2.4448338722329321E-2</v>
      </c>
      <c r="CY138" s="61"/>
    </row>
    <row r="139" spans="1:103">
      <c r="A139" s="204">
        <f t="shared" si="51"/>
        <v>2003</v>
      </c>
      <c r="B139" s="206" t="str">
        <f>IF(AND($A139&gt;=SYear_O, $A139&lt;=EYear_O, B$3&gt;0), B$3 * VLOOKUP($A139, Data_All!$A$8:$CA$153, MATCH(B$2, Data_All!$B$2:$CA$2, 0)+1), "")</f>
        <v/>
      </c>
      <c r="C139" s="206" t="str">
        <f>IF(AND($A139&gt;=SYear_O, $A139&lt;=EYear_O, C$3&gt;0), C$3 * VLOOKUP($A139, Data_All!$A$8:$CA$153, MATCH(C$2, Data_All!$B$2:$CA$2, 0)+1), "")</f>
        <v/>
      </c>
      <c r="D139" s="206" t="str">
        <f>IF(AND($A139&gt;=SYear_O, $A139&lt;=EYear_O, D$3&gt;0), D$3 * VLOOKUP($A139, Data_All!$A$8:$CA$153, MATCH(D$2, Data_All!$B$2:$CA$2, 0)+1), "")</f>
        <v/>
      </c>
      <c r="E139" s="206" t="str">
        <f>IF(AND($A139&gt;=SYear_O, $A139&lt;=EYear_O, E$3&gt;0), E$3 * VLOOKUP($A139, Data_All!$A$8:$CA$153, MATCH(E$2, Data_All!$B$2:$CA$2, 0)+1), "")</f>
        <v/>
      </c>
      <c r="F139" s="206" t="str">
        <f>IF(AND($A139&gt;=SYear_O, $A139&lt;=EYear_O, F$3&gt;0), F$3 * VLOOKUP($A139, Data_All!$A$8:$CA$153, MATCH(F$2, Data_All!$B$2:$CA$2, 0)+1), "")</f>
        <v/>
      </c>
      <c r="G139" s="206" t="str">
        <f>IF(AND($A139&gt;=SYear_O, $A139&lt;=EYear_O, G$3&gt;0), G$3 * VLOOKUP($A139, Data_All!$A$8:$CA$153, MATCH(G$2, Data_All!$B$2:$CA$2, 0)+1), "")</f>
        <v/>
      </c>
      <c r="H139" s="206" t="str">
        <f>IF(AND($A139&gt;=SYear_O, $A139&lt;=EYear_O, H$3&gt;0), H$3 * VLOOKUP($A139, Data_All!$A$8:$CA$153, MATCH(H$2, Data_All!$B$2:$CA$2, 0)+1), "")</f>
        <v/>
      </c>
      <c r="I139" s="206" t="str">
        <f>IF(AND($A139&gt;=SYear_O, $A139&lt;=EYear_O, I$3&gt;0), I$3 * VLOOKUP($A139, Data_All!$A$8:$CA$153, MATCH(I$2, Data_All!$B$2:$CA$2, 0)+1), "")</f>
        <v/>
      </c>
      <c r="J139" s="206" t="str">
        <f>IF(AND($A139&gt;=SYear_O, $A139&lt;=EYear_O, J$3&gt;0), J$3 * VLOOKUP($A139, Data_All!$A$8:$CA$153, MATCH(J$2, Data_All!$B$2:$CA$2, 0)+1), "")</f>
        <v/>
      </c>
      <c r="K139" s="206" t="str">
        <f>IF(AND($A139&gt;=SYear_O, $A139&lt;=EYear_O, K$3&gt;0), K$3 * VLOOKUP($A139, Data_All!$A$8:$CA$153, MATCH(K$2, Data_All!$B$2:$CA$2, 0)+1), "")</f>
        <v/>
      </c>
      <c r="L139" s="206" t="str">
        <f>IF(AND($A139&gt;=SYear_O, $A139&lt;=EYear_O, L$3&gt;0), L$3 * VLOOKUP($A139, Data_All!$A$8:$CA$153, MATCH(L$2, Data_All!$B$2:$CA$2, 0)+1), "")</f>
        <v/>
      </c>
      <c r="M139" s="206" t="str">
        <f>IF(AND($A139&gt;=SYear_O, $A139&lt;=EYear_O, M$3&gt;0), M$3 * VLOOKUP($A139, Data_All!$A$8:$CA$153, MATCH(M$2, Data_All!$B$2:$CA$2, 0)+1), "")</f>
        <v/>
      </c>
      <c r="N139" s="206" t="str">
        <f>IF(AND($A139&gt;=SYear_O, $A139&lt;=EYear_O, N$3&gt;0), N$3 * VLOOKUP($A139, Data_All!$A$8:$CA$153, MATCH(N$2, Data_All!$B$2:$CA$2, 0)+1), "")</f>
        <v/>
      </c>
      <c r="O139" s="206" t="str">
        <f>IF(AND($A139&gt;=SYear_O, $A139&lt;=EYear_O, O$3&gt;0), O$3 * VLOOKUP($A139, Data_All!$A$8:$CA$153, MATCH(O$2, Data_All!$B$2:$CA$2, 0)+1), "")</f>
        <v/>
      </c>
      <c r="P139" s="206" t="str">
        <f>IF(AND($A139&gt;=SYear_O, $A139&lt;=EYear_O, P$3&gt;0), P$3 * VLOOKUP($A139, Data_All!$A$8:$CA$153, MATCH(P$2, Data_All!$B$2:$CA$2, 0)+1), "")</f>
        <v/>
      </c>
      <c r="Q139" s="206" t="str">
        <f>IF(AND($A139&gt;=SYear_O, $A139&lt;=EYear_O, Q$3&gt;0), Q$3 * VLOOKUP($A139, Data_All!$A$8:$CA$153, MATCH(Q$2, Data_All!$B$2:$CA$2, 0)+1), "")</f>
        <v/>
      </c>
      <c r="R139" s="206" t="str">
        <f>IF(AND($A139&gt;=SYear_O, $A139&lt;=EYear_O, R$3&gt;0), R$3 * VLOOKUP($A139, Data_All!$A$8:$CA$153, MATCH(R$2, Data_All!$B$2:$CA$2, 0)+1), "")</f>
        <v/>
      </c>
      <c r="S139" s="206" t="str">
        <f>IF(AND($A139&gt;=SYear_O, $A139&lt;=EYear_O, S$3&gt;0), S$3 * VLOOKUP($A139, Data_All!$A$8:$CA$153, MATCH(S$2, Data_All!$B$2:$CA$2, 0)+1), "")</f>
        <v/>
      </c>
      <c r="T139" s="206" t="str">
        <f>IF(AND($A139&gt;=SYear_O, $A139&lt;=EYear_O, T$3&gt;0), T$3 * VLOOKUP($A139, Data_All!$A$8:$CA$153, MATCH(T$2, Data_All!$B$2:$CA$2, 0)+1), "")</f>
        <v/>
      </c>
      <c r="U139" s="206" t="str">
        <f>IF(AND($A139&gt;=SYear_O, $A139&lt;=EYear_O, U$3&gt;0), U$3 * VLOOKUP($A139, Data_All!$A$8:$CA$153, MATCH(U$2, Data_All!$B$2:$CA$2, 0)+1), "")</f>
        <v/>
      </c>
      <c r="V139" s="206" t="str">
        <f>IF(AND($A139&gt;=SYear_O, $A139&lt;=EYear_O, V$3&gt;0), V$3 * VLOOKUP($A139, Data_All!$A$8:$CA$153, MATCH(V$2, Data_All!$B$2:$CA$2, 0)+1), "")</f>
        <v/>
      </c>
      <c r="W139" s="206" t="str">
        <f>IF(AND($A139&gt;=SYear_O, $A139&lt;=EYear_O, W$3&gt;0), W$3 * VLOOKUP($A139, Data_All!$A$8:$CA$153, MATCH(W$2, Data_All!$B$2:$CA$2, 0)+1), "")</f>
        <v/>
      </c>
      <c r="X139" s="206" t="str">
        <f>IF(AND($A139&gt;=SYear_O, $A139&lt;=EYear_O, X$3&gt;0), X$3 * VLOOKUP($A139, Data_All!$A$8:$CA$153, MATCH(X$2, Data_All!$B$2:$CA$2, 0)+1), "")</f>
        <v/>
      </c>
      <c r="Y139" s="206" t="str">
        <f>IF(AND($A139&gt;=SYear_O, $A139&lt;=EYear_O, Y$3&gt;0), Y$3 * VLOOKUP($A139, Data_All!$A$8:$CA$153, MATCH(Y$2, Data_All!$B$2:$CA$2, 0)+1), "")</f>
        <v/>
      </c>
      <c r="Z139" s="206" t="str">
        <f>IF(AND($A139&gt;=SYear_O, $A139&lt;=EYear_O, Z$3&gt;0), Z$3 * VLOOKUP($A139, Data_All!$A$8:$CA$153, MATCH(Z$2, Data_All!$B$2:$CA$2, 0)+1), "")</f>
        <v/>
      </c>
      <c r="AA139" s="206" t="str">
        <f>IF(AND($A139&gt;=SYear_O, $A139&lt;=EYear_O, AA$3&gt;0), AA$3 * VLOOKUP($A139, Data_All!$A$8:$CA$153, MATCH(AA$2, Data_All!$B$2:$CA$2, 0)+1), "")</f>
        <v/>
      </c>
      <c r="AB139" s="206" t="str">
        <f>IF(AND($A139&gt;=SYear_O, $A139&lt;=EYear_O, AB$3&gt;0), AB$3 * VLOOKUP($A139, Data_All!$A$8:$CA$153, MATCH(AB$2, Data_All!$B$2:$CA$2, 0)+1), "")</f>
        <v/>
      </c>
      <c r="AC139" s="206" t="str">
        <f>IF(AND($A139&gt;=SYear_O, $A139&lt;=EYear_O, AC$3&gt;0), AC$3 * VLOOKUP($A139, Data_All!$A$8:$CA$153, MATCH(AC$2, Data_All!$B$2:$CA$2, 0)+1), "")</f>
        <v/>
      </c>
      <c r="AD139" s="206" t="str">
        <f>IF(AND($A139&gt;=SYear_O, $A139&lt;=EYear_O, AD$3&gt;0), AD$3 * VLOOKUP($A139, Data_All!$A$8:$CA$153, MATCH(AD$2, Data_All!$B$2:$CA$2, 0)+1), "")</f>
        <v/>
      </c>
      <c r="AE139" s="206" t="str">
        <f>IF(AND($A139&gt;=SYear_O, $A139&lt;=EYear_O, AE$3&gt;0), AE$3 * VLOOKUP($A139, Data_All!$A$8:$CA$153, MATCH(AE$2, Data_All!$B$2:$CA$2, 0)+1), "")</f>
        <v/>
      </c>
      <c r="AF139" s="206" t="str">
        <f>IF(AND($A139&gt;=SYear_O, $A139&lt;=EYear_O, AF$3&gt;0), AF$3 * VLOOKUP($A139, Data_All!$A$8:$CA$153, MATCH(AF$2, Data_All!$B$2:$CA$2, 0)+1), "")</f>
        <v/>
      </c>
      <c r="AG139" s="206" t="str">
        <f>IF(AND($A139&gt;=SYear_O, $A139&lt;=EYear_O, AG$3&gt;0), AG$3 * VLOOKUP($A139, Data_All!$A$8:$CA$153, MATCH(AG$2, Data_All!$B$2:$CA$2, 0)+1), "")</f>
        <v/>
      </c>
      <c r="AH139" s="206" t="str">
        <f>IF(AND($A139&gt;=SYear_O, $A139&lt;=EYear_O, AH$3&gt;0), AH$3 * VLOOKUP($A139, Data_All!$A$8:$CA$153, MATCH(AH$2, Data_All!$B$2:$CA$2, 0)+1), "")</f>
        <v/>
      </c>
      <c r="AI139" s="206" t="str">
        <f>IF(AND($A139&gt;=SYear_O, $A139&lt;=EYear_O, AI$3&gt;0), AI$3 * VLOOKUP($A139, Data_All!$A$8:$CA$153, MATCH(AI$2, Data_All!$B$2:$CA$2, 0)+1), "")</f>
        <v/>
      </c>
      <c r="AJ139" s="206" t="str">
        <f>IF(AND($A139&gt;=SYear_O, $A139&lt;=EYear_O, AJ$3&gt;0), AJ$3 * VLOOKUP($A139, Data_All!$A$8:$CA$153, MATCH(AJ$2, Data_All!$B$2:$CA$2, 0)+1), "")</f>
        <v/>
      </c>
      <c r="AK139" s="206" t="str">
        <f>IF(AND($A139&gt;=SYear_O, $A139&lt;=EYear_O, AK$3&gt;0), AK$3 * VLOOKUP($A139, Data_All!$A$8:$CA$153, MATCH(AK$2, Data_All!$B$2:$CA$2, 0)+1), "")</f>
        <v/>
      </c>
      <c r="AL139" s="206" t="str">
        <f>IF(AND($A139&gt;=SYear_O, $A139&lt;=EYear_O, AL$3&gt;0), AL$3 * VLOOKUP($A139, Data_All!$A$8:$CA$153, MATCH(AL$2, Data_All!$B$2:$CA$2, 0)+1), "")</f>
        <v/>
      </c>
      <c r="AM139" s="206" t="str">
        <f>IF(AND($A139&gt;=SYear_O, $A139&lt;=EYear_O, AM$3&gt;0), AM$3 * VLOOKUP($A139, Data_All!$A$8:$CA$153, MATCH(AM$2, Data_All!$B$2:$CA$2, 0)+1), "")</f>
        <v/>
      </c>
      <c r="AN139" s="206" t="str">
        <f>IF(AND($A139&gt;=SYear_O, $A139&lt;=EYear_O, AN$3&gt;0), AN$3 * VLOOKUP($A139, Data_All!$A$8:$CA$153, MATCH(AN$2, Data_All!$B$2:$CA$2, 0)+1), "")</f>
        <v/>
      </c>
      <c r="AO139" s="206" t="str">
        <f>IF(AND($A139&gt;=SYear_O, $A139&lt;=EYear_O, AO$3&gt;0), AO$3 * VLOOKUP($A139, Data_All!$A$8:$CA$153, MATCH(AO$2, Data_All!$B$2:$CA$2, 0)+1), "")</f>
        <v/>
      </c>
      <c r="AP139" s="206" t="str">
        <f>IF(AND($A139&gt;=SYear_O, $A139&lt;=EYear_O, AP$3&gt;0), AP$3 * VLOOKUP($A139, Data_All!$A$8:$CA$153, MATCH(AP$2, Data_All!$B$2:$CA$2, 0)+1), "")</f>
        <v/>
      </c>
      <c r="AQ139" s="206" t="str">
        <f>IF(AND($A139&gt;=SYear_O, $A139&lt;=EYear_O, AQ$3&gt;0), AQ$3 * VLOOKUP($A139, Data_All!$A$8:$CA$153, MATCH(AQ$2, Data_All!$B$2:$CA$2, 0)+1), "")</f>
        <v/>
      </c>
      <c r="AR139" s="206" t="str">
        <f>IF(AND($A139&gt;=SYear_O, $A139&lt;=EYear_O, AR$3&gt;0), AR$3 * VLOOKUP($A139, Data_All!$A$8:$CA$153, MATCH(AR$2, Data_All!$B$2:$CA$2, 0)+1), "")</f>
        <v/>
      </c>
      <c r="AS139" s="206" t="str">
        <f>IF(AND($A139&gt;=SYear_O, $A139&lt;=EYear_O, AS$3&gt;0), AS$3 * VLOOKUP($A139, Data_All!$A$8:$CA$153, MATCH(AS$2, Data_All!$B$2:$CA$2, 0)+1), "")</f>
        <v/>
      </c>
      <c r="AT139" s="206" t="str">
        <f>IF(AND($A139&gt;=SYear_O, $A139&lt;=EYear_O, AT$3&gt;0), AT$3 * VLOOKUP($A139, Data_All!$A$8:$CA$153, MATCH(AT$2, Data_All!$B$2:$CA$2, 0)+1), "")</f>
        <v/>
      </c>
      <c r="AU139" s="206" t="str">
        <f>IF(AND($A139&gt;=SYear_O, $A139&lt;=EYear_O, AU$3&gt;0), AU$3 * VLOOKUP($A139, Data_All!$A$8:$CA$153, MATCH(AU$2, Data_All!$B$2:$CA$2, 0)+1), "")</f>
        <v/>
      </c>
      <c r="AV139" s="206" t="str">
        <f>IF(AND($A139&gt;=SYear_O, $A139&lt;=EYear_O, AV$3&gt;0), AV$3 * VLOOKUP($A139, Data_All!$A$8:$CA$153, MATCH(AV$2, Data_All!$B$2:$CA$2, 0)+1), "")</f>
        <v/>
      </c>
      <c r="AW139" s="206" t="str">
        <f>IF(AND($A139&gt;=SYear_O, $A139&lt;=EYear_O, AW$3&gt;0), AW$3 * VLOOKUP($A139, Data_All!$A$8:$CA$153, MATCH(AW$2, Data_All!$B$2:$CA$2, 0)+1), "")</f>
        <v/>
      </c>
      <c r="AX139" s="206" t="str">
        <f>IF(AND($A139&gt;=SYear_O, $A139&lt;=EYear_O, AX$3&gt;0), AX$3 * VLOOKUP($A139, Data_All!$A$8:$CA$153, MATCH(AX$2, Data_All!$B$2:$CA$2, 0)+1), "")</f>
        <v/>
      </c>
      <c r="AY139" s="206" t="str">
        <f>IF(AND($A139&gt;=SYear_O, $A139&lt;=EYear_O, AY$3&gt;0), AY$3 * VLOOKUP($A139, Data_All!$A$8:$CA$153, MATCH(AY$2, Data_All!$B$2:$CA$2, 0)+1), "")</f>
        <v/>
      </c>
      <c r="AZ139" s="206" t="str">
        <f>IF(AND($A139&gt;=SYear_O, $A139&lt;=EYear_O, AZ$3&gt;0), AZ$3 * VLOOKUP($A139, Data_All!$A$8:$CA$153, MATCH(AZ$2, Data_All!$B$2:$CA$2, 0)+1), "")</f>
        <v/>
      </c>
      <c r="BA139" s="206" t="str">
        <f>IF(AND($A139&gt;=SYear_O, $A139&lt;=EYear_O, BA$3&gt;0), BA$3 * VLOOKUP($A139, Data_All!$A$8:$CA$153, MATCH(BA$2, Data_All!$B$2:$CA$2, 0)+1), "")</f>
        <v/>
      </c>
      <c r="BB139" s="206" t="str">
        <f>IF(AND($A139&gt;=SYear_O, $A139&lt;=EYear_O, BB$3&gt;0), BB$3 * VLOOKUP($A139, Data_All!$A$8:$CA$153, MATCH(BB$2, Data_All!$B$2:$CA$2, 0)+1), "")</f>
        <v/>
      </c>
      <c r="BC139" s="206" t="str">
        <f>IF(AND($A139&gt;=SYear_O, $A139&lt;=EYear_O, BC$3&gt;0), BC$3 * VLOOKUP($A139, Data_All!$A$8:$CA$153, MATCH(BC$2, Data_All!$B$2:$CA$2, 0)+1), "")</f>
        <v/>
      </c>
      <c r="BD139" s="206" t="str">
        <f>IF(AND($A139&gt;=SYear_O, $A139&lt;=EYear_O, BD$3&gt;0), BD$3 * VLOOKUP($A139, Data_All!$A$8:$CA$153, MATCH(BD$2, Data_All!$B$2:$CA$2, 0)+1), "")</f>
        <v/>
      </c>
      <c r="BE139" s="206" t="str">
        <f>IF(AND($A139&gt;=SYear_O, $A139&lt;=EYear_O, BE$3&gt;0), BE$3 * VLOOKUP($A139, Data_All!$A$8:$CA$153, MATCH(BE$2, Data_All!$B$2:$CA$2, 0)+1), "")</f>
        <v/>
      </c>
      <c r="BF139" s="206" t="str">
        <f>IF(AND($A139&gt;=SYear_O, $A139&lt;=EYear_O, BF$3&gt;0), BF$3 * VLOOKUP($A139, Data_All!$A$8:$CA$153, MATCH(BF$2, Data_All!$B$2:$CA$2, 0)+1), "")</f>
        <v/>
      </c>
      <c r="BG139" s="206" t="str">
        <f>IF(AND($A139&gt;=SYear_O, $A139&lt;=EYear_O, BG$3&gt;0), BG$3 * VLOOKUP($A139, Data_All!$A$8:$CA$153, MATCH(BG$2, Data_All!$B$2:$CA$2, 0)+1), "")</f>
        <v/>
      </c>
      <c r="BH139" s="206" t="str">
        <f>IF(AND($A139&gt;=SYear_O, $A139&lt;=EYear_O, BH$3&gt;0), BH$3 * VLOOKUP($A139, Data_All!$A$8:$CA$153, MATCH(BH$2, Data_All!$B$2:$CA$2, 0)+1), "")</f>
        <v/>
      </c>
      <c r="BI139" s="206" t="str">
        <f>IF(AND($A139&gt;=SYear_O, $A139&lt;=EYear_O, BI$3&gt;0), BI$3 * VLOOKUP($A139, Data_All!$A$8:$CA$153, MATCH(BI$2, Data_All!$B$2:$CA$2, 0)+1), "")</f>
        <v/>
      </c>
      <c r="BJ139" s="206" t="str">
        <f>IF(AND($A139&gt;=SYear_O, $A139&lt;=EYear_O, BJ$3&gt;0), BJ$3 * VLOOKUP($A139, Data_All!$A$8:$CA$153, MATCH(BJ$2, Data_All!$B$2:$CA$2, 0)+1), "")</f>
        <v/>
      </c>
      <c r="BK139" s="206" t="str">
        <f>IF(AND($A139&gt;=SYear_O, $A139&lt;=EYear_O, BK$3&gt;0), BK$3 * VLOOKUP($A139, Data_All!$A$8:$CA$153, MATCH(BK$2, Data_All!$B$2:$CA$2, 0)+1), "")</f>
        <v/>
      </c>
      <c r="BL139" s="206" t="str">
        <f>IF(AND($A139&gt;=SYear_O, $A139&lt;=EYear_O, BL$3&gt;0), BL$3 * VLOOKUP($A139, Data_All!$A$8:$CA$153, MATCH(BL$2, Data_All!$B$2:$CA$2, 0)+1), "")</f>
        <v/>
      </c>
      <c r="BM139" s="206" t="str">
        <f>IF(AND($A139&gt;=SYear_O, $A139&lt;=EYear_O, BM$3&gt;0), BM$3 * VLOOKUP($A139, Data_All!$A$8:$CA$153, MATCH(BM$2, Data_All!$B$2:$CA$2, 0)+1), "")</f>
        <v/>
      </c>
      <c r="BN139" s="206" t="str">
        <f>IF(AND($A139&gt;=SYear_O, $A139&lt;=EYear_O, BN$3&gt;0), BN$3 * VLOOKUP($A139, Data_All!$A$8:$CA$153, MATCH(BN$2, Data_All!$B$2:$CA$2, 0)+1), "")</f>
        <v/>
      </c>
      <c r="BO139" s="206" t="str">
        <f>IF(AND($A139&gt;=SYear_O, $A139&lt;=EYear_O, BO$3&gt;0), BO$3 * VLOOKUP($A139, Data_All!$A$8:$CA$153, MATCH(BO$2, Data_All!$B$2:$CA$2, 0)+1), "")</f>
        <v/>
      </c>
      <c r="BP139" s="206" t="str">
        <f>IF(AND($A139&gt;=SYear_O, $A139&lt;=EYear_O, BP$3&gt;0), BP$3 * VLOOKUP($A139, Data_All!$A$8:$CA$153, MATCH(BP$2, Data_All!$B$2:$CA$2, 0)+1), "")</f>
        <v/>
      </c>
      <c r="BQ139" s="206" t="str">
        <f>IF(AND($A139&gt;=SYear_O, $A139&lt;=EYear_O, BQ$3&gt;0), BQ$3 * VLOOKUP($A139, Data_All!$A$8:$CA$153, MATCH(BQ$2, Data_All!$B$2:$CA$2, 0)+1), "")</f>
        <v/>
      </c>
      <c r="BR139" s="206" t="str">
        <f>IF(AND($A139&gt;=SYear_O, $A139&lt;=EYear_O, BR$3&gt;0), BR$3 * VLOOKUP($A139, Data_All!$A$8:$CA$153, MATCH(BR$2, Data_All!$B$2:$CA$2, 0)+1), "")</f>
        <v/>
      </c>
      <c r="BS139" s="206" t="str">
        <f>IF(AND($A139&gt;=SYear_O, $A139&lt;=EYear_O, BS$3&gt;0), BS$3 * VLOOKUP($A139, Data_All!$A$8:$CA$153, MATCH(BS$2, Data_All!$B$2:$CA$2, 0)+1), "")</f>
        <v/>
      </c>
      <c r="BT139" s="206" t="str">
        <f>IF(AND($A139&gt;=SYear_O, $A139&lt;=EYear_O, BT$3&gt;0), BT$3 * VLOOKUP($A139, Data_All!$A$8:$CA$153, MATCH(BT$2, Data_All!$B$2:$CA$2, 0)+1), "")</f>
        <v/>
      </c>
      <c r="BU139" s="206" t="str">
        <f>IF(AND($A139&gt;=SYear_O, $A139&lt;=EYear_O, BU$3&gt;0), BU$3 * VLOOKUP($A139, Data_All!$A$8:$CA$153, MATCH(BU$2, Data_All!$B$2:$CA$2, 0)+1), "")</f>
        <v/>
      </c>
      <c r="BV139" s="206" t="str">
        <f>IF(AND($A139&gt;=SYear_O, $A139&lt;=EYear_O, BV$3&gt;0), BV$3 * VLOOKUP($A139, Data_All!$A$8:$CA$153, MATCH(BV$2, Data_All!$B$2:$CA$2, 0)+1), "")</f>
        <v/>
      </c>
      <c r="BW139" s="206" t="str">
        <f>IF(AND($A139&gt;=SYear_O, $A139&lt;=EYear_O, BW$3&gt;0), BW$3 * VLOOKUP($A139, Data_All!$A$8:$CA$153, MATCH(BW$2, Data_All!$B$2:$CA$2, 0)+1), "")</f>
        <v/>
      </c>
      <c r="BX139" s="206">
        <f>IF(AND($A139&gt;=SYear_O, $A139&lt;=EYear_O, BX$3&gt;0), BX$3 * VLOOKUP($A139, Data_All!$A$8:$CA$153, MATCH(BX$2, Data_All!$B$2:$CA$2, 0)+1), "")</f>
        <v>17.016654759778532</v>
      </c>
      <c r="BY139" s="206">
        <f>IF(AND($A139&gt;=SYear_O, $A139&lt;=EYear_O, BY$3&gt;0), BY$3 * VLOOKUP($A139, Data_All!$A$8:$CA$153, MATCH(BY$2, Data_All!$B$2:$CA$2, 0)+1), "")</f>
        <v>1.6055153470520978</v>
      </c>
      <c r="BZ139" s="206" t="str">
        <f>IF(AND($A139&gt;=SYear_O, $A139&lt;=EYear_O, BZ$3&gt;0), BZ$3 * VLOOKUP($A139, Data_All!$A$8:$CA$153, MATCH(BZ$2, Data_All!$B$2:$CA$2, 0)+1), "")</f>
        <v/>
      </c>
      <c r="CA139" s="565">
        <f t="shared" si="68"/>
        <v>18.62217010683063</v>
      </c>
      <c r="CB139" s="427">
        <f t="shared" si="69"/>
        <v>186789838.94333521</v>
      </c>
      <c r="CC139" s="565">
        <f>IF(AND($A139&gt;=SYear_O,$A139&lt;=EYear_O),(CA139-Data_All!CA140)/(1+Data_All!CA140%),"")</f>
        <v>16.433806686520121</v>
      </c>
      <c r="CD139" s="436">
        <f t="shared" si="70"/>
        <v>12632446.808301175</v>
      </c>
      <c r="CE139" s="438">
        <f t="shared" si="71"/>
        <v>16941.696201509814</v>
      </c>
      <c r="CF139" s="438">
        <f>IF(AND($A139&gt;=SYear_O,$A139&lt;=EYear_O),MAX($CE$7:CE139),"")</f>
        <v>16941.696201509814</v>
      </c>
      <c r="CG139" s="209">
        <f t="shared" si="72"/>
        <v>0</v>
      </c>
      <c r="CI139" s="143">
        <f>IF(AND($A139&gt;=SYear_O,$A139&lt;=EYear_O),Data_All!V140,"")</f>
        <v>0.82</v>
      </c>
      <c r="CJ139" s="143">
        <f>IF(AND($A139&gt;=SYear_O,$A139&lt;=EYear_O),Data_All!CA140,"")</f>
        <v>1.8794914317302513</v>
      </c>
      <c r="CK139" s="143">
        <f t="shared" si="73"/>
        <v>-1.0399457406402739</v>
      </c>
      <c r="CN139" s="61">
        <f t="shared" si="58"/>
        <v>0.18622170106830627</v>
      </c>
      <c r="CO139" s="61">
        <f t="shared" si="59"/>
        <v>9.8388008141726102E-2</v>
      </c>
      <c r="CP139" s="61">
        <f t="shared" si="60"/>
        <v>8.5141761314525333E-2</v>
      </c>
      <c r="CQ139" s="61">
        <f t="shared" si="61"/>
        <v>6.9072401873518263E-2</v>
      </c>
      <c r="CR139" s="61"/>
      <c r="CU139" s="61">
        <f t="shared" si="63"/>
        <v>0.16433806686520125</v>
      </c>
      <c r="CV139" s="61">
        <f t="shared" si="64"/>
        <v>6.7973001193344817E-2</v>
      </c>
      <c r="CW139" s="61">
        <f t="shared" si="65"/>
        <v>5.3211137615231552E-2</v>
      </c>
      <c r="CX139" s="61">
        <f t="shared" si="66"/>
        <v>4.3887260503656655E-2</v>
      </c>
      <c r="CY139" s="61"/>
    </row>
    <row r="140" spans="1:103">
      <c r="A140" s="204">
        <f t="shared" si="51"/>
        <v>2004</v>
      </c>
      <c r="B140" s="206" t="str">
        <f>IF(AND($A140&gt;=SYear_O, $A140&lt;=EYear_O, B$3&gt;0), B$3 * VLOOKUP($A140, Data_All!$A$8:$CA$153, MATCH(B$2, Data_All!$B$2:$CA$2, 0)+1), "")</f>
        <v/>
      </c>
      <c r="C140" s="206" t="str">
        <f>IF(AND($A140&gt;=SYear_O, $A140&lt;=EYear_O, C$3&gt;0), C$3 * VLOOKUP($A140, Data_All!$A$8:$CA$153, MATCH(C$2, Data_All!$B$2:$CA$2, 0)+1), "")</f>
        <v/>
      </c>
      <c r="D140" s="206" t="str">
        <f>IF(AND($A140&gt;=SYear_O, $A140&lt;=EYear_O, D$3&gt;0), D$3 * VLOOKUP($A140, Data_All!$A$8:$CA$153, MATCH(D$2, Data_All!$B$2:$CA$2, 0)+1), "")</f>
        <v/>
      </c>
      <c r="E140" s="206" t="str">
        <f>IF(AND($A140&gt;=SYear_O, $A140&lt;=EYear_O, E$3&gt;0), E$3 * VLOOKUP($A140, Data_All!$A$8:$CA$153, MATCH(E$2, Data_All!$B$2:$CA$2, 0)+1), "")</f>
        <v/>
      </c>
      <c r="F140" s="206" t="str">
        <f>IF(AND($A140&gt;=SYear_O, $A140&lt;=EYear_O, F$3&gt;0), F$3 * VLOOKUP($A140, Data_All!$A$8:$CA$153, MATCH(F$2, Data_All!$B$2:$CA$2, 0)+1), "")</f>
        <v/>
      </c>
      <c r="G140" s="206" t="str">
        <f>IF(AND($A140&gt;=SYear_O, $A140&lt;=EYear_O, G$3&gt;0), G$3 * VLOOKUP($A140, Data_All!$A$8:$CA$153, MATCH(G$2, Data_All!$B$2:$CA$2, 0)+1), "")</f>
        <v/>
      </c>
      <c r="H140" s="206" t="str">
        <f>IF(AND($A140&gt;=SYear_O, $A140&lt;=EYear_O, H$3&gt;0), H$3 * VLOOKUP($A140, Data_All!$A$8:$CA$153, MATCH(H$2, Data_All!$B$2:$CA$2, 0)+1), "")</f>
        <v/>
      </c>
      <c r="I140" s="206" t="str">
        <f>IF(AND($A140&gt;=SYear_O, $A140&lt;=EYear_O, I$3&gt;0), I$3 * VLOOKUP($A140, Data_All!$A$8:$CA$153, MATCH(I$2, Data_All!$B$2:$CA$2, 0)+1), "")</f>
        <v/>
      </c>
      <c r="J140" s="206" t="str">
        <f>IF(AND($A140&gt;=SYear_O, $A140&lt;=EYear_O, J$3&gt;0), J$3 * VLOOKUP($A140, Data_All!$A$8:$CA$153, MATCH(J$2, Data_All!$B$2:$CA$2, 0)+1), "")</f>
        <v/>
      </c>
      <c r="K140" s="206" t="str">
        <f>IF(AND($A140&gt;=SYear_O, $A140&lt;=EYear_O, K$3&gt;0), K$3 * VLOOKUP($A140, Data_All!$A$8:$CA$153, MATCH(K$2, Data_All!$B$2:$CA$2, 0)+1), "")</f>
        <v/>
      </c>
      <c r="L140" s="206" t="str">
        <f>IF(AND($A140&gt;=SYear_O, $A140&lt;=EYear_O, L$3&gt;0), L$3 * VLOOKUP($A140, Data_All!$A$8:$CA$153, MATCH(L$2, Data_All!$B$2:$CA$2, 0)+1), "")</f>
        <v/>
      </c>
      <c r="M140" s="206" t="str">
        <f>IF(AND($A140&gt;=SYear_O, $A140&lt;=EYear_O, M$3&gt;0), M$3 * VLOOKUP($A140, Data_All!$A$8:$CA$153, MATCH(M$2, Data_All!$B$2:$CA$2, 0)+1), "")</f>
        <v/>
      </c>
      <c r="N140" s="206" t="str">
        <f>IF(AND($A140&gt;=SYear_O, $A140&lt;=EYear_O, N$3&gt;0), N$3 * VLOOKUP($A140, Data_All!$A$8:$CA$153, MATCH(N$2, Data_All!$B$2:$CA$2, 0)+1), "")</f>
        <v/>
      </c>
      <c r="O140" s="206" t="str">
        <f>IF(AND($A140&gt;=SYear_O, $A140&lt;=EYear_O, O$3&gt;0), O$3 * VLOOKUP($A140, Data_All!$A$8:$CA$153, MATCH(O$2, Data_All!$B$2:$CA$2, 0)+1), "")</f>
        <v/>
      </c>
      <c r="P140" s="206" t="str">
        <f>IF(AND($A140&gt;=SYear_O, $A140&lt;=EYear_O, P$3&gt;0), P$3 * VLOOKUP($A140, Data_All!$A$8:$CA$153, MATCH(P$2, Data_All!$B$2:$CA$2, 0)+1), "")</f>
        <v/>
      </c>
      <c r="Q140" s="206" t="str">
        <f>IF(AND($A140&gt;=SYear_O, $A140&lt;=EYear_O, Q$3&gt;0), Q$3 * VLOOKUP($A140, Data_All!$A$8:$CA$153, MATCH(Q$2, Data_All!$B$2:$CA$2, 0)+1), "")</f>
        <v/>
      </c>
      <c r="R140" s="206" t="str">
        <f>IF(AND($A140&gt;=SYear_O, $A140&lt;=EYear_O, R$3&gt;0), R$3 * VLOOKUP($A140, Data_All!$A$8:$CA$153, MATCH(R$2, Data_All!$B$2:$CA$2, 0)+1), "")</f>
        <v/>
      </c>
      <c r="S140" s="206" t="str">
        <f>IF(AND($A140&gt;=SYear_O, $A140&lt;=EYear_O, S$3&gt;0), S$3 * VLOOKUP($A140, Data_All!$A$8:$CA$153, MATCH(S$2, Data_All!$B$2:$CA$2, 0)+1), "")</f>
        <v/>
      </c>
      <c r="T140" s="206" t="str">
        <f>IF(AND($A140&gt;=SYear_O, $A140&lt;=EYear_O, T$3&gt;0), T$3 * VLOOKUP($A140, Data_All!$A$8:$CA$153, MATCH(T$2, Data_All!$B$2:$CA$2, 0)+1), "")</f>
        <v/>
      </c>
      <c r="U140" s="206" t="str">
        <f>IF(AND($A140&gt;=SYear_O, $A140&lt;=EYear_O, U$3&gt;0), U$3 * VLOOKUP($A140, Data_All!$A$8:$CA$153, MATCH(U$2, Data_All!$B$2:$CA$2, 0)+1), "")</f>
        <v/>
      </c>
      <c r="V140" s="206" t="str">
        <f>IF(AND($A140&gt;=SYear_O, $A140&lt;=EYear_O, V$3&gt;0), V$3 * VLOOKUP($A140, Data_All!$A$8:$CA$153, MATCH(V$2, Data_All!$B$2:$CA$2, 0)+1), "")</f>
        <v/>
      </c>
      <c r="W140" s="206" t="str">
        <f>IF(AND($A140&gt;=SYear_O, $A140&lt;=EYear_O, W$3&gt;0), W$3 * VLOOKUP($A140, Data_All!$A$8:$CA$153, MATCH(W$2, Data_All!$B$2:$CA$2, 0)+1), "")</f>
        <v/>
      </c>
      <c r="X140" s="206" t="str">
        <f>IF(AND($A140&gt;=SYear_O, $A140&lt;=EYear_O, X$3&gt;0), X$3 * VLOOKUP($A140, Data_All!$A$8:$CA$153, MATCH(X$2, Data_All!$B$2:$CA$2, 0)+1), "")</f>
        <v/>
      </c>
      <c r="Y140" s="206" t="str">
        <f>IF(AND($A140&gt;=SYear_O, $A140&lt;=EYear_O, Y$3&gt;0), Y$3 * VLOOKUP($A140, Data_All!$A$8:$CA$153, MATCH(Y$2, Data_All!$B$2:$CA$2, 0)+1), "")</f>
        <v/>
      </c>
      <c r="Z140" s="206" t="str">
        <f>IF(AND($A140&gt;=SYear_O, $A140&lt;=EYear_O, Z$3&gt;0), Z$3 * VLOOKUP($A140, Data_All!$A$8:$CA$153, MATCH(Z$2, Data_All!$B$2:$CA$2, 0)+1), "")</f>
        <v/>
      </c>
      <c r="AA140" s="206" t="str">
        <f>IF(AND($A140&gt;=SYear_O, $A140&lt;=EYear_O, AA$3&gt;0), AA$3 * VLOOKUP($A140, Data_All!$A$8:$CA$153, MATCH(AA$2, Data_All!$B$2:$CA$2, 0)+1), "")</f>
        <v/>
      </c>
      <c r="AB140" s="206" t="str">
        <f>IF(AND($A140&gt;=SYear_O, $A140&lt;=EYear_O, AB$3&gt;0), AB$3 * VLOOKUP($A140, Data_All!$A$8:$CA$153, MATCH(AB$2, Data_All!$B$2:$CA$2, 0)+1), "")</f>
        <v/>
      </c>
      <c r="AC140" s="206" t="str">
        <f>IF(AND($A140&gt;=SYear_O, $A140&lt;=EYear_O, AC$3&gt;0), AC$3 * VLOOKUP($A140, Data_All!$A$8:$CA$153, MATCH(AC$2, Data_All!$B$2:$CA$2, 0)+1), "")</f>
        <v/>
      </c>
      <c r="AD140" s="206" t="str">
        <f>IF(AND($A140&gt;=SYear_O, $A140&lt;=EYear_O, AD$3&gt;0), AD$3 * VLOOKUP($A140, Data_All!$A$8:$CA$153, MATCH(AD$2, Data_All!$B$2:$CA$2, 0)+1), "")</f>
        <v/>
      </c>
      <c r="AE140" s="206" t="str">
        <f>IF(AND($A140&gt;=SYear_O, $A140&lt;=EYear_O, AE$3&gt;0), AE$3 * VLOOKUP($A140, Data_All!$A$8:$CA$153, MATCH(AE$2, Data_All!$B$2:$CA$2, 0)+1), "")</f>
        <v/>
      </c>
      <c r="AF140" s="206" t="str">
        <f>IF(AND($A140&gt;=SYear_O, $A140&lt;=EYear_O, AF$3&gt;0), AF$3 * VLOOKUP($A140, Data_All!$A$8:$CA$153, MATCH(AF$2, Data_All!$B$2:$CA$2, 0)+1), "")</f>
        <v/>
      </c>
      <c r="AG140" s="206" t="str">
        <f>IF(AND($A140&gt;=SYear_O, $A140&lt;=EYear_O, AG$3&gt;0), AG$3 * VLOOKUP($A140, Data_All!$A$8:$CA$153, MATCH(AG$2, Data_All!$B$2:$CA$2, 0)+1), "")</f>
        <v/>
      </c>
      <c r="AH140" s="206" t="str">
        <f>IF(AND($A140&gt;=SYear_O, $A140&lt;=EYear_O, AH$3&gt;0), AH$3 * VLOOKUP($A140, Data_All!$A$8:$CA$153, MATCH(AH$2, Data_All!$B$2:$CA$2, 0)+1), "")</f>
        <v/>
      </c>
      <c r="AI140" s="206" t="str">
        <f>IF(AND($A140&gt;=SYear_O, $A140&lt;=EYear_O, AI$3&gt;0), AI$3 * VLOOKUP($A140, Data_All!$A$8:$CA$153, MATCH(AI$2, Data_All!$B$2:$CA$2, 0)+1), "")</f>
        <v/>
      </c>
      <c r="AJ140" s="206" t="str">
        <f>IF(AND($A140&gt;=SYear_O, $A140&lt;=EYear_O, AJ$3&gt;0), AJ$3 * VLOOKUP($A140, Data_All!$A$8:$CA$153, MATCH(AJ$2, Data_All!$B$2:$CA$2, 0)+1), "")</f>
        <v/>
      </c>
      <c r="AK140" s="206" t="str">
        <f>IF(AND($A140&gt;=SYear_O, $A140&lt;=EYear_O, AK$3&gt;0), AK$3 * VLOOKUP($A140, Data_All!$A$8:$CA$153, MATCH(AK$2, Data_All!$B$2:$CA$2, 0)+1), "")</f>
        <v/>
      </c>
      <c r="AL140" s="206" t="str">
        <f>IF(AND($A140&gt;=SYear_O, $A140&lt;=EYear_O, AL$3&gt;0), AL$3 * VLOOKUP($A140, Data_All!$A$8:$CA$153, MATCH(AL$2, Data_All!$B$2:$CA$2, 0)+1), "")</f>
        <v/>
      </c>
      <c r="AM140" s="206" t="str">
        <f>IF(AND($A140&gt;=SYear_O, $A140&lt;=EYear_O, AM$3&gt;0), AM$3 * VLOOKUP($A140, Data_All!$A$8:$CA$153, MATCH(AM$2, Data_All!$B$2:$CA$2, 0)+1), "")</f>
        <v/>
      </c>
      <c r="AN140" s="206" t="str">
        <f>IF(AND($A140&gt;=SYear_O, $A140&lt;=EYear_O, AN$3&gt;0), AN$3 * VLOOKUP($A140, Data_All!$A$8:$CA$153, MATCH(AN$2, Data_All!$B$2:$CA$2, 0)+1), "")</f>
        <v/>
      </c>
      <c r="AO140" s="206" t="str">
        <f>IF(AND($A140&gt;=SYear_O, $A140&lt;=EYear_O, AO$3&gt;0), AO$3 * VLOOKUP($A140, Data_All!$A$8:$CA$153, MATCH(AO$2, Data_All!$B$2:$CA$2, 0)+1), "")</f>
        <v/>
      </c>
      <c r="AP140" s="206" t="str">
        <f>IF(AND($A140&gt;=SYear_O, $A140&lt;=EYear_O, AP$3&gt;0), AP$3 * VLOOKUP($A140, Data_All!$A$8:$CA$153, MATCH(AP$2, Data_All!$B$2:$CA$2, 0)+1), "")</f>
        <v/>
      </c>
      <c r="AQ140" s="206" t="str">
        <f>IF(AND($A140&gt;=SYear_O, $A140&lt;=EYear_O, AQ$3&gt;0), AQ$3 * VLOOKUP($A140, Data_All!$A$8:$CA$153, MATCH(AQ$2, Data_All!$B$2:$CA$2, 0)+1), "")</f>
        <v/>
      </c>
      <c r="AR140" s="206" t="str">
        <f>IF(AND($A140&gt;=SYear_O, $A140&lt;=EYear_O, AR$3&gt;0), AR$3 * VLOOKUP($A140, Data_All!$A$8:$CA$153, MATCH(AR$2, Data_All!$B$2:$CA$2, 0)+1), "")</f>
        <v/>
      </c>
      <c r="AS140" s="206" t="str">
        <f>IF(AND($A140&gt;=SYear_O, $A140&lt;=EYear_O, AS$3&gt;0), AS$3 * VLOOKUP($A140, Data_All!$A$8:$CA$153, MATCH(AS$2, Data_All!$B$2:$CA$2, 0)+1), "")</f>
        <v/>
      </c>
      <c r="AT140" s="206" t="str">
        <f>IF(AND($A140&gt;=SYear_O, $A140&lt;=EYear_O, AT$3&gt;0), AT$3 * VLOOKUP($A140, Data_All!$A$8:$CA$153, MATCH(AT$2, Data_All!$B$2:$CA$2, 0)+1), "")</f>
        <v/>
      </c>
      <c r="AU140" s="206" t="str">
        <f>IF(AND($A140&gt;=SYear_O, $A140&lt;=EYear_O, AU$3&gt;0), AU$3 * VLOOKUP($A140, Data_All!$A$8:$CA$153, MATCH(AU$2, Data_All!$B$2:$CA$2, 0)+1), "")</f>
        <v/>
      </c>
      <c r="AV140" s="206" t="str">
        <f>IF(AND($A140&gt;=SYear_O, $A140&lt;=EYear_O, AV$3&gt;0), AV$3 * VLOOKUP($A140, Data_All!$A$8:$CA$153, MATCH(AV$2, Data_All!$B$2:$CA$2, 0)+1), "")</f>
        <v/>
      </c>
      <c r="AW140" s="206" t="str">
        <f>IF(AND($A140&gt;=SYear_O, $A140&lt;=EYear_O, AW$3&gt;0), AW$3 * VLOOKUP($A140, Data_All!$A$8:$CA$153, MATCH(AW$2, Data_All!$B$2:$CA$2, 0)+1), "")</f>
        <v/>
      </c>
      <c r="AX140" s="206" t="str">
        <f>IF(AND($A140&gt;=SYear_O, $A140&lt;=EYear_O, AX$3&gt;0), AX$3 * VLOOKUP($A140, Data_All!$A$8:$CA$153, MATCH(AX$2, Data_All!$B$2:$CA$2, 0)+1), "")</f>
        <v/>
      </c>
      <c r="AY140" s="206" t="str">
        <f>IF(AND($A140&gt;=SYear_O, $A140&lt;=EYear_O, AY$3&gt;0), AY$3 * VLOOKUP($A140, Data_All!$A$8:$CA$153, MATCH(AY$2, Data_All!$B$2:$CA$2, 0)+1), "")</f>
        <v/>
      </c>
      <c r="AZ140" s="206" t="str">
        <f>IF(AND($A140&gt;=SYear_O, $A140&lt;=EYear_O, AZ$3&gt;0), AZ$3 * VLOOKUP($A140, Data_All!$A$8:$CA$153, MATCH(AZ$2, Data_All!$B$2:$CA$2, 0)+1), "")</f>
        <v/>
      </c>
      <c r="BA140" s="206" t="str">
        <f>IF(AND($A140&gt;=SYear_O, $A140&lt;=EYear_O, BA$3&gt;0), BA$3 * VLOOKUP($A140, Data_All!$A$8:$CA$153, MATCH(BA$2, Data_All!$B$2:$CA$2, 0)+1), "")</f>
        <v/>
      </c>
      <c r="BB140" s="206" t="str">
        <f>IF(AND($A140&gt;=SYear_O, $A140&lt;=EYear_O, BB$3&gt;0), BB$3 * VLOOKUP($A140, Data_All!$A$8:$CA$153, MATCH(BB$2, Data_All!$B$2:$CA$2, 0)+1), "")</f>
        <v/>
      </c>
      <c r="BC140" s="206" t="str">
        <f>IF(AND($A140&gt;=SYear_O, $A140&lt;=EYear_O, BC$3&gt;0), BC$3 * VLOOKUP($A140, Data_All!$A$8:$CA$153, MATCH(BC$2, Data_All!$B$2:$CA$2, 0)+1), "")</f>
        <v/>
      </c>
      <c r="BD140" s="206" t="str">
        <f>IF(AND($A140&gt;=SYear_O, $A140&lt;=EYear_O, BD$3&gt;0), BD$3 * VLOOKUP($A140, Data_All!$A$8:$CA$153, MATCH(BD$2, Data_All!$B$2:$CA$2, 0)+1), "")</f>
        <v/>
      </c>
      <c r="BE140" s="206" t="str">
        <f>IF(AND($A140&gt;=SYear_O, $A140&lt;=EYear_O, BE$3&gt;0), BE$3 * VLOOKUP($A140, Data_All!$A$8:$CA$153, MATCH(BE$2, Data_All!$B$2:$CA$2, 0)+1), "")</f>
        <v/>
      </c>
      <c r="BF140" s="206" t="str">
        <f>IF(AND($A140&gt;=SYear_O, $A140&lt;=EYear_O, BF$3&gt;0), BF$3 * VLOOKUP($A140, Data_All!$A$8:$CA$153, MATCH(BF$2, Data_All!$B$2:$CA$2, 0)+1), "")</f>
        <v/>
      </c>
      <c r="BG140" s="206" t="str">
        <f>IF(AND($A140&gt;=SYear_O, $A140&lt;=EYear_O, BG$3&gt;0), BG$3 * VLOOKUP($A140, Data_All!$A$8:$CA$153, MATCH(BG$2, Data_All!$B$2:$CA$2, 0)+1), "")</f>
        <v/>
      </c>
      <c r="BH140" s="206" t="str">
        <f>IF(AND($A140&gt;=SYear_O, $A140&lt;=EYear_O, BH$3&gt;0), BH$3 * VLOOKUP($A140, Data_All!$A$8:$CA$153, MATCH(BH$2, Data_All!$B$2:$CA$2, 0)+1), "")</f>
        <v/>
      </c>
      <c r="BI140" s="206" t="str">
        <f>IF(AND($A140&gt;=SYear_O, $A140&lt;=EYear_O, BI$3&gt;0), BI$3 * VLOOKUP($A140, Data_All!$A$8:$CA$153, MATCH(BI$2, Data_All!$B$2:$CA$2, 0)+1), "")</f>
        <v/>
      </c>
      <c r="BJ140" s="206" t="str">
        <f>IF(AND($A140&gt;=SYear_O, $A140&lt;=EYear_O, BJ$3&gt;0), BJ$3 * VLOOKUP($A140, Data_All!$A$8:$CA$153, MATCH(BJ$2, Data_All!$B$2:$CA$2, 0)+1), "")</f>
        <v/>
      </c>
      <c r="BK140" s="206" t="str">
        <f>IF(AND($A140&gt;=SYear_O, $A140&lt;=EYear_O, BK$3&gt;0), BK$3 * VLOOKUP($A140, Data_All!$A$8:$CA$153, MATCH(BK$2, Data_All!$B$2:$CA$2, 0)+1), "")</f>
        <v/>
      </c>
      <c r="BL140" s="206" t="str">
        <f>IF(AND($A140&gt;=SYear_O, $A140&lt;=EYear_O, BL$3&gt;0), BL$3 * VLOOKUP($A140, Data_All!$A$8:$CA$153, MATCH(BL$2, Data_All!$B$2:$CA$2, 0)+1), "")</f>
        <v/>
      </c>
      <c r="BM140" s="206" t="str">
        <f>IF(AND($A140&gt;=SYear_O, $A140&lt;=EYear_O, BM$3&gt;0), BM$3 * VLOOKUP($A140, Data_All!$A$8:$CA$153, MATCH(BM$2, Data_All!$B$2:$CA$2, 0)+1), "")</f>
        <v/>
      </c>
      <c r="BN140" s="206" t="str">
        <f>IF(AND($A140&gt;=SYear_O, $A140&lt;=EYear_O, BN$3&gt;0), BN$3 * VLOOKUP($A140, Data_All!$A$8:$CA$153, MATCH(BN$2, Data_All!$B$2:$CA$2, 0)+1), "")</f>
        <v/>
      </c>
      <c r="BO140" s="206" t="str">
        <f>IF(AND($A140&gt;=SYear_O, $A140&lt;=EYear_O, BO$3&gt;0), BO$3 * VLOOKUP($A140, Data_All!$A$8:$CA$153, MATCH(BO$2, Data_All!$B$2:$CA$2, 0)+1), "")</f>
        <v/>
      </c>
      <c r="BP140" s="206" t="str">
        <f>IF(AND($A140&gt;=SYear_O, $A140&lt;=EYear_O, BP$3&gt;0), BP$3 * VLOOKUP($A140, Data_All!$A$8:$CA$153, MATCH(BP$2, Data_All!$B$2:$CA$2, 0)+1), "")</f>
        <v/>
      </c>
      <c r="BQ140" s="206" t="str">
        <f>IF(AND($A140&gt;=SYear_O, $A140&lt;=EYear_O, BQ$3&gt;0), BQ$3 * VLOOKUP($A140, Data_All!$A$8:$CA$153, MATCH(BQ$2, Data_All!$B$2:$CA$2, 0)+1), "")</f>
        <v/>
      </c>
      <c r="BR140" s="206" t="str">
        <f>IF(AND($A140&gt;=SYear_O, $A140&lt;=EYear_O, BR$3&gt;0), BR$3 * VLOOKUP($A140, Data_All!$A$8:$CA$153, MATCH(BR$2, Data_All!$B$2:$CA$2, 0)+1), "")</f>
        <v/>
      </c>
      <c r="BS140" s="206" t="str">
        <f>IF(AND($A140&gt;=SYear_O, $A140&lt;=EYear_O, BS$3&gt;0), BS$3 * VLOOKUP($A140, Data_All!$A$8:$CA$153, MATCH(BS$2, Data_All!$B$2:$CA$2, 0)+1), "")</f>
        <v/>
      </c>
      <c r="BT140" s="206" t="str">
        <f>IF(AND($A140&gt;=SYear_O, $A140&lt;=EYear_O, BT$3&gt;0), BT$3 * VLOOKUP($A140, Data_All!$A$8:$CA$153, MATCH(BT$2, Data_All!$B$2:$CA$2, 0)+1), "")</f>
        <v/>
      </c>
      <c r="BU140" s="206" t="str">
        <f>IF(AND($A140&gt;=SYear_O, $A140&lt;=EYear_O, BU$3&gt;0), BU$3 * VLOOKUP($A140, Data_All!$A$8:$CA$153, MATCH(BU$2, Data_All!$B$2:$CA$2, 0)+1), "")</f>
        <v/>
      </c>
      <c r="BV140" s="206" t="str">
        <f>IF(AND($A140&gt;=SYear_O, $A140&lt;=EYear_O, BV$3&gt;0), BV$3 * VLOOKUP($A140, Data_All!$A$8:$CA$153, MATCH(BV$2, Data_All!$B$2:$CA$2, 0)+1), "")</f>
        <v/>
      </c>
      <c r="BW140" s="206" t="str">
        <f>IF(AND($A140&gt;=SYear_O, $A140&lt;=EYear_O, BW$3&gt;0), BW$3 * VLOOKUP($A140, Data_All!$A$8:$CA$153, MATCH(BW$2, Data_All!$B$2:$CA$2, 0)+1), "")</f>
        <v/>
      </c>
      <c r="BX140" s="206">
        <f>IF(AND($A140&gt;=SYear_O, $A140&lt;=EYear_O, BX$3&gt;0), BX$3 * VLOOKUP($A140, Data_All!$A$8:$CA$153, MATCH(BX$2, Data_All!$B$2:$CA$2, 0)+1), "")</f>
        <v>3.6200685197612525</v>
      </c>
      <c r="BY140" s="206">
        <f>IF(AND($A140&gt;=SYear_O, $A140&lt;=EYear_O, BY$3&gt;0), BY$3 * VLOOKUP($A140, Data_All!$A$8:$CA$153, MATCH(BY$2, Data_All!$B$2:$CA$2, 0)+1), "")</f>
        <v>0.90698537939045032</v>
      </c>
      <c r="BZ140" s="206" t="str">
        <f>IF(AND($A140&gt;=SYear_O, $A140&lt;=EYear_O, BZ$3&gt;0), BZ$3 * VLOOKUP($A140, Data_All!$A$8:$CA$153, MATCH(BZ$2, Data_All!$B$2:$CA$2, 0)+1), "")</f>
        <v/>
      </c>
      <c r="CA140" s="565">
        <f t="shared" si="68"/>
        <v>4.5270538991517029</v>
      </c>
      <c r="CB140" s="427">
        <f t="shared" si="69"/>
        <v>195245915.63043866</v>
      </c>
      <c r="CC140" s="565">
        <f>IF(AND($A140&gt;=SYear_O,$A140&lt;=EYear_O),(CA140-Data_All!CA141)/(1+Data_All!CA141%),"")</f>
        <v>1.2314032244543325</v>
      </c>
      <c r="CD140" s="436">
        <f t="shared" si="70"/>
        <v>12788003.165626075</v>
      </c>
      <c r="CE140" s="438">
        <f t="shared" si="71"/>
        <v>17708.655919982702</v>
      </c>
      <c r="CF140" s="438">
        <f>IF(AND($A140&gt;=SYear_O,$A140&lt;=EYear_O),MAX($CE$7:CE140),"")</f>
        <v>17708.655919982702</v>
      </c>
      <c r="CG140" s="209">
        <f t="shared" si="72"/>
        <v>0</v>
      </c>
      <c r="CI140" s="143">
        <f>IF(AND($A140&gt;=SYear_O,$A140&lt;=EYear_O),Data_All!V141,"")</f>
        <v>1</v>
      </c>
      <c r="CJ140" s="143">
        <f>IF(AND($A140&gt;=SYear_O,$A140&lt;=EYear_O),Data_All!CA141,"")</f>
        <v>3.255561584373301</v>
      </c>
      <c r="CK140" s="143">
        <f t="shared" si="73"/>
        <v>-2.1844456121912739</v>
      </c>
      <c r="CN140" s="61">
        <f t="shared" si="58"/>
        <v>4.5270538991517117E-2</v>
      </c>
      <c r="CO140" s="61">
        <f t="shared" si="59"/>
        <v>6.8047527743940739E-2</v>
      </c>
      <c r="CP140" s="61">
        <f t="shared" si="60"/>
        <v>1.044556628278337E-2</v>
      </c>
      <c r="CQ140" s="61">
        <f t="shared" si="61"/>
        <v>6.5361134105310414E-2</v>
      </c>
      <c r="CR140" s="61"/>
      <c r="CU140" s="61">
        <f t="shared" si="63"/>
        <v>1.2314032244543416E-2</v>
      </c>
      <c r="CV140" s="61">
        <f t="shared" si="64"/>
        <v>3.6235906369216586E-2</v>
      </c>
      <c r="CW140" s="61">
        <f t="shared" si="65"/>
        <v>-1.580789267607019E-2</v>
      </c>
      <c r="CX140" s="61">
        <f t="shared" si="66"/>
        <v>4.0649927254332585E-2</v>
      </c>
      <c r="CY140" s="61"/>
    </row>
    <row r="141" spans="1:103">
      <c r="A141" s="204">
        <f t="shared" si="51"/>
        <v>2005</v>
      </c>
      <c r="B141" s="206" t="str">
        <f>IF(AND($A141&gt;=SYear_O, $A141&lt;=EYear_O, B$3&gt;0), B$3 * VLOOKUP($A141, Data_All!$A$8:$CA$153, MATCH(B$2, Data_All!$B$2:$CA$2, 0)+1), "")</f>
        <v/>
      </c>
      <c r="C141" s="206" t="str">
        <f>IF(AND($A141&gt;=SYear_O, $A141&lt;=EYear_O, C$3&gt;0), C$3 * VLOOKUP($A141, Data_All!$A$8:$CA$153, MATCH(C$2, Data_All!$B$2:$CA$2, 0)+1), "")</f>
        <v/>
      </c>
      <c r="D141" s="206" t="str">
        <f>IF(AND($A141&gt;=SYear_O, $A141&lt;=EYear_O, D$3&gt;0), D$3 * VLOOKUP($A141, Data_All!$A$8:$CA$153, MATCH(D$2, Data_All!$B$2:$CA$2, 0)+1), "")</f>
        <v/>
      </c>
      <c r="E141" s="206" t="str">
        <f>IF(AND($A141&gt;=SYear_O, $A141&lt;=EYear_O, E$3&gt;0), E$3 * VLOOKUP($A141, Data_All!$A$8:$CA$153, MATCH(E$2, Data_All!$B$2:$CA$2, 0)+1), "")</f>
        <v/>
      </c>
      <c r="F141" s="206" t="str">
        <f>IF(AND($A141&gt;=SYear_O, $A141&lt;=EYear_O, F$3&gt;0), F$3 * VLOOKUP($A141, Data_All!$A$8:$CA$153, MATCH(F$2, Data_All!$B$2:$CA$2, 0)+1), "")</f>
        <v/>
      </c>
      <c r="G141" s="206" t="str">
        <f>IF(AND($A141&gt;=SYear_O, $A141&lt;=EYear_O, G$3&gt;0), G$3 * VLOOKUP($A141, Data_All!$A$8:$CA$153, MATCH(G$2, Data_All!$B$2:$CA$2, 0)+1), "")</f>
        <v/>
      </c>
      <c r="H141" s="206" t="str">
        <f>IF(AND($A141&gt;=SYear_O, $A141&lt;=EYear_O, H$3&gt;0), H$3 * VLOOKUP($A141, Data_All!$A$8:$CA$153, MATCH(H$2, Data_All!$B$2:$CA$2, 0)+1), "")</f>
        <v/>
      </c>
      <c r="I141" s="206" t="str">
        <f>IF(AND($A141&gt;=SYear_O, $A141&lt;=EYear_O, I$3&gt;0), I$3 * VLOOKUP($A141, Data_All!$A$8:$CA$153, MATCH(I$2, Data_All!$B$2:$CA$2, 0)+1), "")</f>
        <v/>
      </c>
      <c r="J141" s="206" t="str">
        <f>IF(AND($A141&gt;=SYear_O, $A141&lt;=EYear_O, J$3&gt;0), J$3 * VLOOKUP($A141, Data_All!$A$8:$CA$153, MATCH(J$2, Data_All!$B$2:$CA$2, 0)+1), "")</f>
        <v/>
      </c>
      <c r="K141" s="206" t="str">
        <f>IF(AND($A141&gt;=SYear_O, $A141&lt;=EYear_O, K$3&gt;0), K$3 * VLOOKUP($A141, Data_All!$A$8:$CA$153, MATCH(K$2, Data_All!$B$2:$CA$2, 0)+1), "")</f>
        <v/>
      </c>
      <c r="L141" s="206" t="str">
        <f>IF(AND($A141&gt;=SYear_O, $A141&lt;=EYear_O, L$3&gt;0), L$3 * VLOOKUP($A141, Data_All!$A$8:$CA$153, MATCH(L$2, Data_All!$B$2:$CA$2, 0)+1), "")</f>
        <v/>
      </c>
      <c r="M141" s="206" t="str">
        <f>IF(AND($A141&gt;=SYear_O, $A141&lt;=EYear_O, M$3&gt;0), M$3 * VLOOKUP($A141, Data_All!$A$8:$CA$153, MATCH(M$2, Data_All!$B$2:$CA$2, 0)+1), "")</f>
        <v/>
      </c>
      <c r="N141" s="206" t="str">
        <f>IF(AND($A141&gt;=SYear_O, $A141&lt;=EYear_O, N$3&gt;0), N$3 * VLOOKUP($A141, Data_All!$A$8:$CA$153, MATCH(N$2, Data_All!$B$2:$CA$2, 0)+1), "")</f>
        <v/>
      </c>
      <c r="O141" s="206" t="str">
        <f>IF(AND($A141&gt;=SYear_O, $A141&lt;=EYear_O, O$3&gt;0), O$3 * VLOOKUP($A141, Data_All!$A$8:$CA$153, MATCH(O$2, Data_All!$B$2:$CA$2, 0)+1), "")</f>
        <v/>
      </c>
      <c r="P141" s="206" t="str">
        <f>IF(AND($A141&gt;=SYear_O, $A141&lt;=EYear_O, P$3&gt;0), P$3 * VLOOKUP($A141, Data_All!$A$8:$CA$153, MATCH(P$2, Data_All!$B$2:$CA$2, 0)+1), "")</f>
        <v/>
      </c>
      <c r="Q141" s="206" t="str">
        <f>IF(AND($A141&gt;=SYear_O, $A141&lt;=EYear_O, Q$3&gt;0), Q$3 * VLOOKUP($A141, Data_All!$A$8:$CA$153, MATCH(Q$2, Data_All!$B$2:$CA$2, 0)+1), "")</f>
        <v/>
      </c>
      <c r="R141" s="206" t="str">
        <f>IF(AND($A141&gt;=SYear_O, $A141&lt;=EYear_O, R$3&gt;0), R$3 * VLOOKUP($A141, Data_All!$A$8:$CA$153, MATCH(R$2, Data_All!$B$2:$CA$2, 0)+1), "")</f>
        <v/>
      </c>
      <c r="S141" s="206" t="str">
        <f>IF(AND($A141&gt;=SYear_O, $A141&lt;=EYear_O, S$3&gt;0), S$3 * VLOOKUP($A141, Data_All!$A$8:$CA$153, MATCH(S$2, Data_All!$B$2:$CA$2, 0)+1), "")</f>
        <v/>
      </c>
      <c r="T141" s="206" t="str">
        <f>IF(AND($A141&gt;=SYear_O, $A141&lt;=EYear_O, T$3&gt;0), T$3 * VLOOKUP($A141, Data_All!$A$8:$CA$153, MATCH(T$2, Data_All!$B$2:$CA$2, 0)+1), "")</f>
        <v/>
      </c>
      <c r="U141" s="206" t="str">
        <f>IF(AND($A141&gt;=SYear_O, $A141&lt;=EYear_O, U$3&gt;0), U$3 * VLOOKUP($A141, Data_All!$A$8:$CA$153, MATCH(U$2, Data_All!$B$2:$CA$2, 0)+1), "")</f>
        <v/>
      </c>
      <c r="V141" s="206" t="str">
        <f>IF(AND($A141&gt;=SYear_O, $A141&lt;=EYear_O, V$3&gt;0), V$3 * VLOOKUP($A141, Data_All!$A$8:$CA$153, MATCH(V$2, Data_All!$B$2:$CA$2, 0)+1), "")</f>
        <v/>
      </c>
      <c r="W141" s="206" t="str">
        <f>IF(AND($A141&gt;=SYear_O, $A141&lt;=EYear_O, W$3&gt;0), W$3 * VLOOKUP($A141, Data_All!$A$8:$CA$153, MATCH(W$2, Data_All!$B$2:$CA$2, 0)+1), "")</f>
        <v/>
      </c>
      <c r="X141" s="206" t="str">
        <f>IF(AND($A141&gt;=SYear_O, $A141&lt;=EYear_O, X$3&gt;0), X$3 * VLOOKUP($A141, Data_All!$A$8:$CA$153, MATCH(X$2, Data_All!$B$2:$CA$2, 0)+1), "")</f>
        <v/>
      </c>
      <c r="Y141" s="206" t="str">
        <f>IF(AND($A141&gt;=SYear_O, $A141&lt;=EYear_O, Y$3&gt;0), Y$3 * VLOOKUP($A141, Data_All!$A$8:$CA$153, MATCH(Y$2, Data_All!$B$2:$CA$2, 0)+1), "")</f>
        <v/>
      </c>
      <c r="Z141" s="206" t="str">
        <f>IF(AND($A141&gt;=SYear_O, $A141&lt;=EYear_O, Z$3&gt;0), Z$3 * VLOOKUP($A141, Data_All!$A$8:$CA$153, MATCH(Z$2, Data_All!$B$2:$CA$2, 0)+1), "")</f>
        <v/>
      </c>
      <c r="AA141" s="206" t="str">
        <f>IF(AND($A141&gt;=SYear_O, $A141&lt;=EYear_O, AA$3&gt;0), AA$3 * VLOOKUP($A141, Data_All!$A$8:$CA$153, MATCH(AA$2, Data_All!$B$2:$CA$2, 0)+1), "")</f>
        <v/>
      </c>
      <c r="AB141" s="206" t="str">
        <f>IF(AND($A141&gt;=SYear_O, $A141&lt;=EYear_O, AB$3&gt;0), AB$3 * VLOOKUP($A141, Data_All!$A$8:$CA$153, MATCH(AB$2, Data_All!$B$2:$CA$2, 0)+1), "")</f>
        <v/>
      </c>
      <c r="AC141" s="206" t="str">
        <f>IF(AND($A141&gt;=SYear_O, $A141&lt;=EYear_O, AC$3&gt;0), AC$3 * VLOOKUP($A141, Data_All!$A$8:$CA$153, MATCH(AC$2, Data_All!$B$2:$CA$2, 0)+1), "")</f>
        <v/>
      </c>
      <c r="AD141" s="206" t="str">
        <f>IF(AND($A141&gt;=SYear_O, $A141&lt;=EYear_O, AD$3&gt;0), AD$3 * VLOOKUP($A141, Data_All!$A$8:$CA$153, MATCH(AD$2, Data_All!$B$2:$CA$2, 0)+1), "")</f>
        <v/>
      </c>
      <c r="AE141" s="206" t="str">
        <f>IF(AND($A141&gt;=SYear_O, $A141&lt;=EYear_O, AE$3&gt;0), AE$3 * VLOOKUP($A141, Data_All!$A$8:$CA$153, MATCH(AE$2, Data_All!$B$2:$CA$2, 0)+1), "")</f>
        <v/>
      </c>
      <c r="AF141" s="206" t="str">
        <f>IF(AND($A141&gt;=SYear_O, $A141&lt;=EYear_O, AF$3&gt;0), AF$3 * VLOOKUP($A141, Data_All!$A$8:$CA$153, MATCH(AF$2, Data_All!$B$2:$CA$2, 0)+1), "")</f>
        <v/>
      </c>
      <c r="AG141" s="206" t="str">
        <f>IF(AND($A141&gt;=SYear_O, $A141&lt;=EYear_O, AG$3&gt;0), AG$3 * VLOOKUP($A141, Data_All!$A$8:$CA$153, MATCH(AG$2, Data_All!$B$2:$CA$2, 0)+1), "")</f>
        <v/>
      </c>
      <c r="AH141" s="206" t="str">
        <f>IF(AND($A141&gt;=SYear_O, $A141&lt;=EYear_O, AH$3&gt;0), AH$3 * VLOOKUP($A141, Data_All!$A$8:$CA$153, MATCH(AH$2, Data_All!$B$2:$CA$2, 0)+1), "")</f>
        <v/>
      </c>
      <c r="AI141" s="206" t="str">
        <f>IF(AND($A141&gt;=SYear_O, $A141&lt;=EYear_O, AI$3&gt;0), AI$3 * VLOOKUP($A141, Data_All!$A$8:$CA$153, MATCH(AI$2, Data_All!$B$2:$CA$2, 0)+1), "")</f>
        <v/>
      </c>
      <c r="AJ141" s="206" t="str">
        <f>IF(AND($A141&gt;=SYear_O, $A141&lt;=EYear_O, AJ$3&gt;0), AJ$3 * VLOOKUP($A141, Data_All!$A$8:$CA$153, MATCH(AJ$2, Data_All!$B$2:$CA$2, 0)+1), "")</f>
        <v/>
      </c>
      <c r="AK141" s="206" t="str">
        <f>IF(AND($A141&gt;=SYear_O, $A141&lt;=EYear_O, AK$3&gt;0), AK$3 * VLOOKUP($A141, Data_All!$A$8:$CA$153, MATCH(AK$2, Data_All!$B$2:$CA$2, 0)+1), "")</f>
        <v/>
      </c>
      <c r="AL141" s="206" t="str">
        <f>IF(AND($A141&gt;=SYear_O, $A141&lt;=EYear_O, AL$3&gt;0), AL$3 * VLOOKUP($A141, Data_All!$A$8:$CA$153, MATCH(AL$2, Data_All!$B$2:$CA$2, 0)+1), "")</f>
        <v/>
      </c>
      <c r="AM141" s="206" t="str">
        <f>IF(AND($A141&gt;=SYear_O, $A141&lt;=EYear_O, AM$3&gt;0), AM$3 * VLOOKUP($A141, Data_All!$A$8:$CA$153, MATCH(AM$2, Data_All!$B$2:$CA$2, 0)+1), "")</f>
        <v/>
      </c>
      <c r="AN141" s="206" t="str">
        <f>IF(AND($A141&gt;=SYear_O, $A141&lt;=EYear_O, AN$3&gt;0), AN$3 * VLOOKUP($A141, Data_All!$A$8:$CA$153, MATCH(AN$2, Data_All!$B$2:$CA$2, 0)+1), "")</f>
        <v/>
      </c>
      <c r="AO141" s="206" t="str">
        <f>IF(AND($A141&gt;=SYear_O, $A141&lt;=EYear_O, AO$3&gt;0), AO$3 * VLOOKUP($A141, Data_All!$A$8:$CA$153, MATCH(AO$2, Data_All!$B$2:$CA$2, 0)+1), "")</f>
        <v/>
      </c>
      <c r="AP141" s="206" t="str">
        <f>IF(AND($A141&gt;=SYear_O, $A141&lt;=EYear_O, AP$3&gt;0), AP$3 * VLOOKUP($A141, Data_All!$A$8:$CA$153, MATCH(AP$2, Data_All!$B$2:$CA$2, 0)+1), "")</f>
        <v/>
      </c>
      <c r="AQ141" s="206" t="str">
        <f>IF(AND($A141&gt;=SYear_O, $A141&lt;=EYear_O, AQ$3&gt;0), AQ$3 * VLOOKUP($A141, Data_All!$A$8:$CA$153, MATCH(AQ$2, Data_All!$B$2:$CA$2, 0)+1), "")</f>
        <v/>
      </c>
      <c r="AR141" s="206" t="str">
        <f>IF(AND($A141&gt;=SYear_O, $A141&lt;=EYear_O, AR$3&gt;0), AR$3 * VLOOKUP($A141, Data_All!$A$8:$CA$153, MATCH(AR$2, Data_All!$B$2:$CA$2, 0)+1), "")</f>
        <v/>
      </c>
      <c r="AS141" s="206" t="str">
        <f>IF(AND($A141&gt;=SYear_O, $A141&lt;=EYear_O, AS$3&gt;0), AS$3 * VLOOKUP($A141, Data_All!$A$8:$CA$153, MATCH(AS$2, Data_All!$B$2:$CA$2, 0)+1), "")</f>
        <v/>
      </c>
      <c r="AT141" s="206" t="str">
        <f>IF(AND($A141&gt;=SYear_O, $A141&lt;=EYear_O, AT$3&gt;0), AT$3 * VLOOKUP($A141, Data_All!$A$8:$CA$153, MATCH(AT$2, Data_All!$B$2:$CA$2, 0)+1), "")</f>
        <v/>
      </c>
      <c r="AU141" s="206" t="str">
        <f>IF(AND($A141&gt;=SYear_O, $A141&lt;=EYear_O, AU$3&gt;0), AU$3 * VLOOKUP($A141, Data_All!$A$8:$CA$153, MATCH(AU$2, Data_All!$B$2:$CA$2, 0)+1), "")</f>
        <v/>
      </c>
      <c r="AV141" s="206" t="str">
        <f>IF(AND($A141&gt;=SYear_O, $A141&lt;=EYear_O, AV$3&gt;0), AV$3 * VLOOKUP($A141, Data_All!$A$8:$CA$153, MATCH(AV$2, Data_All!$B$2:$CA$2, 0)+1), "")</f>
        <v/>
      </c>
      <c r="AW141" s="206" t="str">
        <f>IF(AND($A141&gt;=SYear_O, $A141&lt;=EYear_O, AW$3&gt;0), AW$3 * VLOOKUP($A141, Data_All!$A$8:$CA$153, MATCH(AW$2, Data_All!$B$2:$CA$2, 0)+1), "")</f>
        <v/>
      </c>
      <c r="AX141" s="206" t="str">
        <f>IF(AND($A141&gt;=SYear_O, $A141&lt;=EYear_O, AX$3&gt;0), AX$3 * VLOOKUP($A141, Data_All!$A$8:$CA$153, MATCH(AX$2, Data_All!$B$2:$CA$2, 0)+1), "")</f>
        <v/>
      </c>
      <c r="AY141" s="206" t="str">
        <f>IF(AND($A141&gt;=SYear_O, $A141&lt;=EYear_O, AY$3&gt;0), AY$3 * VLOOKUP($A141, Data_All!$A$8:$CA$153, MATCH(AY$2, Data_All!$B$2:$CA$2, 0)+1), "")</f>
        <v/>
      </c>
      <c r="AZ141" s="206" t="str">
        <f>IF(AND($A141&gt;=SYear_O, $A141&lt;=EYear_O, AZ$3&gt;0), AZ$3 * VLOOKUP($A141, Data_All!$A$8:$CA$153, MATCH(AZ$2, Data_All!$B$2:$CA$2, 0)+1), "")</f>
        <v/>
      </c>
      <c r="BA141" s="206" t="str">
        <f>IF(AND($A141&gt;=SYear_O, $A141&lt;=EYear_O, BA$3&gt;0), BA$3 * VLOOKUP($A141, Data_All!$A$8:$CA$153, MATCH(BA$2, Data_All!$B$2:$CA$2, 0)+1), "")</f>
        <v/>
      </c>
      <c r="BB141" s="206" t="str">
        <f>IF(AND($A141&gt;=SYear_O, $A141&lt;=EYear_O, BB$3&gt;0), BB$3 * VLOOKUP($A141, Data_All!$A$8:$CA$153, MATCH(BB$2, Data_All!$B$2:$CA$2, 0)+1), "")</f>
        <v/>
      </c>
      <c r="BC141" s="206" t="str">
        <f>IF(AND($A141&gt;=SYear_O, $A141&lt;=EYear_O, BC$3&gt;0), BC$3 * VLOOKUP($A141, Data_All!$A$8:$CA$153, MATCH(BC$2, Data_All!$B$2:$CA$2, 0)+1), "")</f>
        <v/>
      </c>
      <c r="BD141" s="206" t="str">
        <f>IF(AND($A141&gt;=SYear_O, $A141&lt;=EYear_O, BD$3&gt;0), BD$3 * VLOOKUP($A141, Data_All!$A$8:$CA$153, MATCH(BD$2, Data_All!$B$2:$CA$2, 0)+1), "")</f>
        <v/>
      </c>
      <c r="BE141" s="206" t="str">
        <f>IF(AND($A141&gt;=SYear_O, $A141&lt;=EYear_O, BE$3&gt;0), BE$3 * VLOOKUP($A141, Data_All!$A$8:$CA$153, MATCH(BE$2, Data_All!$B$2:$CA$2, 0)+1), "")</f>
        <v/>
      </c>
      <c r="BF141" s="206" t="str">
        <f>IF(AND($A141&gt;=SYear_O, $A141&lt;=EYear_O, BF$3&gt;0), BF$3 * VLOOKUP($A141, Data_All!$A$8:$CA$153, MATCH(BF$2, Data_All!$B$2:$CA$2, 0)+1), "")</f>
        <v/>
      </c>
      <c r="BG141" s="206" t="str">
        <f>IF(AND($A141&gt;=SYear_O, $A141&lt;=EYear_O, BG$3&gt;0), BG$3 * VLOOKUP($A141, Data_All!$A$8:$CA$153, MATCH(BG$2, Data_All!$B$2:$CA$2, 0)+1), "")</f>
        <v/>
      </c>
      <c r="BH141" s="206" t="str">
        <f>IF(AND($A141&gt;=SYear_O, $A141&lt;=EYear_O, BH$3&gt;0), BH$3 * VLOOKUP($A141, Data_All!$A$8:$CA$153, MATCH(BH$2, Data_All!$B$2:$CA$2, 0)+1), "")</f>
        <v/>
      </c>
      <c r="BI141" s="206" t="str">
        <f>IF(AND($A141&gt;=SYear_O, $A141&lt;=EYear_O, BI$3&gt;0), BI$3 * VLOOKUP($A141, Data_All!$A$8:$CA$153, MATCH(BI$2, Data_All!$B$2:$CA$2, 0)+1), "")</f>
        <v/>
      </c>
      <c r="BJ141" s="206" t="str">
        <f>IF(AND($A141&gt;=SYear_O, $A141&lt;=EYear_O, BJ$3&gt;0), BJ$3 * VLOOKUP($A141, Data_All!$A$8:$CA$153, MATCH(BJ$2, Data_All!$B$2:$CA$2, 0)+1), "")</f>
        <v/>
      </c>
      <c r="BK141" s="206" t="str">
        <f>IF(AND($A141&gt;=SYear_O, $A141&lt;=EYear_O, BK$3&gt;0), BK$3 * VLOOKUP($A141, Data_All!$A$8:$CA$153, MATCH(BK$2, Data_All!$B$2:$CA$2, 0)+1), "")</f>
        <v/>
      </c>
      <c r="BL141" s="206" t="str">
        <f>IF(AND($A141&gt;=SYear_O, $A141&lt;=EYear_O, BL$3&gt;0), BL$3 * VLOOKUP($A141, Data_All!$A$8:$CA$153, MATCH(BL$2, Data_All!$B$2:$CA$2, 0)+1), "")</f>
        <v/>
      </c>
      <c r="BM141" s="206" t="str">
        <f>IF(AND($A141&gt;=SYear_O, $A141&lt;=EYear_O, BM$3&gt;0), BM$3 * VLOOKUP($A141, Data_All!$A$8:$CA$153, MATCH(BM$2, Data_All!$B$2:$CA$2, 0)+1), "")</f>
        <v/>
      </c>
      <c r="BN141" s="206" t="str">
        <f>IF(AND($A141&gt;=SYear_O, $A141&lt;=EYear_O, BN$3&gt;0), BN$3 * VLOOKUP($A141, Data_All!$A$8:$CA$153, MATCH(BN$2, Data_All!$B$2:$CA$2, 0)+1), "")</f>
        <v/>
      </c>
      <c r="BO141" s="206" t="str">
        <f>IF(AND($A141&gt;=SYear_O, $A141&lt;=EYear_O, BO$3&gt;0), BO$3 * VLOOKUP($A141, Data_All!$A$8:$CA$153, MATCH(BO$2, Data_All!$B$2:$CA$2, 0)+1), "")</f>
        <v/>
      </c>
      <c r="BP141" s="206" t="str">
        <f>IF(AND($A141&gt;=SYear_O, $A141&lt;=EYear_O, BP$3&gt;0), BP$3 * VLOOKUP($A141, Data_All!$A$8:$CA$153, MATCH(BP$2, Data_All!$B$2:$CA$2, 0)+1), "")</f>
        <v/>
      </c>
      <c r="BQ141" s="206" t="str">
        <f>IF(AND($A141&gt;=SYear_O, $A141&lt;=EYear_O, BQ$3&gt;0), BQ$3 * VLOOKUP($A141, Data_All!$A$8:$CA$153, MATCH(BQ$2, Data_All!$B$2:$CA$2, 0)+1), "")</f>
        <v/>
      </c>
      <c r="BR141" s="206" t="str">
        <f>IF(AND($A141&gt;=SYear_O, $A141&lt;=EYear_O, BR$3&gt;0), BR$3 * VLOOKUP($A141, Data_All!$A$8:$CA$153, MATCH(BR$2, Data_All!$B$2:$CA$2, 0)+1), "")</f>
        <v/>
      </c>
      <c r="BS141" s="206" t="str">
        <f>IF(AND($A141&gt;=SYear_O, $A141&lt;=EYear_O, BS$3&gt;0), BS$3 * VLOOKUP($A141, Data_All!$A$8:$CA$153, MATCH(BS$2, Data_All!$B$2:$CA$2, 0)+1), "")</f>
        <v/>
      </c>
      <c r="BT141" s="206" t="str">
        <f>IF(AND($A141&gt;=SYear_O, $A141&lt;=EYear_O, BT$3&gt;0), BT$3 * VLOOKUP($A141, Data_All!$A$8:$CA$153, MATCH(BT$2, Data_All!$B$2:$CA$2, 0)+1), "")</f>
        <v/>
      </c>
      <c r="BU141" s="206" t="str">
        <f>IF(AND($A141&gt;=SYear_O, $A141&lt;=EYear_O, BU$3&gt;0), BU$3 * VLOOKUP($A141, Data_All!$A$8:$CA$153, MATCH(BU$2, Data_All!$B$2:$CA$2, 0)+1), "")</f>
        <v/>
      </c>
      <c r="BV141" s="206" t="str">
        <f>IF(AND($A141&gt;=SYear_O, $A141&lt;=EYear_O, BV$3&gt;0), BV$3 * VLOOKUP($A141, Data_All!$A$8:$CA$153, MATCH(BV$2, Data_All!$B$2:$CA$2, 0)+1), "")</f>
        <v/>
      </c>
      <c r="BW141" s="206" t="str">
        <f>IF(AND($A141&gt;=SYear_O, $A141&lt;=EYear_O, BW$3&gt;0), BW$3 * VLOOKUP($A141, Data_All!$A$8:$CA$153, MATCH(BW$2, Data_All!$B$2:$CA$2, 0)+1), "")</f>
        <v/>
      </c>
      <c r="BX141" s="206">
        <f>IF(AND($A141&gt;=SYear_O, $A141&lt;=EYear_O, BX$3&gt;0), BX$3 * VLOOKUP($A141, Data_All!$A$8:$CA$153, MATCH(BX$2, Data_All!$B$2:$CA$2, 0)+1), "")</f>
        <v>6.0710506936626576</v>
      </c>
      <c r="BY141" s="206">
        <f>IF(AND($A141&gt;=SYear_O, $A141&lt;=EYear_O, BY$3&gt;0), BY$3 * VLOOKUP($A141, Data_All!$A$8:$CA$153, MATCH(BY$2, Data_All!$B$2:$CA$2, 0)+1), "")</f>
        <v>0.8031238598488244</v>
      </c>
      <c r="BZ141" s="206" t="str">
        <f>IF(AND($A141&gt;=SYear_O, $A141&lt;=EYear_O, BZ$3&gt;0), BZ$3 * VLOOKUP($A141, Data_All!$A$8:$CA$153, MATCH(BZ$2, Data_All!$B$2:$CA$2, 0)+1), "")</f>
        <v/>
      </c>
      <c r="CA141" s="565">
        <f t="shared" si="68"/>
        <v>6.874174553511482</v>
      </c>
      <c r="CB141" s="427">
        <f t="shared" si="69"/>
        <v>208667460.6794768</v>
      </c>
      <c r="CC141" s="565">
        <f>IF(AND($A141&gt;=SYear_O,$A141&lt;=EYear_O),(CA141-Data_All!CA142)/(1+Data_All!CA142%),"")</f>
        <v>3.3442856581973315</v>
      </c>
      <c r="CD141" s="436">
        <f t="shared" si="70"/>
        <v>13215670.521463929</v>
      </c>
      <c r="CE141" s="438">
        <f t="shared" si="71"/>
        <v>18925.979839003059</v>
      </c>
      <c r="CF141" s="438">
        <f>IF(AND($A141&gt;=SYear_O,$A141&lt;=EYear_O),MAX($CE$7:CE141),"")</f>
        <v>18925.979839003059</v>
      </c>
      <c r="CG141" s="209">
        <f t="shared" si="72"/>
        <v>0</v>
      </c>
      <c r="CI141" s="143">
        <f>IF(AND($A141&gt;=SYear_O,$A141&lt;=EYear_O),Data_All!V142,"")</f>
        <v>2.77</v>
      </c>
      <c r="CJ141" s="143">
        <f>IF(AND($A141&gt;=SYear_O,$A141&lt;=EYear_O),Data_All!CA142,"")</f>
        <v>3.4156594850236477</v>
      </c>
      <c r="CK141" s="143">
        <f t="shared" si="73"/>
        <v>-0.62433434959349665</v>
      </c>
      <c r="CN141" s="61">
        <f t="shared" si="58"/>
        <v>6.8741745535114918E-2</v>
      </c>
      <c r="CO141" s="61">
        <f t="shared" si="59"/>
        <v>6.6627076666584406E-2</v>
      </c>
      <c r="CP141" s="61">
        <f t="shared" si="60"/>
        <v>3.6543151367535165E-2</v>
      </c>
      <c r="CQ141" s="61">
        <f t="shared" si="61"/>
        <v>7.1082789760755771E-2</v>
      </c>
      <c r="CR141" s="61"/>
      <c r="CU141" s="61">
        <f t="shared" si="63"/>
        <v>3.3442856581973324E-2</v>
      </c>
      <c r="CV141" s="61">
        <f t="shared" si="64"/>
        <v>3.2113885074799509E-2</v>
      </c>
      <c r="CW141" s="61">
        <f t="shared" si="65"/>
        <v>1.0659597930277709E-2</v>
      </c>
      <c r="CX141" s="61">
        <f t="shared" si="66"/>
        <v>4.8805343028144765E-2</v>
      </c>
      <c r="CY141" s="61"/>
    </row>
    <row r="142" spans="1:103">
      <c r="A142" s="204">
        <f t="shared" si="51"/>
        <v>2006</v>
      </c>
      <c r="B142" s="206" t="str">
        <f>IF(AND($A142&gt;=SYear_O, $A142&lt;=EYear_O, B$3&gt;0), B$3 * VLOOKUP($A142, Data_All!$A$8:$CA$153, MATCH(B$2, Data_All!$B$2:$CA$2, 0)+1), "")</f>
        <v/>
      </c>
      <c r="C142" s="206" t="str">
        <f>IF(AND($A142&gt;=SYear_O, $A142&lt;=EYear_O, C$3&gt;0), C$3 * VLOOKUP($A142, Data_All!$A$8:$CA$153, MATCH(C$2, Data_All!$B$2:$CA$2, 0)+1), "")</f>
        <v/>
      </c>
      <c r="D142" s="206" t="str">
        <f>IF(AND($A142&gt;=SYear_O, $A142&lt;=EYear_O, D$3&gt;0), D$3 * VLOOKUP($A142, Data_All!$A$8:$CA$153, MATCH(D$2, Data_All!$B$2:$CA$2, 0)+1), "")</f>
        <v/>
      </c>
      <c r="E142" s="206" t="str">
        <f>IF(AND($A142&gt;=SYear_O, $A142&lt;=EYear_O, E$3&gt;0), E$3 * VLOOKUP($A142, Data_All!$A$8:$CA$153, MATCH(E$2, Data_All!$B$2:$CA$2, 0)+1), "")</f>
        <v/>
      </c>
      <c r="F142" s="206" t="str">
        <f>IF(AND($A142&gt;=SYear_O, $A142&lt;=EYear_O, F$3&gt;0), F$3 * VLOOKUP($A142, Data_All!$A$8:$CA$153, MATCH(F$2, Data_All!$B$2:$CA$2, 0)+1), "")</f>
        <v/>
      </c>
      <c r="G142" s="206" t="str">
        <f>IF(AND($A142&gt;=SYear_O, $A142&lt;=EYear_O, G$3&gt;0), G$3 * VLOOKUP($A142, Data_All!$A$8:$CA$153, MATCH(G$2, Data_All!$B$2:$CA$2, 0)+1), "")</f>
        <v/>
      </c>
      <c r="H142" s="206" t="str">
        <f>IF(AND($A142&gt;=SYear_O, $A142&lt;=EYear_O, H$3&gt;0), H$3 * VLOOKUP($A142, Data_All!$A$8:$CA$153, MATCH(H$2, Data_All!$B$2:$CA$2, 0)+1), "")</f>
        <v/>
      </c>
      <c r="I142" s="206" t="str">
        <f>IF(AND($A142&gt;=SYear_O, $A142&lt;=EYear_O, I$3&gt;0), I$3 * VLOOKUP($A142, Data_All!$A$8:$CA$153, MATCH(I$2, Data_All!$B$2:$CA$2, 0)+1), "")</f>
        <v/>
      </c>
      <c r="J142" s="206" t="str">
        <f>IF(AND($A142&gt;=SYear_O, $A142&lt;=EYear_O, J$3&gt;0), J$3 * VLOOKUP($A142, Data_All!$A$8:$CA$153, MATCH(J$2, Data_All!$B$2:$CA$2, 0)+1), "")</f>
        <v/>
      </c>
      <c r="K142" s="206" t="str">
        <f>IF(AND($A142&gt;=SYear_O, $A142&lt;=EYear_O, K$3&gt;0), K$3 * VLOOKUP($A142, Data_All!$A$8:$CA$153, MATCH(K$2, Data_All!$B$2:$CA$2, 0)+1), "")</f>
        <v/>
      </c>
      <c r="L142" s="206" t="str">
        <f>IF(AND($A142&gt;=SYear_O, $A142&lt;=EYear_O, L$3&gt;0), L$3 * VLOOKUP($A142, Data_All!$A$8:$CA$153, MATCH(L$2, Data_All!$B$2:$CA$2, 0)+1), "")</f>
        <v/>
      </c>
      <c r="M142" s="206" t="str">
        <f>IF(AND($A142&gt;=SYear_O, $A142&lt;=EYear_O, M$3&gt;0), M$3 * VLOOKUP($A142, Data_All!$A$8:$CA$153, MATCH(M$2, Data_All!$B$2:$CA$2, 0)+1), "")</f>
        <v/>
      </c>
      <c r="N142" s="206" t="str">
        <f>IF(AND($A142&gt;=SYear_O, $A142&lt;=EYear_O, N$3&gt;0), N$3 * VLOOKUP($A142, Data_All!$A$8:$CA$153, MATCH(N$2, Data_All!$B$2:$CA$2, 0)+1), "")</f>
        <v/>
      </c>
      <c r="O142" s="206" t="str">
        <f>IF(AND($A142&gt;=SYear_O, $A142&lt;=EYear_O, O$3&gt;0), O$3 * VLOOKUP($A142, Data_All!$A$8:$CA$153, MATCH(O$2, Data_All!$B$2:$CA$2, 0)+1), "")</f>
        <v/>
      </c>
      <c r="P142" s="206" t="str">
        <f>IF(AND($A142&gt;=SYear_O, $A142&lt;=EYear_O, P$3&gt;0), P$3 * VLOOKUP($A142, Data_All!$A$8:$CA$153, MATCH(P$2, Data_All!$B$2:$CA$2, 0)+1), "")</f>
        <v/>
      </c>
      <c r="Q142" s="206" t="str">
        <f>IF(AND($A142&gt;=SYear_O, $A142&lt;=EYear_O, Q$3&gt;0), Q$3 * VLOOKUP($A142, Data_All!$A$8:$CA$153, MATCH(Q$2, Data_All!$B$2:$CA$2, 0)+1), "")</f>
        <v/>
      </c>
      <c r="R142" s="206" t="str">
        <f>IF(AND($A142&gt;=SYear_O, $A142&lt;=EYear_O, R$3&gt;0), R$3 * VLOOKUP($A142, Data_All!$A$8:$CA$153, MATCH(R$2, Data_All!$B$2:$CA$2, 0)+1), "")</f>
        <v/>
      </c>
      <c r="S142" s="206" t="str">
        <f>IF(AND($A142&gt;=SYear_O, $A142&lt;=EYear_O, S$3&gt;0), S$3 * VLOOKUP($A142, Data_All!$A$8:$CA$153, MATCH(S$2, Data_All!$B$2:$CA$2, 0)+1), "")</f>
        <v/>
      </c>
      <c r="T142" s="206" t="str">
        <f>IF(AND($A142&gt;=SYear_O, $A142&lt;=EYear_O, T$3&gt;0), T$3 * VLOOKUP($A142, Data_All!$A$8:$CA$153, MATCH(T$2, Data_All!$B$2:$CA$2, 0)+1), "")</f>
        <v/>
      </c>
      <c r="U142" s="206" t="str">
        <f>IF(AND($A142&gt;=SYear_O, $A142&lt;=EYear_O, U$3&gt;0), U$3 * VLOOKUP($A142, Data_All!$A$8:$CA$153, MATCH(U$2, Data_All!$B$2:$CA$2, 0)+1), "")</f>
        <v/>
      </c>
      <c r="V142" s="206" t="str">
        <f>IF(AND($A142&gt;=SYear_O, $A142&lt;=EYear_O, V$3&gt;0), V$3 * VLOOKUP($A142, Data_All!$A$8:$CA$153, MATCH(V$2, Data_All!$B$2:$CA$2, 0)+1), "")</f>
        <v/>
      </c>
      <c r="W142" s="206" t="str">
        <f>IF(AND($A142&gt;=SYear_O, $A142&lt;=EYear_O, W$3&gt;0), W$3 * VLOOKUP($A142, Data_All!$A$8:$CA$153, MATCH(W$2, Data_All!$B$2:$CA$2, 0)+1), "")</f>
        <v/>
      </c>
      <c r="X142" s="206" t="str">
        <f>IF(AND($A142&gt;=SYear_O, $A142&lt;=EYear_O, X$3&gt;0), X$3 * VLOOKUP($A142, Data_All!$A$8:$CA$153, MATCH(X$2, Data_All!$B$2:$CA$2, 0)+1), "")</f>
        <v/>
      </c>
      <c r="Y142" s="206" t="str">
        <f>IF(AND($A142&gt;=SYear_O, $A142&lt;=EYear_O, Y$3&gt;0), Y$3 * VLOOKUP($A142, Data_All!$A$8:$CA$153, MATCH(Y$2, Data_All!$B$2:$CA$2, 0)+1), "")</f>
        <v/>
      </c>
      <c r="Z142" s="206" t="str">
        <f>IF(AND($A142&gt;=SYear_O, $A142&lt;=EYear_O, Z$3&gt;0), Z$3 * VLOOKUP($A142, Data_All!$A$8:$CA$153, MATCH(Z$2, Data_All!$B$2:$CA$2, 0)+1), "")</f>
        <v/>
      </c>
      <c r="AA142" s="206" t="str">
        <f>IF(AND($A142&gt;=SYear_O, $A142&lt;=EYear_O, AA$3&gt;0), AA$3 * VLOOKUP($A142, Data_All!$A$8:$CA$153, MATCH(AA$2, Data_All!$B$2:$CA$2, 0)+1), "")</f>
        <v/>
      </c>
      <c r="AB142" s="206" t="str">
        <f>IF(AND($A142&gt;=SYear_O, $A142&lt;=EYear_O, AB$3&gt;0), AB$3 * VLOOKUP($A142, Data_All!$A$8:$CA$153, MATCH(AB$2, Data_All!$B$2:$CA$2, 0)+1), "")</f>
        <v/>
      </c>
      <c r="AC142" s="206" t="str">
        <f>IF(AND($A142&gt;=SYear_O, $A142&lt;=EYear_O, AC$3&gt;0), AC$3 * VLOOKUP($A142, Data_All!$A$8:$CA$153, MATCH(AC$2, Data_All!$B$2:$CA$2, 0)+1), "")</f>
        <v/>
      </c>
      <c r="AD142" s="206" t="str">
        <f>IF(AND($A142&gt;=SYear_O, $A142&lt;=EYear_O, AD$3&gt;0), AD$3 * VLOOKUP($A142, Data_All!$A$8:$CA$153, MATCH(AD$2, Data_All!$B$2:$CA$2, 0)+1), "")</f>
        <v/>
      </c>
      <c r="AE142" s="206" t="str">
        <f>IF(AND($A142&gt;=SYear_O, $A142&lt;=EYear_O, AE$3&gt;0), AE$3 * VLOOKUP($A142, Data_All!$A$8:$CA$153, MATCH(AE$2, Data_All!$B$2:$CA$2, 0)+1), "")</f>
        <v/>
      </c>
      <c r="AF142" s="206" t="str">
        <f>IF(AND($A142&gt;=SYear_O, $A142&lt;=EYear_O, AF$3&gt;0), AF$3 * VLOOKUP($A142, Data_All!$A$8:$CA$153, MATCH(AF$2, Data_All!$B$2:$CA$2, 0)+1), "")</f>
        <v/>
      </c>
      <c r="AG142" s="206" t="str">
        <f>IF(AND($A142&gt;=SYear_O, $A142&lt;=EYear_O, AG$3&gt;0), AG$3 * VLOOKUP($A142, Data_All!$A$8:$CA$153, MATCH(AG$2, Data_All!$B$2:$CA$2, 0)+1), "")</f>
        <v/>
      </c>
      <c r="AH142" s="206" t="str">
        <f>IF(AND($A142&gt;=SYear_O, $A142&lt;=EYear_O, AH$3&gt;0), AH$3 * VLOOKUP($A142, Data_All!$A$8:$CA$153, MATCH(AH$2, Data_All!$B$2:$CA$2, 0)+1), "")</f>
        <v/>
      </c>
      <c r="AI142" s="206" t="str">
        <f>IF(AND($A142&gt;=SYear_O, $A142&lt;=EYear_O, AI$3&gt;0), AI$3 * VLOOKUP($A142, Data_All!$A$8:$CA$153, MATCH(AI$2, Data_All!$B$2:$CA$2, 0)+1), "")</f>
        <v/>
      </c>
      <c r="AJ142" s="206" t="str">
        <f>IF(AND($A142&gt;=SYear_O, $A142&lt;=EYear_O, AJ$3&gt;0), AJ$3 * VLOOKUP($A142, Data_All!$A$8:$CA$153, MATCH(AJ$2, Data_All!$B$2:$CA$2, 0)+1), "")</f>
        <v/>
      </c>
      <c r="AK142" s="206" t="str">
        <f>IF(AND($A142&gt;=SYear_O, $A142&lt;=EYear_O, AK$3&gt;0), AK$3 * VLOOKUP($A142, Data_All!$A$8:$CA$153, MATCH(AK$2, Data_All!$B$2:$CA$2, 0)+1), "")</f>
        <v/>
      </c>
      <c r="AL142" s="206" t="str">
        <f>IF(AND($A142&gt;=SYear_O, $A142&lt;=EYear_O, AL$3&gt;0), AL$3 * VLOOKUP($A142, Data_All!$A$8:$CA$153, MATCH(AL$2, Data_All!$B$2:$CA$2, 0)+1), "")</f>
        <v/>
      </c>
      <c r="AM142" s="206" t="str">
        <f>IF(AND($A142&gt;=SYear_O, $A142&lt;=EYear_O, AM$3&gt;0), AM$3 * VLOOKUP($A142, Data_All!$A$8:$CA$153, MATCH(AM$2, Data_All!$B$2:$CA$2, 0)+1), "")</f>
        <v/>
      </c>
      <c r="AN142" s="206" t="str">
        <f>IF(AND($A142&gt;=SYear_O, $A142&lt;=EYear_O, AN$3&gt;0), AN$3 * VLOOKUP($A142, Data_All!$A$8:$CA$153, MATCH(AN$2, Data_All!$B$2:$CA$2, 0)+1), "")</f>
        <v/>
      </c>
      <c r="AO142" s="206" t="str">
        <f>IF(AND($A142&gt;=SYear_O, $A142&lt;=EYear_O, AO$3&gt;0), AO$3 * VLOOKUP($A142, Data_All!$A$8:$CA$153, MATCH(AO$2, Data_All!$B$2:$CA$2, 0)+1), "")</f>
        <v/>
      </c>
      <c r="AP142" s="206" t="str">
        <f>IF(AND($A142&gt;=SYear_O, $A142&lt;=EYear_O, AP$3&gt;0), AP$3 * VLOOKUP($A142, Data_All!$A$8:$CA$153, MATCH(AP$2, Data_All!$B$2:$CA$2, 0)+1), "")</f>
        <v/>
      </c>
      <c r="AQ142" s="206" t="str">
        <f>IF(AND($A142&gt;=SYear_O, $A142&lt;=EYear_O, AQ$3&gt;0), AQ$3 * VLOOKUP($A142, Data_All!$A$8:$CA$153, MATCH(AQ$2, Data_All!$B$2:$CA$2, 0)+1), "")</f>
        <v/>
      </c>
      <c r="AR142" s="206" t="str">
        <f>IF(AND($A142&gt;=SYear_O, $A142&lt;=EYear_O, AR$3&gt;0), AR$3 * VLOOKUP($A142, Data_All!$A$8:$CA$153, MATCH(AR$2, Data_All!$B$2:$CA$2, 0)+1), "")</f>
        <v/>
      </c>
      <c r="AS142" s="206" t="str">
        <f>IF(AND($A142&gt;=SYear_O, $A142&lt;=EYear_O, AS$3&gt;0), AS$3 * VLOOKUP($A142, Data_All!$A$8:$CA$153, MATCH(AS$2, Data_All!$B$2:$CA$2, 0)+1), "")</f>
        <v/>
      </c>
      <c r="AT142" s="206" t="str">
        <f>IF(AND($A142&gt;=SYear_O, $A142&lt;=EYear_O, AT$3&gt;0), AT$3 * VLOOKUP($A142, Data_All!$A$8:$CA$153, MATCH(AT$2, Data_All!$B$2:$CA$2, 0)+1), "")</f>
        <v/>
      </c>
      <c r="AU142" s="206" t="str">
        <f>IF(AND($A142&gt;=SYear_O, $A142&lt;=EYear_O, AU$3&gt;0), AU$3 * VLOOKUP($A142, Data_All!$A$8:$CA$153, MATCH(AU$2, Data_All!$B$2:$CA$2, 0)+1), "")</f>
        <v/>
      </c>
      <c r="AV142" s="206" t="str">
        <f>IF(AND($A142&gt;=SYear_O, $A142&lt;=EYear_O, AV$3&gt;0), AV$3 * VLOOKUP($A142, Data_All!$A$8:$CA$153, MATCH(AV$2, Data_All!$B$2:$CA$2, 0)+1), "")</f>
        <v/>
      </c>
      <c r="AW142" s="206" t="str">
        <f>IF(AND($A142&gt;=SYear_O, $A142&lt;=EYear_O, AW$3&gt;0), AW$3 * VLOOKUP($A142, Data_All!$A$8:$CA$153, MATCH(AW$2, Data_All!$B$2:$CA$2, 0)+1), "")</f>
        <v/>
      </c>
      <c r="AX142" s="206" t="str">
        <f>IF(AND($A142&gt;=SYear_O, $A142&lt;=EYear_O, AX$3&gt;0), AX$3 * VLOOKUP($A142, Data_All!$A$8:$CA$153, MATCH(AX$2, Data_All!$B$2:$CA$2, 0)+1), "")</f>
        <v/>
      </c>
      <c r="AY142" s="206" t="str">
        <f>IF(AND($A142&gt;=SYear_O, $A142&lt;=EYear_O, AY$3&gt;0), AY$3 * VLOOKUP($A142, Data_All!$A$8:$CA$153, MATCH(AY$2, Data_All!$B$2:$CA$2, 0)+1), "")</f>
        <v/>
      </c>
      <c r="AZ142" s="206" t="str">
        <f>IF(AND($A142&gt;=SYear_O, $A142&lt;=EYear_O, AZ$3&gt;0), AZ$3 * VLOOKUP($A142, Data_All!$A$8:$CA$153, MATCH(AZ$2, Data_All!$B$2:$CA$2, 0)+1), "")</f>
        <v/>
      </c>
      <c r="BA142" s="206" t="str">
        <f>IF(AND($A142&gt;=SYear_O, $A142&lt;=EYear_O, BA$3&gt;0), BA$3 * VLOOKUP($A142, Data_All!$A$8:$CA$153, MATCH(BA$2, Data_All!$B$2:$CA$2, 0)+1), "")</f>
        <v/>
      </c>
      <c r="BB142" s="206" t="str">
        <f>IF(AND($A142&gt;=SYear_O, $A142&lt;=EYear_O, BB$3&gt;0), BB$3 * VLOOKUP($A142, Data_All!$A$8:$CA$153, MATCH(BB$2, Data_All!$B$2:$CA$2, 0)+1), "")</f>
        <v/>
      </c>
      <c r="BC142" s="206" t="str">
        <f>IF(AND($A142&gt;=SYear_O, $A142&lt;=EYear_O, BC$3&gt;0), BC$3 * VLOOKUP($A142, Data_All!$A$8:$CA$153, MATCH(BC$2, Data_All!$B$2:$CA$2, 0)+1), "")</f>
        <v/>
      </c>
      <c r="BD142" s="206" t="str">
        <f>IF(AND($A142&gt;=SYear_O, $A142&lt;=EYear_O, BD$3&gt;0), BD$3 * VLOOKUP($A142, Data_All!$A$8:$CA$153, MATCH(BD$2, Data_All!$B$2:$CA$2, 0)+1), "")</f>
        <v/>
      </c>
      <c r="BE142" s="206" t="str">
        <f>IF(AND($A142&gt;=SYear_O, $A142&lt;=EYear_O, BE$3&gt;0), BE$3 * VLOOKUP($A142, Data_All!$A$8:$CA$153, MATCH(BE$2, Data_All!$B$2:$CA$2, 0)+1), "")</f>
        <v/>
      </c>
      <c r="BF142" s="206" t="str">
        <f>IF(AND($A142&gt;=SYear_O, $A142&lt;=EYear_O, BF$3&gt;0), BF$3 * VLOOKUP($A142, Data_All!$A$8:$CA$153, MATCH(BF$2, Data_All!$B$2:$CA$2, 0)+1), "")</f>
        <v/>
      </c>
      <c r="BG142" s="206" t="str">
        <f>IF(AND($A142&gt;=SYear_O, $A142&lt;=EYear_O, BG$3&gt;0), BG$3 * VLOOKUP($A142, Data_All!$A$8:$CA$153, MATCH(BG$2, Data_All!$B$2:$CA$2, 0)+1), "")</f>
        <v/>
      </c>
      <c r="BH142" s="206" t="str">
        <f>IF(AND($A142&gt;=SYear_O, $A142&lt;=EYear_O, BH$3&gt;0), BH$3 * VLOOKUP($A142, Data_All!$A$8:$CA$153, MATCH(BH$2, Data_All!$B$2:$CA$2, 0)+1), "")</f>
        <v/>
      </c>
      <c r="BI142" s="206" t="str">
        <f>IF(AND($A142&gt;=SYear_O, $A142&lt;=EYear_O, BI$3&gt;0), BI$3 * VLOOKUP($A142, Data_All!$A$8:$CA$153, MATCH(BI$2, Data_All!$B$2:$CA$2, 0)+1), "")</f>
        <v/>
      </c>
      <c r="BJ142" s="206" t="str">
        <f>IF(AND($A142&gt;=SYear_O, $A142&lt;=EYear_O, BJ$3&gt;0), BJ$3 * VLOOKUP($A142, Data_All!$A$8:$CA$153, MATCH(BJ$2, Data_All!$B$2:$CA$2, 0)+1), "")</f>
        <v/>
      </c>
      <c r="BK142" s="206" t="str">
        <f>IF(AND($A142&gt;=SYear_O, $A142&lt;=EYear_O, BK$3&gt;0), BK$3 * VLOOKUP($A142, Data_All!$A$8:$CA$153, MATCH(BK$2, Data_All!$B$2:$CA$2, 0)+1), "")</f>
        <v/>
      </c>
      <c r="BL142" s="206" t="str">
        <f>IF(AND($A142&gt;=SYear_O, $A142&lt;=EYear_O, BL$3&gt;0), BL$3 * VLOOKUP($A142, Data_All!$A$8:$CA$153, MATCH(BL$2, Data_All!$B$2:$CA$2, 0)+1), "")</f>
        <v/>
      </c>
      <c r="BM142" s="206" t="str">
        <f>IF(AND($A142&gt;=SYear_O, $A142&lt;=EYear_O, BM$3&gt;0), BM$3 * VLOOKUP($A142, Data_All!$A$8:$CA$153, MATCH(BM$2, Data_All!$B$2:$CA$2, 0)+1), "")</f>
        <v/>
      </c>
      <c r="BN142" s="206" t="str">
        <f>IF(AND($A142&gt;=SYear_O, $A142&lt;=EYear_O, BN$3&gt;0), BN$3 * VLOOKUP($A142, Data_All!$A$8:$CA$153, MATCH(BN$2, Data_All!$B$2:$CA$2, 0)+1), "")</f>
        <v/>
      </c>
      <c r="BO142" s="206" t="str">
        <f>IF(AND($A142&gt;=SYear_O, $A142&lt;=EYear_O, BO$3&gt;0), BO$3 * VLOOKUP($A142, Data_All!$A$8:$CA$153, MATCH(BO$2, Data_All!$B$2:$CA$2, 0)+1), "")</f>
        <v/>
      </c>
      <c r="BP142" s="206" t="str">
        <f>IF(AND($A142&gt;=SYear_O, $A142&lt;=EYear_O, BP$3&gt;0), BP$3 * VLOOKUP($A142, Data_All!$A$8:$CA$153, MATCH(BP$2, Data_All!$B$2:$CA$2, 0)+1), "")</f>
        <v/>
      </c>
      <c r="BQ142" s="206" t="str">
        <f>IF(AND($A142&gt;=SYear_O, $A142&lt;=EYear_O, BQ$3&gt;0), BQ$3 * VLOOKUP($A142, Data_All!$A$8:$CA$153, MATCH(BQ$2, Data_All!$B$2:$CA$2, 0)+1), "")</f>
        <v/>
      </c>
      <c r="BR142" s="206" t="str">
        <f>IF(AND($A142&gt;=SYear_O, $A142&lt;=EYear_O, BR$3&gt;0), BR$3 * VLOOKUP($A142, Data_All!$A$8:$CA$153, MATCH(BR$2, Data_All!$B$2:$CA$2, 0)+1), "")</f>
        <v/>
      </c>
      <c r="BS142" s="206" t="str">
        <f>IF(AND($A142&gt;=SYear_O, $A142&lt;=EYear_O, BS$3&gt;0), BS$3 * VLOOKUP($A142, Data_All!$A$8:$CA$153, MATCH(BS$2, Data_All!$B$2:$CA$2, 0)+1), "")</f>
        <v/>
      </c>
      <c r="BT142" s="206" t="str">
        <f>IF(AND($A142&gt;=SYear_O, $A142&lt;=EYear_O, BT$3&gt;0), BT$3 * VLOOKUP($A142, Data_All!$A$8:$CA$153, MATCH(BT$2, Data_All!$B$2:$CA$2, 0)+1), "")</f>
        <v/>
      </c>
      <c r="BU142" s="206" t="str">
        <f>IF(AND($A142&gt;=SYear_O, $A142&lt;=EYear_O, BU$3&gt;0), BU$3 * VLOOKUP($A142, Data_All!$A$8:$CA$153, MATCH(BU$2, Data_All!$B$2:$CA$2, 0)+1), "")</f>
        <v/>
      </c>
      <c r="BV142" s="206" t="str">
        <f>IF(AND($A142&gt;=SYear_O, $A142&lt;=EYear_O, BV$3&gt;0), BV$3 * VLOOKUP($A142, Data_All!$A$8:$CA$153, MATCH(BV$2, Data_All!$B$2:$CA$2, 0)+1), "")</f>
        <v/>
      </c>
      <c r="BW142" s="206" t="str">
        <f>IF(AND($A142&gt;=SYear_O, $A142&lt;=EYear_O, BW$3&gt;0), BW$3 * VLOOKUP($A142, Data_All!$A$8:$CA$153, MATCH(BW$2, Data_All!$B$2:$CA$2, 0)+1), "")</f>
        <v/>
      </c>
      <c r="BX142" s="206">
        <f>IF(AND($A142&gt;=SYear_O, $A142&lt;=EYear_O, BX$3&gt;0), BX$3 * VLOOKUP($A142, Data_All!$A$8:$CA$153, MATCH(BX$2, Data_All!$B$2:$CA$2, 0)+1), "")</f>
        <v>7.9912100287003565</v>
      </c>
      <c r="BY142" s="206">
        <f>IF(AND($A142&gt;=SYear_O, $A142&lt;=EYear_O, BY$3&gt;0), BY$3 * VLOOKUP($A142, Data_All!$A$8:$CA$153, MATCH(BY$2, Data_All!$B$2:$CA$2, 0)+1), "")</f>
        <v>1.0699854250162488</v>
      </c>
      <c r="BZ142" s="206" t="str">
        <f>IF(AND($A142&gt;=SYear_O, $A142&lt;=EYear_O, BZ$3&gt;0), BZ$3 * VLOOKUP($A142, Data_All!$A$8:$CA$153, MATCH(BZ$2, Data_All!$B$2:$CA$2, 0)+1), "")</f>
        <v/>
      </c>
      <c r="CA142" s="565">
        <f t="shared" si="68"/>
        <v>9.0611954537166053</v>
      </c>
      <c r="CB142" s="427">
        <f t="shared" si="69"/>
        <v>227575227.13995141</v>
      </c>
      <c r="CC142" s="565">
        <f>IF(AND($A142&gt;=SYear_O,$A142&lt;=EYear_O),(CA142-Data_All!CA143)/(1+Data_All!CA143%),"")</f>
        <v>6.3589854573410713</v>
      </c>
      <c r="CD142" s="436">
        <f t="shared" si="70"/>
        <v>14056053.08801393</v>
      </c>
      <c r="CE142" s="438">
        <f t="shared" si="71"/>
        <v>20640.899863746123</v>
      </c>
      <c r="CF142" s="438">
        <f>IF(AND($A142&gt;=SYear_O,$A142&lt;=EYear_O),MAX($CE$7:CE142),"")</f>
        <v>20640.899863746123</v>
      </c>
      <c r="CG142" s="209">
        <f t="shared" si="72"/>
        <v>0</v>
      </c>
      <c r="CI142" s="143">
        <f>IF(AND($A142&gt;=SYear_O,$A142&lt;=EYear_O),Data_All!V143,"")</f>
        <v>4.55</v>
      </c>
      <c r="CJ142" s="143">
        <f>IF(AND($A142&gt;=SYear_O,$A142&lt;=EYear_O),Data_All!CA143,"")</f>
        <v>2.5406504065040636</v>
      </c>
      <c r="CK142" s="143">
        <f t="shared" si="73"/>
        <v>1.9595639246779002</v>
      </c>
      <c r="CN142" s="61">
        <f t="shared" si="58"/>
        <v>9.0611954537165973E-2</v>
      </c>
      <c r="CO142" s="61">
        <f t="shared" si="59"/>
        <v>-1.9409435883907311E-2</v>
      </c>
      <c r="CP142" s="61">
        <f t="shared" si="60"/>
        <v>4.6585278745310266E-2</v>
      </c>
      <c r="CQ142" s="61">
        <f t="shared" si="61"/>
        <v>6.2371855051836178E-2</v>
      </c>
      <c r="CR142" s="61"/>
      <c r="CU142" s="61">
        <f t="shared" si="63"/>
        <v>6.3589854573410598E-2</v>
      </c>
      <c r="CV142" s="61">
        <f t="shared" si="64"/>
        <v>-4.0748349761481784E-2</v>
      </c>
      <c r="CW142" s="61">
        <f t="shared" si="65"/>
        <v>2.4282734563608965E-2</v>
      </c>
      <c r="CX142" s="61">
        <f t="shared" si="66"/>
        <v>4.3016937327866156E-2</v>
      </c>
      <c r="CY142" s="61"/>
    </row>
    <row r="143" spans="1:103">
      <c r="A143" s="204">
        <f t="shared" si="51"/>
        <v>2007</v>
      </c>
      <c r="B143" s="206" t="str">
        <f>IF(AND($A143&gt;=SYear_O, $A143&lt;=EYear_O, B$3&gt;0), B$3 * VLOOKUP($A143, Data_All!$A$8:$CA$153, MATCH(B$2, Data_All!$B$2:$CA$2, 0)+1), "")</f>
        <v/>
      </c>
      <c r="C143" s="206" t="str">
        <f>IF(AND($A143&gt;=SYear_O, $A143&lt;=EYear_O, C$3&gt;0), C$3 * VLOOKUP($A143, Data_All!$A$8:$CA$153, MATCH(C$2, Data_All!$B$2:$CA$2, 0)+1), "")</f>
        <v/>
      </c>
      <c r="D143" s="206" t="str">
        <f>IF(AND($A143&gt;=SYear_O, $A143&lt;=EYear_O, D$3&gt;0), D$3 * VLOOKUP($A143, Data_All!$A$8:$CA$153, MATCH(D$2, Data_All!$B$2:$CA$2, 0)+1), "")</f>
        <v/>
      </c>
      <c r="E143" s="206" t="str">
        <f>IF(AND($A143&gt;=SYear_O, $A143&lt;=EYear_O, E$3&gt;0), E$3 * VLOOKUP($A143, Data_All!$A$8:$CA$153, MATCH(E$2, Data_All!$B$2:$CA$2, 0)+1), "")</f>
        <v/>
      </c>
      <c r="F143" s="206" t="str">
        <f>IF(AND($A143&gt;=SYear_O, $A143&lt;=EYear_O, F$3&gt;0), F$3 * VLOOKUP($A143, Data_All!$A$8:$CA$153, MATCH(F$2, Data_All!$B$2:$CA$2, 0)+1), "")</f>
        <v/>
      </c>
      <c r="G143" s="206" t="str">
        <f>IF(AND($A143&gt;=SYear_O, $A143&lt;=EYear_O, G$3&gt;0), G$3 * VLOOKUP($A143, Data_All!$A$8:$CA$153, MATCH(G$2, Data_All!$B$2:$CA$2, 0)+1), "")</f>
        <v/>
      </c>
      <c r="H143" s="206" t="str">
        <f>IF(AND($A143&gt;=SYear_O, $A143&lt;=EYear_O, H$3&gt;0), H$3 * VLOOKUP($A143, Data_All!$A$8:$CA$153, MATCH(H$2, Data_All!$B$2:$CA$2, 0)+1), "")</f>
        <v/>
      </c>
      <c r="I143" s="206" t="str">
        <f>IF(AND($A143&gt;=SYear_O, $A143&lt;=EYear_O, I$3&gt;0), I$3 * VLOOKUP($A143, Data_All!$A$8:$CA$153, MATCH(I$2, Data_All!$B$2:$CA$2, 0)+1), "")</f>
        <v/>
      </c>
      <c r="J143" s="206" t="str">
        <f>IF(AND($A143&gt;=SYear_O, $A143&lt;=EYear_O, J$3&gt;0), J$3 * VLOOKUP($A143, Data_All!$A$8:$CA$153, MATCH(J$2, Data_All!$B$2:$CA$2, 0)+1), "")</f>
        <v/>
      </c>
      <c r="K143" s="206" t="str">
        <f>IF(AND($A143&gt;=SYear_O, $A143&lt;=EYear_O, K$3&gt;0), K$3 * VLOOKUP($A143, Data_All!$A$8:$CA$153, MATCH(K$2, Data_All!$B$2:$CA$2, 0)+1), "")</f>
        <v/>
      </c>
      <c r="L143" s="206" t="str">
        <f>IF(AND($A143&gt;=SYear_O, $A143&lt;=EYear_O, L$3&gt;0), L$3 * VLOOKUP($A143, Data_All!$A$8:$CA$153, MATCH(L$2, Data_All!$B$2:$CA$2, 0)+1), "")</f>
        <v/>
      </c>
      <c r="M143" s="206" t="str">
        <f>IF(AND($A143&gt;=SYear_O, $A143&lt;=EYear_O, M$3&gt;0), M$3 * VLOOKUP($A143, Data_All!$A$8:$CA$153, MATCH(M$2, Data_All!$B$2:$CA$2, 0)+1), "")</f>
        <v/>
      </c>
      <c r="N143" s="206" t="str">
        <f>IF(AND($A143&gt;=SYear_O, $A143&lt;=EYear_O, N$3&gt;0), N$3 * VLOOKUP($A143, Data_All!$A$8:$CA$153, MATCH(N$2, Data_All!$B$2:$CA$2, 0)+1), "")</f>
        <v/>
      </c>
      <c r="O143" s="206" t="str">
        <f>IF(AND($A143&gt;=SYear_O, $A143&lt;=EYear_O, O$3&gt;0), O$3 * VLOOKUP($A143, Data_All!$A$8:$CA$153, MATCH(O$2, Data_All!$B$2:$CA$2, 0)+1), "")</f>
        <v/>
      </c>
      <c r="P143" s="206" t="str">
        <f>IF(AND($A143&gt;=SYear_O, $A143&lt;=EYear_O, P$3&gt;0), P$3 * VLOOKUP($A143, Data_All!$A$8:$CA$153, MATCH(P$2, Data_All!$B$2:$CA$2, 0)+1), "")</f>
        <v/>
      </c>
      <c r="Q143" s="206" t="str">
        <f>IF(AND($A143&gt;=SYear_O, $A143&lt;=EYear_O, Q$3&gt;0), Q$3 * VLOOKUP($A143, Data_All!$A$8:$CA$153, MATCH(Q$2, Data_All!$B$2:$CA$2, 0)+1), "")</f>
        <v/>
      </c>
      <c r="R143" s="206" t="str">
        <f>IF(AND($A143&gt;=SYear_O, $A143&lt;=EYear_O, R$3&gt;0), R$3 * VLOOKUP($A143, Data_All!$A$8:$CA$153, MATCH(R$2, Data_All!$B$2:$CA$2, 0)+1), "")</f>
        <v/>
      </c>
      <c r="S143" s="206" t="str">
        <f>IF(AND($A143&gt;=SYear_O, $A143&lt;=EYear_O, S$3&gt;0), S$3 * VLOOKUP($A143, Data_All!$A$8:$CA$153, MATCH(S$2, Data_All!$B$2:$CA$2, 0)+1), "")</f>
        <v/>
      </c>
      <c r="T143" s="206" t="str">
        <f>IF(AND($A143&gt;=SYear_O, $A143&lt;=EYear_O, T$3&gt;0), T$3 * VLOOKUP($A143, Data_All!$A$8:$CA$153, MATCH(T$2, Data_All!$B$2:$CA$2, 0)+1), "")</f>
        <v/>
      </c>
      <c r="U143" s="206" t="str">
        <f>IF(AND($A143&gt;=SYear_O, $A143&lt;=EYear_O, U$3&gt;0), U$3 * VLOOKUP($A143, Data_All!$A$8:$CA$153, MATCH(U$2, Data_All!$B$2:$CA$2, 0)+1), "")</f>
        <v/>
      </c>
      <c r="V143" s="206" t="str">
        <f>IF(AND($A143&gt;=SYear_O, $A143&lt;=EYear_O, V$3&gt;0), V$3 * VLOOKUP($A143, Data_All!$A$8:$CA$153, MATCH(V$2, Data_All!$B$2:$CA$2, 0)+1), "")</f>
        <v/>
      </c>
      <c r="W143" s="206" t="str">
        <f>IF(AND($A143&gt;=SYear_O, $A143&lt;=EYear_O, W$3&gt;0), W$3 * VLOOKUP($A143, Data_All!$A$8:$CA$153, MATCH(W$2, Data_All!$B$2:$CA$2, 0)+1), "")</f>
        <v/>
      </c>
      <c r="X143" s="206" t="str">
        <f>IF(AND($A143&gt;=SYear_O, $A143&lt;=EYear_O, X$3&gt;0), X$3 * VLOOKUP($A143, Data_All!$A$8:$CA$153, MATCH(X$2, Data_All!$B$2:$CA$2, 0)+1), "")</f>
        <v/>
      </c>
      <c r="Y143" s="206" t="str">
        <f>IF(AND($A143&gt;=SYear_O, $A143&lt;=EYear_O, Y$3&gt;0), Y$3 * VLOOKUP($A143, Data_All!$A$8:$CA$153, MATCH(Y$2, Data_All!$B$2:$CA$2, 0)+1), "")</f>
        <v/>
      </c>
      <c r="Z143" s="206" t="str">
        <f>IF(AND($A143&gt;=SYear_O, $A143&lt;=EYear_O, Z$3&gt;0), Z$3 * VLOOKUP($A143, Data_All!$A$8:$CA$153, MATCH(Z$2, Data_All!$B$2:$CA$2, 0)+1), "")</f>
        <v/>
      </c>
      <c r="AA143" s="206" t="str">
        <f>IF(AND($A143&gt;=SYear_O, $A143&lt;=EYear_O, AA$3&gt;0), AA$3 * VLOOKUP($A143, Data_All!$A$8:$CA$153, MATCH(AA$2, Data_All!$B$2:$CA$2, 0)+1), "")</f>
        <v/>
      </c>
      <c r="AB143" s="206" t="str">
        <f>IF(AND($A143&gt;=SYear_O, $A143&lt;=EYear_O, AB$3&gt;0), AB$3 * VLOOKUP($A143, Data_All!$A$8:$CA$153, MATCH(AB$2, Data_All!$B$2:$CA$2, 0)+1), "")</f>
        <v/>
      </c>
      <c r="AC143" s="206" t="str">
        <f>IF(AND($A143&gt;=SYear_O, $A143&lt;=EYear_O, AC$3&gt;0), AC$3 * VLOOKUP($A143, Data_All!$A$8:$CA$153, MATCH(AC$2, Data_All!$B$2:$CA$2, 0)+1), "")</f>
        <v/>
      </c>
      <c r="AD143" s="206" t="str">
        <f>IF(AND($A143&gt;=SYear_O, $A143&lt;=EYear_O, AD$3&gt;0), AD$3 * VLOOKUP($A143, Data_All!$A$8:$CA$153, MATCH(AD$2, Data_All!$B$2:$CA$2, 0)+1), "")</f>
        <v/>
      </c>
      <c r="AE143" s="206" t="str">
        <f>IF(AND($A143&gt;=SYear_O, $A143&lt;=EYear_O, AE$3&gt;0), AE$3 * VLOOKUP($A143, Data_All!$A$8:$CA$153, MATCH(AE$2, Data_All!$B$2:$CA$2, 0)+1), "")</f>
        <v/>
      </c>
      <c r="AF143" s="206" t="str">
        <f>IF(AND($A143&gt;=SYear_O, $A143&lt;=EYear_O, AF$3&gt;0), AF$3 * VLOOKUP($A143, Data_All!$A$8:$CA$153, MATCH(AF$2, Data_All!$B$2:$CA$2, 0)+1), "")</f>
        <v/>
      </c>
      <c r="AG143" s="206" t="str">
        <f>IF(AND($A143&gt;=SYear_O, $A143&lt;=EYear_O, AG$3&gt;0), AG$3 * VLOOKUP($A143, Data_All!$A$8:$CA$153, MATCH(AG$2, Data_All!$B$2:$CA$2, 0)+1), "")</f>
        <v/>
      </c>
      <c r="AH143" s="206" t="str">
        <f>IF(AND($A143&gt;=SYear_O, $A143&lt;=EYear_O, AH$3&gt;0), AH$3 * VLOOKUP($A143, Data_All!$A$8:$CA$153, MATCH(AH$2, Data_All!$B$2:$CA$2, 0)+1), "")</f>
        <v/>
      </c>
      <c r="AI143" s="206" t="str">
        <f>IF(AND($A143&gt;=SYear_O, $A143&lt;=EYear_O, AI$3&gt;0), AI$3 * VLOOKUP($A143, Data_All!$A$8:$CA$153, MATCH(AI$2, Data_All!$B$2:$CA$2, 0)+1), "")</f>
        <v/>
      </c>
      <c r="AJ143" s="206" t="str">
        <f>IF(AND($A143&gt;=SYear_O, $A143&lt;=EYear_O, AJ$3&gt;0), AJ$3 * VLOOKUP($A143, Data_All!$A$8:$CA$153, MATCH(AJ$2, Data_All!$B$2:$CA$2, 0)+1), "")</f>
        <v/>
      </c>
      <c r="AK143" s="206" t="str">
        <f>IF(AND($A143&gt;=SYear_O, $A143&lt;=EYear_O, AK$3&gt;0), AK$3 * VLOOKUP($A143, Data_All!$A$8:$CA$153, MATCH(AK$2, Data_All!$B$2:$CA$2, 0)+1), "")</f>
        <v/>
      </c>
      <c r="AL143" s="206" t="str">
        <f>IF(AND($A143&gt;=SYear_O, $A143&lt;=EYear_O, AL$3&gt;0), AL$3 * VLOOKUP($A143, Data_All!$A$8:$CA$153, MATCH(AL$2, Data_All!$B$2:$CA$2, 0)+1), "")</f>
        <v/>
      </c>
      <c r="AM143" s="206" t="str">
        <f>IF(AND($A143&gt;=SYear_O, $A143&lt;=EYear_O, AM$3&gt;0), AM$3 * VLOOKUP($A143, Data_All!$A$8:$CA$153, MATCH(AM$2, Data_All!$B$2:$CA$2, 0)+1), "")</f>
        <v/>
      </c>
      <c r="AN143" s="206" t="str">
        <f>IF(AND($A143&gt;=SYear_O, $A143&lt;=EYear_O, AN$3&gt;0), AN$3 * VLOOKUP($A143, Data_All!$A$8:$CA$153, MATCH(AN$2, Data_All!$B$2:$CA$2, 0)+1), "")</f>
        <v/>
      </c>
      <c r="AO143" s="206" t="str">
        <f>IF(AND($A143&gt;=SYear_O, $A143&lt;=EYear_O, AO$3&gt;0), AO$3 * VLOOKUP($A143, Data_All!$A$8:$CA$153, MATCH(AO$2, Data_All!$B$2:$CA$2, 0)+1), "")</f>
        <v/>
      </c>
      <c r="AP143" s="206" t="str">
        <f>IF(AND($A143&gt;=SYear_O, $A143&lt;=EYear_O, AP$3&gt;0), AP$3 * VLOOKUP($A143, Data_All!$A$8:$CA$153, MATCH(AP$2, Data_All!$B$2:$CA$2, 0)+1), "")</f>
        <v/>
      </c>
      <c r="AQ143" s="206" t="str">
        <f>IF(AND($A143&gt;=SYear_O, $A143&lt;=EYear_O, AQ$3&gt;0), AQ$3 * VLOOKUP($A143, Data_All!$A$8:$CA$153, MATCH(AQ$2, Data_All!$B$2:$CA$2, 0)+1), "")</f>
        <v/>
      </c>
      <c r="AR143" s="206" t="str">
        <f>IF(AND($A143&gt;=SYear_O, $A143&lt;=EYear_O, AR$3&gt;0), AR$3 * VLOOKUP($A143, Data_All!$A$8:$CA$153, MATCH(AR$2, Data_All!$B$2:$CA$2, 0)+1), "")</f>
        <v/>
      </c>
      <c r="AS143" s="206" t="str">
        <f>IF(AND($A143&gt;=SYear_O, $A143&lt;=EYear_O, AS$3&gt;0), AS$3 * VLOOKUP($A143, Data_All!$A$8:$CA$153, MATCH(AS$2, Data_All!$B$2:$CA$2, 0)+1), "")</f>
        <v/>
      </c>
      <c r="AT143" s="206" t="str">
        <f>IF(AND($A143&gt;=SYear_O, $A143&lt;=EYear_O, AT$3&gt;0), AT$3 * VLOOKUP($A143, Data_All!$A$8:$CA$153, MATCH(AT$2, Data_All!$B$2:$CA$2, 0)+1), "")</f>
        <v/>
      </c>
      <c r="AU143" s="206" t="str">
        <f>IF(AND($A143&gt;=SYear_O, $A143&lt;=EYear_O, AU$3&gt;0), AU$3 * VLOOKUP($A143, Data_All!$A$8:$CA$153, MATCH(AU$2, Data_All!$B$2:$CA$2, 0)+1), "")</f>
        <v/>
      </c>
      <c r="AV143" s="206" t="str">
        <f>IF(AND($A143&gt;=SYear_O, $A143&lt;=EYear_O, AV$3&gt;0), AV$3 * VLOOKUP($A143, Data_All!$A$8:$CA$153, MATCH(AV$2, Data_All!$B$2:$CA$2, 0)+1), "")</f>
        <v/>
      </c>
      <c r="AW143" s="206" t="str">
        <f>IF(AND($A143&gt;=SYear_O, $A143&lt;=EYear_O, AW$3&gt;0), AW$3 * VLOOKUP($A143, Data_All!$A$8:$CA$153, MATCH(AW$2, Data_All!$B$2:$CA$2, 0)+1), "")</f>
        <v/>
      </c>
      <c r="AX143" s="206" t="str">
        <f>IF(AND($A143&gt;=SYear_O, $A143&lt;=EYear_O, AX$3&gt;0), AX$3 * VLOOKUP($A143, Data_All!$A$8:$CA$153, MATCH(AX$2, Data_All!$B$2:$CA$2, 0)+1), "")</f>
        <v/>
      </c>
      <c r="AY143" s="206" t="str">
        <f>IF(AND($A143&gt;=SYear_O, $A143&lt;=EYear_O, AY$3&gt;0), AY$3 * VLOOKUP($A143, Data_All!$A$8:$CA$153, MATCH(AY$2, Data_All!$B$2:$CA$2, 0)+1), "")</f>
        <v/>
      </c>
      <c r="AZ143" s="206" t="str">
        <f>IF(AND($A143&gt;=SYear_O, $A143&lt;=EYear_O, AZ$3&gt;0), AZ$3 * VLOOKUP($A143, Data_All!$A$8:$CA$153, MATCH(AZ$2, Data_All!$B$2:$CA$2, 0)+1), "")</f>
        <v/>
      </c>
      <c r="BA143" s="206" t="str">
        <f>IF(AND($A143&gt;=SYear_O, $A143&lt;=EYear_O, BA$3&gt;0), BA$3 * VLOOKUP($A143, Data_All!$A$8:$CA$153, MATCH(BA$2, Data_All!$B$2:$CA$2, 0)+1), "")</f>
        <v/>
      </c>
      <c r="BB143" s="206" t="str">
        <f>IF(AND($A143&gt;=SYear_O, $A143&lt;=EYear_O, BB$3&gt;0), BB$3 * VLOOKUP($A143, Data_All!$A$8:$CA$153, MATCH(BB$2, Data_All!$B$2:$CA$2, 0)+1), "")</f>
        <v/>
      </c>
      <c r="BC143" s="206" t="str">
        <f>IF(AND($A143&gt;=SYear_O, $A143&lt;=EYear_O, BC$3&gt;0), BC$3 * VLOOKUP($A143, Data_All!$A$8:$CA$153, MATCH(BC$2, Data_All!$B$2:$CA$2, 0)+1), "")</f>
        <v/>
      </c>
      <c r="BD143" s="206" t="str">
        <f>IF(AND($A143&gt;=SYear_O, $A143&lt;=EYear_O, BD$3&gt;0), BD$3 * VLOOKUP($A143, Data_All!$A$8:$CA$153, MATCH(BD$2, Data_All!$B$2:$CA$2, 0)+1), "")</f>
        <v/>
      </c>
      <c r="BE143" s="206" t="str">
        <f>IF(AND($A143&gt;=SYear_O, $A143&lt;=EYear_O, BE$3&gt;0), BE$3 * VLOOKUP($A143, Data_All!$A$8:$CA$153, MATCH(BE$2, Data_All!$B$2:$CA$2, 0)+1), "")</f>
        <v/>
      </c>
      <c r="BF143" s="206" t="str">
        <f>IF(AND($A143&gt;=SYear_O, $A143&lt;=EYear_O, BF$3&gt;0), BF$3 * VLOOKUP($A143, Data_All!$A$8:$CA$153, MATCH(BF$2, Data_All!$B$2:$CA$2, 0)+1), "")</f>
        <v/>
      </c>
      <c r="BG143" s="206" t="str">
        <f>IF(AND($A143&gt;=SYear_O, $A143&lt;=EYear_O, BG$3&gt;0), BG$3 * VLOOKUP($A143, Data_All!$A$8:$CA$153, MATCH(BG$2, Data_All!$B$2:$CA$2, 0)+1), "")</f>
        <v/>
      </c>
      <c r="BH143" s="206" t="str">
        <f>IF(AND($A143&gt;=SYear_O, $A143&lt;=EYear_O, BH$3&gt;0), BH$3 * VLOOKUP($A143, Data_All!$A$8:$CA$153, MATCH(BH$2, Data_All!$B$2:$CA$2, 0)+1), "")</f>
        <v/>
      </c>
      <c r="BI143" s="206" t="str">
        <f>IF(AND($A143&gt;=SYear_O, $A143&lt;=EYear_O, BI$3&gt;0), BI$3 * VLOOKUP($A143, Data_All!$A$8:$CA$153, MATCH(BI$2, Data_All!$B$2:$CA$2, 0)+1), "")</f>
        <v/>
      </c>
      <c r="BJ143" s="206" t="str">
        <f>IF(AND($A143&gt;=SYear_O, $A143&lt;=EYear_O, BJ$3&gt;0), BJ$3 * VLOOKUP($A143, Data_All!$A$8:$CA$153, MATCH(BJ$2, Data_All!$B$2:$CA$2, 0)+1), "")</f>
        <v/>
      </c>
      <c r="BK143" s="206" t="str">
        <f>IF(AND($A143&gt;=SYear_O, $A143&lt;=EYear_O, BK$3&gt;0), BK$3 * VLOOKUP($A143, Data_All!$A$8:$CA$153, MATCH(BK$2, Data_All!$B$2:$CA$2, 0)+1), "")</f>
        <v/>
      </c>
      <c r="BL143" s="206" t="str">
        <f>IF(AND($A143&gt;=SYear_O, $A143&lt;=EYear_O, BL$3&gt;0), BL$3 * VLOOKUP($A143, Data_All!$A$8:$CA$153, MATCH(BL$2, Data_All!$B$2:$CA$2, 0)+1), "")</f>
        <v/>
      </c>
      <c r="BM143" s="206" t="str">
        <f>IF(AND($A143&gt;=SYear_O, $A143&lt;=EYear_O, BM$3&gt;0), BM$3 * VLOOKUP($A143, Data_All!$A$8:$CA$153, MATCH(BM$2, Data_All!$B$2:$CA$2, 0)+1), "")</f>
        <v/>
      </c>
      <c r="BN143" s="206" t="str">
        <f>IF(AND($A143&gt;=SYear_O, $A143&lt;=EYear_O, BN$3&gt;0), BN$3 * VLOOKUP($A143, Data_All!$A$8:$CA$153, MATCH(BN$2, Data_All!$B$2:$CA$2, 0)+1), "")</f>
        <v/>
      </c>
      <c r="BO143" s="206" t="str">
        <f>IF(AND($A143&gt;=SYear_O, $A143&lt;=EYear_O, BO$3&gt;0), BO$3 * VLOOKUP($A143, Data_All!$A$8:$CA$153, MATCH(BO$2, Data_All!$B$2:$CA$2, 0)+1), "")</f>
        <v/>
      </c>
      <c r="BP143" s="206" t="str">
        <f>IF(AND($A143&gt;=SYear_O, $A143&lt;=EYear_O, BP$3&gt;0), BP$3 * VLOOKUP($A143, Data_All!$A$8:$CA$153, MATCH(BP$2, Data_All!$B$2:$CA$2, 0)+1), "")</f>
        <v/>
      </c>
      <c r="BQ143" s="206" t="str">
        <f>IF(AND($A143&gt;=SYear_O, $A143&lt;=EYear_O, BQ$3&gt;0), BQ$3 * VLOOKUP($A143, Data_All!$A$8:$CA$153, MATCH(BQ$2, Data_All!$B$2:$CA$2, 0)+1), "")</f>
        <v/>
      </c>
      <c r="BR143" s="206" t="str">
        <f>IF(AND($A143&gt;=SYear_O, $A143&lt;=EYear_O, BR$3&gt;0), BR$3 * VLOOKUP($A143, Data_All!$A$8:$CA$153, MATCH(BR$2, Data_All!$B$2:$CA$2, 0)+1), "")</f>
        <v/>
      </c>
      <c r="BS143" s="206" t="str">
        <f>IF(AND($A143&gt;=SYear_O, $A143&lt;=EYear_O, BS$3&gt;0), BS$3 * VLOOKUP($A143, Data_All!$A$8:$CA$153, MATCH(BS$2, Data_All!$B$2:$CA$2, 0)+1), "")</f>
        <v/>
      </c>
      <c r="BT143" s="206" t="str">
        <f>IF(AND($A143&gt;=SYear_O, $A143&lt;=EYear_O, BT$3&gt;0), BT$3 * VLOOKUP($A143, Data_All!$A$8:$CA$153, MATCH(BT$2, Data_All!$B$2:$CA$2, 0)+1), "")</f>
        <v/>
      </c>
      <c r="BU143" s="206" t="str">
        <f>IF(AND($A143&gt;=SYear_O, $A143&lt;=EYear_O, BU$3&gt;0), BU$3 * VLOOKUP($A143, Data_All!$A$8:$CA$153, MATCH(BU$2, Data_All!$B$2:$CA$2, 0)+1), "")</f>
        <v/>
      </c>
      <c r="BV143" s="206" t="str">
        <f>IF(AND($A143&gt;=SYear_O, $A143&lt;=EYear_O, BV$3&gt;0), BV$3 * VLOOKUP($A143, Data_All!$A$8:$CA$153, MATCH(BV$2, Data_All!$B$2:$CA$2, 0)+1), "")</f>
        <v/>
      </c>
      <c r="BW143" s="206" t="str">
        <f>IF(AND($A143&gt;=SYear_O, $A143&lt;=EYear_O, BW$3&gt;0), BW$3 * VLOOKUP($A143, Data_All!$A$8:$CA$153, MATCH(BW$2, Data_All!$B$2:$CA$2, 0)+1), "")</f>
        <v/>
      </c>
      <c r="BX143" s="206">
        <f>IF(AND($A143&gt;=SYear_O, $A143&lt;=EYear_O, BX$3&gt;0), BX$3 * VLOOKUP($A143, Data_All!$A$8:$CA$153, MATCH(BX$2, Data_All!$B$2:$CA$2, 0)+1), "")</f>
        <v>-0.74443882709808396</v>
      </c>
      <c r="BY143" s="206">
        <f>IF(AND($A143&gt;=SYear_O, $A143&lt;=EYear_O, BY$3&gt;0), BY$3 * VLOOKUP($A143, Data_All!$A$8:$CA$153, MATCH(BY$2, Data_All!$B$2:$CA$2, 0)+1), "")</f>
        <v>4.8549994951259734</v>
      </c>
      <c r="BZ143" s="206" t="str">
        <f>IF(AND($A143&gt;=SYear_O, $A143&lt;=EYear_O, BZ$3&gt;0), BZ$3 * VLOOKUP($A143, Data_All!$A$8:$CA$153, MATCH(BZ$2, Data_All!$B$2:$CA$2, 0)+1), "")</f>
        <v/>
      </c>
      <c r="CA143" s="565">
        <f t="shared" si="68"/>
        <v>4.1105606680278894</v>
      </c>
      <c r="CB143" s="427">
        <f t="shared" si="69"/>
        <v>236929844.91694137</v>
      </c>
      <c r="CC143" s="565">
        <f>IF(AND($A143&gt;=SYear_O,$A143&lt;=EYear_O),(CA143-Data_All!CA144)/(1+Data_All!CA144%),"")</f>
        <v>2.8143474490230819E-2</v>
      </c>
      <c r="CD143" s="436">
        <f t="shared" si="70"/>
        <v>14060008.949729089</v>
      </c>
      <c r="CE143" s="438">
        <f t="shared" si="71"/>
        <v>21489.356575072292</v>
      </c>
      <c r="CF143" s="438">
        <f>IF(AND($A143&gt;=SYear_O,$A143&lt;=EYear_O),MAX($CE$7:CE143),"")</f>
        <v>21489.356575072292</v>
      </c>
      <c r="CG143" s="209">
        <f t="shared" si="72"/>
        <v>0</v>
      </c>
      <c r="CI143" s="143">
        <f>IF(AND($A143&gt;=SYear_O,$A143&lt;=EYear_O),Data_All!V144,"")</f>
        <v>4.6500000000000004</v>
      </c>
      <c r="CJ143" s="143">
        <f>IF(AND($A143&gt;=SYear_O,$A143&lt;=EYear_O),Data_All!CA144,"")</f>
        <v>4.0812685827551931</v>
      </c>
      <c r="CK143" s="143">
        <f t="shared" si="73"/>
        <v>0.54643013578625621</v>
      </c>
      <c r="CN143" s="61">
        <f t="shared" si="58"/>
        <v>4.110560668027885E-2</v>
      </c>
      <c r="CO143" s="61">
        <f t="shared" si="59"/>
        <v>8.7834960051016431E-3</v>
      </c>
      <c r="CP143" s="61">
        <f t="shared" si="60"/>
        <v>4.0389718806412622E-2</v>
      </c>
      <c r="CQ143" s="61"/>
      <c r="CR143" s="61"/>
      <c r="CU143" s="61">
        <f t="shared" si="63"/>
        <v>2.8143474490227582E-4</v>
      </c>
      <c r="CV143" s="61">
        <f t="shared" si="64"/>
        <v>-1.3747864366849383E-2</v>
      </c>
      <c r="CW143" s="61">
        <f t="shared" si="65"/>
        <v>1.7383637521399153E-2</v>
      </c>
      <c r="CX143" s="61"/>
      <c r="CY143" s="61"/>
    </row>
    <row r="144" spans="1:103">
      <c r="A144" s="204">
        <f t="shared" si="51"/>
        <v>2008</v>
      </c>
      <c r="B144" s="206" t="str">
        <f>IF(AND($A144&gt;=SYear_O, $A144&lt;=EYear_O, B$3&gt;0), B$3 * VLOOKUP($A144, Data_All!$A$8:$CA$153, MATCH(B$2, Data_All!$B$2:$CA$2, 0)+1), "")</f>
        <v/>
      </c>
      <c r="C144" s="206" t="str">
        <f>IF(AND($A144&gt;=SYear_O, $A144&lt;=EYear_O, C$3&gt;0), C$3 * VLOOKUP($A144, Data_All!$A$8:$CA$153, MATCH(C$2, Data_All!$B$2:$CA$2, 0)+1), "")</f>
        <v/>
      </c>
      <c r="D144" s="206" t="str">
        <f>IF(AND($A144&gt;=SYear_O, $A144&lt;=EYear_O, D$3&gt;0), D$3 * VLOOKUP($A144, Data_All!$A$8:$CA$153, MATCH(D$2, Data_All!$B$2:$CA$2, 0)+1), "")</f>
        <v/>
      </c>
      <c r="E144" s="206" t="str">
        <f>IF(AND($A144&gt;=SYear_O, $A144&lt;=EYear_O, E$3&gt;0), E$3 * VLOOKUP($A144, Data_All!$A$8:$CA$153, MATCH(E$2, Data_All!$B$2:$CA$2, 0)+1), "")</f>
        <v/>
      </c>
      <c r="F144" s="206" t="str">
        <f>IF(AND($A144&gt;=SYear_O, $A144&lt;=EYear_O, F$3&gt;0), F$3 * VLOOKUP($A144, Data_All!$A$8:$CA$153, MATCH(F$2, Data_All!$B$2:$CA$2, 0)+1), "")</f>
        <v/>
      </c>
      <c r="G144" s="206" t="str">
        <f>IF(AND($A144&gt;=SYear_O, $A144&lt;=EYear_O, G$3&gt;0), G$3 * VLOOKUP($A144, Data_All!$A$8:$CA$153, MATCH(G$2, Data_All!$B$2:$CA$2, 0)+1), "")</f>
        <v/>
      </c>
      <c r="H144" s="206" t="str">
        <f>IF(AND($A144&gt;=SYear_O, $A144&lt;=EYear_O, H$3&gt;0), H$3 * VLOOKUP($A144, Data_All!$A$8:$CA$153, MATCH(H$2, Data_All!$B$2:$CA$2, 0)+1), "")</f>
        <v/>
      </c>
      <c r="I144" s="206" t="str">
        <f>IF(AND($A144&gt;=SYear_O, $A144&lt;=EYear_O, I$3&gt;0), I$3 * VLOOKUP($A144, Data_All!$A$8:$CA$153, MATCH(I$2, Data_All!$B$2:$CA$2, 0)+1), "")</f>
        <v/>
      </c>
      <c r="J144" s="206" t="str">
        <f>IF(AND($A144&gt;=SYear_O, $A144&lt;=EYear_O, J$3&gt;0), J$3 * VLOOKUP($A144, Data_All!$A$8:$CA$153, MATCH(J$2, Data_All!$B$2:$CA$2, 0)+1), "")</f>
        <v/>
      </c>
      <c r="K144" s="206" t="str">
        <f>IF(AND($A144&gt;=SYear_O, $A144&lt;=EYear_O, K$3&gt;0), K$3 * VLOOKUP($A144, Data_All!$A$8:$CA$153, MATCH(K$2, Data_All!$B$2:$CA$2, 0)+1), "")</f>
        <v/>
      </c>
      <c r="L144" s="206" t="str">
        <f>IF(AND($A144&gt;=SYear_O, $A144&lt;=EYear_O, L$3&gt;0), L$3 * VLOOKUP($A144, Data_All!$A$8:$CA$153, MATCH(L$2, Data_All!$B$2:$CA$2, 0)+1), "")</f>
        <v/>
      </c>
      <c r="M144" s="206" t="str">
        <f>IF(AND($A144&gt;=SYear_O, $A144&lt;=EYear_O, M$3&gt;0), M$3 * VLOOKUP($A144, Data_All!$A$8:$CA$153, MATCH(M$2, Data_All!$B$2:$CA$2, 0)+1), "")</f>
        <v/>
      </c>
      <c r="N144" s="206" t="str">
        <f>IF(AND($A144&gt;=SYear_O, $A144&lt;=EYear_O, N$3&gt;0), N$3 * VLOOKUP($A144, Data_All!$A$8:$CA$153, MATCH(N$2, Data_All!$B$2:$CA$2, 0)+1), "")</f>
        <v/>
      </c>
      <c r="O144" s="206" t="str">
        <f>IF(AND($A144&gt;=SYear_O, $A144&lt;=EYear_O, O$3&gt;0), O$3 * VLOOKUP($A144, Data_All!$A$8:$CA$153, MATCH(O$2, Data_All!$B$2:$CA$2, 0)+1), "")</f>
        <v/>
      </c>
      <c r="P144" s="206" t="str">
        <f>IF(AND($A144&gt;=SYear_O, $A144&lt;=EYear_O, P$3&gt;0), P$3 * VLOOKUP($A144, Data_All!$A$8:$CA$153, MATCH(P$2, Data_All!$B$2:$CA$2, 0)+1), "")</f>
        <v/>
      </c>
      <c r="Q144" s="206" t="str">
        <f>IF(AND($A144&gt;=SYear_O, $A144&lt;=EYear_O, Q$3&gt;0), Q$3 * VLOOKUP($A144, Data_All!$A$8:$CA$153, MATCH(Q$2, Data_All!$B$2:$CA$2, 0)+1), "")</f>
        <v/>
      </c>
      <c r="R144" s="206" t="str">
        <f>IF(AND($A144&gt;=SYear_O, $A144&lt;=EYear_O, R$3&gt;0), R$3 * VLOOKUP($A144, Data_All!$A$8:$CA$153, MATCH(R$2, Data_All!$B$2:$CA$2, 0)+1), "")</f>
        <v/>
      </c>
      <c r="S144" s="206" t="str">
        <f>IF(AND($A144&gt;=SYear_O, $A144&lt;=EYear_O, S$3&gt;0), S$3 * VLOOKUP($A144, Data_All!$A$8:$CA$153, MATCH(S$2, Data_All!$B$2:$CA$2, 0)+1), "")</f>
        <v/>
      </c>
      <c r="T144" s="206" t="str">
        <f>IF(AND($A144&gt;=SYear_O, $A144&lt;=EYear_O, T$3&gt;0), T$3 * VLOOKUP($A144, Data_All!$A$8:$CA$153, MATCH(T$2, Data_All!$B$2:$CA$2, 0)+1), "")</f>
        <v/>
      </c>
      <c r="U144" s="206" t="str">
        <f>IF(AND($A144&gt;=SYear_O, $A144&lt;=EYear_O, U$3&gt;0), U$3 * VLOOKUP($A144, Data_All!$A$8:$CA$153, MATCH(U$2, Data_All!$B$2:$CA$2, 0)+1), "")</f>
        <v/>
      </c>
      <c r="V144" s="206" t="str">
        <f>IF(AND($A144&gt;=SYear_O, $A144&lt;=EYear_O, V$3&gt;0), V$3 * VLOOKUP($A144, Data_All!$A$8:$CA$153, MATCH(V$2, Data_All!$B$2:$CA$2, 0)+1), "")</f>
        <v/>
      </c>
      <c r="W144" s="206" t="str">
        <f>IF(AND($A144&gt;=SYear_O, $A144&lt;=EYear_O, W$3&gt;0), W$3 * VLOOKUP($A144, Data_All!$A$8:$CA$153, MATCH(W$2, Data_All!$B$2:$CA$2, 0)+1), "")</f>
        <v/>
      </c>
      <c r="X144" s="206" t="str">
        <f>IF(AND($A144&gt;=SYear_O, $A144&lt;=EYear_O, X$3&gt;0), X$3 * VLOOKUP($A144, Data_All!$A$8:$CA$153, MATCH(X$2, Data_All!$B$2:$CA$2, 0)+1), "")</f>
        <v/>
      </c>
      <c r="Y144" s="206" t="str">
        <f>IF(AND($A144&gt;=SYear_O, $A144&lt;=EYear_O, Y$3&gt;0), Y$3 * VLOOKUP($A144, Data_All!$A$8:$CA$153, MATCH(Y$2, Data_All!$B$2:$CA$2, 0)+1), "")</f>
        <v/>
      </c>
      <c r="Z144" s="206" t="str">
        <f>IF(AND($A144&gt;=SYear_O, $A144&lt;=EYear_O, Z$3&gt;0), Z$3 * VLOOKUP($A144, Data_All!$A$8:$CA$153, MATCH(Z$2, Data_All!$B$2:$CA$2, 0)+1), "")</f>
        <v/>
      </c>
      <c r="AA144" s="206" t="str">
        <f>IF(AND($A144&gt;=SYear_O, $A144&lt;=EYear_O, AA$3&gt;0), AA$3 * VLOOKUP($A144, Data_All!$A$8:$CA$153, MATCH(AA$2, Data_All!$B$2:$CA$2, 0)+1), "")</f>
        <v/>
      </c>
      <c r="AB144" s="206" t="str">
        <f>IF(AND($A144&gt;=SYear_O, $A144&lt;=EYear_O, AB$3&gt;0), AB$3 * VLOOKUP($A144, Data_All!$A$8:$CA$153, MATCH(AB$2, Data_All!$B$2:$CA$2, 0)+1), "")</f>
        <v/>
      </c>
      <c r="AC144" s="206" t="str">
        <f>IF(AND($A144&gt;=SYear_O, $A144&lt;=EYear_O, AC$3&gt;0), AC$3 * VLOOKUP($A144, Data_All!$A$8:$CA$153, MATCH(AC$2, Data_All!$B$2:$CA$2, 0)+1), "")</f>
        <v/>
      </c>
      <c r="AD144" s="206" t="str">
        <f>IF(AND($A144&gt;=SYear_O, $A144&lt;=EYear_O, AD$3&gt;0), AD$3 * VLOOKUP($A144, Data_All!$A$8:$CA$153, MATCH(AD$2, Data_All!$B$2:$CA$2, 0)+1), "")</f>
        <v/>
      </c>
      <c r="AE144" s="206" t="str">
        <f>IF(AND($A144&gt;=SYear_O, $A144&lt;=EYear_O, AE$3&gt;0), AE$3 * VLOOKUP($A144, Data_All!$A$8:$CA$153, MATCH(AE$2, Data_All!$B$2:$CA$2, 0)+1), "")</f>
        <v/>
      </c>
      <c r="AF144" s="206" t="str">
        <f>IF(AND($A144&gt;=SYear_O, $A144&lt;=EYear_O, AF$3&gt;0), AF$3 * VLOOKUP($A144, Data_All!$A$8:$CA$153, MATCH(AF$2, Data_All!$B$2:$CA$2, 0)+1), "")</f>
        <v/>
      </c>
      <c r="AG144" s="206" t="str">
        <f>IF(AND($A144&gt;=SYear_O, $A144&lt;=EYear_O, AG$3&gt;0), AG$3 * VLOOKUP($A144, Data_All!$A$8:$CA$153, MATCH(AG$2, Data_All!$B$2:$CA$2, 0)+1), "")</f>
        <v/>
      </c>
      <c r="AH144" s="206" t="str">
        <f>IF(AND($A144&gt;=SYear_O, $A144&lt;=EYear_O, AH$3&gt;0), AH$3 * VLOOKUP($A144, Data_All!$A$8:$CA$153, MATCH(AH$2, Data_All!$B$2:$CA$2, 0)+1), "")</f>
        <v/>
      </c>
      <c r="AI144" s="206" t="str">
        <f>IF(AND($A144&gt;=SYear_O, $A144&lt;=EYear_O, AI$3&gt;0), AI$3 * VLOOKUP($A144, Data_All!$A$8:$CA$153, MATCH(AI$2, Data_All!$B$2:$CA$2, 0)+1), "")</f>
        <v/>
      </c>
      <c r="AJ144" s="206" t="str">
        <f>IF(AND($A144&gt;=SYear_O, $A144&lt;=EYear_O, AJ$3&gt;0), AJ$3 * VLOOKUP($A144, Data_All!$A$8:$CA$153, MATCH(AJ$2, Data_All!$B$2:$CA$2, 0)+1), "")</f>
        <v/>
      </c>
      <c r="AK144" s="206" t="str">
        <f>IF(AND($A144&gt;=SYear_O, $A144&lt;=EYear_O, AK$3&gt;0), AK$3 * VLOOKUP($A144, Data_All!$A$8:$CA$153, MATCH(AK$2, Data_All!$B$2:$CA$2, 0)+1), "")</f>
        <v/>
      </c>
      <c r="AL144" s="206" t="str">
        <f>IF(AND($A144&gt;=SYear_O, $A144&lt;=EYear_O, AL$3&gt;0), AL$3 * VLOOKUP($A144, Data_All!$A$8:$CA$153, MATCH(AL$2, Data_All!$B$2:$CA$2, 0)+1), "")</f>
        <v/>
      </c>
      <c r="AM144" s="206" t="str">
        <f>IF(AND($A144&gt;=SYear_O, $A144&lt;=EYear_O, AM$3&gt;0), AM$3 * VLOOKUP($A144, Data_All!$A$8:$CA$153, MATCH(AM$2, Data_All!$B$2:$CA$2, 0)+1), "")</f>
        <v/>
      </c>
      <c r="AN144" s="206" t="str">
        <f>IF(AND($A144&gt;=SYear_O, $A144&lt;=EYear_O, AN$3&gt;0), AN$3 * VLOOKUP($A144, Data_All!$A$8:$CA$153, MATCH(AN$2, Data_All!$B$2:$CA$2, 0)+1), "")</f>
        <v/>
      </c>
      <c r="AO144" s="206" t="str">
        <f>IF(AND($A144&gt;=SYear_O, $A144&lt;=EYear_O, AO$3&gt;0), AO$3 * VLOOKUP($A144, Data_All!$A$8:$CA$153, MATCH(AO$2, Data_All!$B$2:$CA$2, 0)+1), "")</f>
        <v/>
      </c>
      <c r="AP144" s="206" t="str">
        <f>IF(AND($A144&gt;=SYear_O, $A144&lt;=EYear_O, AP$3&gt;0), AP$3 * VLOOKUP($A144, Data_All!$A$8:$CA$153, MATCH(AP$2, Data_All!$B$2:$CA$2, 0)+1), "")</f>
        <v/>
      </c>
      <c r="AQ144" s="206" t="str">
        <f>IF(AND($A144&gt;=SYear_O, $A144&lt;=EYear_O, AQ$3&gt;0), AQ$3 * VLOOKUP($A144, Data_All!$A$8:$CA$153, MATCH(AQ$2, Data_All!$B$2:$CA$2, 0)+1), "")</f>
        <v/>
      </c>
      <c r="AR144" s="206" t="str">
        <f>IF(AND($A144&gt;=SYear_O, $A144&lt;=EYear_O, AR$3&gt;0), AR$3 * VLOOKUP($A144, Data_All!$A$8:$CA$153, MATCH(AR$2, Data_All!$B$2:$CA$2, 0)+1), "")</f>
        <v/>
      </c>
      <c r="AS144" s="206" t="str">
        <f>IF(AND($A144&gt;=SYear_O, $A144&lt;=EYear_O, AS$3&gt;0), AS$3 * VLOOKUP($A144, Data_All!$A$8:$CA$153, MATCH(AS$2, Data_All!$B$2:$CA$2, 0)+1), "")</f>
        <v/>
      </c>
      <c r="AT144" s="206" t="str">
        <f>IF(AND($A144&gt;=SYear_O, $A144&lt;=EYear_O, AT$3&gt;0), AT$3 * VLOOKUP($A144, Data_All!$A$8:$CA$153, MATCH(AT$2, Data_All!$B$2:$CA$2, 0)+1), "")</f>
        <v/>
      </c>
      <c r="AU144" s="206" t="str">
        <f>IF(AND($A144&gt;=SYear_O, $A144&lt;=EYear_O, AU$3&gt;0), AU$3 * VLOOKUP($A144, Data_All!$A$8:$CA$153, MATCH(AU$2, Data_All!$B$2:$CA$2, 0)+1), "")</f>
        <v/>
      </c>
      <c r="AV144" s="206" t="str">
        <f>IF(AND($A144&gt;=SYear_O, $A144&lt;=EYear_O, AV$3&gt;0), AV$3 * VLOOKUP($A144, Data_All!$A$8:$CA$153, MATCH(AV$2, Data_All!$B$2:$CA$2, 0)+1), "")</f>
        <v/>
      </c>
      <c r="AW144" s="206" t="str">
        <f>IF(AND($A144&gt;=SYear_O, $A144&lt;=EYear_O, AW$3&gt;0), AW$3 * VLOOKUP($A144, Data_All!$A$8:$CA$153, MATCH(AW$2, Data_All!$B$2:$CA$2, 0)+1), "")</f>
        <v/>
      </c>
      <c r="AX144" s="206" t="str">
        <f>IF(AND($A144&gt;=SYear_O, $A144&lt;=EYear_O, AX$3&gt;0), AX$3 * VLOOKUP($A144, Data_All!$A$8:$CA$153, MATCH(AX$2, Data_All!$B$2:$CA$2, 0)+1), "")</f>
        <v/>
      </c>
      <c r="AY144" s="206" t="str">
        <f>IF(AND($A144&gt;=SYear_O, $A144&lt;=EYear_O, AY$3&gt;0), AY$3 * VLOOKUP($A144, Data_All!$A$8:$CA$153, MATCH(AY$2, Data_All!$B$2:$CA$2, 0)+1), "")</f>
        <v/>
      </c>
      <c r="AZ144" s="206" t="str">
        <f>IF(AND($A144&gt;=SYear_O, $A144&lt;=EYear_O, AZ$3&gt;0), AZ$3 * VLOOKUP($A144, Data_All!$A$8:$CA$153, MATCH(AZ$2, Data_All!$B$2:$CA$2, 0)+1), "")</f>
        <v/>
      </c>
      <c r="BA144" s="206" t="str">
        <f>IF(AND($A144&gt;=SYear_O, $A144&lt;=EYear_O, BA$3&gt;0), BA$3 * VLOOKUP($A144, Data_All!$A$8:$CA$153, MATCH(BA$2, Data_All!$B$2:$CA$2, 0)+1), "")</f>
        <v/>
      </c>
      <c r="BB144" s="206" t="str">
        <f>IF(AND($A144&gt;=SYear_O, $A144&lt;=EYear_O, BB$3&gt;0), BB$3 * VLOOKUP($A144, Data_All!$A$8:$CA$153, MATCH(BB$2, Data_All!$B$2:$CA$2, 0)+1), "")</f>
        <v/>
      </c>
      <c r="BC144" s="206" t="str">
        <f>IF(AND($A144&gt;=SYear_O, $A144&lt;=EYear_O, BC$3&gt;0), BC$3 * VLOOKUP($A144, Data_All!$A$8:$CA$153, MATCH(BC$2, Data_All!$B$2:$CA$2, 0)+1), "")</f>
        <v/>
      </c>
      <c r="BD144" s="206" t="str">
        <f>IF(AND($A144&gt;=SYear_O, $A144&lt;=EYear_O, BD$3&gt;0), BD$3 * VLOOKUP($A144, Data_All!$A$8:$CA$153, MATCH(BD$2, Data_All!$B$2:$CA$2, 0)+1), "")</f>
        <v/>
      </c>
      <c r="BE144" s="206" t="str">
        <f>IF(AND($A144&gt;=SYear_O, $A144&lt;=EYear_O, BE$3&gt;0), BE$3 * VLOOKUP($A144, Data_All!$A$8:$CA$153, MATCH(BE$2, Data_All!$B$2:$CA$2, 0)+1), "")</f>
        <v/>
      </c>
      <c r="BF144" s="206" t="str">
        <f>IF(AND($A144&gt;=SYear_O, $A144&lt;=EYear_O, BF$3&gt;0), BF$3 * VLOOKUP($A144, Data_All!$A$8:$CA$153, MATCH(BF$2, Data_All!$B$2:$CA$2, 0)+1), "")</f>
        <v/>
      </c>
      <c r="BG144" s="206" t="str">
        <f>IF(AND($A144&gt;=SYear_O, $A144&lt;=EYear_O, BG$3&gt;0), BG$3 * VLOOKUP($A144, Data_All!$A$8:$CA$153, MATCH(BG$2, Data_All!$B$2:$CA$2, 0)+1), "")</f>
        <v/>
      </c>
      <c r="BH144" s="206" t="str">
        <f>IF(AND($A144&gt;=SYear_O, $A144&lt;=EYear_O, BH$3&gt;0), BH$3 * VLOOKUP($A144, Data_All!$A$8:$CA$153, MATCH(BH$2, Data_All!$B$2:$CA$2, 0)+1), "")</f>
        <v/>
      </c>
      <c r="BI144" s="206" t="str">
        <f>IF(AND($A144&gt;=SYear_O, $A144&lt;=EYear_O, BI$3&gt;0), BI$3 * VLOOKUP($A144, Data_All!$A$8:$CA$153, MATCH(BI$2, Data_All!$B$2:$CA$2, 0)+1), "")</f>
        <v/>
      </c>
      <c r="BJ144" s="206" t="str">
        <f>IF(AND($A144&gt;=SYear_O, $A144&lt;=EYear_O, BJ$3&gt;0), BJ$3 * VLOOKUP($A144, Data_All!$A$8:$CA$153, MATCH(BJ$2, Data_All!$B$2:$CA$2, 0)+1), "")</f>
        <v/>
      </c>
      <c r="BK144" s="206" t="str">
        <f>IF(AND($A144&gt;=SYear_O, $A144&lt;=EYear_O, BK$3&gt;0), BK$3 * VLOOKUP($A144, Data_All!$A$8:$CA$153, MATCH(BK$2, Data_All!$B$2:$CA$2, 0)+1), "")</f>
        <v/>
      </c>
      <c r="BL144" s="206" t="str">
        <f>IF(AND($A144&gt;=SYear_O, $A144&lt;=EYear_O, BL$3&gt;0), BL$3 * VLOOKUP($A144, Data_All!$A$8:$CA$153, MATCH(BL$2, Data_All!$B$2:$CA$2, 0)+1), "")</f>
        <v/>
      </c>
      <c r="BM144" s="206" t="str">
        <f>IF(AND($A144&gt;=SYear_O, $A144&lt;=EYear_O, BM$3&gt;0), BM$3 * VLOOKUP($A144, Data_All!$A$8:$CA$153, MATCH(BM$2, Data_All!$B$2:$CA$2, 0)+1), "")</f>
        <v/>
      </c>
      <c r="BN144" s="206" t="str">
        <f>IF(AND($A144&gt;=SYear_O, $A144&lt;=EYear_O, BN$3&gt;0), BN$3 * VLOOKUP($A144, Data_All!$A$8:$CA$153, MATCH(BN$2, Data_All!$B$2:$CA$2, 0)+1), "")</f>
        <v/>
      </c>
      <c r="BO144" s="206" t="str">
        <f>IF(AND($A144&gt;=SYear_O, $A144&lt;=EYear_O, BO$3&gt;0), BO$3 * VLOOKUP($A144, Data_All!$A$8:$CA$153, MATCH(BO$2, Data_All!$B$2:$CA$2, 0)+1), "")</f>
        <v/>
      </c>
      <c r="BP144" s="206" t="str">
        <f>IF(AND($A144&gt;=SYear_O, $A144&lt;=EYear_O, BP$3&gt;0), BP$3 * VLOOKUP($A144, Data_All!$A$8:$CA$153, MATCH(BP$2, Data_All!$B$2:$CA$2, 0)+1), "")</f>
        <v/>
      </c>
      <c r="BQ144" s="206" t="str">
        <f>IF(AND($A144&gt;=SYear_O, $A144&lt;=EYear_O, BQ$3&gt;0), BQ$3 * VLOOKUP($A144, Data_All!$A$8:$CA$153, MATCH(BQ$2, Data_All!$B$2:$CA$2, 0)+1), "")</f>
        <v/>
      </c>
      <c r="BR144" s="206" t="str">
        <f>IF(AND($A144&gt;=SYear_O, $A144&lt;=EYear_O, BR$3&gt;0), BR$3 * VLOOKUP($A144, Data_All!$A$8:$CA$153, MATCH(BR$2, Data_All!$B$2:$CA$2, 0)+1), "")</f>
        <v/>
      </c>
      <c r="BS144" s="206" t="str">
        <f>IF(AND($A144&gt;=SYear_O, $A144&lt;=EYear_O, BS$3&gt;0), BS$3 * VLOOKUP($A144, Data_All!$A$8:$CA$153, MATCH(BS$2, Data_All!$B$2:$CA$2, 0)+1), "")</f>
        <v/>
      </c>
      <c r="BT144" s="206" t="str">
        <f>IF(AND($A144&gt;=SYear_O, $A144&lt;=EYear_O, BT$3&gt;0), BT$3 * VLOOKUP($A144, Data_All!$A$8:$CA$153, MATCH(BT$2, Data_All!$B$2:$CA$2, 0)+1), "")</f>
        <v/>
      </c>
      <c r="BU144" s="206" t="str">
        <f>IF(AND($A144&gt;=SYear_O, $A144&lt;=EYear_O, BU$3&gt;0), BU$3 * VLOOKUP($A144, Data_All!$A$8:$CA$153, MATCH(BU$2, Data_All!$B$2:$CA$2, 0)+1), "")</f>
        <v/>
      </c>
      <c r="BV144" s="206" t="str">
        <f>IF(AND($A144&gt;=SYear_O, $A144&lt;=EYear_O, BV$3&gt;0), BV$3 * VLOOKUP($A144, Data_All!$A$8:$CA$153, MATCH(BV$2, Data_All!$B$2:$CA$2, 0)+1), "")</f>
        <v/>
      </c>
      <c r="BW144" s="206" t="str">
        <f>IF(AND($A144&gt;=SYear_O, $A144&lt;=EYear_O, BW$3&gt;0), BW$3 * VLOOKUP($A144, Data_All!$A$8:$CA$153, MATCH(BW$2, Data_All!$B$2:$CA$2, 0)+1), "")</f>
        <v/>
      </c>
      <c r="BX144" s="206">
        <f>IF(AND($A144&gt;=SYear_O, $A144&lt;=EYear_O, BX$3&gt;0), BX$3 * VLOOKUP($A144, Data_All!$A$8:$CA$153, MATCH(BX$2, Data_All!$B$2:$CA$2, 0)+1), "")</f>
        <v>-21.096782616263887</v>
      </c>
      <c r="BY144" s="206">
        <f>IF(AND($A144&gt;=SYear_O, $A144&lt;=EYear_O, BY$3&gt;0), BY$3 * VLOOKUP($A144, Data_All!$A$8:$CA$153, MATCH(BY$2, Data_All!$B$2:$CA$2, 0)+1), "")</f>
        <v>4.1388381095498161</v>
      </c>
      <c r="BZ144" s="206" t="str">
        <f>IF(AND($A144&gt;=SYear_O, $A144&lt;=EYear_O, BZ$3&gt;0), BZ$3 * VLOOKUP($A144, Data_All!$A$8:$CA$153, MATCH(BZ$2, Data_All!$B$2:$CA$2, 0)+1), "")</f>
        <v/>
      </c>
      <c r="CA144" s="565">
        <f t="shared" si="68"/>
        <v>-16.957944506714071</v>
      </c>
      <c r="CB144" s="427">
        <f t="shared" si="69"/>
        <v>196751413.29608274</v>
      </c>
      <c r="CC144" s="565">
        <f>IF(AND($A144&gt;=SYear_O,$A144&lt;=EYear_O),(CA144-Data_All!CA145)/(1+Data_All!CA145%),"")</f>
        <v>-17.033786329186391</v>
      </c>
      <c r="CD144" s="436">
        <f t="shared" si="70"/>
        <v>11665057.067367751</v>
      </c>
      <c r="CE144" s="438">
        <f t="shared" si="71"/>
        <v>17845.203412221621</v>
      </c>
      <c r="CF144" s="438">
        <f>IF(AND($A144&gt;=SYear_O,$A144&lt;=EYear_O),MAX($CE$7:CE144),"")</f>
        <v>21489.356575072292</v>
      </c>
      <c r="CG144" s="209">
        <f t="shared" si="72"/>
        <v>0.16957944506714073</v>
      </c>
      <c r="CI144" s="143">
        <f>IF(AND($A144&gt;=SYear_O,$A144&lt;=EYear_O),Data_All!V145,"")</f>
        <v>1.97</v>
      </c>
      <c r="CJ144" s="143">
        <f>IF(AND($A144&gt;=SYear_O,$A144&lt;=EYear_O),Data_All!CA145,"")</f>
        <v>9.1412900645604367E-2</v>
      </c>
      <c r="CK144" s="143">
        <f t="shared" si="73"/>
        <v>1.8768713967692212</v>
      </c>
      <c r="CN144" s="61">
        <f t="shared" si="58"/>
        <v>-0.16957944506714073</v>
      </c>
      <c r="CO144" s="61">
        <f t="shared" si="59"/>
        <v>3.4116235154893815E-2</v>
      </c>
      <c r="CP144" s="61">
        <f t="shared" si="60"/>
        <v>5.32410060996098E-2</v>
      </c>
      <c r="CQ144" s="61"/>
      <c r="CR144" s="61"/>
      <c r="CU144" s="61">
        <f t="shared" si="63"/>
        <v>-0.17033786329186396</v>
      </c>
      <c r="CV144" s="61">
        <f t="shared" si="64"/>
        <v>1.9532220979990411E-2</v>
      </c>
      <c r="CW144" s="61">
        <f t="shared" si="65"/>
        <v>3.4645925895941732E-2</v>
      </c>
      <c r="CX144" s="61"/>
      <c r="CY144" s="61"/>
    </row>
    <row r="145" spans="1:103">
      <c r="A145" s="204">
        <f t="shared" si="51"/>
        <v>2009</v>
      </c>
      <c r="B145" s="206" t="str">
        <f>IF(AND($A145&gt;=SYear_O, $A145&lt;=EYear_O, B$3&gt;0), B$3 * VLOOKUP($A145, Data_All!$A$8:$CA$153, MATCH(B$2, Data_All!$B$2:$CA$2, 0)+1), "")</f>
        <v/>
      </c>
      <c r="C145" s="206" t="str">
        <f>IF(AND($A145&gt;=SYear_O, $A145&lt;=EYear_O, C$3&gt;0), C$3 * VLOOKUP($A145, Data_All!$A$8:$CA$153, MATCH(C$2, Data_All!$B$2:$CA$2, 0)+1), "")</f>
        <v/>
      </c>
      <c r="D145" s="206" t="str">
        <f>IF(AND($A145&gt;=SYear_O, $A145&lt;=EYear_O, D$3&gt;0), D$3 * VLOOKUP($A145, Data_All!$A$8:$CA$153, MATCH(D$2, Data_All!$B$2:$CA$2, 0)+1), "")</f>
        <v/>
      </c>
      <c r="E145" s="206" t="str">
        <f>IF(AND($A145&gt;=SYear_O, $A145&lt;=EYear_O, E$3&gt;0), E$3 * VLOOKUP($A145, Data_All!$A$8:$CA$153, MATCH(E$2, Data_All!$B$2:$CA$2, 0)+1), "")</f>
        <v/>
      </c>
      <c r="F145" s="206" t="str">
        <f>IF(AND($A145&gt;=SYear_O, $A145&lt;=EYear_O, F$3&gt;0), F$3 * VLOOKUP($A145, Data_All!$A$8:$CA$153, MATCH(F$2, Data_All!$B$2:$CA$2, 0)+1), "")</f>
        <v/>
      </c>
      <c r="G145" s="206" t="str">
        <f>IF(AND($A145&gt;=SYear_O, $A145&lt;=EYear_O, G$3&gt;0), G$3 * VLOOKUP($A145, Data_All!$A$8:$CA$153, MATCH(G$2, Data_All!$B$2:$CA$2, 0)+1), "")</f>
        <v/>
      </c>
      <c r="H145" s="206" t="str">
        <f>IF(AND($A145&gt;=SYear_O, $A145&lt;=EYear_O, H$3&gt;0), H$3 * VLOOKUP($A145, Data_All!$A$8:$CA$153, MATCH(H$2, Data_All!$B$2:$CA$2, 0)+1), "")</f>
        <v/>
      </c>
      <c r="I145" s="206" t="str">
        <f>IF(AND($A145&gt;=SYear_O, $A145&lt;=EYear_O, I$3&gt;0), I$3 * VLOOKUP($A145, Data_All!$A$8:$CA$153, MATCH(I$2, Data_All!$B$2:$CA$2, 0)+1), "")</f>
        <v/>
      </c>
      <c r="J145" s="206" t="str">
        <f>IF(AND($A145&gt;=SYear_O, $A145&lt;=EYear_O, J$3&gt;0), J$3 * VLOOKUP($A145, Data_All!$A$8:$CA$153, MATCH(J$2, Data_All!$B$2:$CA$2, 0)+1), "")</f>
        <v/>
      </c>
      <c r="K145" s="206" t="str">
        <f>IF(AND($A145&gt;=SYear_O, $A145&lt;=EYear_O, K$3&gt;0), K$3 * VLOOKUP($A145, Data_All!$A$8:$CA$153, MATCH(K$2, Data_All!$B$2:$CA$2, 0)+1), "")</f>
        <v/>
      </c>
      <c r="L145" s="206" t="str">
        <f>IF(AND($A145&gt;=SYear_O, $A145&lt;=EYear_O, L$3&gt;0), L$3 * VLOOKUP($A145, Data_All!$A$8:$CA$153, MATCH(L$2, Data_All!$B$2:$CA$2, 0)+1), "")</f>
        <v/>
      </c>
      <c r="M145" s="206" t="str">
        <f>IF(AND($A145&gt;=SYear_O, $A145&lt;=EYear_O, M$3&gt;0), M$3 * VLOOKUP($A145, Data_All!$A$8:$CA$153, MATCH(M$2, Data_All!$B$2:$CA$2, 0)+1), "")</f>
        <v/>
      </c>
      <c r="N145" s="206" t="str">
        <f>IF(AND($A145&gt;=SYear_O, $A145&lt;=EYear_O, N$3&gt;0), N$3 * VLOOKUP($A145, Data_All!$A$8:$CA$153, MATCH(N$2, Data_All!$B$2:$CA$2, 0)+1), "")</f>
        <v/>
      </c>
      <c r="O145" s="206" t="str">
        <f>IF(AND($A145&gt;=SYear_O, $A145&lt;=EYear_O, O$3&gt;0), O$3 * VLOOKUP($A145, Data_All!$A$8:$CA$153, MATCH(O$2, Data_All!$B$2:$CA$2, 0)+1), "")</f>
        <v/>
      </c>
      <c r="P145" s="206" t="str">
        <f>IF(AND($A145&gt;=SYear_O, $A145&lt;=EYear_O, P$3&gt;0), P$3 * VLOOKUP($A145, Data_All!$A$8:$CA$153, MATCH(P$2, Data_All!$B$2:$CA$2, 0)+1), "")</f>
        <v/>
      </c>
      <c r="Q145" s="206" t="str">
        <f>IF(AND($A145&gt;=SYear_O, $A145&lt;=EYear_O, Q$3&gt;0), Q$3 * VLOOKUP($A145, Data_All!$A$8:$CA$153, MATCH(Q$2, Data_All!$B$2:$CA$2, 0)+1), "")</f>
        <v/>
      </c>
      <c r="R145" s="206" t="str">
        <f>IF(AND($A145&gt;=SYear_O, $A145&lt;=EYear_O, R$3&gt;0), R$3 * VLOOKUP($A145, Data_All!$A$8:$CA$153, MATCH(R$2, Data_All!$B$2:$CA$2, 0)+1), "")</f>
        <v/>
      </c>
      <c r="S145" s="206" t="str">
        <f>IF(AND($A145&gt;=SYear_O, $A145&lt;=EYear_O, S$3&gt;0), S$3 * VLOOKUP($A145, Data_All!$A$8:$CA$153, MATCH(S$2, Data_All!$B$2:$CA$2, 0)+1), "")</f>
        <v/>
      </c>
      <c r="T145" s="206" t="str">
        <f>IF(AND($A145&gt;=SYear_O, $A145&lt;=EYear_O, T$3&gt;0), T$3 * VLOOKUP($A145, Data_All!$A$8:$CA$153, MATCH(T$2, Data_All!$B$2:$CA$2, 0)+1), "")</f>
        <v/>
      </c>
      <c r="U145" s="206" t="str">
        <f>IF(AND($A145&gt;=SYear_O, $A145&lt;=EYear_O, U$3&gt;0), U$3 * VLOOKUP($A145, Data_All!$A$8:$CA$153, MATCH(U$2, Data_All!$B$2:$CA$2, 0)+1), "")</f>
        <v/>
      </c>
      <c r="V145" s="206" t="str">
        <f>IF(AND($A145&gt;=SYear_O, $A145&lt;=EYear_O, V$3&gt;0), V$3 * VLOOKUP($A145, Data_All!$A$8:$CA$153, MATCH(V$2, Data_All!$B$2:$CA$2, 0)+1), "")</f>
        <v/>
      </c>
      <c r="W145" s="206" t="str">
        <f>IF(AND($A145&gt;=SYear_O, $A145&lt;=EYear_O, W$3&gt;0), W$3 * VLOOKUP($A145, Data_All!$A$8:$CA$153, MATCH(W$2, Data_All!$B$2:$CA$2, 0)+1), "")</f>
        <v/>
      </c>
      <c r="X145" s="206" t="str">
        <f>IF(AND($A145&gt;=SYear_O, $A145&lt;=EYear_O, X$3&gt;0), X$3 * VLOOKUP($A145, Data_All!$A$8:$CA$153, MATCH(X$2, Data_All!$B$2:$CA$2, 0)+1), "")</f>
        <v/>
      </c>
      <c r="Y145" s="206" t="str">
        <f>IF(AND($A145&gt;=SYear_O, $A145&lt;=EYear_O, Y$3&gt;0), Y$3 * VLOOKUP($A145, Data_All!$A$8:$CA$153, MATCH(Y$2, Data_All!$B$2:$CA$2, 0)+1), "")</f>
        <v/>
      </c>
      <c r="Z145" s="206" t="str">
        <f>IF(AND($A145&gt;=SYear_O, $A145&lt;=EYear_O, Z$3&gt;0), Z$3 * VLOOKUP($A145, Data_All!$A$8:$CA$153, MATCH(Z$2, Data_All!$B$2:$CA$2, 0)+1), "")</f>
        <v/>
      </c>
      <c r="AA145" s="206" t="str">
        <f>IF(AND($A145&gt;=SYear_O, $A145&lt;=EYear_O, AA$3&gt;0), AA$3 * VLOOKUP($A145, Data_All!$A$8:$CA$153, MATCH(AA$2, Data_All!$B$2:$CA$2, 0)+1), "")</f>
        <v/>
      </c>
      <c r="AB145" s="206" t="str">
        <f>IF(AND($A145&gt;=SYear_O, $A145&lt;=EYear_O, AB$3&gt;0), AB$3 * VLOOKUP($A145, Data_All!$A$8:$CA$153, MATCH(AB$2, Data_All!$B$2:$CA$2, 0)+1), "")</f>
        <v/>
      </c>
      <c r="AC145" s="206" t="str">
        <f>IF(AND($A145&gt;=SYear_O, $A145&lt;=EYear_O, AC$3&gt;0), AC$3 * VLOOKUP($A145, Data_All!$A$8:$CA$153, MATCH(AC$2, Data_All!$B$2:$CA$2, 0)+1), "")</f>
        <v/>
      </c>
      <c r="AD145" s="206" t="str">
        <f>IF(AND($A145&gt;=SYear_O, $A145&lt;=EYear_O, AD$3&gt;0), AD$3 * VLOOKUP($A145, Data_All!$A$8:$CA$153, MATCH(AD$2, Data_All!$B$2:$CA$2, 0)+1), "")</f>
        <v/>
      </c>
      <c r="AE145" s="206" t="str">
        <f>IF(AND($A145&gt;=SYear_O, $A145&lt;=EYear_O, AE$3&gt;0), AE$3 * VLOOKUP($A145, Data_All!$A$8:$CA$153, MATCH(AE$2, Data_All!$B$2:$CA$2, 0)+1), "")</f>
        <v/>
      </c>
      <c r="AF145" s="206" t="str">
        <f>IF(AND($A145&gt;=SYear_O, $A145&lt;=EYear_O, AF$3&gt;0), AF$3 * VLOOKUP($A145, Data_All!$A$8:$CA$153, MATCH(AF$2, Data_All!$B$2:$CA$2, 0)+1), "")</f>
        <v/>
      </c>
      <c r="AG145" s="206" t="str">
        <f>IF(AND($A145&gt;=SYear_O, $A145&lt;=EYear_O, AG$3&gt;0), AG$3 * VLOOKUP($A145, Data_All!$A$8:$CA$153, MATCH(AG$2, Data_All!$B$2:$CA$2, 0)+1), "")</f>
        <v/>
      </c>
      <c r="AH145" s="206" t="str">
        <f>IF(AND($A145&gt;=SYear_O, $A145&lt;=EYear_O, AH$3&gt;0), AH$3 * VLOOKUP($A145, Data_All!$A$8:$CA$153, MATCH(AH$2, Data_All!$B$2:$CA$2, 0)+1), "")</f>
        <v/>
      </c>
      <c r="AI145" s="206" t="str">
        <f>IF(AND($A145&gt;=SYear_O, $A145&lt;=EYear_O, AI$3&gt;0), AI$3 * VLOOKUP($A145, Data_All!$A$8:$CA$153, MATCH(AI$2, Data_All!$B$2:$CA$2, 0)+1), "")</f>
        <v/>
      </c>
      <c r="AJ145" s="206" t="str">
        <f>IF(AND($A145&gt;=SYear_O, $A145&lt;=EYear_O, AJ$3&gt;0), AJ$3 * VLOOKUP($A145, Data_All!$A$8:$CA$153, MATCH(AJ$2, Data_All!$B$2:$CA$2, 0)+1), "")</f>
        <v/>
      </c>
      <c r="AK145" s="206" t="str">
        <f>IF(AND($A145&gt;=SYear_O, $A145&lt;=EYear_O, AK$3&gt;0), AK$3 * VLOOKUP($A145, Data_All!$A$8:$CA$153, MATCH(AK$2, Data_All!$B$2:$CA$2, 0)+1), "")</f>
        <v/>
      </c>
      <c r="AL145" s="206" t="str">
        <f>IF(AND($A145&gt;=SYear_O, $A145&lt;=EYear_O, AL$3&gt;0), AL$3 * VLOOKUP($A145, Data_All!$A$8:$CA$153, MATCH(AL$2, Data_All!$B$2:$CA$2, 0)+1), "")</f>
        <v/>
      </c>
      <c r="AM145" s="206" t="str">
        <f>IF(AND($A145&gt;=SYear_O, $A145&lt;=EYear_O, AM$3&gt;0), AM$3 * VLOOKUP($A145, Data_All!$A$8:$CA$153, MATCH(AM$2, Data_All!$B$2:$CA$2, 0)+1), "")</f>
        <v/>
      </c>
      <c r="AN145" s="206" t="str">
        <f>IF(AND($A145&gt;=SYear_O, $A145&lt;=EYear_O, AN$3&gt;0), AN$3 * VLOOKUP($A145, Data_All!$A$8:$CA$153, MATCH(AN$2, Data_All!$B$2:$CA$2, 0)+1), "")</f>
        <v/>
      </c>
      <c r="AO145" s="206" t="str">
        <f>IF(AND($A145&gt;=SYear_O, $A145&lt;=EYear_O, AO$3&gt;0), AO$3 * VLOOKUP($A145, Data_All!$A$8:$CA$153, MATCH(AO$2, Data_All!$B$2:$CA$2, 0)+1), "")</f>
        <v/>
      </c>
      <c r="AP145" s="206" t="str">
        <f>IF(AND($A145&gt;=SYear_O, $A145&lt;=EYear_O, AP$3&gt;0), AP$3 * VLOOKUP($A145, Data_All!$A$8:$CA$153, MATCH(AP$2, Data_All!$B$2:$CA$2, 0)+1), "")</f>
        <v/>
      </c>
      <c r="AQ145" s="206" t="str">
        <f>IF(AND($A145&gt;=SYear_O, $A145&lt;=EYear_O, AQ$3&gt;0), AQ$3 * VLOOKUP($A145, Data_All!$A$8:$CA$153, MATCH(AQ$2, Data_All!$B$2:$CA$2, 0)+1), "")</f>
        <v/>
      </c>
      <c r="AR145" s="206" t="str">
        <f>IF(AND($A145&gt;=SYear_O, $A145&lt;=EYear_O, AR$3&gt;0), AR$3 * VLOOKUP($A145, Data_All!$A$8:$CA$153, MATCH(AR$2, Data_All!$B$2:$CA$2, 0)+1), "")</f>
        <v/>
      </c>
      <c r="AS145" s="206" t="str">
        <f>IF(AND($A145&gt;=SYear_O, $A145&lt;=EYear_O, AS$3&gt;0), AS$3 * VLOOKUP($A145, Data_All!$A$8:$CA$153, MATCH(AS$2, Data_All!$B$2:$CA$2, 0)+1), "")</f>
        <v/>
      </c>
      <c r="AT145" s="206" t="str">
        <f>IF(AND($A145&gt;=SYear_O, $A145&lt;=EYear_O, AT$3&gt;0), AT$3 * VLOOKUP($A145, Data_All!$A$8:$CA$153, MATCH(AT$2, Data_All!$B$2:$CA$2, 0)+1), "")</f>
        <v/>
      </c>
      <c r="AU145" s="206" t="str">
        <f>IF(AND($A145&gt;=SYear_O, $A145&lt;=EYear_O, AU$3&gt;0), AU$3 * VLOOKUP($A145, Data_All!$A$8:$CA$153, MATCH(AU$2, Data_All!$B$2:$CA$2, 0)+1), "")</f>
        <v/>
      </c>
      <c r="AV145" s="206" t="str">
        <f>IF(AND($A145&gt;=SYear_O, $A145&lt;=EYear_O, AV$3&gt;0), AV$3 * VLOOKUP($A145, Data_All!$A$8:$CA$153, MATCH(AV$2, Data_All!$B$2:$CA$2, 0)+1), "")</f>
        <v/>
      </c>
      <c r="AW145" s="206" t="str">
        <f>IF(AND($A145&gt;=SYear_O, $A145&lt;=EYear_O, AW$3&gt;0), AW$3 * VLOOKUP($A145, Data_All!$A$8:$CA$153, MATCH(AW$2, Data_All!$B$2:$CA$2, 0)+1), "")</f>
        <v/>
      </c>
      <c r="AX145" s="206" t="str">
        <f>IF(AND($A145&gt;=SYear_O, $A145&lt;=EYear_O, AX$3&gt;0), AX$3 * VLOOKUP($A145, Data_All!$A$8:$CA$153, MATCH(AX$2, Data_All!$B$2:$CA$2, 0)+1), "")</f>
        <v/>
      </c>
      <c r="AY145" s="206" t="str">
        <f>IF(AND($A145&gt;=SYear_O, $A145&lt;=EYear_O, AY$3&gt;0), AY$3 * VLOOKUP($A145, Data_All!$A$8:$CA$153, MATCH(AY$2, Data_All!$B$2:$CA$2, 0)+1), "")</f>
        <v/>
      </c>
      <c r="AZ145" s="206" t="str">
        <f>IF(AND($A145&gt;=SYear_O, $A145&lt;=EYear_O, AZ$3&gt;0), AZ$3 * VLOOKUP($A145, Data_All!$A$8:$CA$153, MATCH(AZ$2, Data_All!$B$2:$CA$2, 0)+1), "")</f>
        <v/>
      </c>
      <c r="BA145" s="206" t="str">
        <f>IF(AND($A145&gt;=SYear_O, $A145&lt;=EYear_O, BA$3&gt;0), BA$3 * VLOOKUP($A145, Data_All!$A$8:$CA$153, MATCH(BA$2, Data_All!$B$2:$CA$2, 0)+1), "")</f>
        <v/>
      </c>
      <c r="BB145" s="206" t="str">
        <f>IF(AND($A145&gt;=SYear_O, $A145&lt;=EYear_O, BB$3&gt;0), BB$3 * VLOOKUP($A145, Data_All!$A$8:$CA$153, MATCH(BB$2, Data_All!$B$2:$CA$2, 0)+1), "")</f>
        <v/>
      </c>
      <c r="BC145" s="206" t="str">
        <f>IF(AND($A145&gt;=SYear_O, $A145&lt;=EYear_O, BC$3&gt;0), BC$3 * VLOOKUP($A145, Data_All!$A$8:$CA$153, MATCH(BC$2, Data_All!$B$2:$CA$2, 0)+1), "")</f>
        <v/>
      </c>
      <c r="BD145" s="206" t="str">
        <f>IF(AND($A145&gt;=SYear_O, $A145&lt;=EYear_O, BD$3&gt;0), BD$3 * VLOOKUP($A145, Data_All!$A$8:$CA$153, MATCH(BD$2, Data_All!$B$2:$CA$2, 0)+1), "")</f>
        <v/>
      </c>
      <c r="BE145" s="206" t="str">
        <f>IF(AND($A145&gt;=SYear_O, $A145&lt;=EYear_O, BE$3&gt;0), BE$3 * VLOOKUP($A145, Data_All!$A$8:$CA$153, MATCH(BE$2, Data_All!$B$2:$CA$2, 0)+1), "")</f>
        <v/>
      </c>
      <c r="BF145" s="206" t="str">
        <f>IF(AND($A145&gt;=SYear_O, $A145&lt;=EYear_O, BF$3&gt;0), BF$3 * VLOOKUP($A145, Data_All!$A$8:$CA$153, MATCH(BF$2, Data_All!$B$2:$CA$2, 0)+1), "")</f>
        <v/>
      </c>
      <c r="BG145" s="206" t="str">
        <f>IF(AND($A145&gt;=SYear_O, $A145&lt;=EYear_O, BG$3&gt;0), BG$3 * VLOOKUP($A145, Data_All!$A$8:$CA$153, MATCH(BG$2, Data_All!$B$2:$CA$2, 0)+1), "")</f>
        <v/>
      </c>
      <c r="BH145" s="206" t="str">
        <f>IF(AND($A145&gt;=SYear_O, $A145&lt;=EYear_O, BH$3&gt;0), BH$3 * VLOOKUP($A145, Data_All!$A$8:$CA$153, MATCH(BH$2, Data_All!$B$2:$CA$2, 0)+1), "")</f>
        <v/>
      </c>
      <c r="BI145" s="206" t="str">
        <f>IF(AND($A145&gt;=SYear_O, $A145&lt;=EYear_O, BI$3&gt;0), BI$3 * VLOOKUP($A145, Data_All!$A$8:$CA$153, MATCH(BI$2, Data_All!$B$2:$CA$2, 0)+1), "")</f>
        <v/>
      </c>
      <c r="BJ145" s="206" t="str">
        <f>IF(AND($A145&gt;=SYear_O, $A145&lt;=EYear_O, BJ$3&gt;0), BJ$3 * VLOOKUP($A145, Data_All!$A$8:$CA$153, MATCH(BJ$2, Data_All!$B$2:$CA$2, 0)+1), "")</f>
        <v/>
      </c>
      <c r="BK145" s="206" t="str">
        <f>IF(AND($A145&gt;=SYear_O, $A145&lt;=EYear_O, BK$3&gt;0), BK$3 * VLOOKUP($A145, Data_All!$A$8:$CA$153, MATCH(BK$2, Data_All!$B$2:$CA$2, 0)+1), "")</f>
        <v/>
      </c>
      <c r="BL145" s="206" t="str">
        <f>IF(AND($A145&gt;=SYear_O, $A145&lt;=EYear_O, BL$3&gt;0), BL$3 * VLOOKUP($A145, Data_All!$A$8:$CA$153, MATCH(BL$2, Data_All!$B$2:$CA$2, 0)+1), "")</f>
        <v/>
      </c>
      <c r="BM145" s="206" t="str">
        <f>IF(AND($A145&gt;=SYear_O, $A145&lt;=EYear_O, BM$3&gt;0), BM$3 * VLOOKUP($A145, Data_All!$A$8:$CA$153, MATCH(BM$2, Data_All!$B$2:$CA$2, 0)+1), "")</f>
        <v/>
      </c>
      <c r="BN145" s="206" t="str">
        <f>IF(AND($A145&gt;=SYear_O, $A145&lt;=EYear_O, BN$3&gt;0), BN$3 * VLOOKUP($A145, Data_All!$A$8:$CA$153, MATCH(BN$2, Data_All!$B$2:$CA$2, 0)+1), "")</f>
        <v/>
      </c>
      <c r="BO145" s="206" t="str">
        <f>IF(AND($A145&gt;=SYear_O, $A145&lt;=EYear_O, BO$3&gt;0), BO$3 * VLOOKUP($A145, Data_All!$A$8:$CA$153, MATCH(BO$2, Data_All!$B$2:$CA$2, 0)+1), "")</f>
        <v/>
      </c>
      <c r="BP145" s="206" t="str">
        <f>IF(AND($A145&gt;=SYear_O, $A145&lt;=EYear_O, BP$3&gt;0), BP$3 * VLOOKUP($A145, Data_All!$A$8:$CA$153, MATCH(BP$2, Data_All!$B$2:$CA$2, 0)+1), "")</f>
        <v/>
      </c>
      <c r="BQ145" s="206" t="str">
        <f>IF(AND($A145&gt;=SYear_O, $A145&lt;=EYear_O, BQ$3&gt;0), BQ$3 * VLOOKUP($A145, Data_All!$A$8:$CA$153, MATCH(BQ$2, Data_All!$B$2:$CA$2, 0)+1), "")</f>
        <v/>
      </c>
      <c r="BR145" s="206" t="str">
        <f>IF(AND($A145&gt;=SYear_O, $A145&lt;=EYear_O, BR$3&gt;0), BR$3 * VLOOKUP($A145, Data_All!$A$8:$CA$153, MATCH(BR$2, Data_All!$B$2:$CA$2, 0)+1), "")</f>
        <v/>
      </c>
      <c r="BS145" s="206" t="str">
        <f>IF(AND($A145&gt;=SYear_O, $A145&lt;=EYear_O, BS$3&gt;0), BS$3 * VLOOKUP($A145, Data_All!$A$8:$CA$153, MATCH(BS$2, Data_All!$B$2:$CA$2, 0)+1), "")</f>
        <v/>
      </c>
      <c r="BT145" s="206" t="str">
        <f>IF(AND($A145&gt;=SYear_O, $A145&lt;=EYear_O, BT$3&gt;0), BT$3 * VLOOKUP($A145, Data_All!$A$8:$CA$153, MATCH(BT$2, Data_All!$B$2:$CA$2, 0)+1), "")</f>
        <v/>
      </c>
      <c r="BU145" s="206" t="str">
        <f>IF(AND($A145&gt;=SYear_O, $A145&lt;=EYear_O, BU$3&gt;0), BU$3 * VLOOKUP($A145, Data_All!$A$8:$CA$153, MATCH(BU$2, Data_All!$B$2:$CA$2, 0)+1), "")</f>
        <v/>
      </c>
      <c r="BV145" s="206" t="str">
        <f>IF(AND($A145&gt;=SYear_O, $A145&lt;=EYear_O, BV$3&gt;0), BV$3 * VLOOKUP($A145, Data_All!$A$8:$CA$153, MATCH(BV$2, Data_All!$B$2:$CA$2, 0)+1), "")</f>
        <v/>
      </c>
      <c r="BW145" s="206" t="str">
        <f>IF(AND($A145&gt;=SYear_O, $A145&lt;=EYear_O, BW$3&gt;0), BW$3 * VLOOKUP($A145, Data_All!$A$8:$CA$153, MATCH(BW$2, Data_All!$B$2:$CA$2, 0)+1), "")</f>
        <v/>
      </c>
      <c r="BX145" s="206">
        <f>IF(AND($A145&gt;=SYear_O, $A145&lt;=EYear_O, BX$3&gt;0), BX$3 * VLOOKUP($A145, Data_All!$A$8:$CA$153, MATCH(BX$2, Data_All!$B$2:$CA$2, 0)+1), "")</f>
        <v>19.437371473462878</v>
      </c>
      <c r="BY145" s="206">
        <f>IF(AND($A145&gt;=SYear_O, $A145&lt;=EYear_O, BY$3&gt;0), BY$3 * VLOOKUP($A145, Data_All!$A$8:$CA$153, MATCH(BY$2, Data_All!$B$2:$CA$2, 0)+1), "")</f>
        <v>-0.69628194943908817</v>
      </c>
      <c r="BZ145" s="206" t="str">
        <f>IF(AND($A145&gt;=SYear_O, $A145&lt;=EYear_O, BZ$3&gt;0), BZ$3 * VLOOKUP($A145, Data_All!$A$8:$CA$153, MATCH(BZ$2, Data_All!$B$2:$CA$2, 0)+1), "")</f>
        <v/>
      </c>
      <c r="CA145" s="565">
        <f t="shared" si="68"/>
        <v>18.741089524023792</v>
      </c>
      <c r="CB145" s="427">
        <f t="shared" si="69"/>
        <v>233624771.80168363</v>
      </c>
      <c r="CC145" s="565">
        <f>IF(AND($A145&gt;=SYear_O,$A145&lt;=EYear_O),(CA145-Data_All!CA146)/(1+Data_All!CA146%),"")</f>
        <v>15.595357091056105</v>
      </c>
      <c r="CD145" s="436">
        <f t="shared" si="70"/>
        <v>13484264.371899229</v>
      </c>
      <c r="CE145" s="438">
        <f t="shared" si="71"/>
        <v>21189.588959450222</v>
      </c>
      <c r="CF145" s="438">
        <f>IF(AND($A145&gt;=SYear_O,$A145&lt;=EYear_O),MAX($CE$7:CE145),"")</f>
        <v>21489.356575072292</v>
      </c>
      <c r="CG145" s="209">
        <f t="shared" si="72"/>
        <v>1.3949585441278445E-2</v>
      </c>
      <c r="CI145" s="143">
        <f>IF(AND($A145&gt;=SYear_O,$A145&lt;=EYear_O),Data_All!V146,"")</f>
        <v>0.53</v>
      </c>
      <c r="CJ145" s="143">
        <f>IF(AND($A145&gt;=SYear_O,$A145&lt;=EYear_O),Data_All!CA146,"")</f>
        <v>2.7213311262058282</v>
      </c>
      <c r="CK145" s="143">
        <f t="shared" si="73"/>
        <v>-2.1332775794284706</v>
      </c>
      <c r="CN145" s="61">
        <f t="shared" si="58"/>
        <v>0.1874108952402378</v>
      </c>
      <c r="CO145" s="61">
        <f t="shared" si="59"/>
        <v>0.12131886246240775</v>
      </c>
      <c r="CP145" s="61">
        <f t="shared" si="60"/>
        <v>0.12326124626144752</v>
      </c>
      <c r="CQ145" s="61"/>
      <c r="CR145" s="61"/>
      <c r="CU145" s="61">
        <f t="shared" si="63"/>
        <v>0.15595357091056106</v>
      </c>
      <c r="CV145" s="61">
        <f t="shared" si="64"/>
        <v>9.5132719669806187E-2</v>
      </c>
      <c r="CW145" s="61">
        <f t="shared" si="65"/>
        <v>0.10034642935620752</v>
      </c>
      <c r="CX145" s="61"/>
      <c r="CY145" s="61"/>
    </row>
    <row r="146" spans="1:103">
      <c r="A146" s="204">
        <f t="shared" si="51"/>
        <v>2010</v>
      </c>
      <c r="B146" s="206" t="str">
        <f>IF(AND($A146&gt;=SYear_O, $A146&lt;=EYear_O, B$3&gt;0), B$3 * VLOOKUP($A146, Data_All!$A$8:$CA$153, MATCH(B$2, Data_All!$B$2:$CA$2, 0)+1), "")</f>
        <v/>
      </c>
      <c r="C146" s="206" t="str">
        <f>IF(AND($A146&gt;=SYear_O, $A146&lt;=EYear_O, C$3&gt;0), C$3 * VLOOKUP($A146, Data_All!$A$8:$CA$153, MATCH(C$2, Data_All!$B$2:$CA$2, 0)+1), "")</f>
        <v/>
      </c>
      <c r="D146" s="206" t="str">
        <f>IF(AND($A146&gt;=SYear_O, $A146&lt;=EYear_O, D$3&gt;0), D$3 * VLOOKUP($A146, Data_All!$A$8:$CA$153, MATCH(D$2, Data_All!$B$2:$CA$2, 0)+1), "")</f>
        <v/>
      </c>
      <c r="E146" s="206" t="str">
        <f>IF(AND($A146&gt;=SYear_O, $A146&lt;=EYear_O, E$3&gt;0), E$3 * VLOOKUP($A146, Data_All!$A$8:$CA$153, MATCH(E$2, Data_All!$B$2:$CA$2, 0)+1), "")</f>
        <v/>
      </c>
      <c r="F146" s="206" t="str">
        <f>IF(AND($A146&gt;=SYear_O, $A146&lt;=EYear_O, F$3&gt;0), F$3 * VLOOKUP($A146, Data_All!$A$8:$CA$153, MATCH(F$2, Data_All!$B$2:$CA$2, 0)+1), "")</f>
        <v/>
      </c>
      <c r="G146" s="206" t="str">
        <f>IF(AND($A146&gt;=SYear_O, $A146&lt;=EYear_O, G$3&gt;0), G$3 * VLOOKUP($A146, Data_All!$A$8:$CA$153, MATCH(G$2, Data_All!$B$2:$CA$2, 0)+1), "")</f>
        <v/>
      </c>
      <c r="H146" s="206" t="str">
        <f>IF(AND($A146&gt;=SYear_O, $A146&lt;=EYear_O, H$3&gt;0), H$3 * VLOOKUP($A146, Data_All!$A$8:$CA$153, MATCH(H$2, Data_All!$B$2:$CA$2, 0)+1), "")</f>
        <v/>
      </c>
      <c r="I146" s="206" t="str">
        <f>IF(AND($A146&gt;=SYear_O, $A146&lt;=EYear_O, I$3&gt;0), I$3 * VLOOKUP($A146, Data_All!$A$8:$CA$153, MATCH(I$2, Data_All!$B$2:$CA$2, 0)+1), "")</f>
        <v/>
      </c>
      <c r="J146" s="206" t="str">
        <f>IF(AND($A146&gt;=SYear_O, $A146&lt;=EYear_O, J$3&gt;0), J$3 * VLOOKUP($A146, Data_All!$A$8:$CA$153, MATCH(J$2, Data_All!$B$2:$CA$2, 0)+1), "")</f>
        <v/>
      </c>
      <c r="K146" s="206" t="str">
        <f>IF(AND($A146&gt;=SYear_O, $A146&lt;=EYear_O, K$3&gt;0), K$3 * VLOOKUP($A146, Data_All!$A$8:$CA$153, MATCH(K$2, Data_All!$B$2:$CA$2, 0)+1), "")</f>
        <v/>
      </c>
      <c r="L146" s="206" t="str">
        <f>IF(AND($A146&gt;=SYear_O, $A146&lt;=EYear_O, L$3&gt;0), L$3 * VLOOKUP($A146, Data_All!$A$8:$CA$153, MATCH(L$2, Data_All!$B$2:$CA$2, 0)+1), "")</f>
        <v/>
      </c>
      <c r="M146" s="206" t="str">
        <f>IF(AND($A146&gt;=SYear_O, $A146&lt;=EYear_O, M$3&gt;0), M$3 * VLOOKUP($A146, Data_All!$A$8:$CA$153, MATCH(M$2, Data_All!$B$2:$CA$2, 0)+1), "")</f>
        <v/>
      </c>
      <c r="N146" s="206" t="str">
        <f>IF(AND($A146&gt;=SYear_O, $A146&lt;=EYear_O, N$3&gt;0), N$3 * VLOOKUP($A146, Data_All!$A$8:$CA$153, MATCH(N$2, Data_All!$B$2:$CA$2, 0)+1), "")</f>
        <v/>
      </c>
      <c r="O146" s="206" t="str">
        <f>IF(AND($A146&gt;=SYear_O, $A146&lt;=EYear_O, O$3&gt;0), O$3 * VLOOKUP($A146, Data_All!$A$8:$CA$153, MATCH(O$2, Data_All!$B$2:$CA$2, 0)+1), "")</f>
        <v/>
      </c>
      <c r="P146" s="206" t="str">
        <f>IF(AND($A146&gt;=SYear_O, $A146&lt;=EYear_O, P$3&gt;0), P$3 * VLOOKUP($A146, Data_All!$A$8:$CA$153, MATCH(P$2, Data_All!$B$2:$CA$2, 0)+1), "")</f>
        <v/>
      </c>
      <c r="Q146" s="206" t="str">
        <f>IF(AND($A146&gt;=SYear_O, $A146&lt;=EYear_O, Q$3&gt;0), Q$3 * VLOOKUP($A146, Data_All!$A$8:$CA$153, MATCH(Q$2, Data_All!$B$2:$CA$2, 0)+1), "")</f>
        <v/>
      </c>
      <c r="R146" s="206" t="str">
        <f>IF(AND($A146&gt;=SYear_O, $A146&lt;=EYear_O, R$3&gt;0), R$3 * VLOOKUP($A146, Data_All!$A$8:$CA$153, MATCH(R$2, Data_All!$B$2:$CA$2, 0)+1), "")</f>
        <v/>
      </c>
      <c r="S146" s="206" t="str">
        <f>IF(AND($A146&gt;=SYear_O, $A146&lt;=EYear_O, S$3&gt;0), S$3 * VLOOKUP($A146, Data_All!$A$8:$CA$153, MATCH(S$2, Data_All!$B$2:$CA$2, 0)+1), "")</f>
        <v/>
      </c>
      <c r="T146" s="206" t="str">
        <f>IF(AND($A146&gt;=SYear_O, $A146&lt;=EYear_O, T$3&gt;0), T$3 * VLOOKUP($A146, Data_All!$A$8:$CA$153, MATCH(T$2, Data_All!$B$2:$CA$2, 0)+1), "")</f>
        <v/>
      </c>
      <c r="U146" s="206" t="str">
        <f>IF(AND($A146&gt;=SYear_O, $A146&lt;=EYear_O, U$3&gt;0), U$3 * VLOOKUP($A146, Data_All!$A$8:$CA$153, MATCH(U$2, Data_All!$B$2:$CA$2, 0)+1), "")</f>
        <v/>
      </c>
      <c r="V146" s="206" t="str">
        <f>IF(AND($A146&gt;=SYear_O, $A146&lt;=EYear_O, V$3&gt;0), V$3 * VLOOKUP($A146, Data_All!$A$8:$CA$153, MATCH(V$2, Data_All!$B$2:$CA$2, 0)+1), "")</f>
        <v/>
      </c>
      <c r="W146" s="206" t="str">
        <f>IF(AND($A146&gt;=SYear_O, $A146&lt;=EYear_O, W$3&gt;0), W$3 * VLOOKUP($A146, Data_All!$A$8:$CA$153, MATCH(W$2, Data_All!$B$2:$CA$2, 0)+1), "")</f>
        <v/>
      </c>
      <c r="X146" s="206" t="str">
        <f>IF(AND($A146&gt;=SYear_O, $A146&lt;=EYear_O, X$3&gt;0), X$3 * VLOOKUP($A146, Data_All!$A$8:$CA$153, MATCH(X$2, Data_All!$B$2:$CA$2, 0)+1), "")</f>
        <v/>
      </c>
      <c r="Y146" s="206" t="str">
        <f>IF(AND($A146&gt;=SYear_O, $A146&lt;=EYear_O, Y$3&gt;0), Y$3 * VLOOKUP($A146, Data_All!$A$8:$CA$153, MATCH(Y$2, Data_All!$B$2:$CA$2, 0)+1), "")</f>
        <v/>
      </c>
      <c r="Z146" s="206" t="str">
        <f>IF(AND($A146&gt;=SYear_O, $A146&lt;=EYear_O, Z$3&gt;0), Z$3 * VLOOKUP($A146, Data_All!$A$8:$CA$153, MATCH(Z$2, Data_All!$B$2:$CA$2, 0)+1), "")</f>
        <v/>
      </c>
      <c r="AA146" s="206" t="str">
        <f>IF(AND($A146&gt;=SYear_O, $A146&lt;=EYear_O, AA$3&gt;0), AA$3 * VLOOKUP($A146, Data_All!$A$8:$CA$153, MATCH(AA$2, Data_All!$B$2:$CA$2, 0)+1), "")</f>
        <v/>
      </c>
      <c r="AB146" s="206" t="str">
        <f>IF(AND($A146&gt;=SYear_O, $A146&lt;=EYear_O, AB$3&gt;0), AB$3 * VLOOKUP($A146, Data_All!$A$8:$CA$153, MATCH(AB$2, Data_All!$B$2:$CA$2, 0)+1), "")</f>
        <v/>
      </c>
      <c r="AC146" s="206" t="str">
        <f>IF(AND($A146&gt;=SYear_O, $A146&lt;=EYear_O, AC$3&gt;0), AC$3 * VLOOKUP($A146, Data_All!$A$8:$CA$153, MATCH(AC$2, Data_All!$B$2:$CA$2, 0)+1), "")</f>
        <v/>
      </c>
      <c r="AD146" s="206" t="str">
        <f>IF(AND($A146&gt;=SYear_O, $A146&lt;=EYear_O, AD$3&gt;0), AD$3 * VLOOKUP($A146, Data_All!$A$8:$CA$153, MATCH(AD$2, Data_All!$B$2:$CA$2, 0)+1), "")</f>
        <v/>
      </c>
      <c r="AE146" s="206" t="str">
        <f>IF(AND($A146&gt;=SYear_O, $A146&lt;=EYear_O, AE$3&gt;0), AE$3 * VLOOKUP($A146, Data_All!$A$8:$CA$153, MATCH(AE$2, Data_All!$B$2:$CA$2, 0)+1), "")</f>
        <v/>
      </c>
      <c r="AF146" s="206" t="str">
        <f>IF(AND($A146&gt;=SYear_O, $A146&lt;=EYear_O, AF$3&gt;0), AF$3 * VLOOKUP($A146, Data_All!$A$8:$CA$153, MATCH(AF$2, Data_All!$B$2:$CA$2, 0)+1), "")</f>
        <v/>
      </c>
      <c r="AG146" s="206" t="str">
        <f>IF(AND($A146&gt;=SYear_O, $A146&lt;=EYear_O, AG$3&gt;0), AG$3 * VLOOKUP($A146, Data_All!$A$8:$CA$153, MATCH(AG$2, Data_All!$B$2:$CA$2, 0)+1), "")</f>
        <v/>
      </c>
      <c r="AH146" s="206" t="str">
        <f>IF(AND($A146&gt;=SYear_O, $A146&lt;=EYear_O, AH$3&gt;0), AH$3 * VLOOKUP($A146, Data_All!$A$8:$CA$153, MATCH(AH$2, Data_All!$B$2:$CA$2, 0)+1), "")</f>
        <v/>
      </c>
      <c r="AI146" s="206" t="str">
        <f>IF(AND($A146&gt;=SYear_O, $A146&lt;=EYear_O, AI$3&gt;0), AI$3 * VLOOKUP($A146, Data_All!$A$8:$CA$153, MATCH(AI$2, Data_All!$B$2:$CA$2, 0)+1), "")</f>
        <v/>
      </c>
      <c r="AJ146" s="206" t="str">
        <f>IF(AND($A146&gt;=SYear_O, $A146&lt;=EYear_O, AJ$3&gt;0), AJ$3 * VLOOKUP($A146, Data_All!$A$8:$CA$153, MATCH(AJ$2, Data_All!$B$2:$CA$2, 0)+1), "")</f>
        <v/>
      </c>
      <c r="AK146" s="206" t="str">
        <f>IF(AND($A146&gt;=SYear_O, $A146&lt;=EYear_O, AK$3&gt;0), AK$3 * VLOOKUP($A146, Data_All!$A$8:$CA$153, MATCH(AK$2, Data_All!$B$2:$CA$2, 0)+1), "")</f>
        <v/>
      </c>
      <c r="AL146" s="206" t="str">
        <f>IF(AND($A146&gt;=SYear_O, $A146&lt;=EYear_O, AL$3&gt;0), AL$3 * VLOOKUP($A146, Data_All!$A$8:$CA$153, MATCH(AL$2, Data_All!$B$2:$CA$2, 0)+1), "")</f>
        <v/>
      </c>
      <c r="AM146" s="206" t="str">
        <f>IF(AND($A146&gt;=SYear_O, $A146&lt;=EYear_O, AM$3&gt;0), AM$3 * VLOOKUP($A146, Data_All!$A$8:$CA$153, MATCH(AM$2, Data_All!$B$2:$CA$2, 0)+1), "")</f>
        <v/>
      </c>
      <c r="AN146" s="206" t="str">
        <f>IF(AND($A146&gt;=SYear_O, $A146&lt;=EYear_O, AN$3&gt;0), AN$3 * VLOOKUP($A146, Data_All!$A$8:$CA$153, MATCH(AN$2, Data_All!$B$2:$CA$2, 0)+1), "")</f>
        <v/>
      </c>
      <c r="AO146" s="206" t="str">
        <f>IF(AND($A146&gt;=SYear_O, $A146&lt;=EYear_O, AO$3&gt;0), AO$3 * VLOOKUP($A146, Data_All!$A$8:$CA$153, MATCH(AO$2, Data_All!$B$2:$CA$2, 0)+1), "")</f>
        <v/>
      </c>
      <c r="AP146" s="206" t="str">
        <f>IF(AND($A146&gt;=SYear_O, $A146&lt;=EYear_O, AP$3&gt;0), AP$3 * VLOOKUP($A146, Data_All!$A$8:$CA$153, MATCH(AP$2, Data_All!$B$2:$CA$2, 0)+1), "")</f>
        <v/>
      </c>
      <c r="AQ146" s="206" t="str">
        <f>IF(AND($A146&gt;=SYear_O, $A146&lt;=EYear_O, AQ$3&gt;0), AQ$3 * VLOOKUP($A146, Data_All!$A$8:$CA$153, MATCH(AQ$2, Data_All!$B$2:$CA$2, 0)+1), "")</f>
        <v/>
      </c>
      <c r="AR146" s="206" t="str">
        <f>IF(AND($A146&gt;=SYear_O, $A146&lt;=EYear_O, AR$3&gt;0), AR$3 * VLOOKUP($A146, Data_All!$A$8:$CA$153, MATCH(AR$2, Data_All!$B$2:$CA$2, 0)+1), "")</f>
        <v/>
      </c>
      <c r="AS146" s="206" t="str">
        <f>IF(AND($A146&gt;=SYear_O, $A146&lt;=EYear_O, AS$3&gt;0), AS$3 * VLOOKUP($A146, Data_All!$A$8:$CA$153, MATCH(AS$2, Data_All!$B$2:$CA$2, 0)+1), "")</f>
        <v/>
      </c>
      <c r="AT146" s="206" t="str">
        <f>IF(AND($A146&gt;=SYear_O, $A146&lt;=EYear_O, AT$3&gt;0), AT$3 * VLOOKUP($A146, Data_All!$A$8:$CA$153, MATCH(AT$2, Data_All!$B$2:$CA$2, 0)+1), "")</f>
        <v/>
      </c>
      <c r="AU146" s="206" t="str">
        <f>IF(AND($A146&gt;=SYear_O, $A146&lt;=EYear_O, AU$3&gt;0), AU$3 * VLOOKUP($A146, Data_All!$A$8:$CA$153, MATCH(AU$2, Data_All!$B$2:$CA$2, 0)+1), "")</f>
        <v/>
      </c>
      <c r="AV146" s="206" t="str">
        <f>IF(AND($A146&gt;=SYear_O, $A146&lt;=EYear_O, AV$3&gt;0), AV$3 * VLOOKUP($A146, Data_All!$A$8:$CA$153, MATCH(AV$2, Data_All!$B$2:$CA$2, 0)+1), "")</f>
        <v/>
      </c>
      <c r="AW146" s="206" t="str">
        <f>IF(AND($A146&gt;=SYear_O, $A146&lt;=EYear_O, AW$3&gt;0), AW$3 * VLOOKUP($A146, Data_All!$A$8:$CA$153, MATCH(AW$2, Data_All!$B$2:$CA$2, 0)+1), "")</f>
        <v/>
      </c>
      <c r="AX146" s="206" t="str">
        <f>IF(AND($A146&gt;=SYear_O, $A146&lt;=EYear_O, AX$3&gt;0), AX$3 * VLOOKUP($A146, Data_All!$A$8:$CA$153, MATCH(AX$2, Data_All!$B$2:$CA$2, 0)+1), "")</f>
        <v/>
      </c>
      <c r="AY146" s="206" t="str">
        <f>IF(AND($A146&gt;=SYear_O, $A146&lt;=EYear_O, AY$3&gt;0), AY$3 * VLOOKUP($A146, Data_All!$A$8:$CA$153, MATCH(AY$2, Data_All!$B$2:$CA$2, 0)+1), "")</f>
        <v/>
      </c>
      <c r="AZ146" s="206" t="str">
        <f>IF(AND($A146&gt;=SYear_O, $A146&lt;=EYear_O, AZ$3&gt;0), AZ$3 * VLOOKUP($A146, Data_All!$A$8:$CA$153, MATCH(AZ$2, Data_All!$B$2:$CA$2, 0)+1), "")</f>
        <v/>
      </c>
      <c r="BA146" s="206" t="str">
        <f>IF(AND($A146&gt;=SYear_O, $A146&lt;=EYear_O, BA$3&gt;0), BA$3 * VLOOKUP($A146, Data_All!$A$8:$CA$153, MATCH(BA$2, Data_All!$B$2:$CA$2, 0)+1), "")</f>
        <v/>
      </c>
      <c r="BB146" s="206" t="str">
        <f>IF(AND($A146&gt;=SYear_O, $A146&lt;=EYear_O, BB$3&gt;0), BB$3 * VLOOKUP($A146, Data_All!$A$8:$CA$153, MATCH(BB$2, Data_All!$B$2:$CA$2, 0)+1), "")</f>
        <v/>
      </c>
      <c r="BC146" s="206" t="str">
        <f>IF(AND($A146&gt;=SYear_O, $A146&lt;=EYear_O, BC$3&gt;0), BC$3 * VLOOKUP($A146, Data_All!$A$8:$CA$153, MATCH(BC$2, Data_All!$B$2:$CA$2, 0)+1), "")</f>
        <v/>
      </c>
      <c r="BD146" s="206" t="str">
        <f>IF(AND($A146&gt;=SYear_O, $A146&lt;=EYear_O, BD$3&gt;0), BD$3 * VLOOKUP($A146, Data_All!$A$8:$CA$153, MATCH(BD$2, Data_All!$B$2:$CA$2, 0)+1), "")</f>
        <v/>
      </c>
      <c r="BE146" s="206" t="str">
        <f>IF(AND($A146&gt;=SYear_O, $A146&lt;=EYear_O, BE$3&gt;0), BE$3 * VLOOKUP($A146, Data_All!$A$8:$CA$153, MATCH(BE$2, Data_All!$B$2:$CA$2, 0)+1), "")</f>
        <v/>
      </c>
      <c r="BF146" s="206" t="str">
        <f>IF(AND($A146&gt;=SYear_O, $A146&lt;=EYear_O, BF$3&gt;0), BF$3 * VLOOKUP($A146, Data_All!$A$8:$CA$153, MATCH(BF$2, Data_All!$B$2:$CA$2, 0)+1), "")</f>
        <v/>
      </c>
      <c r="BG146" s="206" t="str">
        <f>IF(AND($A146&gt;=SYear_O, $A146&lt;=EYear_O, BG$3&gt;0), BG$3 * VLOOKUP($A146, Data_All!$A$8:$CA$153, MATCH(BG$2, Data_All!$B$2:$CA$2, 0)+1), "")</f>
        <v/>
      </c>
      <c r="BH146" s="206" t="str">
        <f>IF(AND($A146&gt;=SYear_O, $A146&lt;=EYear_O, BH$3&gt;0), BH$3 * VLOOKUP($A146, Data_All!$A$8:$CA$153, MATCH(BH$2, Data_All!$B$2:$CA$2, 0)+1), "")</f>
        <v/>
      </c>
      <c r="BI146" s="206" t="str">
        <f>IF(AND($A146&gt;=SYear_O, $A146&lt;=EYear_O, BI$3&gt;0), BI$3 * VLOOKUP($A146, Data_All!$A$8:$CA$153, MATCH(BI$2, Data_All!$B$2:$CA$2, 0)+1), "")</f>
        <v/>
      </c>
      <c r="BJ146" s="206" t="str">
        <f>IF(AND($A146&gt;=SYear_O, $A146&lt;=EYear_O, BJ$3&gt;0), BJ$3 * VLOOKUP($A146, Data_All!$A$8:$CA$153, MATCH(BJ$2, Data_All!$B$2:$CA$2, 0)+1), "")</f>
        <v/>
      </c>
      <c r="BK146" s="206" t="str">
        <f>IF(AND($A146&gt;=SYear_O, $A146&lt;=EYear_O, BK$3&gt;0), BK$3 * VLOOKUP($A146, Data_All!$A$8:$CA$153, MATCH(BK$2, Data_All!$B$2:$CA$2, 0)+1), "")</f>
        <v/>
      </c>
      <c r="BL146" s="206" t="str">
        <f>IF(AND($A146&gt;=SYear_O, $A146&lt;=EYear_O, BL$3&gt;0), BL$3 * VLOOKUP($A146, Data_All!$A$8:$CA$153, MATCH(BL$2, Data_All!$B$2:$CA$2, 0)+1), "")</f>
        <v/>
      </c>
      <c r="BM146" s="206" t="str">
        <f>IF(AND($A146&gt;=SYear_O, $A146&lt;=EYear_O, BM$3&gt;0), BM$3 * VLOOKUP($A146, Data_All!$A$8:$CA$153, MATCH(BM$2, Data_All!$B$2:$CA$2, 0)+1), "")</f>
        <v/>
      </c>
      <c r="BN146" s="206" t="str">
        <f>IF(AND($A146&gt;=SYear_O, $A146&lt;=EYear_O, BN$3&gt;0), BN$3 * VLOOKUP($A146, Data_All!$A$8:$CA$153, MATCH(BN$2, Data_All!$B$2:$CA$2, 0)+1), "")</f>
        <v/>
      </c>
      <c r="BO146" s="206" t="str">
        <f>IF(AND($A146&gt;=SYear_O, $A146&lt;=EYear_O, BO$3&gt;0), BO$3 * VLOOKUP($A146, Data_All!$A$8:$CA$153, MATCH(BO$2, Data_All!$B$2:$CA$2, 0)+1), "")</f>
        <v/>
      </c>
      <c r="BP146" s="206" t="str">
        <f>IF(AND($A146&gt;=SYear_O, $A146&lt;=EYear_O, BP$3&gt;0), BP$3 * VLOOKUP($A146, Data_All!$A$8:$CA$153, MATCH(BP$2, Data_All!$B$2:$CA$2, 0)+1), "")</f>
        <v/>
      </c>
      <c r="BQ146" s="206" t="str">
        <f>IF(AND($A146&gt;=SYear_O, $A146&lt;=EYear_O, BQ$3&gt;0), BQ$3 * VLOOKUP($A146, Data_All!$A$8:$CA$153, MATCH(BQ$2, Data_All!$B$2:$CA$2, 0)+1), "")</f>
        <v/>
      </c>
      <c r="BR146" s="206" t="str">
        <f>IF(AND($A146&gt;=SYear_O, $A146&lt;=EYear_O, BR$3&gt;0), BR$3 * VLOOKUP($A146, Data_All!$A$8:$CA$153, MATCH(BR$2, Data_All!$B$2:$CA$2, 0)+1), "")</f>
        <v/>
      </c>
      <c r="BS146" s="206" t="str">
        <f>IF(AND($A146&gt;=SYear_O, $A146&lt;=EYear_O, BS$3&gt;0), BS$3 * VLOOKUP($A146, Data_All!$A$8:$CA$153, MATCH(BS$2, Data_All!$B$2:$CA$2, 0)+1), "")</f>
        <v/>
      </c>
      <c r="BT146" s="206" t="str">
        <f>IF(AND($A146&gt;=SYear_O, $A146&lt;=EYear_O, BT$3&gt;0), BT$3 * VLOOKUP($A146, Data_All!$A$8:$CA$153, MATCH(BT$2, Data_All!$B$2:$CA$2, 0)+1), "")</f>
        <v/>
      </c>
      <c r="BU146" s="206" t="str">
        <f>IF(AND($A146&gt;=SYear_O, $A146&lt;=EYear_O, BU$3&gt;0), BU$3 * VLOOKUP($A146, Data_All!$A$8:$CA$153, MATCH(BU$2, Data_All!$B$2:$CA$2, 0)+1), "")</f>
        <v/>
      </c>
      <c r="BV146" s="206" t="str">
        <f>IF(AND($A146&gt;=SYear_O, $A146&lt;=EYear_O, BV$3&gt;0), BV$3 * VLOOKUP($A146, Data_All!$A$8:$CA$153, MATCH(BV$2, Data_All!$B$2:$CA$2, 0)+1), "")</f>
        <v/>
      </c>
      <c r="BW146" s="206" t="str">
        <f>IF(AND($A146&gt;=SYear_O, $A146&lt;=EYear_O, BW$3&gt;0), BW$3 * VLOOKUP($A146, Data_All!$A$8:$CA$153, MATCH(BW$2, Data_All!$B$2:$CA$2, 0)+1), "")</f>
        <v/>
      </c>
      <c r="BX146" s="206">
        <f>IF(AND($A146&gt;=SYear_O, $A146&lt;=EYear_O, BX$3&gt;0), BX$3 * VLOOKUP($A146, Data_All!$A$8:$CA$153, MATCH(BX$2, Data_All!$B$2:$CA$2, 0)+1), "")</f>
        <v>9.7066519517969319</v>
      </c>
      <c r="BY146" s="206">
        <f>IF(AND($A146&gt;=SYear_O, $A146&lt;=EYear_O, BY$3&gt;0), BY$3 * VLOOKUP($A146, Data_All!$A$8:$CA$153, MATCH(BY$2, Data_All!$B$2:$CA$2, 0)+1), "")</f>
        <v>2.4458455395395529</v>
      </c>
      <c r="BZ146" s="206" t="str">
        <f>IF(AND($A146&gt;=SYear_O, $A146&lt;=EYear_O, BZ$3&gt;0), BZ$3 * VLOOKUP($A146, Data_All!$A$8:$CA$153, MATCH(BZ$2, Data_All!$B$2:$CA$2, 0)+1), "")</f>
        <v/>
      </c>
      <c r="CA146" s="565">
        <f t="shared" si="68"/>
        <v>12.152497491336485</v>
      </c>
      <c r="CB146" s="427">
        <f t="shared" si="69"/>
        <v>262016016.33402383</v>
      </c>
      <c r="CC146" s="565">
        <f>IF(AND($A146&gt;=SYear_O,$A146&lt;=EYear_O),(CA146-Data_All!CA147)/(1+Data_All!CA147%),"")</f>
        <v>10.499727075844973</v>
      </c>
      <c r="CD146" s="436">
        <f t="shared" si="70"/>
        <v>14900075.329134049</v>
      </c>
      <c r="CE146" s="438">
        <f t="shared" si="71"/>
        <v>23764.653226171926</v>
      </c>
      <c r="CF146" s="438">
        <f>IF(AND($A146&gt;=SYear_O,$A146&lt;=EYear_O),MAX($CE$7:CE146),"")</f>
        <v>23764.653226171926</v>
      </c>
      <c r="CG146" s="209">
        <f t="shared" si="72"/>
        <v>0</v>
      </c>
      <c r="CI146" s="143">
        <f>IF(AND($A146&gt;=SYear_O,$A146&lt;=EYear_O),Data_All!V147,"")</f>
        <v>0.01</v>
      </c>
      <c r="CJ146" s="143">
        <f>IF(AND($A146&gt;=SYear_O,$A146&lt;=EYear_O),Data_All!CA147,"")</f>
        <v>1.4957235273143077</v>
      </c>
      <c r="CK146" s="143">
        <f t="shared" si="73"/>
        <v>-1.4638286970923193</v>
      </c>
      <c r="CN146" s="61">
        <f t="shared" si="58"/>
        <v>0.12152497491336489</v>
      </c>
      <c r="CO146" s="61">
        <f t="shared" si="59"/>
        <v>9.5418048126942878E-2</v>
      </c>
      <c r="CP146" s="61">
        <f t="shared" si="60"/>
        <v>0.10677335623522466</v>
      </c>
      <c r="CQ146" s="61"/>
      <c r="CR146" s="61"/>
      <c r="CU146" s="61">
        <f t="shared" si="63"/>
        <v>0.10499727075844967</v>
      </c>
      <c r="CV146" s="61">
        <f t="shared" si="64"/>
        <v>7.3261867725108454E-2</v>
      </c>
      <c r="CW146" s="61">
        <f t="shared" si="65"/>
        <v>8.8390838831443386E-2</v>
      </c>
      <c r="CX146" s="61"/>
      <c r="CY146" s="61"/>
    </row>
    <row r="147" spans="1:103">
      <c r="A147" s="204">
        <f t="shared" si="51"/>
        <v>2011</v>
      </c>
      <c r="B147" s="206" t="str">
        <f>IF(AND($A147&gt;=SYear_O, $A147&lt;=EYear_O, B$3&gt;0), B$3 * VLOOKUP($A147, Data_All!$A$8:$CA$153, MATCH(B$2, Data_All!$B$2:$CA$2, 0)+1), "")</f>
        <v/>
      </c>
      <c r="C147" s="206" t="str">
        <f>IF(AND($A147&gt;=SYear_O, $A147&lt;=EYear_O, C$3&gt;0), C$3 * VLOOKUP($A147, Data_All!$A$8:$CA$153, MATCH(C$2, Data_All!$B$2:$CA$2, 0)+1), "")</f>
        <v/>
      </c>
      <c r="D147" s="206" t="str">
        <f>IF(AND($A147&gt;=SYear_O, $A147&lt;=EYear_O, D$3&gt;0), D$3 * VLOOKUP($A147, Data_All!$A$8:$CA$153, MATCH(D$2, Data_All!$B$2:$CA$2, 0)+1), "")</f>
        <v/>
      </c>
      <c r="E147" s="206" t="str">
        <f>IF(AND($A147&gt;=SYear_O, $A147&lt;=EYear_O, E$3&gt;0), E$3 * VLOOKUP($A147, Data_All!$A$8:$CA$153, MATCH(E$2, Data_All!$B$2:$CA$2, 0)+1), "")</f>
        <v/>
      </c>
      <c r="F147" s="206" t="str">
        <f>IF(AND($A147&gt;=SYear_O, $A147&lt;=EYear_O, F$3&gt;0), F$3 * VLOOKUP($A147, Data_All!$A$8:$CA$153, MATCH(F$2, Data_All!$B$2:$CA$2, 0)+1), "")</f>
        <v/>
      </c>
      <c r="G147" s="206" t="str">
        <f>IF(AND($A147&gt;=SYear_O, $A147&lt;=EYear_O, G$3&gt;0), G$3 * VLOOKUP($A147, Data_All!$A$8:$CA$153, MATCH(G$2, Data_All!$B$2:$CA$2, 0)+1), "")</f>
        <v/>
      </c>
      <c r="H147" s="206" t="str">
        <f>IF(AND($A147&gt;=SYear_O, $A147&lt;=EYear_O, H$3&gt;0), H$3 * VLOOKUP($A147, Data_All!$A$8:$CA$153, MATCH(H$2, Data_All!$B$2:$CA$2, 0)+1), "")</f>
        <v/>
      </c>
      <c r="I147" s="206" t="str">
        <f>IF(AND($A147&gt;=SYear_O, $A147&lt;=EYear_O, I$3&gt;0), I$3 * VLOOKUP($A147, Data_All!$A$8:$CA$153, MATCH(I$2, Data_All!$B$2:$CA$2, 0)+1), "")</f>
        <v/>
      </c>
      <c r="J147" s="206" t="str">
        <f>IF(AND($A147&gt;=SYear_O, $A147&lt;=EYear_O, J$3&gt;0), J$3 * VLOOKUP($A147, Data_All!$A$8:$CA$153, MATCH(J$2, Data_All!$B$2:$CA$2, 0)+1), "")</f>
        <v/>
      </c>
      <c r="K147" s="206" t="str">
        <f>IF(AND($A147&gt;=SYear_O, $A147&lt;=EYear_O, K$3&gt;0), K$3 * VLOOKUP($A147, Data_All!$A$8:$CA$153, MATCH(K$2, Data_All!$B$2:$CA$2, 0)+1), "")</f>
        <v/>
      </c>
      <c r="L147" s="206" t="str">
        <f>IF(AND($A147&gt;=SYear_O, $A147&lt;=EYear_O, L$3&gt;0), L$3 * VLOOKUP($A147, Data_All!$A$8:$CA$153, MATCH(L$2, Data_All!$B$2:$CA$2, 0)+1), "")</f>
        <v/>
      </c>
      <c r="M147" s="206" t="str">
        <f>IF(AND($A147&gt;=SYear_O, $A147&lt;=EYear_O, M$3&gt;0), M$3 * VLOOKUP($A147, Data_All!$A$8:$CA$153, MATCH(M$2, Data_All!$B$2:$CA$2, 0)+1), "")</f>
        <v/>
      </c>
      <c r="N147" s="206" t="str">
        <f>IF(AND($A147&gt;=SYear_O, $A147&lt;=EYear_O, N$3&gt;0), N$3 * VLOOKUP($A147, Data_All!$A$8:$CA$153, MATCH(N$2, Data_All!$B$2:$CA$2, 0)+1), "")</f>
        <v/>
      </c>
      <c r="O147" s="206" t="str">
        <f>IF(AND($A147&gt;=SYear_O, $A147&lt;=EYear_O, O$3&gt;0), O$3 * VLOOKUP($A147, Data_All!$A$8:$CA$153, MATCH(O$2, Data_All!$B$2:$CA$2, 0)+1), "")</f>
        <v/>
      </c>
      <c r="P147" s="206" t="str">
        <f>IF(AND($A147&gt;=SYear_O, $A147&lt;=EYear_O, P$3&gt;0), P$3 * VLOOKUP($A147, Data_All!$A$8:$CA$153, MATCH(P$2, Data_All!$B$2:$CA$2, 0)+1), "")</f>
        <v/>
      </c>
      <c r="Q147" s="206" t="str">
        <f>IF(AND($A147&gt;=SYear_O, $A147&lt;=EYear_O, Q$3&gt;0), Q$3 * VLOOKUP($A147, Data_All!$A$8:$CA$153, MATCH(Q$2, Data_All!$B$2:$CA$2, 0)+1), "")</f>
        <v/>
      </c>
      <c r="R147" s="206" t="str">
        <f>IF(AND($A147&gt;=SYear_O, $A147&lt;=EYear_O, R$3&gt;0), R$3 * VLOOKUP($A147, Data_All!$A$8:$CA$153, MATCH(R$2, Data_All!$B$2:$CA$2, 0)+1), "")</f>
        <v/>
      </c>
      <c r="S147" s="206" t="str">
        <f>IF(AND($A147&gt;=SYear_O, $A147&lt;=EYear_O, S$3&gt;0), S$3 * VLOOKUP($A147, Data_All!$A$8:$CA$153, MATCH(S$2, Data_All!$B$2:$CA$2, 0)+1), "")</f>
        <v/>
      </c>
      <c r="T147" s="206" t="str">
        <f>IF(AND($A147&gt;=SYear_O, $A147&lt;=EYear_O, T$3&gt;0), T$3 * VLOOKUP($A147, Data_All!$A$8:$CA$153, MATCH(T$2, Data_All!$B$2:$CA$2, 0)+1), "")</f>
        <v/>
      </c>
      <c r="U147" s="206" t="str">
        <f>IF(AND($A147&gt;=SYear_O, $A147&lt;=EYear_O, U$3&gt;0), U$3 * VLOOKUP($A147, Data_All!$A$8:$CA$153, MATCH(U$2, Data_All!$B$2:$CA$2, 0)+1), "")</f>
        <v/>
      </c>
      <c r="V147" s="206" t="str">
        <f>IF(AND($A147&gt;=SYear_O, $A147&lt;=EYear_O, V$3&gt;0), V$3 * VLOOKUP($A147, Data_All!$A$8:$CA$153, MATCH(V$2, Data_All!$B$2:$CA$2, 0)+1), "")</f>
        <v/>
      </c>
      <c r="W147" s="206" t="str">
        <f>IF(AND($A147&gt;=SYear_O, $A147&lt;=EYear_O, W$3&gt;0), W$3 * VLOOKUP($A147, Data_All!$A$8:$CA$153, MATCH(W$2, Data_All!$B$2:$CA$2, 0)+1), "")</f>
        <v/>
      </c>
      <c r="X147" s="206" t="str">
        <f>IF(AND($A147&gt;=SYear_O, $A147&lt;=EYear_O, X$3&gt;0), X$3 * VLOOKUP($A147, Data_All!$A$8:$CA$153, MATCH(X$2, Data_All!$B$2:$CA$2, 0)+1), "")</f>
        <v/>
      </c>
      <c r="Y147" s="206" t="str">
        <f>IF(AND($A147&gt;=SYear_O, $A147&lt;=EYear_O, Y$3&gt;0), Y$3 * VLOOKUP($A147, Data_All!$A$8:$CA$153, MATCH(Y$2, Data_All!$B$2:$CA$2, 0)+1), "")</f>
        <v/>
      </c>
      <c r="Z147" s="206" t="str">
        <f>IF(AND($A147&gt;=SYear_O, $A147&lt;=EYear_O, Z$3&gt;0), Z$3 * VLOOKUP($A147, Data_All!$A$8:$CA$153, MATCH(Z$2, Data_All!$B$2:$CA$2, 0)+1), "")</f>
        <v/>
      </c>
      <c r="AA147" s="206" t="str">
        <f>IF(AND($A147&gt;=SYear_O, $A147&lt;=EYear_O, AA$3&gt;0), AA$3 * VLOOKUP($A147, Data_All!$A$8:$CA$153, MATCH(AA$2, Data_All!$B$2:$CA$2, 0)+1), "")</f>
        <v/>
      </c>
      <c r="AB147" s="206" t="str">
        <f>IF(AND($A147&gt;=SYear_O, $A147&lt;=EYear_O, AB$3&gt;0), AB$3 * VLOOKUP($A147, Data_All!$A$8:$CA$153, MATCH(AB$2, Data_All!$B$2:$CA$2, 0)+1), "")</f>
        <v/>
      </c>
      <c r="AC147" s="206" t="str">
        <f>IF(AND($A147&gt;=SYear_O, $A147&lt;=EYear_O, AC$3&gt;0), AC$3 * VLOOKUP($A147, Data_All!$A$8:$CA$153, MATCH(AC$2, Data_All!$B$2:$CA$2, 0)+1), "")</f>
        <v/>
      </c>
      <c r="AD147" s="206" t="str">
        <f>IF(AND($A147&gt;=SYear_O, $A147&lt;=EYear_O, AD$3&gt;0), AD$3 * VLOOKUP($A147, Data_All!$A$8:$CA$153, MATCH(AD$2, Data_All!$B$2:$CA$2, 0)+1), "")</f>
        <v/>
      </c>
      <c r="AE147" s="206" t="str">
        <f>IF(AND($A147&gt;=SYear_O, $A147&lt;=EYear_O, AE$3&gt;0), AE$3 * VLOOKUP($A147, Data_All!$A$8:$CA$153, MATCH(AE$2, Data_All!$B$2:$CA$2, 0)+1), "")</f>
        <v/>
      </c>
      <c r="AF147" s="206" t="str">
        <f>IF(AND($A147&gt;=SYear_O, $A147&lt;=EYear_O, AF$3&gt;0), AF$3 * VLOOKUP($A147, Data_All!$A$8:$CA$153, MATCH(AF$2, Data_All!$B$2:$CA$2, 0)+1), "")</f>
        <v/>
      </c>
      <c r="AG147" s="206" t="str">
        <f>IF(AND($A147&gt;=SYear_O, $A147&lt;=EYear_O, AG$3&gt;0), AG$3 * VLOOKUP($A147, Data_All!$A$8:$CA$153, MATCH(AG$2, Data_All!$B$2:$CA$2, 0)+1), "")</f>
        <v/>
      </c>
      <c r="AH147" s="206" t="str">
        <f>IF(AND($A147&gt;=SYear_O, $A147&lt;=EYear_O, AH$3&gt;0), AH$3 * VLOOKUP($A147, Data_All!$A$8:$CA$153, MATCH(AH$2, Data_All!$B$2:$CA$2, 0)+1), "")</f>
        <v/>
      </c>
      <c r="AI147" s="206" t="str">
        <f>IF(AND($A147&gt;=SYear_O, $A147&lt;=EYear_O, AI$3&gt;0), AI$3 * VLOOKUP($A147, Data_All!$A$8:$CA$153, MATCH(AI$2, Data_All!$B$2:$CA$2, 0)+1), "")</f>
        <v/>
      </c>
      <c r="AJ147" s="206" t="str">
        <f>IF(AND($A147&gt;=SYear_O, $A147&lt;=EYear_O, AJ$3&gt;0), AJ$3 * VLOOKUP($A147, Data_All!$A$8:$CA$153, MATCH(AJ$2, Data_All!$B$2:$CA$2, 0)+1), "")</f>
        <v/>
      </c>
      <c r="AK147" s="206" t="str">
        <f>IF(AND($A147&gt;=SYear_O, $A147&lt;=EYear_O, AK$3&gt;0), AK$3 * VLOOKUP($A147, Data_All!$A$8:$CA$153, MATCH(AK$2, Data_All!$B$2:$CA$2, 0)+1), "")</f>
        <v/>
      </c>
      <c r="AL147" s="206" t="str">
        <f>IF(AND($A147&gt;=SYear_O, $A147&lt;=EYear_O, AL$3&gt;0), AL$3 * VLOOKUP($A147, Data_All!$A$8:$CA$153, MATCH(AL$2, Data_All!$B$2:$CA$2, 0)+1), "")</f>
        <v/>
      </c>
      <c r="AM147" s="206" t="str">
        <f>IF(AND($A147&gt;=SYear_O, $A147&lt;=EYear_O, AM$3&gt;0), AM$3 * VLOOKUP($A147, Data_All!$A$8:$CA$153, MATCH(AM$2, Data_All!$B$2:$CA$2, 0)+1), "")</f>
        <v/>
      </c>
      <c r="AN147" s="206" t="str">
        <f>IF(AND($A147&gt;=SYear_O, $A147&lt;=EYear_O, AN$3&gt;0), AN$3 * VLOOKUP($A147, Data_All!$A$8:$CA$153, MATCH(AN$2, Data_All!$B$2:$CA$2, 0)+1), "")</f>
        <v/>
      </c>
      <c r="AO147" s="206" t="str">
        <f>IF(AND($A147&gt;=SYear_O, $A147&lt;=EYear_O, AO$3&gt;0), AO$3 * VLOOKUP($A147, Data_All!$A$8:$CA$153, MATCH(AO$2, Data_All!$B$2:$CA$2, 0)+1), "")</f>
        <v/>
      </c>
      <c r="AP147" s="206" t="str">
        <f>IF(AND($A147&gt;=SYear_O, $A147&lt;=EYear_O, AP$3&gt;0), AP$3 * VLOOKUP($A147, Data_All!$A$8:$CA$153, MATCH(AP$2, Data_All!$B$2:$CA$2, 0)+1), "")</f>
        <v/>
      </c>
      <c r="AQ147" s="206" t="str">
        <f>IF(AND($A147&gt;=SYear_O, $A147&lt;=EYear_O, AQ$3&gt;0), AQ$3 * VLOOKUP($A147, Data_All!$A$8:$CA$153, MATCH(AQ$2, Data_All!$B$2:$CA$2, 0)+1), "")</f>
        <v/>
      </c>
      <c r="AR147" s="206" t="str">
        <f>IF(AND($A147&gt;=SYear_O, $A147&lt;=EYear_O, AR$3&gt;0), AR$3 * VLOOKUP($A147, Data_All!$A$8:$CA$153, MATCH(AR$2, Data_All!$B$2:$CA$2, 0)+1), "")</f>
        <v/>
      </c>
      <c r="AS147" s="206" t="str">
        <f>IF(AND($A147&gt;=SYear_O, $A147&lt;=EYear_O, AS$3&gt;0), AS$3 * VLOOKUP($A147, Data_All!$A$8:$CA$153, MATCH(AS$2, Data_All!$B$2:$CA$2, 0)+1), "")</f>
        <v/>
      </c>
      <c r="AT147" s="206" t="str">
        <f>IF(AND($A147&gt;=SYear_O, $A147&lt;=EYear_O, AT$3&gt;0), AT$3 * VLOOKUP($A147, Data_All!$A$8:$CA$153, MATCH(AT$2, Data_All!$B$2:$CA$2, 0)+1), "")</f>
        <v/>
      </c>
      <c r="AU147" s="206" t="str">
        <f>IF(AND($A147&gt;=SYear_O, $A147&lt;=EYear_O, AU$3&gt;0), AU$3 * VLOOKUP($A147, Data_All!$A$8:$CA$153, MATCH(AU$2, Data_All!$B$2:$CA$2, 0)+1), "")</f>
        <v/>
      </c>
      <c r="AV147" s="206" t="str">
        <f>IF(AND($A147&gt;=SYear_O, $A147&lt;=EYear_O, AV$3&gt;0), AV$3 * VLOOKUP($A147, Data_All!$A$8:$CA$153, MATCH(AV$2, Data_All!$B$2:$CA$2, 0)+1), "")</f>
        <v/>
      </c>
      <c r="AW147" s="206" t="str">
        <f>IF(AND($A147&gt;=SYear_O, $A147&lt;=EYear_O, AW$3&gt;0), AW$3 * VLOOKUP($A147, Data_All!$A$8:$CA$153, MATCH(AW$2, Data_All!$B$2:$CA$2, 0)+1), "")</f>
        <v/>
      </c>
      <c r="AX147" s="206" t="str">
        <f>IF(AND($A147&gt;=SYear_O, $A147&lt;=EYear_O, AX$3&gt;0), AX$3 * VLOOKUP($A147, Data_All!$A$8:$CA$153, MATCH(AX$2, Data_All!$B$2:$CA$2, 0)+1), "")</f>
        <v/>
      </c>
      <c r="AY147" s="206" t="str">
        <f>IF(AND($A147&gt;=SYear_O, $A147&lt;=EYear_O, AY$3&gt;0), AY$3 * VLOOKUP($A147, Data_All!$A$8:$CA$153, MATCH(AY$2, Data_All!$B$2:$CA$2, 0)+1), "")</f>
        <v/>
      </c>
      <c r="AZ147" s="206" t="str">
        <f>IF(AND($A147&gt;=SYear_O, $A147&lt;=EYear_O, AZ$3&gt;0), AZ$3 * VLOOKUP($A147, Data_All!$A$8:$CA$153, MATCH(AZ$2, Data_All!$B$2:$CA$2, 0)+1), "")</f>
        <v/>
      </c>
      <c r="BA147" s="206" t="str">
        <f>IF(AND($A147&gt;=SYear_O, $A147&lt;=EYear_O, BA$3&gt;0), BA$3 * VLOOKUP($A147, Data_All!$A$8:$CA$153, MATCH(BA$2, Data_All!$B$2:$CA$2, 0)+1), "")</f>
        <v/>
      </c>
      <c r="BB147" s="206" t="str">
        <f>IF(AND($A147&gt;=SYear_O, $A147&lt;=EYear_O, BB$3&gt;0), BB$3 * VLOOKUP($A147, Data_All!$A$8:$CA$153, MATCH(BB$2, Data_All!$B$2:$CA$2, 0)+1), "")</f>
        <v/>
      </c>
      <c r="BC147" s="206" t="str">
        <f>IF(AND($A147&gt;=SYear_O, $A147&lt;=EYear_O, BC$3&gt;0), BC$3 * VLOOKUP($A147, Data_All!$A$8:$CA$153, MATCH(BC$2, Data_All!$B$2:$CA$2, 0)+1), "")</f>
        <v/>
      </c>
      <c r="BD147" s="206" t="str">
        <f>IF(AND($A147&gt;=SYear_O, $A147&lt;=EYear_O, BD$3&gt;0), BD$3 * VLOOKUP($A147, Data_All!$A$8:$CA$153, MATCH(BD$2, Data_All!$B$2:$CA$2, 0)+1), "")</f>
        <v/>
      </c>
      <c r="BE147" s="206" t="str">
        <f>IF(AND($A147&gt;=SYear_O, $A147&lt;=EYear_O, BE$3&gt;0), BE$3 * VLOOKUP($A147, Data_All!$A$8:$CA$153, MATCH(BE$2, Data_All!$B$2:$CA$2, 0)+1), "")</f>
        <v/>
      </c>
      <c r="BF147" s="206" t="str">
        <f>IF(AND($A147&gt;=SYear_O, $A147&lt;=EYear_O, BF$3&gt;0), BF$3 * VLOOKUP($A147, Data_All!$A$8:$CA$153, MATCH(BF$2, Data_All!$B$2:$CA$2, 0)+1), "")</f>
        <v/>
      </c>
      <c r="BG147" s="206" t="str">
        <f>IF(AND($A147&gt;=SYear_O, $A147&lt;=EYear_O, BG$3&gt;0), BG$3 * VLOOKUP($A147, Data_All!$A$8:$CA$153, MATCH(BG$2, Data_All!$B$2:$CA$2, 0)+1), "")</f>
        <v/>
      </c>
      <c r="BH147" s="206" t="str">
        <f>IF(AND($A147&gt;=SYear_O, $A147&lt;=EYear_O, BH$3&gt;0), BH$3 * VLOOKUP($A147, Data_All!$A$8:$CA$153, MATCH(BH$2, Data_All!$B$2:$CA$2, 0)+1), "")</f>
        <v/>
      </c>
      <c r="BI147" s="206" t="str">
        <f>IF(AND($A147&gt;=SYear_O, $A147&lt;=EYear_O, BI$3&gt;0), BI$3 * VLOOKUP($A147, Data_All!$A$8:$CA$153, MATCH(BI$2, Data_All!$B$2:$CA$2, 0)+1), "")</f>
        <v/>
      </c>
      <c r="BJ147" s="206" t="str">
        <f>IF(AND($A147&gt;=SYear_O, $A147&lt;=EYear_O, BJ$3&gt;0), BJ$3 * VLOOKUP($A147, Data_All!$A$8:$CA$153, MATCH(BJ$2, Data_All!$B$2:$CA$2, 0)+1), "")</f>
        <v/>
      </c>
      <c r="BK147" s="206" t="str">
        <f>IF(AND($A147&gt;=SYear_O, $A147&lt;=EYear_O, BK$3&gt;0), BK$3 * VLOOKUP($A147, Data_All!$A$8:$CA$153, MATCH(BK$2, Data_All!$B$2:$CA$2, 0)+1), "")</f>
        <v/>
      </c>
      <c r="BL147" s="206" t="str">
        <f>IF(AND($A147&gt;=SYear_O, $A147&lt;=EYear_O, BL$3&gt;0), BL$3 * VLOOKUP($A147, Data_All!$A$8:$CA$153, MATCH(BL$2, Data_All!$B$2:$CA$2, 0)+1), "")</f>
        <v/>
      </c>
      <c r="BM147" s="206" t="str">
        <f>IF(AND($A147&gt;=SYear_O, $A147&lt;=EYear_O, BM$3&gt;0), BM$3 * VLOOKUP($A147, Data_All!$A$8:$CA$153, MATCH(BM$2, Data_All!$B$2:$CA$2, 0)+1), "")</f>
        <v/>
      </c>
      <c r="BN147" s="206" t="str">
        <f>IF(AND($A147&gt;=SYear_O, $A147&lt;=EYear_O, BN$3&gt;0), BN$3 * VLOOKUP($A147, Data_All!$A$8:$CA$153, MATCH(BN$2, Data_All!$B$2:$CA$2, 0)+1), "")</f>
        <v/>
      </c>
      <c r="BO147" s="206" t="str">
        <f>IF(AND($A147&gt;=SYear_O, $A147&lt;=EYear_O, BO$3&gt;0), BO$3 * VLOOKUP($A147, Data_All!$A$8:$CA$153, MATCH(BO$2, Data_All!$B$2:$CA$2, 0)+1), "")</f>
        <v/>
      </c>
      <c r="BP147" s="206" t="str">
        <f>IF(AND($A147&gt;=SYear_O, $A147&lt;=EYear_O, BP$3&gt;0), BP$3 * VLOOKUP($A147, Data_All!$A$8:$CA$153, MATCH(BP$2, Data_All!$B$2:$CA$2, 0)+1), "")</f>
        <v/>
      </c>
      <c r="BQ147" s="206" t="str">
        <f>IF(AND($A147&gt;=SYear_O, $A147&lt;=EYear_O, BQ$3&gt;0), BQ$3 * VLOOKUP($A147, Data_All!$A$8:$CA$153, MATCH(BQ$2, Data_All!$B$2:$CA$2, 0)+1), "")</f>
        <v/>
      </c>
      <c r="BR147" s="206" t="str">
        <f>IF(AND($A147&gt;=SYear_O, $A147&lt;=EYear_O, BR$3&gt;0), BR$3 * VLOOKUP($A147, Data_All!$A$8:$CA$153, MATCH(BR$2, Data_All!$B$2:$CA$2, 0)+1), "")</f>
        <v/>
      </c>
      <c r="BS147" s="206" t="str">
        <f>IF(AND($A147&gt;=SYear_O, $A147&lt;=EYear_O, BS$3&gt;0), BS$3 * VLOOKUP($A147, Data_All!$A$8:$CA$153, MATCH(BS$2, Data_All!$B$2:$CA$2, 0)+1), "")</f>
        <v/>
      </c>
      <c r="BT147" s="206" t="str">
        <f>IF(AND($A147&gt;=SYear_O, $A147&lt;=EYear_O, BT$3&gt;0), BT$3 * VLOOKUP($A147, Data_All!$A$8:$CA$153, MATCH(BT$2, Data_All!$B$2:$CA$2, 0)+1), "")</f>
        <v/>
      </c>
      <c r="BU147" s="206" t="str">
        <f>IF(AND($A147&gt;=SYear_O, $A147&lt;=EYear_O, BU$3&gt;0), BU$3 * VLOOKUP($A147, Data_All!$A$8:$CA$153, MATCH(BU$2, Data_All!$B$2:$CA$2, 0)+1), "")</f>
        <v/>
      </c>
      <c r="BV147" s="206" t="str">
        <f>IF(AND($A147&gt;=SYear_O, $A147&lt;=EYear_O, BV$3&gt;0), BV$3 * VLOOKUP($A147, Data_All!$A$8:$CA$153, MATCH(BV$2, Data_All!$B$2:$CA$2, 0)+1), "")</f>
        <v/>
      </c>
      <c r="BW147" s="206" t="str">
        <f>IF(AND($A147&gt;=SYear_O, $A147&lt;=EYear_O, BW$3&gt;0), BW$3 * VLOOKUP($A147, Data_All!$A$8:$CA$153, MATCH(BW$2, Data_All!$B$2:$CA$2, 0)+1), "")</f>
        <v/>
      </c>
      <c r="BX147" s="206">
        <f>IF(AND($A147&gt;=SYear_O, $A147&lt;=EYear_O, BX$3&gt;0), BX$3 * VLOOKUP($A147, Data_All!$A$8:$CA$153, MATCH(BX$2, Data_All!$B$2:$CA$2, 0)+1), "")</f>
        <v>2.0765308509145441</v>
      </c>
      <c r="BY147" s="206">
        <f>IF(AND($A147&gt;=SYear_O, $A147&lt;=EYear_O, BY$3&gt;0), BY$3 * VLOOKUP($A147, Data_All!$A$8:$CA$153, MATCH(BY$2, Data_All!$B$2:$CA$2, 0)+1), "")</f>
        <v>3.7945640707077111</v>
      </c>
      <c r="BZ147" s="206" t="str">
        <f>IF(AND($A147&gt;=SYear_O, $A147&lt;=EYear_O, BZ$3&gt;0), BZ$3 * VLOOKUP($A147, Data_All!$A$8:$CA$153, MATCH(BZ$2, Data_All!$B$2:$CA$2, 0)+1), "")</f>
        <v/>
      </c>
      <c r="CA147" s="565">
        <f t="shared" ref="CA147:CA152" si="74">IF(AND($A147&gt;=SYear_O,$A147&lt;=EYear_O),SUM(B147:BZ147),"")</f>
        <v>5.8710949216222552</v>
      </c>
      <c r="CB147" s="427">
        <f t="shared" ref="CB147:CB152" si="75">IF(AND($A147&gt;=SYear_O,$A147&lt;=EYear_O),IF($A147=SYear_O,$CB$4*(1+CA147%),$CB146*(1+CA147%)),"")</f>
        <v>277399225.36284763</v>
      </c>
      <c r="CC147" s="565">
        <f>IF(AND($A147&gt;=SYear_O,$A147&lt;=EYear_O),(CA147-Data_All!CA148)/(1+Data_All!CA148%),"")</f>
        <v>2.8249880970002588</v>
      </c>
      <c r="CD147" s="436">
        <f t="shared" ref="CD147:CD152" si="76">IF(AND($A147&gt;=SYear_O,$A147&lt;=EYear_O),IF($A147=SYear_O,$CD$4*(1+CC147%),$CD146*(1+CC147%)),"")</f>
        <v>15321000.68362616</v>
      </c>
      <c r="CE147" s="438">
        <f t="shared" ref="CE147:CE152" si="77">IF(AND($A147&gt;=SYear_O,$A147&lt;=EYear_O),IF($A147=SYear_O,CE$2,CE146*(1+CA147%)),"")</f>
        <v>25159.898574874846</v>
      </c>
      <c r="CF147" s="438">
        <f>IF(AND($A147&gt;=SYear_O,$A147&lt;=EYear_O),MAX($CE$7:CE147),"")</f>
        <v>25159.898574874846</v>
      </c>
      <c r="CG147" s="209">
        <f t="shared" ref="CG147:CG152" si="78">IF(AND($A147&gt;=SYear_O,$A147&lt;=EYear_O),1-(CE147/CF147),"")</f>
        <v>0</v>
      </c>
      <c r="CI147" s="143">
        <f>IF(AND($A147&gt;=SYear_O,$A147&lt;=EYear_O),Data_All!V148,"")</f>
        <v>0.02</v>
      </c>
      <c r="CJ147" s="143">
        <f>IF(AND($A147&gt;=SYear_O,$A147&lt;=EYear_O),Data_All!CA148,"")</f>
        <v>2.9624188448710953</v>
      </c>
      <c r="CK147" s="143">
        <f t="shared" ref="CK147:CK152" si="79">IF(AND($A147&gt;=SYear_O,$A147&lt;=EYear_O),(CI147-CJ147)/(1+CJ147%),"")</f>
        <v>-2.8577600233967959</v>
      </c>
      <c r="CN147" s="61">
        <f t="shared" si="58"/>
        <v>5.8710949216222552E-2</v>
      </c>
      <c r="CO147" s="61">
        <f t="shared" si="59"/>
        <v>0.10322636712500177</v>
      </c>
      <c r="CP147" s="61">
        <f t="shared" si="60"/>
        <v>7.8396554325064205E-2</v>
      </c>
      <c r="CQ147" s="61"/>
      <c r="CR147" s="61"/>
      <c r="CU147" s="61">
        <f t="shared" si="63"/>
        <v>2.8249880970002694E-2</v>
      </c>
      <c r="CV147" s="61">
        <f t="shared" si="64"/>
        <v>8.0890912100459955E-2</v>
      </c>
      <c r="CW147" s="61">
        <f t="shared" si="65"/>
        <v>6.2093789969319246E-2</v>
      </c>
      <c r="CX147" s="61"/>
      <c r="CY147" s="61"/>
    </row>
    <row r="148" spans="1:103">
      <c r="A148" s="204">
        <f t="shared" si="51"/>
        <v>2012</v>
      </c>
      <c r="B148" s="206" t="str">
        <f>IF(AND($A148&gt;=SYear_O, $A148&lt;=EYear_O, B$3&gt;0), B$3 * VLOOKUP($A148, Data_All!$A$8:$CA$153, MATCH(B$2, Data_All!$B$2:$CA$2, 0)+1), "")</f>
        <v/>
      </c>
      <c r="C148" s="206" t="str">
        <f>IF(AND($A148&gt;=SYear_O, $A148&lt;=EYear_O, C$3&gt;0), C$3 * VLOOKUP($A148, Data_All!$A$8:$CA$153, MATCH(C$2, Data_All!$B$2:$CA$2, 0)+1), "")</f>
        <v/>
      </c>
      <c r="D148" s="206" t="str">
        <f>IF(AND($A148&gt;=SYear_O, $A148&lt;=EYear_O, D$3&gt;0), D$3 * VLOOKUP($A148, Data_All!$A$8:$CA$153, MATCH(D$2, Data_All!$B$2:$CA$2, 0)+1), "")</f>
        <v/>
      </c>
      <c r="E148" s="206" t="str">
        <f>IF(AND($A148&gt;=SYear_O, $A148&lt;=EYear_O, E$3&gt;0), E$3 * VLOOKUP($A148, Data_All!$A$8:$CA$153, MATCH(E$2, Data_All!$B$2:$CA$2, 0)+1), "")</f>
        <v/>
      </c>
      <c r="F148" s="206" t="str">
        <f>IF(AND($A148&gt;=SYear_O, $A148&lt;=EYear_O, F$3&gt;0), F$3 * VLOOKUP($A148, Data_All!$A$8:$CA$153, MATCH(F$2, Data_All!$B$2:$CA$2, 0)+1), "")</f>
        <v/>
      </c>
      <c r="G148" s="206" t="str">
        <f>IF(AND($A148&gt;=SYear_O, $A148&lt;=EYear_O, G$3&gt;0), G$3 * VLOOKUP($A148, Data_All!$A$8:$CA$153, MATCH(G$2, Data_All!$B$2:$CA$2, 0)+1), "")</f>
        <v/>
      </c>
      <c r="H148" s="206" t="str">
        <f>IF(AND($A148&gt;=SYear_O, $A148&lt;=EYear_O, H$3&gt;0), H$3 * VLOOKUP($A148, Data_All!$A$8:$CA$153, MATCH(H$2, Data_All!$B$2:$CA$2, 0)+1), "")</f>
        <v/>
      </c>
      <c r="I148" s="206" t="str">
        <f>IF(AND($A148&gt;=SYear_O, $A148&lt;=EYear_O, I$3&gt;0), I$3 * VLOOKUP($A148, Data_All!$A$8:$CA$153, MATCH(I$2, Data_All!$B$2:$CA$2, 0)+1), "")</f>
        <v/>
      </c>
      <c r="J148" s="206" t="str">
        <f>IF(AND($A148&gt;=SYear_O, $A148&lt;=EYear_O, J$3&gt;0), J$3 * VLOOKUP($A148, Data_All!$A$8:$CA$153, MATCH(J$2, Data_All!$B$2:$CA$2, 0)+1), "")</f>
        <v/>
      </c>
      <c r="K148" s="206" t="str">
        <f>IF(AND($A148&gt;=SYear_O, $A148&lt;=EYear_O, K$3&gt;0), K$3 * VLOOKUP($A148, Data_All!$A$8:$CA$153, MATCH(K$2, Data_All!$B$2:$CA$2, 0)+1), "")</f>
        <v/>
      </c>
      <c r="L148" s="206" t="str">
        <f>IF(AND($A148&gt;=SYear_O, $A148&lt;=EYear_O, L$3&gt;0), L$3 * VLOOKUP($A148, Data_All!$A$8:$CA$153, MATCH(L$2, Data_All!$B$2:$CA$2, 0)+1), "")</f>
        <v/>
      </c>
      <c r="M148" s="206" t="str">
        <f>IF(AND($A148&gt;=SYear_O, $A148&lt;=EYear_O, M$3&gt;0), M$3 * VLOOKUP($A148, Data_All!$A$8:$CA$153, MATCH(M$2, Data_All!$B$2:$CA$2, 0)+1), "")</f>
        <v/>
      </c>
      <c r="N148" s="206" t="str">
        <f>IF(AND($A148&gt;=SYear_O, $A148&lt;=EYear_O, N$3&gt;0), N$3 * VLOOKUP($A148, Data_All!$A$8:$CA$153, MATCH(N$2, Data_All!$B$2:$CA$2, 0)+1), "")</f>
        <v/>
      </c>
      <c r="O148" s="206" t="str">
        <f>IF(AND($A148&gt;=SYear_O, $A148&lt;=EYear_O, O$3&gt;0), O$3 * VLOOKUP($A148, Data_All!$A$8:$CA$153, MATCH(O$2, Data_All!$B$2:$CA$2, 0)+1), "")</f>
        <v/>
      </c>
      <c r="P148" s="206" t="str">
        <f>IF(AND($A148&gt;=SYear_O, $A148&lt;=EYear_O, P$3&gt;0), P$3 * VLOOKUP($A148, Data_All!$A$8:$CA$153, MATCH(P$2, Data_All!$B$2:$CA$2, 0)+1), "")</f>
        <v/>
      </c>
      <c r="Q148" s="206" t="str">
        <f>IF(AND($A148&gt;=SYear_O, $A148&lt;=EYear_O, Q$3&gt;0), Q$3 * VLOOKUP($A148, Data_All!$A$8:$CA$153, MATCH(Q$2, Data_All!$B$2:$CA$2, 0)+1), "")</f>
        <v/>
      </c>
      <c r="R148" s="206" t="str">
        <f>IF(AND($A148&gt;=SYear_O, $A148&lt;=EYear_O, R$3&gt;0), R$3 * VLOOKUP($A148, Data_All!$A$8:$CA$153, MATCH(R$2, Data_All!$B$2:$CA$2, 0)+1), "")</f>
        <v/>
      </c>
      <c r="S148" s="206" t="str">
        <f>IF(AND($A148&gt;=SYear_O, $A148&lt;=EYear_O, S$3&gt;0), S$3 * VLOOKUP($A148, Data_All!$A$8:$CA$153, MATCH(S$2, Data_All!$B$2:$CA$2, 0)+1), "")</f>
        <v/>
      </c>
      <c r="T148" s="206" t="str">
        <f>IF(AND($A148&gt;=SYear_O, $A148&lt;=EYear_O, T$3&gt;0), T$3 * VLOOKUP($A148, Data_All!$A$8:$CA$153, MATCH(T$2, Data_All!$B$2:$CA$2, 0)+1), "")</f>
        <v/>
      </c>
      <c r="U148" s="206" t="str">
        <f>IF(AND($A148&gt;=SYear_O, $A148&lt;=EYear_O, U$3&gt;0), U$3 * VLOOKUP($A148, Data_All!$A$8:$CA$153, MATCH(U$2, Data_All!$B$2:$CA$2, 0)+1), "")</f>
        <v/>
      </c>
      <c r="V148" s="206" t="str">
        <f>IF(AND($A148&gt;=SYear_O, $A148&lt;=EYear_O, V$3&gt;0), V$3 * VLOOKUP($A148, Data_All!$A$8:$CA$153, MATCH(V$2, Data_All!$B$2:$CA$2, 0)+1), "")</f>
        <v/>
      </c>
      <c r="W148" s="206" t="str">
        <f>IF(AND($A148&gt;=SYear_O, $A148&lt;=EYear_O, W$3&gt;0), W$3 * VLOOKUP($A148, Data_All!$A$8:$CA$153, MATCH(W$2, Data_All!$B$2:$CA$2, 0)+1), "")</f>
        <v/>
      </c>
      <c r="X148" s="206" t="str">
        <f>IF(AND($A148&gt;=SYear_O, $A148&lt;=EYear_O, X$3&gt;0), X$3 * VLOOKUP($A148, Data_All!$A$8:$CA$153, MATCH(X$2, Data_All!$B$2:$CA$2, 0)+1), "")</f>
        <v/>
      </c>
      <c r="Y148" s="206" t="str">
        <f>IF(AND($A148&gt;=SYear_O, $A148&lt;=EYear_O, Y$3&gt;0), Y$3 * VLOOKUP($A148, Data_All!$A$8:$CA$153, MATCH(Y$2, Data_All!$B$2:$CA$2, 0)+1), "")</f>
        <v/>
      </c>
      <c r="Z148" s="206" t="str">
        <f>IF(AND($A148&gt;=SYear_O, $A148&lt;=EYear_O, Z$3&gt;0), Z$3 * VLOOKUP($A148, Data_All!$A$8:$CA$153, MATCH(Z$2, Data_All!$B$2:$CA$2, 0)+1), "")</f>
        <v/>
      </c>
      <c r="AA148" s="206" t="str">
        <f>IF(AND($A148&gt;=SYear_O, $A148&lt;=EYear_O, AA$3&gt;0), AA$3 * VLOOKUP($A148, Data_All!$A$8:$CA$153, MATCH(AA$2, Data_All!$B$2:$CA$2, 0)+1), "")</f>
        <v/>
      </c>
      <c r="AB148" s="206" t="str">
        <f>IF(AND($A148&gt;=SYear_O, $A148&lt;=EYear_O, AB$3&gt;0), AB$3 * VLOOKUP($A148, Data_All!$A$8:$CA$153, MATCH(AB$2, Data_All!$B$2:$CA$2, 0)+1), "")</f>
        <v/>
      </c>
      <c r="AC148" s="206" t="str">
        <f>IF(AND($A148&gt;=SYear_O, $A148&lt;=EYear_O, AC$3&gt;0), AC$3 * VLOOKUP($A148, Data_All!$A$8:$CA$153, MATCH(AC$2, Data_All!$B$2:$CA$2, 0)+1), "")</f>
        <v/>
      </c>
      <c r="AD148" s="206" t="str">
        <f>IF(AND($A148&gt;=SYear_O, $A148&lt;=EYear_O, AD$3&gt;0), AD$3 * VLOOKUP($A148, Data_All!$A$8:$CA$153, MATCH(AD$2, Data_All!$B$2:$CA$2, 0)+1), "")</f>
        <v/>
      </c>
      <c r="AE148" s="206" t="str">
        <f>IF(AND($A148&gt;=SYear_O, $A148&lt;=EYear_O, AE$3&gt;0), AE$3 * VLOOKUP($A148, Data_All!$A$8:$CA$153, MATCH(AE$2, Data_All!$B$2:$CA$2, 0)+1), "")</f>
        <v/>
      </c>
      <c r="AF148" s="206" t="str">
        <f>IF(AND($A148&gt;=SYear_O, $A148&lt;=EYear_O, AF$3&gt;0), AF$3 * VLOOKUP($A148, Data_All!$A$8:$CA$153, MATCH(AF$2, Data_All!$B$2:$CA$2, 0)+1), "")</f>
        <v/>
      </c>
      <c r="AG148" s="206" t="str">
        <f>IF(AND($A148&gt;=SYear_O, $A148&lt;=EYear_O, AG$3&gt;0), AG$3 * VLOOKUP($A148, Data_All!$A$8:$CA$153, MATCH(AG$2, Data_All!$B$2:$CA$2, 0)+1), "")</f>
        <v/>
      </c>
      <c r="AH148" s="206" t="str">
        <f>IF(AND($A148&gt;=SYear_O, $A148&lt;=EYear_O, AH$3&gt;0), AH$3 * VLOOKUP($A148, Data_All!$A$8:$CA$153, MATCH(AH$2, Data_All!$B$2:$CA$2, 0)+1), "")</f>
        <v/>
      </c>
      <c r="AI148" s="206" t="str">
        <f>IF(AND($A148&gt;=SYear_O, $A148&lt;=EYear_O, AI$3&gt;0), AI$3 * VLOOKUP($A148, Data_All!$A$8:$CA$153, MATCH(AI$2, Data_All!$B$2:$CA$2, 0)+1), "")</f>
        <v/>
      </c>
      <c r="AJ148" s="206" t="str">
        <f>IF(AND($A148&gt;=SYear_O, $A148&lt;=EYear_O, AJ$3&gt;0), AJ$3 * VLOOKUP($A148, Data_All!$A$8:$CA$153, MATCH(AJ$2, Data_All!$B$2:$CA$2, 0)+1), "")</f>
        <v/>
      </c>
      <c r="AK148" s="206" t="str">
        <f>IF(AND($A148&gt;=SYear_O, $A148&lt;=EYear_O, AK$3&gt;0), AK$3 * VLOOKUP($A148, Data_All!$A$8:$CA$153, MATCH(AK$2, Data_All!$B$2:$CA$2, 0)+1), "")</f>
        <v/>
      </c>
      <c r="AL148" s="206" t="str">
        <f>IF(AND($A148&gt;=SYear_O, $A148&lt;=EYear_O, AL$3&gt;0), AL$3 * VLOOKUP($A148, Data_All!$A$8:$CA$153, MATCH(AL$2, Data_All!$B$2:$CA$2, 0)+1), "")</f>
        <v/>
      </c>
      <c r="AM148" s="206" t="str">
        <f>IF(AND($A148&gt;=SYear_O, $A148&lt;=EYear_O, AM$3&gt;0), AM$3 * VLOOKUP($A148, Data_All!$A$8:$CA$153, MATCH(AM$2, Data_All!$B$2:$CA$2, 0)+1), "")</f>
        <v/>
      </c>
      <c r="AN148" s="206" t="str">
        <f>IF(AND($A148&gt;=SYear_O, $A148&lt;=EYear_O, AN$3&gt;0), AN$3 * VLOOKUP($A148, Data_All!$A$8:$CA$153, MATCH(AN$2, Data_All!$B$2:$CA$2, 0)+1), "")</f>
        <v/>
      </c>
      <c r="AO148" s="206" t="str">
        <f>IF(AND($A148&gt;=SYear_O, $A148&lt;=EYear_O, AO$3&gt;0), AO$3 * VLOOKUP($A148, Data_All!$A$8:$CA$153, MATCH(AO$2, Data_All!$B$2:$CA$2, 0)+1), "")</f>
        <v/>
      </c>
      <c r="AP148" s="206" t="str">
        <f>IF(AND($A148&gt;=SYear_O, $A148&lt;=EYear_O, AP$3&gt;0), AP$3 * VLOOKUP($A148, Data_All!$A$8:$CA$153, MATCH(AP$2, Data_All!$B$2:$CA$2, 0)+1), "")</f>
        <v/>
      </c>
      <c r="AQ148" s="206" t="str">
        <f>IF(AND($A148&gt;=SYear_O, $A148&lt;=EYear_O, AQ$3&gt;0), AQ$3 * VLOOKUP($A148, Data_All!$A$8:$CA$153, MATCH(AQ$2, Data_All!$B$2:$CA$2, 0)+1), "")</f>
        <v/>
      </c>
      <c r="AR148" s="206" t="str">
        <f>IF(AND($A148&gt;=SYear_O, $A148&lt;=EYear_O, AR$3&gt;0), AR$3 * VLOOKUP($A148, Data_All!$A$8:$CA$153, MATCH(AR$2, Data_All!$B$2:$CA$2, 0)+1), "")</f>
        <v/>
      </c>
      <c r="AS148" s="206" t="str">
        <f>IF(AND($A148&gt;=SYear_O, $A148&lt;=EYear_O, AS$3&gt;0), AS$3 * VLOOKUP($A148, Data_All!$A$8:$CA$153, MATCH(AS$2, Data_All!$B$2:$CA$2, 0)+1), "")</f>
        <v/>
      </c>
      <c r="AT148" s="206" t="str">
        <f>IF(AND($A148&gt;=SYear_O, $A148&lt;=EYear_O, AT$3&gt;0), AT$3 * VLOOKUP($A148, Data_All!$A$8:$CA$153, MATCH(AT$2, Data_All!$B$2:$CA$2, 0)+1), "")</f>
        <v/>
      </c>
      <c r="AU148" s="206" t="str">
        <f>IF(AND($A148&gt;=SYear_O, $A148&lt;=EYear_O, AU$3&gt;0), AU$3 * VLOOKUP($A148, Data_All!$A$8:$CA$153, MATCH(AU$2, Data_All!$B$2:$CA$2, 0)+1), "")</f>
        <v/>
      </c>
      <c r="AV148" s="206" t="str">
        <f>IF(AND($A148&gt;=SYear_O, $A148&lt;=EYear_O, AV$3&gt;0), AV$3 * VLOOKUP($A148, Data_All!$A$8:$CA$153, MATCH(AV$2, Data_All!$B$2:$CA$2, 0)+1), "")</f>
        <v/>
      </c>
      <c r="AW148" s="206" t="str">
        <f>IF(AND($A148&gt;=SYear_O, $A148&lt;=EYear_O, AW$3&gt;0), AW$3 * VLOOKUP($A148, Data_All!$A$8:$CA$153, MATCH(AW$2, Data_All!$B$2:$CA$2, 0)+1), "")</f>
        <v/>
      </c>
      <c r="AX148" s="206" t="str">
        <f>IF(AND($A148&gt;=SYear_O, $A148&lt;=EYear_O, AX$3&gt;0), AX$3 * VLOOKUP($A148, Data_All!$A$8:$CA$153, MATCH(AX$2, Data_All!$B$2:$CA$2, 0)+1), "")</f>
        <v/>
      </c>
      <c r="AY148" s="206" t="str">
        <f>IF(AND($A148&gt;=SYear_O, $A148&lt;=EYear_O, AY$3&gt;0), AY$3 * VLOOKUP($A148, Data_All!$A$8:$CA$153, MATCH(AY$2, Data_All!$B$2:$CA$2, 0)+1), "")</f>
        <v/>
      </c>
      <c r="AZ148" s="206" t="str">
        <f>IF(AND($A148&gt;=SYear_O, $A148&lt;=EYear_O, AZ$3&gt;0), AZ$3 * VLOOKUP($A148, Data_All!$A$8:$CA$153, MATCH(AZ$2, Data_All!$B$2:$CA$2, 0)+1), "")</f>
        <v/>
      </c>
      <c r="BA148" s="206" t="str">
        <f>IF(AND($A148&gt;=SYear_O, $A148&lt;=EYear_O, BA$3&gt;0), BA$3 * VLOOKUP($A148, Data_All!$A$8:$CA$153, MATCH(BA$2, Data_All!$B$2:$CA$2, 0)+1), "")</f>
        <v/>
      </c>
      <c r="BB148" s="206" t="str">
        <f>IF(AND($A148&gt;=SYear_O, $A148&lt;=EYear_O, BB$3&gt;0), BB$3 * VLOOKUP($A148, Data_All!$A$8:$CA$153, MATCH(BB$2, Data_All!$B$2:$CA$2, 0)+1), "")</f>
        <v/>
      </c>
      <c r="BC148" s="206" t="str">
        <f>IF(AND($A148&gt;=SYear_O, $A148&lt;=EYear_O, BC$3&gt;0), BC$3 * VLOOKUP($A148, Data_All!$A$8:$CA$153, MATCH(BC$2, Data_All!$B$2:$CA$2, 0)+1), "")</f>
        <v/>
      </c>
      <c r="BD148" s="206" t="str">
        <f>IF(AND($A148&gt;=SYear_O, $A148&lt;=EYear_O, BD$3&gt;0), BD$3 * VLOOKUP($A148, Data_All!$A$8:$CA$153, MATCH(BD$2, Data_All!$B$2:$CA$2, 0)+1), "")</f>
        <v/>
      </c>
      <c r="BE148" s="206" t="str">
        <f>IF(AND($A148&gt;=SYear_O, $A148&lt;=EYear_O, BE$3&gt;0), BE$3 * VLOOKUP($A148, Data_All!$A$8:$CA$153, MATCH(BE$2, Data_All!$B$2:$CA$2, 0)+1), "")</f>
        <v/>
      </c>
      <c r="BF148" s="206" t="str">
        <f>IF(AND($A148&gt;=SYear_O, $A148&lt;=EYear_O, BF$3&gt;0), BF$3 * VLOOKUP($A148, Data_All!$A$8:$CA$153, MATCH(BF$2, Data_All!$B$2:$CA$2, 0)+1), "")</f>
        <v/>
      </c>
      <c r="BG148" s="206" t="str">
        <f>IF(AND($A148&gt;=SYear_O, $A148&lt;=EYear_O, BG$3&gt;0), BG$3 * VLOOKUP($A148, Data_All!$A$8:$CA$153, MATCH(BG$2, Data_All!$B$2:$CA$2, 0)+1), "")</f>
        <v/>
      </c>
      <c r="BH148" s="206" t="str">
        <f>IF(AND($A148&gt;=SYear_O, $A148&lt;=EYear_O, BH$3&gt;0), BH$3 * VLOOKUP($A148, Data_All!$A$8:$CA$153, MATCH(BH$2, Data_All!$B$2:$CA$2, 0)+1), "")</f>
        <v/>
      </c>
      <c r="BI148" s="206" t="str">
        <f>IF(AND($A148&gt;=SYear_O, $A148&lt;=EYear_O, BI$3&gt;0), BI$3 * VLOOKUP($A148, Data_All!$A$8:$CA$153, MATCH(BI$2, Data_All!$B$2:$CA$2, 0)+1), "")</f>
        <v/>
      </c>
      <c r="BJ148" s="206" t="str">
        <f>IF(AND($A148&gt;=SYear_O, $A148&lt;=EYear_O, BJ$3&gt;0), BJ$3 * VLOOKUP($A148, Data_All!$A$8:$CA$153, MATCH(BJ$2, Data_All!$B$2:$CA$2, 0)+1), "")</f>
        <v/>
      </c>
      <c r="BK148" s="206" t="str">
        <f>IF(AND($A148&gt;=SYear_O, $A148&lt;=EYear_O, BK$3&gt;0), BK$3 * VLOOKUP($A148, Data_All!$A$8:$CA$153, MATCH(BK$2, Data_All!$B$2:$CA$2, 0)+1), "")</f>
        <v/>
      </c>
      <c r="BL148" s="206" t="str">
        <f>IF(AND($A148&gt;=SYear_O, $A148&lt;=EYear_O, BL$3&gt;0), BL$3 * VLOOKUP($A148, Data_All!$A$8:$CA$153, MATCH(BL$2, Data_All!$B$2:$CA$2, 0)+1), "")</f>
        <v/>
      </c>
      <c r="BM148" s="206" t="str">
        <f>IF(AND($A148&gt;=SYear_O, $A148&lt;=EYear_O, BM$3&gt;0), BM$3 * VLOOKUP($A148, Data_All!$A$8:$CA$153, MATCH(BM$2, Data_All!$B$2:$CA$2, 0)+1), "")</f>
        <v/>
      </c>
      <c r="BN148" s="206" t="str">
        <f>IF(AND($A148&gt;=SYear_O, $A148&lt;=EYear_O, BN$3&gt;0), BN$3 * VLOOKUP($A148, Data_All!$A$8:$CA$153, MATCH(BN$2, Data_All!$B$2:$CA$2, 0)+1), "")</f>
        <v/>
      </c>
      <c r="BO148" s="206" t="str">
        <f>IF(AND($A148&gt;=SYear_O, $A148&lt;=EYear_O, BO$3&gt;0), BO$3 * VLOOKUP($A148, Data_All!$A$8:$CA$153, MATCH(BO$2, Data_All!$B$2:$CA$2, 0)+1), "")</f>
        <v/>
      </c>
      <c r="BP148" s="206" t="str">
        <f>IF(AND($A148&gt;=SYear_O, $A148&lt;=EYear_O, BP$3&gt;0), BP$3 * VLOOKUP($A148, Data_All!$A$8:$CA$153, MATCH(BP$2, Data_All!$B$2:$CA$2, 0)+1), "")</f>
        <v/>
      </c>
      <c r="BQ148" s="206" t="str">
        <f>IF(AND($A148&gt;=SYear_O, $A148&lt;=EYear_O, BQ$3&gt;0), BQ$3 * VLOOKUP($A148, Data_All!$A$8:$CA$153, MATCH(BQ$2, Data_All!$B$2:$CA$2, 0)+1), "")</f>
        <v/>
      </c>
      <c r="BR148" s="206" t="str">
        <f>IF(AND($A148&gt;=SYear_O, $A148&lt;=EYear_O, BR$3&gt;0), BR$3 * VLOOKUP($A148, Data_All!$A$8:$CA$153, MATCH(BR$2, Data_All!$B$2:$CA$2, 0)+1), "")</f>
        <v/>
      </c>
      <c r="BS148" s="206" t="str">
        <f>IF(AND($A148&gt;=SYear_O, $A148&lt;=EYear_O, BS$3&gt;0), BS$3 * VLOOKUP($A148, Data_All!$A$8:$CA$153, MATCH(BS$2, Data_All!$B$2:$CA$2, 0)+1), "")</f>
        <v/>
      </c>
      <c r="BT148" s="206" t="str">
        <f>IF(AND($A148&gt;=SYear_O, $A148&lt;=EYear_O, BT$3&gt;0), BT$3 * VLOOKUP($A148, Data_All!$A$8:$CA$153, MATCH(BT$2, Data_All!$B$2:$CA$2, 0)+1), "")</f>
        <v/>
      </c>
      <c r="BU148" s="206" t="str">
        <f>IF(AND($A148&gt;=SYear_O, $A148&lt;=EYear_O, BU$3&gt;0), BU$3 * VLOOKUP($A148, Data_All!$A$8:$CA$153, MATCH(BU$2, Data_All!$B$2:$CA$2, 0)+1), "")</f>
        <v/>
      </c>
      <c r="BV148" s="206" t="str">
        <f>IF(AND($A148&gt;=SYear_O, $A148&lt;=EYear_O, BV$3&gt;0), BV$3 * VLOOKUP($A148, Data_All!$A$8:$CA$153, MATCH(BV$2, Data_All!$B$2:$CA$2, 0)+1), "")</f>
        <v/>
      </c>
      <c r="BW148" s="206" t="str">
        <f>IF(AND($A148&gt;=SYear_O, $A148&lt;=EYear_O, BW$3&gt;0), BW$3 * VLOOKUP($A148, Data_All!$A$8:$CA$153, MATCH(BW$2, Data_All!$B$2:$CA$2, 0)+1), "")</f>
        <v/>
      </c>
      <c r="BX148" s="206">
        <f>IF(AND($A148&gt;=SYear_O, $A148&lt;=EYear_O, BX$3&gt;0), BX$3 * VLOOKUP($A148, Data_All!$A$8:$CA$153, MATCH(BX$2, Data_All!$B$2:$CA$2, 0)+1), "")</f>
        <v>9.7373479524519855</v>
      </c>
      <c r="BY148" s="206">
        <f>IF(AND($A148&gt;=SYear_O, $A148&lt;=EYear_O, BY$3&gt;0), BY$3 * VLOOKUP($A148, Data_All!$A$8:$CA$153, MATCH(BY$2, Data_All!$B$2:$CA$2, 0)+1), "")</f>
        <v>0.96410537692512399</v>
      </c>
      <c r="BZ148" s="206" t="str">
        <f>IF(AND($A148&gt;=SYear_O, $A148&lt;=EYear_O, BZ$3&gt;0), BZ$3 * VLOOKUP($A148, Data_All!$A$8:$CA$153, MATCH(BZ$2, Data_All!$B$2:$CA$2, 0)+1), "")</f>
        <v/>
      </c>
      <c r="CA148" s="565">
        <f t="shared" si="74"/>
        <v>10.701453329377109</v>
      </c>
      <c r="CB148" s="427">
        <f t="shared" si="75"/>
        <v>307084974.00110638</v>
      </c>
      <c r="CC148" s="565">
        <f>IF(AND($A148&gt;=SYear_O,$A148&lt;=EYear_O),(CA148-Data_All!CA149)/(1+Data_All!CA149%),"")</f>
        <v>8.8070974244327864</v>
      </c>
      <c r="CD148" s="436">
        <f t="shared" si="76"/>
        <v>16670336.140231131</v>
      </c>
      <c r="CE148" s="438">
        <f t="shared" si="77"/>
        <v>27852.373378583692</v>
      </c>
      <c r="CF148" s="438">
        <f>IF(AND($A148&gt;=SYear_O,$A148&lt;=EYear_O),MAX($CE$7:CE148),"")</f>
        <v>27852.373378583692</v>
      </c>
      <c r="CG148" s="209">
        <f t="shared" si="78"/>
        <v>0</v>
      </c>
      <c r="CI148" s="143">
        <f>IF(AND($A148&gt;=SYear_O,$A148&lt;=EYear_O),Data_All!V149,"")</f>
        <v>0.02</v>
      </c>
      <c r="CJ148" s="143">
        <f>IF(AND($A148&gt;=SYear_O,$A148&lt;=EYear_O),Data_All!CA149,"")</f>
        <v>1.7410223687475579</v>
      </c>
      <c r="CK148" s="143">
        <f t="shared" si="79"/>
        <v>-1.6915717266039734</v>
      </c>
      <c r="CN148" s="61">
        <f t="shared" si="58"/>
        <v>0.10701453329377109</v>
      </c>
      <c r="CO148" s="61">
        <f t="shared" si="59"/>
        <v>0.11832759540424309</v>
      </c>
      <c r="CP148" s="61"/>
      <c r="CQ148" s="61"/>
      <c r="CR148" s="61"/>
      <c r="CU148" s="61">
        <f t="shared" si="63"/>
        <v>8.8070974244327971E-2</v>
      </c>
      <c r="CV148" s="61">
        <f t="shared" si="64"/>
        <v>0.10362493665912642</v>
      </c>
      <c r="CW148" s="61"/>
      <c r="CX148" s="61"/>
      <c r="CY148" s="61"/>
    </row>
    <row r="149" spans="1:103">
      <c r="A149" s="204">
        <f t="shared" si="51"/>
        <v>2013</v>
      </c>
      <c r="B149" s="206" t="str">
        <f>IF(AND($A149&gt;=SYear_O, $A149&lt;=EYear_O, B$3&gt;0), B$3 * VLOOKUP($A149, Data_All!$A$8:$CA$153, MATCH(B$2, Data_All!$B$2:$CA$2, 0)+1), "")</f>
        <v/>
      </c>
      <c r="C149" s="206" t="str">
        <f>IF(AND($A149&gt;=SYear_O, $A149&lt;=EYear_O, C$3&gt;0), C$3 * VLOOKUP($A149, Data_All!$A$8:$CA$153, MATCH(C$2, Data_All!$B$2:$CA$2, 0)+1), "")</f>
        <v/>
      </c>
      <c r="D149" s="206" t="str">
        <f>IF(AND($A149&gt;=SYear_O, $A149&lt;=EYear_O, D$3&gt;0), D$3 * VLOOKUP($A149, Data_All!$A$8:$CA$153, MATCH(D$2, Data_All!$B$2:$CA$2, 0)+1), "")</f>
        <v/>
      </c>
      <c r="E149" s="206" t="str">
        <f>IF(AND($A149&gt;=SYear_O, $A149&lt;=EYear_O, E$3&gt;0), E$3 * VLOOKUP($A149, Data_All!$A$8:$CA$153, MATCH(E$2, Data_All!$B$2:$CA$2, 0)+1), "")</f>
        <v/>
      </c>
      <c r="F149" s="206" t="str">
        <f>IF(AND($A149&gt;=SYear_O, $A149&lt;=EYear_O, F$3&gt;0), F$3 * VLOOKUP($A149, Data_All!$A$8:$CA$153, MATCH(F$2, Data_All!$B$2:$CA$2, 0)+1), "")</f>
        <v/>
      </c>
      <c r="G149" s="206" t="str">
        <f>IF(AND($A149&gt;=SYear_O, $A149&lt;=EYear_O, G$3&gt;0), G$3 * VLOOKUP($A149, Data_All!$A$8:$CA$153, MATCH(G$2, Data_All!$B$2:$CA$2, 0)+1), "")</f>
        <v/>
      </c>
      <c r="H149" s="206" t="str">
        <f>IF(AND($A149&gt;=SYear_O, $A149&lt;=EYear_O, H$3&gt;0), H$3 * VLOOKUP($A149, Data_All!$A$8:$CA$153, MATCH(H$2, Data_All!$B$2:$CA$2, 0)+1), "")</f>
        <v/>
      </c>
      <c r="I149" s="206" t="str">
        <f>IF(AND($A149&gt;=SYear_O, $A149&lt;=EYear_O, I$3&gt;0), I$3 * VLOOKUP($A149, Data_All!$A$8:$CA$153, MATCH(I$2, Data_All!$B$2:$CA$2, 0)+1), "")</f>
        <v/>
      </c>
      <c r="J149" s="206" t="str">
        <f>IF(AND($A149&gt;=SYear_O, $A149&lt;=EYear_O, J$3&gt;0), J$3 * VLOOKUP($A149, Data_All!$A$8:$CA$153, MATCH(J$2, Data_All!$B$2:$CA$2, 0)+1), "")</f>
        <v/>
      </c>
      <c r="K149" s="206" t="str">
        <f>IF(AND($A149&gt;=SYear_O, $A149&lt;=EYear_O, K$3&gt;0), K$3 * VLOOKUP($A149, Data_All!$A$8:$CA$153, MATCH(K$2, Data_All!$B$2:$CA$2, 0)+1), "")</f>
        <v/>
      </c>
      <c r="L149" s="206" t="str">
        <f>IF(AND($A149&gt;=SYear_O, $A149&lt;=EYear_O, L$3&gt;0), L$3 * VLOOKUP($A149, Data_All!$A$8:$CA$153, MATCH(L$2, Data_All!$B$2:$CA$2, 0)+1), "")</f>
        <v/>
      </c>
      <c r="M149" s="206" t="str">
        <f>IF(AND($A149&gt;=SYear_O, $A149&lt;=EYear_O, M$3&gt;0), M$3 * VLOOKUP($A149, Data_All!$A$8:$CA$153, MATCH(M$2, Data_All!$B$2:$CA$2, 0)+1), "")</f>
        <v/>
      </c>
      <c r="N149" s="206" t="str">
        <f>IF(AND($A149&gt;=SYear_O, $A149&lt;=EYear_O, N$3&gt;0), N$3 * VLOOKUP($A149, Data_All!$A$8:$CA$153, MATCH(N$2, Data_All!$B$2:$CA$2, 0)+1), "")</f>
        <v/>
      </c>
      <c r="O149" s="206" t="str">
        <f>IF(AND($A149&gt;=SYear_O, $A149&lt;=EYear_O, O$3&gt;0), O$3 * VLOOKUP($A149, Data_All!$A$8:$CA$153, MATCH(O$2, Data_All!$B$2:$CA$2, 0)+1), "")</f>
        <v/>
      </c>
      <c r="P149" s="206" t="str">
        <f>IF(AND($A149&gt;=SYear_O, $A149&lt;=EYear_O, P$3&gt;0), P$3 * VLOOKUP($A149, Data_All!$A$8:$CA$153, MATCH(P$2, Data_All!$B$2:$CA$2, 0)+1), "")</f>
        <v/>
      </c>
      <c r="Q149" s="206" t="str">
        <f>IF(AND($A149&gt;=SYear_O, $A149&lt;=EYear_O, Q$3&gt;0), Q$3 * VLOOKUP($A149, Data_All!$A$8:$CA$153, MATCH(Q$2, Data_All!$B$2:$CA$2, 0)+1), "")</f>
        <v/>
      </c>
      <c r="R149" s="206" t="str">
        <f>IF(AND($A149&gt;=SYear_O, $A149&lt;=EYear_O, R$3&gt;0), R$3 * VLOOKUP($A149, Data_All!$A$8:$CA$153, MATCH(R$2, Data_All!$B$2:$CA$2, 0)+1), "")</f>
        <v/>
      </c>
      <c r="S149" s="206" t="str">
        <f>IF(AND($A149&gt;=SYear_O, $A149&lt;=EYear_O, S$3&gt;0), S$3 * VLOOKUP($A149, Data_All!$A$8:$CA$153, MATCH(S$2, Data_All!$B$2:$CA$2, 0)+1), "")</f>
        <v/>
      </c>
      <c r="T149" s="206" t="str">
        <f>IF(AND($A149&gt;=SYear_O, $A149&lt;=EYear_O, T$3&gt;0), T$3 * VLOOKUP($A149, Data_All!$A$8:$CA$153, MATCH(T$2, Data_All!$B$2:$CA$2, 0)+1), "")</f>
        <v/>
      </c>
      <c r="U149" s="206" t="str">
        <f>IF(AND($A149&gt;=SYear_O, $A149&lt;=EYear_O, U$3&gt;0), U$3 * VLOOKUP($A149, Data_All!$A$8:$CA$153, MATCH(U$2, Data_All!$B$2:$CA$2, 0)+1), "")</f>
        <v/>
      </c>
      <c r="V149" s="206" t="str">
        <f>IF(AND($A149&gt;=SYear_O, $A149&lt;=EYear_O, V$3&gt;0), V$3 * VLOOKUP($A149, Data_All!$A$8:$CA$153, MATCH(V$2, Data_All!$B$2:$CA$2, 0)+1), "")</f>
        <v/>
      </c>
      <c r="W149" s="206" t="str">
        <f>IF(AND($A149&gt;=SYear_O, $A149&lt;=EYear_O, W$3&gt;0), W$3 * VLOOKUP($A149, Data_All!$A$8:$CA$153, MATCH(W$2, Data_All!$B$2:$CA$2, 0)+1), "")</f>
        <v/>
      </c>
      <c r="X149" s="206" t="str">
        <f>IF(AND($A149&gt;=SYear_O, $A149&lt;=EYear_O, X$3&gt;0), X$3 * VLOOKUP($A149, Data_All!$A$8:$CA$153, MATCH(X$2, Data_All!$B$2:$CA$2, 0)+1), "")</f>
        <v/>
      </c>
      <c r="Y149" s="206" t="str">
        <f>IF(AND($A149&gt;=SYear_O, $A149&lt;=EYear_O, Y$3&gt;0), Y$3 * VLOOKUP($A149, Data_All!$A$8:$CA$153, MATCH(Y$2, Data_All!$B$2:$CA$2, 0)+1), "")</f>
        <v/>
      </c>
      <c r="Z149" s="206" t="str">
        <f>IF(AND($A149&gt;=SYear_O, $A149&lt;=EYear_O, Z$3&gt;0), Z$3 * VLOOKUP($A149, Data_All!$A$8:$CA$153, MATCH(Z$2, Data_All!$B$2:$CA$2, 0)+1), "")</f>
        <v/>
      </c>
      <c r="AA149" s="206" t="str">
        <f>IF(AND($A149&gt;=SYear_O, $A149&lt;=EYear_O, AA$3&gt;0), AA$3 * VLOOKUP($A149, Data_All!$A$8:$CA$153, MATCH(AA$2, Data_All!$B$2:$CA$2, 0)+1), "")</f>
        <v/>
      </c>
      <c r="AB149" s="206" t="str">
        <f>IF(AND($A149&gt;=SYear_O, $A149&lt;=EYear_O, AB$3&gt;0), AB$3 * VLOOKUP($A149, Data_All!$A$8:$CA$153, MATCH(AB$2, Data_All!$B$2:$CA$2, 0)+1), "")</f>
        <v/>
      </c>
      <c r="AC149" s="206" t="str">
        <f>IF(AND($A149&gt;=SYear_O, $A149&lt;=EYear_O, AC$3&gt;0), AC$3 * VLOOKUP($A149, Data_All!$A$8:$CA$153, MATCH(AC$2, Data_All!$B$2:$CA$2, 0)+1), "")</f>
        <v/>
      </c>
      <c r="AD149" s="206" t="str">
        <f>IF(AND($A149&gt;=SYear_O, $A149&lt;=EYear_O, AD$3&gt;0), AD$3 * VLOOKUP($A149, Data_All!$A$8:$CA$153, MATCH(AD$2, Data_All!$B$2:$CA$2, 0)+1), "")</f>
        <v/>
      </c>
      <c r="AE149" s="206" t="str">
        <f>IF(AND($A149&gt;=SYear_O, $A149&lt;=EYear_O, AE$3&gt;0), AE$3 * VLOOKUP($A149, Data_All!$A$8:$CA$153, MATCH(AE$2, Data_All!$B$2:$CA$2, 0)+1), "")</f>
        <v/>
      </c>
      <c r="AF149" s="206" t="str">
        <f>IF(AND($A149&gt;=SYear_O, $A149&lt;=EYear_O, AF$3&gt;0), AF$3 * VLOOKUP($A149, Data_All!$A$8:$CA$153, MATCH(AF$2, Data_All!$B$2:$CA$2, 0)+1), "")</f>
        <v/>
      </c>
      <c r="AG149" s="206" t="str">
        <f>IF(AND($A149&gt;=SYear_O, $A149&lt;=EYear_O, AG$3&gt;0), AG$3 * VLOOKUP($A149, Data_All!$A$8:$CA$153, MATCH(AG$2, Data_All!$B$2:$CA$2, 0)+1), "")</f>
        <v/>
      </c>
      <c r="AH149" s="206" t="str">
        <f>IF(AND($A149&gt;=SYear_O, $A149&lt;=EYear_O, AH$3&gt;0), AH$3 * VLOOKUP($A149, Data_All!$A$8:$CA$153, MATCH(AH$2, Data_All!$B$2:$CA$2, 0)+1), "")</f>
        <v/>
      </c>
      <c r="AI149" s="206" t="str">
        <f>IF(AND($A149&gt;=SYear_O, $A149&lt;=EYear_O, AI$3&gt;0), AI$3 * VLOOKUP($A149, Data_All!$A$8:$CA$153, MATCH(AI$2, Data_All!$B$2:$CA$2, 0)+1), "")</f>
        <v/>
      </c>
      <c r="AJ149" s="206" t="str">
        <f>IF(AND($A149&gt;=SYear_O, $A149&lt;=EYear_O, AJ$3&gt;0), AJ$3 * VLOOKUP($A149, Data_All!$A$8:$CA$153, MATCH(AJ$2, Data_All!$B$2:$CA$2, 0)+1), "")</f>
        <v/>
      </c>
      <c r="AK149" s="206" t="str">
        <f>IF(AND($A149&gt;=SYear_O, $A149&lt;=EYear_O, AK$3&gt;0), AK$3 * VLOOKUP($A149, Data_All!$A$8:$CA$153, MATCH(AK$2, Data_All!$B$2:$CA$2, 0)+1), "")</f>
        <v/>
      </c>
      <c r="AL149" s="206" t="str">
        <f>IF(AND($A149&gt;=SYear_O, $A149&lt;=EYear_O, AL$3&gt;0), AL$3 * VLOOKUP($A149, Data_All!$A$8:$CA$153, MATCH(AL$2, Data_All!$B$2:$CA$2, 0)+1), "")</f>
        <v/>
      </c>
      <c r="AM149" s="206" t="str">
        <f>IF(AND($A149&gt;=SYear_O, $A149&lt;=EYear_O, AM$3&gt;0), AM$3 * VLOOKUP($A149, Data_All!$A$8:$CA$153, MATCH(AM$2, Data_All!$B$2:$CA$2, 0)+1), "")</f>
        <v/>
      </c>
      <c r="AN149" s="206" t="str">
        <f>IF(AND($A149&gt;=SYear_O, $A149&lt;=EYear_O, AN$3&gt;0), AN$3 * VLOOKUP($A149, Data_All!$A$8:$CA$153, MATCH(AN$2, Data_All!$B$2:$CA$2, 0)+1), "")</f>
        <v/>
      </c>
      <c r="AO149" s="206" t="str">
        <f>IF(AND($A149&gt;=SYear_O, $A149&lt;=EYear_O, AO$3&gt;0), AO$3 * VLOOKUP($A149, Data_All!$A$8:$CA$153, MATCH(AO$2, Data_All!$B$2:$CA$2, 0)+1), "")</f>
        <v/>
      </c>
      <c r="AP149" s="206" t="str">
        <f>IF(AND($A149&gt;=SYear_O, $A149&lt;=EYear_O, AP$3&gt;0), AP$3 * VLOOKUP($A149, Data_All!$A$8:$CA$153, MATCH(AP$2, Data_All!$B$2:$CA$2, 0)+1), "")</f>
        <v/>
      </c>
      <c r="AQ149" s="206" t="str">
        <f>IF(AND($A149&gt;=SYear_O, $A149&lt;=EYear_O, AQ$3&gt;0), AQ$3 * VLOOKUP($A149, Data_All!$A$8:$CA$153, MATCH(AQ$2, Data_All!$B$2:$CA$2, 0)+1), "")</f>
        <v/>
      </c>
      <c r="AR149" s="206" t="str">
        <f>IF(AND($A149&gt;=SYear_O, $A149&lt;=EYear_O, AR$3&gt;0), AR$3 * VLOOKUP($A149, Data_All!$A$8:$CA$153, MATCH(AR$2, Data_All!$B$2:$CA$2, 0)+1), "")</f>
        <v/>
      </c>
      <c r="AS149" s="206" t="str">
        <f>IF(AND($A149&gt;=SYear_O, $A149&lt;=EYear_O, AS$3&gt;0), AS$3 * VLOOKUP($A149, Data_All!$A$8:$CA$153, MATCH(AS$2, Data_All!$B$2:$CA$2, 0)+1), "")</f>
        <v/>
      </c>
      <c r="AT149" s="206" t="str">
        <f>IF(AND($A149&gt;=SYear_O, $A149&lt;=EYear_O, AT$3&gt;0), AT$3 * VLOOKUP($A149, Data_All!$A$8:$CA$153, MATCH(AT$2, Data_All!$B$2:$CA$2, 0)+1), "")</f>
        <v/>
      </c>
      <c r="AU149" s="206" t="str">
        <f>IF(AND($A149&gt;=SYear_O, $A149&lt;=EYear_O, AU$3&gt;0), AU$3 * VLOOKUP($A149, Data_All!$A$8:$CA$153, MATCH(AU$2, Data_All!$B$2:$CA$2, 0)+1), "")</f>
        <v/>
      </c>
      <c r="AV149" s="206" t="str">
        <f>IF(AND($A149&gt;=SYear_O, $A149&lt;=EYear_O, AV$3&gt;0), AV$3 * VLOOKUP($A149, Data_All!$A$8:$CA$153, MATCH(AV$2, Data_All!$B$2:$CA$2, 0)+1), "")</f>
        <v/>
      </c>
      <c r="AW149" s="206" t="str">
        <f>IF(AND($A149&gt;=SYear_O, $A149&lt;=EYear_O, AW$3&gt;0), AW$3 * VLOOKUP($A149, Data_All!$A$8:$CA$153, MATCH(AW$2, Data_All!$B$2:$CA$2, 0)+1), "")</f>
        <v/>
      </c>
      <c r="AX149" s="206" t="str">
        <f>IF(AND($A149&gt;=SYear_O, $A149&lt;=EYear_O, AX$3&gt;0), AX$3 * VLOOKUP($A149, Data_All!$A$8:$CA$153, MATCH(AX$2, Data_All!$B$2:$CA$2, 0)+1), "")</f>
        <v/>
      </c>
      <c r="AY149" s="206" t="str">
        <f>IF(AND($A149&gt;=SYear_O, $A149&lt;=EYear_O, AY$3&gt;0), AY$3 * VLOOKUP($A149, Data_All!$A$8:$CA$153, MATCH(AY$2, Data_All!$B$2:$CA$2, 0)+1), "")</f>
        <v/>
      </c>
      <c r="AZ149" s="206" t="str">
        <f>IF(AND($A149&gt;=SYear_O, $A149&lt;=EYear_O, AZ$3&gt;0), AZ$3 * VLOOKUP($A149, Data_All!$A$8:$CA$153, MATCH(AZ$2, Data_All!$B$2:$CA$2, 0)+1), "")</f>
        <v/>
      </c>
      <c r="BA149" s="206" t="str">
        <f>IF(AND($A149&gt;=SYear_O, $A149&lt;=EYear_O, BA$3&gt;0), BA$3 * VLOOKUP($A149, Data_All!$A$8:$CA$153, MATCH(BA$2, Data_All!$B$2:$CA$2, 0)+1), "")</f>
        <v/>
      </c>
      <c r="BB149" s="206" t="str">
        <f>IF(AND($A149&gt;=SYear_O, $A149&lt;=EYear_O, BB$3&gt;0), BB$3 * VLOOKUP($A149, Data_All!$A$8:$CA$153, MATCH(BB$2, Data_All!$B$2:$CA$2, 0)+1), "")</f>
        <v/>
      </c>
      <c r="BC149" s="206" t="str">
        <f>IF(AND($A149&gt;=SYear_O, $A149&lt;=EYear_O, BC$3&gt;0), BC$3 * VLOOKUP($A149, Data_All!$A$8:$CA$153, MATCH(BC$2, Data_All!$B$2:$CA$2, 0)+1), "")</f>
        <v/>
      </c>
      <c r="BD149" s="206" t="str">
        <f>IF(AND($A149&gt;=SYear_O, $A149&lt;=EYear_O, BD$3&gt;0), BD$3 * VLOOKUP($A149, Data_All!$A$8:$CA$153, MATCH(BD$2, Data_All!$B$2:$CA$2, 0)+1), "")</f>
        <v/>
      </c>
      <c r="BE149" s="206" t="str">
        <f>IF(AND($A149&gt;=SYear_O, $A149&lt;=EYear_O, BE$3&gt;0), BE$3 * VLOOKUP($A149, Data_All!$A$8:$CA$153, MATCH(BE$2, Data_All!$B$2:$CA$2, 0)+1), "")</f>
        <v/>
      </c>
      <c r="BF149" s="206" t="str">
        <f>IF(AND($A149&gt;=SYear_O, $A149&lt;=EYear_O, BF$3&gt;0), BF$3 * VLOOKUP($A149, Data_All!$A$8:$CA$153, MATCH(BF$2, Data_All!$B$2:$CA$2, 0)+1), "")</f>
        <v/>
      </c>
      <c r="BG149" s="206" t="str">
        <f>IF(AND($A149&gt;=SYear_O, $A149&lt;=EYear_O, BG$3&gt;0), BG$3 * VLOOKUP($A149, Data_All!$A$8:$CA$153, MATCH(BG$2, Data_All!$B$2:$CA$2, 0)+1), "")</f>
        <v/>
      </c>
      <c r="BH149" s="206" t="str">
        <f>IF(AND($A149&gt;=SYear_O, $A149&lt;=EYear_O, BH$3&gt;0), BH$3 * VLOOKUP($A149, Data_All!$A$8:$CA$153, MATCH(BH$2, Data_All!$B$2:$CA$2, 0)+1), "")</f>
        <v/>
      </c>
      <c r="BI149" s="206" t="str">
        <f>IF(AND($A149&gt;=SYear_O, $A149&lt;=EYear_O, BI$3&gt;0), BI$3 * VLOOKUP($A149, Data_All!$A$8:$CA$153, MATCH(BI$2, Data_All!$B$2:$CA$2, 0)+1), "")</f>
        <v/>
      </c>
      <c r="BJ149" s="206" t="str">
        <f>IF(AND($A149&gt;=SYear_O, $A149&lt;=EYear_O, BJ$3&gt;0), BJ$3 * VLOOKUP($A149, Data_All!$A$8:$CA$153, MATCH(BJ$2, Data_All!$B$2:$CA$2, 0)+1), "")</f>
        <v/>
      </c>
      <c r="BK149" s="206" t="str">
        <f>IF(AND($A149&gt;=SYear_O, $A149&lt;=EYear_O, BK$3&gt;0), BK$3 * VLOOKUP($A149, Data_All!$A$8:$CA$153, MATCH(BK$2, Data_All!$B$2:$CA$2, 0)+1), "")</f>
        <v/>
      </c>
      <c r="BL149" s="206" t="str">
        <f>IF(AND($A149&gt;=SYear_O, $A149&lt;=EYear_O, BL$3&gt;0), BL$3 * VLOOKUP($A149, Data_All!$A$8:$CA$153, MATCH(BL$2, Data_All!$B$2:$CA$2, 0)+1), "")</f>
        <v/>
      </c>
      <c r="BM149" s="206" t="str">
        <f>IF(AND($A149&gt;=SYear_O, $A149&lt;=EYear_O, BM$3&gt;0), BM$3 * VLOOKUP($A149, Data_All!$A$8:$CA$153, MATCH(BM$2, Data_All!$B$2:$CA$2, 0)+1), "")</f>
        <v/>
      </c>
      <c r="BN149" s="206" t="str">
        <f>IF(AND($A149&gt;=SYear_O, $A149&lt;=EYear_O, BN$3&gt;0), BN$3 * VLOOKUP($A149, Data_All!$A$8:$CA$153, MATCH(BN$2, Data_All!$B$2:$CA$2, 0)+1), "")</f>
        <v/>
      </c>
      <c r="BO149" s="206" t="str">
        <f>IF(AND($A149&gt;=SYear_O, $A149&lt;=EYear_O, BO$3&gt;0), BO$3 * VLOOKUP($A149, Data_All!$A$8:$CA$153, MATCH(BO$2, Data_All!$B$2:$CA$2, 0)+1), "")</f>
        <v/>
      </c>
      <c r="BP149" s="206" t="str">
        <f>IF(AND($A149&gt;=SYear_O, $A149&lt;=EYear_O, BP$3&gt;0), BP$3 * VLOOKUP($A149, Data_All!$A$8:$CA$153, MATCH(BP$2, Data_All!$B$2:$CA$2, 0)+1), "")</f>
        <v/>
      </c>
      <c r="BQ149" s="206" t="str">
        <f>IF(AND($A149&gt;=SYear_O, $A149&lt;=EYear_O, BQ$3&gt;0), BQ$3 * VLOOKUP($A149, Data_All!$A$8:$CA$153, MATCH(BQ$2, Data_All!$B$2:$CA$2, 0)+1), "")</f>
        <v/>
      </c>
      <c r="BR149" s="206" t="str">
        <f>IF(AND($A149&gt;=SYear_O, $A149&lt;=EYear_O, BR$3&gt;0), BR$3 * VLOOKUP($A149, Data_All!$A$8:$CA$153, MATCH(BR$2, Data_All!$B$2:$CA$2, 0)+1), "")</f>
        <v/>
      </c>
      <c r="BS149" s="206" t="str">
        <f>IF(AND($A149&gt;=SYear_O, $A149&lt;=EYear_O, BS$3&gt;0), BS$3 * VLOOKUP($A149, Data_All!$A$8:$CA$153, MATCH(BS$2, Data_All!$B$2:$CA$2, 0)+1), "")</f>
        <v/>
      </c>
      <c r="BT149" s="206" t="str">
        <f>IF(AND($A149&gt;=SYear_O, $A149&lt;=EYear_O, BT$3&gt;0), BT$3 * VLOOKUP($A149, Data_All!$A$8:$CA$153, MATCH(BT$2, Data_All!$B$2:$CA$2, 0)+1), "")</f>
        <v/>
      </c>
      <c r="BU149" s="206" t="str">
        <f>IF(AND($A149&gt;=SYear_O, $A149&lt;=EYear_O, BU$3&gt;0), BU$3 * VLOOKUP($A149, Data_All!$A$8:$CA$153, MATCH(BU$2, Data_All!$B$2:$CA$2, 0)+1), "")</f>
        <v/>
      </c>
      <c r="BV149" s="206" t="str">
        <f>IF(AND($A149&gt;=SYear_O, $A149&lt;=EYear_O, BV$3&gt;0), BV$3 * VLOOKUP($A149, Data_All!$A$8:$CA$153, MATCH(BV$2, Data_All!$B$2:$CA$2, 0)+1), "")</f>
        <v/>
      </c>
      <c r="BW149" s="206" t="str">
        <f>IF(AND($A149&gt;=SYear_O, $A149&lt;=EYear_O, BW$3&gt;0), BW$3 * VLOOKUP($A149, Data_All!$A$8:$CA$153, MATCH(BW$2, Data_All!$B$2:$CA$2, 0)+1), "")</f>
        <v/>
      </c>
      <c r="BX149" s="206">
        <f>IF(AND($A149&gt;=SYear_O, $A149&lt;=EYear_O, BX$3&gt;0), BX$3 * VLOOKUP($A149, Data_All!$A$8:$CA$153, MATCH(BX$2, Data_All!$B$2:$CA$2, 0)+1), "")</f>
        <v>15.277627668197779</v>
      </c>
      <c r="BY149" s="206">
        <f>IF(AND($A149&gt;=SYear_O, $A149&lt;=EYear_O, BY$3&gt;0), BY$3 * VLOOKUP($A149, Data_All!$A$8:$CA$153, MATCH(BY$2, Data_All!$B$2:$CA$2, 0)+1), "")</f>
        <v>-0.70966987817353555</v>
      </c>
      <c r="BZ149" s="206" t="str">
        <f>IF(AND($A149&gt;=SYear_O, $A149&lt;=EYear_O, BZ$3&gt;0), BZ$3 * VLOOKUP($A149, Data_All!$A$8:$CA$153, MATCH(BZ$2, Data_All!$B$2:$CA$2, 0)+1), "")</f>
        <v/>
      </c>
      <c r="CA149" s="565">
        <f t="shared" si="74"/>
        <v>14.567957790024243</v>
      </c>
      <c r="CB149" s="427">
        <f t="shared" si="75"/>
        <v>351820983.39309448</v>
      </c>
      <c r="CC149" s="565">
        <f>IF(AND($A149&gt;=SYear_O,$A149&lt;=EYear_O),(CA149-Data_All!CA150)/(1+Data_All!CA150%),"")</f>
        <v>12.872905168215066</v>
      </c>
      <c r="CD149" s="436">
        <f t="shared" si="76"/>
        <v>18816292.702785768</v>
      </c>
      <c r="CE149" s="438">
        <f t="shared" si="77"/>
        <v>31909.895375895714</v>
      </c>
      <c r="CF149" s="438">
        <f>IF(AND($A149&gt;=SYear_O,$A149&lt;=EYear_O),MAX($CE$7:CE149),"")</f>
        <v>31909.895375895714</v>
      </c>
      <c r="CG149" s="209">
        <f t="shared" si="78"/>
        <v>0</v>
      </c>
      <c r="CI149" s="143">
        <f>IF(AND($A149&gt;=SYear_O,$A149&lt;=EYear_O),Data_All!V150,"")</f>
        <v>0.01</v>
      </c>
      <c r="CJ149" s="143">
        <f>IF(AND($A149&gt;=SYear_O,$A149&lt;=EYear_O),Data_All!CA150,"")</f>
        <v>1.501735619618394</v>
      </c>
      <c r="CK149" s="143">
        <f t="shared" si="79"/>
        <v>-1.4696651347999898</v>
      </c>
      <c r="CN149" s="61">
        <f t="shared" si="58"/>
        <v>0.14567957790024244</v>
      </c>
      <c r="CO149" s="61">
        <f t="shared" si="59"/>
        <v>7.5607718935755797E-2</v>
      </c>
      <c r="CP149" s="61"/>
      <c r="CQ149" s="61"/>
      <c r="CR149" s="61"/>
      <c r="CU149" s="61">
        <f t="shared" si="63"/>
        <v>0.12872905168215065</v>
      </c>
      <c r="CV149" s="61">
        <f t="shared" si="64"/>
        <v>6.500787290747434E-2</v>
      </c>
      <c r="CW149" s="61"/>
      <c r="CX149" s="61"/>
      <c r="CY149" s="61"/>
    </row>
    <row r="150" spans="1:103">
      <c r="A150" s="204">
        <f t="shared" si="51"/>
        <v>2014</v>
      </c>
      <c r="B150" s="206" t="str">
        <f>IF(AND($A150&gt;=SYear_O, $A150&lt;=EYear_O, B$3&gt;0), B$3 * VLOOKUP($A150, Data_All!$A$8:$CA$153, MATCH(B$2, Data_All!$B$2:$CA$2, 0)+1), "")</f>
        <v/>
      </c>
      <c r="C150" s="206" t="str">
        <f>IF(AND($A150&gt;=SYear_O, $A150&lt;=EYear_O, C$3&gt;0), C$3 * VLOOKUP($A150, Data_All!$A$8:$CA$153, MATCH(C$2, Data_All!$B$2:$CA$2, 0)+1), "")</f>
        <v/>
      </c>
      <c r="D150" s="206" t="str">
        <f>IF(AND($A150&gt;=SYear_O, $A150&lt;=EYear_O, D$3&gt;0), D$3 * VLOOKUP($A150, Data_All!$A$8:$CA$153, MATCH(D$2, Data_All!$B$2:$CA$2, 0)+1), "")</f>
        <v/>
      </c>
      <c r="E150" s="206" t="str">
        <f>IF(AND($A150&gt;=SYear_O, $A150&lt;=EYear_O, E$3&gt;0), E$3 * VLOOKUP($A150, Data_All!$A$8:$CA$153, MATCH(E$2, Data_All!$B$2:$CA$2, 0)+1), "")</f>
        <v/>
      </c>
      <c r="F150" s="206" t="str">
        <f>IF(AND($A150&gt;=SYear_O, $A150&lt;=EYear_O, F$3&gt;0), F$3 * VLOOKUP($A150, Data_All!$A$8:$CA$153, MATCH(F$2, Data_All!$B$2:$CA$2, 0)+1), "")</f>
        <v/>
      </c>
      <c r="G150" s="206" t="str">
        <f>IF(AND($A150&gt;=SYear_O, $A150&lt;=EYear_O, G$3&gt;0), G$3 * VLOOKUP($A150, Data_All!$A$8:$CA$153, MATCH(G$2, Data_All!$B$2:$CA$2, 0)+1), "")</f>
        <v/>
      </c>
      <c r="H150" s="206" t="str">
        <f>IF(AND($A150&gt;=SYear_O, $A150&lt;=EYear_O, H$3&gt;0), H$3 * VLOOKUP($A150, Data_All!$A$8:$CA$153, MATCH(H$2, Data_All!$B$2:$CA$2, 0)+1), "")</f>
        <v/>
      </c>
      <c r="I150" s="206" t="str">
        <f>IF(AND($A150&gt;=SYear_O, $A150&lt;=EYear_O, I$3&gt;0), I$3 * VLOOKUP($A150, Data_All!$A$8:$CA$153, MATCH(I$2, Data_All!$B$2:$CA$2, 0)+1), "")</f>
        <v/>
      </c>
      <c r="J150" s="206" t="str">
        <f>IF(AND($A150&gt;=SYear_O, $A150&lt;=EYear_O, J$3&gt;0), J$3 * VLOOKUP($A150, Data_All!$A$8:$CA$153, MATCH(J$2, Data_All!$B$2:$CA$2, 0)+1), "")</f>
        <v/>
      </c>
      <c r="K150" s="206" t="str">
        <f>IF(AND($A150&gt;=SYear_O, $A150&lt;=EYear_O, K$3&gt;0), K$3 * VLOOKUP($A150, Data_All!$A$8:$CA$153, MATCH(K$2, Data_All!$B$2:$CA$2, 0)+1), "")</f>
        <v/>
      </c>
      <c r="L150" s="206" t="str">
        <f>IF(AND($A150&gt;=SYear_O, $A150&lt;=EYear_O, L$3&gt;0), L$3 * VLOOKUP($A150, Data_All!$A$8:$CA$153, MATCH(L$2, Data_All!$B$2:$CA$2, 0)+1), "")</f>
        <v/>
      </c>
      <c r="M150" s="206" t="str">
        <f>IF(AND($A150&gt;=SYear_O, $A150&lt;=EYear_O, M$3&gt;0), M$3 * VLOOKUP($A150, Data_All!$A$8:$CA$153, MATCH(M$2, Data_All!$B$2:$CA$2, 0)+1), "")</f>
        <v/>
      </c>
      <c r="N150" s="206" t="str">
        <f>IF(AND($A150&gt;=SYear_O, $A150&lt;=EYear_O, N$3&gt;0), N$3 * VLOOKUP($A150, Data_All!$A$8:$CA$153, MATCH(N$2, Data_All!$B$2:$CA$2, 0)+1), "")</f>
        <v/>
      </c>
      <c r="O150" s="206" t="str">
        <f>IF(AND($A150&gt;=SYear_O, $A150&lt;=EYear_O, O$3&gt;0), O$3 * VLOOKUP($A150, Data_All!$A$8:$CA$153, MATCH(O$2, Data_All!$B$2:$CA$2, 0)+1), "")</f>
        <v/>
      </c>
      <c r="P150" s="206" t="str">
        <f>IF(AND($A150&gt;=SYear_O, $A150&lt;=EYear_O, P$3&gt;0), P$3 * VLOOKUP($A150, Data_All!$A$8:$CA$153, MATCH(P$2, Data_All!$B$2:$CA$2, 0)+1), "")</f>
        <v/>
      </c>
      <c r="Q150" s="206" t="str">
        <f>IF(AND($A150&gt;=SYear_O, $A150&lt;=EYear_O, Q$3&gt;0), Q$3 * VLOOKUP($A150, Data_All!$A$8:$CA$153, MATCH(Q$2, Data_All!$B$2:$CA$2, 0)+1), "")</f>
        <v/>
      </c>
      <c r="R150" s="206" t="str">
        <f>IF(AND($A150&gt;=SYear_O, $A150&lt;=EYear_O, R$3&gt;0), R$3 * VLOOKUP($A150, Data_All!$A$8:$CA$153, MATCH(R$2, Data_All!$B$2:$CA$2, 0)+1), "")</f>
        <v/>
      </c>
      <c r="S150" s="206" t="str">
        <f>IF(AND($A150&gt;=SYear_O, $A150&lt;=EYear_O, S$3&gt;0), S$3 * VLOOKUP($A150, Data_All!$A$8:$CA$153, MATCH(S$2, Data_All!$B$2:$CA$2, 0)+1), "")</f>
        <v/>
      </c>
      <c r="T150" s="206" t="str">
        <f>IF(AND($A150&gt;=SYear_O, $A150&lt;=EYear_O, T$3&gt;0), T$3 * VLOOKUP($A150, Data_All!$A$8:$CA$153, MATCH(T$2, Data_All!$B$2:$CA$2, 0)+1), "")</f>
        <v/>
      </c>
      <c r="U150" s="206" t="str">
        <f>IF(AND($A150&gt;=SYear_O, $A150&lt;=EYear_O, U$3&gt;0), U$3 * VLOOKUP($A150, Data_All!$A$8:$CA$153, MATCH(U$2, Data_All!$B$2:$CA$2, 0)+1), "")</f>
        <v/>
      </c>
      <c r="V150" s="206" t="str">
        <f>IF(AND($A150&gt;=SYear_O, $A150&lt;=EYear_O, V$3&gt;0), V$3 * VLOOKUP($A150, Data_All!$A$8:$CA$153, MATCH(V$2, Data_All!$B$2:$CA$2, 0)+1), "")</f>
        <v/>
      </c>
      <c r="W150" s="206" t="str">
        <f>IF(AND($A150&gt;=SYear_O, $A150&lt;=EYear_O, W$3&gt;0), W$3 * VLOOKUP($A150, Data_All!$A$8:$CA$153, MATCH(W$2, Data_All!$B$2:$CA$2, 0)+1), "")</f>
        <v/>
      </c>
      <c r="X150" s="206" t="str">
        <f>IF(AND($A150&gt;=SYear_O, $A150&lt;=EYear_O, X$3&gt;0), X$3 * VLOOKUP($A150, Data_All!$A$8:$CA$153, MATCH(X$2, Data_All!$B$2:$CA$2, 0)+1), "")</f>
        <v/>
      </c>
      <c r="Y150" s="206" t="str">
        <f>IF(AND($A150&gt;=SYear_O, $A150&lt;=EYear_O, Y$3&gt;0), Y$3 * VLOOKUP($A150, Data_All!$A$8:$CA$153, MATCH(Y$2, Data_All!$B$2:$CA$2, 0)+1), "")</f>
        <v/>
      </c>
      <c r="Z150" s="206" t="str">
        <f>IF(AND($A150&gt;=SYear_O, $A150&lt;=EYear_O, Z$3&gt;0), Z$3 * VLOOKUP($A150, Data_All!$A$8:$CA$153, MATCH(Z$2, Data_All!$B$2:$CA$2, 0)+1), "")</f>
        <v/>
      </c>
      <c r="AA150" s="206" t="str">
        <f>IF(AND($A150&gt;=SYear_O, $A150&lt;=EYear_O, AA$3&gt;0), AA$3 * VLOOKUP($A150, Data_All!$A$8:$CA$153, MATCH(AA$2, Data_All!$B$2:$CA$2, 0)+1), "")</f>
        <v/>
      </c>
      <c r="AB150" s="206" t="str">
        <f>IF(AND($A150&gt;=SYear_O, $A150&lt;=EYear_O, AB$3&gt;0), AB$3 * VLOOKUP($A150, Data_All!$A$8:$CA$153, MATCH(AB$2, Data_All!$B$2:$CA$2, 0)+1), "")</f>
        <v/>
      </c>
      <c r="AC150" s="206" t="str">
        <f>IF(AND($A150&gt;=SYear_O, $A150&lt;=EYear_O, AC$3&gt;0), AC$3 * VLOOKUP($A150, Data_All!$A$8:$CA$153, MATCH(AC$2, Data_All!$B$2:$CA$2, 0)+1), "")</f>
        <v/>
      </c>
      <c r="AD150" s="206" t="str">
        <f>IF(AND($A150&gt;=SYear_O, $A150&lt;=EYear_O, AD$3&gt;0), AD$3 * VLOOKUP($A150, Data_All!$A$8:$CA$153, MATCH(AD$2, Data_All!$B$2:$CA$2, 0)+1), "")</f>
        <v/>
      </c>
      <c r="AE150" s="206" t="str">
        <f>IF(AND($A150&gt;=SYear_O, $A150&lt;=EYear_O, AE$3&gt;0), AE$3 * VLOOKUP($A150, Data_All!$A$8:$CA$153, MATCH(AE$2, Data_All!$B$2:$CA$2, 0)+1), "")</f>
        <v/>
      </c>
      <c r="AF150" s="206" t="str">
        <f>IF(AND($A150&gt;=SYear_O, $A150&lt;=EYear_O, AF$3&gt;0), AF$3 * VLOOKUP($A150, Data_All!$A$8:$CA$153, MATCH(AF$2, Data_All!$B$2:$CA$2, 0)+1), "")</f>
        <v/>
      </c>
      <c r="AG150" s="206" t="str">
        <f>IF(AND($A150&gt;=SYear_O, $A150&lt;=EYear_O, AG$3&gt;0), AG$3 * VLOOKUP($A150, Data_All!$A$8:$CA$153, MATCH(AG$2, Data_All!$B$2:$CA$2, 0)+1), "")</f>
        <v/>
      </c>
      <c r="AH150" s="206" t="str">
        <f>IF(AND($A150&gt;=SYear_O, $A150&lt;=EYear_O, AH$3&gt;0), AH$3 * VLOOKUP($A150, Data_All!$A$8:$CA$153, MATCH(AH$2, Data_All!$B$2:$CA$2, 0)+1), "")</f>
        <v/>
      </c>
      <c r="AI150" s="206" t="str">
        <f>IF(AND($A150&gt;=SYear_O, $A150&lt;=EYear_O, AI$3&gt;0), AI$3 * VLOOKUP($A150, Data_All!$A$8:$CA$153, MATCH(AI$2, Data_All!$B$2:$CA$2, 0)+1), "")</f>
        <v/>
      </c>
      <c r="AJ150" s="206" t="str">
        <f>IF(AND($A150&gt;=SYear_O, $A150&lt;=EYear_O, AJ$3&gt;0), AJ$3 * VLOOKUP($A150, Data_All!$A$8:$CA$153, MATCH(AJ$2, Data_All!$B$2:$CA$2, 0)+1), "")</f>
        <v/>
      </c>
      <c r="AK150" s="206" t="str">
        <f>IF(AND($A150&gt;=SYear_O, $A150&lt;=EYear_O, AK$3&gt;0), AK$3 * VLOOKUP($A150, Data_All!$A$8:$CA$153, MATCH(AK$2, Data_All!$B$2:$CA$2, 0)+1), "")</f>
        <v/>
      </c>
      <c r="AL150" s="206" t="str">
        <f>IF(AND($A150&gt;=SYear_O, $A150&lt;=EYear_O, AL$3&gt;0), AL$3 * VLOOKUP($A150, Data_All!$A$8:$CA$153, MATCH(AL$2, Data_All!$B$2:$CA$2, 0)+1), "")</f>
        <v/>
      </c>
      <c r="AM150" s="206" t="str">
        <f>IF(AND($A150&gt;=SYear_O, $A150&lt;=EYear_O, AM$3&gt;0), AM$3 * VLOOKUP($A150, Data_All!$A$8:$CA$153, MATCH(AM$2, Data_All!$B$2:$CA$2, 0)+1), "")</f>
        <v/>
      </c>
      <c r="AN150" s="206" t="str">
        <f>IF(AND($A150&gt;=SYear_O, $A150&lt;=EYear_O, AN$3&gt;0), AN$3 * VLOOKUP($A150, Data_All!$A$8:$CA$153, MATCH(AN$2, Data_All!$B$2:$CA$2, 0)+1), "")</f>
        <v/>
      </c>
      <c r="AO150" s="206" t="str">
        <f>IF(AND($A150&gt;=SYear_O, $A150&lt;=EYear_O, AO$3&gt;0), AO$3 * VLOOKUP($A150, Data_All!$A$8:$CA$153, MATCH(AO$2, Data_All!$B$2:$CA$2, 0)+1), "")</f>
        <v/>
      </c>
      <c r="AP150" s="206" t="str">
        <f>IF(AND($A150&gt;=SYear_O, $A150&lt;=EYear_O, AP$3&gt;0), AP$3 * VLOOKUP($A150, Data_All!$A$8:$CA$153, MATCH(AP$2, Data_All!$B$2:$CA$2, 0)+1), "")</f>
        <v/>
      </c>
      <c r="AQ150" s="206" t="str">
        <f>IF(AND($A150&gt;=SYear_O, $A150&lt;=EYear_O, AQ$3&gt;0), AQ$3 * VLOOKUP($A150, Data_All!$A$8:$CA$153, MATCH(AQ$2, Data_All!$B$2:$CA$2, 0)+1), "")</f>
        <v/>
      </c>
      <c r="AR150" s="206" t="str">
        <f>IF(AND($A150&gt;=SYear_O, $A150&lt;=EYear_O, AR$3&gt;0), AR$3 * VLOOKUP($A150, Data_All!$A$8:$CA$153, MATCH(AR$2, Data_All!$B$2:$CA$2, 0)+1), "")</f>
        <v/>
      </c>
      <c r="AS150" s="206" t="str">
        <f>IF(AND($A150&gt;=SYear_O, $A150&lt;=EYear_O, AS$3&gt;0), AS$3 * VLOOKUP($A150, Data_All!$A$8:$CA$153, MATCH(AS$2, Data_All!$B$2:$CA$2, 0)+1), "")</f>
        <v/>
      </c>
      <c r="AT150" s="206" t="str">
        <f>IF(AND($A150&gt;=SYear_O, $A150&lt;=EYear_O, AT$3&gt;0), AT$3 * VLOOKUP($A150, Data_All!$A$8:$CA$153, MATCH(AT$2, Data_All!$B$2:$CA$2, 0)+1), "")</f>
        <v/>
      </c>
      <c r="AU150" s="206" t="str">
        <f>IF(AND($A150&gt;=SYear_O, $A150&lt;=EYear_O, AU$3&gt;0), AU$3 * VLOOKUP($A150, Data_All!$A$8:$CA$153, MATCH(AU$2, Data_All!$B$2:$CA$2, 0)+1), "")</f>
        <v/>
      </c>
      <c r="AV150" s="206" t="str">
        <f>IF(AND($A150&gt;=SYear_O, $A150&lt;=EYear_O, AV$3&gt;0), AV$3 * VLOOKUP($A150, Data_All!$A$8:$CA$153, MATCH(AV$2, Data_All!$B$2:$CA$2, 0)+1), "")</f>
        <v/>
      </c>
      <c r="AW150" s="206" t="str">
        <f>IF(AND($A150&gt;=SYear_O, $A150&lt;=EYear_O, AW$3&gt;0), AW$3 * VLOOKUP($A150, Data_All!$A$8:$CA$153, MATCH(AW$2, Data_All!$B$2:$CA$2, 0)+1), "")</f>
        <v/>
      </c>
      <c r="AX150" s="206" t="str">
        <f>IF(AND($A150&gt;=SYear_O, $A150&lt;=EYear_O, AX$3&gt;0), AX$3 * VLOOKUP($A150, Data_All!$A$8:$CA$153, MATCH(AX$2, Data_All!$B$2:$CA$2, 0)+1), "")</f>
        <v/>
      </c>
      <c r="AY150" s="206" t="str">
        <f>IF(AND($A150&gt;=SYear_O, $A150&lt;=EYear_O, AY$3&gt;0), AY$3 * VLOOKUP($A150, Data_All!$A$8:$CA$153, MATCH(AY$2, Data_All!$B$2:$CA$2, 0)+1), "")</f>
        <v/>
      </c>
      <c r="AZ150" s="206" t="str">
        <f>IF(AND($A150&gt;=SYear_O, $A150&lt;=EYear_O, AZ$3&gt;0), AZ$3 * VLOOKUP($A150, Data_All!$A$8:$CA$153, MATCH(AZ$2, Data_All!$B$2:$CA$2, 0)+1), "")</f>
        <v/>
      </c>
      <c r="BA150" s="206" t="str">
        <f>IF(AND($A150&gt;=SYear_O, $A150&lt;=EYear_O, BA$3&gt;0), BA$3 * VLOOKUP($A150, Data_All!$A$8:$CA$153, MATCH(BA$2, Data_All!$B$2:$CA$2, 0)+1), "")</f>
        <v/>
      </c>
      <c r="BB150" s="206" t="str">
        <f>IF(AND($A150&gt;=SYear_O, $A150&lt;=EYear_O, BB$3&gt;0), BB$3 * VLOOKUP($A150, Data_All!$A$8:$CA$153, MATCH(BB$2, Data_All!$B$2:$CA$2, 0)+1), "")</f>
        <v/>
      </c>
      <c r="BC150" s="206" t="str">
        <f>IF(AND($A150&gt;=SYear_O, $A150&lt;=EYear_O, BC$3&gt;0), BC$3 * VLOOKUP($A150, Data_All!$A$8:$CA$153, MATCH(BC$2, Data_All!$B$2:$CA$2, 0)+1), "")</f>
        <v/>
      </c>
      <c r="BD150" s="206" t="str">
        <f>IF(AND($A150&gt;=SYear_O, $A150&lt;=EYear_O, BD$3&gt;0), BD$3 * VLOOKUP($A150, Data_All!$A$8:$CA$153, MATCH(BD$2, Data_All!$B$2:$CA$2, 0)+1), "")</f>
        <v/>
      </c>
      <c r="BE150" s="206" t="str">
        <f>IF(AND($A150&gt;=SYear_O, $A150&lt;=EYear_O, BE$3&gt;0), BE$3 * VLOOKUP($A150, Data_All!$A$8:$CA$153, MATCH(BE$2, Data_All!$B$2:$CA$2, 0)+1), "")</f>
        <v/>
      </c>
      <c r="BF150" s="206" t="str">
        <f>IF(AND($A150&gt;=SYear_O, $A150&lt;=EYear_O, BF$3&gt;0), BF$3 * VLOOKUP($A150, Data_All!$A$8:$CA$153, MATCH(BF$2, Data_All!$B$2:$CA$2, 0)+1), "")</f>
        <v/>
      </c>
      <c r="BG150" s="206" t="str">
        <f>IF(AND($A150&gt;=SYear_O, $A150&lt;=EYear_O, BG$3&gt;0), BG$3 * VLOOKUP($A150, Data_All!$A$8:$CA$153, MATCH(BG$2, Data_All!$B$2:$CA$2, 0)+1), "")</f>
        <v/>
      </c>
      <c r="BH150" s="206" t="str">
        <f>IF(AND($A150&gt;=SYear_O, $A150&lt;=EYear_O, BH$3&gt;0), BH$3 * VLOOKUP($A150, Data_All!$A$8:$CA$153, MATCH(BH$2, Data_All!$B$2:$CA$2, 0)+1), "")</f>
        <v/>
      </c>
      <c r="BI150" s="206" t="str">
        <f>IF(AND($A150&gt;=SYear_O, $A150&lt;=EYear_O, BI$3&gt;0), BI$3 * VLOOKUP($A150, Data_All!$A$8:$CA$153, MATCH(BI$2, Data_All!$B$2:$CA$2, 0)+1), "")</f>
        <v/>
      </c>
      <c r="BJ150" s="206" t="str">
        <f>IF(AND($A150&gt;=SYear_O, $A150&lt;=EYear_O, BJ$3&gt;0), BJ$3 * VLOOKUP($A150, Data_All!$A$8:$CA$153, MATCH(BJ$2, Data_All!$B$2:$CA$2, 0)+1), "")</f>
        <v/>
      </c>
      <c r="BK150" s="206" t="str">
        <f>IF(AND($A150&gt;=SYear_O, $A150&lt;=EYear_O, BK$3&gt;0), BK$3 * VLOOKUP($A150, Data_All!$A$8:$CA$153, MATCH(BK$2, Data_All!$B$2:$CA$2, 0)+1), "")</f>
        <v/>
      </c>
      <c r="BL150" s="206" t="str">
        <f>IF(AND($A150&gt;=SYear_O, $A150&lt;=EYear_O, BL$3&gt;0), BL$3 * VLOOKUP($A150, Data_All!$A$8:$CA$153, MATCH(BL$2, Data_All!$B$2:$CA$2, 0)+1), "")</f>
        <v/>
      </c>
      <c r="BM150" s="206" t="str">
        <f>IF(AND($A150&gt;=SYear_O, $A150&lt;=EYear_O, BM$3&gt;0), BM$3 * VLOOKUP($A150, Data_All!$A$8:$CA$153, MATCH(BM$2, Data_All!$B$2:$CA$2, 0)+1), "")</f>
        <v/>
      </c>
      <c r="BN150" s="206" t="str">
        <f>IF(AND($A150&gt;=SYear_O, $A150&lt;=EYear_O, BN$3&gt;0), BN$3 * VLOOKUP($A150, Data_All!$A$8:$CA$153, MATCH(BN$2, Data_All!$B$2:$CA$2, 0)+1), "")</f>
        <v/>
      </c>
      <c r="BO150" s="206" t="str">
        <f>IF(AND($A150&gt;=SYear_O, $A150&lt;=EYear_O, BO$3&gt;0), BO$3 * VLOOKUP($A150, Data_All!$A$8:$CA$153, MATCH(BO$2, Data_All!$B$2:$CA$2, 0)+1), "")</f>
        <v/>
      </c>
      <c r="BP150" s="206" t="str">
        <f>IF(AND($A150&gt;=SYear_O, $A150&lt;=EYear_O, BP$3&gt;0), BP$3 * VLOOKUP($A150, Data_All!$A$8:$CA$153, MATCH(BP$2, Data_All!$B$2:$CA$2, 0)+1), "")</f>
        <v/>
      </c>
      <c r="BQ150" s="206" t="str">
        <f>IF(AND($A150&gt;=SYear_O, $A150&lt;=EYear_O, BQ$3&gt;0), BQ$3 * VLOOKUP($A150, Data_All!$A$8:$CA$153, MATCH(BQ$2, Data_All!$B$2:$CA$2, 0)+1), "")</f>
        <v/>
      </c>
      <c r="BR150" s="206" t="str">
        <f>IF(AND($A150&gt;=SYear_O, $A150&lt;=EYear_O, BR$3&gt;0), BR$3 * VLOOKUP($A150, Data_All!$A$8:$CA$153, MATCH(BR$2, Data_All!$B$2:$CA$2, 0)+1), "")</f>
        <v/>
      </c>
      <c r="BS150" s="206" t="str">
        <f>IF(AND($A150&gt;=SYear_O, $A150&lt;=EYear_O, BS$3&gt;0), BS$3 * VLOOKUP($A150, Data_All!$A$8:$CA$153, MATCH(BS$2, Data_All!$B$2:$CA$2, 0)+1), "")</f>
        <v/>
      </c>
      <c r="BT150" s="206" t="str">
        <f>IF(AND($A150&gt;=SYear_O, $A150&lt;=EYear_O, BT$3&gt;0), BT$3 * VLOOKUP($A150, Data_All!$A$8:$CA$153, MATCH(BT$2, Data_All!$B$2:$CA$2, 0)+1), "")</f>
        <v/>
      </c>
      <c r="BU150" s="206" t="str">
        <f>IF(AND($A150&gt;=SYear_O, $A150&lt;=EYear_O, BU$3&gt;0), BU$3 * VLOOKUP($A150, Data_All!$A$8:$CA$153, MATCH(BU$2, Data_All!$B$2:$CA$2, 0)+1), "")</f>
        <v/>
      </c>
      <c r="BV150" s="206" t="str">
        <f>IF(AND($A150&gt;=SYear_O, $A150&lt;=EYear_O, BV$3&gt;0), BV$3 * VLOOKUP($A150, Data_All!$A$8:$CA$153, MATCH(BV$2, Data_All!$B$2:$CA$2, 0)+1), "")</f>
        <v/>
      </c>
      <c r="BW150" s="206" t="str">
        <f>IF(AND($A150&gt;=SYear_O, $A150&lt;=EYear_O, BW$3&gt;0), BW$3 * VLOOKUP($A150, Data_All!$A$8:$CA$153, MATCH(BW$2, Data_All!$B$2:$CA$2, 0)+1), "")</f>
        <v/>
      </c>
      <c r="BX150" s="206">
        <f>IF(AND($A150&gt;=SYear_O, $A150&lt;=EYear_O, BX$3&gt;0), BX$3 * VLOOKUP($A150, Data_All!$A$8:$CA$153, MATCH(BX$2, Data_All!$B$2:$CA$2, 0)+1), "")</f>
        <v>8.0750235957769032</v>
      </c>
      <c r="BY150" s="206">
        <f>IF(AND($A150&gt;=SYear_O, $A150&lt;=EYear_O, BY$3&gt;0), BY$3 * VLOOKUP($A150, Data_All!$A$8:$CA$153, MATCH(BY$2, Data_All!$B$2:$CA$2, 0)+1), "")</f>
        <v>2.2034205585038436</v>
      </c>
      <c r="BZ150" s="206" t="str">
        <f>IF(AND($A150&gt;=SYear_O, $A150&lt;=EYear_O, BZ$3&gt;0), BZ$3 * VLOOKUP($A150, Data_All!$A$8:$CA$153, MATCH(BZ$2, Data_All!$B$2:$CA$2, 0)+1), "")</f>
        <v/>
      </c>
      <c r="CA150" s="565">
        <f t="shared" si="74"/>
        <v>10.278444154280747</v>
      </c>
      <c r="CB150" s="427">
        <f t="shared" si="75"/>
        <v>387982706.69419503</v>
      </c>
      <c r="CC150" s="565">
        <f>IF(AND($A150&gt;=SYear_O,$A150&lt;=EYear_O),(CA150-Data_All!CA151)/(1+Data_All!CA151%),"")</f>
        <v>9.4504587998525302</v>
      </c>
      <c r="CD150" s="436">
        <f t="shared" si="76"/>
        <v>20594518.692322195</v>
      </c>
      <c r="CE150" s="438">
        <f t="shared" si="77"/>
        <v>35189.736151796569</v>
      </c>
      <c r="CF150" s="438">
        <f>IF(AND($A150&gt;=SYear_O,$A150&lt;=EYear_O),MAX($CE$7:CE150),"")</f>
        <v>35189.736151796569</v>
      </c>
      <c r="CG150" s="209">
        <f t="shared" si="78"/>
        <v>0</v>
      </c>
      <c r="CI150" s="143">
        <f>IF(AND($A150&gt;=SYear_O,$A150&lt;=EYear_O),Data_All!V151,"")</f>
        <v>0.01</v>
      </c>
      <c r="CJ150" s="143">
        <f>IF(AND($A150&gt;=SYear_O,$A150&lt;=EYear_O),Data_All!CA151,"")</f>
        <v>0.7564932696557447</v>
      </c>
      <c r="CK150" s="143">
        <f t="shared" si="79"/>
        <v>-0.74088849803247547</v>
      </c>
      <c r="CN150" s="61">
        <f t="shared" si="58"/>
        <v>0.10278444154280741</v>
      </c>
      <c r="CO150" s="61"/>
      <c r="CP150" s="61"/>
      <c r="CQ150" s="61"/>
      <c r="CR150" s="61"/>
      <c r="CU150" s="61">
        <f t="shared" si="63"/>
        <v>9.4504587998525347E-2</v>
      </c>
      <c r="CV150" s="61"/>
      <c r="CW150" s="61"/>
      <c r="CX150" s="61"/>
      <c r="CY150" s="61"/>
    </row>
    <row r="151" spans="1:103">
      <c r="A151" s="204">
        <f t="shared" si="51"/>
        <v>2015</v>
      </c>
      <c r="B151" s="206" t="str">
        <f>IF(AND($A151&gt;=SYear_O, $A151&lt;=EYear_O, B$3&gt;0), B$3 * VLOOKUP($A151, Data_All!$A$8:$CA$153, MATCH(B$2, Data_All!$B$2:$CA$2, 0)+1), "")</f>
        <v/>
      </c>
      <c r="C151" s="206" t="str">
        <f>IF(AND($A151&gt;=SYear_O, $A151&lt;=EYear_O, C$3&gt;0), C$3 * VLOOKUP($A151, Data_All!$A$8:$CA$153, MATCH(C$2, Data_All!$B$2:$CA$2, 0)+1), "")</f>
        <v/>
      </c>
      <c r="D151" s="206" t="str">
        <f>IF(AND($A151&gt;=SYear_O, $A151&lt;=EYear_O, D$3&gt;0), D$3 * VLOOKUP($A151, Data_All!$A$8:$CA$153, MATCH(D$2, Data_All!$B$2:$CA$2, 0)+1), "")</f>
        <v/>
      </c>
      <c r="E151" s="206" t="str">
        <f>IF(AND($A151&gt;=SYear_O, $A151&lt;=EYear_O, E$3&gt;0), E$3 * VLOOKUP($A151, Data_All!$A$8:$CA$153, MATCH(E$2, Data_All!$B$2:$CA$2, 0)+1), "")</f>
        <v/>
      </c>
      <c r="F151" s="206" t="str">
        <f>IF(AND($A151&gt;=SYear_O, $A151&lt;=EYear_O, F$3&gt;0), F$3 * VLOOKUP($A151, Data_All!$A$8:$CA$153, MATCH(F$2, Data_All!$B$2:$CA$2, 0)+1), "")</f>
        <v/>
      </c>
      <c r="G151" s="206" t="str">
        <f>IF(AND($A151&gt;=SYear_O, $A151&lt;=EYear_O, G$3&gt;0), G$3 * VLOOKUP($A151, Data_All!$A$8:$CA$153, MATCH(G$2, Data_All!$B$2:$CA$2, 0)+1), "")</f>
        <v/>
      </c>
      <c r="H151" s="206" t="str">
        <f>IF(AND($A151&gt;=SYear_O, $A151&lt;=EYear_O, H$3&gt;0), H$3 * VLOOKUP($A151, Data_All!$A$8:$CA$153, MATCH(H$2, Data_All!$B$2:$CA$2, 0)+1), "")</f>
        <v/>
      </c>
      <c r="I151" s="206" t="str">
        <f>IF(AND($A151&gt;=SYear_O, $A151&lt;=EYear_O, I$3&gt;0), I$3 * VLOOKUP($A151, Data_All!$A$8:$CA$153, MATCH(I$2, Data_All!$B$2:$CA$2, 0)+1), "")</f>
        <v/>
      </c>
      <c r="J151" s="206" t="str">
        <f>IF(AND($A151&gt;=SYear_O, $A151&lt;=EYear_O, J$3&gt;0), J$3 * VLOOKUP($A151, Data_All!$A$8:$CA$153, MATCH(J$2, Data_All!$B$2:$CA$2, 0)+1), "")</f>
        <v/>
      </c>
      <c r="K151" s="206" t="str">
        <f>IF(AND($A151&gt;=SYear_O, $A151&lt;=EYear_O, K$3&gt;0), K$3 * VLOOKUP($A151, Data_All!$A$8:$CA$153, MATCH(K$2, Data_All!$B$2:$CA$2, 0)+1), "")</f>
        <v/>
      </c>
      <c r="L151" s="206" t="str">
        <f>IF(AND($A151&gt;=SYear_O, $A151&lt;=EYear_O, L$3&gt;0), L$3 * VLOOKUP($A151, Data_All!$A$8:$CA$153, MATCH(L$2, Data_All!$B$2:$CA$2, 0)+1), "")</f>
        <v/>
      </c>
      <c r="M151" s="206" t="str">
        <f>IF(AND($A151&gt;=SYear_O, $A151&lt;=EYear_O, M$3&gt;0), M$3 * VLOOKUP($A151, Data_All!$A$8:$CA$153, MATCH(M$2, Data_All!$B$2:$CA$2, 0)+1), "")</f>
        <v/>
      </c>
      <c r="N151" s="206" t="str">
        <f>IF(AND($A151&gt;=SYear_O, $A151&lt;=EYear_O, N$3&gt;0), N$3 * VLOOKUP($A151, Data_All!$A$8:$CA$153, MATCH(N$2, Data_All!$B$2:$CA$2, 0)+1), "")</f>
        <v/>
      </c>
      <c r="O151" s="206" t="str">
        <f>IF(AND($A151&gt;=SYear_O, $A151&lt;=EYear_O, O$3&gt;0), O$3 * VLOOKUP($A151, Data_All!$A$8:$CA$153, MATCH(O$2, Data_All!$B$2:$CA$2, 0)+1), "")</f>
        <v/>
      </c>
      <c r="P151" s="206" t="str">
        <f>IF(AND($A151&gt;=SYear_O, $A151&lt;=EYear_O, P$3&gt;0), P$3 * VLOOKUP($A151, Data_All!$A$8:$CA$153, MATCH(P$2, Data_All!$B$2:$CA$2, 0)+1), "")</f>
        <v/>
      </c>
      <c r="Q151" s="206" t="str">
        <f>IF(AND($A151&gt;=SYear_O, $A151&lt;=EYear_O, Q$3&gt;0), Q$3 * VLOOKUP($A151, Data_All!$A$8:$CA$153, MATCH(Q$2, Data_All!$B$2:$CA$2, 0)+1), "")</f>
        <v/>
      </c>
      <c r="R151" s="206" t="str">
        <f>IF(AND($A151&gt;=SYear_O, $A151&lt;=EYear_O, R$3&gt;0), R$3 * VLOOKUP($A151, Data_All!$A$8:$CA$153, MATCH(R$2, Data_All!$B$2:$CA$2, 0)+1), "")</f>
        <v/>
      </c>
      <c r="S151" s="206" t="str">
        <f>IF(AND($A151&gt;=SYear_O, $A151&lt;=EYear_O, S$3&gt;0), S$3 * VLOOKUP($A151, Data_All!$A$8:$CA$153, MATCH(S$2, Data_All!$B$2:$CA$2, 0)+1), "")</f>
        <v/>
      </c>
      <c r="T151" s="206" t="str">
        <f>IF(AND($A151&gt;=SYear_O, $A151&lt;=EYear_O, T$3&gt;0), T$3 * VLOOKUP($A151, Data_All!$A$8:$CA$153, MATCH(T$2, Data_All!$B$2:$CA$2, 0)+1), "")</f>
        <v/>
      </c>
      <c r="U151" s="206" t="str">
        <f>IF(AND($A151&gt;=SYear_O, $A151&lt;=EYear_O, U$3&gt;0), U$3 * VLOOKUP($A151, Data_All!$A$8:$CA$153, MATCH(U$2, Data_All!$B$2:$CA$2, 0)+1), "")</f>
        <v/>
      </c>
      <c r="V151" s="206" t="str">
        <f>IF(AND($A151&gt;=SYear_O, $A151&lt;=EYear_O, V$3&gt;0), V$3 * VLOOKUP($A151, Data_All!$A$8:$CA$153, MATCH(V$2, Data_All!$B$2:$CA$2, 0)+1), "")</f>
        <v/>
      </c>
      <c r="W151" s="206" t="str">
        <f>IF(AND($A151&gt;=SYear_O, $A151&lt;=EYear_O, W$3&gt;0), W$3 * VLOOKUP($A151, Data_All!$A$8:$CA$153, MATCH(W$2, Data_All!$B$2:$CA$2, 0)+1), "")</f>
        <v/>
      </c>
      <c r="X151" s="206" t="str">
        <f>IF(AND($A151&gt;=SYear_O, $A151&lt;=EYear_O, X$3&gt;0), X$3 * VLOOKUP($A151, Data_All!$A$8:$CA$153, MATCH(X$2, Data_All!$B$2:$CA$2, 0)+1), "")</f>
        <v/>
      </c>
      <c r="Y151" s="206" t="str">
        <f>IF(AND($A151&gt;=SYear_O, $A151&lt;=EYear_O, Y$3&gt;0), Y$3 * VLOOKUP($A151, Data_All!$A$8:$CA$153, MATCH(Y$2, Data_All!$B$2:$CA$2, 0)+1), "")</f>
        <v/>
      </c>
      <c r="Z151" s="206" t="str">
        <f>IF(AND($A151&gt;=SYear_O, $A151&lt;=EYear_O, Z$3&gt;0), Z$3 * VLOOKUP($A151, Data_All!$A$8:$CA$153, MATCH(Z$2, Data_All!$B$2:$CA$2, 0)+1), "")</f>
        <v/>
      </c>
      <c r="AA151" s="206" t="str">
        <f>IF(AND($A151&gt;=SYear_O, $A151&lt;=EYear_O, AA$3&gt;0), AA$3 * VLOOKUP($A151, Data_All!$A$8:$CA$153, MATCH(AA$2, Data_All!$B$2:$CA$2, 0)+1), "")</f>
        <v/>
      </c>
      <c r="AB151" s="206" t="str">
        <f>IF(AND($A151&gt;=SYear_O, $A151&lt;=EYear_O, AB$3&gt;0), AB$3 * VLOOKUP($A151, Data_All!$A$8:$CA$153, MATCH(AB$2, Data_All!$B$2:$CA$2, 0)+1), "")</f>
        <v/>
      </c>
      <c r="AC151" s="206" t="str">
        <f>IF(AND($A151&gt;=SYear_O, $A151&lt;=EYear_O, AC$3&gt;0), AC$3 * VLOOKUP($A151, Data_All!$A$8:$CA$153, MATCH(AC$2, Data_All!$B$2:$CA$2, 0)+1), "")</f>
        <v/>
      </c>
      <c r="AD151" s="206" t="str">
        <f>IF(AND($A151&gt;=SYear_O, $A151&lt;=EYear_O, AD$3&gt;0), AD$3 * VLOOKUP($A151, Data_All!$A$8:$CA$153, MATCH(AD$2, Data_All!$B$2:$CA$2, 0)+1), "")</f>
        <v/>
      </c>
      <c r="AE151" s="206" t="str">
        <f>IF(AND($A151&gt;=SYear_O, $A151&lt;=EYear_O, AE$3&gt;0), AE$3 * VLOOKUP($A151, Data_All!$A$8:$CA$153, MATCH(AE$2, Data_All!$B$2:$CA$2, 0)+1), "")</f>
        <v/>
      </c>
      <c r="AF151" s="206" t="str">
        <f>IF(AND($A151&gt;=SYear_O, $A151&lt;=EYear_O, AF$3&gt;0), AF$3 * VLOOKUP($A151, Data_All!$A$8:$CA$153, MATCH(AF$2, Data_All!$B$2:$CA$2, 0)+1), "")</f>
        <v/>
      </c>
      <c r="AG151" s="206" t="str">
        <f>IF(AND($A151&gt;=SYear_O, $A151&lt;=EYear_O, AG$3&gt;0), AG$3 * VLOOKUP($A151, Data_All!$A$8:$CA$153, MATCH(AG$2, Data_All!$B$2:$CA$2, 0)+1), "")</f>
        <v/>
      </c>
      <c r="AH151" s="206" t="str">
        <f>IF(AND($A151&gt;=SYear_O, $A151&lt;=EYear_O, AH$3&gt;0), AH$3 * VLOOKUP($A151, Data_All!$A$8:$CA$153, MATCH(AH$2, Data_All!$B$2:$CA$2, 0)+1), "")</f>
        <v/>
      </c>
      <c r="AI151" s="206" t="str">
        <f>IF(AND($A151&gt;=SYear_O, $A151&lt;=EYear_O, AI$3&gt;0), AI$3 * VLOOKUP($A151, Data_All!$A$8:$CA$153, MATCH(AI$2, Data_All!$B$2:$CA$2, 0)+1), "")</f>
        <v/>
      </c>
      <c r="AJ151" s="206" t="str">
        <f>IF(AND($A151&gt;=SYear_O, $A151&lt;=EYear_O, AJ$3&gt;0), AJ$3 * VLOOKUP($A151, Data_All!$A$8:$CA$153, MATCH(AJ$2, Data_All!$B$2:$CA$2, 0)+1), "")</f>
        <v/>
      </c>
      <c r="AK151" s="206" t="str">
        <f>IF(AND($A151&gt;=SYear_O, $A151&lt;=EYear_O, AK$3&gt;0), AK$3 * VLOOKUP($A151, Data_All!$A$8:$CA$153, MATCH(AK$2, Data_All!$B$2:$CA$2, 0)+1), "")</f>
        <v/>
      </c>
      <c r="AL151" s="206" t="str">
        <f>IF(AND($A151&gt;=SYear_O, $A151&lt;=EYear_O, AL$3&gt;0), AL$3 * VLOOKUP($A151, Data_All!$A$8:$CA$153, MATCH(AL$2, Data_All!$B$2:$CA$2, 0)+1), "")</f>
        <v/>
      </c>
      <c r="AM151" s="206" t="str">
        <f>IF(AND($A151&gt;=SYear_O, $A151&lt;=EYear_O, AM$3&gt;0), AM$3 * VLOOKUP($A151, Data_All!$A$8:$CA$153, MATCH(AM$2, Data_All!$B$2:$CA$2, 0)+1), "")</f>
        <v/>
      </c>
      <c r="AN151" s="206" t="str">
        <f>IF(AND($A151&gt;=SYear_O, $A151&lt;=EYear_O, AN$3&gt;0), AN$3 * VLOOKUP($A151, Data_All!$A$8:$CA$153, MATCH(AN$2, Data_All!$B$2:$CA$2, 0)+1), "")</f>
        <v/>
      </c>
      <c r="AO151" s="206" t="str">
        <f>IF(AND($A151&gt;=SYear_O, $A151&lt;=EYear_O, AO$3&gt;0), AO$3 * VLOOKUP($A151, Data_All!$A$8:$CA$153, MATCH(AO$2, Data_All!$B$2:$CA$2, 0)+1), "")</f>
        <v/>
      </c>
      <c r="AP151" s="206" t="str">
        <f>IF(AND($A151&gt;=SYear_O, $A151&lt;=EYear_O, AP$3&gt;0), AP$3 * VLOOKUP($A151, Data_All!$A$8:$CA$153, MATCH(AP$2, Data_All!$B$2:$CA$2, 0)+1), "")</f>
        <v/>
      </c>
      <c r="AQ151" s="206" t="str">
        <f>IF(AND($A151&gt;=SYear_O, $A151&lt;=EYear_O, AQ$3&gt;0), AQ$3 * VLOOKUP($A151, Data_All!$A$8:$CA$153, MATCH(AQ$2, Data_All!$B$2:$CA$2, 0)+1), "")</f>
        <v/>
      </c>
      <c r="AR151" s="206" t="str">
        <f>IF(AND($A151&gt;=SYear_O, $A151&lt;=EYear_O, AR$3&gt;0), AR$3 * VLOOKUP($A151, Data_All!$A$8:$CA$153, MATCH(AR$2, Data_All!$B$2:$CA$2, 0)+1), "")</f>
        <v/>
      </c>
      <c r="AS151" s="206" t="str">
        <f>IF(AND($A151&gt;=SYear_O, $A151&lt;=EYear_O, AS$3&gt;0), AS$3 * VLOOKUP($A151, Data_All!$A$8:$CA$153, MATCH(AS$2, Data_All!$B$2:$CA$2, 0)+1), "")</f>
        <v/>
      </c>
      <c r="AT151" s="206" t="str">
        <f>IF(AND($A151&gt;=SYear_O, $A151&lt;=EYear_O, AT$3&gt;0), AT$3 * VLOOKUP($A151, Data_All!$A$8:$CA$153, MATCH(AT$2, Data_All!$B$2:$CA$2, 0)+1), "")</f>
        <v/>
      </c>
      <c r="AU151" s="206" t="str">
        <f>IF(AND($A151&gt;=SYear_O, $A151&lt;=EYear_O, AU$3&gt;0), AU$3 * VLOOKUP($A151, Data_All!$A$8:$CA$153, MATCH(AU$2, Data_All!$B$2:$CA$2, 0)+1), "")</f>
        <v/>
      </c>
      <c r="AV151" s="206" t="str">
        <f>IF(AND($A151&gt;=SYear_O, $A151&lt;=EYear_O, AV$3&gt;0), AV$3 * VLOOKUP($A151, Data_All!$A$8:$CA$153, MATCH(AV$2, Data_All!$B$2:$CA$2, 0)+1), "")</f>
        <v/>
      </c>
      <c r="AW151" s="206" t="str">
        <f>IF(AND($A151&gt;=SYear_O, $A151&lt;=EYear_O, AW$3&gt;0), AW$3 * VLOOKUP($A151, Data_All!$A$8:$CA$153, MATCH(AW$2, Data_All!$B$2:$CA$2, 0)+1), "")</f>
        <v/>
      </c>
      <c r="AX151" s="206" t="str">
        <f>IF(AND($A151&gt;=SYear_O, $A151&lt;=EYear_O, AX$3&gt;0), AX$3 * VLOOKUP($A151, Data_All!$A$8:$CA$153, MATCH(AX$2, Data_All!$B$2:$CA$2, 0)+1), "")</f>
        <v/>
      </c>
      <c r="AY151" s="206" t="str">
        <f>IF(AND($A151&gt;=SYear_O, $A151&lt;=EYear_O, AY$3&gt;0), AY$3 * VLOOKUP($A151, Data_All!$A$8:$CA$153, MATCH(AY$2, Data_All!$B$2:$CA$2, 0)+1), "")</f>
        <v/>
      </c>
      <c r="AZ151" s="206" t="str">
        <f>IF(AND($A151&gt;=SYear_O, $A151&lt;=EYear_O, AZ$3&gt;0), AZ$3 * VLOOKUP($A151, Data_All!$A$8:$CA$153, MATCH(AZ$2, Data_All!$B$2:$CA$2, 0)+1), "")</f>
        <v/>
      </c>
      <c r="BA151" s="206" t="str">
        <f>IF(AND($A151&gt;=SYear_O, $A151&lt;=EYear_O, BA$3&gt;0), BA$3 * VLOOKUP($A151, Data_All!$A$8:$CA$153, MATCH(BA$2, Data_All!$B$2:$CA$2, 0)+1), "")</f>
        <v/>
      </c>
      <c r="BB151" s="206" t="str">
        <f>IF(AND($A151&gt;=SYear_O, $A151&lt;=EYear_O, BB$3&gt;0), BB$3 * VLOOKUP($A151, Data_All!$A$8:$CA$153, MATCH(BB$2, Data_All!$B$2:$CA$2, 0)+1), "")</f>
        <v/>
      </c>
      <c r="BC151" s="206" t="str">
        <f>IF(AND($A151&gt;=SYear_O, $A151&lt;=EYear_O, BC$3&gt;0), BC$3 * VLOOKUP($A151, Data_All!$A$8:$CA$153, MATCH(BC$2, Data_All!$B$2:$CA$2, 0)+1), "")</f>
        <v/>
      </c>
      <c r="BD151" s="206" t="str">
        <f>IF(AND($A151&gt;=SYear_O, $A151&lt;=EYear_O, BD$3&gt;0), BD$3 * VLOOKUP($A151, Data_All!$A$8:$CA$153, MATCH(BD$2, Data_All!$B$2:$CA$2, 0)+1), "")</f>
        <v/>
      </c>
      <c r="BE151" s="206" t="str">
        <f>IF(AND($A151&gt;=SYear_O, $A151&lt;=EYear_O, BE$3&gt;0), BE$3 * VLOOKUP($A151, Data_All!$A$8:$CA$153, MATCH(BE$2, Data_All!$B$2:$CA$2, 0)+1), "")</f>
        <v/>
      </c>
      <c r="BF151" s="206" t="str">
        <f>IF(AND($A151&gt;=SYear_O, $A151&lt;=EYear_O, BF$3&gt;0), BF$3 * VLOOKUP($A151, Data_All!$A$8:$CA$153, MATCH(BF$2, Data_All!$B$2:$CA$2, 0)+1), "")</f>
        <v/>
      </c>
      <c r="BG151" s="206" t="str">
        <f>IF(AND($A151&gt;=SYear_O, $A151&lt;=EYear_O, BG$3&gt;0), BG$3 * VLOOKUP($A151, Data_All!$A$8:$CA$153, MATCH(BG$2, Data_All!$B$2:$CA$2, 0)+1), "")</f>
        <v/>
      </c>
      <c r="BH151" s="206" t="str">
        <f>IF(AND($A151&gt;=SYear_O, $A151&lt;=EYear_O, BH$3&gt;0), BH$3 * VLOOKUP($A151, Data_All!$A$8:$CA$153, MATCH(BH$2, Data_All!$B$2:$CA$2, 0)+1), "")</f>
        <v/>
      </c>
      <c r="BI151" s="206" t="str">
        <f>IF(AND($A151&gt;=SYear_O, $A151&lt;=EYear_O, BI$3&gt;0), BI$3 * VLOOKUP($A151, Data_All!$A$8:$CA$153, MATCH(BI$2, Data_All!$B$2:$CA$2, 0)+1), "")</f>
        <v/>
      </c>
      <c r="BJ151" s="206" t="str">
        <f>IF(AND($A151&gt;=SYear_O, $A151&lt;=EYear_O, BJ$3&gt;0), BJ$3 * VLOOKUP($A151, Data_All!$A$8:$CA$153, MATCH(BJ$2, Data_All!$B$2:$CA$2, 0)+1), "")</f>
        <v/>
      </c>
      <c r="BK151" s="206" t="str">
        <f>IF(AND($A151&gt;=SYear_O, $A151&lt;=EYear_O, BK$3&gt;0), BK$3 * VLOOKUP($A151, Data_All!$A$8:$CA$153, MATCH(BK$2, Data_All!$B$2:$CA$2, 0)+1), "")</f>
        <v/>
      </c>
      <c r="BL151" s="206" t="str">
        <f>IF(AND($A151&gt;=SYear_O, $A151&lt;=EYear_O, BL$3&gt;0), BL$3 * VLOOKUP($A151, Data_All!$A$8:$CA$153, MATCH(BL$2, Data_All!$B$2:$CA$2, 0)+1), "")</f>
        <v/>
      </c>
      <c r="BM151" s="206" t="str">
        <f>IF(AND($A151&gt;=SYear_O, $A151&lt;=EYear_O, BM$3&gt;0), BM$3 * VLOOKUP($A151, Data_All!$A$8:$CA$153, MATCH(BM$2, Data_All!$B$2:$CA$2, 0)+1), "")</f>
        <v/>
      </c>
      <c r="BN151" s="206" t="str">
        <f>IF(AND($A151&gt;=SYear_O, $A151&lt;=EYear_O, BN$3&gt;0), BN$3 * VLOOKUP($A151, Data_All!$A$8:$CA$153, MATCH(BN$2, Data_All!$B$2:$CA$2, 0)+1), "")</f>
        <v/>
      </c>
      <c r="BO151" s="206" t="str">
        <f>IF(AND($A151&gt;=SYear_O, $A151&lt;=EYear_O, BO$3&gt;0), BO$3 * VLOOKUP($A151, Data_All!$A$8:$CA$153, MATCH(BO$2, Data_All!$B$2:$CA$2, 0)+1), "")</f>
        <v/>
      </c>
      <c r="BP151" s="206" t="str">
        <f>IF(AND($A151&gt;=SYear_O, $A151&lt;=EYear_O, BP$3&gt;0), BP$3 * VLOOKUP($A151, Data_All!$A$8:$CA$153, MATCH(BP$2, Data_All!$B$2:$CA$2, 0)+1), "")</f>
        <v/>
      </c>
      <c r="BQ151" s="206" t="str">
        <f>IF(AND($A151&gt;=SYear_O, $A151&lt;=EYear_O, BQ$3&gt;0), BQ$3 * VLOOKUP($A151, Data_All!$A$8:$CA$153, MATCH(BQ$2, Data_All!$B$2:$CA$2, 0)+1), "")</f>
        <v/>
      </c>
      <c r="BR151" s="206" t="str">
        <f>IF(AND($A151&gt;=SYear_O, $A151&lt;=EYear_O, BR$3&gt;0), BR$3 * VLOOKUP($A151, Data_All!$A$8:$CA$153, MATCH(BR$2, Data_All!$B$2:$CA$2, 0)+1), "")</f>
        <v/>
      </c>
      <c r="BS151" s="206" t="str">
        <f>IF(AND($A151&gt;=SYear_O, $A151&lt;=EYear_O, BS$3&gt;0), BS$3 * VLOOKUP($A151, Data_All!$A$8:$CA$153, MATCH(BS$2, Data_All!$B$2:$CA$2, 0)+1), "")</f>
        <v/>
      </c>
      <c r="BT151" s="206" t="str">
        <f>IF(AND($A151&gt;=SYear_O, $A151&lt;=EYear_O, BT$3&gt;0), BT$3 * VLOOKUP($A151, Data_All!$A$8:$CA$153, MATCH(BT$2, Data_All!$B$2:$CA$2, 0)+1), "")</f>
        <v/>
      </c>
      <c r="BU151" s="206" t="str">
        <f>IF(AND($A151&gt;=SYear_O, $A151&lt;=EYear_O, BU$3&gt;0), BU$3 * VLOOKUP($A151, Data_All!$A$8:$CA$153, MATCH(BU$2, Data_All!$B$2:$CA$2, 0)+1), "")</f>
        <v/>
      </c>
      <c r="BV151" s="206" t="str">
        <f>IF(AND($A151&gt;=SYear_O, $A151&lt;=EYear_O, BV$3&gt;0), BV$3 * VLOOKUP($A151, Data_All!$A$8:$CA$153, MATCH(BV$2, Data_All!$B$2:$CA$2, 0)+1), "")</f>
        <v/>
      </c>
      <c r="BW151" s="206" t="str">
        <f>IF(AND($A151&gt;=SYear_O, $A151&lt;=EYear_O, BW$3&gt;0), BW$3 * VLOOKUP($A151, Data_All!$A$8:$CA$153, MATCH(BW$2, Data_All!$B$2:$CA$2, 0)+1), "")</f>
        <v/>
      </c>
      <c r="BX151" s="206">
        <f>IF(AND($A151&gt;=SYear_O, $A151&lt;=EYear_O, BX$3&gt;0), BX$3 * VLOOKUP($A151, Data_All!$A$8:$CA$153, MATCH(BX$2, Data_All!$B$2:$CA$2, 0)+1), "")</f>
        <v>-1.9559999999999997</v>
      </c>
      <c r="BY151" s="206">
        <f>IF(AND($A151&gt;=SYear_O, $A151&lt;=EYear_O, BY$3&gt;0), BY$3 * VLOOKUP($A151, Data_All!$A$8:$CA$153, MATCH(BY$2, Data_All!$B$2:$CA$2, 0)+1), "")</f>
        <v>0.4495812085970563</v>
      </c>
      <c r="BZ151" s="206" t="str">
        <f>IF(AND($A151&gt;=SYear_O, $A151&lt;=EYear_O, BZ$3&gt;0), BZ$3 * VLOOKUP($A151, Data_All!$A$8:$CA$153, MATCH(BZ$2, Data_All!$B$2:$CA$2, 0)+1), "")</f>
        <v/>
      </c>
      <c r="CA151" s="565">
        <f t="shared" si="74"/>
        <v>-1.5064187914029434</v>
      </c>
      <c r="CB151" s="427">
        <f t="shared" si="75"/>
        <v>382138062.2931599</v>
      </c>
      <c r="CC151" s="565">
        <f>IF(AND($A151&gt;=SYear_O,$A151&lt;=EYear_O),(CA151-Data_All!CA152)/(1+Data_All!CA152%),"")</f>
        <v>-2.2197450977567077</v>
      </c>
      <c r="CD151" s="436">
        <f t="shared" si="76"/>
        <v>20137372.873242784</v>
      </c>
      <c r="CE151" s="438">
        <f t="shared" si="77"/>
        <v>34659.631353760793</v>
      </c>
      <c r="CF151" s="438">
        <f>IF(AND($A151&gt;=SYear_O,$A151&lt;=EYear_O),MAX($CE$7:CE151),"")</f>
        <v>35189.736151796569</v>
      </c>
      <c r="CG151" s="209">
        <f t="shared" si="78"/>
        <v>1.5064187914029414E-2</v>
      </c>
      <c r="CI151" s="143">
        <f>IF(AND($A151&gt;=SYear_O,$A151&lt;=EYear_O),Data_All!V152,"")</f>
        <v>0.02</v>
      </c>
      <c r="CJ151" s="143">
        <f>IF(AND($A151&gt;=SYear_O,$A151&lt;=EYear_O),Data_All!CA152,"")</f>
        <v>0.72951978604158807</v>
      </c>
      <c r="CK151" s="143">
        <f t="shared" si="79"/>
        <v>-0.70438118592113896</v>
      </c>
      <c r="CN151" s="61">
        <f t="shared" si="58"/>
        <v>-1.5064187914029414E-2</v>
      </c>
      <c r="CO151" s="61"/>
      <c r="CP151" s="61"/>
      <c r="CQ151" s="61"/>
      <c r="CR151" s="61"/>
      <c r="CU151" s="61">
        <f t="shared" si="63"/>
        <v>-2.219745097756709E-2</v>
      </c>
      <c r="CV151" s="61"/>
      <c r="CW151" s="61"/>
      <c r="CX151" s="61"/>
      <c r="CY151" s="61"/>
    </row>
    <row r="152" spans="1:103">
      <c r="A152" s="204">
        <f t="shared" si="51"/>
        <v>2016</v>
      </c>
      <c r="B152" s="206" t="str">
        <f>IF(AND($A152&gt;=SYear_O, $A152&lt;=EYear_O, B$3&gt;0), B$3 * VLOOKUP($A152, Data_All!$A$8:$CA$153, MATCH(B$2, Data_All!$B$2:$CA$2, 0)+1), "")</f>
        <v/>
      </c>
      <c r="C152" s="206" t="str">
        <f>IF(AND($A152&gt;=SYear_O, $A152&lt;=EYear_O, C$3&gt;0), C$3 * VLOOKUP($A152, Data_All!$A$8:$CA$153, MATCH(C$2, Data_All!$B$2:$CA$2, 0)+1), "")</f>
        <v/>
      </c>
      <c r="D152" s="206" t="str">
        <f>IF(AND($A152&gt;=SYear_O, $A152&lt;=EYear_O, D$3&gt;0), D$3 * VLOOKUP($A152, Data_All!$A$8:$CA$153, MATCH(D$2, Data_All!$B$2:$CA$2, 0)+1), "")</f>
        <v/>
      </c>
      <c r="E152" s="206" t="str">
        <f>IF(AND($A152&gt;=SYear_O, $A152&lt;=EYear_O, E$3&gt;0), E$3 * VLOOKUP($A152, Data_All!$A$8:$CA$153, MATCH(E$2, Data_All!$B$2:$CA$2, 0)+1), "")</f>
        <v/>
      </c>
      <c r="F152" s="206" t="str">
        <f>IF(AND($A152&gt;=SYear_O, $A152&lt;=EYear_O, F$3&gt;0), F$3 * VLOOKUP($A152, Data_All!$A$8:$CA$153, MATCH(F$2, Data_All!$B$2:$CA$2, 0)+1), "")</f>
        <v/>
      </c>
      <c r="G152" s="206" t="str">
        <f>IF(AND($A152&gt;=SYear_O, $A152&lt;=EYear_O, G$3&gt;0), G$3 * VLOOKUP($A152, Data_All!$A$8:$CA$153, MATCH(G$2, Data_All!$B$2:$CA$2, 0)+1), "")</f>
        <v/>
      </c>
      <c r="H152" s="206" t="str">
        <f>IF(AND($A152&gt;=SYear_O, $A152&lt;=EYear_O, H$3&gt;0), H$3 * VLOOKUP($A152, Data_All!$A$8:$CA$153, MATCH(H$2, Data_All!$B$2:$CA$2, 0)+1), "")</f>
        <v/>
      </c>
      <c r="I152" s="206" t="str">
        <f>IF(AND($A152&gt;=SYear_O, $A152&lt;=EYear_O, I$3&gt;0), I$3 * VLOOKUP($A152, Data_All!$A$8:$CA$153, MATCH(I$2, Data_All!$B$2:$CA$2, 0)+1), "")</f>
        <v/>
      </c>
      <c r="J152" s="206" t="str">
        <f>IF(AND($A152&gt;=SYear_O, $A152&lt;=EYear_O, J$3&gt;0), J$3 * VLOOKUP($A152, Data_All!$A$8:$CA$153, MATCH(J$2, Data_All!$B$2:$CA$2, 0)+1), "")</f>
        <v/>
      </c>
      <c r="K152" s="206" t="str">
        <f>IF(AND($A152&gt;=SYear_O, $A152&lt;=EYear_O, K$3&gt;0), K$3 * VLOOKUP($A152, Data_All!$A$8:$CA$153, MATCH(K$2, Data_All!$B$2:$CA$2, 0)+1), "")</f>
        <v/>
      </c>
      <c r="L152" s="206" t="str">
        <f>IF(AND($A152&gt;=SYear_O, $A152&lt;=EYear_O, L$3&gt;0), L$3 * VLOOKUP($A152, Data_All!$A$8:$CA$153, MATCH(L$2, Data_All!$B$2:$CA$2, 0)+1), "")</f>
        <v/>
      </c>
      <c r="M152" s="206" t="str">
        <f>IF(AND($A152&gt;=SYear_O, $A152&lt;=EYear_O, M$3&gt;0), M$3 * VLOOKUP($A152, Data_All!$A$8:$CA$153, MATCH(M$2, Data_All!$B$2:$CA$2, 0)+1), "")</f>
        <v/>
      </c>
      <c r="N152" s="206" t="str">
        <f>IF(AND($A152&gt;=SYear_O, $A152&lt;=EYear_O, N$3&gt;0), N$3 * VLOOKUP($A152, Data_All!$A$8:$CA$153, MATCH(N$2, Data_All!$B$2:$CA$2, 0)+1), "")</f>
        <v/>
      </c>
      <c r="O152" s="206" t="str">
        <f>IF(AND($A152&gt;=SYear_O, $A152&lt;=EYear_O, O$3&gt;0), O$3 * VLOOKUP($A152, Data_All!$A$8:$CA$153, MATCH(O$2, Data_All!$B$2:$CA$2, 0)+1), "")</f>
        <v/>
      </c>
      <c r="P152" s="206" t="str">
        <f>IF(AND($A152&gt;=SYear_O, $A152&lt;=EYear_O, P$3&gt;0), P$3 * VLOOKUP($A152, Data_All!$A$8:$CA$153, MATCH(P$2, Data_All!$B$2:$CA$2, 0)+1), "")</f>
        <v/>
      </c>
      <c r="Q152" s="206" t="str">
        <f>IF(AND($A152&gt;=SYear_O, $A152&lt;=EYear_O, Q$3&gt;0), Q$3 * VLOOKUP($A152, Data_All!$A$8:$CA$153, MATCH(Q$2, Data_All!$B$2:$CA$2, 0)+1), "")</f>
        <v/>
      </c>
      <c r="R152" s="206" t="str">
        <f>IF(AND($A152&gt;=SYear_O, $A152&lt;=EYear_O, R$3&gt;0), R$3 * VLOOKUP($A152, Data_All!$A$8:$CA$153, MATCH(R$2, Data_All!$B$2:$CA$2, 0)+1), "")</f>
        <v/>
      </c>
      <c r="S152" s="206" t="str">
        <f>IF(AND($A152&gt;=SYear_O, $A152&lt;=EYear_O, S$3&gt;0), S$3 * VLOOKUP($A152, Data_All!$A$8:$CA$153, MATCH(S$2, Data_All!$B$2:$CA$2, 0)+1), "")</f>
        <v/>
      </c>
      <c r="T152" s="206" t="str">
        <f>IF(AND($A152&gt;=SYear_O, $A152&lt;=EYear_O, T$3&gt;0), T$3 * VLOOKUP($A152, Data_All!$A$8:$CA$153, MATCH(T$2, Data_All!$B$2:$CA$2, 0)+1), "")</f>
        <v/>
      </c>
      <c r="U152" s="206" t="str">
        <f>IF(AND($A152&gt;=SYear_O, $A152&lt;=EYear_O, U$3&gt;0), U$3 * VLOOKUP($A152, Data_All!$A$8:$CA$153, MATCH(U$2, Data_All!$B$2:$CA$2, 0)+1), "")</f>
        <v/>
      </c>
      <c r="V152" s="206" t="str">
        <f>IF(AND($A152&gt;=SYear_O, $A152&lt;=EYear_O, V$3&gt;0), V$3 * VLOOKUP($A152, Data_All!$A$8:$CA$153, MATCH(V$2, Data_All!$B$2:$CA$2, 0)+1), "")</f>
        <v/>
      </c>
      <c r="W152" s="206" t="str">
        <f>IF(AND($A152&gt;=SYear_O, $A152&lt;=EYear_O, W$3&gt;0), W$3 * VLOOKUP($A152, Data_All!$A$8:$CA$153, MATCH(W$2, Data_All!$B$2:$CA$2, 0)+1), "")</f>
        <v/>
      </c>
      <c r="X152" s="206" t="str">
        <f>IF(AND($A152&gt;=SYear_O, $A152&lt;=EYear_O, X$3&gt;0), X$3 * VLOOKUP($A152, Data_All!$A$8:$CA$153, MATCH(X$2, Data_All!$B$2:$CA$2, 0)+1), "")</f>
        <v/>
      </c>
      <c r="Y152" s="206" t="str">
        <f>IF(AND($A152&gt;=SYear_O, $A152&lt;=EYear_O, Y$3&gt;0), Y$3 * VLOOKUP($A152, Data_All!$A$8:$CA$153, MATCH(Y$2, Data_All!$B$2:$CA$2, 0)+1), "")</f>
        <v/>
      </c>
      <c r="Z152" s="206" t="str">
        <f>IF(AND($A152&gt;=SYear_O, $A152&lt;=EYear_O, Z$3&gt;0), Z$3 * VLOOKUP($A152, Data_All!$A$8:$CA$153, MATCH(Z$2, Data_All!$B$2:$CA$2, 0)+1), "")</f>
        <v/>
      </c>
      <c r="AA152" s="206" t="str">
        <f>IF(AND($A152&gt;=SYear_O, $A152&lt;=EYear_O, AA$3&gt;0), AA$3 * VLOOKUP($A152, Data_All!$A$8:$CA$153, MATCH(AA$2, Data_All!$B$2:$CA$2, 0)+1), "")</f>
        <v/>
      </c>
      <c r="AB152" s="206" t="str">
        <f>IF(AND($A152&gt;=SYear_O, $A152&lt;=EYear_O, AB$3&gt;0), AB$3 * VLOOKUP($A152, Data_All!$A$8:$CA$153, MATCH(AB$2, Data_All!$B$2:$CA$2, 0)+1), "")</f>
        <v/>
      </c>
      <c r="AC152" s="206" t="str">
        <f>IF(AND($A152&gt;=SYear_O, $A152&lt;=EYear_O, AC$3&gt;0), AC$3 * VLOOKUP($A152, Data_All!$A$8:$CA$153, MATCH(AC$2, Data_All!$B$2:$CA$2, 0)+1), "")</f>
        <v/>
      </c>
      <c r="AD152" s="206" t="str">
        <f>IF(AND($A152&gt;=SYear_O, $A152&lt;=EYear_O, AD$3&gt;0), AD$3 * VLOOKUP($A152, Data_All!$A$8:$CA$153, MATCH(AD$2, Data_All!$B$2:$CA$2, 0)+1), "")</f>
        <v/>
      </c>
      <c r="AE152" s="206" t="str">
        <f>IF(AND($A152&gt;=SYear_O, $A152&lt;=EYear_O, AE$3&gt;0), AE$3 * VLOOKUP($A152, Data_All!$A$8:$CA$153, MATCH(AE$2, Data_All!$B$2:$CA$2, 0)+1), "")</f>
        <v/>
      </c>
      <c r="AF152" s="206" t="str">
        <f>IF(AND($A152&gt;=SYear_O, $A152&lt;=EYear_O, AF$3&gt;0), AF$3 * VLOOKUP($A152, Data_All!$A$8:$CA$153, MATCH(AF$2, Data_All!$B$2:$CA$2, 0)+1), "")</f>
        <v/>
      </c>
      <c r="AG152" s="206" t="str">
        <f>IF(AND($A152&gt;=SYear_O, $A152&lt;=EYear_O, AG$3&gt;0), AG$3 * VLOOKUP($A152, Data_All!$A$8:$CA$153, MATCH(AG$2, Data_All!$B$2:$CA$2, 0)+1), "")</f>
        <v/>
      </c>
      <c r="AH152" s="206" t="str">
        <f>IF(AND($A152&gt;=SYear_O, $A152&lt;=EYear_O, AH$3&gt;0), AH$3 * VLOOKUP($A152, Data_All!$A$8:$CA$153, MATCH(AH$2, Data_All!$B$2:$CA$2, 0)+1), "")</f>
        <v/>
      </c>
      <c r="AI152" s="206" t="str">
        <f>IF(AND($A152&gt;=SYear_O, $A152&lt;=EYear_O, AI$3&gt;0), AI$3 * VLOOKUP($A152, Data_All!$A$8:$CA$153, MATCH(AI$2, Data_All!$B$2:$CA$2, 0)+1), "")</f>
        <v/>
      </c>
      <c r="AJ152" s="206" t="str">
        <f>IF(AND($A152&gt;=SYear_O, $A152&lt;=EYear_O, AJ$3&gt;0), AJ$3 * VLOOKUP($A152, Data_All!$A$8:$CA$153, MATCH(AJ$2, Data_All!$B$2:$CA$2, 0)+1), "")</f>
        <v/>
      </c>
      <c r="AK152" s="206" t="str">
        <f>IF(AND($A152&gt;=SYear_O, $A152&lt;=EYear_O, AK$3&gt;0), AK$3 * VLOOKUP($A152, Data_All!$A$8:$CA$153, MATCH(AK$2, Data_All!$B$2:$CA$2, 0)+1), "")</f>
        <v/>
      </c>
      <c r="AL152" s="206" t="str">
        <f>IF(AND($A152&gt;=SYear_O, $A152&lt;=EYear_O, AL$3&gt;0), AL$3 * VLOOKUP($A152, Data_All!$A$8:$CA$153, MATCH(AL$2, Data_All!$B$2:$CA$2, 0)+1), "")</f>
        <v/>
      </c>
      <c r="AM152" s="206" t="str">
        <f>IF(AND($A152&gt;=SYear_O, $A152&lt;=EYear_O, AM$3&gt;0), AM$3 * VLOOKUP($A152, Data_All!$A$8:$CA$153, MATCH(AM$2, Data_All!$B$2:$CA$2, 0)+1), "")</f>
        <v/>
      </c>
      <c r="AN152" s="206" t="str">
        <f>IF(AND($A152&gt;=SYear_O, $A152&lt;=EYear_O, AN$3&gt;0), AN$3 * VLOOKUP($A152, Data_All!$A$8:$CA$153, MATCH(AN$2, Data_All!$B$2:$CA$2, 0)+1), "")</f>
        <v/>
      </c>
      <c r="AO152" s="206" t="str">
        <f>IF(AND($A152&gt;=SYear_O, $A152&lt;=EYear_O, AO$3&gt;0), AO$3 * VLOOKUP($A152, Data_All!$A$8:$CA$153, MATCH(AO$2, Data_All!$B$2:$CA$2, 0)+1), "")</f>
        <v/>
      </c>
      <c r="AP152" s="206" t="str">
        <f>IF(AND($A152&gt;=SYear_O, $A152&lt;=EYear_O, AP$3&gt;0), AP$3 * VLOOKUP($A152, Data_All!$A$8:$CA$153, MATCH(AP$2, Data_All!$B$2:$CA$2, 0)+1), "")</f>
        <v/>
      </c>
      <c r="AQ152" s="206" t="str">
        <f>IF(AND($A152&gt;=SYear_O, $A152&lt;=EYear_O, AQ$3&gt;0), AQ$3 * VLOOKUP($A152, Data_All!$A$8:$CA$153, MATCH(AQ$2, Data_All!$B$2:$CA$2, 0)+1), "")</f>
        <v/>
      </c>
      <c r="AR152" s="206" t="str">
        <f>IF(AND($A152&gt;=SYear_O, $A152&lt;=EYear_O, AR$3&gt;0), AR$3 * VLOOKUP($A152, Data_All!$A$8:$CA$153, MATCH(AR$2, Data_All!$B$2:$CA$2, 0)+1), "")</f>
        <v/>
      </c>
      <c r="AS152" s="206" t="str">
        <f>IF(AND($A152&gt;=SYear_O, $A152&lt;=EYear_O, AS$3&gt;0), AS$3 * VLOOKUP($A152, Data_All!$A$8:$CA$153, MATCH(AS$2, Data_All!$B$2:$CA$2, 0)+1), "")</f>
        <v/>
      </c>
      <c r="AT152" s="206" t="str">
        <f>IF(AND($A152&gt;=SYear_O, $A152&lt;=EYear_O, AT$3&gt;0), AT$3 * VLOOKUP($A152, Data_All!$A$8:$CA$153, MATCH(AT$2, Data_All!$B$2:$CA$2, 0)+1), "")</f>
        <v/>
      </c>
      <c r="AU152" s="206" t="str">
        <f>IF(AND($A152&gt;=SYear_O, $A152&lt;=EYear_O, AU$3&gt;0), AU$3 * VLOOKUP($A152, Data_All!$A$8:$CA$153, MATCH(AU$2, Data_All!$B$2:$CA$2, 0)+1), "")</f>
        <v/>
      </c>
      <c r="AV152" s="206" t="str">
        <f>IF(AND($A152&gt;=SYear_O, $A152&lt;=EYear_O, AV$3&gt;0), AV$3 * VLOOKUP($A152, Data_All!$A$8:$CA$153, MATCH(AV$2, Data_All!$B$2:$CA$2, 0)+1), "")</f>
        <v/>
      </c>
      <c r="AW152" s="206" t="str">
        <f>IF(AND($A152&gt;=SYear_O, $A152&lt;=EYear_O, AW$3&gt;0), AW$3 * VLOOKUP($A152, Data_All!$A$8:$CA$153, MATCH(AW$2, Data_All!$B$2:$CA$2, 0)+1), "")</f>
        <v/>
      </c>
      <c r="AX152" s="206" t="str">
        <f>IF(AND($A152&gt;=SYear_O, $A152&lt;=EYear_O, AX$3&gt;0), AX$3 * VLOOKUP($A152, Data_All!$A$8:$CA$153, MATCH(AX$2, Data_All!$B$2:$CA$2, 0)+1), "")</f>
        <v/>
      </c>
      <c r="AY152" s="206" t="str">
        <f>IF(AND($A152&gt;=SYear_O, $A152&lt;=EYear_O, AY$3&gt;0), AY$3 * VLOOKUP($A152, Data_All!$A$8:$CA$153, MATCH(AY$2, Data_All!$B$2:$CA$2, 0)+1), "")</f>
        <v/>
      </c>
      <c r="AZ152" s="206" t="str">
        <f>IF(AND($A152&gt;=SYear_O, $A152&lt;=EYear_O, AZ$3&gt;0), AZ$3 * VLOOKUP($A152, Data_All!$A$8:$CA$153, MATCH(AZ$2, Data_All!$B$2:$CA$2, 0)+1), "")</f>
        <v/>
      </c>
      <c r="BA152" s="206" t="str">
        <f>IF(AND($A152&gt;=SYear_O, $A152&lt;=EYear_O, BA$3&gt;0), BA$3 * VLOOKUP($A152, Data_All!$A$8:$CA$153, MATCH(BA$2, Data_All!$B$2:$CA$2, 0)+1), "")</f>
        <v/>
      </c>
      <c r="BB152" s="206" t="str">
        <f>IF(AND($A152&gt;=SYear_O, $A152&lt;=EYear_O, BB$3&gt;0), BB$3 * VLOOKUP($A152, Data_All!$A$8:$CA$153, MATCH(BB$2, Data_All!$B$2:$CA$2, 0)+1), "")</f>
        <v/>
      </c>
      <c r="BC152" s="206" t="str">
        <f>IF(AND($A152&gt;=SYear_O, $A152&lt;=EYear_O, BC$3&gt;0), BC$3 * VLOOKUP($A152, Data_All!$A$8:$CA$153, MATCH(BC$2, Data_All!$B$2:$CA$2, 0)+1), "")</f>
        <v/>
      </c>
      <c r="BD152" s="206" t="str">
        <f>IF(AND($A152&gt;=SYear_O, $A152&lt;=EYear_O, BD$3&gt;0), BD$3 * VLOOKUP($A152, Data_All!$A$8:$CA$153, MATCH(BD$2, Data_All!$B$2:$CA$2, 0)+1), "")</f>
        <v/>
      </c>
      <c r="BE152" s="206" t="str">
        <f>IF(AND($A152&gt;=SYear_O, $A152&lt;=EYear_O, BE$3&gt;0), BE$3 * VLOOKUP($A152, Data_All!$A$8:$CA$153, MATCH(BE$2, Data_All!$B$2:$CA$2, 0)+1), "")</f>
        <v/>
      </c>
      <c r="BF152" s="206" t="str">
        <f>IF(AND($A152&gt;=SYear_O, $A152&lt;=EYear_O, BF$3&gt;0), BF$3 * VLOOKUP($A152, Data_All!$A$8:$CA$153, MATCH(BF$2, Data_All!$B$2:$CA$2, 0)+1), "")</f>
        <v/>
      </c>
      <c r="BG152" s="206" t="str">
        <f>IF(AND($A152&gt;=SYear_O, $A152&lt;=EYear_O, BG$3&gt;0), BG$3 * VLOOKUP($A152, Data_All!$A$8:$CA$153, MATCH(BG$2, Data_All!$B$2:$CA$2, 0)+1), "")</f>
        <v/>
      </c>
      <c r="BH152" s="206" t="str">
        <f>IF(AND($A152&gt;=SYear_O, $A152&lt;=EYear_O, BH$3&gt;0), BH$3 * VLOOKUP($A152, Data_All!$A$8:$CA$153, MATCH(BH$2, Data_All!$B$2:$CA$2, 0)+1), "")</f>
        <v/>
      </c>
      <c r="BI152" s="206" t="str">
        <f>IF(AND($A152&gt;=SYear_O, $A152&lt;=EYear_O, BI$3&gt;0), BI$3 * VLOOKUP($A152, Data_All!$A$8:$CA$153, MATCH(BI$2, Data_All!$B$2:$CA$2, 0)+1), "")</f>
        <v/>
      </c>
      <c r="BJ152" s="206" t="str">
        <f>IF(AND($A152&gt;=SYear_O, $A152&lt;=EYear_O, BJ$3&gt;0), BJ$3 * VLOOKUP($A152, Data_All!$A$8:$CA$153, MATCH(BJ$2, Data_All!$B$2:$CA$2, 0)+1), "")</f>
        <v/>
      </c>
      <c r="BK152" s="206" t="str">
        <f>IF(AND($A152&gt;=SYear_O, $A152&lt;=EYear_O, BK$3&gt;0), BK$3 * VLOOKUP($A152, Data_All!$A$8:$CA$153, MATCH(BK$2, Data_All!$B$2:$CA$2, 0)+1), "")</f>
        <v/>
      </c>
      <c r="BL152" s="206" t="str">
        <f>IF(AND($A152&gt;=SYear_O, $A152&lt;=EYear_O, BL$3&gt;0), BL$3 * VLOOKUP($A152, Data_All!$A$8:$CA$153, MATCH(BL$2, Data_All!$B$2:$CA$2, 0)+1), "")</f>
        <v/>
      </c>
      <c r="BM152" s="206" t="str">
        <f>IF(AND($A152&gt;=SYear_O, $A152&lt;=EYear_O, BM$3&gt;0), BM$3 * VLOOKUP($A152, Data_All!$A$8:$CA$153, MATCH(BM$2, Data_All!$B$2:$CA$2, 0)+1), "")</f>
        <v/>
      </c>
      <c r="BN152" s="206" t="str">
        <f>IF(AND($A152&gt;=SYear_O, $A152&lt;=EYear_O, BN$3&gt;0), BN$3 * VLOOKUP($A152, Data_All!$A$8:$CA$153, MATCH(BN$2, Data_All!$B$2:$CA$2, 0)+1), "")</f>
        <v/>
      </c>
      <c r="BO152" s="206" t="str">
        <f>IF(AND($A152&gt;=SYear_O, $A152&lt;=EYear_O, BO$3&gt;0), BO$3 * VLOOKUP($A152, Data_All!$A$8:$CA$153, MATCH(BO$2, Data_All!$B$2:$CA$2, 0)+1), "")</f>
        <v/>
      </c>
      <c r="BP152" s="206" t="str">
        <f>IF(AND($A152&gt;=SYear_O, $A152&lt;=EYear_O, BP$3&gt;0), BP$3 * VLOOKUP($A152, Data_All!$A$8:$CA$153, MATCH(BP$2, Data_All!$B$2:$CA$2, 0)+1), "")</f>
        <v/>
      </c>
      <c r="BQ152" s="206" t="str">
        <f>IF(AND($A152&gt;=SYear_O, $A152&lt;=EYear_O, BQ$3&gt;0), BQ$3 * VLOOKUP($A152, Data_All!$A$8:$CA$153, MATCH(BQ$2, Data_All!$B$2:$CA$2, 0)+1), "")</f>
        <v/>
      </c>
      <c r="BR152" s="206" t="str">
        <f>IF(AND($A152&gt;=SYear_O, $A152&lt;=EYear_O, BR$3&gt;0), BR$3 * VLOOKUP($A152, Data_All!$A$8:$CA$153, MATCH(BR$2, Data_All!$B$2:$CA$2, 0)+1), "")</f>
        <v/>
      </c>
      <c r="BS152" s="206" t="str">
        <f>IF(AND($A152&gt;=SYear_O, $A152&lt;=EYear_O, BS$3&gt;0), BS$3 * VLOOKUP($A152, Data_All!$A$8:$CA$153, MATCH(BS$2, Data_All!$B$2:$CA$2, 0)+1), "")</f>
        <v/>
      </c>
      <c r="BT152" s="206" t="str">
        <f>IF(AND($A152&gt;=SYear_O, $A152&lt;=EYear_O, BT$3&gt;0), BT$3 * VLOOKUP($A152, Data_All!$A$8:$CA$153, MATCH(BT$2, Data_All!$B$2:$CA$2, 0)+1), "")</f>
        <v/>
      </c>
      <c r="BU152" s="206" t="str">
        <f>IF(AND($A152&gt;=SYear_O, $A152&lt;=EYear_O, BU$3&gt;0), BU$3 * VLOOKUP($A152, Data_All!$A$8:$CA$153, MATCH(BU$2, Data_All!$B$2:$CA$2, 0)+1), "")</f>
        <v/>
      </c>
      <c r="BV152" s="206" t="str">
        <f>IF(AND($A152&gt;=SYear_O, $A152&lt;=EYear_O, BV$3&gt;0), BV$3 * VLOOKUP($A152, Data_All!$A$8:$CA$153, MATCH(BV$2, Data_All!$B$2:$CA$2, 0)+1), "")</f>
        <v/>
      </c>
      <c r="BW152" s="206" t="str">
        <f>IF(AND($A152&gt;=SYear_O, $A152&lt;=EYear_O, BW$3&gt;0), BW$3 * VLOOKUP($A152, Data_All!$A$8:$CA$153, MATCH(BW$2, Data_All!$B$2:$CA$2, 0)+1), "")</f>
        <v/>
      </c>
      <c r="BX152" s="206" t="str">
        <f>IF(AND($A152&gt;=SYear_O, $A152&lt;=EYear_O, BX$3&gt;0), BX$3 * VLOOKUP($A152, Data_All!$A$8:$CA$153, MATCH(BX$2, Data_All!$B$2:$CA$2, 0)+1), "")</f>
        <v/>
      </c>
      <c r="BY152" s="206" t="str">
        <f>IF(AND($A152&gt;=SYear_O, $A152&lt;=EYear_O, BY$3&gt;0), BY$3 * VLOOKUP($A152, Data_All!$A$8:$CA$153, MATCH(BY$2, Data_All!$B$2:$CA$2, 0)+1), "")</f>
        <v/>
      </c>
      <c r="BZ152" s="206" t="str">
        <f>IF(AND($A152&gt;=SYear_O, $A152&lt;=EYear_O, BZ$3&gt;0), BZ$3 * VLOOKUP($A152, Data_All!$A$8:$CA$153, MATCH(BZ$2, Data_All!$B$2:$CA$2, 0)+1), "")</f>
        <v/>
      </c>
      <c r="CA152" s="565" t="str">
        <f t="shared" si="74"/>
        <v/>
      </c>
      <c r="CB152" s="427" t="str">
        <f t="shared" si="75"/>
        <v/>
      </c>
      <c r="CC152" s="565" t="str">
        <f>IF(AND($A152&gt;=SYear_O,$A152&lt;=EYear_O),(CA152-Data_All!CA153)/(1+Data_All!CA153%),"")</f>
        <v/>
      </c>
      <c r="CD152" s="436" t="str">
        <f t="shared" si="76"/>
        <v/>
      </c>
      <c r="CE152" s="438" t="str">
        <f t="shared" si="77"/>
        <v/>
      </c>
      <c r="CF152" s="438" t="str">
        <f>IF(AND($A152&gt;=SYear_O,$A152&lt;=EYear_O),MAX($CE$7:CE152),"")</f>
        <v/>
      </c>
      <c r="CG152" s="209" t="str">
        <f t="shared" si="78"/>
        <v/>
      </c>
      <c r="CI152" s="143" t="str">
        <f>IF(AND($A152&gt;=SYear_O,$A152&lt;=EYear_O),Data_All!V153,"")</f>
        <v/>
      </c>
      <c r="CJ152" s="143" t="str">
        <f>IF(AND($A152&gt;=SYear_O,$A152&lt;=EYear_O),Data_All!CA153,"")</f>
        <v/>
      </c>
      <c r="CK152" s="143" t="str">
        <f t="shared" si="79"/>
        <v/>
      </c>
      <c r="CN152" s="61"/>
      <c r="CO152" s="61"/>
      <c r="CP152" s="61"/>
      <c r="CQ152" s="61"/>
      <c r="CR152" s="61"/>
      <c r="CU152" s="61"/>
      <c r="CV152" s="61"/>
      <c r="CW152" s="61"/>
      <c r="CX152" s="61"/>
      <c r="CY152" s="61"/>
    </row>
    <row r="153" spans="1:103" ht="13" thickBot="1">
      <c r="A153" s="210" t="s">
        <v>309</v>
      </c>
      <c r="B153" s="206" t="str">
        <f>IF(AND($A153&gt;=SYear_O, $A153&lt;=EYear_O, B$3&gt;0), B$3 * VLOOKUP($A153, Data_All!$A$8:$CA$153, MATCH(B$2, Data_All!$B$2:$CA$2, 0)+1), "")</f>
        <v/>
      </c>
      <c r="C153" s="206" t="str">
        <f>IF(AND($A153&gt;=SYear_O, $A153&lt;=EYear_O, C$3&gt;0), C$3 * VLOOKUP($A153, Data_All!$A$8:$CA$153, MATCH(C$2, Data_All!$B$2:$CA$2, 0)+1), "")</f>
        <v/>
      </c>
      <c r="D153" s="206" t="str">
        <f>IF(AND($A153&gt;=SYear_O, $A153&lt;=EYear_O, D$3&gt;0), D$3 * VLOOKUP($A153, Data_All!$A$8:$CA$153, MATCH(D$2, Data_All!$B$2:$CA$2, 0)+1), "")</f>
        <v/>
      </c>
      <c r="E153" s="206" t="str">
        <f>IF(AND($A153&gt;=SYear_O, $A153&lt;=EYear_O, E$3&gt;0), E$3 * VLOOKUP($A153, Data_All!$A$8:$CA$153, MATCH(E$2, Data_All!$B$2:$CA$2, 0)+1), "")</f>
        <v/>
      </c>
      <c r="F153" s="206" t="str">
        <f>IF(AND($A153&gt;=SYear_O, $A153&lt;=EYear_O, F$3&gt;0), F$3 * VLOOKUP($A153, Data_All!$A$8:$CA$153, MATCH(F$2, Data_All!$B$2:$CA$2, 0)+1), "")</f>
        <v/>
      </c>
      <c r="G153" s="206" t="str">
        <f>IF(AND($A153&gt;=SYear_O, $A153&lt;=EYear_O, G$3&gt;0), G$3 * VLOOKUP($A153, Data_All!$A$8:$CA$153, MATCH(G$2, Data_All!$B$2:$CA$2, 0)+1), "")</f>
        <v/>
      </c>
      <c r="H153" s="206" t="str">
        <f>IF(AND($A153&gt;=SYear_O, $A153&lt;=EYear_O, H$3&gt;0), H$3 * VLOOKUP($A153, Data_All!$A$8:$CA$153, MATCH(H$2, Data_All!$B$2:$CA$2, 0)+1), "")</f>
        <v/>
      </c>
      <c r="I153" s="206" t="str">
        <f>IF(AND($A153&gt;=SYear_O, $A153&lt;=EYear_O, I$3&gt;0), I$3 * VLOOKUP($A153, Data_All!$A$8:$CA$153, MATCH(I$2, Data_All!$B$2:$CA$2, 0)+1), "")</f>
        <v/>
      </c>
      <c r="J153" s="206" t="str">
        <f>IF(AND($A153&gt;=SYear_O, $A153&lt;=EYear_O, J$3&gt;0), J$3 * VLOOKUP($A153, Data_All!$A$8:$CA$153, MATCH(J$2, Data_All!$B$2:$CA$2, 0)+1), "")</f>
        <v/>
      </c>
      <c r="K153" s="206" t="str">
        <f>IF(AND($A153&gt;=SYear_O, $A153&lt;=EYear_O, K$3&gt;0), K$3 * VLOOKUP($A153, Data_All!$A$8:$CA$153, MATCH(K$2, Data_All!$B$2:$CA$2, 0)+1), "")</f>
        <v/>
      </c>
      <c r="L153" s="206" t="str">
        <f>IF(AND($A153&gt;=SYear_O, $A153&lt;=EYear_O, L$3&gt;0), L$3 * VLOOKUP($A153, Data_All!$A$8:$CA$153, MATCH(L$2, Data_All!$B$2:$CA$2, 0)+1), "")</f>
        <v/>
      </c>
      <c r="M153" s="206" t="str">
        <f>IF(AND($A153&gt;=SYear_O, $A153&lt;=EYear_O, M$3&gt;0), M$3 * VLOOKUP($A153, Data_All!$A$8:$CA$153, MATCH(M$2, Data_All!$B$2:$CA$2, 0)+1), "")</f>
        <v/>
      </c>
      <c r="N153" s="206" t="str">
        <f>IF(AND($A153&gt;=SYear_O, $A153&lt;=EYear_O, N$3&gt;0), N$3 * VLOOKUP($A153, Data_All!$A$8:$CA$153, MATCH(N$2, Data_All!$B$2:$CA$2, 0)+1), "")</f>
        <v/>
      </c>
      <c r="O153" s="206" t="str">
        <f>IF(AND($A153&gt;=SYear_O, $A153&lt;=EYear_O, O$3&gt;0), O$3 * VLOOKUP($A153, Data_All!$A$8:$CA$153, MATCH(O$2, Data_All!$B$2:$CA$2, 0)+1), "")</f>
        <v/>
      </c>
      <c r="P153" s="206" t="str">
        <f>IF(AND($A153&gt;=SYear_O, $A153&lt;=EYear_O, P$3&gt;0), P$3 * VLOOKUP($A153, Data_All!$A$8:$CA$153, MATCH(P$2, Data_All!$B$2:$CA$2, 0)+1), "")</f>
        <v/>
      </c>
      <c r="Q153" s="206" t="str">
        <f>IF(AND($A153&gt;=SYear_O, $A153&lt;=EYear_O, Q$3&gt;0), Q$3 * VLOOKUP($A153, Data_All!$A$8:$CA$153, MATCH(Q$2, Data_All!$B$2:$CA$2, 0)+1), "")</f>
        <v/>
      </c>
      <c r="R153" s="206" t="str">
        <f>IF(AND($A153&gt;=SYear_O, $A153&lt;=EYear_O, R$3&gt;0), R$3 * VLOOKUP($A153, Data_All!$A$8:$CA$153, MATCH(R$2, Data_All!$B$2:$CA$2, 0)+1), "")</f>
        <v/>
      </c>
      <c r="S153" s="206" t="str">
        <f>IF(AND($A153&gt;=SYear_O, $A153&lt;=EYear_O, S$3&gt;0), S$3 * VLOOKUP($A153, Data_All!$A$8:$CA$153, MATCH(S$2, Data_All!$B$2:$CA$2, 0)+1), "")</f>
        <v/>
      </c>
      <c r="T153" s="206" t="str">
        <f>IF(AND($A153&gt;=SYear_O, $A153&lt;=EYear_O, T$3&gt;0), T$3 * VLOOKUP($A153, Data_All!$A$8:$CA$153, MATCH(T$2, Data_All!$B$2:$CA$2, 0)+1), "")</f>
        <v/>
      </c>
      <c r="U153" s="206" t="str">
        <f>IF(AND($A153&gt;=SYear_O, $A153&lt;=EYear_O, U$3&gt;0), U$3 * VLOOKUP($A153, Data_All!$A$8:$CA$153, MATCH(U$2, Data_All!$B$2:$CA$2, 0)+1), "")</f>
        <v/>
      </c>
      <c r="V153" s="206" t="str">
        <f>IF(AND($A153&gt;=SYear_O, $A153&lt;=EYear_O, V$3&gt;0), V$3 * VLOOKUP($A153, Data_All!$A$8:$CA$153, MATCH(V$2, Data_All!$B$2:$CA$2, 0)+1), "")</f>
        <v/>
      </c>
      <c r="W153" s="206" t="str">
        <f>IF(AND($A153&gt;=SYear_O, $A153&lt;=EYear_O, W$3&gt;0), W$3 * VLOOKUP($A153, Data_All!$A$8:$CA$153, MATCH(W$2, Data_All!$B$2:$CA$2, 0)+1), "")</f>
        <v/>
      </c>
      <c r="X153" s="206" t="str">
        <f>IF(AND($A153&gt;=SYear_O, $A153&lt;=EYear_O, X$3&gt;0), X$3 * VLOOKUP($A153, Data_All!$A$8:$CA$153, MATCH(X$2, Data_All!$B$2:$CA$2, 0)+1), "")</f>
        <v/>
      </c>
      <c r="Y153" s="206" t="str">
        <f>IF(AND($A153&gt;=SYear_O, $A153&lt;=EYear_O, Y$3&gt;0), Y$3 * VLOOKUP($A153, Data_All!$A$8:$CA$153, MATCH(Y$2, Data_All!$B$2:$CA$2, 0)+1), "")</f>
        <v/>
      </c>
      <c r="Z153" s="206" t="str">
        <f>IF(AND($A153&gt;=SYear_O, $A153&lt;=EYear_O, Z$3&gt;0), Z$3 * VLOOKUP($A153, Data_All!$A$8:$CA$153, MATCH(Z$2, Data_All!$B$2:$CA$2, 0)+1), "")</f>
        <v/>
      </c>
      <c r="AA153" s="206" t="str">
        <f>IF(AND($A153&gt;=SYear_O, $A153&lt;=EYear_O, AA$3&gt;0), AA$3 * VLOOKUP($A153, Data_All!$A$8:$CA$153, MATCH(AA$2, Data_All!$B$2:$CA$2, 0)+1), "")</f>
        <v/>
      </c>
      <c r="AB153" s="206" t="str">
        <f>IF(AND($A153&gt;=SYear_O, $A153&lt;=EYear_O, AB$3&gt;0), AB$3 * VLOOKUP($A153, Data_All!$A$8:$CA$153, MATCH(AB$2, Data_All!$B$2:$CA$2, 0)+1), "")</f>
        <v/>
      </c>
      <c r="AC153" s="206" t="str">
        <f>IF(AND($A153&gt;=SYear_O, $A153&lt;=EYear_O, AC$3&gt;0), AC$3 * VLOOKUP($A153, Data_All!$A$8:$CA$153, MATCH(AC$2, Data_All!$B$2:$CA$2, 0)+1), "")</f>
        <v/>
      </c>
      <c r="AD153" s="206" t="str">
        <f>IF(AND($A153&gt;=SYear_O, $A153&lt;=EYear_O, AD$3&gt;0), AD$3 * VLOOKUP($A153, Data_All!$A$8:$CA$153, MATCH(AD$2, Data_All!$B$2:$CA$2, 0)+1), "")</f>
        <v/>
      </c>
      <c r="AE153" s="206" t="str">
        <f>IF(AND($A153&gt;=SYear_O, $A153&lt;=EYear_O, AE$3&gt;0), AE$3 * VLOOKUP($A153, Data_All!$A$8:$CA$153, MATCH(AE$2, Data_All!$B$2:$CA$2, 0)+1), "")</f>
        <v/>
      </c>
      <c r="AF153" s="206" t="str">
        <f>IF(AND($A153&gt;=SYear_O, $A153&lt;=EYear_O, AF$3&gt;0), AF$3 * VLOOKUP($A153, Data_All!$A$8:$CA$153, MATCH(AF$2, Data_All!$B$2:$CA$2, 0)+1), "")</f>
        <v/>
      </c>
      <c r="AG153" s="206" t="str">
        <f>IF(AND($A153&gt;=SYear_O, $A153&lt;=EYear_O, AG$3&gt;0), AG$3 * VLOOKUP($A153, Data_All!$A$8:$CA$153, MATCH(AG$2, Data_All!$B$2:$CA$2, 0)+1), "")</f>
        <v/>
      </c>
      <c r="AH153" s="206" t="str">
        <f>IF(AND($A153&gt;=SYear_O, $A153&lt;=EYear_O, AH$3&gt;0), AH$3 * VLOOKUP($A153, Data_All!$A$8:$CA$153, MATCH(AH$2, Data_All!$B$2:$CA$2, 0)+1), "")</f>
        <v/>
      </c>
      <c r="AI153" s="206" t="str">
        <f>IF(AND($A153&gt;=SYear_O, $A153&lt;=EYear_O, AI$3&gt;0), AI$3 * VLOOKUP($A153, Data_All!$A$8:$CA$153, MATCH(AI$2, Data_All!$B$2:$CA$2, 0)+1), "")</f>
        <v/>
      </c>
      <c r="AJ153" s="206" t="str">
        <f>IF(AND($A153&gt;=SYear_O, $A153&lt;=EYear_O, AJ$3&gt;0), AJ$3 * VLOOKUP($A153, Data_All!$A$8:$CA$153, MATCH(AJ$2, Data_All!$B$2:$CA$2, 0)+1), "")</f>
        <v/>
      </c>
      <c r="AK153" s="206" t="str">
        <f>IF(AND($A153&gt;=SYear_O, $A153&lt;=EYear_O, AK$3&gt;0), AK$3 * VLOOKUP($A153, Data_All!$A$8:$CA$153, MATCH(AK$2, Data_All!$B$2:$CA$2, 0)+1), "")</f>
        <v/>
      </c>
      <c r="AL153" s="206" t="str">
        <f>IF(AND($A153&gt;=SYear_O, $A153&lt;=EYear_O, AL$3&gt;0), AL$3 * VLOOKUP($A153, Data_All!$A$8:$CA$153, MATCH(AL$2, Data_All!$B$2:$CA$2, 0)+1), "")</f>
        <v/>
      </c>
      <c r="AM153" s="206" t="str">
        <f>IF(AND($A153&gt;=SYear_O, $A153&lt;=EYear_O, AM$3&gt;0), AM$3 * VLOOKUP($A153, Data_All!$A$8:$CA$153, MATCH(AM$2, Data_All!$B$2:$CA$2, 0)+1), "")</f>
        <v/>
      </c>
      <c r="AN153" s="206" t="str">
        <f>IF(AND($A153&gt;=SYear_O, $A153&lt;=EYear_O, AN$3&gt;0), AN$3 * VLOOKUP($A153, Data_All!$A$8:$CA$153, MATCH(AN$2, Data_All!$B$2:$CA$2, 0)+1), "")</f>
        <v/>
      </c>
      <c r="AO153" s="206" t="str">
        <f>IF(AND($A153&gt;=SYear_O, $A153&lt;=EYear_O, AO$3&gt;0), AO$3 * VLOOKUP($A153, Data_All!$A$8:$CA$153, MATCH(AO$2, Data_All!$B$2:$CA$2, 0)+1), "")</f>
        <v/>
      </c>
      <c r="AP153" s="206" t="str">
        <f>IF(AND($A153&gt;=SYear_O, $A153&lt;=EYear_O, AP$3&gt;0), AP$3 * VLOOKUP($A153, Data_All!$A$8:$CA$153, MATCH(AP$2, Data_All!$B$2:$CA$2, 0)+1), "")</f>
        <v/>
      </c>
      <c r="AQ153" s="206" t="str">
        <f>IF(AND($A153&gt;=SYear_O, $A153&lt;=EYear_O, AQ$3&gt;0), AQ$3 * VLOOKUP($A153, Data_All!$A$8:$CA$153, MATCH(AQ$2, Data_All!$B$2:$CA$2, 0)+1), "")</f>
        <v/>
      </c>
      <c r="AR153" s="206" t="str">
        <f>IF(AND($A153&gt;=SYear_O, $A153&lt;=EYear_O, AR$3&gt;0), AR$3 * VLOOKUP($A153, Data_All!$A$8:$CA$153, MATCH(AR$2, Data_All!$B$2:$CA$2, 0)+1), "")</f>
        <v/>
      </c>
      <c r="AS153" s="206" t="str">
        <f>IF(AND($A153&gt;=SYear_O, $A153&lt;=EYear_O, AS$3&gt;0), AS$3 * VLOOKUP($A153, Data_All!$A$8:$CA$153, MATCH(AS$2, Data_All!$B$2:$CA$2, 0)+1), "")</f>
        <v/>
      </c>
      <c r="AT153" s="206" t="str">
        <f>IF(AND($A153&gt;=SYear_O, $A153&lt;=EYear_O, AT$3&gt;0), AT$3 * VLOOKUP($A153, Data_All!$A$8:$CA$153, MATCH(AT$2, Data_All!$B$2:$CA$2, 0)+1), "")</f>
        <v/>
      </c>
      <c r="AU153" s="206" t="str">
        <f>IF(AND($A153&gt;=SYear_O, $A153&lt;=EYear_O, AU$3&gt;0), AU$3 * VLOOKUP($A153, Data_All!$A$8:$CA$153, MATCH(AU$2, Data_All!$B$2:$CA$2, 0)+1), "")</f>
        <v/>
      </c>
      <c r="AV153" s="206" t="str">
        <f>IF(AND($A153&gt;=SYear_O, $A153&lt;=EYear_O, AV$3&gt;0), AV$3 * VLOOKUP($A153, Data_All!$A$8:$CA$153, MATCH(AV$2, Data_All!$B$2:$CA$2, 0)+1), "")</f>
        <v/>
      </c>
      <c r="AW153" s="206" t="str">
        <f>IF(AND($A153&gt;=SYear_O, $A153&lt;=EYear_O, AW$3&gt;0), AW$3 * VLOOKUP($A153, Data_All!$A$8:$CA$153, MATCH(AW$2, Data_All!$B$2:$CA$2, 0)+1), "")</f>
        <v/>
      </c>
      <c r="AX153" s="206" t="str">
        <f>IF(AND($A153&gt;=SYear_O, $A153&lt;=EYear_O, AX$3&gt;0), AX$3 * VLOOKUP($A153, Data_All!$A$8:$CA$153, MATCH(AX$2, Data_All!$B$2:$CA$2, 0)+1), "")</f>
        <v/>
      </c>
      <c r="AY153" s="206" t="str">
        <f>IF(AND($A153&gt;=SYear_O, $A153&lt;=EYear_O, AY$3&gt;0), AY$3 * VLOOKUP($A153, Data_All!$A$8:$CA$153, MATCH(AY$2, Data_All!$B$2:$CA$2, 0)+1), "")</f>
        <v/>
      </c>
      <c r="AZ153" s="206" t="str">
        <f>IF(AND($A153&gt;=SYear_O, $A153&lt;=EYear_O, AZ$3&gt;0), AZ$3 * VLOOKUP($A153, Data_All!$A$8:$CA$153, MATCH(AZ$2, Data_All!$B$2:$CA$2, 0)+1), "")</f>
        <v/>
      </c>
      <c r="BA153" s="206" t="str">
        <f>IF(AND($A153&gt;=SYear_O, $A153&lt;=EYear_O, BA$3&gt;0), BA$3 * VLOOKUP($A153, Data_All!$A$8:$CA$153, MATCH(BA$2, Data_All!$B$2:$CA$2, 0)+1), "")</f>
        <v/>
      </c>
      <c r="BB153" s="206" t="str">
        <f>IF(AND($A153&gt;=SYear_O, $A153&lt;=EYear_O, BB$3&gt;0), BB$3 * VLOOKUP($A153, Data_All!$A$8:$CA$153, MATCH(BB$2, Data_All!$B$2:$CA$2, 0)+1), "")</f>
        <v/>
      </c>
      <c r="BC153" s="206" t="str">
        <f>IF(AND($A153&gt;=SYear_O, $A153&lt;=EYear_O, BC$3&gt;0), BC$3 * VLOOKUP($A153, Data_All!$A$8:$CA$153, MATCH(BC$2, Data_All!$B$2:$CA$2, 0)+1), "")</f>
        <v/>
      </c>
      <c r="BD153" s="206" t="str">
        <f>IF(AND($A153&gt;=SYear_O, $A153&lt;=EYear_O, BD$3&gt;0), BD$3 * VLOOKUP($A153, Data_All!$A$8:$CA$153, MATCH(BD$2, Data_All!$B$2:$CA$2, 0)+1), "")</f>
        <v/>
      </c>
      <c r="BE153" s="206" t="str">
        <f>IF(AND($A153&gt;=SYear_O, $A153&lt;=EYear_O, BE$3&gt;0), BE$3 * VLOOKUP($A153, Data_All!$A$8:$CA$153, MATCH(BE$2, Data_All!$B$2:$CA$2, 0)+1), "")</f>
        <v/>
      </c>
      <c r="BF153" s="206" t="str">
        <f>IF(AND($A153&gt;=SYear_O, $A153&lt;=EYear_O, BF$3&gt;0), BF$3 * VLOOKUP($A153, Data_All!$A$8:$CA$153, MATCH(BF$2, Data_All!$B$2:$CA$2, 0)+1), "")</f>
        <v/>
      </c>
      <c r="BG153" s="206" t="str">
        <f>IF(AND($A153&gt;=SYear_O, $A153&lt;=EYear_O, BG$3&gt;0), BG$3 * VLOOKUP($A153, Data_All!$A$8:$CA$153, MATCH(BG$2, Data_All!$B$2:$CA$2, 0)+1), "")</f>
        <v/>
      </c>
      <c r="BH153" s="206" t="str">
        <f>IF(AND($A153&gt;=SYear_O, $A153&lt;=EYear_O, BH$3&gt;0), BH$3 * VLOOKUP($A153, Data_All!$A$8:$CA$153, MATCH(BH$2, Data_All!$B$2:$CA$2, 0)+1), "")</f>
        <v/>
      </c>
      <c r="BI153" s="206" t="str">
        <f>IF(AND($A153&gt;=SYear_O, $A153&lt;=EYear_O, BI$3&gt;0), BI$3 * VLOOKUP($A153, Data_All!$A$8:$CA$153, MATCH(BI$2, Data_All!$B$2:$CA$2, 0)+1), "")</f>
        <v/>
      </c>
      <c r="BJ153" s="206" t="str">
        <f>IF(AND($A153&gt;=SYear_O, $A153&lt;=EYear_O, BJ$3&gt;0), BJ$3 * VLOOKUP($A153, Data_All!$A$8:$CA$153, MATCH(BJ$2, Data_All!$B$2:$CA$2, 0)+1), "")</f>
        <v/>
      </c>
      <c r="BK153" s="206" t="str">
        <f>IF(AND($A153&gt;=SYear_O, $A153&lt;=EYear_O, BK$3&gt;0), BK$3 * VLOOKUP($A153, Data_All!$A$8:$CA$153, MATCH(BK$2, Data_All!$B$2:$CA$2, 0)+1), "")</f>
        <v/>
      </c>
      <c r="BL153" s="206" t="str">
        <f>IF(AND($A153&gt;=SYear_O, $A153&lt;=EYear_O, BL$3&gt;0), BL$3 * VLOOKUP($A153, Data_All!$A$8:$CA$153, MATCH(BL$2, Data_All!$B$2:$CA$2, 0)+1), "")</f>
        <v/>
      </c>
      <c r="BM153" s="206" t="str">
        <f>IF(AND($A153&gt;=SYear_O, $A153&lt;=EYear_O, BM$3&gt;0), BM$3 * VLOOKUP($A153, Data_All!$A$8:$CA$153, MATCH(BM$2, Data_All!$B$2:$CA$2, 0)+1), "")</f>
        <v/>
      </c>
      <c r="BN153" s="206" t="str">
        <f>IF(AND($A153&gt;=SYear_O, $A153&lt;=EYear_O, BN$3&gt;0), BN$3 * VLOOKUP($A153, Data_All!$A$8:$CA$153, MATCH(BN$2, Data_All!$B$2:$CA$2, 0)+1), "")</f>
        <v/>
      </c>
      <c r="BO153" s="206" t="str">
        <f>IF(AND($A153&gt;=SYear_O, $A153&lt;=EYear_O, BO$3&gt;0), BO$3 * VLOOKUP($A153, Data_All!$A$8:$CA$153, MATCH(BO$2, Data_All!$B$2:$CA$2, 0)+1), "")</f>
        <v/>
      </c>
      <c r="BP153" s="206" t="str">
        <f>IF(AND($A153&gt;=SYear_O, $A153&lt;=EYear_O, BP$3&gt;0), BP$3 * VLOOKUP($A153, Data_All!$A$8:$CA$153, MATCH(BP$2, Data_All!$B$2:$CA$2, 0)+1), "")</f>
        <v/>
      </c>
      <c r="BQ153" s="206" t="str">
        <f>IF(AND($A153&gt;=SYear_O, $A153&lt;=EYear_O, BQ$3&gt;0), BQ$3 * VLOOKUP($A153, Data_All!$A$8:$CA$153, MATCH(BQ$2, Data_All!$B$2:$CA$2, 0)+1), "")</f>
        <v/>
      </c>
      <c r="BR153" s="206" t="str">
        <f>IF(AND($A153&gt;=SYear_O, $A153&lt;=EYear_O, BR$3&gt;0), BR$3 * VLOOKUP($A153, Data_All!$A$8:$CA$153, MATCH(BR$2, Data_All!$B$2:$CA$2, 0)+1), "")</f>
        <v/>
      </c>
      <c r="BS153" s="206" t="str">
        <f>IF(AND($A153&gt;=SYear_O, $A153&lt;=EYear_O, BS$3&gt;0), BS$3 * VLOOKUP($A153, Data_All!$A$8:$CA$153, MATCH(BS$2, Data_All!$B$2:$CA$2, 0)+1), "")</f>
        <v/>
      </c>
      <c r="BT153" s="206" t="str">
        <f>IF(AND($A153&gt;=SYear_O, $A153&lt;=EYear_O, BT$3&gt;0), BT$3 * VLOOKUP($A153, Data_All!$A$8:$CA$153, MATCH(BT$2, Data_All!$B$2:$CA$2, 0)+1), "")</f>
        <v/>
      </c>
      <c r="BU153" s="206" t="str">
        <f>IF(AND($A153&gt;=SYear_O, $A153&lt;=EYear_O, BU$3&gt;0), BU$3 * VLOOKUP($A153, Data_All!$A$8:$CA$153, MATCH(BU$2, Data_All!$B$2:$CA$2, 0)+1), "")</f>
        <v/>
      </c>
      <c r="BV153" s="206" t="str">
        <f>IF(AND($A153&gt;=SYear_O, $A153&lt;=EYear_O, BV$3&gt;0), BV$3 * VLOOKUP($A153, Data_All!$A$8:$CA$153, MATCH(BV$2, Data_All!$B$2:$CA$2, 0)+1), "")</f>
        <v/>
      </c>
      <c r="BW153" s="206" t="str">
        <f>IF(AND($A153&gt;=SYear_O, $A153&lt;=EYear_O, BW$3&gt;0), BW$3 * VLOOKUP($A153, Data_All!$A$8:$CA$153, MATCH(BW$2, Data_All!$B$2:$CA$2, 0)+1), "")</f>
        <v/>
      </c>
      <c r="BX153" s="206" t="str">
        <f>IF(AND($A153&gt;=SYear_O, $A153&lt;=EYear_O, BX$3&gt;0), BX$3 * VLOOKUP($A153, Data_All!$A$8:$CA$153, MATCH(BX$2, Data_All!$B$2:$CA$2, 0)+1), "")</f>
        <v/>
      </c>
      <c r="BY153" s="206" t="str">
        <f>IF(AND($A153&gt;=SYear_O, $A153&lt;=EYear_O, BY$3&gt;0), BY$3 * VLOOKUP($A153, Data_All!$A$8:$CA$153, MATCH(BY$2, Data_All!$B$2:$CA$2, 0)+1), "")</f>
        <v/>
      </c>
      <c r="BZ153" s="206" t="str">
        <f>IF(AND($A153&gt;=SYear_O, $A153&lt;=EYear_O, BZ$3&gt;0), BZ$3 * VLOOKUP($A153, Data_All!$A$8:$CA$153, MATCH(BZ$2, Data_All!$B$2:$CA$2, 0)+1), "")</f>
        <v/>
      </c>
      <c r="CA153" s="565" t="str">
        <f>IF(AND($A153&gt;=SYear_O,$A153&lt;=EYear_O),SUM(B153:BZ153),"")</f>
        <v/>
      </c>
      <c r="CB153" s="427" t="str">
        <f>IF(AND($A153&gt;=SYear_O,$A153&lt;=EYear_O),IF($A153=SYear_O,$CB$4*(1+CA153%),#REF!*(1+CA153%)),"")</f>
        <v/>
      </c>
      <c r="CC153" s="206" t="str">
        <f>IF(AND($A153&gt;=SYear_O,$A153&lt;=EYear_O),(CA153-Data_All!CA154)/(1+Data_All!CA154%),"")</f>
        <v/>
      </c>
      <c r="CD153" s="436" t="str">
        <f>IF(AND($A153&gt;=SYear_O,$A153&lt;=EYear_O),IF($A153=SYear_O,$CD$4*(1+CC153%),#REF!*(1+CC153%)),"")</f>
        <v/>
      </c>
      <c r="CE153" s="438" t="str">
        <f>IF(AND($A153&gt;=SYear_O,$A153&lt;=EYear_O),IF($A153=SYear_O,CE$2,#REF!*(1+CA153%)),"")</f>
        <v/>
      </c>
      <c r="CF153" s="438" t="str">
        <f>IF(AND($A153&gt;=SYear_O,$A153&lt;=EYear_O),MAX($CE$7:CE153),"")</f>
        <v/>
      </c>
      <c r="CG153" s="209" t="str">
        <f>IF(AND($A153&gt;=SYear_O,$A153&lt;=EYear_O),1-(CE153/CF153),"")</f>
        <v/>
      </c>
      <c r="CI153" s="143" t="str">
        <f>IF(AND($A153&gt;=SYear_O,$A153&lt;=EYear_O),Data_All!V155,"")</f>
        <v/>
      </c>
      <c r="CJ153" s="143" t="str">
        <f>IF(AND($A153&gt;=SYear_O,$A153&lt;=EYear_O),Data_All!CA154,"")</f>
        <v/>
      </c>
      <c r="CN153" s="61"/>
      <c r="CO153" s="61"/>
      <c r="CP153" s="61"/>
      <c r="CQ153" s="61"/>
      <c r="CR153" s="61"/>
      <c r="CU153" s="61"/>
      <c r="CV153" s="61"/>
      <c r="CW153" s="61"/>
      <c r="CX153" s="61"/>
      <c r="CY153" s="61"/>
    </row>
    <row r="154" spans="1:103" s="26" customFormat="1" ht="21" thickBot="1">
      <c r="A154" s="212" t="s">
        <v>406</v>
      </c>
      <c r="B154" s="213" t="s">
        <v>175</v>
      </c>
      <c r="C154" s="213" t="s">
        <v>176</v>
      </c>
      <c r="D154" s="213" t="s">
        <v>177</v>
      </c>
      <c r="E154" s="213" t="s">
        <v>178</v>
      </c>
      <c r="F154" s="477" t="s">
        <v>179</v>
      </c>
      <c r="G154" s="477" t="s">
        <v>180</v>
      </c>
      <c r="H154" s="474" t="s">
        <v>181</v>
      </c>
      <c r="I154" s="214"/>
      <c r="J154" s="215"/>
      <c r="K154" s="215"/>
      <c r="L154" s="215"/>
      <c r="M154" s="215"/>
      <c r="N154" s="216"/>
      <c r="O154" s="215"/>
      <c r="P154" s="215"/>
      <c r="Q154" s="215"/>
      <c r="R154" s="215"/>
      <c r="S154" s="215"/>
      <c r="T154" s="215"/>
      <c r="U154" s="215"/>
      <c r="V154" s="215"/>
      <c r="W154" s="215"/>
      <c r="X154" s="215"/>
      <c r="Y154" s="215"/>
      <c r="Z154" s="215"/>
      <c r="AA154" s="215"/>
      <c r="AB154" s="215"/>
      <c r="AC154" s="215"/>
      <c r="AD154" s="215"/>
      <c r="AE154" s="215"/>
      <c r="AF154" s="215"/>
      <c r="AG154" s="215"/>
      <c r="AH154" s="215"/>
      <c r="AI154" s="215"/>
      <c r="AJ154" s="215"/>
      <c r="AK154" s="215"/>
      <c r="AL154" s="215"/>
      <c r="AM154" s="215"/>
      <c r="AN154" s="215"/>
      <c r="AO154" s="215"/>
      <c r="AP154" s="215"/>
      <c r="AQ154" s="215"/>
      <c r="AR154" s="215"/>
      <c r="AS154" s="215"/>
      <c r="AT154" s="215"/>
      <c r="AU154" s="215"/>
      <c r="AV154" s="215"/>
      <c r="AW154" s="215"/>
      <c r="AX154" s="215"/>
      <c r="AY154" s="215"/>
      <c r="AZ154" s="215"/>
      <c r="BA154" s="215"/>
      <c r="BB154" s="215"/>
      <c r="BC154" s="215"/>
      <c r="BD154" s="215"/>
      <c r="BE154" s="215"/>
      <c r="BF154" s="215"/>
      <c r="BG154" s="215"/>
      <c r="BH154" s="215"/>
      <c r="BI154" s="215"/>
      <c r="BJ154" s="215"/>
      <c r="BK154" s="215"/>
      <c r="BL154" s="215"/>
      <c r="BM154" s="215"/>
      <c r="BN154" s="215"/>
      <c r="BO154" s="215"/>
      <c r="BP154" s="215"/>
      <c r="BQ154" s="215"/>
      <c r="BR154" s="215"/>
      <c r="BS154" s="215"/>
      <c r="BT154" s="215"/>
      <c r="BU154" s="215"/>
      <c r="BV154" s="215"/>
      <c r="BW154" s="215"/>
      <c r="BX154" s="215"/>
      <c r="BY154" s="215"/>
      <c r="BZ154" s="215"/>
      <c r="CA154" s="566"/>
      <c r="CB154" s="215"/>
      <c r="CC154" s="215"/>
      <c r="CD154" s="217"/>
      <c r="CN154" s="61"/>
      <c r="CO154" s="61"/>
      <c r="CP154" s="61"/>
      <c r="CQ154" s="61"/>
      <c r="CR154" s="61"/>
      <c r="CS154"/>
      <c r="CT154"/>
      <c r="CU154" s="61"/>
      <c r="CV154" s="61"/>
      <c r="CW154" s="61"/>
      <c r="CX154" s="61"/>
      <c r="CY154" s="61"/>
    </row>
    <row r="155" spans="1:103" ht="14" thickTop="1" thickBot="1">
      <c r="A155" s="218" t="s">
        <v>407</v>
      </c>
      <c r="B155" s="441">
        <f>IF(CA3="ERROR","ERROR",VLOOKUP(EYear_O,Rebal_ReturnsTable_O,COLUMN(CB140),FALSE))</f>
        <v>382138062.2931599</v>
      </c>
      <c r="C155" s="219">
        <f>RATE(Portfolio!$T$85,0,-$CB$4,B155)*100</f>
        <v>7.5477971305715705</v>
      </c>
      <c r="D155" s="219">
        <f ca="1">STDEV(Rebal_NominalReturns_O)</f>
        <v>10.853968634141353</v>
      </c>
      <c r="E155" s="219">
        <f ca="1">((AVERAGE(Rebal_NominalReturns_O))-(AVERAGE(TBill_O)))/STDEV(Rebal_NominalReturns_O)</f>
        <v>0.35806729185410846</v>
      </c>
      <c r="F155" s="219">
        <f t="array" aca="1" ref="F155" ca="1">(AVERAGE(Rebal_NominalReturns_O)-MAR_O_Nominal*100)/SQRT(SUM(IF(Rebal_NominalReturns_O&lt;MAR_O_Nominal*100,(Rebal_NominalReturns_O-MAR_O_Nominal*100)^2))/COUNT(Rebal_NominalReturns_O))</f>
        <v>0.51512687899526677</v>
      </c>
      <c r="G155" s="472">
        <f ca="1">PEARSON(Rebal_NominalReturns_O,OFFSET(Data_All!$B$8,$A$157,0,$C$157,1))</f>
        <v>0.96449031238597616</v>
      </c>
      <c r="H155" s="475">
        <f ca="1">PEARSON(Rebal_NominalReturns_O,OFFSET(Data_All!$N$8,$A$157,0,$C$157,1))</f>
        <v>0.61318732754232164</v>
      </c>
      <c r="I155" s="220"/>
      <c r="K155" s="32"/>
      <c r="L155" s="32"/>
      <c r="M155" s="221"/>
      <c r="N155" s="222"/>
      <c r="O155" s="215"/>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1"/>
      <c r="CB155" s="32"/>
      <c r="CC155" s="32"/>
      <c r="CD155" s="207"/>
      <c r="CO155" s="189"/>
    </row>
    <row r="156" spans="1:103" ht="13" thickBot="1">
      <c r="A156" s="223" t="s">
        <v>408</v>
      </c>
      <c r="B156" s="442">
        <f>IF(CA4="ERROR","ERROR",VLOOKUP(EYear_O,Rebal_ReturnsTable_O,COLUMN(CD152),FALSE))</f>
        <v>20137372.873242784</v>
      </c>
      <c r="C156" s="224">
        <f>RATE(Portfolio!$T$85,0,-$CB$4,B156)*100</f>
        <v>5.3868020962925485</v>
      </c>
      <c r="D156" s="224">
        <f ca="1">STDEV(Rebal_RealReturns_O)</f>
        <v>11.555405929064575</v>
      </c>
      <c r="E156" s="224">
        <f ca="1">((AVERAGE(Rebal_RealReturns_O))-(AVERAGE(TBill_O_Real)))/STDEV(Rebal_RealReturns_O)</f>
        <v>0.32362643019831816</v>
      </c>
      <c r="F156" s="473">
        <f t="array" aca="1" ref="F156" ca="1">(AVERAGE(Rebal_RealReturns_O)-MAR_O_Real*100)/SQRT(SUM(IF(Rebal_RealReturns_O&lt;MAR_O_Real*100,(Rebal_RealReturns_O-MAR_O_Real*100)^2))/COUNT(Rebal_RealReturns_O))</f>
        <v>0.64767803884521991</v>
      </c>
      <c r="G156" s="293">
        <f ca="1">PEARSON(Rebal_RealReturns_O,OFFSET(Data_All!$B$8,$A$157,0,$C$157,1))</f>
        <v>0.80675624120552125</v>
      </c>
      <c r="H156" s="476">
        <f ca="1">PEARSON(Rebal_RealReturns_O,OFFSET(Data_All!$N$8,$A$157,0,$C$157,1))</f>
        <v>0.5834375138261173</v>
      </c>
      <c r="J156" s="225"/>
      <c r="K156" s="225"/>
      <c r="L156" s="225"/>
      <c r="M156" s="226"/>
      <c r="N156" s="225"/>
      <c r="O156" s="225"/>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327"/>
      <c r="CB156" s="225"/>
      <c r="CC156" s="225"/>
      <c r="CD156" s="227"/>
      <c r="CO156" s="189"/>
    </row>
    <row r="157" spans="1:103" ht="14" thickTop="1">
      <c r="A157" s="425">
        <f>MATCH(SYear_O,A7:A152,0)-1</f>
        <v>0</v>
      </c>
      <c r="B157" s="426">
        <f>MATCH(EYear_O,A7:A152,0)-1</f>
        <v>144</v>
      </c>
      <c r="C157" s="426">
        <f>B157-A157+1</f>
        <v>145</v>
      </c>
      <c r="E157" s="36" t="str">
        <f>"Portfolio Growth (Nominal) "&amp;TEXT(Portfolio!$T$86,"0")&amp;" - "&amp;TEXT(Portfolio!$T$87,"0")</f>
        <v>Portfolio Growth (Nominal) 1871 - 2015</v>
      </c>
      <c r="I157" s="493" t="str">
        <f>"Portfolio Growth (Real) "&amp;TEXT(Portfolio!$T$86,"0")&amp;" - "&amp;TEXT(Portfolio!$T$87,"0")</f>
        <v>Portfolio Growth (Real) 1871 - 2015</v>
      </c>
      <c r="J157" s="229"/>
      <c r="K157" s="229"/>
      <c r="L157" s="229"/>
      <c r="M157" s="230" t="str">
        <f>"Portfolio Nominal (Rebalanced) = "&amp;TEXT($B155,"#,##0")</f>
        <v>Portfolio Nominal (Rebalanced) = 382,138,062</v>
      </c>
      <c r="Q157" s="230" t="str">
        <f>"Portfolio Real (Rebalanced) = "&amp;TEXT($B156,"#,##0")</f>
        <v>Portfolio Real (Rebalanced) = 20,137,373</v>
      </c>
      <c r="R157" s="230"/>
      <c r="S157" s="230"/>
      <c r="T157" s="230"/>
      <c r="U157" s="36" t="str">
        <f>"Rolling Returns (Real) "&amp;TEXT(Portfolio!$K$86,"0")&amp;" - "&amp;TEXT(Portfolio!$K$87,"0")</f>
        <v>Rolling Returns (Real) 1985 - 2015</v>
      </c>
      <c r="Y157" s="36" t="str">
        <f>"Rolling Returns (Real) "&amp;TEXT(Portfolio!$T$86,"0")&amp;" - "&amp;TEXT(Portfolio!$T$87,"0")</f>
        <v>Rolling Returns (Real) 1871 - 2015</v>
      </c>
      <c r="BA157"/>
      <c r="CO157" s="189"/>
    </row>
    <row r="158" spans="1:103" ht="13" thickBot="1">
      <c r="A158" s="36" t="s">
        <v>409</v>
      </c>
      <c r="BA158"/>
      <c r="CE158" s="439"/>
      <c r="CO158" s="189"/>
    </row>
    <row r="159" spans="1:103" ht="21" thickTop="1">
      <c r="A159" s="231" t="s">
        <v>406</v>
      </c>
      <c r="B159" s="232" t="str">
        <f>B$1</f>
        <v>MKT-TSM</v>
      </c>
      <c r="C159" s="232" t="str">
        <f t="shared" ref="C159:BN159" si="80">C$1</f>
        <v>LCV</v>
      </c>
      <c r="D159" s="232" t="str">
        <f t="shared" si="80"/>
        <v>500 Idx</v>
      </c>
      <c r="E159" s="232" t="str">
        <f t="shared" si="80"/>
        <v>LCG</v>
      </c>
      <c r="F159" s="232" t="str">
        <f t="shared" si="80"/>
        <v>MCB</v>
      </c>
      <c r="G159" s="232" t="str">
        <f t="shared" si="80"/>
        <v>SCV</v>
      </c>
      <c r="H159" s="232" t="str">
        <f t="shared" si="80"/>
        <v>SCB</v>
      </c>
      <c r="I159" s="232" t="str">
        <f t="shared" si="80"/>
        <v>SCG</v>
      </c>
      <c r="J159" s="232" t="str">
        <f t="shared" si="80"/>
        <v>D10</v>
      </c>
      <c r="K159" s="232" t="str">
        <f t="shared" si="80"/>
        <v>REIT</v>
      </c>
      <c r="L159" s="232" t="str">
        <f t="shared" si="80"/>
        <v>EAFED</v>
      </c>
      <c r="M159" s="232" t="str">
        <f t="shared" si="80"/>
        <v>EM</v>
      </c>
      <c r="N159" s="232" t="str">
        <f t="shared" si="80"/>
        <v>Total Intl</v>
      </c>
      <c r="O159" s="232" t="str">
        <f t="shared" si="80"/>
        <v>Pacific</v>
      </c>
      <c r="P159" s="232" t="str">
        <f t="shared" si="80"/>
        <v>Europe</v>
      </c>
      <c r="Q159" s="232" t="str">
        <f t="shared" si="80"/>
        <v>Intl Value</v>
      </c>
      <c r="R159" s="232" t="str">
        <f t="shared" si="80"/>
        <v>COMM</v>
      </c>
      <c r="S159" s="232" t="str">
        <f t="shared" si="80"/>
        <v>LTGB</v>
      </c>
      <c r="T159" s="232" t="str">
        <f t="shared" si="80"/>
        <v>5 Yr T</v>
      </c>
      <c r="U159" s="232" t="str">
        <f t="shared" si="80"/>
        <v>ITB</v>
      </c>
      <c r="V159" s="232" t="str">
        <f t="shared" si="80"/>
        <v>TBILL</v>
      </c>
      <c r="W159" s="232" t="str">
        <f t="shared" si="80"/>
        <v>S-TIPS</v>
      </c>
      <c r="X159" s="232" t="str">
        <f t="shared" si="80"/>
        <v>Wellington</v>
      </c>
      <c r="Y159" s="232" t="str">
        <f t="shared" si="80"/>
        <v>Wellesley</v>
      </c>
      <c r="Z159" s="232" t="str">
        <f t="shared" si="80"/>
        <v>Windsor</v>
      </c>
      <c r="AA159" s="232" t="str">
        <f t="shared" si="80"/>
        <v>ST Trsry</v>
      </c>
      <c r="AB159" s="232" t="str">
        <f t="shared" si="80"/>
        <v>GOLD</v>
      </c>
      <c r="AC159" s="232" t="str">
        <f t="shared" si="80"/>
        <v>VG Intl Small</v>
      </c>
      <c r="AD159" s="232" t="str">
        <f t="shared" si="80"/>
        <v>Energy</v>
      </c>
      <c r="AE159" s="232" t="str">
        <f t="shared" si="80"/>
        <v>Health</v>
      </c>
      <c r="AF159" s="232" t="str">
        <f t="shared" si="80"/>
        <v>P.Metals</v>
      </c>
      <c r="AG159" s="232" t="str">
        <f t="shared" si="80"/>
        <v>Windsor II</v>
      </c>
      <c r="AH159" s="232" t="str">
        <f t="shared" si="80"/>
        <v>V ST TE</v>
      </c>
      <c r="AI159" s="232" t="str">
        <f t="shared" si="80"/>
        <v>V Int TE</v>
      </c>
      <c r="AJ159" s="232" t="str">
        <f t="shared" si="80"/>
        <v>V LT TE</v>
      </c>
      <c r="AK159" s="232" t="str">
        <f t="shared" si="80"/>
        <v>Hi-Yld C</v>
      </c>
      <c r="AL159" s="232" t="str">
        <f t="shared" si="80"/>
        <v>MidCap Growth</v>
      </c>
      <c r="AM159" s="232" t="str">
        <f t="shared" si="80"/>
        <v>MidCap Val</v>
      </c>
      <c r="AN159" s="232" t="str">
        <f t="shared" si="80"/>
        <v>V Ext Mkt</v>
      </c>
      <c r="AO159" s="232" t="str">
        <f t="shared" si="80"/>
        <v>Global Bd Fund</v>
      </c>
      <c r="AP159" s="232" t="str">
        <f t="shared" si="80"/>
        <v>ST Invest. Grade</v>
      </c>
      <c r="AQ159" s="232" t="str">
        <f t="shared" si="80"/>
        <v/>
      </c>
      <c r="AR159" s="232" t="str">
        <f t="shared" si="80"/>
        <v/>
      </c>
      <c r="AS159" s="232" t="str">
        <f t="shared" si="80"/>
        <v/>
      </c>
      <c r="AT159" s="232" t="str">
        <f t="shared" si="80"/>
        <v/>
      </c>
      <c r="AU159" s="232" t="str">
        <f t="shared" si="80"/>
        <v/>
      </c>
      <c r="AV159" s="232" t="str">
        <f t="shared" si="80"/>
        <v/>
      </c>
      <c r="AW159" s="232" t="str">
        <f t="shared" si="80"/>
        <v/>
      </c>
      <c r="AX159" s="232" t="str">
        <f t="shared" si="80"/>
        <v/>
      </c>
      <c r="AY159" s="232" t="str">
        <f t="shared" si="80"/>
        <v/>
      </c>
      <c r="AZ159" s="232" t="str">
        <f t="shared" si="80"/>
        <v/>
      </c>
      <c r="BA159" s="232" t="str">
        <f t="shared" si="80"/>
        <v/>
      </c>
      <c r="BB159" s="232" t="str">
        <f t="shared" si="80"/>
        <v/>
      </c>
      <c r="BC159" s="232" t="str">
        <f t="shared" si="80"/>
        <v/>
      </c>
      <c r="BD159" s="232" t="str">
        <f t="shared" si="80"/>
        <v/>
      </c>
      <c r="BE159" s="232" t="str">
        <f t="shared" si="80"/>
        <v/>
      </c>
      <c r="BF159" s="232" t="str">
        <f t="shared" si="80"/>
        <v/>
      </c>
      <c r="BG159" s="232" t="str">
        <f t="shared" si="80"/>
        <v/>
      </c>
      <c r="BH159" s="232" t="str">
        <f t="shared" si="80"/>
        <v/>
      </c>
      <c r="BI159" s="232" t="str">
        <f t="shared" si="80"/>
        <v/>
      </c>
      <c r="BJ159" s="232" t="str">
        <f t="shared" si="80"/>
        <v/>
      </c>
      <c r="BK159" s="232" t="str">
        <f t="shared" si="80"/>
        <v/>
      </c>
      <c r="BL159" s="232" t="str">
        <f t="shared" si="80"/>
        <v/>
      </c>
      <c r="BM159" s="232" t="str">
        <f t="shared" si="80"/>
        <v/>
      </c>
      <c r="BN159" s="232" t="str">
        <f t="shared" si="80"/>
        <v/>
      </c>
      <c r="BO159" s="232" t="str">
        <f t="shared" ref="BO159:BZ159" si="81">BO$1</f>
        <v/>
      </c>
      <c r="BP159" s="232" t="str">
        <f t="shared" si="81"/>
        <v/>
      </c>
      <c r="BQ159" s="232" t="str">
        <f t="shared" si="81"/>
        <v/>
      </c>
      <c r="BR159" s="232" t="str">
        <f t="shared" si="81"/>
        <v/>
      </c>
      <c r="BS159" s="232" t="str">
        <f t="shared" si="81"/>
        <v/>
      </c>
      <c r="BT159" s="232" t="str">
        <f t="shared" si="81"/>
        <v/>
      </c>
      <c r="BU159" s="232" t="str">
        <f t="shared" si="81"/>
        <v/>
      </c>
      <c r="BV159" s="232" t="str">
        <f t="shared" si="81"/>
        <v/>
      </c>
      <c r="BW159" s="232" t="str">
        <f t="shared" si="81"/>
        <v/>
      </c>
      <c r="BX159" s="232" t="str">
        <f t="shared" si="81"/>
        <v>S&amp;P500(h)</v>
      </c>
      <c r="BY159" s="232" t="str">
        <f t="shared" si="81"/>
        <v>IT Bonds(h)</v>
      </c>
      <c r="BZ159" s="455" t="str">
        <f t="shared" si="81"/>
        <v>TBills(h)</v>
      </c>
      <c r="CA159" s="235"/>
      <c r="CB159" s="236"/>
      <c r="CO159" s="189"/>
    </row>
    <row r="160" spans="1:103">
      <c r="A160" s="237" t="s">
        <v>411</v>
      </c>
      <c r="B160" s="165" t="str">
        <f>B$2</f>
        <v>VTSMX</v>
      </c>
      <c r="C160" s="165" t="str">
        <f t="shared" ref="C160:BN160" si="82">C$2</f>
        <v>VIVAX</v>
      </c>
      <c r="D160" s="165" t="str">
        <f t="shared" si="82"/>
        <v>VFINX</v>
      </c>
      <c r="E160" s="165" t="str">
        <f t="shared" si="82"/>
        <v>VIGRX</v>
      </c>
      <c r="F160" s="165" t="str">
        <f t="shared" si="82"/>
        <v>VIMSX</v>
      </c>
      <c r="G160" s="165" t="str">
        <f t="shared" si="82"/>
        <v>VISVX</v>
      </c>
      <c r="H160" s="165" t="str">
        <f t="shared" si="82"/>
        <v>NAESX</v>
      </c>
      <c r="I160" s="165" t="str">
        <f t="shared" si="82"/>
        <v>VISGX</v>
      </c>
      <c r="J160" s="165" t="str">
        <f t="shared" si="82"/>
        <v>BRSIX</v>
      </c>
      <c r="K160" s="165" t="str">
        <f t="shared" si="82"/>
        <v>VGSIX</v>
      </c>
      <c r="L160" s="165" t="str">
        <f t="shared" si="82"/>
        <v>VTMGX</v>
      </c>
      <c r="M160" s="165" t="str">
        <f t="shared" si="82"/>
        <v>VEIEX</v>
      </c>
      <c r="N160" s="165" t="str">
        <f t="shared" si="82"/>
        <v>VGTSX</v>
      </c>
      <c r="O160" s="165" t="str">
        <f t="shared" si="82"/>
        <v>VPACX</v>
      </c>
      <c r="P160" s="165" t="str">
        <f t="shared" si="82"/>
        <v>VEURX</v>
      </c>
      <c r="Q160" s="165" t="str">
        <f t="shared" si="82"/>
        <v>VTRIX</v>
      </c>
      <c r="R160" s="165" t="str">
        <f t="shared" si="82"/>
        <v>PCRIX</v>
      </c>
      <c r="S160" s="165" t="str">
        <f t="shared" si="82"/>
        <v>VUSTX</v>
      </c>
      <c r="T160" s="165" t="str">
        <f t="shared" si="82"/>
        <v>VFITX</v>
      </c>
      <c r="U160" s="165" t="str">
        <f t="shared" si="82"/>
        <v>VBMFX</v>
      </c>
      <c r="V160" s="165" t="str">
        <f t="shared" si="82"/>
        <v>VUSXX</v>
      </c>
      <c r="W160" s="165" t="str">
        <f t="shared" si="82"/>
        <v>VIPSX</v>
      </c>
      <c r="X160" s="165" t="str">
        <f t="shared" si="82"/>
        <v>VWELX</v>
      </c>
      <c r="Y160" s="165" t="str">
        <f t="shared" si="82"/>
        <v>VWINX</v>
      </c>
      <c r="Z160" s="165" t="str">
        <f t="shared" si="82"/>
        <v>VWNDX</v>
      </c>
      <c r="AA160" s="165" t="str">
        <f t="shared" si="82"/>
        <v>VFISX</v>
      </c>
      <c r="AB160" s="165" t="str">
        <f t="shared" si="82"/>
        <v>GLD</v>
      </c>
      <c r="AC160" s="165" t="str">
        <f t="shared" si="82"/>
        <v>VFSVX</v>
      </c>
      <c r="AD160" s="165" t="str">
        <f t="shared" si="82"/>
        <v>VGENX</v>
      </c>
      <c r="AE160" s="165" t="str">
        <f t="shared" si="82"/>
        <v>VGHCX</v>
      </c>
      <c r="AF160" s="165" t="str">
        <f t="shared" si="82"/>
        <v>VGPMX</v>
      </c>
      <c r="AG160" s="165" t="str">
        <f t="shared" si="82"/>
        <v>VWNFX</v>
      </c>
      <c r="AH160" s="165" t="str">
        <f t="shared" si="82"/>
        <v>VWSTX</v>
      </c>
      <c r="AI160" s="165" t="str">
        <f t="shared" si="82"/>
        <v>VWITX</v>
      </c>
      <c r="AJ160" s="165" t="str">
        <f t="shared" si="82"/>
        <v>VWLTX</v>
      </c>
      <c r="AK160" s="165" t="str">
        <f t="shared" si="82"/>
        <v>VWEHX</v>
      </c>
      <c r="AL160" s="165" t="str">
        <f t="shared" si="82"/>
        <v>VMGIX</v>
      </c>
      <c r="AM160" s="165" t="str">
        <f t="shared" si="82"/>
        <v>VMVIX</v>
      </c>
      <c r="AN160" s="165" t="str">
        <f t="shared" si="82"/>
        <v>VEXMX</v>
      </c>
      <c r="AO160" s="165" t="str">
        <f t="shared" si="82"/>
        <v>PIGLX</v>
      </c>
      <c r="AP160" s="165" t="str">
        <f t="shared" si="82"/>
        <v>VFSTX</v>
      </c>
      <c r="AQ160" s="165" t="str">
        <f t="shared" si="82"/>
        <v/>
      </c>
      <c r="AR160" s="165" t="str">
        <f t="shared" si="82"/>
        <v/>
      </c>
      <c r="AS160" s="165" t="str">
        <f t="shared" si="82"/>
        <v/>
      </c>
      <c r="AT160" s="165" t="str">
        <f t="shared" si="82"/>
        <v/>
      </c>
      <c r="AU160" s="165" t="str">
        <f t="shared" si="82"/>
        <v/>
      </c>
      <c r="AV160" s="165" t="str">
        <f t="shared" si="82"/>
        <v/>
      </c>
      <c r="AW160" s="165" t="str">
        <f t="shared" si="82"/>
        <v/>
      </c>
      <c r="AX160" s="165" t="str">
        <f t="shared" si="82"/>
        <v/>
      </c>
      <c r="AY160" s="165" t="str">
        <f t="shared" si="82"/>
        <v/>
      </c>
      <c r="AZ160" s="165" t="str">
        <f t="shared" si="82"/>
        <v/>
      </c>
      <c r="BA160" s="165" t="str">
        <f t="shared" si="82"/>
        <v/>
      </c>
      <c r="BB160" s="165" t="str">
        <f t="shared" si="82"/>
        <v/>
      </c>
      <c r="BC160" s="165" t="str">
        <f t="shared" si="82"/>
        <v/>
      </c>
      <c r="BD160" s="165" t="str">
        <f t="shared" si="82"/>
        <v/>
      </c>
      <c r="BE160" s="165" t="str">
        <f t="shared" si="82"/>
        <v/>
      </c>
      <c r="BF160" s="165" t="str">
        <f t="shared" si="82"/>
        <v/>
      </c>
      <c r="BG160" s="165" t="str">
        <f t="shared" si="82"/>
        <v/>
      </c>
      <c r="BH160" s="165" t="str">
        <f t="shared" si="82"/>
        <v/>
      </c>
      <c r="BI160" s="165" t="str">
        <f t="shared" si="82"/>
        <v/>
      </c>
      <c r="BJ160" s="165" t="str">
        <f t="shared" si="82"/>
        <v/>
      </c>
      <c r="BK160" s="165" t="str">
        <f t="shared" si="82"/>
        <v/>
      </c>
      <c r="BL160" s="165" t="str">
        <f t="shared" si="82"/>
        <v/>
      </c>
      <c r="BM160" s="165" t="str">
        <f t="shared" si="82"/>
        <v/>
      </c>
      <c r="BN160" s="165" t="str">
        <f t="shared" si="82"/>
        <v/>
      </c>
      <c r="BO160" s="165" t="str">
        <f t="shared" ref="BO160:BZ160" si="83">BO$2</f>
        <v/>
      </c>
      <c r="BP160" s="165" t="str">
        <f t="shared" si="83"/>
        <v/>
      </c>
      <c r="BQ160" s="165" t="str">
        <f t="shared" si="83"/>
        <v/>
      </c>
      <c r="BR160" s="165" t="str">
        <f t="shared" si="83"/>
        <v/>
      </c>
      <c r="BS160" s="165" t="str">
        <f t="shared" si="83"/>
        <v/>
      </c>
      <c r="BT160" s="165" t="str">
        <f t="shared" si="83"/>
        <v/>
      </c>
      <c r="BU160" s="165" t="str">
        <f t="shared" si="83"/>
        <v/>
      </c>
      <c r="BV160" s="165" t="str">
        <f t="shared" si="83"/>
        <v/>
      </c>
      <c r="BW160" s="165" t="str">
        <f t="shared" si="83"/>
        <v/>
      </c>
      <c r="BX160" s="165" t="str">
        <f t="shared" si="83"/>
        <v>S&amp;P500(h)</v>
      </c>
      <c r="BY160" s="165" t="str">
        <f t="shared" si="83"/>
        <v>IT Bonds(h)</v>
      </c>
      <c r="BZ160" s="456" t="str">
        <f t="shared" si="83"/>
        <v>TBills(h)</v>
      </c>
      <c r="CA160" s="240"/>
      <c r="CB160" s="48"/>
      <c r="CO160" s="189"/>
    </row>
    <row r="161" spans="1:103" ht="13" thickBot="1">
      <c r="A161" s="241"/>
      <c r="B161" s="242">
        <f ca="1">IF(ISERROR(PEARSON(OFFSET(Returns_All!$CA$7,$A$157,0,$C$157,1),OFFSET(Data_All!B$8,$A$157,0,$C$157,1))),"",PEARSON(OFFSET(Returns_All!$CA$7,$A$157,0,$C$157,1),OFFSET(Data_All!B$8,$A$157,0,$C$157,1)))</f>
        <v>0.96449031238597616</v>
      </c>
      <c r="C161" s="242">
        <f ca="1">IF(ISERROR(PEARSON(OFFSET(Returns_All!$CA$7,$A$157,0,$C$157,1),OFFSET(Data_All!C$8,$A$157,0,$C$157,1))),"",PEARSON(OFFSET(Returns_All!$CA$7,$A$157,0,$C$157,1),OFFSET(Data_All!C$8,$A$157,0,$C$157,1)))</f>
        <v>0.84864966871736858</v>
      </c>
      <c r="D161" s="242">
        <f ca="1">IF(ISERROR(PEARSON(OFFSET(Returns_All!$CA$7,$A$157,0,$C$157,1),OFFSET(Data_All!D$8,$A$157,0,$C$157,1))),"",PEARSON(OFFSET(Returns_All!$CA$7,$A$157,0,$C$157,1),OFFSET(Data_All!D$8,$A$157,0,$C$157,1)))</f>
        <v>0.96884422643800916</v>
      </c>
      <c r="E161" s="242">
        <f ca="1">IF(ISERROR(PEARSON(OFFSET(Returns_All!$CA$7,$A$157,0,$C$157,1),OFFSET(Data_All!E$8,$A$157,0,$C$157,1))),"",PEARSON(OFFSET(Returns_All!$CA$7,$A$157,0,$C$157,1),OFFSET(Data_All!E$8,$A$157,0,$C$157,1)))</f>
        <v>0.87729374303717644</v>
      </c>
      <c r="F161" s="242">
        <f ca="1">IF(ISERROR(PEARSON(OFFSET(Returns_All!$CA$7,$A$157,0,$C$157,1),OFFSET(Data_All!F$8,$A$157,0,$C$157,1))),"",PEARSON(OFFSET(Returns_All!$CA$7,$A$157,0,$C$157,1),OFFSET(Data_All!F$8,$A$157,0,$C$157,1)))</f>
        <v>0.82988483205378683</v>
      </c>
      <c r="G161" s="242">
        <f ca="1">IF(ISERROR(PEARSON(OFFSET(Returns_All!$CA$7,$A$157,0,$C$157,1),OFFSET(Data_All!G$8,$A$157,0,$C$157,1))),"",PEARSON(OFFSET(Returns_All!$CA$7,$A$157,0,$C$157,1),OFFSET(Data_All!G$8,$A$157,0,$C$157,1)))</f>
        <v>0.65060258657847458</v>
      </c>
      <c r="H161" s="242">
        <f ca="1">IF(ISERROR(PEARSON(OFFSET(Returns_All!$CA$7,$A$157,0,$C$157,1),OFFSET(Data_All!H$8,$A$157,0,$C$157,1))),"",PEARSON(OFFSET(Returns_All!$CA$7,$A$157,0,$C$157,1),OFFSET(Data_All!H$8,$A$157,0,$C$157,1)))</f>
        <v>0.72921783811446628</v>
      </c>
      <c r="I161" s="242">
        <f ca="1">IF(ISERROR(PEARSON(OFFSET(Returns_All!$CA$7,$A$157,0,$C$157,1),OFFSET(Data_All!I$8,$A$157,0,$C$157,1))),"",PEARSON(OFFSET(Returns_All!$CA$7,$A$157,0,$C$157,1),OFFSET(Data_All!I$8,$A$157,0,$C$157,1)))</f>
        <v>0.71587441512795569</v>
      </c>
      <c r="J161" s="242">
        <f ca="1">IF(ISERROR(PEARSON(OFFSET(Returns_All!$CA$7,$A$157,0,$C$157,1),OFFSET(Data_All!J$8,$A$157,0,$C$157,1))),"",PEARSON(OFFSET(Returns_All!$CA$7,$A$157,0,$C$157,1),OFFSET(Data_All!J$8,$A$157,0,$C$157,1)))</f>
        <v>0.58995322735658995</v>
      </c>
      <c r="K161" s="242">
        <f ca="1">IF(ISERROR(PEARSON(OFFSET(Returns_All!$CA$7,$A$157,0,$C$157,1),OFFSET(Data_All!K$8,$A$157,0,$C$157,1))),"",PEARSON(OFFSET(Returns_All!$CA$7,$A$157,0,$C$157,1),OFFSET(Data_All!K$8,$A$157,0,$C$157,1)))</f>
        <v>0.52362536234718748</v>
      </c>
      <c r="L161" s="242">
        <f ca="1">IF(ISERROR(PEARSON(OFFSET(Returns_All!$CA$7,$A$157,0,$C$157,1),OFFSET(Data_All!L$8,$A$157,0,$C$157,1))),"",PEARSON(OFFSET(Returns_All!$CA$7,$A$157,0,$C$157,1),OFFSET(Data_All!L$8,$A$157,0,$C$157,1)))</f>
        <v>0.62022836236780288</v>
      </c>
      <c r="M161" s="242">
        <f ca="1">IF(ISERROR(PEARSON(OFFSET(Returns_All!$CA$7,$A$157,0,$C$157,1),OFFSET(Data_All!M$8,$A$157,0,$C$157,1))),"",PEARSON(OFFSET(Returns_All!$CA$7,$A$157,0,$C$157,1),OFFSET(Data_All!M$8,$A$157,0,$C$157,1)))</f>
        <v>0.45807235395466939</v>
      </c>
      <c r="N161" s="242">
        <f ca="1">IF(ISERROR(PEARSON(OFFSET(Returns_All!$CA$7,$A$157,0,$C$157,1),OFFSET(Data_All!N$8,$A$157,0,$C$157,1))),"",PEARSON(OFFSET(Returns_All!$CA$7,$A$157,0,$C$157,1),OFFSET(Data_All!N$8,$A$157,0,$C$157,1)))</f>
        <v>0.61318732754232164</v>
      </c>
      <c r="O161" s="242">
        <f ca="1">IF(ISERROR(PEARSON(OFFSET(Returns_All!$CA$7,$A$157,0,$C$157,1),OFFSET(Data_All!O$8,$A$157,0,$C$157,1))),"",PEARSON(OFFSET(Returns_All!$CA$7,$A$157,0,$C$157,1),OFFSET(Data_All!O$8,$A$157,0,$C$157,1)))</f>
        <v>0.37909138551001975</v>
      </c>
      <c r="P161" s="242">
        <f ca="1">IF(ISERROR(PEARSON(OFFSET(Returns_All!$CA$7,$A$157,0,$C$157,1),OFFSET(Data_All!P$8,$A$157,0,$C$157,1))),"",PEARSON(OFFSET(Returns_All!$CA$7,$A$157,0,$C$157,1),OFFSET(Data_All!P$8,$A$157,0,$C$157,1)))</f>
        <v>0.72786799192276974</v>
      </c>
      <c r="Q161" s="242">
        <f ca="1">IF(ISERROR(PEARSON(OFFSET(Returns_All!$CA$7,$A$157,0,$C$157,1),OFFSET(Data_All!Q$8,$A$157,0,$C$157,1))),"",PEARSON(OFFSET(Returns_All!$CA$7,$A$157,0,$C$157,1),OFFSET(Data_All!Q$8,$A$157,0,$C$157,1)))</f>
        <v>0.55403086881579078</v>
      </c>
      <c r="R161" s="242">
        <f ca="1">IF(ISERROR(PEARSON(OFFSET(Returns_All!$CA$7,$A$157,0,$C$157,1),OFFSET(Data_All!R$8,$A$157,0,$C$157,1))),"",PEARSON(OFFSET(Returns_All!$CA$7,$A$157,0,$C$157,1),OFFSET(Data_All!R$8,$A$157,0,$C$157,1)))</f>
        <v>6.5794805823044922E-2</v>
      </c>
      <c r="S161" s="242">
        <f ca="1">IF(ISERROR(PEARSON(OFFSET(Returns_All!$CA$7,$A$157,0,$C$157,1),OFFSET(Data_All!S$8,$A$157,0,$C$157,1))),"",PEARSON(OFFSET(Returns_All!$CA$7,$A$157,0,$C$157,1),OFFSET(Data_All!S$8,$A$157,0,$C$157,1)))</f>
        <v>0.32820817512884504</v>
      </c>
      <c r="T161" s="242">
        <f ca="1">IF(ISERROR(PEARSON(OFFSET(Returns_All!$CA$7,$A$157,0,$C$157,1),OFFSET(Data_All!T$8,$A$157,0,$C$157,1))),"",PEARSON(OFFSET(Returns_All!$CA$7,$A$157,0,$C$157,1),OFFSET(Data_All!T$8,$A$157,0,$C$157,1)))</f>
        <v>0.1633747944049522</v>
      </c>
      <c r="U161" s="242">
        <f ca="1">IF(ISERROR(PEARSON(OFFSET(Returns_All!$CA$7,$A$157,0,$C$157,1),OFFSET(Data_All!U$8,$A$157,0,$C$157,1))),"",PEARSON(OFFSET(Returns_All!$CA$7,$A$157,0,$C$157,1),OFFSET(Data_All!U$8,$A$157,0,$C$157,1)))</f>
        <v>0.20368777823597661</v>
      </c>
      <c r="V161" s="242">
        <f ca="1">IF(ISERROR(PEARSON(OFFSET(Returns_All!$CA$7,$A$157,0,$C$157,1),OFFSET(Data_All!V$8,$A$157,0,$C$157,1))),"",PEARSON(OFFSET(Returns_All!$CA$7,$A$157,0,$C$157,1),OFFSET(Data_All!V$8,$A$157,0,$C$157,1)))</f>
        <v>-2.7743832731191093E-2</v>
      </c>
      <c r="W161" s="242">
        <f ca="1">IF(ISERROR(PEARSON(OFFSET(Returns_All!$CA$7,$A$157,0,$C$157,1),OFFSET(Data_All!W$8,$A$157,0,$C$157,1))),"",PEARSON(OFFSET(Returns_All!$CA$7,$A$157,0,$C$157,1),OFFSET(Data_All!W$8,$A$157,0,$C$157,1)))</f>
        <v>0.17075375167935999</v>
      </c>
      <c r="X161" s="242">
        <f ca="1">IF(ISERROR(PEARSON(OFFSET(Returns_All!$CA$7,$A$157,0,$C$157,1),OFFSET(Data_All!X$8,$A$157,0,$C$157,1))),"",PEARSON(OFFSET(Returns_All!$CA$7,$A$157,0,$C$157,1),OFFSET(Data_All!X$8,$A$157,0,$C$157,1)))</f>
        <v>0.91580849752677884</v>
      </c>
      <c r="Y161" s="242">
        <f ca="1">IF(ISERROR(PEARSON(OFFSET(Returns_All!$CA$7,$A$157,0,$C$157,1),OFFSET(Data_All!Y$8,$A$157,0,$C$157,1))),"",PEARSON(OFFSET(Returns_All!$CA$7,$A$157,0,$C$157,1),OFFSET(Data_All!Y$8,$A$157,0,$C$157,1)))</f>
        <v>0.8110018351597863</v>
      </c>
      <c r="Z161" s="242">
        <f ca="1">IF(ISERROR(PEARSON(OFFSET(Returns_All!$CA$7,$A$157,0,$C$157,1),OFFSET(Data_All!Z$8,$A$157,0,$C$157,1))),"",PEARSON(OFFSET(Returns_All!$CA$7,$A$157,0,$C$157,1),OFFSET(Data_All!Z$8,$A$157,0,$C$157,1)))</f>
        <v>0.77106819647741887</v>
      </c>
      <c r="AA161" s="242">
        <f ca="1">IF(ISERROR(PEARSON(OFFSET(Returns_All!$CA$7,$A$157,0,$C$157,1),OFFSET(Data_All!AA$8,$A$157,0,$C$157,1))),"",PEARSON(OFFSET(Returns_All!$CA$7,$A$157,0,$C$157,1),OFFSET(Data_All!AA$8,$A$157,0,$C$157,1)))</f>
        <v>0.2508697685935401</v>
      </c>
      <c r="AB161" s="242">
        <f ca="1">IF(ISERROR(PEARSON(OFFSET(Returns_All!$CA$7,$A$157,0,$C$157,1),OFFSET(Data_All!AB$8,$A$157,0,$C$157,1))),"",PEARSON(OFFSET(Returns_All!$CA$7,$A$157,0,$C$157,1),OFFSET(Data_All!AB$8,$A$157,0,$C$157,1)))</f>
        <v>-0.22616135620408873</v>
      </c>
      <c r="AC161" s="242">
        <f ca="1">IF(ISERROR(PEARSON(OFFSET(Returns_All!$CA$7,$A$157,0,$C$157,1),OFFSET(Data_All!AC$8,$A$157,0,$C$157,1))),"",PEARSON(OFFSET(Returns_All!$CA$7,$A$157,0,$C$157,1),OFFSET(Data_All!AC$8,$A$157,0,$C$157,1)))</f>
        <v>0.41136227257844427</v>
      </c>
      <c r="AD161" s="242">
        <f ca="1">IF(ISERROR(PEARSON(OFFSET(Returns_All!$CA$7,$A$157,0,$C$157,1),OFFSET(Data_All!AD$8,$A$157,0,$C$157,1))),"",PEARSON(OFFSET(Returns_All!$CA$7,$A$157,0,$C$157,1),OFFSET(Data_All!AD$8,$A$157,0,$C$157,1)))</f>
        <v>0.40629983571347256</v>
      </c>
      <c r="AE161" s="242">
        <f ca="1">IF(ISERROR(PEARSON(OFFSET(Returns_All!$CA$7,$A$157,0,$C$157,1),OFFSET(Data_All!AE$8,$A$157,0,$C$157,1))),"",PEARSON(OFFSET(Returns_All!$CA$7,$A$157,0,$C$157,1),OFFSET(Data_All!AE$8,$A$157,0,$C$157,1)))</f>
        <v>0.72147665833897645</v>
      </c>
      <c r="AF161" s="242">
        <f ca="1">IF(ISERROR(PEARSON(OFFSET(Returns_All!$CA$7,$A$157,0,$C$157,1),OFFSET(Data_All!AF$8,$A$157,0,$C$157,1))),"",PEARSON(OFFSET(Returns_All!$CA$7,$A$157,0,$C$157,1),OFFSET(Data_All!AF$8,$A$157,0,$C$157,1)))</f>
        <v>0.18581418438579261</v>
      </c>
      <c r="AG161" s="242">
        <f ca="1">IF(ISERROR(PEARSON(OFFSET(Returns_All!$CA$7,$A$157,0,$C$157,1),OFFSET(Data_All!AG$8,$A$157,0,$C$157,1))),"",PEARSON(OFFSET(Returns_All!$CA$7,$A$157,0,$C$157,1),OFFSET(Data_All!AG$8,$A$157,0,$C$157,1)))</f>
        <v>0.85677002095762678</v>
      </c>
      <c r="AH161" s="242">
        <f ca="1">IF(ISERROR(PEARSON(OFFSET(Returns_All!$CA$7,$A$157,0,$C$157,1),OFFSET(Data_All!AH$8,$A$157,0,$C$157,1))),"",PEARSON(OFFSET(Returns_All!$CA$7,$A$157,0,$C$157,1),OFFSET(Data_All!AH$8,$A$157,0,$C$157,1)))</f>
        <v>0.34151883127790766</v>
      </c>
      <c r="AI161" s="242">
        <f ca="1">IF(ISERROR(PEARSON(OFFSET(Returns_All!$CA$7,$A$157,0,$C$157,1),OFFSET(Data_All!AI$8,$A$157,0,$C$157,1))),"",PEARSON(OFFSET(Returns_All!$CA$7,$A$157,0,$C$157,1),OFFSET(Data_All!AI$8,$A$157,0,$C$157,1)))</f>
        <v>0.57147845542995968</v>
      </c>
      <c r="AJ161" s="242">
        <f ca="1">IF(ISERROR(PEARSON(OFFSET(Returns_All!$CA$7,$A$157,0,$C$157,1),OFFSET(Data_All!AJ$8,$A$157,0,$C$157,1))),"",PEARSON(OFFSET(Returns_All!$CA$7,$A$157,0,$C$157,1),OFFSET(Data_All!AJ$8,$A$157,0,$C$157,1)))</f>
        <v>0.59630978378085797</v>
      </c>
      <c r="AK161" s="242">
        <f ca="1">IF(ISERROR(PEARSON(OFFSET(Returns_All!$CA$7,$A$157,0,$C$157,1),OFFSET(Data_All!AK$8,$A$157,0,$C$157,1))),"",PEARSON(OFFSET(Returns_All!$CA$7,$A$157,0,$C$157,1),OFFSET(Data_All!AK$8,$A$157,0,$C$157,1)))</f>
        <v>0.78991944063471042</v>
      </c>
      <c r="AL161" s="242">
        <f ca="1">IF(ISERROR(PEARSON(OFFSET(Returns_All!$CA$7,$A$157,0,$C$157,1),OFFSET(Data_All!AL$8,$A$157,0,$C$157,1))),"",PEARSON(OFFSET(Returns_All!$CA$7,$A$157,0,$C$157,1),OFFSET(Data_All!AL$8,$A$157,0,$C$157,1)))</f>
        <v>0.7559525357485446</v>
      </c>
      <c r="AM161" s="242">
        <f ca="1">IF(ISERROR(PEARSON(OFFSET(Returns_All!$CA$7,$A$157,0,$C$157,1),OFFSET(Data_All!AM$8,$A$157,0,$C$157,1))),"",PEARSON(OFFSET(Returns_All!$CA$7,$A$157,0,$C$157,1),OFFSET(Data_All!AM$8,$A$157,0,$C$157,1)))</f>
        <v>0.77095875153443416</v>
      </c>
      <c r="AN161" s="242">
        <f ca="1">IF(ISERROR(PEARSON(OFFSET(Returns_All!$CA$7,$A$157,0,$C$157,1),OFFSET(Data_All!AN$8,$A$157,0,$C$157,1))),"",PEARSON(OFFSET(Returns_All!$CA$7,$A$157,0,$C$157,1),OFFSET(Data_All!AN$8,$A$157,0,$C$157,1)))</f>
        <v>0.81370127130372749</v>
      </c>
      <c r="AO161" s="242">
        <f ca="1">IF(ISERROR(PEARSON(OFFSET(Returns_All!$CA$7,$A$157,0,$C$157,1),OFFSET(Data_All!AO$8,$A$157,0,$C$157,1))),"",PEARSON(OFFSET(Returns_All!$CA$7,$A$157,0,$C$157,1),OFFSET(Data_All!AO$8,$A$157,0,$C$157,1)))</f>
        <v>0.29549500751489</v>
      </c>
      <c r="AP161" s="242">
        <f ca="1">IF(ISERROR(PEARSON(OFFSET(Returns_All!$CA$7,$A$157,0,$C$157,1),OFFSET(Data_All!AP$8,$A$157,0,$C$157,1))),"",PEARSON(OFFSET(Returns_All!$CA$7,$A$157,0,$C$157,1),OFFSET(Data_All!AP$8,$A$157,0,$C$157,1)))</f>
        <v>0.66228791874174731</v>
      </c>
      <c r="AQ161" s="242" t="str">
        <f ca="1">IF(ISERROR(PEARSON(OFFSET(Returns_All!$CA$7,$A$157,0,$C$157,1),OFFSET(Data_All!AQ$8,$A$157,0,$C$157,1))),"",PEARSON(OFFSET(Returns_All!$CA$7,$A$157,0,$C$157,1),OFFSET(Data_All!AQ$8,$A$157,0,$C$157,1)))</f>
        <v/>
      </c>
      <c r="AR161" s="242" t="str">
        <f ca="1">IF(ISERROR(PEARSON(OFFSET(Returns_All!$CA$7,$A$157,0,$C$157,1),OFFSET(Data_All!AR$8,$A$157,0,$C$157,1))),"",PEARSON(OFFSET(Returns_All!$CA$7,$A$157,0,$C$157,1),OFFSET(Data_All!AR$8,$A$157,0,$C$157,1)))</f>
        <v/>
      </c>
      <c r="AS161" s="242" t="str">
        <f ca="1">IF(ISERROR(PEARSON(OFFSET(Returns_All!$CA$7,$A$157,0,$C$157,1),OFFSET(Data_All!AS$8,$A$157,0,$C$157,1))),"",PEARSON(OFFSET(Returns_All!$CA$7,$A$157,0,$C$157,1),OFFSET(Data_All!AS$8,$A$157,0,$C$157,1)))</f>
        <v/>
      </c>
      <c r="AT161" s="242" t="str">
        <f ca="1">IF(ISERROR(PEARSON(OFFSET(Returns_All!$CA$7,$A$157,0,$C$157,1),OFFSET(Data_All!AT$8,$A$157,0,$C$157,1))),"",PEARSON(OFFSET(Returns_All!$CA$7,$A$157,0,$C$157,1),OFFSET(Data_All!AT$8,$A$157,0,$C$157,1)))</f>
        <v/>
      </c>
      <c r="AU161" s="242" t="str">
        <f ca="1">IF(ISERROR(PEARSON(OFFSET(Returns_All!$CA$7,$A$157,0,$C$157,1),OFFSET(Data_All!AU$8,$A$157,0,$C$157,1))),"",PEARSON(OFFSET(Returns_All!$CA$7,$A$157,0,$C$157,1),OFFSET(Data_All!AU$8,$A$157,0,$C$157,1)))</f>
        <v/>
      </c>
      <c r="AV161" s="242" t="str">
        <f ca="1">IF(ISERROR(PEARSON(OFFSET(Returns_All!$CA$7,$A$157,0,$C$157,1),OFFSET(Data_All!AV$8,$A$157,0,$C$157,1))),"",PEARSON(OFFSET(Returns_All!$CA$7,$A$157,0,$C$157,1),OFFSET(Data_All!AV$8,$A$157,0,$C$157,1)))</f>
        <v/>
      </c>
      <c r="AW161" s="242" t="str">
        <f ca="1">IF(ISERROR(PEARSON(OFFSET(Returns_All!$CA$7,$A$157,0,$C$157,1),OFFSET(Data_All!AW$8,$A$157,0,$C$157,1))),"",PEARSON(OFFSET(Returns_All!$CA$7,$A$157,0,$C$157,1),OFFSET(Data_All!AW$8,$A$157,0,$C$157,1)))</f>
        <v/>
      </c>
      <c r="AX161" s="242" t="str">
        <f ca="1">IF(ISERROR(PEARSON(OFFSET(Returns_All!$CA$7,$A$157,0,$C$157,1),OFFSET(Data_All!AX$8,$A$157,0,$C$157,1))),"",PEARSON(OFFSET(Returns_All!$CA$7,$A$157,0,$C$157,1),OFFSET(Data_All!AX$8,$A$157,0,$C$157,1)))</f>
        <v/>
      </c>
      <c r="AY161" s="242" t="str">
        <f ca="1">IF(ISERROR(PEARSON(OFFSET(Returns_All!$CA$7,$A$157,0,$C$157,1),OFFSET(Data_All!AY$8,$A$157,0,$C$157,1))),"",PEARSON(OFFSET(Returns_All!$CA$7,$A$157,0,$C$157,1),OFFSET(Data_All!AY$8,$A$157,0,$C$157,1)))</f>
        <v/>
      </c>
      <c r="AZ161" s="242" t="str">
        <f ca="1">IF(ISERROR(PEARSON(OFFSET(Returns_All!$CA$7,$A$157,0,$C$157,1),OFFSET(Data_All!AZ$8,$A$157,0,$C$157,1))),"",PEARSON(OFFSET(Returns_All!$CA$7,$A$157,0,$C$157,1),OFFSET(Data_All!AZ$8,$A$157,0,$C$157,1)))</f>
        <v/>
      </c>
      <c r="BA161" s="242" t="str">
        <f ca="1">IF(ISERROR(PEARSON(OFFSET(Returns_All!$CA$7,$A$157,0,$C$157,1),OFFSET(Data_All!BA$8,$A$157,0,$C$157,1))),"",PEARSON(OFFSET(Returns_All!$CA$7,$A$157,0,$C$157,1),OFFSET(Data_All!BA$8,$A$157,0,$C$157,1)))</f>
        <v/>
      </c>
      <c r="BB161" s="242" t="str">
        <f ca="1">IF(ISERROR(PEARSON(OFFSET(Returns_All!$CA$7,$A$157,0,$C$157,1),OFFSET(Data_All!BB$8,$A$157,0,$C$157,1))),"",PEARSON(OFFSET(Returns_All!$CA$7,$A$157,0,$C$157,1),OFFSET(Data_All!BB$8,$A$157,0,$C$157,1)))</f>
        <v/>
      </c>
      <c r="BC161" s="242" t="str">
        <f ca="1">IF(ISERROR(PEARSON(OFFSET(Returns_All!$CA$7,$A$157,0,$C$157,1),OFFSET(Data_All!BC$8,$A$157,0,$C$157,1))),"",PEARSON(OFFSET(Returns_All!$CA$7,$A$157,0,$C$157,1),OFFSET(Data_All!BC$8,$A$157,0,$C$157,1)))</f>
        <v/>
      </c>
      <c r="BD161" s="242" t="str">
        <f ca="1">IF(ISERROR(PEARSON(OFFSET(Returns_All!$CA$7,$A$157,0,$C$157,1),OFFSET(Data_All!BD$8,$A$157,0,$C$157,1))),"",PEARSON(OFFSET(Returns_All!$CA$7,$A$157,0,$C$157,1),OFFSET(Data_All!BD$8,$A$157,0,$C$157,1)))</f>
        <v/>
      </c>
      <c r="BE161" s="242" t="str">
        <f ca="1">IF(ISERROR(PEARSON(OFFSET(Returns_All!$CA$7,$A$157,0,$C$157,1),OFFSET(Data_All!BE$8,$A$157,0,$C$157,1))),"",PEARSON(OFFSET(Returns_All!$CA$7,$A$157,0,$C$157,1),OFFSET(Data_All!BE$8,$A$157,0,$C$157,1)))</f>
        <v/>
      </c>
      <c r="BF161" s="242" t="str">
        <f ca="1">IF(ISERROR(PEARSON(OFFSET(Returns_All!$CA$7,$A$157,0,$C$157,1),OFFSET(Data_All!BF$8,$A$157,0,$C$157,1))),"",PEARSON(OFFSET(Returns_All!$CA$7,$A$157,0,$C$157,1),OFFSET(Data_All!BF$8,$A$157,0,$C$157,1)))</f>
        <v/>
      </c>
      <c r="BG161" s="242" t="str">
        <f ca="1">IF(ISERROR(PEARSON(OFFSET(Returns_All!$CA$7,$A$157,0,$C$157,1),OFFSET(Data_All!BG$8,$A$157,0,$C$157,1))),"",PEARSON(OFFSET(Returns_All!$CA$7,$A$157,0,$C$157,1),OFFSET(Data_All!BG$8,$A$157,0,$C$157,1)))</f>
        <v/>
      </c>
      <c r="BH161" s="242" t="str">
        <f ca="1">IF(ISERROR(PEARSON(OFFSET(Returns_All!$CA$7,$A$157,0,$C$157,1),OFFSET(Data_All!BH$8,$A$157,0,$C$157,1))),"",PEARSON(OFFSET(Returns_All!$CA$7,$A$157,0,$C$157,1),OFFSET(Data_All!BH$8,$A$157,0,$C$157,1)))</f>
        <v/>
      </c>
      <c r="BI161" s="242" t="str">
        <f ca="1">IF(ISERROR(PEARSON(OFFSET(Returns_All!$CA$7,$A$157,0,$C$157,1),OFFSET(Data_All!BI$8,$A$157,0,$C$157,1))),"",PEARSON(OFFSET(Returns_All!$CA$7,$A$157,0,$C$157,1),OFFSET(Data_All!BI$8,$A$157,0,$C$157,1)))</f>
        <v/>
      </c>
      <c r="BJ161" s="242" t="str">
        <f ca="1">IF(ISERROR(PEARSON(OFFSET(Returns_All!$CA$7,$A$157,0,$C$157,1),OFFSET(Data_All!BJ$8,$A$157,0,$C$157,1))),"",PEARSON(OFFSET(Returns_All!$CA$7,$A$157,0,$C$157,1),OFFSET(Data_All!BJ$8,$A$157,0,$C$157,1)))</f>
        <v/>
      </c>
      <c r="BK161" s="242" t="str">
        <f ca="1">IF(ISERROR(PEARSON(OFFSET(Returns_All!$CA$7,$A$157,0,$C$157,1),OFFSET(Data_All!BK$8,$A$157,0,$C$157,1))),"",PEARSON(OFFSET(Returns_All!$CA$7,$A$157,0,$C$157,1),OFFSET(Data_All!BK$8,$A$157,0,$C$157,1)))</f>
        <v/>
      </c>
      <c r="BL161" s="242" t="str">
        <f ca="1">IF(ISERROR(PEARSON(OFFSET(Returns_All!$CA$7,$A$157,0,$C$157,1),OFFSET(Data_All!BL$8,$A$157,0,$C$157,1))),"",PEARSON(OFFSET(Returns_All!$CA$7,$A$157,0,$C$157,1),OFFSET(Data_All!BL$8,$A$157,0,$C$157,1)))</f>
        <v/>
      </c>
      <c r="BM161" s="242" t="str">
        <f ca="1">IF(ISERROR(PEARSON(OFFSET(Returns_All!$CA$7,$A$157,0,$C$157,1),OFFSET(Data_All!BM$8,$A$157,0,$C$157,1))),"",PEARSON(OFFSET(Returns_All!$CA$7,$A$157,0,$C$157,1),OFFSET(Data_All!BM$8,$A$157,0,$C$157,1)))</f>
        <v/>
      </c>
      <c r="BN161" s="242" t="str">
        <f ca="1">IF(ISERROR(PEARSON(OFFSET(Returns_All!$CA$7,$A$157,0,$C$157,1),OFFSET(Data_All!BN$8,$A$157,0,$C$157,1))),"",PEARSON(OFFSET(Returns_All!$CA$7,$A$157,0,$C$157,1),OFFSET(Data_All!BN$8,$A$157,0,$C$157,1)))</f>
        <v/>
      </c>
      <c r="BO161" s="242" t="str">
        <f ca="1">IF(ISERROR(PEARSON(OFFSET(Returns_All!$CA$7,$A$157,0,$C$157,1),OFFSET(Data_All!BO$8,$A$157,0,$C$157,1))),"",PEARSON(OFFSET(Returns_All!$CA$7,$A$157,0,$C$157,1),OFFSET(Data_All!BO$8,$A$157,0,$C$157,1)))</f>
        <v/>
      </c>
      <c r="BP161" s="242" t="str">
        <f ca="1">IF(ISERROR(PEARSON(OFFSET(Returns_All!$CA$7,$A$157,0,$C$157,1),OFFSET(Data_All!BP$8,$A$157,0,$C$157,1))),"",PEARSON(OFFSET(Returns_All!$CA$7,$A$157,0,$C$157,1),OFFSET(Data_All!BP$8,$A$157,0,$C$157,1)))</f>
        <v/>
      </c>
      <c r="BQ161" s="242" t="str">
        <f ca="1">IF(ISERROR(PEARSON(OFFSET(Returns_All!$CA$7,$A$157,0,$C$157,1),OFFSET(Data_All!BQ$8,$A$157,0,$C$157,1))),"",PEARSON(OFFSET(Returns_All!$CA$7,$A$157,0,$C$157,1),OFFSET(Data_All!BQ$8,$A$157,0,$C$157,1)))</f>
        <v/>
      </c>
      <c r="BR161" s="242" t="str">
        <f ca="1">IF(ISERROR(PEARSON(OFFSET(Returns_All!$CA$7,$A$157,0,$C$157,1),OFFSET(Data_All!BR$8,$A$157,0,$C$157,1))),"",PEARSON(OFFSET(Returns_All!$CA$7,$A$157,0,$C$157,1),OFFSET(Data_All!BR$8,$A$157,0,$C$157,1)))</f>
        <v/>
      </c>
      <c r="BS161" s="242" t="str">
        <f ca="1">IF(ISERROR(PEARSON(OFFSET(Returns_All!$CA$7,$A$157,0,$C$157,1),OFFSET(Data_All!BS$8,$A$157,0,$C$157,1))),"",PEARSON(OFFSET(Returns_All!$CA$7,$A$157,0,$C$157,1),OFFSET(Data_All!BS$8,$A$157,0,$C$157,1)))</f>
        <v/>
      </c>
      <c r="BT161" s="242" t="str">
        <f ca="1">IF(ISERROR(PEARSON(OFFSET(Returns_All!$CA$7,$A$157,0,$C$157,1),OFFSET(Data_All!BT$8,$A$157,0,$C$157,1))),"",PEARSON(OFFSET(Returns_All!$CA$7,$A$157,0,$C$157,1),OFFSET(Data_All!BT$8,$A$157,0,$C$157,1)))</f>
        <v/>
      </c>
      <c r="BU161" s="242" t="str">
        <f ca="1">IF(ISERROR(PEARSON(OFFSET(Returns_All!$CA$7,$A$157,0,$C$157,1),OFFSET(Data_All!BU$8,$A$157,0,$C$157,1))),"",PEARSON(OFFSET(Returns_All!$CA$7,$A$157,0,$C$157,1),OFFSET(Data_All!BU$8,$A$157,0,$C$157,1)))</f>
        <v/>
      </c>
      <c r="BV161" s="242" t="str">
        <f ca="1">IF(ISERROR(PEARSON(OFFSET(Returns_All!$CA$7,$A$157,0,$C$157,1),OFFSET(Data_All!BV$8,$A$157,0,$C$157,1))),"",PEARSON(OFFSET(Returns_All!$CA$7,$A$157,0,$C$157,1),OFFSET(Data_All!BV$8,$A$157,0,$C$157,1)))</f>
        <v/>
      </c>
      <c r="BW161" s="242" t="str">
        <f ca="1">IF(ISERROR(PEARSON(OFFSET(Returns_All!$CA$7,$A$157,0,$C$157,1),OFFSET(Data_All!BW$8,$A$157,0,$C$157,1))),"",PEARSON(OFFSET(Returns_All!$CA$7,$A$157,0,$C$157,1),OFFSET(Data_All!BW$8,$A$157,0,$C$157,1)))</f>
        <v/>
      </c>
      <c r="BX161" s="242">
        <f ca="1">IF(ISERROR(PEARSON(OFFSET(Returns_All!$CA$7,$A$157,0,$C$157,1),OFFSET(Data_All!BX$8,$A$157,0,$C$157,1))),"",PEARSON(OFFSET(Returns_All!$CA$7,$A$157,0,$C$157,1),OFFSET(Data_All!BX$8,$A$157,0,$C$157,1)))</f>
        <v>0.9834392447657001</v>
      </c>
      <c r="BY161" s="242">
        <f ca="1">IF(ISERROR(PEARSON(OFFSET(Returns_All!$CA$7,$A$157,0,$C$157,1),OFFSET(Data_All!BY$8,$A$157,0,$C$157,1))),"",PEARSON(OFFSET(Returns_All!$CA$7,$A$157,0,$C$157,1),OFFSET(Data_All!BY$8,$A$157,0,$C$157,1)))</f>
        <v>0.1800081305047799</v>
      </c>
      <c r="BZ161" s="457">
        <f ca="1">IF(ISERROR(PEARSON(OFFSET(Returns_All!$CA$7,$A$157,0,$C$157,1),OFFSET(Data_All!BZ$8,$A$157,0,$C$157,1))),"",PEARSON(OFFSET(Returns_All!$CA$7,$A$157,0,$C$157,1),OFFSET(Data_All!BZ$8,$A$157,0,$C$157,1)))</f>
        <v>2.6909948268668597E-2</v>
      </c>
      <c r="CA161" s="170"/>
      <c r="CO161" s="189"/>
    </row>
    <row r="162" spans="1:103" ht="13" thickTop="1">
      <c r="BA162"/>
      <c r="CO162" s="189"/>
    </row>
    <row r="163" spans="1:103" ht="13" thickBot="1">
      <c r="T163" s="143"/>
      <c r="Z163" s="143"/>
      <c r="BA163"/>
      <c r="CO163" s="189"/>
    </row>
    <row r="164" spans="1:103" ht="17" thickTop="1" thickBot="1">
      <c r="A164" s="243" t="s">
        <v>412</v>
      </c>
      <c r="B164" s="244"/>
      <c r="C164" s="244"/>
      <c r="D164" s="245"/>
      <c r="BA164"/>
      <c r="CO164" s="189"/>
    </row>
    <row r="165" spans="1:103" ht="49" thickTop="1">
      <c r="A165" s="246" t="s">
        <v>369</v>
      </c>
      <c r="B165" s="232" t="str">
        <f>B$1</f>
        <v>MKT-TSM</v>
      </c>
      <c r="C165" s="232" t="str">
        <f t="shared" ref="C165:BN165" si="84">C$1</f>
        <v>LCV</v>
      </c>
      <c r="D165" s="232" t="str">
        <f t="shared" si="84"/>
        <v>500 Idx</v>
      </c>
      <c r="E165" s="232" t="str">
        <f t="shared" si="84"/>
        <v>LCG</v>
      </c>
      <c r="F165" s="232" t="str">
        <f t="shared" si="84"/>
        <v>MCB</v>
      </c>
      <c r="G165" s="232" t="str">
        <f t="shared" si="84"/>
        <v>SCV</v>
      </c>
      <c r="H165" s="232" t="str">
        <f t="shared" si="84"/>
        <v>SCB</v>
      </c>
      <c r="I165" s="232" t="str">
        <f t="shared" si="84"/>
        <v>SCG</v>
      </c>
      <c r="J165" s="232" t="str">
        <f t="shared" si="84"/>
        <v>D10</v>
      </c>
      <c r="K165" s="232" t="str">
        <f t="shared" si="84"/>
        <v>REIT</v>
      </c>
      <c r="L165" s="232" t="str">
        <f t="shared" si="84"/>
        <v>EAFED</v>
      </c>
      <c r="M165" s="232" t="str">
        <f t="shared" si="84"/>
        <v>EM</v>
      </c>
      <c r="N165" s="232" t="str">
        <f t="shared" si="84"/>
        <v>Total Intl</v>
      </c>
      <c r="O165" s="232" t="str">
        <f t="shared" si="84"/>
        <v>Pacific</v>
      </c>
      <c r="P165" s="232" t="str">
        <f t="shared" si="84"/>
        <v>Europe</v>
      </c>
      <c r="Q165" s="232" t="str">
        <f t="shared" si="84"/>
        <v>Intl Value</v>
      </c>
      <c r="R165" s="232" t="str">
        <f t="shared" si="84"/>
        <v>COMM</v>
      </c>
      <c r="S165" s="232" t="str">
        <f t="shared" si="84"/>
        <v>LTGB</v>
      </c>
      <c r="T165" s="232" t="str">
        <f t="shared" si="84"/>
        <v>5 Yr T</v>
      </c>
      <c r="U165" s="232" t="str">
        <f t="shared" si="84"/>
        <v>ITB</v>
      </c>
      <c r="V165" s="232" t="str">
        <f t="shared" si="84"/>
        <v>TBILL</v>
      </c>
      <c r="W165" s="232" t="str">
        <f t="shared" si="84"/>
        <v>S-TIPS</v>
      </c>
      <c r="X165" s="232" t="str">
        <f t="shared" si="84"/>
        <v>Wellington</v>
      </c>
      <c r="Y165" s="232" t="str">
        <f t="shared" si="84"/>
        <v>Wellesley</v>
      </c>
      <c r="Z165" s="232" t="str">
        <f t="shared" si="84"/>
        <v>Windsor</v>
      </c>
      <c r="AA165" s="232" t="str">
        <f t="shared" si="84"/>
        <v>ST Trsry</v>
      </c>
      <c r="AB165" s="232" t="str">
        <f t="shared" si="84"/>
        <v>GOLD</v>
      </c>
      <c r="AC165" s="232" t="str">
        <f t="shared" si="84"/>
        <v>VG Intl Small</v>
      </c>
      <c r="AD165" s="232" t="str">
        <f t="shared" si="84"/>
        <v>Energy</v>
      </c>
      <c r="AE165" s="232" t="str">
        <f t="shared" si="84"/>
        <v>Health</v>
      </c>
      <c r="AF165" s="232" t="str">
        <f t="shared" si="84"/>
        <v>P.Metals</v>
      </c>
      <c r="AG165" s="232" t="str">
        <f t="shared" si="84"/>
        <v>Windsor II</v>
      </c>
      <c r="AH165" s="232" t="str">
        <f t="shared" si="84"/>
        <v>V ST TE</v>
      </c>
      <c r="AI165" s="232" t="str">
        <f t="shared" si="84"/>
        <v>V Int TE</v>
      </c>
      <c r="AJ165" s="232" t="str">
        <f t="shared" si="84"/>
        <v>V LT TE</v>
      </c>
      <c r="AK165" s="232" t="str">
        <f t="shared" si="84"/>
        <v>Hi-Yld C</v>
      </c>
      <c r="AL165" s="232" t="str">
        <f t="shared" si="84"/>
        <v>MidCap Growth</v>
      </c>
      <c r="AM165" s="232" t="str">
        <f t="shared" si="84"/>
        <v>MidCap Val</v>
      </c>
      <c r="AN165" s="232" t="str">
        <f t="shared" si="84"/>
        <v>V Ext Mkt</v>
      </c>
      <c r="AO165" s="232" t="str">
        <f t="shared" si="84"/>
        <v>Global Bd Fund</v>
      </c>
      <c r="AP165" s="232" t="str">
        <f t="shared" si="84"/>
        <v>ST Invest. Grade</v>
      </c>
      <c r="AQ165" s="232" t="str">
        <f t="shared" si="84"/>
        <v/>
      </c>
      <c r="AR165" s="232" t="str">
        <f t="shared" si="84"/>
        <v/>
      </c>
      <c r="AS165" s="232" t="str">
        <f t="shared" si="84"/>
        <v/>
      </c>
      <c r="AT165" s="232" t="str">
        <f t="shared" si="84"/>
        <v/>
      </c>
      <c r="AU165" s="232" t="str">
        <f t="shared" si="84"/>
        <v/>
      </c>
      <c r="AV165" s="232" t="str">
        <f t="shared" si="84"/>
        <v/>
      </c>
      <c r="AW165" s="232" t="str">
        <f t="shared" si="84"/>
        <v/>
      </c>
      <c r="AX165" s="232" t="str">
        <f t="shared" si="84"/>
        <v/>
      </c>
      <c r="AY165" s="232" t="str">
        <f t="shared" si="84"/>
        <v/>
      </c>
      <c r="AZ165" s="232" t="str">
        <f t="shared" si="84"/>
        <v/>
      </c>
      <c r="BA165" s="232" t="str">
        <f t="shared" si="84"/>
        <v/>
      </c>
      <c r="BB165" s="232" t="str">
        <f t="shared" si="84"/>
        <v/>
      </c>
      <c r="BC165" s="232" t="str">
        <f t="shared" si="84"/>
        <v/>
      </c>
      <c r="BD165" s="232" t="str">
        <f t="shared" si="84"/>
        <v/>
      </c>
      <c r="BE165" s="232" t="str">
        <f t="shared" si="84"/>
        <v/>
      </c>
      <c r="BF165" s="232" t="str">
        <f t="shared" si="84"/>
        <v/>
      </c>
      <c r="BG165" s="232" t="str">
        <f t="shared" si="84"/>
        <v/>
      </c>
      <c r="BH165" s="232" t="str">
        <f t="shared" si="84"/>
        <v/>
      </c>
      <c r="BI165" s="232" t="str">
        <f t="shared" si="84"/>
        <v/>
      </c>
      <c r="BJ165" s="232" t="str">
        <f t="shared" si="84"/>
        <v/>
      </c>
      <c r="BK165" s="232" t="str">
        <f t="shared" si="84"/>
        <v/>
      </c>
      <c r="BL165" s="232" t="str">
        <f t="shared" si="84"/>
        <v/>
      </c>
      <c r="BM165" s="232" t="str">
        <f t="shared" si="84"/>
        <v/>
      </c>
      <c r="BN165" s="232" t="str">
        <f t="shared" si="84"/>
        <v/>
      </c>
      <c r="BO165" s="232" t="str">
        <f t="shared" ref="BO165:BZ165" si="85">BO$1</f>
        <v/>
      </c>
      <c r="BP165" s="232" t="str">
        <f t="shared" si="85"/>
        <v/>
      </c>
      <c r="BQ165" s="232" t="str">
        <f t="shared" si="85"/>
        <v/>
      </c>
      <c r="BR165" s="232" t="str">
        <f t="shared" si="85"/>
        <v/>
      </c>
      <c r="BS165" s="232" t="str">
        <f t="shared" si="85"/>
        <v/>
      </c>
      <c r="BT165" s="232" t="str">
        <f t="shared" si="85"/>
        <v/>
      </c>
      <c r="BU165" s="232" t="str">
        <f t="shared" si="85"/>
        <v/>
      </c>
      <c r="BV165" s="232" t="str">
        <f t="shared" si="85"/>
        <v/>
      </c>
      <c r="BW165" s="232" t="str">
        <f t="shared" si="85"/>
        <v/>
      </c>
      <c r="BX165" s="232" t="str">
        <f t="shared" si="85"/>
        <v>S&amp;P500(h)</v>
      </c>
      <c r="BY165" s="232" t="str">
        <f t="shared" si="85"/>
        <v>IT Bonds(h)</v>
      </c>
      <c r="BZ165" s="232" t="str">
        <f t="shared" si="85"/>
        <v>TBills(h)</v>
      </c>
      <c r="CA165" s="563" t="s">
        <v>388</v>
      </c>
      <c r="CB165" s="191" t="s">
        <v>175</v>
      </c>
      <c r="CC165" s="194" t="s">
        <v>389</v>
      </c>
      <c r="CD165" s="195" t="s">
        <v>631</v>
      </c>
      <c r="CE165" s="156" t="str">
        <f>"Growth of "&amp;TEXT(CB4,"0")</f>
        <v>Growth of 10000</v>
      </c>
      <c r="CF165" s="181" t="s">
        <v>390</v>
      </c>
      <c r="CG165" s="26"/>
      <c r="CN165" s="181" t="s">
        <v>393</v>
      </c>
      <c r="CO165" s="181" t="s">
        <v>394</v>
      </c>
      <c r="CP165" s="181" t="s">
        <v>395</v>
      </c>
      <c r="CQ165" s="181" t="s">
        <v>396</v>
      </c>
      <c r="CR165" s="181" t="s">
        <v>397</v>
      </c>
      <c r="CU165" s="181" t="s">
        <v>398</v>
      </c>
      <c r="CV165" s="181" t="s">
        <v>399</v>
      </c>
      <c r="CW165" s="181" t="s">
        <v>400</v>
      </c>
      <c r="CX165" s="181" t="s">
        <v>401</v>
      </c>
      <c r="CY165" s="181" t="s">
        <v>402</v>
      </c>
    </row>
    <row r="166" spans="1:103">
      <c r="A166" s="204" t="s">
        <v>309</v>
      </c>
      <c r="B166" s="165" t="str">
        <f>B$2</f>
        <v>VTSMX</v>
      </c>
      <c r="C166" s="165" t="str">
        <f t="shared" ref="C166:BN166" si="86">C$2</f>
        <v>VIVAX</v>
      </c>
      <c r="D166" s="165" t="str">
        <f t="shared" si="86"/>
        <v>VFINX</v>
      </c>
      <c r="E166" s="165" t="str">
        <f t="shared" si="86"/>
        <v>VIGRX</v>
      </c>
      <c r="F166" s="165" t="str">
        <f t="shared" si="86"/>
        <v>VIMSX</v>
      </c>
      <c r="G166" s="165" t="str">
        <f t="shared" si="86"/>
        <v>VISVX</v>
      </c>
      <c r="H166" s="165" t="str">
        <f t="shared" si="86"/>
        <v>NAESX</v>
      </c>
      <c r="I166" s="165" t="str">
        <f t="shared" si="86"/>
        <v>VISGX</v>
      </c>
      <c r="J166" s="165" t="str">
        <f t="shared" si="86"/>
        <v>BRSIX</v>
      </c>
      <c r="K166" s="165" t="str">
        <f t="shared" si="86"/>
        <v>VGSIX</v>
      </c>
      <c r="L166" s="165" t="str">
        <f t="shared" si="86"/>
        <v>VTMGX</v>
      </c>
      <c r="M166" s="165" t="str">
        <f t="shared" si="86"/>
        <v>VEIEX</v>
      </c>
      <c r="N166" s="165" t="str">
        <f t="shared" si="86"/>
        <v>VGTSX</v>
      </c>
      <c r="O166" s="165" t="str">
        <f t="shared" si="86"/>
        <v>VPACX</v>
      </c>
      <c r="P166" s="165" t="str">
        <f t="shared" si="86"/>
        <v>VEURX</v>
      </c>
      <c r="Q166" s="165" t="str">
        <f t="shared" si="86"/>
        <v>VTRIX</v>
      </c>
      <c r="R166" s="165" t="str">
        <f t="shared" si="86"/>
        <v>PCRIX</v>
      </c>
      <c r="S166" s="165" t="str">
        <f t="shared" si="86"/>
        <v>VUSTX</v>
      </c>
      <c r="T166" s="165" t="str">
        <f t="shared" si="86"/>
        <v>VFITX</v>
      </c>
      <c r="U166" s="165" t="str">
        <f t="shared" si="86"/>
        <v>VBMFX</v>
      </c>
      <c r="V166" s="165" t="str">
        <f t="shared" si="86"/>
        <v>VUSXX</v>
      </c>
      <c r="W166" s="165" t="str">
        <f t="shared" si="86"/>
        <v>VIPSX</v>
      </c>
      <c r="X166" s="165" t="str">
        <f t="shared" si="86"/>
        <v>VWELX</v>
      </c>
      <c r="Y166" s="165" t="str">
        <f t="shared" si="86"/>
        <v>VWINX</v>
      </c>
      <c r="Z166" s="165" t="str">
        <f t="shared" si="86"/>
        <v>VWNDX</v>
      </c>
      <c r="AA166" s="165" t="str">
        <f t="shared" si="86"/>
        <v>VFISX</v>
      </c>
      <c r="AB166" s="165" t="str">
        <f t="shared" si="86"/>
        <v>GLD</v>
      </c>
      <c r="AC166" s="165" t="str">
        <f t="shared" si="86"/>
        <v>VFSVX</v>
      </c>
      <c r="AD166" s="165" t="str">
        <f t="shared" si="86"/>
        <v>VGENX</v>
      </c>
      <c r="AE166" s="165" t="str">
        <f t="shared" si="86"/>
        <v>VGHCX</v>
      </c>
      <c r="AF166" s="165" t="str">
        <f t="shared" si="86"/>
        <v>VGPMX</v>
      </c>
      <c r="AG166" s="165" t="str">
        <f t="shared" si="86"/>
        <v>VWNFX</v>
      </c>
      <c r="AH166" s="165" t="str">
        <f t="shared" si="86"/>
        <v>VWSTX</v>
      </c>
      <c r="AI166" s="165" t="str">
        <f t="shared" si="86"/>
        <v>VWITX</v>
      </c>
      <c r="AJ166" s="165" t="str">
        <f t="shared" si="86"/>
        <v>VWLTX</v>
      </c>
      <c r="AK166" s="165" t="str">
        <f t="shared" si="86"/>
        <v>VWEHX</v>
      </c>
      <c r="AL166" s="165" t="str">
        <f t="shared" si="86"/>
        <v>VMGIX</v>
      </c>
      <c r="AM166" s="165" t="str">
        <f t="shared" si="86"/>
        <v>VMVIX</v>
      </c>
      <c r="AN166" s="165" t="str">
        <f t="shared" si="86"/>
        <v>VEXMX</v>
      </c>
      <c r="AO166" s="165" t="str">
        <f t="shared" si="86"/>
        <v>PIGLX</v>
      </c>
      <c r="AP166" s="165" t="str">
        <f t="shared" si="86"/>
        <v>VFSTX</v>
      </c>
      <c r="AQ166" s="165" t="str">
        <f t="shared" si="86"/>
        <v/>
      </c>
      <c r="AR166" s="165" t="str">
        <f t="shared" si="86"/>
        <v/>
      </c>
      <c r="AS166" s="165" t="str">
        <f t="shared" si="86"/>
        <v/>
      </c>
      <c r="AT166" s="165" t="str">
        <f t="shared" si="86"/>
        <v/>
      </c>
      <c r="AU166" s="165" t="str">
        <f t="shared" si="86"/>
        <v/>
      </c>
      <c r="AV166" s="165" t="str">
        <f t="shared" si="86"/>
        <v/>
      </c>
      <c r="AW166" s="165" t="str">
        <f t="shared" si="86"/>
        <v/>
      </c>
      <c r="AX166" s="165" t="str">
        <f t="shared" si="86"/>
        <v/>
      </c>
      <c r="AY166" s="165" t="str">
        <f t="shared" si="86"/>
        <v/>
      </c>
      <c r="AZ166" s="165" t="str">
        <f t="shared" si="86"/>
        <v/>
      </c>
      <c r="BA166" s="165" t="str">
        <f t="shared" si="86"/>
        <v/>
      </c>
      <c r="BB166" s="165" t="str">
        <f t="shared" si="86"/>
        <v/>
      </c>
      <c r="BC166" s="165" t="str">
        <f t="shared" si="86"/>
        <v/>
      </c>
      <c r="BD166" s="165" t="str">
        <f t="shared" si="86"/>
        <v/>
      </c>
      <c r="BE166" s="165" t="str">
        <f t="shared" si="86"/>
        <v/>
      </c>
      <c r="BF166" s="165" t="str">
        <f t="shared" si="86"/>
        <v/>
      </c>
      <c r="BG166" s="165" t="str">
        <f t="shared" si="86"/>
        <v/>
      </c>
      <c r="BH166" s="165" t="str">
        <f t="shared" si="86"/>
        <v/>
      </c>
      <c r="BI166" s="165" t="str">
        <f t="shared" si="86"/>
        <v/>
      </c>
      <c r="BJ166" s="165" t="str">
        <f t="shared" si="86"/>
        <v/>
      </c>
      <c r="BK166" s="165" t="str">
        <f t="shared" si="86"/>
        <v/>
      </c>
      <c r="BL166" s="165" t="str">
        <f t="shared" si="86"/>
        <v/>
      </c>
      <c r="BM166" s="165" t="str">
        <f t="shared" si="86"/>
        <v/>
      </c>
      <c r="BN166" s="165" t="str">
        <f t="shared" si="86"/>
        <v/>
      </c>
      <c r="BO166" s="165" t="str">
        <f t="shared" ref="BO166:BZ166" si="87">BO$2</f>
        <v/>
      </c>
      <c r="BP166" s="165" t="str">
        <f t="shared" si="87"/>
        <v/>
      </c>
      <c r="BQ166" s="165" t="str">
        <f t="shared" si="87"/>
        <v/>
      </c>
      <c r="BR166" s="165" t="str">
        <f t="shared" si="87"/>
        <v/>
      </c>
      <c r="BS166" s="165" t="str">
        <f t="shared" si="87"/>
        <v/>
      </c>
      <c r="BT166" s="165" t="str">
        <f t="shared" si="87"/>
        <v/>
      </c>
      <c r="BU166" s="165" t="str">
        <f t="shared" si="87"/>
        <v/>
      </c>
      <c r="BV166" s="165" t="str">
        <f t="shared" si="87"/>
        <v/>
      </c>
      <c r="BW166" s="165" t="str">
        <f t="shared" si="87"/>
        <v/>
      </c>
      <c r="BX166" s="165" t="str">
        <f t="shared" si="87"/>
        <v>S&amp;P500(h)</v>
      </c>
      <c r="BY166" s="165" t="str">
        <f t="shared" si="87"/>
        <v>IT Bonds(h)</v>
      </c>
      <c r="BZ166" s="165" t="str">
        <f t="shared" si="87"/>
        <v>TBills(h)</v>
      </c>
      <c r="CA166" s="164"/>
      <c r="CB166" s="197"/>
      <c r="CC166" s="197"/>
      <c r="CD166" s="198"/>
      <c r="CE166" s="36">
        <f>CB4/10000</f>
        <v>1</v>
      </c>
      <c r="CF166" s="36"/>
      <c r="CG166" s="199">
        <f>AVERAGE(CG169:CG314)</f>
        <v>5.1718906811947282E-2</v>
      </c>
      <c r="CO166" s="189"/>
    </row>
    <row r="167" spans="1:103">
      <c r="A167" s="424" t="s">
        <v>433</v>
      </c>
      <c r="B167" s="200">
        <f>B$3</f>
        <v>0</v>
      </c>
      <c r="C167" s="200">
        <f t="shared" ref="C167:BN167" si="88">C$3</f>
        <v>0</v>
      </c>
      <c r="D167" s="200">
        <f t="shared" si="88"/>
        <v>0</v>
      </c>
      <c r="E167" s="200">
        <f t="shared" si="88"/>
        <v>0</v>
      </c>
      <c r="F167" s="200">
        <f t="shared" si="88"/>
        <v>0</v>
      </c>
      <c r="G167" s="200">
        <f t="shared" si="88"/>
        <v>0</v>
      </c>
      <c r="H167" s="200">
        <f t="shared" si="88"/>
        <v>0</v>
      </c>
      <c r="I167" s="200">
        <f t="shared" si="88"/>
        <v>0</v>
      </c>
      <c r="J167" s="200">
        <f t="shared" si="88"/>
        <v>0</v>
      </c>
      <c r="K167" s="200">
        <f t="shared" si="88"/>
        <v>0</v>
      </c>
      <c r="L167" s="200">
        <f t="shared" si="88"/>
        <v>0</v>
      </c>
      <c r="M167" s="200">
        <f t="shared" si="88"/>
        <v>0</v>
      </c>
      <c r="N167" s="200">
        <f t="shared" si="88"/>
        <v>0</v>
      </c>
      <c r="O167" s="200">
        <f t="shared" si="88"/>
        <v>0</v>
      </c>
      <c r="P167" s="200">
        <f t="shared" si="88"/>
        <v>0</v>
      </c>
      <c r="Q167" s="200">
        <f t="shared" si="88"/>
        <v>0</v>
      </c>
      <c r="R167" s="200">
        <f t="shared" si="88"/>
        <v>0</v>
      </c>
      <c r="S167" s="200">
        <f t="shared" si="88"/>
        <v>0</v>
      </c>
      <c r="T167" s="200">
        <f t="shared" si="88"/>
        <v>0</v>
      </c>
      <c r="U167" s="200">
        <f t="shared" si="88"/>
        <v>0</v>
      </c>
      <c r="V167" s="200">
        <f t="shared" si="88"/>
        <v>0</v>
      </c>
      <c r="W167" s="200">
        <f t="shared" si="88"/>
        <v>0</v>
      </c>
      <c r="X167" s="200">
        <f t="shared" si="88"/>
        <v>0</v>
      </c>
      <c r="Y167" s="200">
        <f t="shared" si="88"/>
        <v>0</v>
      </c>
      <c r="Z167" s="200">
        <f t="shared" si="88"/>
        <v>0</v>
      </c>
      <c r="AA167" s="200">
        <f t="shared" si="88"/>
        <v>0</v>
      </c>
      <c r="AB167" s="200">
        <f t="shared" si="88"/>
        <v>0</v>
      </c>
      <c r="AC167" s="200">
        <f t="shared" si="88"/>
        <v>0</v>
      </c>
      <c r="AD167" s="200">
        <f t="shared" si="88"/>
        <v>0</v>
      </c>
      <c r="AE167" s="200">
        <f t="shared" si="88"/>
        <v>0</v>
      </c>
      <c r="AF167" s="200">
        <f t="shared" si="88"/>
        <v>0</v>
      </c>
      <c r="AG167" s="200">
        <f t="shared" si="88"/>
        <v>0</v>
      </c>
      <c r="AH167" s="200">
        <f t="shared" si="88"/>
        <v>0</v>
      </c>
      <c r="AI167" s="200">
        <f t="shared" si="88"/>
        <v>0</v>
      </c>
      <c r="AJ167" s="200">
        <f t="shared" si="88"/>
        <v>0</v>
      </c>
      <c r="AK167" s="200">
        <f t="shared" si="88"/>
        <v>0</v>
      </c>
      <c r="AL167" s="200">
        <f t="shared" si="88"/>
        <v>0</v>
      </c>
      <c r="AM167" s="200">
        <f t="shared" si="88"/>
        <v>0</v>
      </c>
      <c r="AN167" s="200">
        <f t="shared" si="88"/>
        <v>0</v>
      </c>
      <c r="AO167" s="200">
        <f t="shared" si="88"/>
        <v>0</v>
      </c>
      <c r="AP167" s="200">
        <f t="shared" si="88"/>
        <v>0</v>
      </c>
      <c r="AQ167" s="200">
        <f t="shared" si="88"/>
        <v>0</v>
      </c>
      <c r="AR167" s="200">
        <f t="shared" si="88"/>
        <v>0</v>
      </c>
      <c r="AS167" s="200">
        <f t="shared" si="88"/>
        <v>0</v>
      </c>
      <c r="AT167" s="200">
        <f t="shared" si="88"/>
        <v>0</v>
      </c>
      <c r="AU167" s="200">
        <f t="shared" si="88"/>
        <v>0</v>
      </c>
      <c r="AV167" s="200">
        <f t="shared" si="88"/>
        <v>0</v>
      </c>
      <c r="AW167" s="200">
        <f t="shared" si="88"/>
        <v>0</v>
      </c>
      <c r="AX167" s="200">
        <f t="shared" si="88"/>
        <v>0</v>
      </c>
      <c r="AY167" s="200">
        <f t="shared" si="88"/>
        <v>0</v>
      </c>
      <c r="AZ167" s="200">
        <f t="shared" si="88"/>
        <v>0</v>
      </c>
      <c r="BA167" s="200">
        <f t="shared" si="88"/>
        <v>0</v>
      </c>
      <c r="BB167" s="200">
        <f t="shared" si="88"/>
        <v>0</v>
      </c>
      <c r="BC167" s="200">
        <f t="shared" si="88"/>
        <v>0</v>
      </c>
      <c r="BD167" s="200">
        <f t="shared" si="88"/>
        <v>0</v>
      </c>
      <c r="BE167" s="200">
        <f t="shared" si="88"/>
        <v>0</v>
      </c>
      <c r="BF167" s="200">
        <f t="shared" si="88"/>
        <v>0</v>
      </c>
      <c r="BG167" s="200">
        <f t="shared" si="88"/>
        <v>0</v>
      </c>
      <c r="BH167" s="200">
        <f t="shared" si="88"/>
        <v>0</v>
      </c>
      <c r="BI167" s="200">
        <f t="shared" si="88"/>
        <v>0</v>
      </c>
      <c r="BJ167" s="200">
        <f t="shared" si="88"/>
        <v>0</v>
      </c>
      <c r="BK167" s="200">
        <f t="shared" si="88"/>
        <v>0</v>
      </c>
      <c r="BL167" s="200">
        <f t="shared" si="88"/>
        <v>0</v>
      </c>
      <c r="BM167" s="200">
        <f t="shared" si="88"/>
        <v>0</v>
      </c>
      <c r="BN167" s="200">
        <f t="shared" si="88"/>
        <v>0</v>
      </c>
      <c r="BO167" s="200">
        <f t="shared" ref="BO167:BZ167" si="89">BO$3</f>
        <v>0</v>
      </c>
      <c r="BP167" s="200">
        <f t="shared" si="89"/>
        <v>0</v>
      </c>
      <c r="BQ167" s="200">
        <f t="shared" si="89"/>
        <v>0</v>
      </c>
      <c r="BR167" s="200">
        <f t="shared" si="89"/>
        <v>0</v>
      </c>
      <c r="BS167" s="200">
        <f t="shared" si="89"/>
        <v>0</v>
      </c>
      <c r="BT167" s="200">
        <f t="shared" si="89"/>
        <v>0</v>
      </c>
      <c r="BU167" s="200">
        <f t="shared" si="89"/>
        <v>0</v>
      </c>
      <c r="BV167" s="200">
        <f t="shared" si="89"/>
        <v>0</v>
      </c>
      <c r="BW167" s="200">
        <f t="shared" si="89"/>
        <v>0</v>
      </c>
      <c r="BX167" s="200">
        <f t="shared" si="89"/>
        <v>0.6</v>
      </c>
      <c r="BY167" s="200">
        <f t="shared" si="89"/>
        <v>0.4</v>
      </c>
      <c r="BZ167" s="200">
        <f t="shared" si="89"/>
        <v>0</v>
      </c>
      <c r="CA167" s="567"/>
      <c r="CB167" s="201" t="str">
        <f>IF((OR(SUM(B167:BZ167)&lt;1,SUM(B167:BZ167)&gt;1)),"ERROR","")</f>
        <v/>
      </c>
      <c r="CC167" s="201"/>
      <c r="CD167" s="203" t="s">
        <v>309</v>
      </c>
      <c r="CE167" s="639" t="str">
        <f>"Max. Drawdown Unbalanced = "&amp;TEXT(MAX(CG169:CG314),"0.0%")</f>
        <v>Max. Drawdown Unbalanced = 57.8%</v>
      </c>
      <c r="CF167" s="639"/>
      <c r="CG167" s="639"/>
      <c r="CO167" s="189"/>
    </row>
    <row r="168" spans="1:103">
      <c r="A168" s="204" t="s">
        <v>405</v>
      </c>
      <c r="B168" s="427" t="str">
        <f>B$4</f>
        <v/>
      </c>
      <c r="C168" s="427" t="str">
        <f t="shared" ref="C168:BN168" si="90">C$4</f>
        <v/>
      </c>
      <c r="D168" s="427" t="str">
        <f t="shared" si="90"/>
        <v/>
      </c>
      <c r="E168" s="427" t="str">
        <f t="shared" si="90"/>
        <v/>
      </c>
      <c r="F168" s="427" t="str">
        <f t="shared" si="90"/>
        <v/>
      </c>
      <c r="G168" s="427" t="str">
        <f t="shared" si="90"/>
        <v/>
      </c>
      <c r="H168" s="427" t="str">
        <f t="shared" si="90"/>
        <v/>
      </c>
      <c r="I168" s="427" t="str">
        <f t="shared" si="90"/>
        <v/>
      </c>
      <c r="J168" s="427" t="str">
        <f t="shared" si="90"/>
        <v/>
      </c>
      <c r="K168" s="427" t="str">
        <f t="shared" si="90"/>
        <v/>
      </c>
      <c r="L168" s="427" t="str">
        <f t="shared" si="90"/>
        <v/>
      </c>
      <c r="M168" s="427" t="str">
        <f t="shared" si="90"/>
        <v/>
      </c>
      <c r="N168" s="427" t="str">
        <f t="shared" si="90"/>
        <v/>
      </c>
      <c r="O168" s="427" t="str">
        <f t="shared" si="90"/>
        <v/>
      </c>
      <c r="P168" s="427" t="str">
        <f t="shared" si="90"/>
        <v/>
      </c>
      <c r="Q168" s="427" t="str">
        <f t="shared" si="90"/>
        <v/>
      </c>
      <c r="R168" s="427" t="str">
        <f t="shared" si="90"/>
        <v/>
      </c>
      <c r="S168" s="427" t="str">
        <f t="shared" si="90"/>
        <v/>
      </c>
      <c r="T168" s="427" t="str">
        <f t="shared" si="90"/>
        <v/>
      </c>
      <c r="U168" s="427" t="str">
        <f t="shared" si="90"/>
        <v/>
      </c>
      <c r="V168" s="427" t="str">
        <f t="shared" si="90"/>
        <v/>
      </c>
      <c r="W168" s="427" t="str">
        <f t="shared" si="90"/>
        <v/>
      </c>
      <c r="X168" s="427" t="str">
        <f t="shared" si="90"/>
        <v/>
      </c>
      <c r="Y168" s="427" t="str">
        <f t="shared" si="90"/>
        <v/>
      </c>
      <c r="Z168" s="427" t="str">
        <f t="shared" si="90"/>
        <v/>
      </c>
      <c r="AA168" s="427" t="str">
        <f t="shared" si="90"/>
        <v/>
      </c>
      <c r="AB168" s="427" t="str">
        <f t="shared" si="90"/>
        <v/>
      </c>
      <c r="AC168" s="427" t="str">
        <f t="shared" si="90"/>
        <v/>
      </c>
      <c r="AD168" s="427" t="str">
        <f t="shared" si="90"/>
        <v/>
      </c>
      <c r="AE168" s="427" t="str">
        <f t="shared" si="90"/>
        <v/>
      </c>
      <c r="AF168" s="427" t="str">
        <f t="shared" si="90"/>
        <v/>
      </c>
      <c r="AG168" s="427" t="str">
        <f t="shared" si="90"/>
        <v/>
      </c>
      <c r="AH168" s="427" t="str">
        <f t="shared" si="90"/>
        <v/>
      </c>
      <c r="AI168" s="427" t="str">
        <f t="shared" si="90"/>
        <v/>
      </c>
      <c r="AJ168" s="427" t="str">
        <f t="shared" si="90"/>
        <v/>
      </c>
      <c r="AK168" s="427" t="str">
        <f t="shared" si="90"/>
        <v/>
      </c>
      <c r="AL168" s="427" t="str">
        <f t="shared" si="90"/>
        <v/>
      </c>
      <c r="AM168" s="427" t="str">
        <f t="shared" si="90"/>
        <v/>
      </c>
      <c r="AN168" s="427" t="str">
        <f t="shared" si="90"/>
        <v/>
      </c>
      <c r="AO168" s="427" t="str">
        <f t="shared" si="90"/>
        <v/>
      </c>
      <c r="AP168" s="427" t="str">
        <f t="shared" si="90"/>
        <v/>
      </c>
      <c r="AQ168" s="427" t="str">
        <f t="shared" si="90"/>
        <v/>
      </c>
      <c r="AR168" s="427" t="str">
        <f t="shared" si="90"/>
        <v/>
      </c>
      <c r="AS168" s="427" t="str">
        <f t="shared" si="90"/>
        <v/>
      </c>
      <c r="AT168" s="427" t="str">
        <f t="shared" si="90"/>
        <v/>
      </c>
      <c r="AU168" s="427" t="str">
        <f t="shared" si="90"/>
        <v/>
      </c>
      <c r="AV168" s="427" t="str">
        <f t="shared" si="90"/>
        <v/>
      </c>
      <c r="AW168" s="427" t="str">
        <f t="shared" si="90"/>
        <v/>
      </c>
      <c r="AX168" s="427" t="str">
        <f t="shared" si="90"/>
        <v/>
      </c>
      <c r="AY168" s="427" t="str">
        <f t="shared" si="90"/>
        <v/>
      </c>
      <c r="AZ168" s="427" t="str">
        <f t="shared" si="90"/>
        <v/>
      </c>
      <c r="BA168" s="427" t="str">
        <f t="shared" si="90"/>
        <v/>
      </c>
      <c r="BB168" s="427" t="str">
        <f t="shared" si="90"/>
        <v/>
      </c>
      <c r="BC168" s="427" t="str">
        <f t="shared" si="90"/>
        <v/>
      </c>
      <c r="BD168" s="427" t="str">
        <f t="shared" si="90"/>
        <v/>
      </c>
      <c r="BE168" s="427" t="str">
        <f t="shared" si="90"/>
        <v/>
      </c>
      <c r="BF168" s="427" t="str">
        <f t="shared" si="90"/>
        <v/>
      </c>
      <c r="BG168" s="427" t="str">
        <f t="shared" si="90"/>
        <v/>
      </c>
      <c r="BH168" s="427" t="str">
        <f t="shared" si="90"/>
        <v/>
      </c>
      <c r="BI168" s="427" t="str">
        <f t="shared" si="90"/>
        <v/>
      </c>
      <c r="BJ168" s="427" t="str">
        <f t="shared" si="90"/>
        <v/>
      </c>
      <c r="BK168" s="427" t="str">
        <f t="shared" si="90"/>
        <v/>
      </c>
      <c r="BL168" s="427" t="str">
        <f t="shared" si="90"/>
        <v/>
      </c>
      <c r="BM168" s="427" t="str">
        <f t="shared" si="90"/>
        <v/>
      </c>
      <c r="BN168" s="427" t="str">
        <f t="shared" si="90"/>
        <v/>
      </c>
      <c r="BO168" s="427" t="str">
        <f t="shared" ref="BO168:BZ168" si="91">BO$4</f>
        <v/>
      </c>
      <c r="BP168" s="427" t="str">
        <f t="shared" si="91"/>
        <v/>
      </c>
      <c r="BQ168" s="427" t="str">
        <f t="shared" si="91"/>
        <v/>
      </c>
      <c r="BR168" s="427" t="str">
        <f t="shared" si="91"/>
        <v/>
      </c>
      <c r="BS168" s="427" t="str">
        <f t="shared" si="91"/>
        <v/>
      </c>
      <c r="BT168" s="427" t="str">
        <f t="shared" si="91"/>
        <v/>
      </c>
      <c r="BU168" s="427" t="str">
        <f t="shared" si="91"/>
        <v/>
      </c>
      <c r="BV168" s="427" t="str">
        <f t="shared" si="91"/>
        <v/>
      </c>
      <c r="BW168" s="427" t="str">
        <f t="shared" si="91"/>
        <v/>
      </c>
      <c r="BX168" s="427">
        <f t="shared" si="91"/>
        <v>6000</v>
      </c>
      <c r="BY168" s="427">
        <f t="shared" si="91"/>
        <v>4000</v>
      </c>
      <c r="BZ168" s="427" t="str">
        <f t="shared" si="91"/>
        <v/>
      </c>
      <c r="CA168" s="31"/>
      <c r="CB168" s="607">
        <f>SUM(B168:BZ168)</f>
        <v>10000</v>
      </c>
      <c r="CC168" s="201"/>
      <c r="CD168" s="607">
        <f>Portfolio!$K$88</f>
        <v>10000</v>
      </c>
      <c r="CE168" s="639" t="str">
        <f>"Avg. Drawdown Unbalanced = "&amp;TEXT(CG166,"0.0%")</f>
        <v>Avg. Drawdown Unbalanced = 5.2%</v>
      </c>
      <c r="CF168" s="639"/>
      <c r="CG168" s="639"/>
      <c r="CO168" s="189"/>
    </row>
    <row r="169" spans="1:103">
      <c r="A169" s="204">
        <v>1871</v>
      </c>
      <c r="B169" s="427" t="str">
        <f>IF(AND($A169&gt;=SYear_O,$A169&lt;=EYear_O,B$3&gt;0),IF($A169=SYear_O,B$168*(1+Data_All!B8%),B168*(1+Data_All!B8%)),"")</f>
        <v/>
      </c>
      <c r="C169" s="427" t="str">
        <f>IF(AND($A169&gt;=SYear_O,$A169&lt;=EYear_O,C$3&gt;0),IF($A169=SYear_O,C$168*(1+Data_All!C8%),C168*(1+Data_All!C8%)),"")</f>
        <v/>
      </c>
      <c r="D169" s="427" t="str">
        <f>IF(AND($A169&gt;=SYear_O,$A169&lt;=EYear_O,D$3&gt;0),IF($A169=SYear_O,D$168*(1+Data_All!D8%),D168*(1+Data_All!D8%)),"")</f>
        <v/>
      </c>
      <c r="E169" s="427" t="str">
        <f>IF(AND($A169&gt;=SYear_O,$A169&lt;=EYear_O,E$3&gt;0),IF($A169=SYear_O,E$168*(1+Data_All!E8%),E168*(1+Data_All!E8%)),"")</f>
        <v/>
      </c>
      <c r="F169" s="427" t="str">
        <f>IF(AND($A169&gt;=SYear_O,$A169&lt;=EYear_O,F$3&gt;0),IF($A169=SYear_O,F$168*(1+Data_All!F8%),F168*(1+Data_All!F8%)),"")</f>
        <v/>
      </c>
      <c r="G169" s="427" t="str">
        <f>IF(AND($A169&gt;=SYear_O,$A169&lt;=EYear_O,G$3&gt;0),IF($A169=SYear_O,G$168*(1+Data_All!G8%),G168*(1+Data_All!G8%)),"")</f>
        <v/>
      </c>
      <c r="H169" s="427" t="str">
        <f>IF(AND($A169&gt;=SYear_O,$A169&lt;=EYear_O,H$3&gt;0),IF($A169=SYear_O,H$168*(1+Data_All!H8%),H168*(1+Data_All!H8%)),"")</f>
        <v/>
      </c>
      <c r="I169" s="427" t="str">
        <f>IF(AND($A169&gt;=SYear_O,$A169&lt;=EYear_O,I$3&gt;0),IF($A169=SYear_O,I$168*(1+Data_All!I8%),I168*(1+Data_All!I8%)),"")</f>
        <v/>
      </c>
      <c r="J169" s="427" t="str">
        <f>IF(AND($A169&gt;=SYear_O,$A169&lt;=EYear_O,J$3&gt;0),IF($A169=SYear_O,J$168*(1+Data_All!J8%),J168*(1+Data_All!J8%)),"")</f>
        <v/>
      </c>
      <c r="K169" s="427" t="str">
        <f>IF(AND($A169&gt;=SYear_O,$A169&lt;=EYear_O,K$3&gt;0),IF($A169=SYear_O,K$168*(1+Data_All!K8%),K168*(1+Data_All!K8%)),"")</f>
        <v/>
      </c>
      <c r="L169" s="427" t="str">
        <f>IF(AND($A169&gt;=SYear_O,$A169&lt;=EYear_O,L$3&gt;0),IF($A169=SYear_O,L$168*(1+Data_All!L8%),L168*(1+Data_All!L8%)),"")</f>
        <v/>
      </c>
      <c r="M169" s="427" t="str">
        <f>IF(AND($A169&gt;=SYear_O,$A169&lt;=EYear_O,M$3&gt;0),IF($A169=SYear_O,M$168*(1+Data_All!M8%),M168*(1+Data_All!M8%)),"")</f>
        <v/>
      </c>
      <c r="N169" s="427" t="str">
        <f>IF(AND($A169&gt;=SYear_O,$A169&lt;=EYear_O,N$3&gt;0),IF($A169=SYear_O,N$168*(1+Data_All!N8%),N168*(1+Data_All!N8%)),"")</f>
        <v/>
      </c>
      <c r="O169" s="427" t="str">
        <f>IF(AND($A169&gt;=SYear_O,$A169&lt;=EYear_O,O$3&gt;0),IF($A169=SYear_O,O$168*(1+Data_All!O8%),O168*(1+Data_All!O8%)),"")</f>
        <v/>
      </c>
      <c r="P169" s="427" t="str">
        <f>IF(AND($A169&gt;=SYear_O,$A169&lt;=EYear_O,P$3&gt;0),IF($A169=SYear_O,P$168*(1+Data_All!P8%),P168*(1+Data_All!P8%)),"")</f>
        <v/>
      </c>
      <c r="Q169" s="427" t="str">
        <f>IF(AND($A169&gt;=SYear_O,$A169&lt;=EYear_O,Q$3&gt;0),IF($A169=SYear_O,Q$168*(1+Data_All!Q8%),Q168*(1+Data_All!Q8%)),"")</f>
        <v/>
      </c>
      <c r="R169" s="427" t="str">
        <f>IF(AND($A169&gt;=SYear_O,$A169&lt;=EYear_O,R$3&gt;0),IF($A169=SYear_O,R$168*(1+Data_All!R8%),R168*(1+Data_All!R8%)),"")</f>
        <v/>
      </c>
      <c r="S169" s="427" t="str">
        <f>IF(AND($A169&gt;=SYear_O,$A169&lt;=EYear_O,S$3&gt;0),IF($A169=SYear_O,S$168*(1+Data_All!S8%),S168*(1+Data_All!S8%)),"")</f>
        <v/>
      </c>
      <c r="T169" s="427" t="str">
        <f>IF(AND($A169&gt;=SYear_O,$A169&lt;=EYear_O,T$3&gt;0),IF($A169=SYear_O,T$168*(1+Data_All!T8%),T168*(1+Data_All!T8%)),"")</f>
        <v/>
      </c>
      <c r="U169" s="427" t="str">
        <f>IF(AND($A169&gt;=SYear_O,$A169&lt;=EYear_O,U$3&gt;0),IF($A169=SYear_O,U$168*(1+Data_All!U8%),U168*(1+Data_All!U8%)),"")</f>
        <v/>
      </c>
      <c r="V169" s="427" t="str">
        <f>IF(AND($A169&gt;=SYear_O,$A169&lt;=EYear_O,V$3&gt;0),IF($A169=SYear_O,V$168*(1+Data_All!V8%),V168*(1+Data_All!V8%)),"")</f>
        <v/>
      </c>
      <c r="W169" s="427" t="str">
        <f>IF(AND($A169&gt;=SYear_O,$A169&lt;=EYear_O,W$3&gt;0),IF($A169=SYear_O,W$168*(1+Data_All!W8%),W168*(1+Data_All!W8%)),"")</f>
        <v/>
      </c>
      <c r="X169" s="427" t="str">
        <f>IF(AND($A169&gt;=SYear_O,$A169&lt;=EYear_O,X$3&gt;0),IF($A169=SYear_O,X$168*(1+Data_All!X8%),X168*(1+Data_All!X8%)),"")</f>
        <v/>
      </c>
      <c r="Y169" s="427" t="str">
        <f>IF(AND($A169&gt;=SYear_O,$A169&lt;=EYear_O,Y$3&gt;0),IF($A169=SYear_O,Y$168*(1+Data_All!Y8%),Y168*(1+Data_All!Y8%)),"")</f>
        <v/>
      </c>
      <c r="Z169" s="427" t="str">
        <f>IF(AND($A169&gt;=SYear_O,$A169&lt;=EYear_O,Z$3&gt;0),IF($A169=SYear_O,Z$168*(1+Data_All!Z8%),Z168*(1+Data_All!Z8%)),"")</f>
        <v/>
      </c>
      <c r="AA169" s="427" t="str">
        <f>IF(AND($A169&gt;=SYear_O,$A169&lt;=EYear_O,AA$3&gt;0),IF($A169=SYear_O,AA$168*(1+Data_All!AA8%),AA168*(1+Data_All!AA8%)),"")</f>
        <v/>
      </c>
      <c r="AB169" s="427" t="str">
        <f>IF(AND($A169&gt;=SYear_O,$A169&lt;=EYear_O,AB$3&gt;0),IF($A169=SYear_O,AB$168*(1+Data_All!AB8%),AB168*(1+Data_All!AB8%)),"")</f>
        <v/>
      </c>
      <c r="AC169" s="427" t="str">
        <f>IF(AND($A169&gt;=SYear_O,$A169&lt;=EYear_O,AC$3&gt;0),IF($A169=SYear_O,AC$168*(1+Data_All!AC8%),AC168*(1+Data_All!AC8%)),"")</f>
        <v/>
      </c>
      <c r="AD169" s="427" t="str">
        <f>IF(AND($A169&gt;=SYear_O,$A169&lt;=EYear_O,AD$3&gt;0),IF($A169=SYear_O,AD$168*(1+Data_All!AD8%),AD168*(1+Data_All!AD8%)),"")</f>
        <v/>
      </c>
      <c r="AE169" s="427" t="str">
        <f>IF(AND($A169&gt;=SYear_O,$A169&lt;=EYear_O,AE$3&gt;0),IF($A169=SYear_O,AE$168*(1+Data_All!AE8%),AE168*(1+Data_All!AE8%)),"")</f>
        <v/>
      </c>
      <c r="AF169" s="427" t="str">
        <f>IF(AND($A169&gt;=SYear_O,$A169&lt;=EYear_O,AF$3&gt;0),IF($A169=SYear_O,AF$168*(1+Data_All!AF8%),AF168*(1+Data_All!AF8%)),"")</f>
        <v/>
      </c>
      <c r="AG169" s="427" t="str">
        <f>IF(AND($A169&gt;=SYear_O,$A169&lt;=EYear_O,AG$3&gt;0),IF($A169=SYear_O,AG$168*(1+Data_All!AG8%),AG168*(1+Data_All!AG8%)),"")</f>
        <v/>
      </c>
      <c r="AH169" s="427" t="str">
        <f>IF(AND($A169&gt;=SYear_O,$A169&lt;=EYear_O,AH$3&gt;0),IF($A169=SYear_O,AH$168*(1+Data_All!AH8%),AH168*(1+Data_All!AH8%)),"")</f>
        <v/>
      </c>
      <c r="AI169" s="427" t="str">
        <f>IF(AND($A169&gt;=SYear_O,$A169&lt;=EYear_O,AI$3&gt;0),IF($A169=SYear_O,AI$168*(1+Data_All!AI8%),AI168*(1+Data_All!AI8%)),"")</f>
        <v/>
      </c>
      <c r="AJ169" s="427" t="str">
        <f>IF(AND($A169&gt;=SYear_O,$A169&lt;=EYear_O,AJ$3&gt;0),IF($A169=SYear_O,AJ$168*(1+Data_All!AJ8%),AJ168*(1+Data_All!AJ8%)),"")</f>
        <v/>
      </c>
      <c r="AK169" s="427" t="str">
        <f>IF(AND($A169&gt;=SYear_O,$A169&lt;=EYear_O,AK$3&gt;0),IF($A169=SYear_O,AK$168*(1+Data_All!AK8%),AK168*(1+Data_All!AK8%)),"")</f>
        <v/>
      </c>
      <c r="AL169" s="427" t="str">
        <f>IF(AND($A169&gt;=SYear_O,$A169&lt;=EYear_O,AL$3&gt;0),IF($A169=SYear_O,AL$168*(1+Data_All!AL8%),AL168*(1+Data_All!AL8%)),"")</f>
        <v/>
      </c>
      <c r="AM169" s="427" t="str">
        <f>IF(AND($A169&gt;=SYear_O,$A169&lt;=EYear_O,AM$3&gt;0),IF($A169=SYear_O,AM$168*(1+Data_All!AM8%),AM168*(1+Data_All!AM8%)),"")</f>
        <v/>
      </c>
      <c r="AN169" s="427" t="str">
        <f>IF(AND($A169&gt;=SYear_O,$A169&lt;=EYear_O,AN$3&gt;0),IF($A169=SYear_O,AN$168*(1+Data_All!AN8%),AN168*(1+Data_All!AN8%)),"")</f>
        <v/>
      </c>
      <c r="AO169" s="427" t="str">
        <f>IF(AND($A169&gt;=SYear_O,$A169&lt;=EYear_O,AO$3&gt;0),IF($A169=SYear_O,AO$168*(1+Data_All!AO8%),AO168*(1+Data_All!AO8%)),"")</f>
        <v/>
      </c>
      <c r="AP169" s="427" t="str">
        <f>IF(AND($A169&gt;=SYear_O,$A169&lt;=EYear_O,AP$3&gt;0),IF($A169=SYear_O,AP$168*(1+Data_All!AP8%),AP168*(1+Data_All!AP8%)),"")</f>
        <v/>
      </c>
      <c r="AQ169" s="427" t="str">
        <f>IF(AND($A169&gt;=SYear_O,$A169&lt;=EYear_O,AQ$3&gt;0),IF($A169=SYear_O,AQ$168*(1+Data_All!AQ8%),AQ168*(1+Data_All!AQ8%)),"")</f>
        <v/>
      </c>
      <c r="AR169" s="427" t="str">
        <f>IF(AND($A169&gt;=SYear_O,$A169&lt;=EYear_O,AR$3&gt;0),IF($A169=SYear_O,AR$168*(1+Data_All!AR8%),AR168*(1+Data_All!AR8%)),"")</f>
        <v/>
      </c>
      <c r="AS169" s="427" t="str">
        <f>IF(AND($A169&gt;=SYear_O,$A169&lt;=EYear_O,AS$3&gt;0),IF($A169=SYear_O,AS$168*(1+Data_All!AS8%),AS168*(1+Data_All!AS8%)),"")</f>
        <v/>
      </c>
      <c r="AT169" s="427" t="str">
        <f>IF(AND($A169&gt;=SYear_O,$A169&lt;=EYear_O,AT$3&gt;0),IF($A169=SYear_O,AT$168*(1+Data_All!AT8%),AT168*(1+Data_All!AT8%)),"")</f>
        <v/>
      </c>
      <c r="AU169" s="427" t="str">
        <f>IF(AND($A169&gt;=SYear_O,$A169&lt;=EYear_O,AU$3&gt;0),IF($A169=SYear_O,AU$168*(1+Data_All!AU8%),AU168*(1+Data_All!AU8%)),"")</f>
        <v/>
      </c>
      <c r="AV169" s="427" t="str">
        <f>IF(AND($A169&gt;=SYear_O,$A169&lt;=EYear_O,AV$3&gt;0),IF($A169=SYear_O,AV$168*(1+Data_All!AV8%),AV168*(1+Data_All!AV8%)),"")</f>
        <v/>
      </c>
      <c r="AW169" s="427" t="str">
        <f>IF(AND($A169&gt;=SYear_O,$A169&lt;=EYear_O,AW$3&gt;0),IF($A169=SYear_O,AW$168*(1+Data_All!AW8%),AW168*(1+Data_All!AW8%)),"")</f>
        <v/>
      </c>
      <c r="AX169" s="427" t="str">
        <f>IF(AND($A169&gt;=SYear_O,$A169&lt;=EYear_O,AX$3&gt;0),IF($A169=SYear_O,AX$168*(1+Data_All!AX8%),AX168*(1+Data_All!AX8%)),"")</f>
        <v/>
      </c>
      <c r="AY169" s="427" t="str">
        <f>IF(AND($A169&gt;=SYear_O,$A169&lt;=EYear_O,AY$3&gt;0),IF($A169=SYear_O,AY$168*(1+Data_All!AY8%),AY168*(1+Data_All!AY8%)),"")</f>
        <v/>
      </c>
      <c r="AZ169" s="427" t="str">
        <f>IF(AND($A169&gt;=SYear_O,$A169&lt;=EYear_O,AZ$3&gt;0),IF($A169=SYear_O,AZ$168*(1+Data_All!AZ8%),AZ168*(1+Data_All!AZ8%)),"")</f>
        <v/>
      </c>
      <c r="BA169" s="427" t="str">
        <f>IF(AND($A169&gt;=SYear_O,$A169&lt;=EYear_O,BA$3&gt;0),IF($A169=SYear_O,BA$168*(1+Data_All!BA8%),BA168*(1+Data_All!BA8%)),"")</f>
        <v/>
      </c>
      <c r="BB169" s="427" t="str">
        <f>IF(AND($A169&gt;=SYear_O,$A169&lt;=EYear_O,BB$3&gt;0),IF($A169=SYear_O,BB$168*(1+Data_All!BB8%),BB168*(1+Data_All!BB8%)),"")</f>
        <v/>
      </c>
      <c r="BC169" s="427" t="str">
        <f>IF(AND($A169&gt;=SYear_O,$A169&lt;=EYear_O,BC$3&gt;0),IF($A169=SYear_O,BC$168*(1+Data_All!BC8%),BC168*(1+Data_All!BC8%)),"")</f>
        <v/>
      </c>
      <c r="BD169" s="427" t="str">
        <f>IF(AND($A169&gt;=SYear_O,$A169&lt;=EYear_O,BD$3&gt;0),IF($A169=SYear_O,BD$168*(1+Data_All!BD8%),BD168*(1+Data_All!BD8%)),"")</f>
        <v/>
      </c>
      <c r="BE169" s="427" t="str">
        <f>IF(AND($A169&gt;=SYear_O,$A169&lt;=EYear_O,BE$3&gt;0),IF($A169=SYear_O,BE$168*(1+Data_All!BE8%),BE168*(1+Data_All!BE8%)),"")</f>
        <v/>
      </c>
      <c r="BF169" s="427" t="str">
        <f>IF(AND($A169&gt;=SYear_O,$A169&lt;=EYear_O,BF$3&gt;0),IF($A169=SYear_O,BF$168*(1+Data_All!BF8%),BF168*(1+Data_All!BF8%)),"")</f>
        <v/>
      </c>
      <c r="BG169" s="427" t="str">
        <f>IF(AND($A169&gt;=SYear_O,$A169&lt;=EYear_O,BG$3&gt;0),IF($A169=SYear_O,BG$168*(1+Data_All!BG8%),BG168*(1+Data_All!BG8%)),"")</f>
        <v/>
      </c>
      <c r="BH169" s="427" t="str">
        <f>IF(AND($A169&gt;=SYear_O,$A169&lt;=EYear_O,BH$3&gt;0),IF($A169=SYear_O,BH$168*(1+Data_All!BH8%),BH168*(1+Data_All!BH8%)),"")</f>
        <v/>
      </c>
      <c r="BI169" s="427" t="str">
        <f>IF(AND($A169&gt;=SYear_O,$A169&lt;=EYear_O,BI$3&gt;0),IF($A169=SYear_O,BI$168*(1+Data_All!BI8%),BI168*(1+Data_All!BI8%)),"")</f>
        <v/>
      </c>
      <c r="BJ169" s="427" t="str">
        <f>IF(AND($A169&gt;=SYear_O,$A169&lt;=EYear_O,BJ$3&gt;0),IF($A169=SYear_O,BJ$168*(1+Data_All!BJ8%),BJ168*(1+Data_All!BJ8%)),"")</f>
        <v/>
      </c>
      <c r="BK169" s="427" t="str">
        <f>IF(AND($A169&gt;=SYear_O,$A169&lt;=EYear_O,BK$3&gt;0),IF($A169=SYear_O,BK$168*(1+Data_All!BK8%),BK168*(1+Data_All!BK8%)),"")</f>
        <v/>
      </c>
      <c r="BL169" s="427" t="str">
        <f>IF(AND($A169&gt;=SYear_O,$A169&lt;=EYear_O,BL$3&gt;0),IF($A169=SYear_O,BL$168*(1+Data_All!BL8%),BL168*(1+Data_All!BL8%)),"")</f>
        <v/>
      </c>
      <c r="BM169" s="427" t="str">
        <f>IF(AND($A169&gt;=SYear_O,$A169&lt;=EYear_O,BM$3&gt;0),IF($A169=SYear_O,BM$168*(1+Data_All!BM8%),BM168*(1+Data_All!BM8%)),"")</f>
        <v/>
      </c>
      <c r="BN169" s="427" t="str">
        <f>IF(AND($A169&gt;=SYear_O,$A169&lt;=EYear_O,BN$3&gt;0),IF($A169=SYear_O,BN$168*(1+Data_All!BN8%),BN168*(1+Data_All!BN8%)),"")</f>
        <v/>
      </c>
      <c r="BO169" s="427" t="str">
        <f>IF(AND($A169&gt;=SYear_O,$A169&lt;=EYear_O,BO$3&gt;0),IF($A169=SYear_O,BO$168*(1+Data_All!BO8%),BO168*(1+Data_All!BO8%)),"")</f>
        <v/>
      </c>
      <c r="BP169" s="427" t="str">
        <f>IF(AND($A169&gt;=SYear_O,$A169&lt;=EYear_O,BP$3&gt;0),IF($A169=SYear_O,BP$168*(1+Data_All!BP8%),BP168*(1+Data_All!BP8%)),"")</f>
        <v/>
      </c>
      <c r="BQ169" s="427" t="str">
        <f>IF(AND($A169&gt;=SYear_O,$A169&lt;=EYear_O,BQ$3&gt;0),IF($A169=SYear_O,BQ$168*(1+Data_All!BQ8%),BQ168*(1+Data_All!BQ8%)),"")</f>
        <v/>
      </c>
      <c r="BR169" s="427" t="str">
        <f>IF(AND($A169&gt;=SYear_O,$A169&lt;=EYear_O,BR$3&gt;0),IF($A169=SYear_O,BR$168*(1+Data_All!BR8%),BR168*(1+Data_All!BR8%)),"")</f>
        <v/>
      </c>
      <c r="BS169" s="427" t="str">
        <f>IF(AND($A169&gt;=SYear_O,$A169&lt;=EYear_O,BS$3&gt;0),IF($A169=SYear_O,BS$168*(1+Data_All!BS8%),BS168*(1+Data_All!BS8%)),"")</f>
        <v/>
      </c>
      <c r="BT169" s="427" t="str">
        <f>IF(AND($A169&gt;=SYear_O,$A169&lt;=EYear_O,BT$3&gt;0),IF($A169=SYear_O,BT$168*(1+Data_All!BT8%),BT168*(1+Data_All!BT8%)),"")</f>
        <v/>
      </c>
      <c r="BU169" s="427" t="str">
        <f>IF(AND($A169&gt;=SYear_O,$A169&lt;=EYear_O,BU$3&gt;0),IF($A169=SYear_O,BU$168*(1+Data_All!BU8%),BU168*(1+Data_All!BU8%)),"")</f>
        <v/>
      </c>
      <c r="BV169" s="427" t="str">
        <f>IF(AND($A169&gt;=SYear_O,$A169&lt;=EYear_O,BV$3&gt;0),IF($A169=SYear_O,BV$168*(1+Data_All!BV8%),BV168*(1+Data_All!BV8%)),"")</f>
        <v/>
      </c>
      <c r="BW169" s="427" t="str">
        <f>IF(AND($A169&gt;=SYear_O,$A169&lt;=EYear_O,BW$3&gt;0),IF($A169=SYear_O,BW$168*(1+Data_All!BW8%),BW168*(1+Data_All!BW8%)),"")</f>
        <v/>
      </c>
      <c r="BX169" s="427">
        <f>IF(AND($A169&gt;=SYear_O,$A169&lt;=EYear_O,BX$3&gt;0),IF($A169=SYear_O,BX$168*(1+Data_All!BX8%),BX168*(1+Data_All!BX8%)),"")</f>
        <v>6918.9189189189192</v>
      </c>
      <c r="BY169" s="427">
        <f>IF(AND($A169&gt;=SYear_O,$A169&lt;=EYear_O,BY$3&gt;0),IF($A169=SYear_O,BY$168*(1+Data_All!BY8%),BY168*(1+Data_All!BY8%)),"")</f>
        <v>4106.531940404655</v>
      </c>
      <c r="BZ169" s="427" t="str">
        <f>IF(AND($A169&gt;=SYear_O,$A169&lt;=EYear_O,BZ$3&gt;0),IF($A169=SYear_O,BZ$168*(1+Data_All!BZ8%),BZ168*(1+Data_All!BZ8%)),"")</f>
        <v/>
      </c>
      <c r="CA169" s="565">
        <f t="shared" ref="CA169:CA200" si="92">IF(AND($A169&gt;=SYear_O,$A169&lt;=EYear_O),IF($A169=SYear_O,100*(CB169-$CB$168)/$CB$168,100*(CB169-CB168)/CB168),"")</f>
        <v>10.254508593235732</v>
      </c>
      <c r="CB169" s="427">
        <f t="shared" ref="CB169:CB200" si="93">IF(AND($A169&gt;=SYear_O,$A169&lt;=EYear_O),SUM(B169:BZ169),"")</f>
        <v>11025.450859323573</v>
      </c>
      <c r="CC169" s="565">
        <f>IF(AND($A169&gt;=SYear_O,$A169&lt;=EYear_O),(CA169-Data_All!CA8)/(1+Data_All!CA8%),"")</f>
        <v>8.59620285440141</v>
      </c>
      <c r="CD169" s="436">
        <f t="shared" ref="CD169:CD200" si="94">IF(AND($A169&gt;=SYear_O,$A169&lt;=EYear_O),IF($A169=SYear_O,$CD$4*(1+CC169%),$CD168*(1+CC169%)),"")</f>
        <v>10859.620285440142</v>
      </c>
      <c r="CE169" s="438">
        <f t="shared" ref="CE169:CE200" si="95">IF(AND($A169&gt;=SYear_O,$A169&lt;=EYear_O),IF($A169=SYear_O,$CE$166,$CE168*(1+CA169%)),"")</f>
        <v>1</v>
      </c>
      <c r="CF169" s="438">
        <f>IF(AND($A169&gt;=SYear_O,$A169&lt;=EYear_O),MAX($CE$169:CE169),"")</f>
        <v>1</v>
      </c>
      <c r="CG169" s="209">
        <f t="shared" ref="CG169:CG200" si="96">IF(AND($A169&gt;=SYear_O,$A169&lt;=EYear_O),1-(CE169/CF169),"")</f>
        <v>0</v>
      </c>
      <c r="CN169" s="61">
        <f t="shared" ref="CN169:CN200" si="97">IF(AND($A169&gt;=SYear_O,$A169&lt;=EYear_O),IF($A169=SYear_O,($CB169/CB$168)-1,($CB169/$CB168)-1),"")</f>
        <v>0.10254508593235734</v>
      </c>
      <c r="CO169" s="61">
        <f t="shared" ref="CO169:CO200" si="98">IF(AND($A169&gt;=SYear_O,$A169&lt;=EYear_O),IF($A169=SYear_O,(($CB171/$CB$168)^(1/(1+($A171-$A169)))-1),(($CB171/$CB168)^(1/(1+($A171-$A169)))-1)),"")</f>
        <v>6.6426354653646325E-2</v>
      </c>
      <c r="CP169" s="61">
        <f t="shared" ref="CP169:CP200" si="99">IF(AND($A169&gt;=SYear_O,$A169&lt;=EYear_O),IF($A169=SYear_O,(($CB173/$CB$168)^(1/(1+($A173-$A169)))-1),(($CB173/$CB168)^(1/(1+($A173-$A169)))-1)),"")</f>
        <v>6.3262985866947119E-2</v>
      </c>
      <c r="CQ169" s="61">
        <f t="shared" ref="CQ169:CQ200" si="100">IF(AND($A169&gt;=SYear_O,$A169&lt;=EYear_O),IF($A169=SYear_O,(($CB178/$CB$168)^(1/(1+($A178-$A169)))-1),(($CB178/$CB168)^(1/(1+($A178-$A169)))-1)),"")</f>
        <v>8.0752076558143093E-2</v>
      </c>
      <c r="CR169" s="61">
        <f t="shared" ref="CR169:CR200" si="101">IF(AND($A169&gt;=SYear_O,$A169&lt;=EYear_O),IF($A169=SYear_O,(($CB183/$CB$168)^(1/(1+($A183-$A169)))-1),(($CB183/$CB168)^(1/(1+($A183-$A169)))-1)),"")</f>
        <v>6.2669445631579723E-2</v>
      </c>
      <c r="CU169" s="61">
        <f t="shared" ref="CU169:CU200" si="102">IF(AND($A169&gt;=SYear_O,$A169&lt;=EYear_O),IF($A169=SYear_O,($CD169/$CD$168)-1,($CD169/$CD168)-1),"")</f>
        <v>8.5962028544014135E-2</v>
      </c>
      <c r="CV169" s="61">
        <f t="shared" ref="CV169:CV200" si="103">IF(AND($A169&gt;=SYear_O,$A169&lt;=EYear_O),IF($A169=SYear_O,(($CD171/$CD$168)^(1/(1+($A171-$A169)))-1),(($CD171/$CD168)^(1/(1+($A171-$A169)))-1)),"")</f>
        <v>6.9154361406750908E-2</v>
      </c>
      <c r="CW169" s="61">
        <f t="shared" ref="CW169:CW200" si="104">IF(AND($A169&gt;=SYear_O,$A169&lt;=EYear_O),IF($A169=SYear_O,(($CD173/$CD$168)^(1/(1+($A173-$A169)))-1),(($CD173/$CD168)^(1/(1+($A173-$A169)))-1)),"")</f>
        <v>9.3236401573783878E-2</v>
      </c>
      <c r="CX169" s="61">
        <f t="shared" ref="CX169:CX200" si="105">IF(AND($A169&gt;=SYear_O,$A169&lt;=EYear_O),IF($A169=SYear_O,(($CD178/$CD$168)^(1/(1+($A178-$A169)))-1),(($CD178/$CD168)^(1/(1+($A178-$A169)))-1)),"")</f>
        <v>0.11144920609306053</v>
      </c>
      <c r="CY169" s="61">
        <f t="shared" ref="CY169:CY200" si="106">IF(AND($A169&gt;=SYear_O,$A169&lt;=EYear_O),IF($A169=SYear_O,(($CD183/$CD$168)^(1/(1+($A183-$A169)))-1),(($CD183/$CD168)^(1/(1+($A183-$A169)))-1)),"")</f>
        <v>9.4622301970225475E-2</v>
      </c>
    </row>
    <row r="170" spans="1:103">
      <c r="A170" s="204">
        <f>A169+1</f>
        <v>1872</v>
      </c>
      <c r="B170" s="427" t="str">
        <f>IF(AND($A170&gt;=SYear_O,$A170&lt;=EYear_O,B$3&gt;0),IF($A170=SYear_O,B$168*(1+Data_All!B9%),B169*(1+Data_All!B9%)),"")</f>
        <v/>
      </c>
      <c r="C170" s="427" t="str">
        <f>IF(AND($A170&gt;=SYear_O,$A170&lt;=EYear_O,C$3&gt;0),IF($A170=SYear_O,C$168*(1+Data_All!C9%),C169*(1+Data_All!C9%)),"")</f>
        <v/>
      </c>
      <c r="D170" s="427" t="str">
        <f>IF(AND($A170&gt;=SYear_O,$A170&lt;=EYear_O,D$3&gt;0),IF($A170=SYear_O,D$168*(1+Data_All!D9%),D169*(1+Data_All!D9%)),"")</f>
        <v/>
      </c>
      <c r="E170" s="427" t="str">
        <f>IF(AND($A170&gt;=SYear_O,$A170&lt;=EYear_O,E$3&gt;0),IF($A170=SYear_O,E$168*(1+Data_All!E9%),E169*(1+Data_All!E9%)),"")</f>
        <v/>
      </c>
      <c r="F170" s="427" t="str">
        <f>IF(AND($A170&gt;=SYear_O,$A170&lt;=EYear_O,F$3&gt;0),IF($A170=SYear_O,F$168*(1+Data_All!F9%),F169*(1+Data_All!F9%)),"")</f>
        <v/>
      </c>
      <c r="G170" s="427" t="str">
        <f>IF(AND($A170&gt;=SYear_O,$A170&lt;=EYear_O,G$3&gt;0),IF($A170=SYear_O,G$168*(1+Data_All!G9%),G169*(1+Data_All!G9%)),"")</f>
        <v/>
      </c>
      <c r="H170" s="427" t="str">
        <f>IF(AND($A170&gt;=SYear_O,$A170&lt;=EYear_O,H$3&gt;0),IF($A170=SYear_O,H$168*(1+Data_All!H9%),H169*(1+Data_All!H9%)),"")</f>
        <v/>
      </c>
      <c r="I170" s="427" t="str">
        <f>IF(AND($A170&gt;=SYear_O,$A170&lt;=EYear_O,I$3&gt;0),IF($A170=SYear_O,I$168*(1+Data_All!I9%),I169*(1+Data_All!I9%)),"")</f>
        <v/>
      </c>
      <c r="J170" s="427" t="str">
        <f>IF(AND($A170&gt;=SYear_O,$A170&lt;=EYear_O,J$3&gt;0),IF($A170=SYear_O,J$168*(1+Data_All!J9%),J169*(1+Data_All!J9%)),"")</f>
        <v/>
      </c>
      <c r="K170" s="427" t="str">
        <f>IF(AND($A170&gt;=SYear_O,$A170&lt;=EYear_O,K$3&gt;0),IF($A170=SYear_O,K$168*(1+Data_All!K9%),K169*(1+Data_All!K9%)),"")</f>
        <v/>
      </c>
      <c r="L170" s="427" t="str">
        <f>IF(AND($A170&gt;=SYear_O,$A170&lt;=EYear_O,L$3&gt;0),IF($A170=SYear_O,L$168*(1+Data_All!L9%),L169*(1+Data_All!L9%)),"")</f>
        <v/>
      </c>
      <c r="M170" s="427" t="str">
        <f>IF(AND($A170&gt;=SYear_O,$A170&lt;=EYear_O,M$3&gt;0),IF($A170=SYear_O,M$168*(1+Data_All!M9%),M169*(1+Data_All!M9%)),"")</f>
        <v/>
      </c>
      <c r="N170" s="427" t="str">
        <f>IF(AND($A170&gt;=SYear_O,$A170&lt;=EYear_O,N$3&gt;0),IF($A170=SYear_O,N$168*(1+Data_All!N9%),N169*(1+Data_All!N9%)),"")</f>
        <v/>
      </c>
      <c r="O170" s="427" t="str">
        <f>IF(AND($A170&gt;=SYear_O,$A170&lt;=EYear_O,O$3&gt;0),IF($A170=SYear_O,O$168*(1+Data_All!O9%),O169*(1+Data_All!O9%)),"")</f>
        <v/>
      </c>
      <c r="P170" s="427" t="str">
        <f>IF(AND($A170&gt;=SYear_O,$A170&lt;=EYear_O,P$3&gt;0),IF($A170=SYear_O,P$168*(1+Data_All!P9%),P169*(1+Data_All!P9%)),"")</f>
        <v/>
      </c>
      <c r="Q170" s="427" t="str">
        <f>IF(AND($A170&gt;=SYear_O,$A170&lt;=EYear_O,Q$3&gt;0),IF($A170=SYear_O,Q$168*(1+Data_All!Q9%),Q169*(1+Data_All!Q9%)),"")</f>
        <v/>
      </c>
      <c r="R170" s="427" t="str">
        <f>IF(AND($A170&gt;=SYear_O,$A170&lt;=EYear_O,R$3&gt;0),IF($A170=SYear_O,R$168*(1+Data_All!R9%),R169*(1+Data_All!R9%)),"")</f>
        <v/>
      </c>
      <c r="S170" s="427" t="str">
        <f>IF(AND($A170&gt;=SYear_O,$A170&lt;=EYear_O,S$3&gt;0),IF($A170=SYear_O,S$168*(1+Data_All!S9%),S169*(1+Data_All!S9%)),"")</f>
        <v/>
      </c>
      <c r="T170" s="427" t="str">
        <f>IF(AND($A170&gt;=SYear_O,$A170&lt;=EYear_O,T$3&gt;0),IF($A170=SYear_O,T$168*(1+Data_All!T9%),T169*(1+Data_All!T9%)),"")</f>
        <v/>
      </c>
      <c r="U170" s="427" t="str">
        <f>IF(AND($A170&gt;=SYear_O,$A170&lt;=EYear_O,U$3&gt;0),IF($A170=SYear_O,U$168*(1+Data_All!U9%),U169*(1+Data_All!U9%)),"")</f>
        <v/>
      </c>
      <c r="V170" s="427" t="str">
        <f>IF(AND($A170&gt;=SYear_O,$A170&lt;=EYear_O,V$3&gt;0),IF($A170=SYear_O,V$168*(1+Data_All!V9%),V169*(1+Data_All!V9%)),"")</f>
        <v/>
      </c>
      <c r="W170" s="427" t="str">
        <f>IF(AND($A170&gt;=SYear_O,$A170&lt;=EYear_O,W$3&gt;0),IF($A170=SYear_O,W$168*(1+Data_All!W9%),W169*(1+Data_All!W9%)),"")</f>
        <v/>
      </c>
      <c r="X170" s="427" t="str">
        <f>IF(AND($A170&gt;=SYear_O,$A170&lt;=EYear_O,X$3&gt;0),IF($A170=SYear_O,X$168*(1+Data_All!X9%),X169*(1+Data_All!X9%)),"")</f>
        <v/>
      </c>
      <c r="Y170" s="427" t="str">
        <f>IF(AND($A170&gt;=SYear_O,$A170&lt;=EYear_O,Y$3&gt;0),IF($A170=SYear_O,Y$168*(1+Data_All!Y9%),Y169*(1+Data_All!Y9%)),"")</f>
        <v/>
      </c>
      <c r="Z170" s="427" t="str">
        <f>IF(AND($A170&gt;=SYear_O,$A170&lt;=EYear_O,Z$3&gt;0),IF($A170=SYear_O,Z$168*(1+Data_All!Z9%),Z169*(1+Data_All!Z9%)),"")</f>
        <v/>
      </c>
      <c r="AA170" s="427" t="str">
        <f>IF(AND($A170&gt;=SYear_O,$A170&lt;=EYear_O,AA$3&gt;0),IF($A170=SYear_O,AA$168*(1+Data_All!AA9%),AA169*(1+Data_All!AA9%)),"")</f>
        <v/>
      </c>
      <c r="AB170" s="427" t="str">
        <f>IF(AND($A170&gt;=SYear_O,$A170&lt;=EYear_O,AB$3&gt;0),IF($A170=SYear_O,AB$168*(1+Data_All!AB9%),AB169*(1+Data_All!AB9%)),"")</f>
        <v/>
      </c>
      <c r="AC170" s="427" t="str">
        <f>IF(AND($A170&gt;=SYear_O,$A170&lt;=EYear_O,AC$3&gt;0),IF($A170=SYear_O,AC$168*(1+Data_All!AC9%),AC169*(1+Data_All!AC9%)),"")</f>
        <v/>
      </c>
      <c r="AD170" s="427" t="str">
        <f>IF(AND($A170&gt;=SYear_O,$A170&lt;=EYear_O,AD$3&gt;0),IF($A170=SYear_O,AD$168*(1+Data_All!AD9%),AD169*(1+Data_All!AD9%)),"")</f>
        <v/>
      </c>
      <c r="AE170" s="427" t="str">
        <f>IF(AND($A170&gt;=SYear_O,$A170&lt;=EYear_O,AE$3&gt;0),IF($A170=SYear_O,AE$168*(1+Data_All!AE9%),AE169*(1+Data_All!AE9%)),"")</f>
        <v/>
      </c>
      <c r="AF170" s="427" t="str">
        <f>IF(AND($A170&gt;=SYear_O,$A170&lt;=EYear_O,AF$3&gt;0),IF($A170=SYear_O,AF$168*(1+Data_All!AF9%),AF169*(1+Data_All!AF9%)),"")</f>
        <v/>
      </c>
      <c r="AG170" s="427" t="str">
        <f>IF(AND($A170&gt;=SYear_O,$A170&lt;=EYear_O,AG$3&gt;0),IF($A170=SYear_O,AG$168*(1+Data_All!AG9%),AG169*(1+Data_All!AG9%)),"")</f>
        <v/>
      </c>
      <c r="AH170" s="427" t="str">
        <f>IF(AND($A170&gt;=SYear_O,$A170&lt;=EYear_O,AH$3&gt;0),IF($A170=SYear_O,AH$168*(1+Data_All!AH9%),AH169*(1+Data_All!AH9%)),"")</f>
        <v/>
      </c>
      <c r="AI170" s="427" t="str">
        <f>IF(AND($A170&gt;=SYear_O,$A170&lt;=EYear_O,AI$3&gt;0),IF($A170=SYear_O,AI$168*(1+Data_All!AI9%),AI169*(1+Data_All!AI9%)),"")</f>
        <v/>
      </c>
      <c r="AJ170" s="427" t="str">
        <f>IF(AND($A170&gt;=SYear_O,$A170&lt;=EYear_O,AJ$3&gt;0),IF($A170=SYear_O,AJ$168*(1+Data_All!AJ9%),AJ169*(1+Data_All!AJ9%)),"")</f>
        <v/>
      </c>
      <c r="AK170" s="427" t="str">
        <f>IF(AND($A170&gt;=SYear_O,$A170&lt;=EYear_O,AK$3&gt;0),IF($A170=SYear_O,AK$168*(1+Data_All!AK9%),AK169*(1+Data_All!AK9%)),"")</f>
        <v/>
      </c>
      <c r="AL170" s="427" t="str">
        <f>IF(AND($A170&gt;=SYear_O,$A170&lt;=EYear_O,AL$3&gt;0),IF($A170=SYear_O,AL$168*(1+Data_All!AL9%),AL169*(1+Data_All!AL9%)),"")</f>
        <v/>
      </c>
      <c r="AM170" s="427" t="str">
        <f>IF(AND($A170&gt;=SYear_O,$A170&lt;=EYear_O,AM$3&gt;0),IF($A170=SYear_O,AM$168*(1+Data_All!AM9%),AM169*(1+Data_All!AM9%)),"")</f>
        <v/>
      </c>
      <c r="AN170" s="427" t="str">
        <f>IF(AND($A170&gt;=SYear_O,$A170&lt;=EYear_O,AN$3&gt;0),IF($A170=SYear_O,AN$168*(1+Data_All!AN9%),AN169*(1+Data_All!AN9%)),"")</f>
        <v/>
      </c>
      <c r="AO170" s="427" t="str">
        <f>IF(AND($A170&gt;=SYear_O,$A170&lt;=EYear_O,AO$3&gt;0),IF($A170=SYear_O,AO$168*(1+Data_All!AO9%),AO169*(1+Data_All!AO9%)),"")</f>
        <v/>
      </c>
      <c r="AP170" s="427" t="str">
        <f>IF(AND($A170&gt;=SYear_O,$A170&lt;=EYear_O,AP$3&gt;0),IF($A170=SYear_O,AP$168*(1+Data_All!AP9%),AP169*(1+Data_All!AP9%)),"")</f>
        <v/>
      </c>
      <c r="AQ170" s="427" t="str">
        <f>IF(AND($A170&gt;=SYear_O,$A170&lt;=EYear_O,AQ$3&gt;0),IF($A170=SYear_O,AQ$168*(1+Data_All!AQ9%),AQ169*(1+Data_All!AQ9%)),"")</f>
        <v/>
      </c>
      <c r="AR170" s="427" t="str">
        <f>IF(AND($A170&gt;=SYear_O,$A170&lt;=EYear_O,AR$3&gt;0),IF($A170=SYear_O,AR$168*(1+Data_All!AR9%),AR169*(1+Data_All!AR9%)),"")</f>
        <v/>
      </c>
      <c r="AS170" s="427" t="str">
        <f>IF(AND($A170&gt;=SYear_O,$A170&lt;=EYear_O,AS$3&gt;0),IF($A170=SYear_O,AS$168*(1+Data_All!AS9%),AS169*(1+Data_All!AS9%)),"")</f>
        <v/>
      </c>
      <c r="AT170" s="427" t="str">
        <f>IF(AND($A170&gt;=SYear_O,$A170&lt;=EYear_O,AT$3&gt;0),IF($A170=SYear_O,AT$168*(1+Data_All!AT9%),AT169*(1+Data_All!AT9%)),"")</f>
        <v/>
      </c>
      <c r="AU170" s="427" t="str">
        <f>IF(AND($A170&gt;=SYear_O,$A170&lt;=EYear_O,AU$3&gt;0),IF($A170=SYear_O,AU$168*(1+Data_All!AU9%),AU169*(1+Data_All!AU9%)),"")</f>
        <v/>
      </c>
      <c r="AV170" s="427" t="str">
        <f>IF(AND($A170&gt;=SYear_O,$A170&lt;=EYear_O,AV$3&gt;0),IF($A170=SYear_O,AV$168*(1+Data_All!AV9%),AV169*(1+Data_All!AV9%)),"")</f>
        <v/>
      </c>
      <c r="AW170" s="427" t="str">
        <f>IF(AND($A170&gt;=SYear_O,$A170&lt;=EYear_O,AW$3&gt;0),IF($A170=SYear_O,AW$168*(1+Data_All!AW9%),AW169*(1+Data_All!AW9%)),"")</f>
        <v/>
      </c>
      <c r="AX170" s="427" t="str">
        <f>IF(AND($A170&gt;=SYear_O,$A170&lt;=EYear_O,AX$3&gt;0),IF($A170=SYear_O,AX$168*(1+Data_All!AX9%),AX169*(1+Data_All!AX9%)),"")</f>
        <v/>
      </c>
      <c r="AY170" s="427" t="str">
        <f>IF(AND($A170&gt;=SYear_O,$A170&lt;=EYear_O,AY$3&gt;0),IF($A170=SYear_O,AY$168*(1+Data_All!AY9%),AY169*(1+Data_All!AY9%)),"")</f>
        <v/>
      </c>
      <c r="AZ170" s="427" t="str">
        <f>IF(AND($A170&gt;=SYear_O,$A170&lt;=EYear_O,AZ$3&gt;0),IF($A170=SYear_O,AZ$168*(1+Data_All!AZ9%),AZ169*(1+Data_All!AZ9%)),"")</f>
        <v/>
      </c>
      <c r="BA170" s="427" t="str">
        <f>IF(AND($A170&gt;=SYear_O,$A170&lt;=EYear_O,BA$3&gt;0),IF($A170=SYear_O,BA$168*(1+Data_All!BA9%),BA169*(1+Data_All!BA9%)),"")</f>
        <v/>
      </c>
      <c r="BB170" s="427" t="str">
        <f>IF(AND($A170&gt;=SYear_O,$A170&lt;=EYear_O,BB$3&gt;0),IF($A170=SYear_O,BB$168*(1+Data_All!BB9%),BB169*(1+Data_All!BB9%)),"")</f>
        <v/>
      </c>
      <c r="BC170" s="427" t="str">
        <f>IF(AND($A170&gt;=SYear_O,$A170&lt;=EYear_O,BC$3&gt;0),IF($A170=SYear_O,BC$168*(1+Data_All!BC9%),BC169*(1+Data_All!BC9%)),"")</f>
        <v/>
      </c>
      <c r="BD170" s="427" t="str">
        <f>IF(AND($A170&gt;=SYear_O,$A170&lt;=EYear_O,BD$3&gt;0),IF($A170=SYear_O,BD$168*(1+Data_All!BD9%),BD169*(1+Data_All!BD9%)),"")</f>
        <v/>
      </c>
      <c r="BE170" s="427" t="str">
        <f>IF(AND($A170&gt;=SYear_O,$A170&lt;=EYear_O,BE$3&gt;0),IF($A170=SYear_O,BE$168*(1+Data_All!BE9%),BE169*(1+Data_All!BE9%)),"")</f>
        <v/>
      </c>
      <c r="BF170" s="427" t="str">
        <f>IF(AND($A170&gt;=SYear_O,$A170&lt;=EYear_O,BF$3&gt;0),IF($A170=SYear_O,BF$168*(1+Data_All!BF9%),BF169*(1+Data_All!BF9%)),"")</f>
        <v/>
      </c>
      <c r="BG170" s="427" t="str">
        <f>IF(AND($A170&gt;=SYear_O,$A170&lt;=EYear_O,BG$3&gt;0),IF($A170=SYear_O,BG$168*(1+Data_All!BG9%),BG169*(1+Data_All!BG9%)),"")</f>
        <v/>
      </c>
      <c r="BH170" s="427" t="str">
        <f>IF(AND($A170&gt;=SYear_O,$A170&lt;=EYear_O,BH$3&gt;0),IF($A170=SYear_O,BH$168*(1+Data_All!BH9%),BH169*(1+Data_All!BH9%)),"")</f>
        <v/>
      </c>
      <c r="BI170" s="427" t="str">
        <f>IF(AND($A170&gt;=SYear_O,$A170&lt;=EYear_O,BI$3&gt;0),IF($A170=SYear_O,BI$168*(1+Data_All!BI9%),BI169*(1+Data_All!BI9%)),"")</f>
        <v/>
      </c>
      <c r="BJ170" s="427" t="str">
        <f>IF(AND($A170&gt;=SYear_O,$A170&lt;=EYear_O,BJ$3&gt;0),IF($A170=SYear_O,BJ$168*(1+Data_All!BJ9%),BJ169*(1+Data_All!BJ9%)),"")</f>
        <v/>
      </c>
      <c r="BK170" s="427" t="str">
        <f>IF(AND($A170&gt;=SYear_O,$A170&lt;=EYear_O,BK$3&gt;0),IF($A170=SYear_O,BK$168*(1+Data_All!BK9%),BK169*(1+Data_All!BK9%)),"")</f>
        <v/>
      </c>
      <c r="BL170" s="427" t="str">
        <f>IF(AND($A170&gt;=SYear_O,$A170&lt;=EYear_O,BL$3&gt;0),IF($A170=SYear_O,BL$168*(1+Data_All!BL9%),BL169*(1+Data_All!BL9%)),"")</f>
        <v/>
      </c>
      <c r="BM170" s="427" t="str">
        <f>IF(AND($A170&gt;=SYear_O,$A170&lt;=EYear_O,BM$3&gt;0),IF($A170=SYear_O,BM$168*(1+Data_All!BM9%),BM169*(1+Data_All!BM9%)),"")</f>
        <v/>
      </c>
      <c r="BN170" s="427" t="str">
        <f>IF(AND($A170&gt;=SYear_O,$A170&lt;=EYear_O,BN$3&gt;0),IF($A170=SYear_O,BN$168*(1+Data_All!BN9%),BN169*(1+Data_All!BN9%)),"")</f>
        <v/>
      </c>
      <c r="BO170" s="427" t="str">
        <f>IF(AND($A170&gt;=SYear_O,$A170&lt;=EYear_O,BO$3&gt;0),IF($A170=SYear_O,BO$168*(1+Data_All!BO9%),BO169*(1+Data_All!BO9%)),"")</f>
        <v/>
      </c>
      <c r="BP170" s="427" t="str">
        <f>IF(AND($A170&gt;=SYear_O,$A170&lt;=EYear_O,BP$3&gt;0),IF($A170=SYear_O,BP$168*(1+Data_All!BP9%),BP169*(1+Data_All!BP9%)),"")</f>
        <v/>
      </c>
      <c r="BQ170" s="427" t="str">
        <f>IF(AND($A170&gt;=SYear_O,$A170&lt;=EYear_O,BQ$3&gt;0),IF($A170=SYear_O,BQ$168*(1+Data_All!BQ9%),BQ169*(1+Data_All!BQ9%)),"")</f>
        <v/>
      </c>
      <c r="BR170" s="427" t="str">
        <f>IF(AND($A170&gt;=SYear_O,$A170&lt;=EYear_O,BR$3&gt;0),IF($A170=SYear_O,BR$168*(1+Data_All!BR9%),BR169*(1+Data_All!BR9%)),"")</f>
        <v/>
      </c>
      <c r="BS170" s="427" t="str">
        <f>IF(AND($A170&gt;=SYear_O,$A170&lt;=EYear_O,BS$3&gt;0),IF($A170=SYear_O,BS$168*(1+Data_All!BS9%),BS169*(1+Data_All!BS9%)),"")</f>
        <v/>
      </c>
      <c r="BT170" s="427" t="str">
        <f>IF(AND($A170&gt;=SYear_O,$A170&lt;=EYear_O,BT$3&gt;0),IF($A170=SYear_O,BT$168*(1+Data_All!BT9%),BT169*(1+Data_All!BT9%)),"")</f>
        <v/>
      </c>
      <c r="BU170" s="427" t="str">
        <f>IF(AND($A170&gt;=SYear_O,$A170&lt;=EYear_O,BU$3&gt;0),IF($A170=SYear_O,BU$168*(1+Data_All!BU9%),BU169*(1+Data_All!BU9%)),"")</f>
        <v/>
      </c>
      <c r="BV170" s="427" t="str">
        <f>IF(AND($A170&gt;=SYear_O,$A170&lt;=EYear_O,BV$3&gt;0),IF($A170=SYear_O,BV$168*(1+Data_All!BV9%),BV169*(1+Data_All!BV9%)),"")</f>
        <v/>
      </c>
      <c r="BW170" s="427" t="str">
        <f>IF(AND($A170&gt;=SYear_O,$A170&lt;=EYear_O,BW$3&gt;0),IF($A170=SYear_O,BW$168*(1+Data_All!BW9%),BW169*(1+Data_All!BW9%)),"")</f>
        <v/>
      </c>
      <c r="BX170" s="427">
        <f>IF(AND($A170&gt;=SYear_O,$A170&lt;=EYear_O,BX$3&gt;0),IF($A170=SYear_O,BX$168*(1+Data_All!BX9%),BX169*(1+Data_All!BX9%)),"")</f>
        <v>7701.9241463685912</v>
      </c>
      <c r="BY170" s="427">
        <f>IF(AND($A170&gt;=SYear_O,$A170&lt;=EYear_O,BY$3&gt;0),IF($A170=SYear_O,BY$168*(1+Data_All!BY9%),BY169*(1+Data_All!BY9%)),"")</f>
        <v>4257.2811814426059</v>
      </c>
      <c r="BZ170" s="427" t="str">
        <f>IF(AND($A170&gt;=SYear_O,$A170&lt;=EYear_O,BZ$3&gt;0),IF($A170=SYear_O,BZ$168*(1+Data_All!BZ9%),BZ169*(1+Data_All!BZ9%)),"")</f>
        <v/>
      </c>
      <c r="CA170" s="565">
        <f t="shared" si="92"/>
        <v>8.4690819486806017</v>
      </c>
      <c r="CB170" s="427">
        <f t="shared" si="93"/>
        <v>11959.205327811196</v>
      </c>
      <c r="CC170" s="565">
        <f>IF(AND($A170&gt;=SYear_O,$A170&lt;=EYear_O),(CA170-Data_All!CA9)/(1+Data_All!CA9%),"")</f>
        <v>6.0765653505286492</v>
      </c>
      <c r="CD170" s="436">
        <f t="shared" si="94"/>
        <v>11519.512208904178</v>
      </c>
      <c r="CE170" s="438">
        <f t="shared" si="95"/>
        <v>1.0846908194868061</v>
      </c>
      <c r="CF170" s="438">
        <f>IF(AND($A170&gt;=SYear_O,$A170&lt;=EYear_O),MAX($CE$169:CE170),"")</f>
        <v>1.0846908194868061</v>
      </c>
      <c r="CG170" s="209">
        <f t="shared" si="96"/>
        <v>0</v>
      </c>
      <c r="CN170" s="61">
        <f t="shared" si="97"/>
        <v>8.4690819486805902E-2</v>
      </c>
      <c r="CO170" s="61">
        <f t="shared" si="98"/>
        <v>5.4231473350479398E-2</v>
      </c>
      <c r="CP170" s="61">
        <f t="shared" si="99"/>
        <v>2.9536139910424364E-2</v>
      </c>
      <c r="CQ170" s="61">
        <f t="shared" si="100"/>
        <v>7.1835901487450338E-2</v>
      </c>
      <c r="CR170" s="61">
        <f t="shared" si="101"/>
        <v>6.094125030119768E-2</v>
      </c>
      <c r="CU170" s="61">
        <f t="shared" si="102"/>
        <v>6.076565350528651E-2</v>
      </c>
      <c r="CV170" s="61">
        <f t="shared" si="103"/>
        <v>8.798930363189883E-2</v>
      </c>
      <c r="CW170" s="61">
        <f t="shared" si="104"/>
        <v>5.9918749932551529E-2</v>
      </c>
      <c r="CX170" s="61">
        <f t="shared" si="105"/>
        <v>9.5406152940687328E-2</v>
      </c>
      <c r="CY170" s="61">
        <f t="shared" si="106"/>
        <v>9.3946832710662953E-2</v>
      </c>
    </row>
    <row r="171" spans="1:103">
      <c r="A171" s="204">
        <f t="shared" ref="A171:A290" si="107">A170+1</f>
        <v>1873</v>
      </c>
      <c r="B171" s="427" t="str">
        <f>IF(AND($A171&gt;=SYear_O,$A171&lt;=EYear_O,B$3&gt;0),IF($A171=SYear_O,B$168*(1+Data_All!B10%),B170*(1+Data_All!B10%)),"")</f>
        <v/>
      </c>
      <c r="C171" s="427" t="str">
        <f>IF(AND($A171&gt;=SYear_O,$A171&lt;=EYear_O,C$3&gt;0),IF($A171=SYear_O,C$168*(1+Data_All!C10%),C170*(1+Data_All!C10%)),"")</f>
        <v/>
      </c>
      <c r="D171" s="427" t="str">
        <f>IF(AND($A171&gt;=SYear_O,$A171&lt;=EYear_O,D$3&gt;0),IF($A171=SYear_O,D$168*(1+Data_All!D10%),D170*(1+Data_All!D10%)),"")</f>
        <v/>
      </c>
      <c r="E171" s="427" t="str">
        <f>IF(AND($A171&gt;=SYear_O,$A171&lt;=EYear_O,E$3&gt;0),IF($A171=SYear_O,E$168*(1+Data_All!E10%),E170*(1+Data_All!E10%)),"")</f>
        <v/>
      </c>
      <c r="F171" s="427" t="str">
        <f>IF(AND($A171&gt;=SYear_O,$A171&lt;=EYear_O,F$3&gt;0),IF($A171=SYear_O,F$168*(1+Data_All!F10%),F170*(1+Data_All!F10%)),"")</f>
        <v/>
      </c>
      <c r="G171" s="427" t="str">
        <f>IF(AND($A171&gt;=SYear_O,$A171&lt;=EYear_O,G$3&gt;0),IF($A171=SYear_O,G$168*(1+Data_All!G10%),G170*(1+Data_All!G10%)),"")</f>
        <v/>
      </c>
      <c r="H171" s="427" t="str">
        <f>IF(AND($A171&gt;=SYear_O,$A171&lt;=EYear_O,H$3&gt;0),IF($A171=SYear_O,H$168*(1+Data_All!H10%),H170*(1+Data_All!H10%)),"")</f>
        <v/>
      </c>
      <c r="I171" s="427" t="str">
        <f>IF(AND($A171&gt;=SYear_O,$A171&lt;=EYear_O,I$3&gt;0),IF($A171=SYear_O,I$168*(1+Data_All!I10%),I170*(1+Data_All!I10%)),"")</f>
        <v/>
      </c>
      <c r="J171" s="427" t="str">
        <f>IF(AND($A171&gt;=SYear_O,$A171&lt;=EYear_O,J$3&gt;0),IF($A171=SYear_O,J$168*(1+Data_All!J10%),J170*(1+Data_All!J10%)),"")</f>
        <v/>
      </c>
      <c r="K171" s="427" t="str">
        <f>IF(AND($A171&gt;=SYear_O,$A171&lt;=EYear_O,K$3&gt;0),IF($A171=SYear_O,K$168*(1+Data_All!K10%),K170*(1+Data_All!K10%)),"")</f>
        <v/>
      </c>
      <c r="L171" s="427" t="str">
        <f>IF(AND($A171&gt;=SYear_O,$A171&lt;=EYear_O,L$3&gt;0),IF($A171=SYear_O,L$168*(1+Data_All!L10%),L170*(1+Data_All!L10%)),"")</f>
        <v/>
      </c>
      <c r="M171" s="427" t="str">
        <f>IF(AND($A171&gt;=SYear_O,$A171&lt;=EYear_O,M$3&gt;0),IF($A171=SYear_O,M$168*(1+Data_All!M10%),M170*(1+Data_All!M10%)),"")</f>
        <v/>
      </c>
      <c r="N171" s="427" t="str">
        <f>IF(AND($A171&gt;=SYear_O,$A171&lt;=EYear_O,N$3&gt;0),IF($A171=SYear_O,N$168*(1+Data_All!N10%),N170*(1+Data_All!N10%)),"")</f>
        <v/>
      </c>
      <c r="O171" s="427" t="str">
        <f>IF(AND($A171&gt;=SYear_O,$A171&lt;=EYear_O,O$3&gt;0),IF($A171=SYear_O,O$168*(1+Data_All!O10%),O170*(1+Data_All!O10%)),"")</f>
        <v/>
      </c>
      <c r="P171" s="427" t="str">
        <f>IF(AND($A171&gt;=SYear_O,$A171&lt;=EYear_O,P$3&gt;0),IF($A171=SYear_O,P$168*(1+Data_All!P10%),P170*(1+Data_All!P10%)),"")</f>
        <v/>
      </c>
      <c r="Q171" s="427" t="str">
        <f>IF(AND($A171&gt;=SYear_O,$A171&lt;=EYear_O,Q$3&gt;0),IF($A171=SYear_O,Q$168*(1+Data_All!Q10%),Q170*(1+Data_All!Q10%)),"")</f>
        <v/>
      </c>
      <c r="R171" s="427" t="str">
        <f>IF(AND($A171&gt;=SYear_O,$A171&lt;=EYear_O,R$3&gt;0),IF($A171=SYear_O,R$168*(1+Data_All!R10%),R170*(1+Data_All!R10%)),"")</f>
        <v/>
      </c>
      <c r="S171" s="427" t="str">
        <f>IF(AND($A171&gt;=SYear_O,$A171&lt;=EYear_O,S$3&gt;0),IF($A171=SYear_O,S$168*(1+Data_All!S10%),S170*(1+Data_All!S10%)),"")</f>
        <v/>
      </c>
      <c r="T171" s="427" t="str">
        <f>IF(AND($A171&gt;=SYear_O,$A171&lt;=EYear_O,T$3&gt;0),IF($A171=SYear_O,T$168*(1+Data_All!T10%),T170*(1+Data_All!T10%)),"")</f>
        <v/>
      </c>
      <c r="U171" s="427" t="str">
        <f>IF(AND($A171&gt;=SYear_O,$A171&lt;=EYear_O,U$3&gt;0),IF($A171=SYear_O,U$168*(1+Data_All!U10%),U170*(1+Data_All!U10%)),"")</f>
        <v/>
      </c>
      <c r="V171" s="427" t="str">
        <f>IF(AND($A171&gt;=SYear_O,$A171&lt;=EYear_O,V$3&gt;0),IF($A171=SYear_O,V$168*(1+Data_All!V10%),V170*(1+Data_All!V10%)),"")</f>
        <v/>
      </c>
      <c r="W171" s="427" t="str">
        <f>IF(AND($A171&gt;=SYear_O,$A171&lt;=EYear_O,W$3&gt;0),IF($A171=SYear_O,W$168*(1+Data_All!W10%),W170*(1+Data_All!W10%)),"")</f>
        <v/>
      </c>
      <c r="X171" s="427" t="str">
        <f>IF(AND($A171&gt;=SYear_O,$A171&lt;=EYear_O,X$3&gt;0),IF($A171=SYear_O,X$168*(1+Data_All!X10%),X170*(1+Data_All!X10%)),"")</f>
        <v/>
      </c>
      <c r="Y171" s="427" t="str">
        <f>IF(AND($A171&gt;=SYear_O,$A171&lt;=EYear_O,Y$3&gt;0),IF($A171=SYear_O,Y$168*(1+Data_All!Y10%),Y170*(1+Data_All!Y10%)),"")</f>
        <v/>
      </c>
      <c r="Z171" s="427" t="str">
        <f>IF(AND($A171&gt;=SYear_O,$A171&lt;=EYear_O,Z$3&gt;0),IF($A171=SYear_O,Z$168*(1+Data_All!Z10%),Z170*(1+Data_All!Z10%)),"")</f>
        <v/>
      </c>
      <c r="AA171" s="427" t="str">
        <f>IF(AND($A171&gt;=SYear_O,$A171&lt;=EYear_O,AA$3&gt;0),IF($A171=SYear_O,AA$168*(1+Data_All!AA10%),AA170*(1+Data_All!AA10%)),"")</f>
        <v/>
      </c>
      <c r="AB171" s="427" t="str">
        <f>IF(AND($A171&gt;=SYear_O,$A171&lt;=EYear_O,AB$3&gt;0),IF($A171=SYear_O,AB$168*(1+Data_All!AB10%),AB170*(1+Data_All!AB10%)),"")</f>
        <v/>
      </c>
      <c r="AC171" s="427" t="str">
        <f>IF(AND($A171&gt;=SYear_O,$A171&lt;=EYear_O,AC$3&gt;0),IF($A171=SYear_O,AC$168*(1+Data_All!AC10%),AC170*(1+Data_All!AC10%)),"")</f>
        <v/>
      </c>
      <c r="AD171" s="427" t="str">
        <f>IF(AND($A171&gt;=SYear_O,$A171&lt;=EYear_O,AD$3&gt;0),IF($A171=SYear_O,AD$168*(1+Data_All!AD10%),AD170*(1+Data_All!AD10%)),"")</f>
        <v/>
      </c>
      <c r="AE171" s="427" t="str">
        <f>IF(AND($A171&gt;=SYear_O,$A171&lt;=EYear_O,AE$3&gt;0),IF($A171=SYear_O,AE$168*(1+Data_All!AE10%),AE170*(1+Data_All!AE10%)),"")</f>
        <v/>
      </c>
      <c r="AF171" s="427" t="str">
        <f>IF(AND($A171&gt;=SYear_O,$A171&lt;=EYear_O,AF$3&gt;0),IF($A171=SYear_O,AF$168*(1+Data_All!AF10%),AF170*(1+Data_All!AF10%)),"")</f>
        <v/>
      </c>
      <c r="AG171" s="427" t="str">
        <f>IF(AND($A171&gt;=SYear_O,$A171&lt;=EYear_O,AG$3&gt;0),IF($A171=SYear_O,AG$168*(1+Data_All!AG10%),AG170*(1+Data_All!AG10%)),"")</f>
        <v/>
      </c>
      <c r="AH171" s="427" t="str">
        <f>IF(AND($A171&gt;=SYear_O,$A171&lt;=EYear_O,AH$3&gt;0),IF($A171=SYear_O,AH$168*(1+Data_All!AH10%),AH170*(1+Data_All!AH10%)),"")</f>
        <v/>
      </c>
      <c r="AI171" s="427" t="str">
        <f>IF(AND($A171&gt;=SYear_O,$A171&lt;=EYear_O,AI$3&gt;0),IF($A171=SYear_O,AI$168*(1+Data_All!AI10%),AI170*(1+Data_All!AI10%)),"")</f>
        <v/>
      </c>
      <c r="AJ171" s="427" t="str">
        <f>IF(AND($A171&gt;=SYear_O,$A171&lt;=EYear_O,AJ$3&gt;0),IF($A171=SYear_O,AJ$168*(1+Data_All!AJ10%),AJ170*(1+Data_All!AJ10%)),"")</f>
        <v/>
      </c>
      <c r="AK171" s="427" t="str">
        <f>IF(AND($A171&gt;=SYear_O,$A171&lt;=EYear_O,AK$3&gt;0),IF($A171=SYear_O,AK$168*(1+Data_All!AK10%),AK170*(1+Data_All!AK10%)),"")</f>
        <v/>
      </c>
      <c r="AL171" s="427" t="str">
        <f>IF(AND($A171&gt;=SYear_O,$A171&lt;=EYear_O,AL$3&gt;0),IF($A171=SYear_O,AL$168*(1+Data_All!AL10%),AL170*(1+Data_All!AL10%)),"")</f>
        <v/>
      </c>
      <c r="AM171" s="427" t="str">
        <f>IF(AND($A171&gt;=SYear_O,$A171&lt;=EYear_O,AM$3&gt;0),IF($A171=SYear_O,AM$168*(1+Data_All!AM10%),AM170*(1+Data_All!AM10%)),"")</f>
        <v/>
      </c>
      <c r="AN171" s="427" t="str">
        <f>IF(AND($A171&gt;=SYear_O,$A171&lt;=EYear_O,AN$3&gt;0),IF($A171=SYear_O,AN$168*(1+Data_All!AN10%),AN170*(1+Data_All!AN10%)),"")</f>
        <v/>
      </c>
      <c r="AO171" s="427" t="str">
        <f>IF(AND($A171&gt;=SYear_O,$A171&lt;=EYear_O,AO$3&gt;0),IF($A171=SYear_O,AO$168*(1+Data_All!AO10%),AO170*(1+Data_All!AO10%)),"")</f>
        <v/>
      </c>
      <c r="AP171" s="427" t="str">
        <f>IF(AND($A171&gt;=SYear_O,$A171&lt;=EYear_O,AP$3&gt;0),IF($A171=SYear_O,AP$168*(1+Data_All!AP10%),AP170*(1+Data_All!AP10%)),"")</f>
        <v/>
      </c>
      <c r="AQ171" s="427" t="str">
        <f>IF(AND($A171&gt;=SYear_O,$A171&lt;=EYear_O,AQ$3&gt;0),IF($A171=SYear_O,AQ$168*(1+Data_All!AQ10%),AQ170*(1+Data_All!AQ10%)),"")</f>
        <v/>
      </c>
      <c r="AR171" s="427" t="str">
        <f>IF(AND($A171&gt;=SYear_O,$A171&lt;=EYear_O,AR$3&gt;0),IF($A171=SYear_O,AR$168*(1+Data_All!AR10%),AR170*(1+Data_All!AR10%)),"")</f>
        <v/>
      </c>
      <c r="AS171" s="427" t="str">
        <f>IF(AND($A171&gt;=SYear_O,$A171&lt;=EYear_O,AS$3&gt;0),IF($A171=SYear_O,AS$168*(1+Data_All!AS10%),AS170*(1+Data_All!AS10%)),"")</f>
        <v/>
      </c>
      <c r="AT171" s="427" t="str">
        <f>IF(AND($A171&gt;=SYear_O,$A171&lt;=EYear_O,AT$3&gt;0),IF($A171=SYear_O,AT$168*(1+Data_All!AT10%),AT170*(1+Data_All!AT10%)),"")</f>
        <v/>
      </c>
      <c r="AU171" s="427" t="str">
        <f>IF(AND($A171&gt;=SYear_O,$A171&lt;=EYear_O,AU$3&gt;0),IF($A171=SYear_O,AU$168*(1+Data_All!AU10%),AU170*(1+Data_All!AU10%)),"")</f>
        <v/>
      </c>
      <c r="AV171" s="427" t="str">
        <f>IF(AND($A171&gt;=SYear_O,$A171&lt;=EYear_O,AV$3&gt;0),IF($A171=SYear_O,AV$168*(1+Data_All!AV10%),AV170*(1+Data_All!AV10%)),"")</f>
        <v/>
      </c>
      <c r="AW171" s="427" t="str">
        <f>IF(AND($A171&gt;=SYear_O,$A171&lt;=EYear_O,AW$3&gt;0),IF($A171=SYear_O,AW$168*(1+Data_All!AW10%),AW170*(1+Data_All!AW10%)),"")</f>
        <v/>
      </c>
      <c r="AX171" s="427" t="str">
        <f>IF(AND($A171&gt;=SYear_O,$A171&lt;=EYear_O,AX$3&gt;0),IF($A171=SYear_O,AX$168*(1+Data_All!AX10%),AX170*(1+Data_All!AX10%)),"")</f>
        <v/>
      </c>
      <c r="AY171" s="427" t="str">
        <f>IF(AND($A171&gt;=SYear_O,$A171&lt;=EYear_O,AY$3&gt;0),IF($A171=SYear_O,AY$168*(1+Data_All!AY10%),AY170*(1+Data_All!AY10%)),"")</f>
        <v/>
      </c>
      <c r="AZ171" s="427" t="str">
        <f>IF(AND($A171&gt;=SYear_O,$A171&lt;=EYear_O,AZ$3&gt;0),IF($A171=SYear_O,AZ$168*(1+Data_All!AZ10%),AZ170*(1+Data_All!AZ10%)),"")</f>
        <v/>
      </c>
      <c r="BA171" s="427" t="str">
        <f>IF(AND($A171&gt;=SYear_O,$A171&lt;=EYear_O,BA$3&gt;0),IF($A171=SYear_O,BA$168*(1+Data_All!BA10%),BA170*(1+Data_All!BA10%)),"")</f>
        <v/>
      </c>
      <c r="BB171" s="427" t="str">
        <f>IF(AND($A171&gt;=SYear_O,$A171&lt;=EYear_O,BB$3&gt;0),IF($A171=SYear_O,BB$168*(1+Data_All!BB10%),BB170*(1+Data_All!BB10%)),"")</f>
        <v/>
      </c>
      <c r="BC171" s="427" t="str">
        <f>IF(AND($A171&gt;=SYear_O,$A171&lt;=EYear_O,BC$3&gt;0),IF($A171=SYear_O,BC$168*(1+Data_All!BC10%),BC170*(1+Data_All!BC10%)),"")</f>
        <v/>
      </c>
      <c r="BD171" s="427" t="str">
        <f>IF(AND($A171&gt;=SYear_O,$A171&lt;=EYear_O,BD$3&gt;0),IF($A171=SYear_O,BD$168*(1+Data_All!BD10%),BD170*(1+Data_All!BD10%)),"")</f>
        <v/>
      </c>
      <c r="BE171" s="427" t="str">
        <f>IF(AND($A171&gt;=SYear_O,$A171&lt;=EYear_O,BE$3&gt;0),IF($A171=SYear_O,BE$168*(1+Data_All!BE10%),BE170*(1+Data_All!BE10%)),"")</f>
        <v/>
      </c>
      <c r="BF171" s="427" t="str">
        <f>IF(AND($A171&gt;=SYear_O,$A171&lt;=EYear_O,BF$3&gt;0),IF($A171=SYear_O,BF$168*(1+Data_All!BF10%),BF170*(1+Data_All!BF10%)),"")</f>
        <v/>
      </c>
      <c r="BG171" s="427" t="str">
        <f>IF(AND($A171&gt;=SYear_O,$A171&lt;=EYear_O,BG$3&gt;0),IF($A171=SYear_O,BG$168*(1+Data_All!BG10%),BG170*(1+Data_All!BG10%)),"")</f>
        <v/>
      </c>
      <c r="BH171" s="427" t="str">
        <f>IF(AND($A171&gt;=SYear_O,$A171&lt;=EYear_O,BH$3&gt;0),IF($A171=SYear_O,BH$168*(1+Data_All!BH10%),BH170*(1+Data_All!BH10%)),"")</f>
        <v/>
      </c>
      <c r="BI171" s="427" t="str">
        <f>IF(AND($A171&gt;=SYear_O,$A171&lt;=EYear_O,BI$3&gt;0),IF($A171=SYear_O,BI$168*(1+Data_All!BI10%),BI170*(1+Data_All!BI10%)),"")</f>
        <v/>
      </c>
      <c r="BJ171" s="427" t="str">
        <f>IF(AND($A171&gt;=SYear_O,$A171&lt;=EYear_O,BJ$3&gt;0),IF($A171=SYear_O,BJ$168*(1+Data_All!BJ10%),BJ170*(1+Data_All!BJ10%)),"")</f>
        <v/>
      </c>
      <c r="BK171" s="427" t="str">
        <f>IF(AND($A171&gt;=SYear_O,$A171&lt;=EYear_O,BK$3&gt;0),IF($A171=SYear_O,BK$168*(1+Data_All!BK10%),BK170*(1+Data_All!BK10%)),"")</f>
        <v/>
      </c>
      <c r="BL171" s="427" t="str">
        <f>IF(AND($A171&gt;=SYear_O,$A171&lt;=EYear_O,BL$3&gt;0),IF($A171=SYear_O,BL$168*(1+Data_All!BL10%),BL170*(1+Data_All!BL10%)),"")</f>
        <v/>
      </c>
      <c r="BM171" s="427" t="str">
        <f>IF(AND($A171&gt;=SYear_O,$A171&lt;=EYear_O,BM$3&gt;0),IF($A171=SYear_O,BM$168*(1+Data_All!BM10%),BM170*(1+Data_All!BM10%)),"")</f>
        <v/>
      </c>
      <c r="BN171" s="427" t="str">
        <f>IF(AND($A171&gt;=SYear_O,$A171&lt;=EYear_O,BN$3&gt;0),IF($A171=SYear_O,BN$168*(1+Data_All!BN10%),BN170*(1+Data_All!BN10%)),"")</f>
        <v/>
      </c>
      <c r="BO171" s="427" t="str">
        <f>IF(AND($A171&gt;=SYear_O,$A171&lt;=EYear_O,BO$3&gt;0),IF($A171=SYear_O,BO$168*(1+Data_All!BO10%),BO170*(1+Data_All!BO10%)),"")</f>
        <v/>
      </c>
      <c r="BP171" s="427" t="str">
        <f>IF(AND($A171&gt;=SYear_O,$A171&lt;=EYear_O,BP$3&gt;0),IF($A171=SYear_O,BP$168*(1+Data_All!BP10%),BP170*(1+Data_All!BP10%)),"")</f>
        <v/>
      </c>
      <c r="BQ171" s="427" t="str">
        <f>IF(AND($A171&gt;=SYear_O,$A171&lt;=EYear_O,BQ$3&gt;0),IF($A171=SYear_O,BQ$168*(1+Data_All!BQ10%),BQ170*(1+Data_All!BQ10%)),"")</f>
        <v/>
      </c>
      <c r="BR171" s="427" t="str">
        <f>IF(AND($A171&gt;=SYear_O,$A171&lt;=EYear_O,BR$3&gt;0),IF($A171=SYear_O,BR$168*(1+Data_All!BR10%),BR170*(1+Data_All!BR10%)),"")</f>
        <v/>
      </c>
      <c r="BS171" s="427" t="str">
        <f>IF(AND($A171&gt;=SYear_O,$A171&lt;=EYear_O,BS$3&gt;0),IF($A171=SYear_O,BS$168*(1+Data_All!BS10%),BS170*(1+Data_All!BS10%)),"")</f>
        <v/>
      </c>
      <c r="BT171" s="427" t="str">
        <f>IF(AND($A171&gt;=SYear_O,$A171&lt;=EYear_O,BT$3&gt;0),IF($A171=SYear_O,BT$168*(1+Data_All!BT10%),BT170*(1+Data_All!BT10%)),"")</f>
        <v/>
      </c>
      <c r="BU171" s="427" t="str">
        <f>IF(AND($A171&gt;=SYear_O,$A171&lt;=EYear_O,BU$3&gt;0),IF($A171=SYear_O,BU$168*(1+Data_All!BU10%),BU170*(1+Data_All!BU10%)),"")</f>
        <v/>
      </c>
      <c r="BV171" s="427" t="str">
        <f>IF(AND($A171&gt;=SYear_O,$A171&lt;=EYear_O,BV$3&gt;0),IF($A171=SYear_O,BV$168*(1+Data_All!BV10%),BV170*(1+Data_All!BV10%)),"")</f>
        <v/>
      </c>
      <c r="BW171" s="427" t="str">
        <f>IF(AND($A171&gt;=SYear_O,$A171&lt;=EYear_O,BW$3&gt;0),IF($A171=SYear_O,BW$168*(1+Data_All!BW10%),BW170*(1+Data_All!BW10%)),"")</f>
        <v/>
      </c>
      <c r="BX171" s="427">
        <f>IF(AND($A171&gt;=SYear_O,$A171&lt;=EYear_O,BX$3&gt;0),IF($A171=SYear_O,BX$168*(1+Data_All!BX10%),BX170*(1+Data_All!BX10%)),"")</f>
        <v>7521.0570431270589</v>
      </c>
      <c r="BY171" s="427">
        <f>IF(AND($A171&gt;=SYear_O,$A171&lt;=EYear_O,BY$3&gt;0),IF($A171=SYear_O,BY$168*(1+Data_All!BY10%),BY170*(1+Data_All!BY10%)),"")</f>
        <v>4607.038450981664</v>
      </c>
      <c r="BZ171" s="427" t="str">
        <f>IF(AND($A171&gt;=SYear_O,$A171&lt;=EYear_O,BZ$3&gt;0),IF($A171=SYear_O,BZ$168*(1+Data_All!BZ10%),BZ170*(1+Data_All!BZ10%)),"")</f>
        <v/>
      </c>
      <c r="CA171" s="565">
        <f t="shared" si="92"/>
        <v>1.4122189699742915</v>
      </c>
      <c r="CB171" s="427">
        <f t="shared" si="93"/>
        <v>12128.095494108722</v>
      </c>
      <c r="CC171" s="565">
        <f>IF(AND($A171&gt;=SYear_O,$A171&lt;=EYear_O),(CA171-Data_All!CA10)/(1+Data_All!CA10%),"")</f>
        <v>6.0931016731975296</v>
      </c>
      <c r="CD171" s="436">
        <f t="shared" si="94"/>
        <v>12221.407800049112</v>
      </c>
      <c r="CE171" s="438">
        <f t="shared" si="95"/>
        <v>1.1000090290051685</v>
      </c>
      <c r="CF171" s="438">
        <f>IF(AND($A171&gt;=SYear_O,$A171&lt;=EYear_O),MAX($CE$169:CE171),"")</f>
        <v>1.1000090290051685</v>
      </c>
      <c r="CG171" s="209">
        <f t="shared" si="96"/>
        <v>0</v>
      </c>
      <c r="CN171" s="61">
        <f t="shared" si="97"/>
        <v>1.4122189699742993E-2</v>
      </c>
      <c r="CO171" s="61">
        <f t="shared" si="98"/>
        <v>4.351905812858381E-2</v>
      </c>
      <c r="CP171" s="61">
        <f t="shared" si="99"/>
        <v>1.384153787146003E-2</v>
      </c>
      <c r="CQ171" s="61">
        <f t="shared" si="100"/>
        <v>6.6782996746472145E-2</v>
      </c>
      <c r="CR171" s="61">
        <f t="shared" si="101"/>
        <v>5.6068341087345042E-2</v>
      </c>
      <c r="CU171" s="61">
        <f t="shared" si="102"/>
        <v>6.0931016731975207E-2</v>
      </c>
      <c r="CV171" s="61">
        <f t="shared" si="103"/>
        <v>0.10673958450301546</v>
      </c>
      <c r="CW171" s="61">
        <f t="shared" si="104"/>
        <v>8.4735543106273958E-2</v>
      </c>
      <c r="CX171" s="61">
        <f t="shared" si="105"/>
        <v>9.4739727809473928E-2</v>
      </c>
      <c r="CY171" s="61">
        <f t="shared" si="106"/>
        <v>8.7165531572383381E-2</v>
      </c>
    </row>
    <row r="172" spans="1:103">
      <c r="A172" s="204">
        <f t="shared" si="107"/>
        <v>1874</v>
      </c>
      <c r="B172" s="427" t="str">
        <f>IF(AND($A172&gt;=SYear_O,$A172&lt;=EYear_O,B$3&gt;0),IF($A172=SYear_O,B$168*(1+Data_All!B11%),B171*(1+Data_All!B11%)),"")</f>
        <v/>
      </c>
      <c r="C172" s="427" t="str">
        <f>IF(AND($A172&gt;=SYear_O,$A172&lt;=EYear_O,C$3&gt;0),IF($A172=SYear_O,C$168*(1+Data_All!C11%),C171*(1+Data_All!C11%)),"")</f>
        <v/>
      </c>
      <c r="D172" s="427" t="str">
        <f>IF(AND($A172&gt;=SYear_O,$A172&lt;=EYear_O,D$3&gt;0),IF($A172=SYear_O,D$168*(1+Data_All!D11%),D171*(1+Data_All!D11%)),"")</f>
        <v/>
      </c>
      <c r="E172" s="427" t="str">
        <f>IF(AND($A172&gt;=SYear_O,$A172&lt;=EYear_O,E$3&gt;0),IF($A172=SYear_O,E$168*(1+Data_All!E11%),E171*(1+Data_All!E11%)),"")</f>
        <v/>
      </c>
      <c r="F172" s="427" t="str">
        <f>IF(AND($A172&gt;=SYear_O,$A172&lt;=EYear_O,F$3&gt;0),IF($A172=SYear_O,F$168*(1+Data_All!F11%),F171*(1+Data_All!F11%)),"")</f>
        <v/>
      </c>
      <c r="G172" s="427" t="str">
        <f>IF(AND($A172&gt;=SYear_O,$A172&lt;=EYear_O,G$3&gt;0),IF($A172=SYear_O,G$168*(1+Data_All!G11%),G171*(1+Data_All!G11%)),"")</f>
        <v/>
      </c>
      <c r="H172" s="427" t="str">
        <f>IF(AND($A172&gt;=SYear_O,$A172&lt;=EYear_O,H$3&gt;0),IF($A172=SYear_O,H$168*(1+Data_All!H11%),H171*(1+Data_All!H11%)),"")</f>
        <v/>
      </c>
      <c r="I172" s="427" t="str">
        <f>IF(AND($A172&gt;=SYear_O,$A172&lt;=EYear_O,I$3&gt;0),IF($A172=SYear_O,I$168*(1+Data_All!I11%),I171*(1+Data_All!I11%)),"")</f>
        <v/>
      </c>
      <c r="J172" s="427" t="str">
        <f>IF(AND($A172&gt;=SYear_O,$A172&lt;=EYear_O,J$3&gt;0),IF($A172=SYear_O,J$168*(1+Data_All!J11%),J171*(1+Data_All!J11%)),"")</f>
        <v/>
      </c>
      <c r="K172" s="427" t="str">
        <f>IF(AND($A172&gt;=SYear_O,$A172&lt;=EYear_O,K$3&gt;0),IF($A172=SYear_O,K$168*(1+Data_All!K11%),K171*(1+Data_All!K11%)),"")</f>
        <v/>
      </c>
      <c r="L172" s="427" t="str">
        <f>IF(AND($A172&gt;=SYear_O,$A172&lt;=EYear_O,L$3&gt;0),IF($A172=SYear_O,L$168*(1+Data_All!L11%),L171*(1+Data_All!L11%)),"")</f>
        <v/>
      </c>
      <c r="M172" s="427" t="str">
        <f>IF(AND($A172&gt;=SYear_O,$A172&lt;=EYear_O,M$3&gt;0),IF($A172=SYear_O,M$168*(1+Data_All!M11%),M171*(1+Data_All!M11%)),"")</f>
        <v/>
      </c>
      <c r="N172" s="427" t="str">
        <f>IF(AND($A172&gt;=SYear_O,$A172&lt;=EYear_O,N$3&gt;0),IF($A172=SYear_O,N$168*(1+Data_All!N11%),N171*(1+Data_All!N11%)),"")</f>
        <v/>
      </c>
      <c r="O172" s="427" t="str">
        <f>IF(AND($A172&gt;=SYear_O,$A172&lt;=EYear_O,O$3&gt;0),IF($A172=SYear_O,O$168*(1+Data_All!O11%),O171*(1+Data_All!O11%)),"")</f>
        <v/>
      </c>
      <c r="P172" s="427" t="str">
        <f>IF(AND($A172&gt;=SYear_O,$A172&lt;=EYear_O,P$3&gt;0),IF($A172=SYear_O,P$168*(1+Data_All!P11%),P171*(1+Data_All!P11%)),"")</f>
        <v/>
      </c>
      <c r="Q172" s="427" t="str">
        <f>IF(AND($A172&gt;=SYear_O,$A172&lt;=EYear_O,Q$3&gt;0),IF($A172=SYear_O,Q$168*(1+Data_All!Q11%),Q171*(1+Data_All!Q11%)),"")</f>
        <v/>
      </c>
      <c r="R172" s="427" t="str">
        <f>IF(AND($A172&gt;=SYear_O,$A172&lt;=EYear_O,R$3&gt;0),IF($A172=SYear_O,R$168*(1+Data_All!R11%),R171*(1+Data_All!R11%)),"")</f>
        <v/>
      </c>
      <c r="S172" s="427" t="str">
        <f>IF(AND($A172&gt;=SYear_O,$A172&lt;=EYear_O,S$3&gt;0),IF($A172=SYear_O,S$168*(1+Data_All!S11%),S171*(1+Data_All!S11%)),"")</f>
        <v/>
      </c>
      <c r="T172" s="427" t="str">
        <f>IF(AND($A172&gt;=SYear_O,$A172&lt;=EYear_O,T$3&gt;0),IF($A172=SYear_O,T$168*(1+Data_All!T11%),T171*(1+Data_All!T11%)),"")</f>
        <v/>
      </c>
      <c r="U172" s="427" t="str">
        <f>IF(AND($A172&gt;=SYear_O,$A172&lt;=EYear_O,U$3&gt;0),IF($A172=SYear_O,U$168*(1+Data_All!U11%),U171*(1+Data_All!U11%)),"")</f>
        <v/>
      </c>
      <c r="V172" s="427" t="str">
        <f>IF(AND($A172&gt;=SYear_O,$A172&lt;=EYear_O,V$3&gt;0),IF($A172=SYear_O,V$168*(1+Data_All!V11%),V171*(1+Data_All!V11%)),"")</f>
        <v/>
      </c>
      <c r="W172" s="427" t="str">
        <f>IF(AND($A172&gt;=SYear_O,$A172&lt;=EYear_O,W$3&gt;0),IF($A172=SYear_O,W$168*(1+Data_All!W11%),W171*(1+Data_All!W11%)),"")</f>
        <v/>
      </c>
      <c r="X172" s="427" t="str">
        <f>IF(AND($A172&gt;=SYear_O,$A172&lt;=EYear_O,X$3&gt;0),IF($A172=SYear_O,X$168*(1+Data_All!X11%),X171*(1+Data_All!X11%)),"")</f>
        <v/>
      </c>
      <c r="Y172" s="427" t="str">
        <f>IF(AND($A172&gt;=SYear_O,$A172&lt;=EYear_O,Y$3&gt;0),IF($A172=SYear_O,Y$168*(1+Data_All!Y11%),Y171*(1+Data_All!Y11%)),"")</f>
        <v/>
      </c>
      <c r="Z172" s="427" t="str">
        <f>IF(AND($A172&gt;=SYear_O,$A172&lt;=EYear_O,Z$3&gt;0),IF($A172=SYear_O,Z$168*(1+Data_All!Z11%),Z171*(1+Data_All!Z11%)),"")</f>
        <v/>
      </c>
      <c r="AA172" s="427" t="str">
        <f>IF(AND($A172&gt;=SYear_O,$A172&lt;=EYear_O,AA$3&gt;0),IF($A172=SYear_O,AA$168*(1+Data_All!AA11%),AA171*(1+Data_All!AA11%)),"")</f>
        <v/>
      </c>
      <c r="AB172" s="427" t="str">
        <f>IF(AND($A172&gt;=SYear_O,$A172&lt;=EYear_O,AB$3&gt;0),IF($A172=SYear_O,AB$168*(1+Data_All!AB11%),AB171*(1+Data_All!AB11%)),"")</f>
        <v/>
      </c>
      <c r="AC172" s="427" t="str">
        <f>IF(AND($A172&gt;=SYear_O,$A172&lt;=EYear_O,AC$3&gt;0),IF($A172=SYear_O,AC$168*(1+Data_All!AC11%),AC171*(1+Data_All!AC11%)),"")</f>
        <v/>
      </c>
      <c r="AD172" s="427" t="str">
        <f>IF(AND($A172&gt;=SYear_O,$A172&lt;=EYear_O,AD$3&gt;0),IF($A172=SYear_O,AD$168*(1+Data_All!AD11%),AD171*(1+Data_All!AD11%)),"")</f>
        <v/>
      </c>
      <c r="AE172" s="427" t="str">
        <f>IF(AND($A172&gt;=SYear_O,$A172&lt;=EYear_O,AE$3&gt;0),IF($A172=SYear_O,AE$168*(1+Data_All!AE11%),AE171*(1+Data_All!AE11%)),"")</f>
        <v/>
      </c>
      <c r="AF172" s="427" t="str">
        <f>IF(AND($A172&gt;=SYear_O,$A172&lt;=EYear_O,AF$3&gt;0),IF($A172=SYear_O,AF$168*(1+Data_All!AF11%),AF171*(1+Data_All!AF11%)),"")</f>
        <v/>
      </c>
      <c r="AG172" s="427" t="str">
        <f>IF(AND($A172&gt;=SYear_O,$A172&lt;=EYear_O,AG$3&gt;0),IF($A172=SYear_O,AG$168*(1+Data_All!AG11%),AG171*(1+Data_All!AG11%)),"")</f>
        <v/>
      </c>
      <c r="AH172" s="427" t="str">
        <f>IF(AND($A172&gt;=SYear_O,$A172&lt;=EYear_O,AH$3&gt;0),IF($A172=SYear_O,AH$168*(1+Data_All!AH11%),AH171*(1+Data_All!AH11%)),"")</f>
        <v/>
      </c>
      <c r="AI172" s="427" t="str">
        <f>IF(AND($A172&gt;=SYear_O,$A172&lt;=EYear_O,AI$3&gt;0),IF($A172=SYear_O,AI$168*(1+Data_All!AI11%),AI171*(1+Data_All!AI11%)),"")</f>
        <v/>
      </c>
      <c r="AJ172" s="427" t="str">
        <f>IF(AND($A172&gt;=SYear_O,$A172&lt;=EYear_O,AJ$3&gt;0),IF($A172=SYear_O,AJ$168*(1+Data_All!AJ11%),AJ171*(1+Data_All!AJ11%)),"")</f>
        <v/>
      </c>
      <c r="AK172" s="427" t="str">
        <f>IF(AND($A172&gt;=SYear_O,$A172&lt;=EYear_O,AK$3&gt;0),IF($A172=SYear_O,AK$168*(1+Data_All!AK11%),AK171*(1+Data_All!AK11%)),"")</f>
        <v/>
      </c>
      <c r="AL172" s="427" t="str">
        <f>IF(AND($A172&gt;=SYear_O,$A172&lt;=EYear_O,AL$3&gt;0),IF($A172=SYear_O,AL$168*(1+Data_All!AL11%),AL171*(1+Data_All!AL11%)),"")</f>
        <v/>
      </c>
      <c r="AM172" s="427" t="str">
        <f>IF(AND($A172&gt;=SYear_O,$A172&lt;=EYear_O,AM$3&gt;0),IF($A172=SYear_O,AM$168*(1+Data_All!AM11%),AM171*(1+Data_All!AM11%)),"")</f>
        <v/>
      </c>
      <c r="AN172" s="427" t="str">
        <f>IF(AND($A172&gt;=SYear_O,$A172&lt;=EYear_O,AN$3&gt;0),IF($A172=SYear_O,AN$168*(1+Data_All!AN11%),AN171*(1+Data_All!AN11%)),"")</f>
        <v/>
      </c>
      <c r="AO172" s="427" t="str">
        <f>IF(AND($A172&gt;=SYear_O,$A172&lt;=EYear_O,AO$3&gt;0),IF($A172=SYear_O,AO$168*(1+Data_All!AO11%),AO171*(1+Data_All!AO11%)),"")</f>
        <v/>
      </c>
      <c r="AP172" s="427" t="str">
        <f>IF(AND($A172&gt;=SYear_O,$A172&lt;=EYear_O,AP$3&gt;0),IF($A172=SYear_O,AP$168*(1+Data_All!AP11%),AP171*(1+Data_All!AP11%)),"")</f>
        <v/>
      </c>
      <c r="AQ172" s="427" t="str">
        <f>IF(AND($A172&gt;=SYear_O,$A172&lt;=EYear_O,AQ$3&gt;0),IF($A172=SYear_O,AQ$168*(1+Data_All!AQ11%),AQ171*(1+Data_All!AQ11%)),"")</f>
        <v/>
      </c>
      <c r="AR172" s="427" t="str">
        <f>IF(AND($A172&gt;=SYear_O,$A172&lt;=EYear_O,AR$3&gt;0),IF($A172=SYear_O,AR$168*(1+Data_All!AR11%),AR171*(1+Data_All!AR11%)),"")</f>
        <v/>
      </c>
      <c r="AS172" s="427" t="str">
        <f>IF(AND($A172&gt;=SYear_O,$A172&lt;=EYear_O,AS$3&gt;0),IF($A172=SYear_O,AS$168*(1+Data_All!AS11%),AS171*(1+Data_All!AS11%)),"")</f>
        <v/>
      </c>
      <c r="AT172" s="427" t="str">
        <f>IF(AND($A172&gt;=SYear_O,$A172&lt;=EYear_O,AT$3&gt;0),IF($A172=SYear_O,AT$168*(1+Data_All!AT11%),AT171*(1+Data_All!AT11%)),"")</f>
        <v/>
      </c>
      <c r="AU172" s="427" t="str">
        <f>IF(AND($A172&gt;=SYear_O,$A172&lt;=EYear_O,AU$3&gt;0),IF($A172=SYear_O,AU$168*(1+Data_All!AU11%),AU171*(1+Data_All!AU11%)),"")</f>
        <v/>
      </c>
      <c r="AV172" s="427" t="str">
        <f>IF(AND($A172&gt;=SYear_O,$A172&lt;=EYear_O,AV$3&gt;0),IF($A172=SYear_O,AV$168*(1+Data_All!AV11%),AV171*(1+Data_All!AV11%)),"")</f>
        <v/>
      </c>
      <c r="AW172" s="427" t="str">
        <f>IF(AND($A172&gt;=SYear_O,$A172&lt;=EYear_O,AW$3&gt;0),IF($A172=SYear_O,AW$168*(1+Data_All!AW11%),AW171*(1+Data_All!AW11%)),"")</f>
        <v/>
      </c>
      <c r="AX172" s="427" t="str">
        <f>IF(AND($A172&gt;=SYear_O,$A172&lt;=EYear_O,AX$3&gt;0),IF($A172=SYear_O,AX$168*(1+Data_All!AX11%),AX171*(1+Data_All!AX11%)),"")</f>
        <v/>
      </c>
      <c r="AY172" s="427" t="str">
        <f>IF(AND($A172&gt;=SYear_O,$A172&lt;=EYear_O,AY$3&gt;0),IF($A172=SYear_O,AY$168*(1+Data_All!AY11%),AY171*(1+Data_All!AY11%)),"")</f>
        <v/>
      </c>
      <c r="AZ172" s="427" t="str">
        <f>IF(AND($A172&gt;=SYear_O,$A172&lt;=EYear_O,AZ$3&gt;0),IF($A172=SYear_O,AZ$168*(1+Data_All!AZ11%),AZ171*(1+Data_All!AZ11%)),"")</f>
        <v/>
      </c>
      <c r="BA172" s="427" t="str">
        <f>IF(AND($A172&gt;=SYear_O,$A172&lt;=EYear_O,BA$3&gt;0),IF($A172=SYear_O,BA$168*(1+Data_All!BA11%),BA171*(1+Data_All!BA11%)),"")</f>
        <v/>
      </c>
      <c r="BB172" s="427" t="str">
        <f>IF(AND($A172&gt;=SYear_O,$A172&lt;=EYear_O,BB$3&gt;0),IF($A172=SYear_O,BB$168*(1+Data_All!BB11%),BB171*(1+Data_All!BB11%)),"")</f>
        <v/>
      </c>
      <c r="BC172" s="427" t="str">
        <f>IF(AND($A172&gt;=SYear_O,$A172&lt;=EYear_O,BC$3&gt;0),IF($A172=SYear_O,BC$168*(1+Data_All!BC11%),BC171*(1+Data_All!BC11%)),"")</f>
        <v/>
      </c>
      <c r="BD172" s="427" t="str">
        <f>IF(AND($A172&gt;=SYear_O,$A172&lt;=EYear_O,BD$3&gt;0),IF($A172=SYear_O,BD$168*(1+Data_All!BD11%),BD171*(1+Data_All!BD11%)),"")</f>
        <v/>
      </c>
      <c r="BE172" s="427" t="str">
        <f>IF(AND($A172&gt;=SYear_O,$A172&lt;=EYear_O,BE$3&gt;0),IF($A172=SYear_O,BE$168*(1+Data_All!BE11%),BE171*(1+Data_All!BE11%)),"")</f>
        <v/>
      </c>
      <c r="BF172" s="427" t="str">
        <f>IF(AND($A172&gt;=SYear_O,$A172&lt;=EYear_O,BF$3&gt;0),IF($A172=SYear_O,BF$168*(1+Data_All!BF11%),BF171*(1+Data_All!BF11%)),"")</f>
        <v/>
      </c>
      <c r="BG172" s="427" t="str">
        <f>IF(AND($A172&gt;=SYear_O,$A172&lt;=EYear_O,BG$3&gt;0),IF($A172=SYear_O,BG$168*(1+Data_All!BG11%),BG171*(1+Data_All!BG11%)),"")</f>
        <v/>
      </c>
      <c r="BH172" s="427" t="str">
        <f>IF(AND($A172&gt;=SYear_O,$A172&lt;=EYear_O,BH$3&gt;0),IF($A172=SYear_O,BH$168*(1+Data_All!BH11%),BH171*(1+Data_All!BH11%)),"")</f>
        <v/>
      </c>
      <c r="BI172" s="427" t="str">
        <f>IF(AND($A172&gt;=SYear_O,$A172&lt;=EYear_O,BI$3&gt;0),IF($A172=SYear_O,BI$168*(1+Data_All!BI11%),BI171*(1+Data_All!BI11%)),"")</f>
        <v/>
      </c>
      <c r="BJ172" s="427" t="str">
        <f>IF(AND($A172&gt;=SYear_O,$A172&lt;=EYear_O,BJ$3&gt;0),IF($A172=SYear_O,BJ$168*(1+Data_All!BJ11%),BJ171*(1+Data_All!BJ11%)),"")</f>
        <v/>
      </c>
      <c r="BK172" s="427" t="str">
        <f>IF(AND($A172&gt;=SYear_O,$A172&lt;=EYear_O,BK$3&gt;0),IF($A172=SYear_O,BK$168*(1+Data_All!BK11%),BK171*(1+Data_All!BK11%)),"")</f>
        <v/>
      </c>
      <c r="BL172" s="427" t="str">
        <f>IF(AND($A172&gt;=SYear_O,$A172&lt;=EYear_O,BL$3&gt;0),IF($A172=SYear_O,BL$168*(1+Data_All!BL11%),BL171*(1+Data_All!BL11%)),"")</f>
        <v/>
      </c>
      <c r="BM172" s="427" t="str">
        <f>IF(AND($A172&gt;=SYear_O,$A172&lt;=EYear_O,BM$3&gt;0),IF($A172=SYear_O,BM$168*(1+Data_All!BM11%),BM171*(1+Data_All!BM11%)),"")</f>
        <v/>
      </c>
      <c r="BN172" s="427" t="str">
        <f>IF(AND($A172&gt;=SYear_O,$A172&lt;=EYear_O,BN$3&gt;0),IF($A172=SYear_O,BN$168*(1+Data_All!BN11%),BN171*(1+Data_All!BN11%)),"")</f>
        <v/>
      </c>
      <c r="BO172" s="427" t="str">
        <f>IF(AND($A172&gt;=SYear_O,$A172&lt;=EYear_O,BO$3&gt;0),IF($A172=SYear_O,BO$168*(1+Data_All!BO11%),BO171*(1+Data_All!BO11%)),"")</f>
        <v/>
      </c>
      <c r="BP172" s="427" t="str">
        <f>IF(AND($A172&gt;=SYear_O,$A172&lt;=EYear_O,BP$3&gt;0),IF($A172=SYear_O,BP$168*(1+Data_All!BP11%),BP171*(1+Data_All!BP11%)),"")</f>
        <v/>
      </c>
      <c r="BQ172" s="427" t="str">
        <f>IF(AND($A172&gt;=SYear_O,$A172&lt;=EYear_O,BQ$3&gt;0),IF($A172=SYear_O,BQ$168*(1+Data_All!BQ11%),BQ171*(1+Data_All!BQ11%)),"")</f>
        <v/>
      </c>
      <c r="BR172" s="427" t="str">
        <f>IF(AND($A172&gt;=SYear_O,$A172&lt;=EYear_O,BR$3&gt;0),IF($A172=SYear_O,BR$168*(1+Data_All!BR11%),BR171*(1+Data_All!BR11%)),"")</f>
        <v/>
      </c>
      <c r="BS172" s="427" t="str">
        <f>IF(AND($A172&gt;=SYear_O,$A172&lt;=EYear_O,BS$3&gt;0),IF($A172=SYear_O,BS$168*(1+Data_All!BS11%),BS171*(1+Data_All!BS11%)),"")</f>
        <v/>
      </c>
      <c r="BT172" s="427" t="str">
        <f>IF(AND($A172&gt;=SYear_O,$A172&lt;=EYear_O,BT$3&gt;0),IF($A172=SYear_O,BT$168*(1+Data_All!BT11%),BT171*(1+Data_All!BT11%)),"")</f>
        <v/>
      </c>
      <c r="BU172" s="427" t="str">
        <f>IF(AND($A172&gt;=SYear_O,$A172&lt;=EYear_O,BU$3&gt;0),IF($A172=SYear_O,BU$168*(1+Data_All!BU11%),BU171*(1+Data_All!BU11%)),"")</f>
        <v/>
      </c>
      <c r="BV172" s="427" t="str">
        <f>IF(AND($A172&gt;=SYear_O,$A172&lt;=EYear_O,BV$3&gt;0),IF($A172=SYear_O,BV$168*(1+Data_All!BV11%),BV171*(1+Data_All!BV11%)),"")</f>
        <v/>
      </c>
      <c r="BW172" s="427" t="str">
        <f>IF(AND($A172&gt;=SYear_O,$A172&lt;=EYear_O,BW$3&gt;0),IF($A172=SYear_O,BW$168*(1+Data_All!BW11%),BW171*(1+Data_All!BW11%)),"")</f>
        <v/>
      </c>
      <c r="BX172" s="427">
        <f>IF(AND($A172&gt;=SYear_O,$A172&lt;=EYear_O,BX$3&gt;0),IF($A172=SYear_O,BX$168*(1+Data_All!BX11%),BX171*(1+Data_All!BX11%)),"")</f>
        <v>7859.9887982894361</v>
      </c>
      <c r="BY172" s="427">
        <f>IF(AND($A172&gt;=SYear_O,$A172&lt;=EYear_O,BY$3&gt;0),IF($A172=SYear_O,BY$168*(1+Data_All!BY11%),BY171*(1+Data_All!BY11%)),"")</f>
        <v>5058.2792236962705</v>
      </c>
      <c r="BZ172" s="427" t="str">
        <f>IF(AND($A172&gt;=SYear_O,$A172&lt;=EYear_O,BZ$3&gt;0),IF($A172=SYear_O,BZ$168*(1+Data_All!BZ11%),BZ171*(1+Data_All!BZ11%)),"")</f>
        <v/>
      </c>
      <c r="CA172" s="565">
        <f t="shared" si="92"/>
        <v>6.5152235011739021</v>
      </c>
      <c r="CB172" s="427">
        <f t="shared" si="93"/>
        <v>12918.268021985707</v>
      </c>
      <c r="CC172" s="565">
        <f>IF(AND($A172&gt;=SYear_O,$A172&lt;=EYear_O),(CA172-Data_All!CA11)/(1+Data_All!CA11%),"")</f>
        <v>14.437215364452184</v>
      </c>
      <c r="CD172" s="436">
        <f t="shared" si="94"/>
        <v>13985.838764710159</v>
      </c>
      <c r="CE172" s="438">
        <f t="shared" si="95"/>
        <v>1.1716770757779482</v>
      </c>
      <c r="CF172" s="438">
        <f>IF(AND($A172&gt;=SYear_O,$A172&lt;=EYear_O),MAX($CE$169:CE172),"")</f>
        <v>1.1716770757779482</v>
      </c>
      <c r="CG172" s="209">
        <f t="shared" si="96"/>
        <v>0</v>
      </c>
      <c r="CN172" s="61">
        <f t="shared" si="97"/>
        <v>6.5152235011739057E-2</v>
      </c>
      <c r="CO172" s="61">
        <f t="shared" si="98"/>
        <v>1.6882040555110667E-2</v>
      </c>
      <c r="CP172" s="61">
        <f t="shared" si="99"/>
        <v>3.2532185149630299E-2</v>
      </c>
      <c r="CQ172" s="61">
        <f t="shared" si="100"/>
        <v>6.2502947037252454E-2</v>
      </c>
      <c r="CR172" s="61">
        <f t="shared" si="101"/>
        <v>5.7553073659582843E-2</v>
      </c>
      <c r="CU172" s="61">
        <f t="shared" si="102"/>
        <v>0.14437215364452172</v>
      </c>
      <c r="CV172" s="61">
        <f t="shared" si="103"/>
        <v>5.9299481199574178E-2</v>
      </c>
      <c r="CW172" s="61">
        <f t="shared" si="104"/>
        <v>0.11889173603055858</v>
      </c>
      <c r="CX172" s="61">
        <f t="shared" si="105"/>
        <v>9.4075649754194357E-2</v>
      </c>
      <c r="CY172" s="61">
        <f t="shared" si="106"/>
        <v>8.8795611745464686E-2</v>
      </c>
    </row>
    <row r="173" spans="1:103">
      <c r="A173" s="204">
        <f t="shared" si="107"/>
        <v>1875</v>
      </c>
      <c r="B173" s="427" t="str">
        <f>IF(AND($A173&gt;=SYear_O,$A173&lt;=EYear_O,B$3&gt;0),IF($A173=SYear_O,B$168*(1+Data_All!B12%),B172*(1+Data_All!B12%)),"")</f>
        <v/>
      </c>
      <c r="C173" s="427" t="str">
        <f>IF(AND($A173&gt;=SYear_O,$A173&lt;=EYear_O,C$3&gt;0),IF($A173=SYear_O,C$168*(1+Data_All!C12%),C172*(1+Data_All!C12%)),"")</f>
        <v/>
      </c>
      <c r="D173" s="427" t="str">
        <f>IF(AND($A173&gt;=SYear_O,$A173&lt;=EYear_O,D$3&gt;0),IF($A173=SYear_O,D$168*(1+Data_All!D12%),D172*(1+Data_All!D12%)),"")</f>
        <v/>
      </c>
      <c r="E173" s="427" t="str">
        <f>IF(AND($A173&gt;=SYear_O,$A173&lt;=EYear_O,E$3&gt;0),IF($A173=SYear_O,E$168*(1+Data_All!E12%),E172*(1+Data_All!E12%)),"")</f>
        <v/>
      </c>
      <c r="F173" s="427" t="str">
        <f>IF(AND($A173&gt;=SYear_O,$A173&lt;=EYear_O,F$3&gt;0),IF($A173=SYear_O,F$168*(1+Data_All!F12%),F172*(1+Data_All!F12%)),"")</f>
        <v/>
      </c>
      <c r="G173" s="427" t="str">
        <f>IF(AND($A173&gt;=SYear_O,$A173&lt;=EYear_O,G$3&gt;0),IF($A173=SYear_O,G$168*(1+Data_All!G12%),G172*(1+Data_All!G12%)),"")</f>
        <v/>
      </c>
      <c r="H173" s="427" t="str">
        <f>IF(AND($A173&gt;=SYear_O,$A173&lt;=EYear_O,H$3&gt;0),IF($A173=SYear_O,H$168*(1+Data_All!H12%),H172*(1+Data_All!H12%)),"")</f>
        <v/>
      </c>
      <c r="I173" s="427" t="str">
        <f>IF(AND($A173&gt;=SYear_O,$A173&lt;=EYear_O,I$3&gt;0),IF($A173=SYear_O,I$168*(1+Data_All!I12%),I172*(1+Data_All!I12%)),"")</f>
        <v/>
      </c>
      <c r="J173" s="427" t="str">
        <f>IF(AND($A173&gt;=SYear_O,$A173&lt;=EYear_O,J$3&gt;0),IF($A173=SYear_O,J$168*(1+Data_All!J12%),J172*(1+Data_All!J12%)),"")</f>
        <v/>
      </c>
      <c r="K173" s="427" t="str">
        <f>IF(AND($A173&gt;=SYear_O,$A173&lt;=EYear_O,K$3&gt;0),IF($A173=SYear_O,K$168*(1+Data_All!K12%),K172*(1+Data_All!K12%)),"")</f>
        <v/>
      </c>
      <c r="L173" s="427" t="str">
        <f>IF(AND($A173&gt;=SYear_O,$A173&lt;=EYear_O,L$3&gt;0),IF($A173=SYear_O,L$168*(1+Data_All!L12%),L172*(1+Data_All!L12%)),"")</f>
        <v/>
      </c>
      <c r="M173" s="427" t="str">
        <f>IF(AND($A173&gt;=SYear_O,$A173&lt;=EYear_O,M$3&gt;0),IF($A173=SYear_O,M$168*(1+Data_All!M12%),M172*(1+Data_All!M12%)),"")</f>
        <v/>
      </c>
      <c r="N173" s="427" t="str">
        <f>IF(AND($A173&gt;=SYear_O,$A173&lt;=EYear_O,N$3&gt;0),IF($A173=SYear_O,N$168*(1+Data_All!N12%),N172*(1+Data_All!N12%)),"")</f>
        <v/>
      </c>
      <c r="O173" s="427" t="str">
        <f>IF(AND($A173&gt;=SYear_O,$A173&lt;=EYear_O,O$3&gt;0),IF($A173=SYear_O,O$168*(1+Data_All!O12%),O172*(1+Data_All!O12%)),"")</f>
        <v/>
      </c>
      <c r="P173" s="427" t="str">
        <f>IF(AND($A173&gt;=SYear_O,$A173&lt;=EYear_O,P$3&gt;0),IF($A173=SYear_O,P$168*(1+Data_All!P12%),P172*(1+Data_All!P12%)),"")</f>
        <v/>
      </c>
      <c r="Q173" s="427" t="str">
        <f>IF(AND($A173&gt;=SYear_O,$A173&lt;=EYear_O,Q$3&gt;0),IF($A173=SYear_O,Q$168*(1+Data_All!Q12%),Q172*(1+Data_All!Q12%)),"")</f>
        <v/>
      </c>
      <c r="R173" s="427" t="str">
        <f>IF(AND($A173&gt;=SYear_O,$A173&lt;=EYear_O,R$3&gt;0),IF($A173=SYear_O,R$168*(1+Data_All!R12%),R172*(1+Data_All!R12%)),"")</f>
        <v/>
      </c>
      <c r="S173" s="427" t="str">
        <f>IF(AND($A173&gt;=SYear_O,$A173&lt;=EYear_O,S$3&gt;0),IF($A173=SYear_O,S$168*(1+Data_All!S12%),S172*(1+Data_All!S12%)),"")</f>
        <v/>
      </c>
      <c r="T173" s="427" t="str">
        <f>IF(AND($A173&gt;=SYear_O,$A173&lt;=EYear_O,T$3&gt;0),IF($A173=SYear_O,T$168*(1+Data_All!T12%),T172*(1+Data_All!T12%)),"")</f>
        <v/>
      </c>
      <c r="U173" s="427" t="str">
        <f>IF(AND($A173&gt;=SYear_O,$A173&lt;=EYear_O,U$3&gt;0),IF($A173=SYear_O,U$168*(1+Data_All!U12%),U172*(1+Data_All!U12%)),"")</f>
        <v/>
      </c>
      <c r="V173" s="427" t="str">
        <f>IF(AND($A173&gt;=SYear_O,$A173&lt;=EYear_O,V$3&gt;0),IF($A173=SYear_O,V$168*(1+Data_All!V12%),V172*(1+Data_All!V12%)),"")</f>
        <v/>
      </c>
      <c r="W173" s="427" t="str">
        <f>IF(AND($A173&gt;=SYear_O,$A173&lt;=EYear_O,W$3&gt;0),IF($A173=SYear_O,W$168*(1+Data_All!W12%),W172*(1+Data_All!W12%)),"")</f>
        <v/>
      </c>
      <c r="X173" s="427" t="str">
        <f>IF(AND($A173&gt;=SYear_O,$A173&lt;=EYear_O,X$3&gt;0),IF($A173=SYear_O,X$168*(1+Data_All!X12%),X172*(1+Data_All!X12%)),"")</f>
        <v/>
      </c>
      <c r="Y173" s="427" t="str">
        <f>IF(AND($A173&gt;=SYear_O,$A173&lt;=EYear_O,Y$3&gt;0),IF($A173=SYear_O,Y$168*(1+Data_All!Y12%),Y172*(1+Data_All!Y12%)),"")</f>
        <v/>
      </c>
      <c r="Z173" s="427" t="str">
        <f>IF(AND($A173&gt;=SYear_O,$A173&lt;=EYear_O,Z$3&gt;0),IF($A173=SYear_O,Z$168*(1+Data_All!Z12%),Z172*(1+Data_All!Z12%)),"")</f>
        <v/>
      </c>
      <c r="AA173" s="427" t="str">
        <f>IF(AND($A173&gt;=SYear_O,$A173&lt;=EYear_O,AA$3&gt;0),IF($A173=SYear_O,AA$168*(1+Data_All!AA12%),AA172*(1+Data_All!AA12%)),"")</f>
        <v/>
      </c>
      <c r="AB173" s="427" t="str">
        <f>IF(AND($A173&gt;=SYear_O,$A173&lt;=EYear_O,AB$3&gt;0),IF($A173=SYear_O,AB$168*(1+Data_All!AB12%),AB172*(1+Data_All!AB12%)),"")</f>
        <v/>
      </c>
      <c r="AC173" s="427" t="str">
        <f>IF(AND($A173&gt;=SYear_O,$A173&lt;=EYear_O,AC$3&gt;0),IF($A173=SYear_O,AC$168*(1+Data_All!AC12%),AC172*(1+Data_All!AC12%)),"")</f>
        <v/>
      </c>
      <c r="AD173" s="427" t="str">
        <f>IF(AND($A173&gt;=SYear_O,$A173&lt;=EYear_O,AD$3&gt;0),IF($A173=SYear_O,AD$168*(1+Data_All!AD12%),AD172*(1+Data_All!AD12%)),"")</f>
        <v/>
      </c>
      <c r="AE173" s="427" t="str">
        <f>IF(AND($A173&gt;=SYear_O,$A173&lt;=EYear_O,AE$3&gt;0),IF($A173=SYear_O,AE$168*(1+Data_All!AE12%),AE172*(1+Data_All!AE12%)),"")</f>
        <v/>
      </c>
      <c r="AF173" s="427" t="str">
        <f>IF(AND($A173&gt;=SYear_O,$A173&lt;=EYear_O,AF$3&gt;0),IF($A173=SYear_O,AF$168*(1+Data_All!AF12%),AF172*(1+Data_All!AF12%)),"")</f>
        <v/>
      </c>
      <c r="AG173" s="427" t="str">
        <f>IF(AND($A173&gt;=SYear_O,$A173&lt;=EYear_O,AG$3&gt;0),IF($A173=SYear_O,AG$168*(1+Data_All!AG12%),AG172*(1+Data_All!AG12%)),"")</f>
        <v/>
      </c>
      <c r="AH173" s="427" t="str">
        <f>IF(AND($A173&gt;=SYear_O,$A173&lt;=EYear_O,AH$3&gt;0),IF($A173=SYear_O,AH$168*(1+Data_All!AH12%),AH172*(1+Data_All!AH12%)),"")</f>
        <v/>
      </c>
      <c r="AI173" s="427" t="str">
        <f>IF(AND($A173&gt;=SYear_O,$A173&lt;=EYear_O,AI$3&gt;0),IF($A173=SYear_O,AI$168*(1+Data_All!AI12%),AI172*(1+Data_All!AI12%)),"")</f>
        <v/>
      </c>
      <c r="AJ173" s="427" t="str">
        <f>IF(AND($A173&gt;=SYear_O,$A173&lt;=EYear_O,AJ$3&gt;0),IF($A173=SYear_O,AJ$168*(1+Data_All!AJ12%),AJ172*(1+Data_All!AJ12%)),"")</f>
        <v/>
      </c>
      <c r="AK173" s="427" t="str">
        <f>IF(AND($A173&gt;=SYear_O,$A173&lt;=EYear_O,AK$3&gt;0),IF($A173=SYear_O,AK$168*(1+Data_All!AK12%),AK172*(1+Data_All!AK12%)),"")</f>
        <v/>
      </c>
      <c r="AL173" s="427" t="str">
        <f>IF(AND($A173&gt;=SYear_O,$A173&lt;=EYear_O,AL$3&gt;0),IF($A173=SYear_O,AL$168*(1+Data_All!AL12%),AL172*(1+Data_All!AL12%)),"")</f>
        <v/>
      </c>
      <c r="AM173" s="427" t="str">
        <f>IF(AND($A173&gt;=SYear_O,$A173&lt;=EYear_O,AM$3&gt;0),IF($A173=SYear_O,AM$168*(1+Data_All!AM12%),AM172*(1+Data_All!AM12%)),"")</f>
        <v/>
      </c>
      <c r="AN173" s="427" t="str">
        <f>IF(AND($A173&gt;=SYear_O,$A173&lt;=EYear_O,AN$3&gt;0),IF($A173=SYear_O,AN$168*(1+Data_All!AN12%),AN172*(1+Data_All!AN12%)),"")</f>
        <v/>
      </c>
      <c r="AO173" s="427" t="str">
        <f>IF(AND($A173&gt;=SYear_O,$A173&lt;=EYear_O,AO$3&gt;0),IF($A173=SYear_O,AO$168*(1+Data_All!AO12%),AO172*(1+Data_All!AO12%)),"")</f>
        <v/>
      </c>
      <c r="AP173" s="427" t="str">
        <f>IF(AND($A173&gt;=SYear_O,$A173&lt;=EYear_O,AP$3&gt;0),IF($A173=SYear_O,AP$168*(1+Data_All!AP12%),AP172*(1+Data_All!AP12%)),"")</f>
        <v/>
      </c>
      <c r="AQ173" s="427" t="str">
        <f>IF(AND($A173&gt;=SYear_O,$A173&lt;=EYear_O,AQ$3&gt;0),IF($A173=SYear_O,AQ$168*(1+Data_All!AQ12%),AQ172*(1+Data_All!AQ12%)),"")</f>
        <v/>
      </c>
      <c r="AR173" s="427" t="str">
        <f>IF(AND($A173&gt;=SYear_O,$A173&lt;=EYear_O,AR$3&gt;0),IF($A173=SYear_O,AR$168*(1+Data_All!AR12%),AR172*(1+Data_All!AR12%)),"")</f>
        <v/>
      </c>
      <c r="AS173" s="427" t="str">
        <f>IF(AND($A173&gt;=SYear_O,$A173&lt;=EYear_O,AS$3&gt;0),IF($A173=SYear_O,AS$168*(1+Data_All!AS12%),AS172*(1+Data_All!AS12%)),"")</f>
        <v/>
      </c>
      <c r="AT173" s="427" t="str">
        <f>IF(AND($A173&gt;=SYear_O,$A173&lt;=EYear_O,AT$3&gt;0),IF($A173=SYear_O,AT$168*(1+Data_All!AT12%),AT172*(1+Data_All!AT12%)),"")</f>
        <v/>
      </c>
      <c r="AU173" s="427" t="str">
        <f>IF(AND($A173&gt;=SYear_O,$A173&lt;=EYear_O,AU$3&gt;0),IF($A173=SYear_O,AU$168*(1+Data_All!AU12%),AU172*(1+Data_All!AU12%)),"")</f>
        <v/>
      </c>
      <c r="AV173" s="427" t="str">
        <f>IF(AND($A173&gt;=SYear_O,$A173&lt;=EYear_O,AV$3&gt;0),IF($A173=SYear_O,AV$168*(1+Data_All!AV12%),AV172*(1+Data_All!AV12%)),"")</f>
        <v/>
      </c>
      <c r="AW173" s="427" t="str">
        <f>IF(AND($A173&gt;=SYear_O,$A173&lt;=EYear_O,AW$3&gt;0),IF($A173=SYear_O,AW$168*(1+Data_All!AW12%),AW172*(1+Data_All!AW12%)),"")</f>
        <v/>
      </c>
      <c r="AX173" s="427" t="str">
        <f>IF(AND($A173&gt;=SYear_O,$A173&lt;=EYear_O,AX$3&gt;0),IF($A173=SYear_O,AX$168*(1+Data_All!AX12%),AX172*(1+Data_All!AX12%)),"")</f>
        <v/>
      </c>
      <c r="AY173" s="427" t="str">
        <f>IF(AND($A173&gt;=SYear_O,$A173&lt;=EYear_O,AY$3&gt;0),IF($A173=SYear_O,AY$168*(1+Data_All!AY12%),AY172*(1+Data_All!AY12%)),"")</f>
        <v/>
      </c>
      <c r="AZ173" s="427" t="str">
        <f>IF(AND($A173&gt;=SYear_O,$A173&lt;=EYear_O,AZ$3&gt;0),IF($A173=SYear_O,AZ$168*(1+Data_All!AZ12%),AZ172*(1+Data_All!AZ12%)),"")</f>
        <v/>
      </c>
      <c r="BA173" s="427" t="str">
        <f>IF(AND($A173&gt;=SYear_O,$A173&lt;=EYear_O,BA$3&gt;0),IF($A173=SYear_O,BA$168*(1+Data_All!BA12%),BA172*(1+Data_All!BA12%)),"")</f>
        <v/>
      </c>
      <c r="BB173" s="427" t="str">
        <f>IF(AND($A173&gt;=SYear_O,$A173&lt;=EYear_O,BB$3&gt;0),IF($A173=SYear_O,BB$168*(1+Data_All!BB12%),BB172*(1+Data_All!BB12%)),"")</f>
        <v/>
      </c>
      <c r="BC173" s="427" t="str">
        <f>IF(AND($A173&gt;=SYear_O,$A173&lt;=EYear_O,BC$3&gt;0),IF($A173=SYear_O,BC$168*(1+Data_All!BC12%),BC172*(1+Data_All!BC12%)),"")</f>
        <v/>
      </c>
      <c r="BD173" s="427" t="str">
        <f>IF(AND($A173&gt;=SYear_O,$A173&lt;=EYear_O,BD$3&gt;0),IF($A173=SYear_O,BD$168*(1+Data_All!BD12%),BD172*(1+Data_All!BD12%)),"")</f>
        <v/>
      </c>
      <c r="BE173" s="427" t="str">
        <f>IF(AND($A173&gt;=SYear_O,$A173&lt;=EYear_O,BE$3&gt;0),IF($A173=SYear_O,BE$168*(1+Data_All!BE12%),BE172*(1+Data_All!BE12%)),"")</f>
        <v/>
      </c>
      <c r="BF173" s="427" t="str">
        <f>IF(AND($A173&gt;=SYear_O,$A173&lt;=EYear_O,BF$3&gt;0),IF($A173=SYear_O,BF$168*(1+Data_All!BF12%),BF172*(1+Data_All!BF12%)),"")</f>
        <v/>
      </c>
      <c r="BG173" s="427" t="str">
        <f>IF(AND($A173&gt;=SYear_O,$A173&lt;=EYear_O,BG$3&gt;0),IF($A173=SYear_O,BG$168*(1+Data_All!BG12%),BG172*(1+Data_All!BG12%)),"")</f>
        <v/>
      </c>
      <c r="BH173" s="427" t="str">
        <f>IF(AND($A173&gt;=SYear_O,$A173&lt;=EYear_O,BH$3&gt;0),IF($A173=SYear_O,BH$168*(1+Data_All!BH12%),BH172*(1+Data_All!BH12%)),"")</f>
        <v/>
      </c>
      <c r="BI173" s="427" t="str">
        <f>IF(AND($A173&gt;=SYear_O,$A173&lt;=EYear_O,BI$3&gt;0),IF($A173=SYear_O,BI$168*(1+Data_All!BI12%),BI172*(1+Data_All!BI12%)),"")</f>
        <v/>
      </c>
      <c r="BJ173" s="427" t="str">
        <f>IF(AND($A173&gt;=SYear_O,$A173&lt;=EYear_O,BJ$3&gt;0),IF($A173=SYear_O,BJ$168*(1+Data_All!BJ12%),BJ172*(1+Data_All!BJ12%)),"")</f>
        <v/>
      </c>
      <c r="BK173" s="427" t="str">
        <f>IF(AND($A173&gt;=SYear_O,$A173&lt;=EYear_O,BK$3&gt;0),IF($A173=SYear_O,BK$168*(1+Data_All!BK12%),BK172*(1+Data_All!BK12%)),"")</f>
        <v/>
      </c>
      <c r="BL173" s="427" t="str">
        <f>IF(AND($A173&gt;=SYear_O,$A173&lt;=EYear_O,BL$3&gt;0),IF($A173=SYear_O,BL$168*(1+Data_All!BL12%),BL172*(1+Data_All!BL12%)),"")</f>
        <v/>
      </c>
      <c r="BM173" s="427" t="str">
        <f>IF(AND($A173&gt;=SYear_O,$A173&lt;=EYear_O,BM$3&gt;0),IF($A173=SYear_O,BM$168*(1+Data_All!BM12%),BM172*(1+Data_All!BM12%)),"")</f>
        <v/>
      </c>
      <c r="BN173" s="427" t="str">
        <f>IF(AND($A173&gt;=SYear_O,$A173&lt;=EYear_O,BN$3&gt;0),IF($A173=SYear_O,BN$168*(1+Data_All!BN12%),BN172*(1+Data_All!BN12%)),"")</f>
        <v/>
      </c>
      <c r="BO173" s="427" t="str">
        <f>IF(AND($A173&gt;=SYear_O,$A173&lt;=EYear_O,BO$3&gt;0),IF($A173=SYear_O,BO$168*(1+Data_All!BO12%),BO172*(1+Data_All!BO12%)),"")</f>
        <v/>
      </c>
      <c r="BP173" s="427" t="str">
        <f>IF(AND($A173&gt;=SYear_O,$A173&lt;=EYear_O,BP$3&gt;0),IF($A173=SYear_O,BP$168*(1+Data_All!BP12%),BP172*(1+Data_All!BP12%)),"")</f>
        <v/>
      </c>
      <c r="BQ173" s="427" t="str">
        <f>IF(AND($A173&gt;=SYear_O,$A173&lt;=EYear_O,BQ$3&gt;0),IF($A173=SYear_O,BQ$168*(1+Data_All!BQ12%),BQ172*(1+Data_All!BQ12%)),"")</f>
        <v/>
      </c>
      <c r="BR173" s="427" t="str">
        <f>IF(AND($A173&gt;=SYear_O,$A173&lt;=EYear_O,BR$3&gt;0),IF($A173=SYear_O,BR$168*(1+Data_All!BR12%),BR172*(1+Data_All!BR12%)),"")</f>
        <v/>
      </c>
      <c r="BS173" s="427" t="str">
        <f>IF(AND($A173&gt;=SYear_O,$A173&lt;=EYear_O,BS$3&gt;0),IF($A173=SYear_O,BS$168*(1+Data_All!BS12%),BS172*(1+Data_All!BS12%)),"")</f>
        <v/>
      </c>
      <c r="BT173" s="427" t="str">
        <f>IF(AND($A173&gt;=SYear_O,$A173&lt;=EYear_O,BT$3&gt;0),IF($A173=SYear_O,BT$168*(1+Data_All!BT12%),BT172*(1+Data_All!BT12%)),"")</f>
        <v/>
      </c>
      <c r="BU173" s="427" t="str">
        <f>IF(AND($A173&gt;=SYear_O,$A173&lt;=EYear_O,BU$3&gt;0),IF($A173=SYear_O,BU$168*(1+Data_All!BU12%),BU172*(1+Data_All!BU12%)),"")</f>
        <v/>
      </c>
      <c r="BV173" s="427" t="str">
        <f>IF(AND($A173&gt;=SYear_O,$A173&lt;=EYear_O,BV$3&gt;0),IF($A173=SYear_O,BV$168*(1+Data_All!BV12%),BV172*(1+Data_All!BV12%)),"")</f>
        <v/>
      </c>
      <c r="BW173" s="427" t="str">
        <f>IF(AND($A173&gt;=SYear_O,$A173&lt;=EYear_O,BW$3&gt;0),IF($A173=SYear_O,BW$168*(1+Data_All!BW12%),BW172*(1+Data_All!BW12%)),"")</f>
        <v/>
      </c>
      <c r="BX173" s="427">
        <f>IF(AND($A173&gt;=SYear_O,$A173&lt;=EYear_O,BX$3&gt;0),IF($A173=SYear_O,BX$168*(1+Data_All!BX12%),BX172*(1+Data_All!BX12%)),"")</f>
        <v>8240.8693127439892</v>
      </c>
      <c r="BY173" s="427">
        <f>IF(AND($A173&gt;=SYear_O,$A173&lt;=EYear_O,BY$3&gt;0),IF($A173=SYear_O,BY$168*(1+Data_All!BY12%),BY172*(1+Data_All!BY12%)),"")</f>
        <v>5348.6306805655886</v>
      </c>
      <c r="BZ173" s="427" t="str">
        <f>IF(AND($A173&gt;=SYear_O,$A173&lt;=EYear_O,BZ$3&gt;0),IF($A173=SYear_O,BZ$168*(1+Data_All!BZ12%),BZ172*(1+Data_All!BZ12%)),"")</f>
        <v/>
      </c>
      <c r="CA173" s="565">
        <f t="shared" si="92"/>
        <v>5.1959904391323741</v>
      </c>
      <c r="CB173" s="427">
        <f t="shared" si="93"/>
        <v>13589.499993309579</v>
      </c>
      <c r="CC173" s="565">
        <f>IF(AND($A173&gt;=SYear_O,$A173&lt;=EYear_O),(CA173-Data_All!CA12)/(1+Data_All!CA12%),"")</f>
        <v>11.655958173438881</v>
      </c>
      <c r="CD173" s="436">
        <f t="shared" si="94"/>
        <v>15616.022281329375</v>
      </c>
      <c r="CE173" s="438">
        <f t="shared" si="95"/>
        <v>1.2325573046128762</v>
      </c>
      <c r="CF173" s="438">
        <f>IF(AND($A173&gt;=SYear_O,$A173&lt;=EYear_O),MAX($CE$169:CE173),"")</f>
        <v>1.2325573046128762</v>
      </c>
      <c r="CG173" s="209">
        <f t="shared" si="96"/>
        <v>0</v>
      </c>
      <c r="CN173" s="61">
        <f t="shared" si="97"/>
        <v>5.1959904391323697E-2</v>
      </c>
      <c r="CO173" s="61">
        <f t="shared" si="98"/>
        <v>-2.7987561086794122E-3</v>
      </c>
      <c r="CP173" s="61">
        <f t="shared" si="99"/>
        <v>7.2038105642490802E-2</v>
      </c>
      <c r="CQ173" s="61">
        <f t="shared" si="100"/>
        <v>4.9344066988167512E-2</v>
      </c>
      <c r="CR173" s="61">
        <f t="shared" si="101"/>
        <v>5.6772322841113665E-2</v>
      </c>
      <c r="CU173" s="61">
        <f t="shared" si="102"/>
        <v>0.11655958173438874</v>
      </c>
      <c r="CV173" s="61">
        <f t="shared" si="103"/>
        <v>7.3466037343555834E-2</v>
      </c>
      <c r="CW173" s="61">
        <f t="shared" si="104"/>
        <v>0.10288268514488497</v>
      </c>
      <c r="CX173" s="61">
        <f t="shared" si="105"/>
        <v>8.4537531080777439E-2</v>
      </c>
      <c r="CY173" s="61">
        <f t="shared" si="106"/>
        <v>8.6328545966601222E-2</v>
      </c>
    </row>
    <row r="174" spans="1:103">
      <c r="A174" s="204">
        <f t="shared" si="107"/>
        <v>1876</v>
      </c>
      <c r="B174" s="427" t="str">
        <f>IF(AND($A174&gt;=SYear_O,$A174&lt;=EYear_O,B$3&gt;0),IF($A174=SYear_O,B$168*(1+Data_All!B13%),B173*(1+Data_All!B13%)),"")</f>
        <v/>
      </c>
      <c r="C174" s="427" t="str">
        <f>IF(AND($A174&gt;=SYear_O,$A174&lt;=EYear_O,C$3&gt;0),IF($A174=SYear_O,C$168*(1+Data_All!C13%),C173*(1+Data_All!C13%)),"")</f>
        <v/>
      </c>
      <c r="D174" s="427" t="str">
        <f>IF(AND($A174&gt;=SYear_O,$A174&lt;=EYear_O,D$3&gt;0),IF($A174=SYear_O,D$168*(1+Data_All!D13%),D173*(1+Data_All!D13%)),"")</f>
        <v/>
      </c>
      <c r="E174" s="427" t="str">
        <f>IF(AND($A174&gt;=SYear_O,$A174&lt;=EYear_O,E$3&gt;0),IF($A174=SYear_O,E$168*(1+Data_All!E13%),E173*(1+Data_All!E13%)),"")</f>
        <v/>
      </c>
      <c r="F174" s="427" t="str">
        <f>IF(AND($A174&gt;=SYear_O,$A174&lt;=EYear_O,F$3&gt;0),IF($A174=SYear_O,F$168*(1+Data_All!F13%),F173*(1+Data_All!F13%)),"")</f>
        <v/>
      </c>
      <c r="G174" s="427" t="str">
        <f>IF(AND($A174&gt;=SYear_O,$A174&lt;=EYear_O,G$3&gt;0),IF($A174=SYear_O,G$168*(1+Data_All!G13%),G173*(1+Data_All!G13%)),"")</f>
        <v/>
      </c>
      <c r="H174" s="427" t="str">
        <f>IF(AND($A174&gt;=SYear_O,$A174&lt;=EYear_O,H$3&gt;0),IF($A174=SYear_O,H$168*(1+Data_All!H13%),H173*(1+Data_All!H13%)),"")</f>
        <v/>
      </c>
      <c r="I174" s="427" t="str">
        <f>IF(AND($A174&gt;=SYear_O,$A174&lt;=EYear_O,I$3&gt;0),IF($A174=SYear_O,I$168*(1+Data_All!I13%),I173*(1+Data_All!I13%)),"")</f>
        <v/>
      </c>
      <c r="J174" s="427" t="str">
        <f>IF(AND($A174&gt;=SYear_O,$A174&lt;=EYear_O,J$3&gt;0),IF($A174=SYear_O,J$168*(1+Data_All!J13%),J173*(1+Data_All!J13%)),"")</f>
        <v/>
      </c>
      <c r="K174" s="427" t="str">
        <f>IF(AND($A174&gt;=SYear_O,$A174&lt;=EYear_O,K$3&gt;0),IF($A174=SYear_O,K$168*(1+Data_All!K13%),K173*(1+Data_All!K13%)),"")</f>
        <v/>
      </c>
      <c r="L174" s="427" t="str">
        <f>IF(AND($A174&gt;=SYear_O,$A174&lt;=EYear_O,L$3&gt;0),IF($A174=SYear_O,L$168*(1+Data_All!L13%),L173*(1+Data_All!L13%)),"")</f>
        <v/>
      </c>
      <c r="M174" s="427" t="str">
        <f>IF(AND($A174&gt;=SYear_O,$A174&lt;=EYear_O,M$3&gt;0),IF($A174=SYear_O,M$168*(1+Data_All!M13%),M173*(1+Data_All!M13%)),"")</f>
        <v/>
      </c>
      <c r="N174" s="427" t="str">
        <f>IF(AND($A174&gt;=SYear_O,$A174&lt;=EYear_O,N$3&gt;0),IF($A174=SYear_O,N$168*(1+Data_All!N13%),N173*(1+Data_All!N13%)),"")</f>
        <v/>
      </c>
      <c r="O174" s="427" t="str">
        <f>IF(AND($A174&gt;=SYear_O,$A174&lt;=EYear_O,O$3&gt;0),IF($A174=SYear_O,O$168*(1+Data_All!O13%),O173*(1+Data_All!O13%)),"")</f>
        <v/>
      </c>
      <c r="P174" s="427" t="str">
        <f>IF(AND($A174&gt;=SYear_O,$A174&lt;=EYear_O,P$3&gt;0),IF($A174=SYear_O,P$168*(1+Data_All!P13%),P173*(1+Data_All!P13%)),"")</f>
        <v/>
      </c>
      <c r="Q174" s="427" t="str">
        <f>IF(AND($A174&gt;=SYear_O,$A174&lt;=EYear_O,Q$3&gt;0),IF($A174=SYear_O,Q$168*(1+Data_All!Q13%),Q173*(1+Data_All!Q13%)),"")</f>
        <v/>
      </c>
      <c r="R174" s="427" t="str">
        <f>IF(AND($A174&gt;=SYear_O,$A174&lt;=EYear_O,R$3&gt;0),IF($A174=SYear_O,R$168*(1+Data_All!R13%),R173*(1+Data_All!R13%)),"")</f>
        <v/>
      </c>
      <c r="S174" s="427" t="str">
        <f>IF(AND($A174&gt;=SYear_O,$A174&lt;=EYear_O,S$3&gt;0),IF($A174=SYear_O,S$168*(1+Data_All!S13%),S173*(1+Data_All!S13%)),"")</f>
        <v/>
      </c>
      <c r="T174" s="427" t="str">
        <f>IF(AND($A174&gt;=SYear_O,$A174&lt;=EYear_O,T$3&gt;0),IF($A174=SYear_O,T$168*(1+Data_All!T13%),T173*(1+Data_All!T13%)),"")</f>
        <v/>
      </c>
      <c r="U174" s="427" t="str">
        <f>IF(AND($A174&gt;=SYear_O,$A174&lt;=EYear_O,U$3&gt;0),IF($A174=SYear_O,U$168*(1+Data_All!U13%),U173*(1+Data_All!U13%)),"")</f>
        <v/>
      </c>
      <c r="V174" s="427" t="str">
        <f>IF(AND($A174&gt;=SYear_O,$A174&lt;=EYear_O,V$3&gt;0),IF($A174=SYear_O,V$168*(1+Data_All!V13%),V173*(1+Data_All!V13%)),"")</f>
        <v/>
      </c>
      <c r="W174" s="427" t="str">
        <f>IF(AND($A174&gt;=SYear_O,$A174&lt;=EYear_O,W$3&gt;0),IF($A174=SYear_O,W$168*(1+Data_All!W13%),W173*(1+Data_All!W13%)),"")</f>
        <v/>
      </c>
      <c r="X174" s="427" t="str">
        <f>IF(AND($A174&gt;=SYear_O,$A174&lt;=EYear_O,X$3&gt;0),IF($A174=SYear_O,X$168*(1+Data_All!X13%),X173*(1+Data_All!X13%)),"")</f>
        <v/>
      </c>
      <c r="Y174" s="427" t="str">
        <f>IF(AND($A174&gt;=SYear_O,$A174&lt;=EYear_O,Y$3&gt;0),IF($A174=SYear_O,Y$168*(1+Data_All!Y13%),Y173*(1+Data_All!Y13%)),"")</f>
        <v/>
      </c>
      <c r="Z174" s="427" t="str">
        <f>IF(AND($A174&gt;=SYear_O,$A174&lt;=EYear_O,Z$3&gt;0),IF($A174=SYear_O,Z$168*(1+Data_All!Z13%),Z173*(1+Data_All!Z13%)),"")</f>
        <v/>
      </c>
      <c r="AA174" s="427" t="str">
        <f>IF(AND($A174&gt;=SYear_O,$A174&lt;=EYear_O,AA$3&gt;0),IF($A174=SYear_O,AA$168*(1+Data_All!AA13%),AA173*(1+Data_All!AA13%)),"")</f>
        <v/>
      </c>
      <c r="AB174" s="427" t="str">
        <f>IF(AND($A174&gt;=SYear_O,$A174&lt;=EYear_O,AB$3&gt;0),IF($A174=SYear_O,AB$168*(1+Data_All!AB13%),AB173*(1+Data_All!AB13%)),"")</f>
        <v/>
      </c>
      <c r="AC174" s="427" t="str">
        <f>IF(AND($A174&gt;=SYear_O,$A174&lt;=EYear_O,AC$3&gt;0),IF($A174=SYear_O,AC$168*(1+Data_All!AC13%),AC173*(1+Data_All!AC13%)),"")</f>
        <v/>
      </c>
      <c r="AD174" s="427" t="str">
        <f>IF(AND($A174&gt;=SYear_O,$A174&lt;=EYear_O,AD$3&gt;0),IF($A174=SYear_O,AD$168*(1+Data_All!AD13%),AD173*(1+Data_All!AD13%)),"")</f>
        <v/>
      </c>
      <c r="AE174" s="427" t="str">
        <f>IF(AND($A174&gt;=SYear_O,$A174&lt;=EYear_O,AE$3&gt;0),IF($A174=SYear_O,AE$168*(1+Data_All!AE13%),AE173*(1+Data_All!AE13%)),"")</f>
        <v/>
      </c>
      <c r="AF174" s="427" t="str">
        <f>IF(AND($A174&gt;=SYear_O,$A174&lt;=EYear_O,AF$3&gt;0),IF($A174=SYear_O,AF$168*(1+Data_All!AF13%),AF173*(1+Data_All!AF13%)),"")</f>
        <v/>
      </c>
      <c r="AG174" s="427" t="str">
        <f>IF(AND($A174&gt;=SYear_O,$A174&lt;=EYear_O,AG$3&gt;0),IF($A174=SYear_O,AG$168*(1+Data_All!AG13%),AG173*(1+Data_All!AG13%)),"")</f>
        <v/>
      </c>
      <c r="AH174" s="427" t="str">
        <f>IF(AND($A174&gt;=SYear_O,$A174&lt;=EYear_O,AH$3&gt;0),IF($A174=SYear_O,AH$168*(1+Data_All!AH13%),AH173*(1+Data_All!AH13%)),"")</f>
        <v/>
      </c>
      <c r="AI174" s="427" t="str">
        <f>IF(AND($A174&gt;=SYear_O,$A174&lt;=EYear_O,AI$3&gt;0),IF($A174=SYear_O,AI$168*(1+Data_All!AI13%),AI173*(1+Data_All!AI13%)),"")</f>
        <v/>
      </c>
      <c r="AJ174" s="427" t="str">
        <f>IF(AND($A174&gt;=SYear_O,$A174&lt;=EYear_O,AJ$3&gt;0),IF($A174=SYear_O,AJ$168*(1+Data_All!AJ13%),AJ173*(1+Data_All!AJ13%)),"")</f>
        <v/>
      </c>
      <c r="AK174" s="427" t="str">
        <f>IF(AND($A174&gt;=SYear_O,$A174&lt;=EYear_O,AK$3&gt;0),IF($A174=SYear_O,AK$168*(1+Data_All!AK13%),AK173*(1+Data_All!AK13%)),"")</f>
        <v/>
      </c>
      <c r="AL174" s="427" t="str">
        <f>IF(AND($A174&gt;=SYear_O,$A174&lt;=EYear_O,AL$3&gt;0),IF($A174=SYear_O,AL$168*(1+Data_All!AL13%),AL173*(1+Data_All!AL13%)),"")</f>
        <v/>
      </c>
      <c r="AM174" s="427" t="str">
        <f>IF(AND($A174&gt;=SYear_O,$A174&lt;=EYear_O,AM$3&gt;0),IF($A174=SYear_O,AM$168*(1+Data_All!AM13%),AM173*(1+Data_All!AM13%)),"")</f>
        <v/>
      </c>
      <c r="AN174" s="427" t="str">
        <f>IF(AND($A174&gt;=SYear_O,$A174&lt;=EYear_O,AN$3&gt;0),IF($A174=SYear_O,AN$168*(1+Data_All!AN13%),AN173*(1+Data_All!AN13%)),"")</f>
        <v/>
      </c>
      <c r="AO174" s="427" t="str">
        <f>IF(AND($A174&gt;=SYear_O,$A174&lt;=EYear_O,AO$3&gt;0),IF($A174=SYear_O,AO$168*(1+Data_All!AO13%),AO173*(1+Data_All!AO13%)),"")</f>
        <v/>
      </c>
      <c r="AP174" s="427" t="str">
        <f>IF(AND($A174&gt;=SYear_O,$A174&lt;=EYear_O,AP$3&gt;0),IF($A174=SYear_O,AP$168*(1+Data_All!AP13%),AP173*(1+Data_All!AP13%)),"")</f>
        <v/>
      </c>
      <c r="AQ174" s="427" t="str">
        <f>IF(AND($A174&gt;=SYear_O,$A174&lt;=EYear_O,AQ$3&gt;0),IF($A174=SYear_O,AQ$168*(1+Data_All!AQ13%),AQ173*(1+Data_All!AQ13%)),"")</f>
        <v/>
      </c>
      <c r="AR174" s="427" t="str">
        <f>IF(AND($A174&gt;=SYear_O,$A174&lt;=EYear_O,AR$3&gt;0),IF($A174=SYear_O,AR$168*(1+Data_All!AR13%),AR173*(1+Data_All!AR13%)),"")</f>
        <v/>
      </c>
      <c r="AS174" s="427" t="str">
        <f>IF(AND($A174&gt;=SYear_O,$A174&lt;=EYear_O,AS$3&gt;0),IF($A174=SYear_O,AS$168*(1+Data_All!AS13%),AS173*(1+Data_All!AS13%)),"")</f>
        <v/>
      </c>
      <c r="AT174" s="427" t="str">
        <f>IF(AND($A174&gt;=SYear_O,$A174&lt;=EYear_O,AT$3&gt;0),IF($A174=SYear_O,AT$168*(1+Data_All!AT13%),AT173*(1+Data_All!AT13%)),"")</f>
        <v/>
      </c>
      <c r="AU174" s="427" t="str">
        <f>IF(AND($A174&gt;=SYear_O,$A174&lt;=EYear_O,AU$3&gt;0),IF($A174=SYear_O,AU$168*(1+Data_All!AU13%),AU173*(1+Data_All!AU13%)),"")</f>
        <v/>
      </c>
      <c r="AV174" s="427" t="str">
        <f>IF(AND($A174&gt;=SYear_O,$A174&lt;=EYear_O,AV$3&gt;0),IF($A174=SYear_O,AV$168*(1+Data_All!AV13%),AV173*(1+Data_All!AV13%)),"")</f>
        <v/>
      </c>
      <c r="AW174" s="427" t="str">
        <f>IF(AND($A174&gt;=SYear_O,$A174&lt;=EYear_O,AW$3&gt;0),IF($A174=SYear_O,AW$168*(1+Data_All!AW13%),AW173*(1+Data_All!AW13%)),"")</f>
        <v/>
      </c>
      <c r="AX174" s="427" t="str">
        <f>IF(AND($A174&gt;=SYear_O,$A174&lt;=EYear_O,AX$3&gt;0),IF($A174=SYear_O,AX$168*(1+Data_All!AX13%),AX173*(1+Data_All!AX13%)),"")</f>
        <v/>
      </c>
      <c r="AY174" s="427" t="str">
        <f>IF(AND($A174&gt;=SYear_O,$A174&lt;=EYear_O,AY$3&gt;0),IF($A174=SYear_O,AY$168*(1+Data_All!AY13%),AY173*(1+Data_All!AY13%)),"")</f>
        <v/>
      </c>
      <c r="AZ174" s="427" t="str">
        <f>IF(AND($A174&gt;=SYear_O,$A174&lt;=EYear_O,AZ$3&gt;0),IF($A174=SYear_O,AZ$168*(1+Data_All!AZ13%),AZ173*(1+Data_All!AZ13%)),"")</f>
        <v/>
      </c>
      <c r="BA174" s="427" t="str">
        <f>IF(AND($A174&gt;=SYear_O,$A174&lt;=EYear_O,BA$3&gt;0),IF($A174=SYear_O,BA$168*(1+Data_All!BA13%),BA173*(1+Data_All!BA13%)),"")</f>
        <v/>
      </c>
      <c r="BB174" s="427" t="str">
        <f>IF(AND($A174&gt;=SYear_O,$A174&lt;=EYear_O,BB$3&gt;0),IF($A174=SYear_O,BB$168*(1+Data_All!BB13%),BB173*(1+Data_All!BB13%)),"")</f>
        <v/>
      </c>
      <c r="BC174" s="427" t="str">
        <f>IF(AND($A174&gt;=SYear_O,$A174&lt;=EYear_O,BC$3&gt;0),IF($A174=SYear_O,BC$168*(1+Data_All!BC13%),BC173*(1+Data_All!BC13%)),"")</f>
        <v/>
      </c>
      <c r="BD174" s="427" t="str">
        <f>IF(AND($A174&gt;=SYear_O,$A174&lt;=EYear_O,BD$3&gt;0),IF($A174=SYear_O,BD$168*(1+Data_All!BD13%),BD173*(1+Data_All!BD13%)),"")</f>
        <v/>
      </c>
      <c r="BE174" s="427" t="str">
        <f>IF(AND($A174&gt;=SYear_O,$A174&lt;=EYear_O,BE$3&gt;0),IF($A174=SYear_O,BE$168*(1+Data_All!BE13%),BE173*(1+Data_All!BE13%)),"")</f>
        <v/>
      </c>
      <c r="BF174" s="427" t="str">
        <f>IF(AND($A174&gt;=SYear_O,$A174&lt;=EYear_O,BF$3&gt;0),IF($A174=SYear_O,BF$168*(1+Data_All!BF13%),BF173*(1+Data_All!BF13%)),"")</f>
        <v/>
      </c>
      <c r="BG174" s="427" t="str">
        <f>IF(AND($A174&gt;=SYear_O,$A174&lt;=EYear_O,BG$3&gt;0),IF($A174=SYear_O,BG$168*(1+Data_All!BG13%),BG173*(1+Data_All!BG13%)),"")</f>
        <v/>
      </c>
      <c r="BH174" s="427" t="str">
        <f>IF(AND($A174&gt;=SYear_O,$A174&lt;=EYear_O,BH$3&gt;0),IF($A174=SYear_O,BH$168*(1+Data_All!BH13%),BH173*(1+Data_All!BH13%)),"")</f>
        <v/>
      </c>
      <c r="BI174" s="427" t="str">
        <f>IF(AND($A174&gt;=SYear_O,$A174&lt;=EYear_O,BI$3&gt;0),IF($A174=SYear_O,BI$168*(1+Data_All!BI13%),BI173*(1+Data_All!BI13%)),"")</f>
        <v/>
      </c>
      <c r="BJ174" s="427" t="str">
        <f>IF(AND($A174&gt;=SYear_O,$A174&lt;=EYear_O,BJ$3&gt;0),IF($A174=SYear_O,BJ$168*(1+Data_All!BJ13%),BJ173*(1+Data_All!BJ13%)),"")</f>
        <v/>
      </c>
      <c r="BK174" s="427" t="str">
        <f>IF(AND($A174&gt;=SYear_O,$A174&lt;=EYear_O,BK$3&gt;0),IF($A174=SYear_O,BK$168*(1+Data_All!BK13%),BK173*(1+Data_All!BK13%)),"")</f>
        <v/>
      </c>
      <c r="BL174" s="427" t="str">
        <f>IF(AND($A174&gt;=SYear_O,$A174&lt;=EYear_O,BL$3&gt;0),IF($A174=SYear_O,BL$168*(1+Data_All!BL13%),BL173*(1+Data_All!BL13%)),"")</f>
        <v/>
      </c>
      <c r="BM174" s="427" t="str">
        <f>IF(AND($A174&gt;=SYear_O,$A174&lt;=EYear_O,BM$3&gt;0),IF($A174=SYear_O,BM$168*(1+Data_All!BM13%),BM173*(1+Data_All!BM13%)),"")</f>
        <v/>
      </c>
      <c r="BN174" s="427" t="str">
        <f>IF(AND($A174&gt;=SYear_O,$A174&lt;=EYear_O,BN$3&gt;0),IF($A174=SYear_O,BN$168*(1+Data_All!BN13%),BN173*(1+Data_All!BN13%)),"")</f>
        <v/>
      </c>
      <c r="BO174" s="427" t="str">
        <f>IF(AND($A174&gt;=SYear_O,$A174&lt;=EYear_O,BO$3&gt;0),IF($A174=SYear_O,BO$168*(1+Data_All!BO13%),BO173*(1+Data_All!BO13%)),"")</f>
        <v/>
      </c>
      <c r="BP174" s="427" t="str">
        <f>IF(AND($A174&gt;=SYear_O,$A174&lt;=EYear_O,BP$3&gt;0),IF($A174=SYear_O,BP$168*(1+Data_All!BP13%),BP173*(1+Data_All!BP13%)),"")</f>
        <v/>
      </c>
      <c r="BQ174" s="427" t="str">
        <f>IF(AND($A174&gt;=SYear_O,$A174&lt;=EYear_O,BQ$3&gt;0),IF($A174=SYear_O,BQ$168*(1+Data_All!BQ13%),BQ173*(1+Data_All!BQ13%)),"")</f>
        <v/>
      </c>
      <c r="BR174" s="427" t="str">
        <f>IF(AND($A174&gt;=SYear_O,$A174&lt;=EYear_O,BR$3&gt;0),IF($A174=SYear_O,BR$168*(1+Data_All!BR13%),BR173*(1+Data_All!BR13%)),"")</f>
        <v/>
      </c>
      <c r="BS174" s="427" t="str">
        <f>IF(AND($A174&gt;=SYear_O,$A174&lt;=EYear_O,BS$3&gt;0),IF($A174=SYear_O,BS$168*(1+Data_All!BS13%),BS173*(1+Data_All!BS13%)),"")</f>
        <v/>
      </c>
      <c r="BT174" s="427" t="str">
        <f>IF(AND($A174&gt;=SYear_O,$A174&lt;=EYear_O,BT$3&gt;0),IF($A174=SYear_O,BT$168*(1+Data_All!BT13%),BT173*(1+Data_All!BT13%)),"")</f>
        <v/>
      </c>
      <c r="BU174" s="427" t="str">
        <f>IF(AND($A174&gt;=SYear_O,$A174&lt;=EYear_O,BU$3&gt;0),IF($A174=SYear_O,BU$168*(1+Data_All!BU13%),BU173*(1+Data_All!BU13%)),"")</f>
        <v/>
      </c>
      <c r="BV174" s="427" t="str">
        <f>IF(AND($A174&gt;=SYear_O,$A174&lt;=EYear_O,BV$3&gt;0),IF($A174=SYear_O,BV$168*(1+Data_All!BV13%),BV173*(1+Data_All!BV13%)),"")</f>
        <v/>
      </c>
      <c r="BW174" s="427" t="str">
        <f>IF(AND($A174&gt;=SYear_O,$A174&lt;=EYear_O,BW$3&gt;0),IF($A174=SYear_O,BW$168*(1+Data_All!BW13%),BW173*(1+Data_All!BW13%)),"")</f>
        <v/>
      </c>
      <c r="BX174" s="427">
        <f>IF(AND($A174&gt;=SYear_O,$A174&lt;=EYear_O,BX$3&gt;0),IF($A174=SYear_O,BX$168*(1+Data_All!BX13%),BX173*(1+Data_All!BX13%)),"")</f>
        <v>7113.7549000144299</v>
      </c>
      <c r="BY174" s="427">
        <f>IF(AND($A174&gt;=SYear_O,$A174&lt;=EYear_O,BY$3&gt;0),IF($A174=SYear_O,BY$168*(1+Data_All!BY13%),BY173*(1+Data_All!BY13%)),"")</f>
        <v>5639.0095890989751</v>
      </c>
      <c r="BZ174" s="427" t="str">
        <f>IF(AND($A174&gt;=SYear_O,$A174&lt;=EYear_O,BZ$3&gt;0),IF($A174=SYear_O,BZ$168*(1+Data_All!BZ13%),BZ173*(1+Data_All!BZ13%)),"")</f>
        <v/>
      </c>
      <c r="CA174" s="565">
        <f t="shared" si="92"/>
        <v>-6.1572206822040441</v>
      </c>
      <c r="CB174" s="427">
        <f t="shared" si="93"/>
        <v>12752.764489113404</v>
      </c>
      <c r="CC174" s="565">
        <f>IF(AND($A174&gt;=SYear_O,$A174&lt;=EYear_O),(CA174-Data_All!CA13)/(1+Data_All!CA13%),"")</f>
        <v>-6.9734115342785881</v>
      </c>
      <c r="CD174" s="436">
        <f t="shared" si="94"/>
        <v>14527.052782367638</v>
      </c>
      <c r="CE174" s="438">
        <f t="shared" si="95"/>
        <v>1.1566660313332355</v>
      </c>
      <c r="CF174" s="438">
        <f>IF(AND($A174&gt;=SYear_O,$A174&lt;=EYear_O),MAX($CE$169:CE174),"")</f>
        <v>1.2325573046128762</v>
      </c>
      <c r="CG174" s="209">
        <f t="shared" si="96"/>
        <v>6.1572206822040343E-2</v>
      </c>
      <c r="CN174" s="61">
        <f t="shared" si="97"/>
        <v>-6.1572206822040454E-2</v>
      </c>
      <c r="CO174" s="61">
        <f t="shared" si="98"/>
        <v>1.5552485272956496E-2</v>
      </c>
      <c r="CP174" s="61">
        <f t="shared" si="99"/>
        <v>9.8528836713310142E-2</v>
      </c>
      <c r="CQ174" s="61">
        <f t="shared" si="100"/>
        <v>6.2372799773885879E-2</v>
      </c>
      <c r="CR174" s="61">
        <f t="shared" si="101"/>
        <v>5.0657563032372899E-2</v>
      </c>
      <c r="CU174" s="61">
        <f t="shared" si="102"/>
        <v>-6.9734115342785841E-2</v>
      </c>
      <c r="CV174" s="61">
        <f t="shared" si="103"/>
        <v>0.11129761500480462</v>
      </c>
      <c r="CW174" s="61">
        <f t="shared" si="104"/>
        <v>0.12996542737378025</v>
      </c>
      <c r="CX174" s="61">
        <f t="shared" si="105"/>
        <v>9.5315910871226039E-2</v>
      </c>
      <c r="CY174" s="61">
        <f t="shared" si="106"/>
        <v>7.3990693725491274E-2</v>
      </c>
    </row>
    <row r="175" spans="1:103">
      <c r="A175" s="204">
        <f t="shared" si="107"/>
        <v>1877</v>
      </c>
      <c r="B175" s="427" t="str">
        <f>IF(AND($A175&gt;=SYear_O,$A175&lt;=EYear_O,B$3&gt;0),IF($A175=SYear_O,B$168*(1+Data_All!B14%),B174*(1+Data_All!B14%)),"")</f>
        <v/>
      </c>
      <c r="C175" s="427" t="str">
        <f>IF(AND($A175&gt;=SYear_O,$A175&lt;=EYear_O,C$3&gt;0),IF($A175=SYear_O,C$168*(1+Data_All!C14%),C174*(1+Data_All!C14%)),"")</f>
        <v/>
      </c>
      <c r="D175" s="427" t="str">
        <f>IF(AND($A175&gt;=SYear_O,$A175&lt;=EYear_O,D$3&gt;0),IF($A175=SYear_O,D$168*(1+Data_All!D14%),D174*(1+Data_All!D14%)),"")</f>
        <v/>
      </c>
      <c r="E175" s="427" t="str">
        <f>IF(AND($A175&gt;=SYear_O,$A175&lt;=EYear_O,E$3&gt;0),IF($A175=SYear_O,E$168*(1+Data_All!E14%),E174*(1+Data_All!E14%)),"")</f>
        <v/>
      </c>
      <c r="F175" s="427" t="str">
        <f>IF(AND($A175&gt;=SYear_O,$A175&lt;=EYear_O,F$3&gt;0),IF($A175=SYear_O,F$168*(1+Data_All!F14%),F174*(1+Data_All!F14%)),"")</f>
        <v/>
      </c>
      <c r="G175" s="427" t="str">
        <f>IF(AND($A175&gt;=SYear_O,$A175&lt;=EYear_O,G$3&gt;0),IF($A175=SYear_O,G$168*(1+Data_All!G14%),G174*(1+Data_All!G14%)),"")</f>
        <v/>
      </c>
      <c r="H175" s="427" t="str">
        <f>IF(AND($A175&gt;=SYear_O,$A175&lt;=EYear_O,H$3&gt;0),IF($A175=SYear_O,H$168*(1+Data_All!H14%),H174*(1+Data_All!H14%)),"")</f>
        <v/>
      </c>
      <c r="I175" s="427" t="str">
        <f>IF(AND($A175&gt;=SYear_O,$A175&lt;=EYear_O,I$3&gt;0),IF($A175=SYear_O,I$168*(1+Data_All!I14%),I174*(1+Data_All!I14%)),"")</f>
        <v/>
      </c>
      <c r="J175" s="427" t="str">
        <f>IF(AND($A175&gt;=SYear_O,$A175&lt;=EYear_O,J$3&gt;0),IF($A175=SYear_O,J$168*(1+Data_All!J14%),J174*(1+Data_All!J14%)),"")</f>
        <v/>
      </c>
      <c r="K175" s="427" t="str">
        <f>IF(AND($A175&gt;=SYear_O,$A175&lt;=EYear_O,K$3&gt;0),IF($A175=SYear_O,K$168*(1+Data_All!K14%),K174*(1+Data_All!K14%)),"")</f>
        <v/>
      </c>
      <c r="L175" s="427" t="str">
        <f>IF(AND($A175&gt;=SYear_O,$A175&lt;=EYear_O,L$3&gt;0),IF($A175=SYear_O,L$168*(1+Data_All!L14%),L174*(1+Data_All!L14%)),"")</f>
        <v/>
      </c>
      <c r="M175" s="427" t="str">
        <f>IF(AND($A175&gt;=SYear_O,$A175&lt;=EYear_O,M$3&gt;0),IF($A175=SYear_O,M$168*(1+Data_All!M14%),M174*(1+Data_All!M14%)),"")</f>
        <v/>
      </c>
      <c r="N175" s="427" t="str">
        <f>IF(AND($A175&gt;=SYear_O,$A175&lt;=EYear_O,N$3&gt;0),IF($A175=SYear_O,N$168*(1+Data_All!N14%),N174*(1+Data_All!N14%)),"")</f>
        <v/>
      </c>
      <c r="O175" s="427" t="str">
        <f>IF(AND($A175&gt;=SYear_O,$A175&lt;=EYear_O,O$3&gt;0),IF($A175=SYear_O,O$168*(1+Data_All!O14%),O174*(1+Data_All!O14%)),"")</f>
        <v/>
      </c>
      <c r="P175" s="427" t="str">
        <f>IF(AND($A175&gt;=SYear_O,$A175&lt;=EYear_O,P$3&gt;0),IF($A175=SYear_O,P$168*(1+Data_All!P14%),P174*(1+Data_All!P14%)),"")</f>
        <v/>
      </c>
      <c r="Q175" s="427" t="str">
        <f>IF(AND($A175&gt;=SYear_O,$A175&lt;=EYear_O,Q$3&gt;0),IF($A175=SYear_O,Q$168*(1+Data_All!Q14%),Q174*(1+Data_All!Q14%)),"")</f>
        <v/>
      </c>
      <c r="R175" s="427" t="str">
        <f>IF(AND($A175&gt;=SYear_O,$A175&lt;=EYear_O,R$3&gt;0),IF($A175=SYear_O,R$168*(1+Data_All!R14%),R174*(1+Data_All!R14%)),"")</f>
        <v/>
      </c>
      <c r="S175" s="427" t="str">
        <f>IF(AND($A175&gt;=SYear_O,$A175&lt;=EYear_O,S$3&gt;0),IF($A175=SYear_O,S$168*(1+Data_All!S14%),S174*(1+Data_All!S14%)),"")</f>
        <v/>
      </c>
      <c r="T175" s="427" t="str">
        <f>IF(AND($A175&gt;=SYear_O,$A175&lt;=EYear_O,T$3&gt;0),IF($A175=SYear_O,T$168*(1+Data_All!T14%),T174*(1+Data_All!T14%)),"")</f>
        <v/>
      </c>
      <c r="U175" s="427" t="str">
        <f>IF(AND($A175&gt;=SYear_O,$A175&lt;=EYear_O,U$3&gt;0),IF($A175=SYear_O,U$168*(1+Data_All!U14%),U174*(1+Data_All!U14%)),"")</f>
        <v/>
      </c>
      <c r="V175" s="427" t="str">
        <f>IF(AND($A175&gt;=SYear_O,$A175&lt;=EYear_O,V$3&gt;0),IF($A175=SYear_O,V$168*(1+Data_All!V14%),V174*(1+Data_All!V14%)),"")</f>
        <v/>
      </c>
      <c r="W175" s="427" t="str">
        <f>IF(AND($A175&gt;=SYear_O,$A175&lt;=EYear_O,W$3&gt;0),IF($A175=SYear_O,W$168*(1+Data_All!W14%),W174*(1+Data_All!W14%)),"")</f>
        <v/>
      </c>
      <c r="X175" s="427" t="str">
        <f>IF(AND($A175&gt;=SYear_O,$A175&lt;=EYear_O,X$3&gt;0),IF($A175=SYear_O,X$168*(1+Data_All!X14%),X174*(1+Data_All!X14%)),"")</f>
        <v/>
      </c>
      <c r="Y175" s="427" t="str">
        <f>IF(AND($A175&gt;=SYear_O,$A175&lt;=EYear_O,Y$3&gt;0),IF($A175=SYear_O,Y$168*(1+Data_All!Y14%),Y174*(1+Data_All!Y14%)),"")</f>
        <v/>
      </c>
      <c r="Z175" s="427" t="str">
        <f>IF(AND($A175&gt;=SYear_O,$A175&lt;=EYear_O,Z$3&gt;0),IF($A175=SYear_O,Z$168*(1+Data_All!Z14%),Z174*(1+Data_All!Z14%)),"")</f>
        <v/>
      </c>
      <c r="AA175" s="427" t="str">
        <f>IF(AND($A175&gt;=SYear_O,$A175&lt;=EYear_O,AA$3&gt;0),IF($A175=SYear_O,AA$168*(1+Data_All!AA14%),AA174*(1+Data_All!AA14%)),"")</f>
        <v/>
      </c>
      <c r="AB175" s="427" t="str">
        <f>IF(AND($A175&gt;=SYear_O,$A175&lt;=EYear_O,AB$3&gt;0),IF($A175=SYear_O,AB$168*(1+Data_All!AB14%),AB174*(1+Data_All!AB14%)),"")</f>
        <v/>
      </c>
      <c r="AC175" s="427" t="str">
        <f>IF(AND($A175&gt;=SYear_O,$A175&lt;=EYear_O,AC$3&gt;0),IF($A175=SYear_O,AC$168*(1+Data_All!AC14%),AC174*(1+Data_All!AC14%)),"")</f>
        <v/>
      </c>
      <c r="AD175" s="427" t="str">
        <f>IF(AND($A175&gt;=SYear_O,$A175&lt;=EYear_O,AD$3&gt;0),IF($A175=SYear_O,AD$168*(1+Data_All!AD14%),AD174*(1+Data_All!AD14%)),"")</f>
        <v/>
      </c>
      <c r="AE175" s="427" t="str">
        <f>IF(AND($A175&gt;=SYear_O,$A175&lt;=EYear_O,AE$3&gt;0),IF($A175=SYear_O,AE$168*(1+Data_All!AE14%),AE174*(1+Data_All!AE14%)),"")</f>
        <v/>
      </c>
      <c r="AF175" s="427" t="str">
        <f>IF(AND($A175&gt;=SYear_O,$A175&lt;=EYear_O,AF$3&gt;0),IF($A175=SYear_O,AF$168*(1+Data_All!AF14%),AF174*(1+Data_All!AF14%)),"")</f>
        <v/>
      </c>
      <c r="AG175" s="427" t="str">
        <f>IF(AND($A175&gt;=SYear_O,$A175&lt;=EYear_O,AG$3&gt;0),IF($A175=SYear_O,AG$168*(1+Data_All!AG14%),AG174*(1+Data_All!AG14%)),"")</f>
        <v/>
      </c>
      <c r="AH175" s="427" t="str">
        <f>IF(AND($A175&gt;=SYear_O,$A175&lt;=EYear_O,AH$3&gt;0),IF($A175=SYear_O,AH$168*(1+Data_All!AH14%),AH174*(1+Data_All!AH14%)),"")</f>
        <v/>
      </c>
      <c r="AI175" s="427" t="str">
        <f>IF(AND($A175&gt;=SYear_O,$A175&lt;=EYear_O,AI$3&gt;0),IF($A175=SYear_O,AI$168*(1+Data_All!AI14%),AI174*(1+Data_All!AI14%)),"")</f>
        <v/>
      </c>
      <c r="AJ175" s="427" t="str">
        <f>IF(AND($A175&gt;=SYear_O,$A175&lt;=EYear_O,AJ$3&gt;0),IF($A175=SYear_O,AJ$168*(1+Data_All!AJ14%),AJ174*(1+Data_All!AJ14%)),"")</f>
        <v/>
      </c>
      <c r="AK175" s="427" t="str">
        <f>IF(AND($A175&gt;=SYear_O,$A175&lt;=EYear_O,AK$3&gt;0),IF($A175=SYear_O,AK$168*(1+Data_All!AK14%),AK174*(1+Data_All!AK14%)),"")</f>
        <v/>
      </c>
      <c r="AL175" s="427" t="str">
        <f>IF(AND($A175&gt;=SYear_O,$A175&lt;=EYear_O,AL$3&gt;0),IF($A175=SYear_O,AL$168*(1+Data_All!AL14%),AL174*(1+Data_All!AL14%)),"")</f>
        <v/>
      </c>
      <c r="AM175" s="427" t="str">
        <f>IF(AND($A175&gt;=SYear_O,$A175&lt;=EYear_O,AM$3&gt;0),IF($A175=SYear_O,AM$168*(1+Data_All!AM14%),AM174*(1+Data_All!AM14%)),"")</f>
        <v/>
      </c>
      <c r="AN175" s="427" t="str">
        <f>IF(AND($A175&gt;=SYear_O,$A175&lt;=EYear_O,AN$3&gt;0),IF($A175=SYear_O,AN$168*(1+Data_All!AN14%),AN174*(1+Data_All!AN14%)),"")</f>
        <v/>
      </c>
      <c r="AO175" s="427" t="str">
        <f>IF(AND($A175&gt;=SYear_O,$A175&lt;=EYear_O,AO$3&gt;0),IF($A175=SYear_O,AO$168*(1+Data_All!AO14%),AO174*(1+Data_All!AO14%)),"")</f>
        <v/>
      </c>
      <c r="AP175" s="427" t="str">
        <f>IF(AND($A175&gt;=SYear_O,$A175&lt;=EYear_O,AP$3&gt;0),IF($A175=SYear_O,AP$168*(1+Data_All!AP14%),AP174*(1+Data_All!AP14%)),"")</f>
        <v/>
      </c>
      <c r="AQ175" s="427" t="str">
        <f>IF(AND($A175&gt;=SYear_O,$A175&lt;=EYear_O,AQ$3&gt;0),IF($A175=SYear_O,AQ$168*(1+Data_All!AQ14%),AQ174*(1+Data_All!AQ14%)),"")</f>
        <v/>
      </c>
      <c r="AR175" s="427" t="str">
        <f>IF(AND($A175&gt;=SYear_O,$A175&lt;=EYear_O,AR$3&gt;0),IF($A175=SYear_O,AR$168*(1+Data_All!AR14%),AR174*(1+Data_All!AR14%)),"")</f>
        <v/>
      </c>
      <c r="AS175" s="427" t="str">
        <f>IF(AND($A175&gt;=SYear_O,$A175&lt;=EYear_O,AS$3&gt;0),IF($A175=SYear_O,AS$168*(1+Data_All!AS14%),AS174*(1+Data_All!AS14%)),"")</f>
        <v/>
      </c>
      <c r="AT175" s="427" t="str">
        <f>IF(AND($A175&gt;=SYear_O,$A175&lt;=EYear_O,AT$3&gt;0),IF($A175=SYear_O,AT$168*(1+Data_All!AT14%),AT174*(1+Data_All!AT14%)),"")</f>
        <v/>
      </c>
      <c r="AU175" s="427" t="str">
        <f>IF(AND($A175&gt;=SYear_O,$A175&lt;=EYear_O,AU$3&gt;0),IF($A175=SYear_O,AU$168*(1+Data_All!AU14%),AU174*(1+Data_All!AU14%)),"")</f>
        <v/>
      </c>
      <c r="AV175" s="427" t="str">
        <f>IF(AND($A175&gt;=SYear_O,$A175&lt;=EYear_O,AV$3&gt;0),IF($A175=SYear_O,AV$168*(1+Data_All!AV14%),AV174*(1+Data_All!AV14%)),"")</f>
        <v/>
      </c>
      <c r="AW175" s="427" t="str">
        <f>IF(AND($A175&gt;=SYear_O,$A175&lt;=EYear_O,AW$3&gt;0),IF($A175=SYear_O,AW$168*(1+Data_All!AW14%),AW174*(1+Data_All!AW14%)),"")</f>
        <v/>
      </c>
      <c r="AX175" s="427" t="str">
        <f>IF(AND($A175&gt;=SYear_O,$A175&lt;=EYear_O,AX$3&gt;0),IF($A175=SYear_O,AX$168*(1+Data_All!AX14%),AX174*(1+Data_All!AX14%)),"")</f>
        <v/>
      </c>
      <c r="AY175" s="427" t="str">
        <f>IF(AND($A175&gt;=SYear_O,$A175&lt;=EYear_O,AY$3&gt;0),IF($A175=SYear_O,AY$168*(1+Data_All!AY14%),AY174*(1+Data_All!AY14%)),"")</f>
        <v/>
      </c>
      <c r="AZ175" s="427" t="str">
        <f>IF(AND($A175&gt;=SYear_O,$A175&lt;=EYear_O,AZ$3&gt;0),IF($A175=SYear_O,AZ$168*(1+Data_All!AZ14%),AZ174*(1+Data_All!AZ14%)),"")</f>
        <v/>
      </c>
      <c r="BA175" s="427" t="str">
        <f>IF(AND($A175&gt;=SYear_O,$A175&lt;=EYear_O,BA$3&gt;0),IF($A175=SYear_O,BA$168*(1+Data_All!BA14%),BA174*(1+Data_All!BA14%)),"")</f>
        <v/>
      </c>
      <c r="BB175" s="427" t="str">
        <f>IF(AND($A175&gt;=SYear_O,$A175&lt;=EYear_O,BB$3&gt;0),IF($A175=SYear_O,BB$168*(1+Data_All!BB14%),BB174*(1+Data_All!BB14%)),"")</f>
        <v/>
      </c>
      <c r="BC175" s="427" t="str">
        <f>IF(AND($A175&gt;=SYear_O,$A175&lt;=EYear_O,BC$3&gt;0),IF($A175=SYear_O,BC$168*(1+Data_All!BC14%),BC174*(1+Data_All!BC14%)),"")</f>
        <v/>
      </c>
      <c r="BD175" s="427" t="str">
        <f>IF(AND($A175&gt;=SYear_O,$A175&lt;=EYear_O,BD$3&gt;0),IF($A175=SYear_O,BD$168*(1+Data_All!BD14%),BD174*(1+Data_All!BD14%)),"")</f>
        <v/>
      </c>
      <c r="BE175" s="427" t="str">
        <f>IF(AND($A175&gt;=SYear_O,$A175&lt;=EYear_O,BE$3&gt;0),IF($A175=SYear_O,BE$168*(1+Data_All!BE14%),BE174*(1+Data_All!BE14%)),"")</f>
        <v/>
      </c>
      <c r="BF175" s="427" t="str">
        <f>IF(AND($A175&gt;=SYear_O,$A175&lt;=EYear_O,BF$3&gt;0),IF($A175=SYear_O,BF$168*(1+Data_All!BF14%),BF174*(1+Data_All!BF14%)),"")</f>
        <v/>
      </c>
      <c r="BG175" s="427" t="str">
        <f>IF(AND($A175&gt;=SYear_O,$A175&lt;=EYear_O,BG$3&gt;0),IF($A175=SYear_O,BG$168*(1+Data_All!BG14%),BG174*(1+Data_All!BG14%)),"")</f>
        <v/>
      </c>
      <c r="BH175" s="427" t="str">
        <f>IF(AND($A175&gt;=SYear_O,$A175&lt;=EYear_O,BH$3&gt;0),IF($A175=SYear_O,BH$168*(1+Data_All!BH14%),BH174*(1+Data_All!BH14%)),"")</f>
        <v/>
      </c>
      <c r="BI175" s="427" t="str">
        <f>IF(AND($A175&gt;=SYear_O,$A175&lt;=EYear_O,BI$3&gt;0),IF($A175=SYear_O,BI$168*(1+Data_All!BI14%),BI174*(1+Data_All!BI14%)),"")</f>
        <v/>
      </c>
      <c r="BJ175" s="427" t="str">
        <f>IF(AND($A175&gt;=SYear_O,$A175&lt;=EYear_O,BJ$3&gt;0),IF($A175=SYear_O,BJ$168*(1+Data_All!BJ14%),BJ174*(1+Data_All!BJ14%)),"")</f>
        <v/>
      </c>
      <c r="BK175" s="427" t="str">
        <f>IF(AND($A175&gt;=SYear_O,$A175&lt;=EYear_O,BK$3&gt;0),IF($A175=SYear_O,BK$168*(1+Data_All!BK14%),BK174*(1+Data_All!BK14%)),"")</f>
        <v/>
      </c>
      <c r="BL175" s="427" t="str">
        <f>IF(AND($A175&gt;=SYear_O,$A175&lt;=EYear_O,BL$3&gt;0),IF($A175=SYear_O,BL$168*(1+Data_All!BL14%),BL174*(1+Data_All!BL14%)),"")</f>
        <v/>
      </c>
      <c r="BM175" s="427" t="str">
        <f>IF(AND($A175&gt;=SYear_O,$A175&lt;=EYear_O,BM$3&gt;0),IF($A175=SYear_O,BM$168*(1+Data_All!BM14%),BM174*(1+Data_All!BM14%)),"")</f>
        <v/>
      </c>
      <c r="BN175" s="427" t="str">
        <f>IF(AND($A175&gt;=SYear_O,$A175&lt;=EYear_O,BN$3&gt;0),IF($A175=SYear_O,BN$168*(1+Data_All!BN14%),BN174*(1+Data_All!BN14%)),"")</f>
        <v/>
      </c>
      <c r="BO175" s="427" t="str">
        <f>IF(AND($A175&gt;=SYear_O,$A175&lt;=EYear_O,BO$3&gt;0),IF($A175=SYear_O,BO$168*(1+Data_All!BO14%),BO174*(1+Data_All!BO14%)),"")</f>
        <v/>
      </c>
      <c r="BP175" s="427" t="str">
        <f>IF(AND($A175&gt;=SYear_O,$A175&lt;=EYear_O,BP$3&gt;0),IF($A175=SYear_O,BP$168*(1+Data_All!BP14%),BP174*(1+Data_All!BP14%)),"")</f>
        <v/>
      </c>
      <c r="BQ175" s="427" t="str">
        <f>IF(AND($A175&gt;=SYear_O,$A175&lt;=EYear_O,BQ$3&gt;0),IF($A175=SYear_O,BQ$168*(1+Data_All!BQ14%),BQ174*(1+Data_All!BQ14%)),"")</f>
        <v/>
      </c>
      <c r="BR175" s="427" t="str">
        <f>IF(AND($A175&gt;=SYear_O,$A175&lt;=EYear_O,BR$3&gt;0),IF($A175=SYear_O,BR$168*(1+Data_All!BR14%),BR174*(1+Data_All!BR14%)),"")</f>
        <v/>
      </c>
      <c r="BS175" s="427" t="str">
        <f>IF(AND($A175&gt;=SYear_O,$A175&lt;=EYear_O,BS$3&gt;0),IF($A175=SYear_O,BS$168*(1+Data_All!BS14%),BS174*(1+Data_All!BS14%)),"")</f>
        <v/>
      </c>
      <c r="BT175" s="427" t="str">
        <f>IF(AND($A175&gt;=SYear_O,$A175&lt;=EYear_O,BT$3&gt;0),IF($A175=SYear_O,BT$168*(1+Data_All!BT14%),BT174*(1+Data_All!BT14%)),"")</f>
        <v/>
      </c>
      <c r="BU175" s="427" t="str">
        <f>IF(AND($A175&gt;=SYear_O,$A175&lt;=EYear_O,BU$3&gt;0),IF($A175=SYear_O,BU$168*(1+Data_All!BU14%),BU174*(1+Data_All!BU14%)),"")</f>
        <v/>
      </c>
      <c r="BV175" s="427" t="str">
        <f>IF(AND($A175&gt;=SYear_O,$A175&lt;=EYear_O,BV$3&gt;0),IF($A175=SYear_O,BV$168*(1+Data_All!BV14%),BV174*(1+Data_All!BV14%)),"")</f>
        <v/>
      </c>
      <c r="BW175" s="427" t="str">
        <f>IF(AND($A175&gt;=SYear_O,$A175&lt;=EYear_O,BW$3&gt;0),IF($A175=SYear_O,BW$168*(1+Data_All!BW14%),BW174*(1+Data_All!BW14%)),"")</f>
        <v/>
      </c>
      <c r="BX175" s="427">
        <f>IF(AND($A175&gt;=SYear_O,$A175&lt;=EYear_O,BX$3&gt;0),IF($A175=SYear_O,BX$168*(1+Data_All!BX14%),BX174*(1+Data_All!BX14%)),"")</f>
        <v>6893.3286918449694</v>
      </c>
      <c r="BY175" s="427">
        <f>IF(AND($A175&gt;=SYear_O,$A175&lt;=EYear_O,BY$3&gt;0),IF($A175=SYear_O,BY$168*(1+Data_All!BY14%),BY174*(1+Data_All!BY14%)),"")</f>
        <v>5916.7773700823782</v>
      </c>
      <c r="BZ175" s="427" t="str">
        <f>IF(AND($A175&gt;=SYear_O,$A175&lt;=EYear_O,BZ$3&gt;0),IF($A175=SYear_O,BZ$168*(1+Data_All!BZ14%),BZ174*(1+Data_All!BZ14%)),"")</f>
        <v/>
      </c>
      <c r="CA175" s="565">
        <f t="shared" si="92"/>
        <v>0.44964033377151202</v>
      </c>
      <c r="CB175" s="427">
        <f t="shared" si="93"/>
        <v>12810.106061927348</v>
      </c>
      <c r="CC175" s="565">
        <f>IF(AND($A175&gt;=SYear_O,$A175&lt;=EYear_O),(CA175-Data_All!CA14)/(1+Data_All!CA14%),"")</f>
        <v>19.090173677877509</v>
      </c>
      <c r="CD175" s="436">
        <f t="shared" si="94"/>
        <v>17300.292388798556</v>
      </c>
      <c r="CE175" s="438">
        <f t="shared" si="95"/>
        <v>1.161866868337144</v>
      </c>
      <c r="CF175" s="438">
        <f>IF(AND($A175&gt;=SYear_O,$A175&lt;=EYear_O),MAX($CE$169:CE175),"")</f>
        <v>1.2325573046128762</v>
      </c>
      <c r="CG175" s="209">
        <f t="shared" si="96"/>
        <v>5.7352656960590331E-2</v>
      </c>
      <c r="CN175" s="61">
        <f t="shared" si="97"/>
        <v>4.4964033377150603E-3</v>
      </c>
      <c r="CO175" s="61">
        <f t="shared" si="98"/>
        <v>0.12776086940906195</v>
      </c>
      <c r="CP175" s="61">
        <f t="shared" si="99"/>
        <v>0.11587360091834187</v>
      </c>
      <c r="CQ175" s="61">
        <f t="shared" si="100"/>
        <v>7.7001244326867058E-2</v>
      </c>
      <c r="CR175" s="61">
        <f t="shared" si="101"/>
        <v>6.4827650117866842E-2</v>
      </c>
      <c r="CU175" s="61">
        <f t="shared" si="102"/>
        <v>0.19090173677877509</v>
      </c>
      <c r="CV175" s="61">
        <f t="shared" si="103"/>
        <v>0.16248100461603632</v>
      </c>
      <c r="CW175" s="61">
        <f t="shared" si="104"/>
        <v>0.13208171850594552</v>
      </c>
      <c r="CX175" s="61">
        <f t="shared" si="105"/>
        <v>0.11136837756099971</v>
      </c>
      <c r="CY175" s="61">
        <f t="shared" si="106"/>
        <v>9.3687153742026519E-2</v>
      </c>
    </row>
    <row r="176" spans="1:103">
      <c r="A176" s="204">
        <f t="shared" si="107"/>
        <v>1878</v>
      </c>
      <c r="B176" s="427" t="str">
        <f>IF(AND($A176&gt;=SYear_O,$A176&lt;=EYear_O,B$3&gt;0),IF($A176=SYear_O,B$168*(1+Data_All!B15%),B175*(1+Data_All!B15%)),"")</f>
        <v/>
      </c>
      <c r="C176" s="427" t="str">
        <f>IF(AND($A176&gt;=SYear_O,$A176&lt;=EYear_O,C$3&gt;0),IF($A176=SYear_O,C$168*(1+Data_All!C15%),C175*(1+Data_All!C15%)),"")</f>
        <v/>
      </c>
      <c r="D176" s="427" t="str">
        <f>IF(AND($A176&gt;=SYear_O,$A176&lt;=EYear_O,D$3&gt;0),IF($A176=SYear_O,D$168*(1+Data_All!D15%),D175*(1+Data_All!D15%)),"")</f>
        <v/>
      </c>
      <c r="E176" s="427" t="str">
        <f>IF(AND($A176&gt;=SYear_O,$A176&lt;=EYear_O,E$3&gt;0),IF($A176=SYear_O,E$168*(1+Data_All!E15%),E175*(1+Data_All!E15%)),"")</f>
        <v/>
      </c>
      <c r="F176" s="427" t="str">
        <f>IF(AND($A176&gt;=SYear_O,$A176&lt;=EYear_O,F$3&gt;0),IF($A176=SYear_O,F$168*(1+Data_All!F15%),F175*(1+Data_All!F15%)),"")</f>
        <v/>
      </c>
      <c r="G176" s="427" t="str">
        <f>IF(AND($A176&gt;=SYear_O,$A176&lt;=EYear_O,G$3&gt;0),IF($A176=SYear_O,G$168*(1+Data_All!G15%),G175*(1+Data_All!G15%)),"")</f>
        <v/>
      </c>
      <c r="H176" s="427" t="str">
        <f>IF(AND($A176&gt;=SYear_O,$A176&lt;=EYear_O,H$3&gt;0),IF($A176=SYear_O,H$168*(1+Data_All!H15%),H175*(1+Data_All!H15%)),"")</f>
        <v/>
      </c>
      <c r="I176" s="427" t="str">
        <f>IF(AND($A176&gt;=SYear_O,$A176&lt;=EYear_O,I$3&gt;0),IF($A176=SYear_O,I$168*(1+Data_All!I15%),I175*(1+Data_All!I15%)),"")</f>
        <v/>
      </c>
      <c r="J176" s="427" t="str">
        <f>IF(AND($A176&gt;=SYear_O,$A176&lt;=EYear_O,J$3&gt;0),IF($A176=SYear_O,J$168*(1+Data_All!J15%),J175*(1+Data_All!J15%)),"")</f>
        <v/>
      </c>
      <c r="K176" s="427" t="str">
        <f>IF(AND($A176&gt;=SYear_O,$A176&lt;=EYear_O,K$3&gt;0),IF($A176=SYear_O,K$168*(1+Data_All!K15%),K175*(1+Data_All!K15%)),"")</f>
        <v/>
      </c>
      <c r="L176" s="427" t="str">
        <f>IF(AND($A176&gt;=SYear_O,$A176&lt;=EYear_O,L$3&gt;0),IF($A176=SYear_O,L$168*(1+Data_All!L15%),L175*(1+Data_All!L15%)),"")</f>
        <v/>
      </c>
      <c r="M176" s="427" t="str">
        <f>IF(AND($A176&gt;=SYear_O,$A176&lt;=EYear_O,M$3&gt;0),IF($A176=SYear_O,M$168*(1+Data_All!M15%),M175*(1+Data_All!M15%)),"")</f>
        <v/>
      </c>
      <c r="N176" s="427" t="str">
        <f>IF(AND($A176&gt;=SYear_O,$A176&lt;=EYear_O,N$3&gt;0),IF($A176=SYear_O,N$168*(1+Data_All!N15%),N175*(1+Data_All!N15%)),"")</f>
        <v/>
      </c>
      <c r="O176" s="427" t="str">
        <f>IF(AND($A176&gt;=SYear_O,$A176&lt;=EYear_O,O$3&gt;0),IF($A176=SYear_O,O$168*(1+Data_All!O15%),O175*(1+Data_All!O15%)),"")</f>
        <v/>
      </c>
      <c r="P176" s="427" t="str">
        <f>IF(AND($A176&gt;=SYear_O,$A176&lt;=EYear_O,P$3&gt;0),IF($A176=SYear_O,P$168*(1+Data_All!P15%),P175*(1+Data_All!P15%)),"")</f>
        <v/>
      </c>
      <c r="Q176" s="427" t="str">
        <f>IF(AND($A176&gt;=SYear_O,$A176&lt;=EYear_O,Q$3&gt;0),IF($A176=SYear_O,Q$168*(1+Data_All!Q15%),Q175*(1+Data_All!Q15%)),"")</f>
        <v/>
      </c>
      <c r="R176" s="427" t="str">
        <f>IF(AND($A176&gt;=SYear_O,$A176&lt;=EYear_O,R$3&gt;0),IF($A176=SYear_O,R$168*(1+Data_All!R15%),R175*(1+Data_All!R15%)),"")</f>
        <v/>
      </c>
      <c r="S176" s="427" t="str">
        <f>IF(AND($A176&gt;=SYear_O,$A176&lt;=EYear_O,S$3&gt;0),IF($A176=SYear_O,S$168*(1+Data_All!S15%),S175*(1+Data_All!S15%)),"")</f>
        <v/>
      </c>
      <c r="T176" s="427" t="str">
        <f>IF(AND($A176&gt;=SYear_O,$A176&lt;=EYear_O,T$3&gt;0),IF($A176=SYear_O,T$168*(1+Data_All!T15%),T175*(1+Data_All!T15%)),"")</f>
        <v/>
      </c>
      <c r="U176" s="427" t="str">
        <f>IF(AND($A176&gt;=SYear_O,$A176&lt;=EYear_O,U$3&gt;0),IF($A176=SYear_O,U$168*(1+Data_All!U15%),U175*(1+Data_All!U15%)),"")</f>
        <v/>
      </c>
      <c r="V176" s="427" t="str">
        <f>IF(AND($A176&gt;=SYear_O,$A176&lt;=EYear_O,V$3&gt;0),IF($A176=SYear_O,V$168*(1+Data_All!V15%),V175*(1+Data_All!V15%)),"")</f>
        <v/>
      </c>
      <c r="W176" s="427" t="str">
        <f>IF(AND($A176&gt;=SYear_O,$A176&lt;=EYear_O,W$3&gt;0),IF($A176=SYear_O,W$168*(1+Data_All!W15%),W175*(1+Data_All!W15%)),"")</f>
        <v/>
      </c>
      <c r="X176" s="427" t="str">
        <f>IF(AND($A176&gt;=SYear_O,$A176&lt;=EYear_O,X$3&gt;0),IF($A176=SYear_O,X$168*(1+Data_All!X15%),X175*(1+Data_All!X15%)),"")</f>
        <v/>
      </c>
      <c r="Y176" s="427" t="str">
        <f>IF(AND($A176&gt;=SYear_O,$A176&lt;=EYear_O,Y$3&gt;0),IF($A176=SYear_O,Y$168*(1+Data_All!Y15%),Y175*(1+Data_All!Y15%)),"")</f>
        <v/>
      </c>
      <c r="Z176" s="427" t="str">
        <f>IF(AND($A176&gt;=SYear_O,$A176&lt;=EYear_O,Z$3&gt;0),IF($A176=SYear_O,Z$168*(1+Data_All!Z15%),Z175*(1+Data_All!Z15%)),"")</f>
        <v/>
      </c>
      <c r="AA176" s="427" t="str">
        <f>IF(AND($A176&gt;=SYear_O,$A176&lt;=EYear_O,AA$3&gt;0),IF($A176=SYear_O,AA$168*(1+Data_All!AA15%),AA175*(1+Data_All!AA15%)),"")</f>
        <v/>
      </c>
      <c r="AB176" s="427" t="str">
        <f>IF(AND($A176&gt;=SYear_O,$A176&lt;=EYear_O,AB$3&gt;0),IF($A176=SYear_O,AB$168*(1+Data_All!AB15%),AB175*(1+Data_All!AB15%)),"")</f>
        <v/>
      </c>
      <c r="AC176" s="427" t="str">
        <f>IF(AND($A176&gt;=SYear_O,$A176&lt;=EYear_O,AC$3&gt;0),IF($A176=SYear_O,AC$168*(1+Data_All!AC15%),AC175*(1+Data_All!AC15%)),"")</f>
        <v/>
      </c>
      <c r="AD176" s="427" t="str">
        <f>IF(AND($A176&gt;=SYear_O,$A176&lt;=EYear_O,AD$3&gt;0),IF($A176=SYear_O,AD$168*(1+Data_All!AD15%),AD175*(1+Data_All!AD15%)),"")</f>
        <v/>
      </c>
      <c r="AE176" s="427" t="str">
        <f>IF(AND($A176&gt;=SYear_O,$A176&lt;=EYear_O,AE$3&gt;0),IF($A176=SYear_O,AE$168*(1+Data_All!AE15%),AE175*(1+Data_All!AE15%)),"")</f>
        <v/>
      </c>
      <c r="AF176" s="427" t="str">
        <f>IF(AND($A176&gt;=SYear_O,$A176&lt;=EYear_O,AF$3&gt;0),IF($A176=SYear_O,AF$168*(1+Data_All!AF15%),AF175*(1+Data_All!AF15%)),"")</f>
        <v/>
      </c>
      <c r="AG176" s="427" t="str">
        <f>IF(AND($A176&gt;=SYear_O,$A176&lt;=EYear_O,AG$3&gt;0),IF($A176=SYear_O,AG$168*(1+Data_All!AG15%),AG175*(1+Data_All!AG15%)),"")</f>
        <v/>
      </c>
      <c r="AH176" s="427" t="str">
        <f>IF(AND($A176&gt;=SYear_O,$A176&lt;=EYear_O,AH$3&gt;0),IF($A176=SYear_O,AH$168*(1+Data_All!AH15%),AH175*(1+Data_All!AH15%)),"")</f>
        <v/>
      </c>
      <c r="AI176" s="427" t="str">
        <f>IF(AND($A176&gt;=SYear_O,$A176&lt;=EYear_O,AI$3&gt;0),IF($A176=SYear_O,AI$168*(1+Data_All!AI15%),AI175*(1+Data_All!AI15%)),"")</f>
        <v/>
      </c>
      <c r="AJ176" s="427" t="str">
        <f>IF(AND($A176&gt;=SYear_O,$A176&lt;=EYear_O,AJ$3&gt;0),IF($A176=SYear_O,AJ$168*(1+Data_All!AJ15%),AJ175*(1+Data_All!AJ15%)),"")</f>
        <v/>
      </c>
      <c r="AK176" s="427" t="str">
        <f>IF(AND($A176&gt;=SYear_O,$A176&lt;=EYear_O,AK$3&gt;0),IF($A176=SYear_O,AK$168*(1+Data_All!AK15%),AK175*(1+Data_All!AK15%)),"")</f>
        <v/>
      </c>
      <c r="AL176" s="427" t="str">
        <f>IF(AND($A176&gt;=SYear_O,$A176&lt;=EYear_O,AL$3&gt;0),IF($A176=SYear_O,AL$168*(1+Data_All!AL15%),AL175*(1+Data_All!AL15%)),"")</f>
        <v/>
      </c>
      <c r="AM176" s="427" t="str">
        <f>IF(AND($A176&gt;=SYear_O,$A176&lt;=EYear_O,AM$3&gt;0),IF($A176=SYear_O,AM$168*(1+Data_All!AM15%),AM175*(1+Data_All!AM15%)),"")</f>
        <v/>
      </c>
      <c r="AN176" s="427" t="str">
        <f>IF(AND($A176&gt;=SYear_O,$A176&lt;=EYear_O,AN$3&gt;0),IF($A176=SYear_O,AN$168*(1+Data_All!AN15%),AN175*(1+Data_All!AN15%)),"")</f>
        <v/>
      </c>
      <c r="AO176" s="427" t="str">
        <f>IF(AND($A176&gt;=SYear_O,$A176&lt;=EYear_O,AO$3&gt;0),IF($A176=SYear_O,AO$168*(1+Data_All!AO15%),AO175*(1+Data_All!AO15%)),"")</f>
        <v/>
      </c>
      <c r="AP176" s="427" t="str">
        <f>IF(AND($A176&gt;=SYear_O,$A176&lt;=EYear_O,AP$3&gt;0),IF($A176=SYear_O,AP$168*(1+Data_All!AP15%),AP175*(1+Data_All!AP15%)),"")</f>
        <v/>
      </c>
      <c r="AQ176" s="427" t="str">
        <f>IF(AND($A176&gt;=SYear_O,$A176&lt;=EYear_O,AQ$3&gt;0),IF($A176=SYear_O,AQ$168*(1+Data_All!AQ15%),AQ175*(1+Data_All!AQ15%)),"")</f>
        <v/>
      </c>
      <c r="AR176" s="427" t="str">
        <f>IF(AND($A176&gt;=SYear_O,$A176&lt;=EYear_O,AR$3&gt;0),IF($A176=SYear_O,AR$168*(1+Data_All!AR15%),AR175*(1+Data_All!AR15%)),"")</f>
        <v/>
      </c>
      <c r="AS176" s="427" t="str">
        <f>IF(AND($A176&gt;=SYear_O,$A176&lt;=EYear_O,AS$3&gt;0),IF($A176=SYear_O,AS$168*(1+Data_All!AS15%),AS175*(1+Data_All!AS15%)),"")</f>
        <v/>
      </c>
      <c r="AT176" s="427" t="str">
        <f>IF(AND($A176&gt;=SYear_O,$A176&lt;=EYear_O,AT$3&gt;0),IF($A176=SYear_O,AT$168*(1+Data_All!AT15%),AT175*(1+Data_All!AT15%)),"")</f>
        <v/>
      </c>
      <c r="AU176" s="427" t="str">
        <f>IF(AND($A176&gt;=SYear_O,$A176&lt;=EYear_O,AU$3&gt;0),IF($A176=SYear_O,AU$168*(1+Data_All!AU15%),AU175*(1+Data_All!AU15%)),"")</f>
        <v/>
      </c>
      <c r="AV176" s="427" t="str">
        <f>IF(AND($A176&gt;=SYear_O,$A176&lt;=EYear_O,AV$3&gt;0),IF($A176=SYear_O,AV$168*(1+Data_All!AV15%),AV175*(1+Data_All!AV15%)),"")</f>
        <v/>
      </c>
      <c r="AW176" s="427" t="str">
        <f>IF(AND($A176&gt;=SYear_O,$A176&lt;=EYear_O,AW$3&gt;0),IF($A176=SYear_O,AW$168*(1+Data_All!AW15%),AW175*(1+Data_All!AW15%)),"")</f>
        <v/>
      </c>
      <c r="AX176" s="427" t="str">
        <f>IF(AND($A176&gt;=SYear_O,$A176&lt;=EYear_O,AX$3&gt;0),IF($A176=SYear_O,AX$168*(1+Data_All!AX15%),AX175*(1+Data_All!AX15%)),"")</f>
        <v/>
      </c>
      <c r="AY176" s="427" t="str">
        <f>IF(AND($A176&gt;=SYear_O,$A176&lt;=EYear_O,AY$3&gt;0),IF($A176=SYear_O,AY$168*(1+Data_All!AY15%),AY175*(1+Data_All!AY15%)),"")</f>
        <v/>
      </c>
      <c r="AZ176" s="427" t="str">
        <f>IF(AND($A176&gt;=SYear_O,$A176&lt;=EYear_O,AZ$3&gt;0),IF($A176=SYear_O,AZ$168*(1+Data_All!AZ15%),AZ175*(1+Data_All!AZ15%)),"")</f>
        <v/>
      </c>
      <c r="BA176" s="427" t="str">
        <f>IF(AND($A176&gt;=SYear_O,$A176&lt;=EYear_O,BA$3&gt;0),IF($A176=SYear_O,BA$168*(1+Data_All!BA15%),BA175*(1+Data_All!BA15%)),"")</f>
        <v/>
      </c>
      <c r="BB176" s="427" t="str">
        <f>IF(AND($A176&gt;=SYear_O,$A176&lt;=EYear_O,BB$3&gt;0),IF($A176=SYear_O,BB$168*(1+Data_All!BB15%),BB175*(1+Data_All!BB15%)),"")</f>
        <v/>
      </c>
      <c r="BC176" s="427" t="str">
        <f>IF(AND($A176&gt;=SYear_O,$A176&lt;=EYear_O,BC$3&gt;0),IF($A176=SYear_O,BC$168*(1+Data_All!BC15%),BC175*(1+Data_All!BC15%)),"")</f>
        <v/>
      </c>
      <c r="BD176" s="427" t="str">
        <f>IF(AND($A176&gt;=SYear_O,$A176&lt;=EYear_O,BD$3&gt;0),IF($A176=SYear_O,BD$168*(1+Data_All!BD15%),BD175*(1+Data_All!BD15%)),"")</f>
        <v/>
      </c>
      <c r="BE176" s="427" t="str">
        <f>IF(AND($A176&gt;=SYear_O,$A176&lt;=EYear_O,BE$3&gt;0),IF($A176=SYear_O,BE$168*(1+Data_All!BE15%),BE175*(1+Data_All!BE15%)),"")</f>
        <v/>
      </c>
      <c r="BF176" s="427" t="str">
        <f>IF(AND($A176&gt;=SYear_O,$A176&lt;=EYear_O,BF$3&gt;0),IF($A176=SYear_O,BF$168*(1+Data_All!BF15%),BF175*(1+Data_All!BF15%)),"")</f>
        <v/>
      </c>
      <c r="BG176" s="427" t="str">
        <f>IF(AND($A176&gt;=SYear_O,$A176&lt;=EYear_O,BG$3&gt;0),IF($A176=SYear_O,BG$168*(1+Data_All!BG15%),BG175*(1+Data_All!BG15%)),"")</f>
        <v/>
      </c>
      <c r="BH176" s="427" t="str">
        <f>IF(AND($A176&gt;=SYear_O,$A176&lt;=EYear_O,BH$3&gt;0),IF($A176=SYear_O,BH$168*(1+Data_All!BH15%),BH175*(1+Data_All!BH15%)),"")</f>
        <v/>
      </c>
      <c r="BI176" s="427" t="str">
        <f>IF(AND($A176&gt;=SYear_O,$A176&lt;=EYear_O,BI$3&gt;0),IF($A176=SYear_O,BI$168*(1+Data_All!BI15%),BI175*(1+Data_All!BI15%)),"")</f>
        <v/>
      </c>
      <c r="BJ176" s="427" t="str">
        <f>IF(AND($A176&gt;=SYear_O,$A176&lt;=EYear_O,BJ$3&gt;0),IF($A176=SYear_O,BJ$168*(1+Data_All!BJ15%),BJ175*(1+Data_All!BJ15%)),"")</f>
        <v/>
      </c>
      <c r="BK176" s="427" t="str">
        <f>IF(AND($A176&gt;=SYear_O,$A176&lt;=EYear_O,BK$3&gt;0),IF($A176=SYear_O,BK$168*(1+Data_All!BK15%),BK175*(1+Data_All!BK15%)),"")</f>
        <v/>
      </c>
      <c r="BL176" s="427" t="str">
        <f>IF(AND($A176&gt;=SYear_O,$A176&lt;=EYear_O,BL$3&gt;0),IF($A176=SYear_O,BL$168*(1+Data_All!BL15%),BL175*(1+Data_All!BL15%)),"")</f>
        <v/>
      </c>
      <c r="BM176" s="427" t="str">
        <f>IF(AND($A176&gt;=SYear_O,$A176&lt;=EYear_O,BM$3&gt;0),IF($A176=SYear_O,BM$168*(1+Data_All!BM15%),BM175*(1+Data_All!BM15%)),"")</f>
        <v/>
      </c>
      <c r="BN176" s="427" t="str">
        <f>IF(AND($A176&gt;=SYear_O,$A176&lt;=EYear_O,BN$3&gt;0),IF($A176=SYear_O,BN$168*(1+Data_All!BN15%),BN175*(1+Data_All!BN15%)),"")</f>
        <v/>
      </c>
      <c r="BO176" s="427" t="str">
        <f>IF(AND($A176&gt;=SYear_O,$A176&lt;=EYear_O,BO$3&gt;0),IF($A176=SYear_O,BO$168*(1+Data_All!BO15%),BO175*(1+Data_All!BO15%)),"")</f>
        <v/>
      </c>
      <c r="BP176" s="427" t="str">
        <f>IF(AND($A176&gt;=SYear_O,$A176&lt;=EYear_O,BP$3&gt;0),IF($A176=SYear_O,BP$168*(1+Data_All!BP15%),BP175*(1+Data_All!BP15%)),"")</f>
        <v/>
      </c>
      <c r="BQ176" s="427" t="str">
        <f>IF(AND($A176&gt;=SYear_O,$A176&lt;=EYear_O,BQ$3&gt;0),IF($A176=SYear_O,BQ$168*(1+Data_All!BQ15%),BQ175*(1+Data_All!BQ15%)),"")</f>
        <v/>
      </c>
      <c r="BR176" s="427" t="str">
        <f>IF(AND($A176&gt;=SYear_O,$A176&lt;=EYear_O,BR$3&gt;0),IF($A176=SYear_O,BR$168*(1+Data_All!BR15%),BR175*(1+Data_All!BR15%)),"")</f>
        <v/>
      </c>
      <c r="BS176" s="427" t="str">
        <f>IF(AND($A176&gt;=SYear_O,$A176&lt;=EYear_O,BS$3&gt;0),IF($A176=SYear_O,BS$168*(1+Data_All!BS15%),BS175*(1+Data_All!BS15%)),"")</f>
        <v/>
      </c>
      <c r="BT176" s="427" t="str">
        <f>IF(AND($A176&gt;=SYear_O,$A176&lt;=EYear_O,BT$3&gt;0),IF($A176=SYear_O,BT$168*(1+Data_All!BT15%),BT175*(1+Data_All!BT15%)),"")</f>
        <v/>
      </c>
      <c r="BU176" s="427" t="str">
        <f>IF(AND($A176&gt;=SYear_O,$A176&lt;=EYear_O,BU$3&gt;0),IF($A176=SYear_O,BU$168*(1+Data_All!BU15%),BU175*(1+Data_All!BU15%)),"")</f>
        <v/>
      </c>
      <c r="BV176" s="427" t="str">
        <f>IF(AND($A176&gt;=SYear_O,$A176&lt;=EYear_O,BV$3&gt;0),IF($A176=SYear_O,BV$168*(1+Data_All!BV15%),BV175*(1+Data_All!BV15%)),"")</f>
        <v/>
      </c>
      <c r="BW176" s="427" t="str">
        <f>IF(AND($A176&gt;=SYear_O,$A176&lt;=EYear_O,BW$3&gt;0),IF($A176=SYear_O,BW$168*(1+Data_All!BW15%),BW175*(1+Data_All!BW15%)),"")</f>
        <v/>
      </c>
      <c r="BX176" s="427">
        <f>IF(AND($A176&gt;=SYear_O,$A176&lt;=EYear_O,BX$3&gt;0),IF($A176=SYear_O,BX$168*(1+Data_All!BX15%),BX175*(1+Data_All!BX15%)),"")</f>
        <v>7975.0510404114111</v>
      </c>
      <c r="BY176" s="427">
        <f>IF(AND($A176&gt;=SYear_O,$A176&lt;=EYear_O,BY$3&gt;0),IF($A176=SYear_O,BY$168*(1+Data_All!BY15%),BY175*(1+Data_All!BY15%)),"")</f>
        <v>6258.4126463991115</v>
      </c>
      <c r="BZ176" s="427" t="str">
        <f>IF(AND($A176&gt;=SYear_O,$A176&lt;=EYear_O,BZ$3&gt;0),IF($A176=SYear_O,BZ$168*(1+Data_All!BZ15%),BZ175*(1+Data_All!BZ15%)),"")</f>
        <v/>
      </c>
      <c r="CA176" s="565">
        <f t="shared" si="92"/>
        <v>11.111208744114196</v>
      </c>
      <c r="CB176" s="427">
        <f t="shared" si="93"/>
        <v>14233.463686810523</v>
      </c>
      <c r="CC176" s="565">
        <f>IF(AND($A176&gt;=SYear_O,$A176&lt;=EYear_O),(CA176-Data_All!CA15)/(1+Data_All!CA15%),"")</f>
        <v>23.881975921726141</v>
      </c>
      <c r="CD176" s="436">
        <f t="shared" si="94"/>
        <v>21431.944051479648</v>
      </c>
      <c r="CE176" s="438">
        <f t="shared" si="95"/>
        <v>1.2909643214067865</v>
      </c>
      <c r="CF176" s="438">
        <f>IF(AND($A176&gt;=SYear_O,$A176&lt;=EYear_O),MAX($CE$169:CE176),"")</f>
        <v>1.2909643214067865</v>
      </c>
      <c r="CG176" s="209">
        <f t="shared" si="96"/>
        <v>0</v>
      </c>
      <c r="CN176" s="61">
        <f t="shared" si="97"/>
        <v>0.11111208744114198</v>
      </c>
      <c r="CO176" s="61">
        <f t="shared" si="98"/>
        <v>0.19280473295215472</v>
      </c>
      <c r="CP176" s="61">
        <f t="shared" si="99"/>
        <v>0.12248898830545696</v>
      </c>
      <c r="CQ176" s="61">
        <f t="shared" si="100"/>
        <v>7.7836769064693723E-2</v>
      </c>
      <c r="CR176" s="61">
        <f t="shared" si="101"/>
        <v>6.6497288653009745E-2</v>
      </c>
      <c r="CU176" s="61">
        <f t="shared" si="102"/>
        <v>0.2388197592172614</v>
      </c>
      <c r="CV176" s="61">
        <f t="shared" si="103"/>
        <v>0.1847159956004869</v>
      </c>
      <c r="CW176" s="61">
        <f t="shared" si="104"/>
        <v>0.10483617805353473</v>
      </c>
      <c r="CX176" s="61">
        <f t="shared" si="105"/>
        <v>8.8382566386156158E-2</v>
      </c>
      <c r="CY176" s="61">
        <f t="shared" si="106"/>
        <v>7.7637102958994841E-2</v>
      </c>
    </row>
    <row r="177" spans="1:103">
      <c r="A177" s="204">
        <f t="shared" si="107"/>
        <v>1879</v>
      </c>
      <c r="B177" s="427" t="str">
        <f>IF(AND($A177&gt;=SYear_O,$A177&lt;=EYear_O,B$3&gt;0),IF($A177=SYear_O,B$168*(1+Data_All!B16%),B176*(1+Data_All!B16%)),"")</f>
        <v/>
      </c>
      <c r="C177" s="427" t="str">
        <f>IF(AND($A177&gt;=SYear_O,$A177&lt;=EYear_O,C$3&gt;0),IF($A177=SYear_O,C$168*(1+Data_All!C16%),C176*(1+Data_All!C16%)),"")</f>
        <v/>
      </c>
      <c r="D177" s="427" t="str">
        <f>IF(AND($A177&gt;=SYear_O,$A177&lt;=EYear_O,D$3&gt;0),IF($A177=SYear_O,D$168*(1+Data_All!D16%),D176*(1+Data_All!D16%)),"")</f>
        <v/>
      </c>
      <c r="E177" s="427" t="str">
        <f>IF(AND($A177&gt;=SYear_O,$A177&lt;=EYear_O,E$3&gt;0),IF($A177=SYear_O,E$168*(1+Data_All!E16%),E176*(1+Data_All!E16%)),"")</f>
        <v/>
      </c>
      <c r="F177" s="427" t="str">
        <f>IF(AND($A177&gt;=SYear_O,$A177&lt;=EYear_O,F$3&gt;0),IF($A177=SYear_O,F$168*(1+Data_All!F16%),F176*(1+Data_All!F16%)),"")</f>
        <v/>
      </c>
      <c r="G177" s="427" t="str">
        <f>IF(AND($A177&gt;=SYear_O,$A177&lt;=EYear_O,G$3&gt;0),IF($A177=SYear_O,G$168*(1+Data_All!G16%),G176*(1+Data_All!G16%)),"")</f>
        <v/>
      </c>
      <c r="H177" s="427" t="str">
        <f>IF(AND($A177&gt;=SYear_O,$A177&lt;=EYear_O,H$3&gt;0),IF($A177=SYear_O,H$168*(1+Data_All!H16%),H176*(1+Data_All!H16%)),"")</f>
        <v/>
      </c>
      <c r="I177" s="427" t="str">
        <f>IF(AND($A177&gt;=SYear_O,$A177&lt;=EYear_O,I$3&gt;0),IF($A177=SYear_O,I$168*(1+Data_All!I16%),I176*(1+Data_All!I16%)),"")</f>
        <v/>
      </c>
      <c r="J177" s="427" t="str">
        <f>IF(AND($A177&gt;=SYear_O,$A177&lt;=EYear_O,J$3&gt;0),IF($A177=SYear_O,J$168*(1+Data_All!J16%),J176*(1+Data_All!J16%)),"")</f>
        <v/>
      </c>
      <c r="K177" s="427" t="str">
        <f>IF(AND($A177&gt;=SYear_O,$A177&lt;=EYear_O,K$3&gt;0),IF($A177=SYear_O,K$168*(1+Data_All!K16%),K176*(1+Data_All!K16%)),"")</f>
        <v/>
      </c>
      <c r="L177" s="427" t="str">
        <f>IF(AND($A177&gt;=SYear_O,$A177&lt;=EYear_O,L$3&gt;0),IF($A177=SYear_O,L$168*(1+Data_All!L16%),L176*(1+Data_All!L16%)),"")</f>
        <v/>
      </c>
      <c r="M177" s="427" t="str">
        <f>IF(AND($A177&gt;=SYear_O,$A177&lt;=EYear_O,M$3&gt;0),IF($A177=SYear_O,M$168*(1+Data_All!M16%),M176*(1+Data_All!M16%)),"")</f>
        <v/>
      </c>
      <c r="N177" s="427" t="str">
        <f>IF(AND($A177&gt;=SYear_O,$A177&lt;=EYear_O,N$3&gt;0),IF($A177=SYear_O,N$168*(1+Data_All!N16%),N176*(1+Data_All!N16%)),"")</f>
        <v/>
      </c>
      <c r="O177" s="427" t="str">
        <f>IF(AND($A177&gt;=SYear_O,$A177&lt;=EYear_O,O$3&gt;0),IF($A177=SYear_O,O$168*(1+Data_All!O16%),O176*(1+Data_All!O16%)),"")</f>
        <v/>
      </c>
      <c r="P177" s="427" t="str">
        <f>IF(AND($A177&gt;=SYear_O,$A177&lt;=EYear_O,P$3&gt;0),IF($A177=SYear_O,P$168*(1+Data_All!P16%),P176*(1+Data_All!P16%)),"")</f>
        <v/>
      </c>
      <c r="Q177" s="427" t="str">
        <f>IF(AND($A177&gt;=SYear_O,$A177&lt;=EYear_O,Q$3&gt;0),IF($A177=SYear_O,Q$168*(1+Data_All!Q16%),Q176*(1+Data_All!Q16%)),"")</f>
        <v/>
      </c>
      <c r="R177" s="427" t="str">
        <f>IF(AND($A177&gt;=SYear_O,$A177&lt;=EYear_O,R$3&gt;0),IF($A177=SYear_O,R$168*(1+Data_All!R16%),R176*(1+Data_All!R16%)),"")</f>
        <v/>
      </c>
      <c r="S177" s="427" t="str">
        <f>IF(AND($A177&gt;=SYear_O,$A177&lt;=EYear_O,S$3&gt;0),IF($A177=SYear_O,S$168*(1+Data_All!S16%),S176*(1+Data_All!S16%)),"")</f>
        <v/>
      </c>
      <c r="T177" s="427" t="str">
        <f>IF(AND($A177&gt;=SYear_O,$A177&lt;=EYear_O,T$3&gt;0),IF($A177=SYear_O,T$168*(1+Data_All!T16%),T176*(1+Data_All!T16%)),"")</f>
        <v/>
      </c>
      <c r="U177" s="427" t="str">
        <f>IF(AND($A177&gt;=SYear_O,$A177&lt;=EYear_O,U$3&gt;0),IF($A177=SYear_O,U$168*(1+Data_All!U16%),U176*(1+Data_All!U16%)),"")</f>
        <v/>
      </c>
      <c r="V177" s="427" t="str">
        <f>IF(AND($A177&gt;=SYear_O,$A177&lt;=EYear_O,V$3&gt;0),IF($A177=SYear_O,V$168*(1+Data_All!V16%),V176*(1+Data_All!V16%)),"")</f>
        <v/>
      </c>
      <c r="W177" s="427" t="str">
        <f>IF(AND($A177&gt;=SYear_O,$A177&lt;=EYear_O,W$3&gt;0),IF($A177=SYear_O,W$168*(1+Data_All!W16%),W176*(1+Data_All!W16%)),"")</f>
        <v/>
      </c>
      <c r="X177" s="427" t="str">
        <f>IF(AND($A177&gt;=SYear_O,$A177&lt;=EYear_O,X$3&gt;0),IF($A177=SYear_O,X$168*(1+Data_All!X16%),X176*(1+Data_All!X16%)),"")</f>
        <v/>
      </c>
      <c r="Y177" s="427" t="str">
        <f>IF(AND($A177&gt;=SYear_O,$A177&lt;=EYear_O,Y$3&gt;0),IF($A177=SYear_O,Y$168*(1+Data_All!Y16%),Y176*(1+Data_All!Y16%)),"")</f>
        <v/>
      </c>
      <c r="Z177" s="427" t="str">
        <f>IF(AND($A177&gt;=SYear_O,$A177&lt;=EYear_O,Z$3&gt;0),IF($A177=SYear_O,Z$168*(1+Data_All!Z16%),Z176*(1+Data_All!Z16%)),"")</f>
        <v/>
      </c>
      <c r="AA177" s="427" t="str">
        <f>IF(AND($A177&gt;=SYear_O,$A177&lt;=EYear_O,AA$3&gt;0),IF($A177=SYear_O,AA$168*(1+Data_All!AA16%),AA176*(1+Data_All!AA16%)),"")</f>
        <v/>
      </c>
      <c r="AB177" s="427" t="str">
        <f>IF(AND($A177&gt;=SYear_O,$A177&lt;=EYear_O,AB$3&gt;0),IF($A177=SYear_O,AB$168*(1+Data_All!AB16%),AB176*(1+Data_All!AB16%)),"")</f>
        <v/>
      </c>
      <c r="AC177" s="427" t="str">
        <f>IF(AND($A177&gt;=SYear_O,$A177&lt;=EYear_O,AC$3&gt;0),IF($A177=SYear_O,AC$168*(1+Data_All!AC16%),AC176*(1+Data_All!AC16%)),"")</f>
        <v/>
      </c>
      <c r="AD177" s="427" t="str">
        <f>IF(AND($A177&gt;=SYear_O,$A177&lt;=EYear_O,AD$3&gt;0),IF($A177=SYear_O,AD$168*(1+Data_All!AD16%),AD176*(1+Data_All!AD16%)),"")</f>
        <v/>
      </c>
      <c r="AE177" s="427" t="str">
        <f>IF(AND($A177&gt;=SYear_O,$A177&lt;=EYear_O,AE$3&gt;0),IF($A177=SYear_O,AE$168*(1+Data_All!AE16%),AE176*(1+Data_All!AE16%)),"")</f>
        <v/>
      </c>
      <c r="AF177" s="427" t="str">
        <f>IF(AND($A177&gt;=SYear_O,$A177&lt;=EYear_O,AF$3&gt;0),IF($A177=SYear_O,AF$168*(1+Data_All!AF16%),AF176*(1+Data_All!AF16%)),"")</f>
        <v/>
      </c>
      <c r="AG177" s="427" t="str">
        <f>IF(AND($A177&gt;=SYear_O,$A177&lt;=EYear_O,AG$3&gt;0),IF($A177=SYear_O,AG$168*(1+Data_All!AG16%),AG176*(1+Data_All!AG16%)),"")</f>
        <v/>
      </c>
      <c r="AH177" s="427" t="str">
        <f>IF(AND($A177&gt;=SYear_O,$A177&lt;=EYear_O,AH$3&gt;0),IF($A177=SYear_O,AH$168*(1+Data_All!AH16%),AH176*(1+Data_All!AH16%)),"")</f>
        <v/>
      </c>
      <c r="AI177" s="427" t="str">
        <f>IF(AND($A177&gt;=SYear_O,$A177&lt;=EYear_O,AI$3&gt;0),IF($A177=SYear_O,AI$168*(1+Data_All!AI16%),AI176*(1+Data_All!AI16%)),"")</f>
        <v/>
      </c>
      <c r="AJ177" s="427" t="str">
        <f>IF(AND($A177&gt;=SYear_O,$A177&lt;=EYear_O,AJ$3&gt;0),IF($A177=SYear_O,AJ$168*(1+Data_All!AJ16%),AJ176*(1+Data_All!AJ16%)),"")</f>
        <v/>
      </c>
      <c r="AK177" s="427" t="str">
        <f>IF(AND($A177&gt;=SYear_O,$A177&lt;=EYear_O,AK$3&gt;0),IF($A177=SYear_O,AK$168*(1+Data_All!AK16%),AK176*(1+Data_All!AK16%)),"")</f>
        <v/>
      </c>
      <c r="AL177" s="427" t="str">
        <f>IF(AND($A177&gt;=SYear_O,$A177&lt;=EYear_O,AL$3&gt;0),IF($A177=SYear_O,AL$168*(1+Data_All!AL16%),AL176*(1+Data_All!AL16%)),"")</f>
        <v/>
      </c>
      <c r="AM177" s="427" t="str">
        <f>IF(AND($A177&gt;=SYear_O,$A177&lt;=EYear_O,AM$3&gt;0),IF($A177=SYear_O,AM$168*(1+Data_All!AM16%),AM176*(1+Data_All!AM16%)),"")</f>
        <v/>
      </c>
      <c r="AN177" s="427" t="str">
        <f>IF(AND($A177&gt;=SYear_O,$A177&lt;=EYear_O,AN$3&gt;0),IF($A177=SYear_O,AN$168*(1+Data_All!AN16%),AN176*(1+Data_All!AN16%)),"")</f>
        <v/>
      </c>
      <c r="AO177" s="427" t="str">
        <f>IF(AND($A177&gt;=SYear_O,$A177&lt;=EYear_O,AO$3&gt;0),IF($A177=SYear_O,AO$168*(1+Data_All!AO16%),AO176*(1+Data_All!AO16%)),"")</f>
        <v/>
      </c>
      <c r="AP177" s="427" t="str">
        <f>IF(AND($A177&gt;=SYear_O,$A177&lt;=EYear_O,AP$3&gt;0),IF($A177=SYear_O,AP$168*(1+Data_All!AP16%),AP176*(1+Data_All!AP16%)),"")</f>
        <v/>
      </c>
      <c r="AQ177" s="427" t="str">
        <f>IF(AND($A177&gt;=SYear_O,$A177&lt;=EYear_O,AQ$3&gt;0),IF($A177=SYear_O,AQ$168*(1+Data_All!AQ16%),AQ176*(1+Data_All!AQ16%)),"")</f>
        <v/>
      </c>
      <c r="AR177" s="427" t="str">
        <f>IF(AND($A177&gt;=SYear_O,$A177&lt;=EYear_O,AR$3&gt;0),IF($A177=SYear_O,AR$168*(1+Data_All!AR16%),AR176*(1+Data_All!AR16%)),"")</f>
        <v/>
      </c>
      <c r="AS177" s="427" t="str">
        <f>IF(AND($A177&gt;=SYear_O,$A177&lt;=EYear_O,AS$3&gt;0),IF($A177=SYear_O,AS$168*(1+Data_All!AS16%),AS176*(1+Data_All!AS16%)),"")</f>
        <v/>
      </c>
      <c r="AT177" s="427" t="str">
        <f>IF(AND($A177&gt;=SYear_O,$A177&lt;=EYear_O,AT$3&gt;0),IF($A177=SYear_O,AT$168*(1+Data_All!AT16%),AT176*(1+Data_All!AT16%)),"")</f>
        <v/>
      </c>
      <c r="AU177" s="427" t="str">
        <f>IF(AND($A177&gt;=SYear_O,$A177&lt;=EYear_O,AU$3&gt;0),IF($A177=SYear_O,AU$168*(1+Data_All!AU16%),AU176*(1+Data_All!AU16%)),"")</f>
        <v/>
      </c>
      <c r="AV177" s="427" t="str">
        <f>IF(AND($A177&gt;=SYear_O,$A177&lt;=EYear_O,AV$3&gt;0),IF($A177=SYear_O,AV$168*(1+Data_All!AV16%),AV176*(1+Data_All!AV16%)),"")</f>
        <v/>
      </c>
      <c r="AW177" s="427" t="str">
        <f>IF(AND($A177&gt;=SYear_O,$A177&lt;=EYear_O,AW$3&gt;0),IF($A177=SYear_O,AW$168*(1+Data_All!AW16%),AW176*(1+Data_All!AW16%)),"")</f>
        <v/>
      </c>
      <c r="AX177" s="427" t="str">
        <f>IF(AND($A177&gt;=SYear_O,$A177&lt;=EYear_O,AX$3&gt;0),IF($A177=SYear_O,AX$168*(1+Data_All!AX16%),AX176*(1+Data_All!AX16%)),"")</f>
        <v/>
      </c>
      <c r="AY177" s="427" t="str">
        <f>IF(AND($A177&gt;=SYear_O,$A177&lt;=EYear_O,AY$3&gt;0),IF($A177=SYear_O,AY$168*(1+Data_All!AY16%),AY176*(1+Data_All!AY16%)),"")</f>
        <v/>
      </c>
      <c r="AZ177" s="427" t="str">
        <f>IF(AND($A177&gt;=SYear_O,$A177&lt;=EYear_O,AZ$3&gt;0),IF($A177=SYear_O,AZ$168*(1+Data_All!AZ16%),AZ176*(1+Data_All!AZ16%)),"")</f>
        <v/>
      </c>
      <c r="BA177" s="427" t="str">
        <f>IF(AND($A177&gt;=SYear_O,$A177&lt;=EYear_O,BA$3&gt;0),IF($A177=SYear_O,BA$168*(1+Data_All!BA16%),BA176*(1+Data_All!BA16%)),"")</f>
        <v/>
      </c>
      <c r="BB177" s="427" t="str">
        <f>IF(AND($A177&gt;=SYear_O,$A177&lt;=EYear_O,BB$3&gt;0),IF($A177=SYear_O,BB$168*(1+Data_All!BB16%),BB176*(1+Data_All!BB16%)),"")</f>
        <v/>
      </c>
      <c r="BC177" s="427" t="str">
        <f>IF(AND($A177&gt;=SYear_O,$A177&lt;=EYear_O,BC$3&gt;0),IF($A177=SYear_O,BC$168*(1+Data_All!BC16%),BC176*(1+Data_All!BC16%)),"")</f>
        <v/>
      </c>
      <c r="BD177" s="427" t="str">
        <f>IF(AND($A177&gt;=SYear_O,$A177&lt;=EYear_O,BD$3&gt;0),IF($A177=SYear_O,BD$168*(1+Data_All!BD16%),BD176*(1+Data_All!BD16%)),"")</f>
        <v/>
      </c>
      <c r="BE177" s="427" t="str">
        <f>IF(AND($A177&gt;=SYear_O,$A177&lt;=EYear_O,BE$3&gt;0),IF($A177=SYear_O,BE$168*(1+Data_All!BE16%),BE176*(1+Data_All!BE16%)),"")</f>
        <v/>
      </c>
      <c r="BF177" s="427" t="str">
        <f>IF(AND($A177&gt;=SYear_O,$A177&lt;=EYear_O,BF$3&gt;0),IF($A177=SYear_O,BF$168*(1+Data_All!BF16%),BF176*(1+Data_All!BF16%)),"")</f>
        <v/>
      </c>
      <c r="BG177" s="427" t="str">
        <f>IF(AND($A177&gt;=SYear_O,$A177&lt;=EYear_O,BG$3&gt;0),IF($A177=SYear_O,BG$168*(1+Data_All!BG16%),BG176*(1+Data_All!BG16%)),"")</f>
        <v/>
      </c>
      <c r="BH177" s="427" t="str">
        <f>IF(AND($A177&gt;=SYear_O,$A177&lt;=EYear_O,BH$3&gt;0),IF($A177=SYear_O,BH$168*(1+Data_All!BH16%),BH176*(1+Data_All!BH16%)),"")</f>
        <v/>
      </c>
      <c r="BI177" s="427" t="str">
        <f>IF(AND($A177&gt;=SYear_O,$A177&lt;=EYear_O,BI$3&gt;0),IF($A177=SYear_O,BI$168*(1+Data_All!BI16%),BI176*(1+Data_All!BI16%)),"")</f>
        <v/>
      </c>
      <c r="BJ177" s="427" t="str">
        <f>IF(AND($A177&gt;=SYear_O,$A177&lt;=EYear_O,BJ$3&gt;0),IF($A177=SYear_O,BJ$168*(1+Data_All!BJ16%),BJ176*(1+Data_All!BJ16%)),"")</f>
        <v/>
      </c>
      <c r="BK177" s="427" t="str">
        <f>IF(AND($A177&gt;=SYear_O,$A177&lt;=EYear_O,BK$3&gt;0),IF($A177=SYear_O,BK$168*(1+Data_All!BK16%),BK176*(1+Data_All!BK16%)),"")</f>
        <v/>
      </c>
      <c r="BL177" s="427" t="str">
        <f>IF(AND($A177&gt;=SYear_O,$A177&lt;=EYear_O,BL$3&gt;0),IF($A177=SYear_O,BL$168*(1+Data_All!BL16%),BL176*(1+Data_All!BL16%)),"")</f>
        <v/>
      </c>
      <c r="BM177" s="427" t="str">
        <f>IF(AND($A177&gt;=SYear_O,$A177&lt;=EYear_O,BM$3&gt;0),IF($A177=SYear_O,BM$168*(1+Data_All!BM16%),BM176*(1+Data_All!BM16%)),"")</f>
        <v/>
      </c>
      <c r="BN177" s="427" t="str">
        <f>IF(AND($A177&gt;=SYear_O,$A177&lt;=EYear_O,BN$3&gt;0),IF($A177=SYear_O,BN$168*(1+Data_All!BN16%),BN176*(1+Data_All!BN16%)),"")</f>
        <v/>
      </c>
      <c r="BO177" s="427" t="str">
        <f>IF(AND($A177&gt;=SYear_O,$A177&lt;=EYear_O,BO$3&gt;0),IF($A177=SYear_O,BO$168*(1+Data_All!BO16%),BO176*(1+Data_All!BO16%)),"")</f>
        <v/>
      </c>
      <c r="BP177" s="427" t="str">
        <f>IF(AND($A177&gt;=SYear_O,$A177&lt;=EYear_O,BP$3&gt;0),IF($A177=SYear_O,BP$168*(1+Data_All!BP16%),BP176*(1+Data_All!BP16%)),"")</f>
        <v/>
      </c>
      <c r="BQ177" s="427" t="str">
        <f>IF(AND($A177&gt;=SYear_O,$A177&lt;=EYear_O,BQ$3&gt;0),IF($A177=SYear_O,BQ$168*(1+Data_All!BQ16%),BQ176*(1+Data_All!BQ16%)),"")</f>
        <v/>
      </c>
      <c r="BR177" s="427" t="str">
        <f>IF(AND($A177&gt;=SYear_O,$A177&lt;=EYear_O,BR$3&gt;0),IF($A177=SYear_O,BR$168*(1+Data_All!BR16%),BR176*(1+Data_All!BR16%)),"")</f>
        <v/>
      </c>
      <c r="BS177" s="427" t="str">
        <f>IF(AND($A177&gt;=SYear_O,$A177&lt;=EYear_O,BS$3&gt;0),IF($A177=SYear_O,BS$168*(1+Data_All!BS16%),BS176*(1+Data_All!BS16%)),"")</f>
        <v/>
      </c>
      <c r="BT177" s="427" t="str">
        <f>IF(AND($A177&gt;=SYear_O,$A177&lt;=EYear_O,BT$3&gt;0),IF($A177=SYear_O,BT$168*(1+Data_All!BT16%),BT176*(1+Data_All!BT16%)),"")</f>
        <v/>
      </c>
      <c r="BU177" s="427" t="str">
        <f>IF(AND($A177&gt;=SYear_O,$A177&lt;=EYear_O,BU$3&gt;0),IF($A177=SYear_O,BU$168*(1+Data_All!BU16%),BU176*(1+Data_All!BU16%)),"")</f>
        <v/>
      </c>
      <c r="BV177" s="427" t="str">
        <f>IF(AND($A177&gt;=SYear_O,$A177&lt;=EYear_O,BV$3&gt;0),IF($A177=SYear_O,BV$168*(1+Data_All!BV16%),BV176*(1+Data_All!BV16%)),"")</f>
        <v/>
      </c>
      <c r="BW177" s="427" t="str">
        <f>IF(AND($A177&gt;=SYear_O,$A177&lt;=EYear_O,BW$3&gt;0),IF($A177=SYear_O,BW$168*(1+Data_All!BW16%),BW176*(1+Data_All!BW16%)),"")</f>
        <v/>
      </c>
      <c r="BX177" s="427">
        <f>IF(AND($A177&gt;=SYear_O,$A177&lt;=EYear_O,BX$3&gt;0),IF($A177=SYear_O,BX$168*(1+Data_All!BX16%),BX176*(1+Data_All!BX16%)),"")</f>
        <v>11828.916487314133</v>
      </c>
      <c r="BY177" s="427">
        <f>IF(AND($A177&gt;=SYear_O,$A177&lt;=EYear_O,BY$3&gt;0),IF($A177=SYear_O,BY$168*(1+Data_All!BY16%),BY176*(1+Data_All!BY16%)),"")</f>
        <v>6462.8397033976016</v>
      </c>
      <c r="BZ177" s="427" t="str">
        <f>IF(AND($A177&gt;=SYear_O,$A177&lt;=EYear_O,BZ$3&gt;0),IF($A177=SYear_O,BZ$168*(1+Data_All!BZ16%),BZ176*(1+Data_All!BZ16%)),"")</f>
        <v/>
      </c>
      <c r="CA177" s="565">
        <f t="shared" si="92"/>
        <v>28.512332579046369</v>
      </c>
      <c r="CB177" s="427">
        <f t="shared" si="93"/>
        <v>18291.756190711734</v>
      </c>
      <c r="CC177" s="565">
        <f>IF(AND($A177&gt;=SYear_O,$A177&lt;=EYear_O),(CA177-Data_All!CA16)/(1+Data_All!CA16%),"")</f>
        <v>6.4813485936378976</v>
      </c>
      <c r="CD177" s="436">
        <f t="shared" si="94"/>
        <v>22821.023055849484</v>
      </c>
      <c r="CE177" s="438">
        <f t="shared" si="95"/>
        <v>1.6590483622031187</v>
      </c>
      <c r="CF177" s="438">
        <f>IF(AND($A177&gt;=SYear_O,$A177&lt;=EYear_O),MAX($CE$169:CE177),"")</f>
        <v>1.6590483622031187</v>
      </c>
      <c r="CG177" s="209">
        <f t="shared" si="96"/>
        <v>0</v>
      </c>
      <c r="CN177" s="61">
        <f t="shared" si="97"/>
        <v>0.28512332579046373</v>
      </c>
      <c r="CO177" s="61">
        <f t="shared" si="98"/>
        <v>0.15732744643063401</v>
      </c>
      <c r="CP177" s="61">
        <f t="shared" si="99"/>
        <v>9.3343654269962606E-2</v>
      </c>
      <c r="CQ177" s="61">
        <f t="shared" si="100"/>
        <v>7.028997784801172E-2</v>
      </c>
      <c r="CR177" s="61">
        <f t="shared" si="101"/>
        <v>5.1988962690431517E-2</v>
      </c>
      <c r="CU177" s="61">
        <f t="shared" si="102"/>
        <v>6.4813485936378923E-2</v>
      </c>
      <c r="CV177" s="61">
        <f t="shared" si="103"/>
        <v>8.0193628411526552E-2</v>
      </c>
      <c r="CW177" s="61">
        <f t="shared" si="104"/>
        <v>6.9809963590946378E-2</v>
      </c>
      <c r="CX177" s="61">
        <f t="shared" si="105"/>
        <v>7.4052498287795698E-2</v>
      </c>
      <c r="CY177" s="61">
        <f t="shared" si="106"/>
        <v>6.5345170452052903E-2</v>
      </c>
    </row>
    <row r="178" spans="1:103">
      <c r="A178" s="204">
        <f t="shared" si="107"/>
        <v>1880</v>
      </c>
      <c r="B178" s="427" t="str">
        <f>IF(AND($A178&gt;=SYear_O,$A178&lt;=EYear_O,B$3&gt;0),IF($A178=SYear_O,B$168*(1+Data_All!B17%),B177*(1+Data_All!B17%)),"")</f>
        <v/>
      </c>
      <c r="C178" s="427" t="str">
        <f>IF(AND($A178&gt;=SYear_O,$A178&lt;=EYear_O,C$3&gt;0),IF($A178=SYear_O,C$168*(1+Data_All!C17%),C177*(1+Data_All!C17%)),"")</f>
        <v/>
      </c>
      <c r="D178" s="427" t="str">
        <f>IF(AND($A178&gt;=SYear_O,$A178&lt;=EYear_O,D$3&gt;0),IF($A178=SYear_O,D$168*(1+Data_All!D17%),D177*(1+Data_All!D17%)),"")</f>
        <v/>
      </c>
      <c r="E178" s="427" t="str">
        <f>IF(AND($A178&gt;=SYear_O,$A178&lt;=EYear_O,E$3&gt;0),IF($A178=SYear_O,E$168*(1+Data_All!E17%),E177*(1+Data_All!E17%)),"")</f>
        <v/>
      </c>
      <c r="F178" s="427" t="str">
        <f>IF(AND($A178&gt;=SYear_O,$A178&lt;=EYear_O,F$3&gt;0),IF($A178=SYear_O,F$168*(1+Data_All!F17%),F177*(1+Data_All!F17%)),"")</f>
        <v/>
      </c>
      <c r="G178" s="427" t="str">
        <f>IF(AND($A178&gt;=SYear_O,$A178&lt;=EYear_O,G$3&gt;0),IF($A178=SYear_O,G$168*(1+Data_All!G17%),G177*(1+Data_All!G17%)),"")</f>
        <v/>
      </c>
      <c r="H178" s="427" t="str">
        <f>IF(AND($A178&gt;=SYear_O,$A178&lt;=EYear_O,H$3&gt;0),IF($A178=SYear_O,H$168*(1+Data_All!H17%),H177*(1+Data_All!H17%)),"")</f>
        <v/>
      </c>
      <c r="I178" s="427" t="str">
        <f>IF(AND($A178&gt;=SYear_O,$A178&lt;=EYear_O,I$3&gt;0),IF($A178=SYear_O,I$168*(1+Data_All!I17%),I177*(1+Data_All!I17%)),"")</f>
        <v/>
      </c>
      <c r="J178" s="427" t="str">
        <f>IF(AND($A178&gt;=SYear_O,$A178&lt;=EYear_O,J$3&gt;0),IF($A178=SYear_O,J$168*(1+Data_All!J17%),J177*(1+Data_All!J17%)),"")</f>
        <v/>
      </c>
      <c r="K178" s="427" t="str">
        <f>IF(AND($A178&gt;=SYear_O,$A178&lt;=EYear_O,K$3&gt;0),IF($A178=SYear_O,K$168*(1+Data_All!K17%),K177*(1+Data_All!K17%)),"")</f>
        <v/>
      </c>
      <c r="L178" s="427" t="str">
        <f>IF(AND($A178&gt;=SYear_O,$A178&lt;=EYear_O,L$3&gt;0),IF($A178=SYear_O,L$168*(1+Data_All!L17%),L177*(1+Data_All!L17%)),"")</f>
        <v/>
      </c>
      <c r="M178" s="427" t="str">
        <f>IF(AND($A178&gt;=SYear_O,$A178&lt;=EYear_O,M$3&gt;0),IF($A178=SYear_O,M$168*(1+Data_All!M17%),M177*(1+Data_All!M17%)),"")</f>
        <v/>
      </c>
      <c r="N178" s="427" t="str">
        <f>IF(AND($A178&gt;=SYear_O,$A178&lt;=EYear_O,N$3&gt;0),IF($A178=SYear_O,N$168*(1+Data_All!N17%),N177*(1+Data_All!N17%)),"")</f>
        <v/>
      </c>
      <c r="O178" s="427" t="str">
        <f>IF(AND($A178&gt;=SYear_O,$A178&lt;=EYear_O,O$3&gt;0),IF($A178=SYear_O,O$168*(1+Data_All!O17%),O177*(1+Data_All!O17%)),"")</f>
        <v/>
      </c>
      <c r="P178" s="427" t="str">
        <f>IF(AND($A178&gt;=SYear_O,$A178&lt;=EYear_O,P$3&gt;0),IF($A178=SYear_O,P$168*(1+Data_All!P17%),P177*(1+Data_All!P17%)),"")</f>
        <v/>
      </c>
      <c r="Q178" s="427" t="str">
        <f>IF(AND($A178&gt;=SYear_O,$A178&lt;=EYear_O,Q$3&gt;0),IF($A178=SYear_O,Q$168*(1+Data_All!Q17%),Q177*(1+Data_All!Q17%)),"")</f>
        <v/>
      </c>
      <c r="R178" s="427" t="str">
        <f>IF(AND($A178&gt;=SYear_O,$A178&lt;=EYear_O,R$3&gt;0),IF($A178=SYear_O,R$168*(1+Data_All!R17%),R177*(1+Data_All!R17%)),"")</f>
        <v/>
      </c>
      <c r="S178" s="427" t="str">
        <f>IF(AND($A178&gt;=SYear_O,$A178&lt;=EYear_O,S$3&gt;0),IF($A178=SYear_O,S$168*(1+Data_All!S17%),S177*(1+Data_All!S17%)),"")</f>
        <v/>
      </c>
      <c r="T178" s="427" t="str">
        <f>IF(AND($A178&gt;=SYear_O,$A178&lt;=EYear_O,T$3&gt;0),IF($A178=SYear_O,T$168*(1+Data_All!T17%),T177*(1+Data_All!T17%)),"")</f>
        <v/>
      </c>
      <c r="U178" s="427" t="str">
        <f>IF(AND($A178&gt;=SYear_O,$A178&lt;=EYear_O,U$3&gt;0),IF($A178=SYear_O,U$168*(1+Data_All!U17%),U177*(1+Data_All!U17%)),"")</f>
        <v/>
      </c>
      <c r="V178" s="427" t="str">
        <f>IF(AND($A178&gt;=SYear_O,$A178&lt;=EYear_O,V$3&gt;0),IF($A178=SYear_O,V$168*(1+Data_All!V17%),V177*(1+Data_All!V17%)),"")</f>
        <v/>
      </c>
      <c r="W178" s="427" t="str">
        <f>IF(AND($A178&gt;=SYear_O,$A178&lt;=EYear_O,W$3&gt;0),IF($A178=SYear_O,W$168*(1+Data_All!W17%),W177*(1+Data_All!W17%)),"")</f>
        <v/>
      </c>
      <c r="X178" s="427" t="str">
        <f>IF(AND($A178&gt;=SYear_O,$A178&lt;=EYear_O,X$3&gt;0),IF($A178=SYear_O,X$168*(1+Data_All!X17%),X177*(1+Data_All!X17%)),"")</f>
        <v/>
      </c>
      <c r="Y178" s="427" t="str">
        <f>IF(AND($A178&gt;=SYear_O,$A178&lt;=EYear_O,Y$3&gt;0),IF($A178=SYear_O,Y$168*(1+Data_All!Y17%),Y177*(1+Data_All!Y17%)),"")</f>
        <v/>
      </c>
      <c r="Z178" s="427" t="str">
        <f>IF(AND($A178&gt;=SYear_O,$A178&lt;=EYear_O,Z$3&gt;0),IF($A178=SYear_O,Z$168*(1+Data_All!Z17%),Z177*(1+Data_All!Z17%)),"")</f>
        <v/>
      </c>
      <c r="AA178" s="427" t="str">
        <f>IF(AND($A178&gt;=SYear_O,$A178&lt;=EYear_O,AA$3&gt;0),IF($A178=SYear_O,AA$168*(1+Data_All!AA17%),AA177*(1+Data_All!AA17%)),"")</f>
        <v/>
      </c>
      <c r="AB178" s="427" t="str">
        <f>IF(AND($A178&gt;=SYear_O,$A178&lt;=EYear_O,AB$3&gt;0),IF($A178=SYear_O,AB$168*(1+Data_All!AB17%),AB177*(1+Data_All!AB17%)),"")</f>
        <v/>
      </c>
      <c r="AC178" s="427" t="str">
        <f>IF(AND($A178&gt;=SYear_O,$A178&lt;=EYear_O,AC$3&gt;0),IF($A178=SYear_O,AC$168*(1+Data_All!AC17%),AC177*(1+Data_All!AC17%)),"")</f>
        <v/>
      </c>
      <c r="AD178" s="427" t="str">
        <f>IF(AND($A178&gt;=SYear_O,$A178&lt;=EYear_O,AD$3&gt;0),IF($A178=SYear_O,AD$168*(1+Data_All!AD17%),AD177*(1+Data_All!AD17%)),"")</f>
        <v/>
      </c>
      <c r="AE178" s="427" t="str">
        <f>IF(AND($A178&gt;=SYear_O,$A178&lt;=EYear_O,AE$3&gt;0),IF($A178=SYear_O,AE$168*(1+Data_All!AE17%),AE177*(1+Data_All!AE17%)),"")</f>
        <v/>
      </c>
      <c r="AF178" s="427" t="str">
        <f>IF(AND($A178&gt;=SYear_O,$A178&lt;=EYear_O,AF$3&gt;0),IF($A178=SYear_O,AF$168*(1+Data_All!AF17%),AF177*(1+Data_All!AF17%)),"")</f>
        <v/>
      </c>
      <c r="AG178" s="427" t="str">
        <f>IF(AND($A178&gt;=SYear_O,$A178&lt;=EYear_O,AG$3&gt;0),IF($A178=SYear_O,AG$168*(1+Data_All!AG17%),AG177*(1+Data_All!AG17%)),"")</f>
        <v/>
      </c>
      <c r="AH178" s="427" t="str">
        <f>IF(AND($A178&gt;=SYear_O,$A178&lt;=EYear_O,AH$3&gt;0),IF($A178=SYear_O,AH$168*(1+Data_All!AH17%),AH177*(1+Data_All!AH17%)),"")</f>
        <v/>
      </c>
      <c r="AI178" s="427" t="str">
        <f>IF(AND($A178&gt;=SYear_O,$A178&lt;=EYear_O,AI$3&gt;0),IF($A178=SYear_O,AI$168*(1+Data_All!AI17%),AI177*(1+Data_All!AI17%)),"")</f>
        <v/>
      </c>
      <c r="AJ178" s="427" t="str">
        <f>IF(AND($A178&gt;=SYear_O,$A178&lt;=EYear_O,AJ$3&gt;0),IF($A178=SYear_O,AJ$168*(1+Data_All!AJ17%),AJ177*(1+Data_All!AJ17%)),"")</f>
        <v/>
      </c>
      <c r="AK178" s="427" t="str">
        <f>IF(AND($A178&gt;=SYear_O,$A178&lt;=EYear_O,AK$3&gt;0),IF($A178=SYear_O,AK$168*(1+Data_All!AK17%),AK177*(1+Data_All!AK17%)),"")</f>
        <v/>
      </c>
      <c r="AL178" s="427" t="str">
        <f>IF(AND($A178&gt;=SYear_O,$A178&lt;=EYear_O,AL$3&gt;0),IF($A178=SYear_O,AL$168*(1+Data_All!AL17%),AL177*(1+Data_All!AL17%)),"")</f>
        <v/>
      </c>
      <c r="AM178" s="427" t="str">
        <f>IF(AND($A178&gt;=SYear_O,$A178&lt;=EYear_O,AM$3&gt;0),IF($A178=SYear_O,AM$168*(1+Data_All!AM17%),AM177*(1+Data_All!AM17%)),"")</f>
        <v/>
      </c>
      <c r="AN178" s="427" t="str">
        <f>IF(AND($A178&gt;=SYear_O,$A178&lt;=EYear_O,AN$3&gt;0),IF($A178=SYear_O,AN$168*(1+Data_All!AN17%),AN177*(1+Data_All!AN17%)),"")</f>
        <v/>
      </c>
      <c r="AO178" s="427" t="str">
        <f>IF(AND($A178&gt;=SYear_O,$A178&lt;=EYear_O,AO$3&gt;0),IF($A178=SYear_O,AO$168*(1+Data_All!AO17%),AO177*(1+Data_All!AO17%)),"")</f>
        <v/>
      </c>
      <c r="AP178" s="427" t="str">
        <f>IF(AND($A178&gt;=SYear_O,$A178&lt;=EYear_O,AP$3&gt;0),IF($A178=SYear_O,AP$168*(1+Data_All!AP17%),AP177*(1+Data_All!AP17%)),"")</f>
        <v/>
      </c>
      <c r="AQ178" s="427" t="str">
        <f>IF(AND($A178&gt;=SYear_O,$A178&lt;=EYear_O,AQ$3&gt;0),IF($A178=SYear_O,AQ$168*(1+Data_All!AQ17%),AQ177*(1+Data_All!AQ17%)),"")</f>
        <v/>
      </c>
      <c r="AR178" s="427" t="str">
        <f>IF(AND($A178&gt;=SYear_O,$A178&lt;=EYear_O,AR$3&gt;0),IF($A178=SYear_O,AR$168*(1+Data_All!AR17%),AR177*(1+Data_All!AR17%)),"")</f>
        <v/>
      </c>
      <c r="AS178" s="427" t="str">
        <f>IF(AND($A178&gt;=SYear_O,$A178&lt;=EYear_O,AS$3&gt;0),IF($A178=SYear_O,AS$168*(1+Data_All!AS17%),AS177*(1+Data_All!AS17%)),"")</f>
        <v/>
      </c>
      <c r="AT178" s="427" t="str">
        <f>IF(AND($A178&gt;=SYear_O,$A178&lt;=EYear_O,AT$3&gt;0),IF($A178=SYear_O,AT$168*(1+Data_All!AT17%),AT177*(1+Data_All!AT17%)),"")</f>
        <v/>
      </c>
      <c r="AU178" s="427" t="str">
        <f>IF(AND($A178&gt;=SYear_O,$A178&lt;=EYear_O,AU$3&gt;0),IF($A178=SYear_O,AU$168*(1+Data_All!AU17%),AU177*(1+Data_All!AU17%)),"")</f>
        <v/>
      </c>
      <c r="AV178" s="427" t="str">
        <f>IF(AND($A178&gt;=SYear_O,$A178&lt;=EYear_O,AV$3&gt;0),IF($A178=SYear_O,AV$168*(1+Data_All!AV17%),AV177*(1+Data_All!AV17%)),"")</f>
        <v/>
      </c>
      <c r="AW178" s="427" t="str">
        <f>IF(AND($A178&gt;=SYear_O,$A178&lt;=EYear_O,AW$3&gt;0),IF($A178=SYear_O,AW$168*(1+Data_All!AW17%),AW177*(1+Data_All!AW17%)),"")</f>
        <v/>
      </c>
      <c r="AX178" s="427" t="str">
        <f>IF(AND($A178&gt;=SYear_O,$A178&lt;=EYear_O,AX$3&gt;0),IF($A178=SYear_O,AX$168*(1+Data_All!AX17%),AX177*(1+Data_All!AX17%)),"")</f>
        <v/>
      </c>
      <c r="AY178" s="427" t="str">
        <f>IF(AND($A178&gt;=SYear_O,$A178&lt;=EYear_O,AY$3&gt;0),IF($A178=SYear_O,AY$168*(1+Data_All!AY17%),AY177*(1+Data_All!AY17%)),"")</f>
        <v/>
      </c>
      <c r="AZ178" s="427" t="str">
        <f>IF(AND($A178&gt;=SYear_O,$A178&lt;=EYear_O,AZ$3&gt;0),IF($A178=SYear_O,AZ$168*(1+Data_All!AZ17%),AZ177*(1+Data_All!AZ17%)),"")</f>
        <v/>
      </c>
      <c r="BA178" s="427" t="str">
        <f>IF(AND($A178&gt;=SYear_O,$A178&lt;=EYear_O,BA$3&gt;0),IF($A178=SYear_O,BA$168*(1+Data_All!BA17%),BA177*(1+Data_All!BA17%)),"")</f>
        <v/>
      </c>
      <c r="BB178" s="427" t="str">
        <f>IF(AND($A178&gt;=SYear_O,$A178&lt;=EYear_O,BB$3&gt;0),IF($A178=SYear_O,BB$168*(1+Data_All!BB17%),BB177*(1+Data_All!BB17%)),"")</f>
        <v/>
      </c>
      <c r="BC178" s="427" t="str">
        <f>IF(AND($A178&gt;=SYear_O,$A178&lt;=EYear_O,BC$3&gt;0),IF($A178=SYear_O,BC$168*(1+Data_All!BC17%),BC177*(1+Data_All!BC17%)),"")</f>
        <v/>
      </c>
      <c r="BD178" s="427" t="str">
        <f>IF(AND($A178&gt;=SYear_O,$A178&lt;=EYear_O,BD$3&gt;0),IF($A178=SYear_O,BD$168*(1+Data_All!BD17%),BD177*(1+Data_All!BD17%)),"")</f>
        <v/>
      </c>
      <c r="BE178" s="427" t="str">
        <f>IF(AND($A178&gt;=SYear_O,$A178&lt;=EYear_O,BE$3&gt;0),IF($A178=SYear_O,BE$168*(1+Data_All!BE17%),BE177*(1+Data_All!BE17%)),"")</f>
        <v/>
      </c>
      <c r="BF178" s="427" t="str">
        <f>IF(AND($A178&gt;=SYear_O,$A178&lt;=EYear_O,BF$3&gt;0),IF($A178=SYear_O,BF$168*(1+Data_All!BF17%),BF177*(1+Data_All!BF17%)),"")</f>
        <v/>
      </c>
      <c r="BG178" s="427" t="str">
        <f>IF(AND($A178&gt;=SYear_O,$A178&lt;=EYear_O,BG$3&gt;0),IF($A178=SYear_O,BG$168*(1+Data_All!BG17%),BG177*(1+Data_All!BG17%)),"")</f>
        <v/>
      </c>
      <c r="BH178" s="427" t="str">
        <f>IF(AND($A178&gt;=SYear_O,$A178&lt;=EYear_O,BH$3&gt;0),IF($A178=SYear_O,BH$168*(1+Data_All!BH17%),BH177*(1+Data_All!BH17%)),"")</f>
        <v/>
      </c>
      <c r="BI178" s="427" t="str">
        <f>IF(AND($A178&gt;=SYear_O,$A178&lt;=EYear_O,BI$3&gt;0),IF($A178=SYear_O,BI$168*(1+Data_All!BI17%),BI177*(1+Data_All!BI17%)),"")</f>
        <v/>
      </c>
      <c r="BJ178" s="427" t="str">
        <f>IF(AND($A178&gt;=SYear_O,$A178&lt;=EYear_O,BJ$3&gt;0),IF($A178=SYear_O,BJ$168*(1+Data_All!BJ17%),BJ177*(1+Data_All!BJ17%)),"")</f>
        <v/>
      </c>
      <c r="BK178" s="427" t="str">
        <f>IF(AND($A178&gt;=SYear_O,$A178&lt;=EYear_O,BK$3&gt;0),IF($A178=SYear_O,BK$168*(1+Data_All!BK17%),BK177*(1+Data_All!BK17%)),"")</f>
        <v/>
      </c>
      <c r="BL178" s="427" t="str">
        <f>IF(AND($A178&gt;=SYear_O,$A178&lt;=EYear_O,BL$3&gt;0),IF($A178=SYear_O,BL$168*(1+Data_All!BL17%),BL177*(1+Data_All!BL17%)),"")</f>
        <v/>
      </c>
      <c r="BM178" s="427" t="str">
        <f>IF(AND($A178&gt;=SYear_O,$A178&lt;=EYear_O,BM$3&gt;0),IF($A178=SYear_O,BM$168*(1+Data_All!BM17%),BM177*(1+Data_All!BM17%)),"")</f>
        <v/>
      </c>
      <c r="BN178" s="427" t="str">
        <f>IF(AND($A178&gt;=SYear_O,$A178&lt;=EYear_O,BN$3&gt;0),IF($A178=SYear_O,BN$168*(1+Data_All!BN17%),BN177*(1+Data_All!BN17%)),"")</f>
        <v/>
      </c>
      <c r="BO178" s="427" t="str">
        <f>IF(AND($A178&gt;=SYear_O,$A178&lt;=EYear_O,BO$3&gt;0),IF($A178=SYear_O,BO$168*(1+Data_All!BO17%),BO177*(1+Data_All!BO17%)),"")</f>
        <v/>
      </c>
      <c r="BP178" s="427" t="str">
        <f>IF(AND($A178&gt;=SYear_O,$A178&lt;=EYear_O,BP$3&gt;0),IF($A178=SYear_O,BP$168*(1+Data_All!BP17%),BP177*(1+Data_All!BP17%)),"")</f>
        <v/>
      </c>
      <c r="BQ178" s="427" t="str">
        <f>IF(AND($A178&gt;=SYear_O,$A178&lt;=EYear_O,BQ$3&gt;0),IF($A178=SYear_O,BQ$168*(1+Data_All!BQ17%),BQ177*(1+Data_All!BQ17%)),"")</f>
        <v/>
      </c>
      <c r="BR178" s="427" t="str">
        <f>IF(AND($A178&gt;=SYear_O,$A178&lt;=EYear_O,BR$3&gt;0),IF($A178=SYear_O,BR$168*(1+Data_All!BR17%),BR177*(1+Data_All!BR17%)),"")</f>
        <v/>
      </c>
      <c r="BS178" s="427" t="str">
        <f>IF(AND($A178&gt;=SYear_O,$A178&lt;=EYear_O,BS$3&gt;0),IF($A178=SYear_O,BS$168*(1+Data_All!BS17%),BS177*(1+Data_All!BS17%)),"")</f>
        <v/>
      </c>
      <c r="BT178" s="427" t="str">
        <f>IF(AND($A178&gt;=SYear_O,$A178&lt;=EYear_O,BT$3&gt;0),IF($A178=SYear_O,BT$168*(1+Data_All!BT17%),BT177*(1+Data_All!BT17%)),"")</f>
        <v/>
      </c>
      <c r="BU178" s="427" t="str">
        <f>IF(AND($A178&gt;=SYear_O,$A178&lt;=EYear_O,BU$3&gt;0),IF($A178=SYear_O,BU$168*(1+Data_All!BU17%),BU177*(1+Data_All!BU17%)),"")</f>
        <v/>
      </c>
      <c r="BV178" s="427" t="str">
        <f>IF(AND($A178&gt;=SYear_O,$A178&lt;=EYear_O,BV$3&gt;0),IF($A178=SYear_O,BV$168*(1+Data_All!BV17%),BV177*(1+Data_All!BV17%)),"")</f>
        <v/>
      </c>
      <c r="BW178" s="427" t="str">
        <f>IF(AND($A178&gt;=SYear_O,$A178&lt;=EYear_O,BW$3&gt;0),IF($A178=SYear_O,BW$168*(1+Data_All!BW17%),BW177*(1+Data_All!BW17%)),"")</f>
        <v/>
      </c>
      <c r="BX178" s="427">
        <f>IF(AND($A178&gt;=SYear_O,$A178&lt;=EYear_O,BX$3&gt;0),IF($A178=SYear_O,BX$168*(1+Data_All!BX17%),BX177*(1+Data_All!BX17%)),"")</f>
        <v>14930.824137607857</v>
      </c>
      <c r="BY178" s="427">
        <f>IF(AND($A178&gt;=SYear_O,$A178&lt;=EYear_O,BY$3&gt;0),IF($A178=SYear_O,BY$168*(1+Data_All!BY17%),BY177*(1+Data_All!BY17%)),"")</f>
        <v>6809.2382777106213</v>
      </c>
      <c r="BZ178" s="427" t="str">
        <f>IF(AND($A178&gt;=SYear_O,$A178&lt;=EYear_O,BZ$3&gt;0),IF($A178=SYear_O,BZ$168*(1+Data_All!BZ17%),BZ177*(1+Data_All!BZ17%)),"")</f>
        <v/>
      </c>
      <c r="CA178" s="565">
        <f t="shared" si="92"/>
        <v>18.851695751104192</v>
      </c>
      <c r="CB178" s="427">
        <f t="shared" si="93"/>
        <v>21740.062415318476</v>
      </c>
      <c r="CC178" s="565">
        <f>IF(AND($A178&gt;=SYear_O,$A178&lt;=EYear_O),(CA178-Data_All!CA17)/(1+Data_All!CA17%),"")</f>
        <v>26.05529407704562</v>
      </c>
      <c r="CD178" s="436">
        <f t="shared" si="94"/>
        <v>28767.107724441452</v>
      </c>
      <c r="CE178" s="438">
        <f t="shared" si="95"/>
        <v>1.9718071118093277</v>
      </c>
      <c r="CF178" s="438">
        <f>IF(AND($A178&gt;=SYear_O,$A178&lt;=EYear_O),MAX($CE$169:CE178),"")</f>
        <v>1.9718071118093277</v>
      </c>
      <c r="CG178" s="209">
        <f t="shared" si="96"/>
        <v>0</v>
      </c>
      <c r="CN178" s="61">
        <f t="shared" si="97"/>
        <v>0.18851695751104192</v>
      </c>
      <c r="CO178" s="61">
        <f t="shared" si="98"/>
        <v>7.6636888593321961E-2</v>
      </c>
      <c r="CP178" s="61">
        <f t="shared" si="99"/>
        <v>2.7130439792852012E-2</v>
      </c>
      <c r="CQ178" s="61">
        <f t="shared" si="100"/>
        <v>4.9221145019898049E-2</v>
      </c>
      <c r="CR178" s="61">
        <f t="shared" si="101"/>
        <v>3.7120474984725815E-2</v>
      </c>
      <c r="CU178" s="61">
        <f t="shared" si="102"/>
        <v>0.26055294077045632</v>
      </c>
      <c r="CV178" s="61">
        <f t="shared" si="103"/>
        <v>7.6636888593321961E-2</v>
      </c>
      <c r="CW178" s="61">
        <f t="shared" si="104"/>
        <v>6.649752704048395E-2</v>
      </c>
      <c r="CX178" s="61">
        <f t="shared" si="105"/>
        <v>7.8144889178444199E-2</v>
      </c>
      <c r="CY178" s="61">
        <f t="shared" si="106"/>
        <v>6.6560066697870734E-2</v>
      </c>
    </row>
    <row r="179" spans="1:103">
      <c r="A179" s="204">
        <f t="shared" si="107"/>
        <v>1881</v>
      </c>
      <c r="B179" s="427" t="str">
        <f>IF(AND($A179&gt;=SYear_O,$A179&lt;=EYear_O,B$3&gt;0),IF($A179=SYear_O,B$168*(1+Data_All!B18%),B178*(1+Data_All!B18%)),"")</f>
        <v/>
      </c>
      <c r="C179" s="427" t="str">
        <f>IF(AND($A179&gt;=SYear_O,$A179&lt;=EYear_O,C$3&gt;0),IF($A179=SYear_O,C$168*(1+Data_All!C18%),C178*(1+Data_All!C18%)),"")</f>
        <v/>
      </c>
      <c r="D179" s="427" t="str">
        <f>IF(AND($A179&gt;=SYear_O,$A179&lt;=EYear_O,D$3&gt;0),IF($A179=SYear_O,D$168*(1+Data_All!D18%),D178*(1+Data_All!D18%)),"")</f>
        <v/>
      </c>
      <c r="E179" s="427" t="str">
        <f>IF(AND($A179&gt;=SYear_O,$A179&lt;=EYear_O,E$3&gt;0),IF($A179=SYear_O,E$168*(1+Data_All!E18%),E178*(1+Data_All!E18%)),"")</f>
        <v/>
      </c>
      <c r="F179" s="427" t="str">
        <f>IF(AND($A179&gt;=SYear_O,$A179&lt;=EYear_O,F$3&gt;0),IF($A179=SYear_O,F$168*(1+Data_All!F18%),F178*(1+Data_All!F18%)),"")</f>
        <v/>
      </c>
      <c r="G179" s="427" t="str">
        <f>IF(AND($A179&gt;=SYear_O,$A179&lt;=EYear_O,G$3&gt;0),IF($A179=SYear_O,G$168*(1+Data_All!G18%),G178*(1+Data_All!G18%)),"")</f>
        <v/>
      </c>
      <c r="H179" s="427" t="str">
        <f>IF(AND($A179&gt;=SYear_O,$A179&lt;=EYear_O,H$3&gt;0),IF($A179=SYear_O,H$168*(1+Data_All!H18%),H178*(1+Data_All!H18%)),"")</f>
        <v/>
      </c>
      <c r="I179" s="427" t="str">
        <f>IF(AND($A179&gt;=SYear_O,$A179&lt;=EYear_O,I$3&gt;0),IF($A179=SYear_O,I$168*(1+Data_All!I18%),I178*(1+Data_All!I18%)),"")</f>
        <v/>
      </c>
      <c r="J179" s="427" t="str">
        <f>IF(AND($A179&gt;=SYear_O,$A179&lt;=EYear_O,J$3&gt;0),IF($A179=SYear_O,J$168*(1+Data_All!J18%),J178*(1+Data_All!J18%)),"")</f>
        <v/>
      </c>
      <c r="K179" s="427" t="str">
        <f>IF(AND($A179&gt;=SYear_O,$A179&lt;=EYear_O,K$3&gt;0),IF($A179=SYear_O,K$168*(1+Data_All!K18%),K178*(1+Data_All!K18%)),"")</f>
        <v/>
      </c>
      <c r="L179" s="427" t="str">
        <f>IF(AND($A179&gt;=SYear_O,$A179&lt;=EYear_O,L$3&gt;0),IF($A179=SYear_O,L$168*(1+Data_All!L18%),L178*(1+Data_All!L18%)),"")</f>
        <v/>
      </c>
      <c r="M179" s="427" t="str">
        <f>IF(AND($A179&gt;=SYear_O,$A179&lt;=EYear_O,M$3&gt;0),IF($A179=SYear_O,M$168*(1+Data_All!M18%),M178*(1+Data_All!M18%)),"")</f>
        <v/>
      </c>
      <c r="N179" s="427" t="str">
        <f>IF(AND($A179&gt;=SYear_O,$A179&lt;=EYear_O,N$3&gt;0),IF($A179=SYear_O,N$168*(1+Data_All!N18%),N178*(1+Data_All!N18%)),"")</f>
        <v/>
      </c>
      <c r="O179" s="427" t="str">
        <f>IF(AND($A179&gt;=SYear_O,$A179&lt;=EYear_O,O$3&gt;0),IF($A179=SYear_O,O$168*(1+Data_All!O18%),O178*(1+Data_All!O18%)),"")</f>
        <v/>
      </c>
      <c r="P179" s="427" t="str">
        <f>IF(AND($A179&gt;=SYear_O,$A179&lt;=EYear_O,P$3&gt;0),IF($A179=SYear_O,P$168*(1+Data_All!P18%),P178*(1+Data_All!P18%)),"")</f>
        <v/>
      </c>
      <c r="Q179" s="427" t="str">
        <f>IF(AND($A179&gt;=SYear_O,$A179&lt;=EYear_O,Q$3&gt;0),IF($A179=SYear_O,Q$168*(1+Data_All!Q18%),Q178*(1+Data_All!Q18%)),"")</f>
        <v/>
      </c>
      <c r="R179" s="427" t="str">
        <f>IF(AND($A179&gt;=SYear_O,$A179&lt;=EYear_O,R$3&gt;0),IF($A179=SYear_O,R$168*(1+Data_All!R18%),R178*(1+Data_All!R18%)),"")</f>
        <v/>
      </c>
      <c r="S179" s="427" t="str">
        <f>IF(AND($A179&gt;=SYear_O,$A179&lt;=EYear_O,S$3&gt;0),IF($A179=SYear_O,S$168*(1+Data_All!S18%),S178*(1+Data_All!S18%)),"")</f>
        <v/>
      </c>
      <c r="T179" s="427" t="str">
        <f>IF(AND($A179&gt;=SYear_O,$A179&lt;=EYear_O,T$3&gt;0),IF($A179=SYear_O,T$168*(1+Data_All!T18%),T178*(1+Data_All!T18%)),"")</f>
        <v/>
      </c>
      <c r="U179" s="427" t="str">
        <f>IF(AND($A179&gt;=SYear_O,$A179&lt;=EYear_O,U$3&gt;0),IF($A179=SYear_O,U$168*(1+Data_All!U18%),U178*(1+Data_All!U18%)),"")</f>
        <v/>
      </c>
      <c r="V179" s="427" t="str">
        <f>IF(AND($A179&gt;=SYear_O,$A179&lt;=EYear_O,V$3&gt;0),IF($A179=SYear_O,V$168*(1+Data_All!V18%),V178*(1+Data_All!V18%)),"")</f>
        <v/>
      </c>
      <c r="W179" s="427" t="str">
        <f>IF(AND($A179&gt;=SYear_O,$A179&lt;=EYear_O,W$3&gt;0),IF($A179=SYear_O,W$168*(1+Data_All!W18%),W178*(1+Data_All!W18%)),"")</f>
        <v/>
      </c>
      <c r="X179" s="427" t="str">
        <f>IF(AND($A179&gt;=SYear_O,$A179&lt;=EYear_O,X$3&gt;0),IF($A179=SYear_O,X$168*(1+Data_All!X18%),X178*(1+Data_All!X18%)),"")</f>
        <v/>
      </c>
      <c r="Y179" s="427" t="str">
        <f>IF(AND($A179&gt;=SYear_O,$A179&lt;=EYear_O,Y$3&gt;0),IF($A179=SYear_O,Y$168*(1+Data_All!Y18%),Y178*(1+Data_All!Y18%)),"")</f>
        <v/>
      </c>
      <c r="Z179" s="427" t="str">
        <f>IF(AND($A179&gt;=SYear_O,$A179&lt;=EYear_O,Z$3&gt;0),IF($A179=SYear_O,Z$168*(1+Data_All!Z18%),Z178*(1+Data_All!Z18%)),"")</f>
        <v/>
      </c>
      <c r="AA179" s="427" t="str">
        <f>IF(AND($A179&gt;=SYear_O,$A179&lt;=EYear_O,AA$3&gt;0),IF($A179=SYear_O,AA$168*(1+Data_All!AA18%),AA178*(1+Data_All!AA18%)),"")</f>
        <v/>
      </c>
      <c r="AB179" s="427" t="str">
        <f>IF(AND($A179&gt;=SYear_O,$A179&lt;=EYear_O,AB$3&gt;0),IF($A179=SYear_O,AB$168*(1+Data_All!AB18%),AB178*(1+Data_All!AB18%)),"")</f>
        <v/>
      </c>
      <c r="AC179" s="427" t="str">
        <f>IF(AND($A179&gt;=SYear_O,$A179&lt;=EYear_O,AC$3&gt;0),IF($A179=SYear_O,AC$168*(1+Data_All!AC18%),AC178*(1+Data_All!AC18%)),"")</f>
        <v/>
      </c>
      <c r="AD179" s="427" t="str">
        <f>IF(AND($A179&gt;=SYear_O,$A179&lt;=EYear_O,AD$3&gt;0),IF($A179=SYear_O,AD$168*(1+Data_All!AD18%),AD178*(1+Data_All!AD18%)),"")</f>
        <v/>
      </c>
      <c r="AE179" s="427" t="str">
        <f>IF(AND($A179&gt;=SYear_O,$A179&lt;=EYear_O,AE$3&gt;0),IF($A179=SYear_O,AE$168*(1+Data_All!AE18%),AE178*(1+Data_All!AE18%)),"")</f>
        <v/>
      </c>
      <c r="AF179" s="427" t="str">
        <f>IF(AND($A179&gt;=SYear_O,$A179&lt;=EYear_O,AF$3&gt;0),IF($A179=SYear_O,AF$168*(1+Data_All!AF18%),AF178*(1+Data_All!AF18%)),"")</f>
        <v/>
      </c>
      <c r="AG179" s="427" t="str">
        <f>IF(AND($A179&gt;=SYear_O,$A179&lt;=EYear_O,AG$3&gt;0),IF($A179=SYear_O,AG$168*(1+Data_All!AG18%),AG178*(1+Data_All!AG18%)),"")</f>
        <v/>
      </c>
      <c r="AH179" s="427" t="str">
        <f>IF(AND($A179&gt;=SYear_O,$A179&lt;=EYear_O,AH$3&gt;0),IF($A179=SYear_O,AH$168*(1+Data_All!AH18%),AH178*(1+Data_All!AH18%)),"")</f>
        <v/>
      </c>
      <c r="AI179" s="427" t="str">
        <f>IF(AND($A179&gt;=SYear_O,$A179&lt;=EYear_O,AI$3&gt;0),IF($A179=SYear_O,AI$168*(1+Data_All!AI18%),AI178*(1+Data_All!AI18%)),"")</f>
        <v/>
      </c>
      <c r="AJ179" s="427" t="str">
        <f>IF(AND($A179&gt;=SYear_O,$A179&lt;=EYear_O,AJ$3&gt;0),IF($A179=SYear_O,AJ$168*(1+Data_All!AJ18%),AJ178*(1+Data_All!AJ18%)),"")</f>
        <v/>
      </c>
      <c r="AK179" s="427" t="str">
        <f>IF(AND($A179&gt;=SYear_O,$A179&lt;=EYear_O,AK$3&gt;0),IF($A179=SYear_O,AK$168*(1+Data_All!AK18%),AK178*(1+Data_All!AK18%)),"")</f>
        <v/>
      </c>
      <c r="AL179" s="427" t="str">
        <f>IF(AND($A179&gt;=SYear_O,$A179&lt;=EYear_O,AL$3&gt;0),IF($A179=SYear_O,AL$168*(1+Data_All!AL18%),AL178*(1+Data_All!AL18%)),"")</f>
        <v/>
      </c>
      <c r="AM179" s="427" t="str">
        <f>IF(AND($A179&gt;=SYear_O,$A179&lt;=EYear_O,AM$3&gt;0),IF($A179=SYear_O,AM$168*(1+Data_All!AM18%),AM178*(1+Data_All!AM18%)),"")</f>
        <v/>
      </c>
      <c r="AN179" s="427" t="str">
        <f>IF(AND($A179&gt;=SYear_O,$A179&lt;=EYear_O,AN$3&gt;0),IF($A179=SYear_O,AN$168*(1+Data_All!AN18%),AN178*(1+Data_All!AN18%)),"")</f>
        <v/>
      </c>
      <c r="AO179" s="427" t="str">
        <f>IF(AND($A179&gt;=SYear_O,$A179&lt;=EYear_O,AO$3&gt;0),IF($A179=SYear_O,AO$168*(1+Data_All!AO18%),AO178*(1+Data_All!AO18%)),"")</f>
        <v/>
      </c>
      <c r="AP179" s="427" t="str">
        <f>IF(AND($A179&gt;=SYear_O,$A179&lt;=EYear_O,AP$3&gt;0),IF($A179=SYear_O,AP$168*(1+Data_All!AP18%),AP178*(1+Data_All!AP18%)),"")</f>
        <v/>
      </c>
      <c r="AQ179" s="427" t="str">
        <f>IF(AND($A179&gt;=SYear_O,$A179&lt;=EYear_O,AQ$3&gt;0),IF($A179=SYear_O,AQ$168*(1+Data_All!AQ18%),AQ178*(1+Data_All!AQ18%)),"")</f>
        <v/>
      </c>
      <c r="AR179" s="427" t="str">
        <f>IF(AND($A179&gt;=SYear_O,$A179&lt;=EYear_O,AR$3&gt;0),IF($A179=SYear_O,AR$168*(1+Data_All!AR18%),AR178*(1+Data_All!AR18%)),"")</f>
        <v/>
      </c>
      <c r="AS179" s="427" t="str">
        <f>IF(AND($A179&gt;=SYear_O,$A179&lt;=EYear_O,AS$3&gt;0),IF($A179=SYear_O,AS$168*(1+Data_All!AS18%),AS178*(1+Data_All!AS18%)),"")</f>
        <v/>
      </c>
      <c r="AT179" s="427" t="str">
        <f>IF(AND($A179&gt;=SYear_O,$A179&lt;=EYear_O,AT$3&gt;0),IF($A179=SYear_O,AT$168*(1+Data_All!AT18%),AT178*(1+Data_All!AT18%)),"")</f>
        <v/>
      </c>
      <c r="AU179" s="427" t="str">
        <f>IF(AND($A179&gt;=SYear_O,$A179&lt;=EYear_O,AU$3&gt;0),IF($A179=SYear_O,AU$168*(1+Data_All!AU18%),AU178*(1+Data_All!AU18%)),"")</f>
        <v/>
      </c>
      <c r="AV179" s="427" t="str">
        <f>IF(AND($A179&gt;=SYear_O,$A179&lt;=EYear_O,AV$3&gt;0),IF($A179=SYear_O,AV$168*(1+Data_All!AV18%),AV178*(1+Data_All!AV18%)),"")</f>
        <v/>
      </c>
      <c r="AW179" s="427" t="str">
        <f>IF(AND($A179&gt;=SYear_O,$A179&lt;=EYear_O,AW$3&gt;0),IF($A179=SYear_O,AW$168*(1+Data_All!AW18%),AW178*(1+Data_All!AW18%)),"")</f>
        <v/>
      </c>
      <c r="AX179" s="427" t="str">
        <f>IF(AND($A179&gt;=SYear_O,$A179&lt;=EYear_O,AX$3&gt;0),IF($A179=SYear_O,AX$168*(1+Data_All!AX18%),AX178*(1+Data_All!AX18%)),"")</f>
        <v/>
      </c>
      <c r="AY179" s="427" t="str">
        <f>IF(AND($A179&gt;=SYear_O,$A179&lt;=EYear_O,AY$3&gt;0),IF($A179=SYear_O,AY$168*(1+Data_All!AY18%),AY178*(1+Data_All!AY18%)),"")</f>
        <v/>
      </c>
      <c r="AZ179" s="427" t="str">
        <f>IF(AND($A179&gt;=SYear_O,$A179&lt;=EYear_O,AZ$3&gt;0),IF($A179=SYear_O,AZ$168*(1+Data_All!AZ18%),AZ178*(1+Data_All!AZ18%)),"")</f>
        <v/>
      </c>
      <c r="BA179" s="427" t="str">
        <f>IF(AND($A179&gt;=SYear_O,$A179&lt;=EYear_O,BA$3&gt;0),IF($A179=SYear_O,BA$168*(1+Data_All!BA18%),BA178*(1+Data_All!BA18%)),"")</f>
        <v/>
      </c>
      <c r="BB179" s="427" t="str">
        <f>IF(AND($A179&gt;=SYear_O,$A179&lt;=EYear_O,BB$3&gt;0),IF($A179=SYear_O,BB$168*(1+Data_All!BB18%),BB178*(1+Data_All!BB18%)),"")</f>
        <v/>
      </c>
      <c r="BC179" s="427" t="str">
        <f>IF(AND($A179&gt;=SYear_O,$A179&lt;=EYear_O,BC$3&gt;0),IF($A179=SYear_O,BC$168*(1+Data_All!BC18%),BC178*(1+Data_All!BC18%)),"")</f>
        <v/>
      </c>
      <c r="BD179" s="427" t="str">
        <f>IF(AND($A179&gt;=SYear_O,$A179&lt;=EYear_O,BD$3&gt;0),IF($A179=SYear_O,BD$168*(1+Data_All!BD18%),BD178*(1+Data_All!BD18%)),"")</f>
        <v/>
      </c>
      <c r="BE179" s="427" t="str">
        <f>IF(AND($A179&gt;=SYear_O,$A179&lt;=EYear_O,BE$3&gt;0),IF($A179=SYear_O,BE$168*(1+Data_All!BE18%),BE178*(1+Data_All!BE18%)),"")</f>
        <v/>
      </c>
      <c r="BF179" s="427" t="str">
        <f>IF(AND($A179&gt;=SYear_O,$A179&lt;=EYear_O,BF$3&gt;0),IF($A179=SYear_O,BF$168*(1+Data_All!BF18%),BF178*(1+Data_All!BF18%)),"")</f>
        <v/>
      </c>
      <c r="BG179" s="427" t="str">
        <f>IF(AND($A179&gt;=SYear_O,$A179&lt;=EYear_O,BG$3&gt;0),IF($A179=SYear_O,BG$168*(1+Data_All!BG18%),BG178*(1+Data_All!BG18%)),"")</f>
        <v/>
      </c>
      <c r="BH179" s="427" t="str">
        <f>IF(AND($A179&gt;=SYear_O,$A179&lt;=EYear_O,BH$3&gt;0),IF($A179=SYear_O,BH$168*(1+Data_All!BH18%),BH178*(1+Data_All!BH18%)),"")</f>
        <v/>
      </c>
      <c r="BI179" s="427" t="str">
        <f>IF(AND($A179&gt;=SYear_O,$A179&lt;=EYear_O,BI$3&gt;0),IF($A179=SYear_O,BI$168*(1+Data_All!BI18%),BI178*(1+Data_All!BI18%)),"")</f>
        <v/>
      </c>
      <c r="BJ179" s="427" t="str">
        <f>IF(AND($A179&gt;=SYear_O,$A179&lt;=EYear_O,BJ$3&gt;0),IF($A179=SYear_O,BJ$168*(1+Data_All!BJ18%),BJ178*(1+Data_All!BJ18%)),"")</f>
        <v/>
      </c>
      <c r="BK179" s="427" t="str">
        <f>IF(AND($A179&gt;=SYear_O,$A179&lt;=EYear_O,BK$3&gt;0),IF($A179=SYear_O,BK$168*(1+Data_All!BK18%),BK178*(1+Data_All!BK18%)),"")</f>
        <v/>
      </c>
      <c r="BL179" s="427" t="str">
        <f>IF(AND($A179&gt;=SYear_O,$A179&lt;=EYear_O,BL$3&gt;0),IF($A179=SYear_O,BL$168*(1+Data_All!BL18%),BL178*(1+Data_All!BL18%)),"")</f>
        <v/>
      </c>
      <c r="BM179" s="427" t="str">
        <f>IF(AND($A179&gt;=SYear_O,$A179&lt;=EYear_O,BM$3&gt;0),IF($A179=SYear_O,BM$168*(1+Data_All!BM18%),BM178*(1+Data_All!BM18%)),"")</f>
        <v/>
      </c>
      <c r="BN179" s="427" t="str">
        <f>IF(AND($A179&gt;=SYear_O,$A179&lt;=EYear_O,BN$3&gt;0),IF($A179=SYear_O,BN$168*(1+Data_All!BN18%),BN178*(1+Data_All!BN18%)),"")</f>
        <v/>
      </c>
      <c r="BO179" s="427" t="str">
        <f>IF(AND($A179&gt;=SYear_O,$A179&lt;=EYear_O,BO$3&gt;0),IF($A179=SYear_O,BO$168*(1+Data_All!BO18%),BO178*(1+Data_All!BO18%)),"")</f>
        <v/>
      </c>
      <c r="BP179" s="427" t="str">
        <f>IF(AND($A179&gt;=SYear_O,$A179&lt;=EYear_O,BP$3&gt;0),IF($A179=SYear_O,BP$168*(1+Data_All!BP18%),BP178*(1+Data_All!BP18%)),"")</f>
        <v/>
      </c>
      <c r="BQ179" s="427" t="str">
        <f>IF(AND($A179&gt;=SYear_O,$A179&lt;=EYear_O,BQ$3&gt;0),IF($A179=SYear_O,BQ$168*(1+Data_All!BQ18%),BQ178*(1+Data_All!BQ18%)),"")</f>
        <v/>
      </c>
      <c r="BR179" s="427" t="str">
        <f>IF(AND($A179&gt;=SYear_O,$A179&lt;=EYear_O,BR$3&gt;0),IF($A179=SYear_O,BR$168*(1+Data_All!BR18%),BR178*(1+Data_All!BR18%)),"")</f>
        <v/>
      </c>
      <c r="BS179" s="427" t="str">
        <f>IF(AND($A179&gt;=SYear_O,$A179&lt;=EYear_O,BS$3&gt;0),IF($A179=SYear_O,BS$168*(1+Data_All!BS18%),BS178*(1+Data_All!BS18%)),"")</f>
        <v/>
      </c>
      <c r="BT179" s="427" t="str">
        <f>IF(AND($A179&gt;=SYear_O,$A179&lt;=EYear_O,BT$3&gt;0),IF($A179=SYear_O,BT$168*(1+Data_All!BT18%),BT178*(1+Data_All!BT18%)),"")</f>
        <v/>
      </c>
      <c r="BU179" s="427" t="str">
        <f>IF(AND($A179&gt;=SYear_O,$A179&lt;=EYear_O,BU$3&gt;0),IF($A179=SYear_O,BU$168*(1+Data_All!BU18%),BU178*(1+Data_All!BU18%)),"")</f>
        <v/>
      </c>
      <c r="BV179" s="427" t="str">
        <f>IF(AND($A179&gt;=SYear_O,$A179&lt;=EYear_O,BV$3&gt;0),IF($A179=SYear_O,BV$168*(1+Data_All!BV18%),BV178*(1+Data_All!BV18%)),"")</f>
        <v/>
      </c>
      <c r="BW179" s="427" t="str">
        <f>IF(AND($A179&gt;=SYear_O,$A179&lt;=EYear_O,BW$3&gt;0),IF($A179=SYear_O,BW$168*(1+Data_All!BW18%),BW178*(1+Data_All!BW18%)),"")</f>
        <v/>
      </c>
      <c r="BX179" s="427">
        <f>IF(AND($A179&gt;=SYear_O,$A179&lt;=EYear_O,BX$3&gt;0),IF($A179=SYear_O,BX$168*(1+Data_All!BX18%),BX178*(1+Data_All!BX18%)),"")</f>
        <v>15051.428532903556</v>
      </c>
      <c r="BY179" s="427">
        <f>IF(AND($A179&gt;=SYear_O,$A179&lt;=EYear_O,BY$3&gt;0),IF($A179=SYear_O,BY$168*(1+Data_All!BY18%),BY178*(1+Data_All!BY18%)),"")</f>
        <v>7012.3228804749569</v>
      </c>
      <c r="BZ179" s="427" t="str">
        <f>IF(AND($A179&gt;=SYear_O,$A179&lt;=EYear_O,BZ$3&gt;0),IF($A179=SYear_O,BZ$168*(1+Data_All!BZ18%),BZ178*(1+Data_All!BZ18%)),"")</f>
        <v/>
      </c>
      <c r="CA179" s="565">
        <f t="shared" si="92"/>
        <v>1.488905560050084</v>
      </c>
      <c r="CB179" s="427">
        <f t="shared" si="93"/>
        <v>22063.751413378512</v>
      </c>
      <c r="CC179" s="565">
        <f>IF(AND($A179&gt;=SYear_O,$A179&lt;=EYear_O),(CA179-Data_All!CA18)/(1+Data_All!CA18%),"")</f>
        <v>-6.0990035427583038</v>
      </c>
      <c r="CD179" s="436">
        <f t="shared" si="94"/>
        <v>27012.60080517867</v>
      </c>
      <c r="CE179" s="438">
        <f t="shared" si="95"/>
        <v>2.0011654575305196</v>
      </c>
      <c r="CF179" s="438">
        <f>IF(AND($A179&gt;=SYear_O,$A179&lt;=EYear_O),MAX($CE$169:CE179),"")</f>
        <v>2.0011654575305196</v>
      </c>
      <c r="CG179" s="209">
        <f t="shared" si="96"/>
        <v>0</v>
      </c>
      <c r="CN179" s="61">
        <f t="shared" si="97"/>
        <v>1.48890556005008E-2</v>
      </c>
      <c r="CO179" s="61">
        <f t="shared" si="98"/>
        <v>7.5758543318544813E-3</v>
      </c>
      <c r="CP179" s="61">
        <f t="shared" si="99"/>
        <v>2.7406771656693474E-2</v>
      </c>
      <c r="CQ179" s="61">
        <f t="shared" si="100"/>
        <v>2.7509996454898822E-2</v>
      </c>
      <c r="CR179" s="61">
        <f t="shared" si="101"/>
        <v>2.7000165016195954E-2</v>
      </c>
      <c r="CU179" s="61">
        <f t="shared" si="102"/>
        <v>-6.0990035427583078E-2</v>
      </c>
      <c r="CV179" s="61">
        <f t="shared" si="103"/>
        <v>1.44551540778175E-2</v>
      </c>
      <c r="CW179" s="61">
        <f t="shared" si="104"/>
        <v>6.1728895012298945E-2</v>
      </c>
      <c r="CX179" s="61">
        <f t="shared" si="105"/>
        <v>4.7051876040634211E-2</v>
      </c>
      <c r="CY179" s="61">
        <f t="shared" si="106"/>
        <v>5.1008756065124894E-2</v>
      </c>
    </row>
    <row r="180" spans="1:103">
      <c r="A180" s="204">
        <f t="shared" si="107"/>
        <v>1882</v>
      </c>
      <c r="B180" s="427" t="str">
        <f>IF(AND($A180&gt;=SYear_O,$A180&lt;=EYear_O,B$3&gt;0),IF($A180=SYear_O,B$168*(1+Data_All!B19%),B179*(1+Data_All!B19%)),"")</f>
        <v/>
      </c>
      <c r="C180" s="427" t="str">
        <f>IF(AND($A180&gt;=SYear_O,$A180&lt;=EYear_O,C$3&gt;0),IF($A180=SYear_O,C$168*(1+Data_All!C19%),C179*(1+Data_All!C19%)),"")</f>
        <v/>
      </c>
      <c r="D180" s="427" t="str">
        <f>IF(AND($A180&gt;=SYear_O,$A180&lt;=EYear_O,D$3&gt;0),IF($A180=SYear_O,D$168*(1+Data_All!D19%),D179*(1+Data_All!D19%)),"")</f>
        <v/>
      </c>
      <c r="E180" s="427" t="str">
        <f>IF(AND($A180&gt;=SYear_O,$A180&lt;=EYear_O,E$3&gt;0),IF($A180=SYear_O,E$168*(1+Data_All!E19%),E179*(1+Data_All!E19%)),"")</f>
        <v/>
      </c>
      <c r="F180" s="427" t="str">
        <f>IF(AND($A180&gt;=SYear_O,$A180&lt;=EYear_O,F$3&gt;0),IF($A180=SYear_O,F$168*(1+Data_All!F19%),F179*(1+Data_All!F19%)),"")</f>
        <v/>
      </c>
      <c r="G180" s="427" t="str">
        <f>IF(AND($A180&gt;=SYear_O,$A180&lt;=EYear_O,G$3&gt;0),IF($A180=SYear_O,G$168*(1+Data_All!G19%),G179*(1+Data_All!G19%)),"")</f>
        <v/>
      </c>
      <c r="H180" s="427" t="str">
        <f>IF(AND($A180&gt;=SYear_O,$A180&lt;=EYear_O,H$3&gt;0),IF($A180=SYear_O,H$168*(1+Data_All!H19%),H179*(1+Data_All!H19%)),"")</f>
        <v/>
      </c>
      <c r="I180" s="427" t="str">
        <f>IF(AND($A180&gt;=SYear_O,$A180&lt;=EYear_O,I$3&gt;0),IF($A180=SYear_O,I$168*(1+Data_All!I19%),I179*(1+Data_All!I19%)),"")</f>
        <v/>
      </c>
      <c r="J180" s="427" t="str">
        <f>IF(AND($A180&gt;=SYear_O,$A180&lt;=EYear_O,J$3&gt;0),IF($A180=SYear_O,J$168*(1+Data_All!J19%),J179*(1+Data_All!J19%)),"")</f>
        <v/>
      </c>
      <c r="K180" s="427" t="str">
        <f>IF(AND($A180&gt;=SYear_O,$A180&lt;=EYear_O,K$3&gt;0),IF($A180=SYear_O,K$168*(1+Data_All!K19%),K179*(1+Data_All!K19%)),"")</f>
        <v/>
      </c>
      <c r="L180" s="427" t="str">
        <f>IF(AND($A180&gt;=SYear_O,$A180&lt;=EYear_O,L$3&gt;0),IF($A180=SYear_O,L$168*(1+Data_All!L19%),L179*(1+Data_All!L19%)),"")</f>
        <v/>
      </c>
      <c r="M180" s="427" t="str">
        <f>IF(AND($A180&gt;=SYear_O,$A180&lt;=EYear_O,M$3&gt;0),IF($A180=SYear_O,M$168*(1+Data_All!M19%),M179*(1+Data_All!M19%)),"")</f>
        <v/>
      </c>
      <c r="N180" s="427" t="str">
        <f>IF(AND($A180&gt;=SYear_O,$A180&lt;=EYear_O,N$3&gt;0),IF($A180=SYear_O,N$168*(1+Data_All!N19%),N179*(1+Data_All!N19%)),"")</f>
        <v/>
      </c>
      <c r="O180" s="427" t="str">
        <f>IF(AND($A180&gt;=SYear_O,$A180&lt;=EYear_O,O$3&gt;0),IF($A180=SYear_O,O$168*(1+Data_All!O19%),O179*(1+Data_All!O19%)),"")</f>
        <v/>
      </c>
      <c r="P180" s="427" t="str">
        <f>IF(AND($A180&gt;=SYear_O,$A180&lt;=EYear_O,P$3&gt;0),IF($A180=SYear_O,P$168*(1+Data_All!P19%),P179*(1+Data_All!P19%)),"")</f>
        <v/>
      </c>
      <c r="Q180" s="427" t="str">
        <f>IF(AND($A180&gt;=SYear_O,$A180&lt;=EYear_O,Q$3&gt;0),IF($A180=SYear_O,Q$168*(1+Data_All!Q19%),Q179*(1+Data_All!Q19%)),"")</f>
        <v/>
      </c>
      <c r="R180" s="427" t="str">
        <f>IF(AND($A180&gt;=SYear_O,$A180&lt;=EYear_O,R$3&gt;0),IF($A180=SYear_O,R$168*(1+Data_All!R19%),R179*(1+Data_All!R19%)),"")</f>
        <v/>
      </c>
      <c r="S180" s="427" t="str">
        <f>IF(AND($A180&gt;=SYear_O,$A180&lt;=EYear_O,S$3&gt;0),IF($A180=SYear_O,S$168*(1+Data_All!S19%),S179*(1+Data_All!S19%)),"")</f>
        <v/>
      </c>
      <c r="T180" s="427" t="str">
        <f>IF(AND($A180&gt;=SYear_O,$A180&lt;=EYear_O,T$3&gt;0),IF($A180=SYear_O,T$168*(1+Data_All!T19%),T179*(1+Data_All!T19%)),"")</f>
        <v/>
      </c>
      <c r="U180" s="427" t="str">
        <f>IF(AND($A180&gt;=SYear_O,$A180&lt;=EYear_O,U$3&gt;0),IF($A180=SYear_O,U$168*(1+Data_All!U19%),U179*(1+Data_All!U19%)),"")</f>
        <v/>
      </c>
      <c r="V180" s="427" t="str">
        <f>IF(AND($A180&gt;=SYear_O,$A180&lt;=EYear_O,V$3&gt;0),IF($A180=SYear_O,V$168*(1+Data_All!V19%),V179*(1+Data_All!V19%)),"")</f>
        <v/>
      </c>
      <c r="W180" s="427" t="str">
        <f>IF(AND($A180&gt;=SYear_O,$A180&lt;=EYear_O,W$3&gt;0),IF($A180=SYear_O,W$168*(1+Data_All!W19%),W179*(1+Data_All!W19%)),"")</f>
        <v/>
      </c>
      <c r="X180" s="427" t="str">
        <f>IF(AND($A180&gt;=SYear_O,$A180&lt;=EYear_O,X$3&gt;0),IF($A180=SYear_O,X$168*(1+Data_All!X19%),X179*(1+Data_All!X19%)),"")</f>
        <v/>
      </c>
      <c r="Y180" s="427" t="str">
        <f>IF(AND($A180&gt;=SYear_O,$A180&lt;=EYear_O,Y$3&gt;0),IF($A180=SYear_O,Y$168*(1+Data_All!Y19%),Y179*(1+Data_All!Y19%)),"")</f>
        <v/>
      </c>
      <c r="Z180" s="427" t="str">
        <f>IF(AND($A180&gt;=SYear_O,$A180&lt;=EYear_O,Z$3&gt;0),IF($A180=SYear_O,Z$168*(1+Data_All!Z19%),Z179*(1+Data_All!Z19%)),"")</f>
        <v/>
      </c>
      <c r="AA180" s="427" t="str">
        <f>IF(AND($A180&gt;=SYear_O,$A180&lt;=EYear_O,AA$3&gt;0),IF($A180=SYear_O,AA$168*(1+Data_All!AA19%),AA179*(1+Data_All!AA19%)),"")</f>
        <v/>
      </c>
      <c r="AB180" s="427" t="str">
        <f>IF(AND($A180&gt;=SYear_O,$A180&lt;=EYear_O,AB$3&gt;0),IF($A180=SYear_O,AB$168*(1+Data_All!AB19%),AB179*(1+Data_All!AB19%)),"")</f>
        <v/>
      </c>
      <c r="AC180" s="427" t="str">
        <f>IF(AND($A180&gt;=SYear_O,$A180&lt;=EYear_O,AC$3&gt;0),IF($A180=SYear_O,AC$168*(1+Data_All!AC19%),AC179*(1+Data_All!AC19%)),"")</f>
        <v/>
      </c>
      <c r="AD180" s="427" t="str">
        <f>IF(AND($A180&gt;=SYear_O,$A180&lt;=EYear_O,AD$3&gt;0),IF($A180=SYear_O,AD$168*(1+Data_All!AD19%),AD179*(1+Data_All!AD19%)),"")</f>
        <v/>
      </c>
      <c r="AE180" s="427" t="str">
        <f>IF(AND($A180&gt;=SYear_O,$A180&lt;=EYear_O,AE$3&gt;0),IF($A180=SYear_O,AE$168*(1+Data_All!AE19%),AE179*(1+Data_All!AE19%)),"")</f>
        <v/>
      </c>
      <c r="AF180" s="427" t="str">
        <f>IF(AND($A180&gt;=SYear_O,$A180&lt;=EYear_O,AF$3&gt;0),IF($A180=SYear_O,AF$168*(1+Data_All!AF19%),AF179*(1+Data_All!AF19%)),"")</f>
        <v/>
      </c>
      <c r="AG180" s="427" t="str">
        <f>IF(AND($A180&gt;=SYear_O,$A180&lt;=EYear_O,AG$3&gt;0),IF($A180=SYear_O,AG$168*(1+Data_All!AG19%),AG179*(1+Data_All!AG19%)),"")</f>
        <v/>
      </c>
      <c r="AH180" s="427" t="str">
        <f>IF(AND($A180&gt;=SYear_O,$A180&lt;=EYear_O,AH$3&gt;0),IF($A180=SYear_O,AH$168*(1+Data_All!AH19%),AH179*(1+Data_All!AH19%)),"")</f>
        <v/>
      </c>
      <c r="AI180" s="427" t="str">
        <f>IF(AND($A180&gt;=SYear_O,$A180&lt;=EYear_O,AI$3&gt;0),IF($A180=SYear_O,AI$168*(1+Data_All!AI19%),AI179*(1+Data_All!AI19%)),"")</f>
        <v/>
      </c>
      <c r="AJ180" s="427" t="str">
        <f>IF(AND($A180&gt;=SYear_O,$A180&lt;=EYear_O,AJ$3&gt;0),IF($A180=SYear_O,AJ$168*(1+Data_All!AJ19%),AJ179*(1+Data_All!AJ19%)),"")</f>
        <v/>
      </c>
      <c r="AK180" s="427" t="str">
        <f>IF(AND($A180&gt;=SYear_O,$A180&lt;=EYear_O,AK$3&gt;0),IF($A180=SYear_O,AK$168*(1+Data_All!AK19%),AK179*(1+Data_All!AK19%)),"")</f>
        <v/>
      </c>
      <c r="AL180" s="427" t="str">
        <f>IF(AND($A180&gt;=SYear_O,$A180&lt;=EYear_O,AL$3&gt;0),IF($A180=SYear_O,AL$168*(1+Data_All!AL19%),AL179*(1+Data_All!AL19%)),"")</f>
        <v/>
      </c>
      <c r="AM180" s="427" t="str">
        <f>IF(AND($A180&gt;=SYear_O,$A180&lt;=EYear_O,AM$3&gt;0),IF($A180=SYear_O,AM$168*(1+Data_All!AM19%),AM179*(1+Data_All!AM19%)),"")</f>
        <v/>
      </c>
      <c r="AN180" s="427" t="str">
        <f>IF(AND($A180&gt;=SYear_O,$A180&lt;=EYear_O,AN$3&gt;0),IF($A180=SYear_O,AN$168*(1+Data_All!AN19%),AN179*(1+Data_All!AN19%)),"")</f>
        <v/>
      </c>
      <c r="AO180" s="427" t="str">
        <f>IF(AND($A180&gt;=SYear_O,$A180&lt;=EYear_O,AO$3&gt;0),IF($A180=SYear_O,AO$168*(1+Data_All!AO19%),AO179*(1+Data_All!AO19%)),"")</f>
        <v/>
      </c>
      <c r="AP180" s="427" t="str">
        <f>IF(AND($A180&gt;=SYear_O,$A180&lt;=EYear_O,AP$3&gt;0),IF($A180=SYear_O,AP$168*(1+Data_All!AP19%),AP179*(1+Data_All!AP19%)),"")</f>
        <v/>
      </c>
      <c r="AQ180" s="427" t="str">
        <f>IF(AND($A180&gt;=SYear_O,$A180&lt;=EYear_O,AQ$3&gt;0),IF($A180=SYear_O,AQ$168*(1+Data_All!AQ19%),AQ179*(1+Data_All!AQ19%)),"")</f>
        <v/>
      </c>
      <c r="AR180" s="427" t="str">
        <f>IF(AND($A180&gt;=SYear_O,$A180&lt;=EYear_O,AR$3&gt;0),IF($A180=SYear_O,AR$168*(1+Data_All!AR19%),AR179*(1+Data_All!AR19%)),"")</f>
        <v/>
      </c>
      <c r="AS180" s="427" t="str">
        <f>IF(AND($A180&gt;=SYear_O,$A180&lt;=EYear_O,AS$3&gt;0),IF($A180=SYear_O,AS$168*(1+Data_All!AS19%),AS179*(1+Data_All!AS19%)),"")</f>
        <v/>
      </c>
      <c r="AT180" s="427" t="str">
        <f>IF(AND($A180&gt;=SYear_O,$A180&lt;=EYear_O,AT$3&gt;0),IF($A180=SYear_O,AT$168*(1+Data_All!AT19%),AT179*(1+Data_All!AT19%)),"")</f>
        <v/>
      </c>
      <c r="AU180" s="427" t="str">
        <f>IF(AND($A180&gt;=SYear_O,$A180&lt;=EYear_O,AU$3&gt;0),IF($A180=SYear_O,AU$168*(1+Data_All!AU19%),AU179*(1+Data_All!AU19%)),"")</f>
        <v/>
      </c>
      <c r="AV180" s="427" t="str">
        <f>IF(AND($A180&gt;=SYear_O,$A180&lt;=EYear_O,AV$3&gt;0),IF($A180=SYear_O,AV$168*(1+Data_All!AV19%),AV179*(1+Data_All!AV19%)),"")</f>
        <v/>
      </c>
      <c r="AW180" s="427" t="str">
        <f>IF(AND($A180&gt;=SYear_O,$A180&lt;=EYear_O,AW$3&gt;0),IF($A180=SYear_O,AW$168*(1+Data_All!AW19%),AW179*(1+Data_All!AW19%)),"")</f>
        <v/>
      </c>
      <c r="AX180" s="427" t="str">
        <f>IF(AND($A180&gt;=SYear_O,$A180&lt;=EYear_O,AX$3&gt;0),IF($A180=SYear_O,AX$168*(1+Data_All!AX19%),AX179*(1+Data_All!AX19%)),"")</f>
        <v/>
      </c>
      <c r="AY180" s="427" t="str">
        <f>IF(AND($A180&gt;=SYear_O,$A180&lt;=EYear_O,AY$3&gt;0),IF($A180=SYear_O,AY$168*(1+Data_All!AY19%),AY179*(1+Data_All!AY19%)),"")</f>
        <v/>
      </c>
      <c r="AZ180" s="427" t="str">
        <f>IF(AND($A180&gt;=SYear_O,$A180&lt;=EYear_O,AZ$3&gt;0),IF($A180=SYear_O,AZ$168*(1+Data_All!AZ19%),AZ179*(1+Data_All!AZ19%)),"")</f>
        <v/>
      </c>
      <c r="BA180" s="427" t="str">
        <f>IF(AND($A180&gt;=SYear_O,$A180&lt;=EYear_O,BA$3&gt;0),IF($A180=SYear_O,BA$168*(1+Data_All!BA19%),BA179*(1+Data_All!BA19%)),"")</f>
        <v/>
      </c>
      <c r="BB180" s="427" t="str">
        <f>IF(AND($A180&gt;=SYear_O,$A180&lt;=EYear_O,BB$3&gt;0),IF($A180=SYear_O,BB$168*(1+Data_All!BB19%),BB179*(1+Data_All!BB19%)),"")</f>
        <v/>
      </c>
      <c r="BC180" s="427" t="str">
        <f>IF(AND($A180&gt;=SYear_O,$A180&lt;=EYear_O,BC$3&gt;0),IF($A180=SYear_O,BC$168*(1+Data_All!BC19%),BC179*(1+Data_All!BC19%)),"")</f>
        <v/>
      </c>
      <c r="BD180" s="427" t="str">
        <f>IF(AND($A180&gt;=SYear_O,$A180&lt;=EYear_O,BD$3&gt;0),IF($A180=SYear_O,BD$168*(1+Data_All!BD19%),BD179*(1+Data_All!BD19%)),"")</f>
        <v/>
      </c>
      <c r="BE180" s="427" t="str">
        <f>IF(AND($A180&gt;=SYear_O,$A180&lt;=EYear_O,BE$3&gt;0),IF($A180=SYear_O,BE$168*(1+Data_All!BE19%),BE179*(1+Data_All!BE19%)),"")</f>
        <v/>
      </c>
      <c r="BF180" s="427" t="str">
        <f>IF(AND($A180&gt;=SYear_O,$A180&lt;=EYear_O,BF$3&gt;0),IF($A180=SYear_O,BF$168*(1+Data_All!BF19%),BF179*(1+Data_All!BF19%)),"")</f>
        <v/>
      </c>
      <c r="BG180" s="427" t="str">
        <f>IF(AND($A180&gt;=SYear_O,$A180&lt;=EYear_O,BG$3&gt;0),IF($A180=SYear_O,BG$168*(1+Data_All!BG19%),BG179*(1+Data_All!BG19%)),"")</f>
        <v/>
      </c>
      <c r="BH180" s="427" t="str">
        <f>IF(AND($A180&gt;=SYear_O,$A180&lt;=EYear_O,BH$3&gt;0),IF($A180=SYear_O,BH$168*(1+Data_All!BH19%),BH179*(1+Data_All!BH19%)),"")</f>
        <v/>
      </c>
      <c r="BI180" s="427" t="str">
        <f>IF(AND($A180&gt;=SYear_O,$A180&lt;=EYear_O,BI$3&gt;0),IF($A180=SYear_O,BI$168*(1+Data_All!BI19%),BI179*(1+Data_All!BI19%)),"")</f>
        <v/>
      </c>
      <c r="BJ180" s="427" t="str">
        <f>IF(AND($A180&gt;=SYear_O,$A180&lt;=EYear_O,BJ$3&gt;0),IF($A180=SYear_O,BJ$168*(1+Data_All!BJ19%),BJ179*(1+Data_All!BJ19%)),"")</f>
        <v/>
      </c>
      <c r="BK180" s="427" t="str">
        <f>IF(AND($A180&gt;=SYear_O,$A180&lt;=EYear_O,BK$3&gt;0),IF($A180=SYear_O,BK$168*(1+Data_All!BK19%),BK179*(1+Data_All!BK19%)),"")</f>
        <v/>
      </c>
      <c r="BL180" s="427" t="str">
        <f>IF(AND($A180&gt;=SYear_O,$A180&lt;=EYear_O,BL$3&gt;0),IF($A180=SYear_O,BL$168*(1+Data_All!BL19%),BL179*(1+Data_All!BL19%)),"")</f>
        <v/>
      </c>
      <c r="BM180" s="427" t="str">
        <f>IF(AND($A180&gt;=SYear_O,$A180&lt;=EYear_O,BM$3&gt;0),IF($A180=SYear_O,BM$168*(1+Data_All!BM19%),BM179*(1+Data_All!BM19%)),"")</f>
        <v/>
      </c>
      <c r="BN180" s="427" t="str">
        <f>IF(AND($A180&gt;=SYear_O,$A180&lt;=EYear_O,BN$3&gt;0),IF($A180=SYear_O,BN$168*(1+Data_All!BN19%),BN179*(1+Data_All!BN19%)),"")</f>
        <v/>
      </c>
      <c r="BO180" s="427" t="str">
        <f>IF(AND($A180&gt;=SYear_O,$A180&lt;=EYear_O,BO$3&gt;0),IF($A180=SYear_O,BO$168*(1+Data_All!BO19%),BO179*(1+Data_All!BO19%)),"")</f>
        <v/>
      </c>
      <c r="BP180" s="427" t="str">
        <f>IF(AND($A180&gt;=SYear_O,$A180&lt;=EYear_O,BP$3&gt;0),IF($A180=SYear_O,BP$168*(1+Data_All!BP19%),BP179*(1+Data_All!BP19%)),"")</f>
        <v/>
      </c>
      <c r="BQ180" s="427" t="str">
        <f>IF(AND($A180&gt;=SYear_O,$A180&lt;=EYear_O,BQ$3&gt;0),IF($A180=SYear_O,BQ$168*(1+Data_All!BQ19%),BQ179*(1+Data_All!BQ19%)),"")</f>
        <v/>
      </c>
      <c r="BR180" s="427" t="str">
        <f>IF(AND($A180&gt;=SYear_O,$A180&lt;=EYear_O,BR$3&gt;0),IF($A180=SYear_O,BR$168*(1+Data_All!BR19%),BR179*(1+Data_All!BR19%)),"")</f>
        <v/>
      </c>
      <c r="BS180" s="427" t="str">
        <f>IF(AND($A180&gt;=SYear_O,$A180&lt;=EYear_O,BS$3&gt;0),IF($A180=SYear_O,BS$168*(1+Data_All!BS19%),BS179*(1+Data_All!BS19%)),"")</f>
        <v/>
      </c>
      <c r="BT180" s="427" t="str">
        <f>IF(AND($A180&gt;=SYear_O,$A180&lt;=EYear_O,BT$3&gt;0),IF($A180=SYear_O,BT$168*(1+Data_All!BT19%),BT179*(1+Data_All!BT19%)),"")</f>
        <v/>
      </c>
      <c r="BU180" s="427" t="str">
        <f>IF(AND($A180&gt;=SYear_O,$A180&lt;=EYear_O,BU$3&gt;0),IF($A180=SYear_O,BU$168*(1+Data_All!BU19%),BU179*(1+Data_All!BU19%)),"")</f>
        <v/>
      </c>
      <c r="BV180" s="427" t="str">
        <f>IF(AND($A180&gt;=SYear_O,$A180&lt;=EYear_O,BV$3&gt;0),IF($A180=SYear_O,BV$168*(1+Data_All!BV19%),BV179*(1+Data_All!BV19%)),"")</f>
        <v/>
      </c>
      <c r="BW180" s="427" t="str">
        <f>IF(AND($A180&gt;=SYear_O,$A180&lt;=EYear_O,BW$3&gt;0),IF($A180=SYear_O,BW$168*(1+Data_All!BW19%),BW179*(1+Data_All!BW19%)),"")</f>
        <v/>
      </c>
      <c r="BX180" s="427">
        <f>IF(AND($A180&gt;=SYear_O,$A180&lt;=EYear_O,BX$3&gt;0),IF($A180=SYear_O,BX$168*(1+Data_All!BX19%),BX179*(1+Data_All!BX19%)),"")</f>
        <v>15585.347450455878</v>
      </c>
      <c r="BY180" s="427">
        <f>IF(AND($A180&gt;=SYear_O,$A180&lt;=EYear_O,BY$3&gt;0),IF($A180=SYear_O,BY$168*(1+Data_All!BY19%),BY179*(1+Data_All!BY19%)),"")</f>
        <v>7242.4059145612264</v>
      </c>
      <c r="BZ180" s="427" t="str">
        <f>IF(AND($A180&gt;=SYear_O,$A180&lt;=EYear_O,BZ$3&gt;0),IF($A180=SYear_O,BZ$168*(1+Data_All!BZ19%),BZ179*(1+Data_All!BZ19%)),"")</f>
        <v/>
      </c>
      <c r="CA180" s="565">
        <f t="shared" si="92"/>
        <v>3.4627019554586398</v>
      </c>
      <c r="CB180" s="427">
        <f t="shared" si="93"/>
        <v>22827.753365017103</v>
      </c>
      <c r="CC180" s="565">
        <f>IF(AND($A180&gt;=SYear_O,$A180&lt;=EYear_O),(CA180-Data_All!CA19)/(1+Data_All!CA19%),"")</f>
        <v>5.4329787918833441</v>
      </c>
      <c r="CD180" s="436">
        <f t="shared" si="94"/>
        <v>28480.189678060135</v>
      </c>
      <c r="CE180" s="438">
        <f t="shared" si="95"/>
        <v>2.0704598529603917</v>
      </c>
      <c r="CF180" s="438">
        <f>IF(AND($A180&gt;=SYear_O,$A180&lt;=EYear_O),MAX($CE$169:CE180),"")</f>
        <v>2.0704598529603917</v>
      </c>
      <c r="CG180" s="209">
        <f t="shared" si="96"/>
        <v>0</v>
      </c>
      <c r="CN180" s="61">
        <f t="shared" si="97"/>
        <v>3.4627019554586358E-2</v>
      </c>
      <c r="CO180" s="61">
        <f t="shared" si="98"/>
        <v>-1.7721399351544487E-2</v>
      </c>
      <c r="CP180" s="61">
        <f t="shared" si="99"/>
        <v>3.9483037619152617E-2</v>
      </c>
      <c r="CQ180" s="61">
        <f t="shared" si="100"/>
        <v>4.0187134957685E-2</v>
      </c>
      <c r="CR180" s="61">
        <f t="shared" si="101"/>
        <v>2.9226019359515298E-2</v>
      </c>
      <c r="CU180" s="61">
        <f t="shared" si="102"/>
        <v>5.4329787918833361E-2</v>
      </c>
      <c r="CV180" s="61">
        <f t="shared" si="103"/>
        <v>5.2420561157795031E-2</v>
      </c>
      <c r="CW180" s="61">
        <f t="shared" si="104"/>
        <v>9.1034022060380027E-2</v>
      </c>
      <c r="CX180" s="61">
        <f t="shared" si="105"/>
        <v>7.4980974270820955E-2</v>
      </c>
      <c r="CY180" s="61">
        <f t="shared" si="106"/>
        <v>6.0805441815955152E-2</v>
      </c>
    </row>
    <row r="181" spans="1:103">
      <c r="A181" s="204">
        <f t="shared" si="107"/>
        <v>1883</v>
      </c>
      <c r="B181" s="427" t="str">
        <f>IF(AND($A181&gt;=SYear_O,$A181&lt;=EYear_O,B$3&gt;0),IF($A181=SYear_O,B$168*(1+Data_All!B20%),B180*(1+Data_All!B20%)),"")</f>
        <v/>
      </c>
      <c r="C181" s="427" t="str">
        <f>IF(AND($A181&gt;=SYear_O,$A181&lt;=EYear_O,C$3&gt;0),IF($A181=SYear_O,C$168*(1+Data_All!C20%),C180*(1+Data_All!C20%)),"")</f>
        <v/>
      </c>
      <c r="D181" s="427" t="str">
        <f>IF(AND($A181&gt;=SYear_O,$A181&lt;=EYear_O,D$3&gt;0),IF($A181=SYear_O,D$168*(1+Data_All!D20%),D180*(1+Data_All!D20%)),"")</f>
        <v/>
      </c>
      <c r="E181" s="427" t="str">
        <f>IF(AND($A181&gt;=SYear_O,$A181&lt;=EYear_O,E$3&gt;0),IF($A181=SYear_O,E$168*(1+Data_All!E20%),E180*(1+Data_All!E20%)),"")</f>
        <v/>
      </c>
      <c r="F181" s="427" t="str">
        <f>IF(AND($A181&gt;=SYear_O,$A181&lt;=EYear_O,F$3&gt;0),IF($A181=SYear_O,F$168*(1+Data_All!F20%),F180*(1+Data_All!F20%)),"")</f>
        <v/>
      </c>
      <c r="G181" s="427" t="str">
        <f>IF(AND($A181&gt;=SYear_O,$A181&lt;=EYear_O,G$3&gt;0),IF($A181=SYear_O,G$168*(1+Data_All!G20%),G180*(1+Data_All!G20%)),"")</f>
        <v/>
      </c>
      <c r="H181" s="427" t="str">
        <f>IF(AND($A181&gt;=SYear_O,$A181&lt;=EYear_O,H$3&gt;0),IF($A181=SYear_O,H$168*(1+Data_All!H20%),H180*(1+Data_All!H20%)),"")</f>
        <v/>
      </c>
      <c r="I181" s="427" t="str">
        <f>IF(AND($A181&gt;=SYear_O,$A181&lt;=EYear_O,I$3&gt;0),IF($A181=SYear_O,I$168*(1+Data_All!I20%),I180*(1+Data_All!I20%)),"")</f>
        <v/>
      </c>
      <c r="J181" s="427" t="str">
        <f>IF(AND($A181&gt;=SYear_O,$A181&lt;=EYear_O,J$3&gt;0),IF($A181=SYear_O,J$168*(1+Data_All!J20%),J180*(1+Data_All!J20%)),"")</f>
        <v/>
      </c>
      <c r="K181" s="427" t="str">
        <f>IF(AND($A181&gt;=SYear_O,$A181&lt;=EYear_O,K$3&gt;0),IF($A181=SYear_O,K$168*(1+Data_All!K20%),K180*(1+Data_All!K20%)),"")</f>
        <v/>
      </c>
      <c r="L181" s="427" t="str">
        <f>IF(AND($A181&gt;=SYear_O,$A181&lt;=EYear_O,L$3&gt;0),IF($A181=SYear_O,L$168*(1+Data_All!L20%),L180*(1+Data_All!L20%)),"")</f>
        <v/>
      </c>
      <c r="M181" s="427" t="str">
        <f>IF(AND($A181&gt;=SYear_O,$A181&lt;=EYear_O,M$3&gt;0),IF($A181=SYear_O,M$168*(1+Data_All!M20%),M180*(1+Data_All!M20%)),"")</f>
        <v/>
      </c>
      <c r="N181" s="427" t="str">
        <f>IF(AND($A181&gt;=SYear_O,$A181&lt;=EYear_O,N$3&gt;0),IF($A181=SYear_O,N$168*(1+Data_All!N20%),N180*(1+Data_All!N20%)),"")</f>
        <v/>
      </c>
      <c r="O181" s="427" t="str">
        <f>IF(AND($A181&gt;=SYear_O,$A181&lt;=EYear_O,O$3&gt;0),IF($A181=SYear_O,O$168*(1+Data_All!O20%),O180*(1+Data_All!O20%)),"")</f>
        <v/>
      </c>
      <c r="P181" s="427" t="str">
        <f>IF(AND($A181&gt;=SYear_O,$A181&lt;=EYear_O,P$3&gt;0),IF($A181=SYear_O,P$168*(1+Data_All!P20%),P180*(1+Data_All!P20%)),"")</f>
        <v/>
      </c>
      <c r="Q181" s="427" t="str">
        <f>IF(AND($A181&gt;=SYear_O,$A181&lt;=EYear_O,Q$3&gt;0),IF($A181=SYear_O,Q$168*(1+Data_All!Q20%),Q180*(1+Data_All!Q20%)),"")</f>
        <v/>
      </c>
      <c r="R181" s="427" t="str">
        <f>IF(AND($A181&gt;=SYear_O,$A181&lt;=EYear_O,R$3&gt;0),IF($A181=SYear_O,R$168*(1+Data_All!R20%),R180*(1+Data_All!R20%)),"")</f>
        <v/>
      </c>
      <c r="S181" s="427" t="str">
        <f>IF(AND($A181&gt;=SYear_O,$A181&lt;=EYear_O,S$3&gt;0),IF($A181=SYear_O,S$168*(1+Data_All!S20%),S180*(1+Data_All!S20%)),"")</f>
        <v/>
      </c>
      <c r="T181" s="427" t="str">
        <f>IF(AND($A181&gt;=SYear_O,$A181&lt;=EYear_O,T$3&gt;0),IF($A181=SYear_O,T$168*(1+Data_All!T20%),T180*(1+Data_All!T20%)),"")</f>
        <v/>
      </c>
      <c r="U181" s="427" t="str">
        <f>IF(AND($A181&gt;=SYear_O,$A181&lt;=EYear_O,U$3&gt;0),IF($A181=SYear_O,U$168*(1+Data_All!U20%),U180*(1+Data_All!U20%)),"")</f>
        <v/>
      </c>
      <c r="V181" s="427" t="str">
        <f>IF(AND($A181&gt;=SYear_O,$A181&lt;=EYear_O,V$3&gt;0),IF($A181=SYear_O,V$168*(1+Data_All!V20%),V180*(1+Data_All!V20%)),"")</f>
        <v/>
      </c>
      <c r="W181" s="427" t="str">
        <f>IF(AND($A181&gt;=SYear_O,$A181&lt;=EYear_O,W$3&gt;0),IF($A181=SYear_O,W$168*(1+Data_All!W20%),W180*(1+Data_All!W20%)),"")</f>
        <v/>
      </c>
      <c r="X181" s="427" t="str">
        <f>IF(AND($A181&gt;=SYear_O,$A181&lt;=EYear_O,X$3&gt;0),IF($A181=SYear_O,X$168*(1+Data_All!X20%),X180*(1+Data_All!X20%)),"")</f>
        <v/>
      </c>
      <c r="Y181" s="427" t="str">
        <f>IF(AND($A181&gt;=SYear_O,$A181&lt;=EYear_O,Y$3&gt;0),IF($A181=SYear_O,Y$168*(1+Data_All!Y20%),Y180*(1+Data_All!Y20%)),"")</f>
        <v/>
      </c>
      <c r="Z181" s="427" t="str">
        <f>IF(AND($A181&gt;=SYear_O,$A181&lt;=EYear_O,Z$3&gt;0),IF($A181=SYear_O,Z$168*(1+Data_All!Z20%),Z180*(1+Data_All!Z20%)),"")</f>
        <v/>
      </c>
      <c r="AA181" s="427" t="str">
        <f>IF(AND($A181&gt;=SYear_O,$A181&lt;=EYear_O,AA$3&gt;0),IF($A181=SYear_O,AA$168*(1+Data_All!AA20%),AA180*(1+Data_All!AA20%)),"")</f>
        <v/>
      </c>
      <c r="AB181" s="427" t="str">
        <f>IF(AND($A181&gt;=SYear_O,$A181&lt;=EYear_O,AB$3&gt;0),IF($A181=SYear_O,AB$168*(1+Data_All!AB20%),AB180*(1+Data_All!AB20%)),"")</f>
        <v/>
      </c>
      <c r="AC181" s="427" t="str">
        <f>IF(AND($A181&gt;=SYear_O,$A181&lt;=EYear_O,AC$3&gt;0),IF($A181=SYear_O,AC$168*(1+Data_All!AC20%),AC180*(1+Data_All!AC20%)),"")</f>
        <v/>
      </c>
      <c r="AD181" s="427" t="str">
        <f>IF(AND($A181&gt;=SYear_O,$A181&lt;=EYear_O,AD$3&gt;0),IF($A181=SYear_O,AD$168*(1+Data_All!AD20%),AD180*(1+Data_All!AD20%)),"")</f>
        <v/>
      </c>
      <c r="AE181" s="427" t="str">
        <f>IF(AND($A181&gt;=SYear_O,$A181&lt;=EYear_O,AE$3&gt;0),IF($A181=SYear_O,AE$168*(1+Data_All!AE20%),AE180*(1+Data_All!AE20%)),"")</f>
        <v/>
      </c>
      <c r="AF181" s="427" t="str">
        <f>IF(AND($A181&gt;=SYear_O,$A181&lt;=EYear_O,AF$3&gt;0),IF($A181=SYear_O,AF$168*(1+Data_All!AF20%),AF180*(1+Data_All!AF20%)),"")</f>
        <v/>
      </c>
      <c r="AG181" s="427" t="str">
        <f>IF(AND($A181&gt;=SYear_O,$A181&lt;=EYear_O,AG$3&gt;0),IF($A181=SYear_O,AG$168*(1+Data_All!AG20%),AG180*(1+Data_All!AG20%)),"")</f>
        <v/>
      </c>
      <c r="AH181" s="427" t="str">
        <f>IF(AND($A181&gt;=SYear_O,$A181&lt;=EYear_O,AH$3&gt;0),IF($A181=SYear_O,AH$168*(1+Data_All!AH20%),AH180*(1+Data_All!AH20%)),"")</f>
        <v/>
      </c>
      <c r="AI181" s="427" t="str">
        <f>IF(AND($A181&gt;=SYear_O,$A181&lt;=EYear_O,AI$3&gt;0),IF($A181=SYear_O,AI$168*(1+Data_All!AI20%),AI180*(1+Data_All!AI20%)),"")</f>
        <v/>
      </c>
      <c r="AJ181" s="427" t="str">
        <f>IF(AND($A181&gt;=SYear_O,$A181&lt;=EYear_O,AJ$3&gt;0),IF($A181=SYear_O,AJ$168*(1+Data_All!AJ20%),AJ180*(1+Data_All!AJ20%)),"")</f>
        <v/>
      </c>
      <c r="AK181" s="427" t="str">
        <f>IF(AND($A181&gt;=SYear_O,$A181&lt;=EYear_O,AK$3&gt;0),IF($A181=SYear_O,AK$168*(1+Data_All!AK20%),AK180*(1+Data_All!AK20%)),"")</f>
        <v/>
      </c>
      <c r="AL181" s="427" t="str">
        <f>IF(AND($A181&gt;=SYear_O,$A181&lt;=EYear_O,AL$3&gt;0),IF($A181=SYear_O,AL$168*(1+Data_All!AL20%),AL180*(1+Data_All!AL20%)),"")</f>
        <v/>
      </c>
      <c r="AM181" s="427" t="str">
        <f>IF(AND($A181&gt;=SYear_O,$A181&lt;=EYear_O,AM$3&gt;0),IF($A181=SYear_O,AM$168*(1+Data_All!AM20%),AM180*(1+Data_All!AM20%)),"")</f>
        <v/>
      </c>
      <c r="AN181" s="427" t="str">
        <f>IF(AND($A181&gt;=SYear_O,$A181&lt;=EYear_O,AN$3&gt;0),IF($A181=SYear_O,AN$168*(1+Data_All!AN20%),AN180*(1+Data_All!AN20%)),"")</f>
        <v/>
      </c>
      <c r="AO181" s="427" t="str">
        <f>IF(AND($A181&gt;=SYear_O,$A181&lt;=EYear_O,AO$3&gt;0),IF($A181=SYear_O,AO$168*(1+Data_All!AO20%),AO180*(1+Data_All!AO20%)),"")</f>
        <v/>
      </c>
      <c r="AP181" s="427" t="str">
        <f>IF(AND($A181&gt;=SYear_O,$A181&lt;=EYear_O,AP$3&gt;0),IF($A181=SYear_O,AP$168*(1+Data_All!AP20%),AP180*(1+Data_All!AP20%)),"")</f>
        <v/>
      </c>
      <c r="AQ181" s="427" t="str">
        <f>IF(AND($A181&gt;=SYear_O,$A181&lt;=EYear_O,AQ$3&gt;0),IF($A181=SYear_O,AQ$168*(1+Data_All!AQ20%),AQ180*(1+Data_All!AQ20%)),"")</f>
        <v/>
      </c>
      <c r="AR181" s="427" t="str">
        <f>IF(AND($A181&gt;=SYear_O,$A181&lt;=EYear_O,AR$3&gt;0),IF($A181=SYear_O,AR$168*(1+Data_All!AR20%),AR180*(1+Data_All!AR20%)),"")</f>
        <v/>
      </c>
      <c r="AS181" s="427" t="str">
        <f>IF(AND($A181&gt;=SYear_O,$A181&lt;=EYear_O,AS$3&gt;0),IF($A181=SYear_O,AS$168*(1+Data_All!AS20%),AS180*(1+Data_All!AS20%)),"")</f>
        <v/>
      </c>
      <c r="AT181" s="427" t="str">
        <f>IF(AND($A181&gt;=SYear_O,$A181&lt;=EYear_O,AT$3&gt;0),IF($A181=SYear_O,AT$168*(1+Data_All!AT20%),AT180*(1+Data_All!AT20%)),"")</f>
        <v/>
      </c>
      <c r="AU181" s="427" t="str">
        <f>IF(AND($A181&gt;=SYear_O,$A181&lt;=EYear_O,AU$3&gt;0),IF($A181=SYear_O,AU$168*(1+Data_All!AU20%),AU180*(1+Data_All!AU20%)),"")</f>
        <v/>
      </c>
      <c r="AV181" s="427" t="str">
        <f>IF(AND($A181&gt;=SYear_O,$A181&lt;=EYear_O,AV$3&gt;0),IF($A181=SYear_O,AV$168*(1+Data_All!AV20%),AV180*(1+Data_All!AV20%)),"")</f>
        <v/>
      </c>
      <c r="AW181" s="427" t="str">
        <f>IF(AND($A181&gt;=SYear_O,$A181&lt;=EYear_O,AW$3&gt;0),IF($A181=SYear_O,AW$168*(1+Data_All!AW20%),AW180*(1+Data_All!AW20%)),"")</f>
        <v/>
      </c>
      <c r="AX181" s="427" t="str">
        <f>IF(AND($A181&gt;=SYear_O,$A181&lt;=EYear_O,AX$3&gt;0),IF($A181=SYear_O,AX$168*(1+Data_All!AX20%),AX180*(1+Data_All!AX20%)),"")</f>
        <v/>
      </c>
      <c r="AY181" s="427" t="str">
        <f>IF(AND($A181&gt;=SYear_O,$A181&lt;=EYear_O,AY$3&gt;0),IF($A181=SYear_O,AY$168*(1+Data_All!AY20%),AY180*(1+Data_All!AY20%)),"")</f>
        <v/>
      </c>
      <c r="AZ181" s="427" t="str">
        <f>IF(AND($A181&gt;=SYear_O,$A181&lt;=EYear_O,AZ$3&gt;0),IF($A181=SYear_O,AZ$168*(1+Data_All!AZ20%),AZ180*(1+Data_All!AZ20%)),"")</f>
        <v/>
      </c>
      <c r="BA181" s="427" t="str">
        <f>IF(AND($A181&gt;=SYear_O,$A181&lt;=EYear_O,BA$3&gt;0),IF($A181=SYear_O,BA$168*(1+Data_All!BA20%),BA180*(1+Data_All!BA20%)),"")</f>
        <v/>
      </c>
      <c r="BB181" s="427" t="str">
        <f>IF(AND($A181&gt;=SYear_O,$A181&lt;=EYear_O,BB$3&gt;0),IF($A181=SYear_O,BB$168*(1+Data_All!BB20%),BB180*(1+Data_All!BB20%)),"")</f>
        <v/>
      </c>
      <c r="BC181" s="427" t="str">
        <f>IF(AND($A181&gt;=SYear_O,$A181&lt;=EYear_O,BC$3&gt;0),IF($A181=SYear_O,BC$168*(1+Data_All!BC20%),BC180*(1+Data_All!BC20%)),"")</f>
        <v/>
      </c>
      <c r="BD181" s="427" t="str">
        <f>IF(AND($A181&gt;=SYear_O,$A181&lt;=EYear_O,BD$3&gt;0),IF($A181=SYear_O,BD$168*(1+Data_All!BD20%),BD180*(1+Data_All!BD20%)),"")</f>
        <v/>
      </c>
      <c r="BE181" s="427" t="str">
        <f>IF(AND($A181&gt;=SYear_O,$A181&lt;=EYear_O,BE$3&gt;0),IF($A181=SYear_O,BE$168*(1+Data_All!BE20%),BE180*(1+Data_All!BE20%)),"")</f>
        <v/>
      </c>
      <c r="BF181" s="427" t="str">
        <f>IF(AND($A181&gt;=SYear_O,$A181&lt;=EYear_O,BF$3&gt;0),IF($A181=SYear_O,BF$168*(1+Data_All!BF20%),BF180*(1+Data_All!BF20%)),"")</f>
        <v/>
      </c>
      <c r="BG181" s="427" t="str">
        <f>IF(AND($A181&gt;=SYear_O,$A181&lt;=EYear_O,BG$3&gt;0),IF($A181=SYear_O,BG$168*(1+Data_All!BG20%),BG180*(1+Data_All!BG20%)),"")</f>
        <v/>
      </c>
      <c r="BH181" s="427" t="str">
        <f>IF(AND($A181&gt;=SYear_O,$A181&lt;=EYear_O,BH$3&gt;0),IF($A181=SYear_O,BH$168*(1+Data_All!BH20%),BH180*(1+Data_All!BH20%)),"")</f>
        <v/>
      </c>
      <c r="BI181" s="427" t="str">
        <f>IF(AND($A181&gt;=SYear_O,$A181&lt;=EYear_O,BI$3&gt;0),IF($A181=SYear_O,BI$168*(1+Data_All!BI20%),BI180*(1+Data_All!BI20%)),"")</f>
        <v/>
      </c>
      <c r="BJ181" s="427" t="str">
        <f>IF(AND($A181&gt;=SYear_O,$A181&lt;=EYear_O,BJ$3&gt;0),IF($A181=SYear_O,BJ$168*(1+Data_All!BJ20%),BJ180*(1+Data_All!BJ20%)),"")</f>
        <v/>
      </c>
      <c r="BK181" s="427" t="str">
        <f>IF(AND($A181&gt;=SYear_O,$A181&lt;=EYear_O,BK$3&gt;0),IF($A181=SYear_O,BK$168*(1+Data_All!BK20%),BK180*(1+Data_All!BK20%)),"")</f>
        <v/>
      </c>
      <c r="BL181" s="427" t="str">
        <f>IF(AND($A181&gt;=SYear_O,$A181&lt;=EYear_O,BL$3&gt;0),IF($A181=SYear_O,BL$168*(1+Data_All!BL20%),BL180*(1+Data_All!BL20%)),"")</f>
        <v/>
      </c>
      <c r="BM181" s="427" t="str">
        <f>IF(AND($A181&gt;=SYear_O,$A181&lt;=EYear_O,BM$3&gt;0),IF($A181=SYear_O,BM$168*(1+Data_All!BM20%),BM180*(1+Data_All!BM20%)),"")</f>
        <v/>
      </c>
      <c r="BN181" s="427" t="str">
        <f>IF(AND($A181&gt;=SYear_O,$A181&lt;=EYear_O,BN$3&gt;0),IF($A181=SYear_O,BN$168*(1+Data_All!BN20%),BN180*(1+Data_All!BN20%)),"")</f>
        <v/>
      </c>
      <c r="BO181" s="427" t="str">
        <f>IF(AND($A181&gt;=SYear_O,$A181&lt;=EYear_O,BO$3&gt;0),IF($A181=SYear_O,BO$168*(1+Data_All!BO20%),BO180*(1+Data_All!BO20%)),"")</f>
        <v/>
      </c>
      <c r="BP181" s="427" t="str">
        <f>IF(AND($A181&gt;=SYear_O,$A181&lt;=EYear_O,BP$3&gt;0),IF($A181=SYear_O,BP$168*(1+Data_All!BP20%),BP180*(1+Data_All!BP20%)),"")</f>
        <v/>
      </c>
      <c r="BQ181" s="427" t="str">
        <f>IF(AND($A181&gt;=SYear_O,$A181&lt;=EYear_O,BQ$3&gt;0),IF($A181=SYear_O,BQ$168*(1+Data_All!BQ20%),BQ180*(1+Data_All!BQ20%)),"")</f>
        <v/>
      </c>
      <c r="BR181" s="427" t="str">
        <f>IF(AND($A181&gt;=SYear_O,$A181&lt;=EYear_O,BR$3&gt;0),IF($A181=SYear_O,BR$168*(1+Data_All!BR20%),BR180*(1+Data_All!BR20%)),"")</f>
        <v/>
      </c>
      <c r="BS181" s="427" t="str">
        <f>IF(AND($A181&gt;=SYear_O,$A181&lt;=EYear_O,BS$3&gt;0),IF($A181=SYear_O,BS$168*(1+Data_All!BS20%),BS180*(1+Data_All!BS20%)),"")</f>
        <v/>
      </c>
      <c r="BT181" s="427" t="str">
        <f>IF(AND($A181&gt;=SYear_O,$A181&lt;=EYear_O,BT$3&gt;0),IF($A181=SYear_O,BT$168*(1+Data_All!BT20%),BT180*(1+Data_All!BT20%)),"")</f>
        <v/>
      </c>
      <c r="BU181" s="427" t="str">
        <f>IF(AND($A181&gt;=SYear_O,$A181&lt;=EYear_O,BU$3&gt;0),IF($A181=SYear_O,BU$168*(1+Data_All!BU20%),BU180*(1+Data_All!BU20%)),"")</f>
        <v/>
      </c>
      <c r="BV181" s="427" t="str">
        <f>IF(AND($A181&gt;=SYear_O,$A181&lt;=EYear_O,BV$3&gt;0),IF($A181=SYear_O,BV$168*(1+Data_All!BV20%),BV180*(1+Data_All!BV20%)),"")</f>
        <v/>
      </c>
      <c r="BW181" s="427" t="str">
        <f>IF(AND($A181&gt;=SYear_O,$A181&lt;=EYear_O,BW$3&gt;0),IF($A181=SYear_O,BW$168*(1+Data_All!BW20%),BW180*(1+Data_All!BW20%)),"")</f>
        <v/>
      </c>
      <c r="BX181" s="427">
        <f>IF(AND($A181&gt;=SYear_O,$A181&lt;=EYear_O,BX$3&gt;0),IF($A181=SYear_O,BX$168*(1+Data_All!BX20%),BX180*(1+Data_All!BX20%)),"")</f>
        <v>14780.596291224078</v>
      </c>
      <c r="BY181" s="427">
        <f>IF(AND($A181&gt;=SYear_O,$A181&lt;=EYear_O,BY$3&gt;0),IF($A181=SYear_O,BY$168*(1+Data_All!BY20%),BY180*(1+Data_All!BY20%)),"")</f>
        <v>7457.3174341683634</v>
      </c>
      <c r="BZ181" s="427" t="str">
        <f>IF(AND($A181&gt;=SYear_O,$A181&lt;=EYear_O,BZ$3&gt;0),IF($A181=SYear_O,BZ$168*(1+Data_All!BZ20%),BZ180*(1+Data_All!BZ20%)),"")</f>
        <v/>
      </c>
      <c r="CA181" s="565">
        <f t="shared" si="92"/>
        <v>-2.5838707392404792</v>
      </c>
      <c r="CB181" s="427">
        <f t="shared" si="93"/>
        <v>22237.913725392442</v>
      </c>
      <c r="CC181" s="565">
        <f>IF(AND($A181&gt;=SYear_O,$A181&lt;=EYear_O),(CA181-Data_All!CA20)/(1+Data_All!CA20%),"")</f>
        <v>5.4512861943291924</v>
      </c>
      <c r="CD181" s="436">
        <f t="shared" si="94"/>
        <v>30032.726326098997</v>
      </c>
      <c r="CE181" s="438">
        <f t="shared" si="95"/>
        <v>2.0169618466520265</v>
      </c>
      <c r="CF181" s="438">
        <f>IF(AND($A181&gt;=SYear_O,$A181&lt;=EYear_O),MAX($CE$169:CE181),"")</f>
        <v>2.0704598529603917</v>
      </c>
      <c r="CG181" s="209">
        <f t="shared" si="96"/>
        <v>2.5838707392404903E-2</v>
      </c>
      <c r="CN181" s="61">
        <f t="shared" si="97"/>
        <v>-2.5838707392404792E-2</v>
      </c>
      <c r="CO181" s="61">
        <f t="shared" si="98"/>
        <v>2.9208216581199986E-2</v>
      </c>
      <c r="CP181" s="61">
        <f t="shared" si="99"/>
        <v>3.4960799483301441E-2</v>
      </c>
      <c r="CQ181" s="61">
        <f t="shared" si="100"/>
        <v>3.9557674451728309E-2</v>
      </c>
      <c r="CR181" s="61">
        <f t="shared" si="101"/>
        <v>3.5912730126043568E-2</v>
      </c>
      <c r="CU181" s="61">
        <f t="shared" si="102"/>
        <v>5.4512861943291968E-2</v>
      </c>
      <c r="CV181" s="61">
        <f t="shared" si="103"/>
        <v>0.10868243978135261</v>
      </c>
      <c r="CW181" s="61">
        <f t="shared" si="104"/>
        <v>7.2173987731163125E-2</v>
      </c>
      <c r="CX181" s="61">
        <f t="shared" si="105"/>
        <v>6.4289702375864399E-2</v>
      </c>
      <c r="CY181" s="61">
        <f t="shared" si="106"/>
        <v>6.4296673390035641E-2</v>
      </c>
    </row>
    <row r="182" spans="1:103">
      <c r="A182" s="204">
        <f t="shared" si="107"/>
        <v>1884</v>
      </c>
      <c r="B182" s="427" t="str">
        <f>IF(AND($A182&gt;=SYear_O,$A182&lt;=EYear_O,B$3&gt;0),IF($A182=SYear_O,B$168*(1+Data_All!B21%),B181*(1+Data_All!B21%)),"")</f>
        <v/>
      </c>
      <c r="C182" s="427" t="str">
        <f>IF(AND($A182&gt;=SYear_O,$A182&lt;=EYear_O,C$3&gt;0),IF($A182=SYear_O,C$168*(1+Data_All!C21%),C181*(1+Data_All!C21%)),"")</f>
        <v/>
      </c>
      <c r="D182" s="427" t="str">
        <f>IF(AND($A182&gt;=SYear_O,$A182&lt;=EYear_O,D$3&gt;0),IF($A182=SYear_O,D$168*(1+Data_All!D21%),D181*(1+Data_All!D21%)),"")</f>
        <v/>
      </c>
      <c r="E182" s="427" t="str">
        <f>IF(AND($A182&gt;=SYear_O,$A182&lt;=EYear_O,E$3&gt;0),IF($A182=SYear_O,E$168*(1+Data_All!E21%),E181*(1+Data_All!E21%)),"")</f>
        <v/>
      </c>
      <c r="F182" s="427" t="str">
        <f>IF(AND($A182&gt;=SYear_O,$A182&lt;=EYear_O,F$3&gt;0),IF($A182=SYear_O,F$168*(1+Data_All!F21%),F181*(1+Data_All!F21%)),"")</f>
        <v/>
      </c>
      <c r="G182" s="427" t="str">
        <f>IF(AND($A182&gt;=SYear_O,$A182&lt;=EYear_O,G$3&gt;0),IF($A182=SYear_O,G$168*(1+Data_All!G21%),G181*(1+Data_All!G21%)),"")</f>
        <v/>
      </c>
      <c r="H182" s="427" t="str">
        <f>IF(AND($A182&gt;=SYear_O,$A182&lt;=EYear_O,H$3&gt;0),IF($A182=SYear_O,H$168*(1+Data_All!H21%),H181*(1+Data_All!H21%)),"")</f>
        <v/>
      </c>
      <c r="I182" s="427" t="str">
        <f>IF(AND($A182&gt;=SYear_O,$A182&lt;=EYear_O,I$3&gt;0),IF($A182=SYear_O,I$168*(1+Data_All!I21%),I181*(1+Data_All!I21%)),"")</f>
        <v/>
      </c>
      <c r="J182" s="427" t="str">
        <f>IF(AND($A182&gt;=SYear_O,$A182&lt;=EYear_O,J$3&gt;0),IF($A182=SYear_O,J$168*(1+Data_All!J21%),J181*(1+Data_All!J21%)),"")</f>
        <v/>
      </c>
      <c r="K182" s="427" t="str">
        <f>IF(AND($A182&gt;=SYear_O,$A182&lt;=EYear_O,K$3&gt;0),IF($A182=SYear_O,K$168*(1+Data_All!K21%),K181*(1+Data_All!K21%)),"")</f>
        <v/>
      </c>
      <c r="L182" s="427" t="str">
        <f>IF(AND($A182&gt;=SYear_O,$A182&lt;=EYear_O,L$3&gt;0),IF($A182=SYear_O,L$168*(1+Data_All!L21%),L181*(1+Data_All!L21%)),"")</f>
        <v/>
      </c>
      <c r="M182" s="427" t="str">
        <f>IF(AND($A182&gt;=SYear_O,$A182&lt;=EYear_O,M$3&gt;0),IF($A182=SYear_O,M$168*(1+Data_All!M21%),M181*(1+Data_All!M21%)),"")</f>
        <v/>
      </c>
      <c r="N182" s="427" t="str">
        <f>IF(AND($A182&gt;=SYear_O,$A182&lt;=EYear_O,N$3&gt;0),IF($A182=SYear_O,N$168*(1+Data_All!N21%),N181*(1+Data_All!N21%)),"")</f>
        <v/>
      </c>
      <c r="O182" s="427" t="str">
        <f>IF(AND($A182&gt;=SYear_O,$A182&lt;=EYear_O,O$3&gt;0),IF($A182=SYear_O,O$168*(1+Data_All!O21%),O181*(1+Data_All!O21%)),"")</f>
        <v/>
      </c>
      <c r="P182" s="427" t="str">
        <f>IF(AND($A182&gt;=SYear_O,$A182&lt;=EYear_O,P$3&gt;0),IF($A182=SYear_O,P$168*(1+Data_All!P21%),P181*(1+Data_All!P21%)),"")</f>
        <v/>
      </c>
      <c r="Q182" s="427" t="str">
        <f>IF(AND($A182&gt;=SYear_O,$A182&lt;=EYear_O,Q$3&gt;0),IF($A182=SYear_O,Q$168*(1+Data_All!Q21%),Q181*(1+Data_All!Q21%)),"")</f>
        <v/>
      </c>
      <c r="R182" s="427" t="str">
        <f>IF(AND($A182&gt;=SYear_O,$A182&lt;=EYear_O,R$3&gt;0),IF($A182=SYear_O,R$168*(1+Data_All!R21%),R181*(1+Data_All!R21%)),"")</f>
        <v/>
      </c>
      <c r="S182" s="427" t="str">
        <f>IF(AND($A182&gt;=SYear_O,$A182&lt;=EYear_O,S$3&gt;0),IF($A182=SYear_O,S$168*(1+Data_All!S21%),S181*(1+Data_All!S21%)),"")</f>
        <v/>
      </c>
      <c r="T182" s="427" t="str">
        <f>IF(AND($A182&gt;=SYear_O,$A182&lt;=EYear_O,T$3&gt;0),IF($A182=SYear_O,T$168*(1+Data_All!T21%),T181*(1+Data_All!T21%)),"")</f>
        <v/>
      </c>
      <c r="U182" s="427" t="str">
        <f>IF(AND($A182&gt;=SYear_O,$A182&lt;=EYear_O,U$3&gt;0),IF($A182=SYear_O,U$168*(1+Data_All!U21%),U181*(1+Data_All!U21%)),"")</f>
        <v/>
      </c>
      <c r="V182" s="427" t="str">
        <f>IF(AND($A182&gt;=SYear_O,$A182&lt;=EYear_O,V$3&gt;0),IF($A182=SYear_O,V$168*(1+Data_All!V21%),V181*(1+Data_All!V21%)),"")</f>
        <v/>
      </c>
      <c r="W182" s="427" t="str">
        <f>IF(AND($A182&gt;=SYear_O,$A182&lt;=EYear_O,W$3&gt;0),IF($A182=SYear_O,W$168*(1+Data_All!W21%),W181*(1+Data_All!W21%)),"")</f>
        <v/>
      </c>
      <c r="X182" s="427" t="str">
        <f>IF(AND($A182&gt;=SYear_O,$A182&lt;=EYear_O,X$3&gt;0),IF($A182=SYear_O,X$168*(1+Data_All!X21%),X181*(1+Data_All!X21%)),"")</f>
        <v/>
      </c>
      <c r="Y182" s="427" t="str">
        <f>IF(AND($A182&gt;=SYear_O,$A182&lt;=EYear_O,Y$3&gt;0),IF($A182=SYear_O,Y$168*(1+Data_All!Y21%),Y181*(1+Data_All!Y21%)),"")</f>
        <v/>
      </c>
      <c r="Z182" s="427" t="str">
        <f>IF(AND($A182&gt;=SYear_O,$A182&lt;=EYear_O,Z$3&gt;0),IF($A182=SYear_O,Z$168*(1+Data_All!Z21%),Z181*(1+Data_All!Z21%)),"")</f>
        <v/>
      </c>
      <c r="AA182" s="427" t="str">
        <f>IF(AND($A182&gt;=SYear_O,$A182&lt;=EYear_O,AA$3&gt;0),IF($A182=SYear_O,AA$168*(1+Data_All!AA21%),AA181*(1+Data_All!AA21%)),"")</f>
        <v/>
      </c>
      <c r="AB182" s="427" t="str">
        <f>IF(AND($A182&gt;=SYear_O,$A182&lt;=EYear_O,AB$3&gt;0),IF($A182=SYear_O,AB$168*(1+Data_All!AB21%),AB181*(1+Data_All!AB21%)),"")</f>
        <v/>
      </c>
      <c r="AC182" s="427" t="str">
        <f>IF(AND($A182&gt;=SYear_O,$A182&lt;=EYear_O,AC$3&gt;0),IF($A182=SYear_O,AC$168*(1+Data_All!AC21%),AC181*(1+Data_All!AC21%)),"")</f>
        <v/>
      </c>
      <c r="AD182" s="427" t="str">
        <f>IF(AND($A182&gt;=SYear_O,$A182&lt;=EYear_O,AD$3&gt;0),IF($A182=SYear_O,AD$168*(1+Data_All!AD21%),AD181*(1+Data_All!AD21%)),"")</f>
        <v/>
      </c>
      <c r="AE182" s="427" t="str">
        <f>IF(AND($A182&gt;=SYear_O,$A182&lt;=EYear_O,AE$3&gt;0),IF($A182=SYear_O,AE$168*(1+Data_All!AE21%),AE181*(1+Data_All!AE21%)),"")</f>
        <v/>
      </c>
      <c r="AF182" s="427" t="str">
        <f>IF(AND($A182&gt;=SYear_O,$A182&lt;=EYear_O,AF$3&gt;0),IF($A182=SYear_O,AF$168*(1+Data_All!AF21%),AF181*(1+Data_All!AF21%)),"")</f>
        <v/>
      </c>
      <c r="AG182" s="427" t="str">
        <f>IF(AND($A182&gt;=SYear_O,$A182&lt;=EYear_O,AG$3&gt;0),IF($A182=SYear_O,AG$168*(1+Data_All!AG21%),AG181*(1+Data_All!AG21%)),"")</f>
        <v/>
      </c>
      <c r="AH182" s="427" t="str">
        <f>IF(AND($A182&gt;=SYear_O,$A182&lt;=EYear_O,AH$3&gt;0),IF($A182=SYear_O,AH$168*(1+Data_All!AH21%),AH181*(1+Data_All!AH21%)),"")</f>
        <v/>
      </c>
      <c r="AI182" s="427" t="str">
        <f>IF(AND($A182&gt;=SYear_O,$A182&lt;=EYear_O,AI$3&gt;0),IF($A182=SYear_O,AI$168*(1+Data_All!AI21%),AI181*(1+Data_All!AI21%)),"")</f>
        <v/>
      </c>
      <c r="AJ182" s="427" t="str">
        <f>IF(AND($A182&gt;=SYear_O,$A182&lt;=EYear_O,AJ$3&gt;0),IF($A182=SYear_O,AJ$168*(1+Data_All!AJ21%),AJ181*(1+Data_All!AJ21%)),"")</f>
        <v/>
      </c>
      <c r="AK182" s="427" t="str">
        <f>IF(AND($A182&gt;=SYear_O,$A182&lt;=EYear_O,AK$3&gt;0),IF($A182=SYear_O,AK$168*(1+Data_All!AK21%),AK181*(1+Data_All!AK21%)),"")</f>
        <v/>
      </c>
      <c r="AL182" s="427" t="str">
        <f>IF(AND($A182&gt;=SYear_O,$A182&lt;=EYear_O,AL$3&gt;0),IF($A182=SYear_O,AL$168*(1+Data_All!AL21%),AL181*(1+Data_All!AL21%)),"")</f>
        <v/>
      </c>
      <c r="AM182" s="427" t="str">
        <f>IF(AND($A182&gt;=SYear_O,$A182&lt;=EYear_O,AM$3&gt;0),IF($A182=SYear_O,AM$168*(1+Data_All!AM21%),AM181*(1+Data_All!AM21%)),"")</f>
        <v/>
      </c>
      <c r="AN182" s="427" t="str">
        <f>IF(AND($A182&gt;=SYear_O,$A182&lt;=EYear_O,AN$3&gt;0),IF($A182=SYear_O,AN$168*(1+Data_All!AN21%),AN181*(1+Data_All!AN21%)),"")</f>
        <v/>
      </c>
      <c r="AO182" s="427" t="str">
        <f>IF(AND($A182&gt;=SYear_O,$A182&lt;=EYear_O,AO$3&gt;0),IF($A182=SYear_O,AO$168*(1+Data_All!AO21%),AO181*(1+Data_All!AO21%)),"")</f>
        <v/>
      </c>
      <c r="AP182" s="427" t="str">
        <f>IF(AND($A182&gt;=SYear_O,$A182&lt;=EYear_O,AP$3&gt;0),IF($A182=SYear_O,AP$168*(1+Data_All!AP21%),AP181*(1+Data_All!AP21%)),"")</f>
        <v/>
      </c>
      <c r="AQ182" s="427" t="str">
        <f>IF(AND($A182&gt;=SYear_O,$A182&lt;=EYear_O,AQ$3&gt;0),IF($A182=SYear_O,AQ$168*(1+Data_All!AQ21%),AQ181*(1+Data_All!AQ21%)),"")</f>
        <v/>
      </c>
      <c r="AR182" s="427" t="str">
        <f>IF(AND($A182&gt;=SYear_O,$A182&lt;=EYear_O,AR$3&gt;0),IF($A182=SYear_O,AR$168*(1+Data_All!AR21%),AR181*(1+Data_All!AR21%)),"")</f>
        <v/>
      </c>
      <c r="AS182" s="427" t="str">
        <f>IF(AND($A182&gt;=SYear_O,$A182&lt;=EYear_O,AS$3&gt;0),IF($A182=SYear_O,AS$168*(1+Data_All!AS21%),AS181*(1+Data_All!AS21%)),"")</f>
        <v/>
      </c>
      <c r="AT182" s="427" t="str">
        <f>IF(AND($A182&gt;=SYear_O,$A182&lt;=EYear_O,AT$3&gt;0),IF($A182=SYear_O,AT$168*(1+Data_All!AT21%),AT181*(1+Data_All!AT21%)),"")</f>
        <v/>
      </c>
      <c r="AU182" s="427" t="str">
        <f>IF(AND($A182&gt;=SYear_O,$A182&lt;=EYear_O,AU$3&gt;0),IF($A182=SYear_O,AU$168*(1+Data_All!AU21%),AU181*(1+Data_All!AU21%)),"")</f>
        <v/>
      </c>
      <c r="AV182" s="427" t="str">
        <f>IF(AND($A182&gt;=SYear_O,$A182&lt;=EYear_O,AV$3&gt;0),IF($A182=SYear_O,AV$168*(1+Data_All!AV21%),AV181*(1+Data_All!AV21%)),"")</f>
        <v/>
      </c>
      <c r="AW182" s="427" t="str">
        <f>IF(AND($A182&gt;=SYear_O,$A182&lt;=EYear_O,AW$3&gt;0),IF($A182=SYear_O,AW$168*(1+Data_All!AW21%),AW181*(1+Data_All!AW21%)),"")</f>
        <v/>
      </c>
      <c r="AX182" s="427" t="str">
        <f>IF(AND($A182&gt;=SYear_O,$A182&lt;=EYear_O,AX$3&gt;0),IF($A182=SYear_O,AX$168*(1+Data_All!AX21%),AX181*(1+Data_All!AX21%)),"")</f>
        <v/>
      </c>
      <c r="AY182" s="427" t="str">
        <f>IF(AND($A182&gt;=SYear_O,$A182&lt;=EYear_O,AY$3&gt;0),IF($A182=SYear_O,AY$168*(1+Data_All!AY21%),AY181*(1+Data_All!AY21%)),"")</f>
        <v/>
      </c>
      <c r="AZ182" s="427" t="str">
        <f>IF(AND($A182&gt;=SYear_O,$A182&lt;=EYear_O,AZ$3&gt;0),IF($A182=SYear_O,AZ$168*(1+Data_All!AZ21%),AZ181*(1+Data_All!AZ21%)),"")</f>
        <v/>
      </c>
      <c r="BA182" s="427" t="str">
        <f>IF(AND($A182&gt;=SYear_O,$A182&lt;=EYear_O,BA$3&gt;0),IF($A182=SYear_O,BA$168*(1+Data_All!BA21%),BA181*(1+Data_All!BA21%)),"")</f>
        <v/>
      </c>
      <c r="BB182" s="427" t="str">
        <f>IF(AND($A182&gt;=SYear_O,$A182&lt;=EYear_O,BB$3&gt;0),IF($A182=SYear_O,BB$168*(1+Data_All!BB21%),BB181*(1+Data_All!BB21%)),"")</f>
        <v/>
      </c>
      <c r="BC182" s="427" t="str">
        <f>IF(AND($A182&gt;=SYear_O,$A182&lt;=EYear_O,BC$3&gt;0),IF($A182=SYear_O,BC$168*(1+Data_All!BC21%),BC181*(1+Data_All!BC21%)),"")</f>
        <v/>
      </c>
      <c r="BD182" s="427" t="str">
        <f>IF(AND($A182&gt;=SYear_O,$A182&lt;=EYear_O,BD$3&gt;0),IF($A182=SYear_O,BD$168*(1+Data_All!BD21%),BD181*(1+Data_All!BD21%)),"")</f>
        <v/>
      </c>
      <c r="BE182" s="427" t="str">
        <f>IF(AND($A182&gt;=SYear_O,$A182&lt;=EYear_O,BE$3&gt;0),IF($A182=SYear_O,BE$168*(1+Data_All!BE21%),BE181*(1+Data_All!BE21%)),"")</f>
        <v/>
      </c>
      <c r="BF182" s="427" t="str">
        <f>IF(AND($A182&gt;=SYear_O,$A182&lt;=EYear_O,BF$3&gt;0),IF($A182=SYear_O,BF$168*(1+Data_All!BF21%),BF181*(1+Data_All!BF21%)),"")</f>
        <v/>
      </c>
      <c r="BG182" s="427" t="str">
        <f>IF(AND($A182&gt;=SYear_O,$A182&lt;=EYear_O,BG$3&gt;0),IF($A182=SYear_O,BG$168*(1+Data_All!BG21%),BG181*(1+Data_All!BG21%)),"")</f>
        <v/>
      </c>
      <c r="BH182" s="427" t="str">
        <f>IF(AND($A182&gt;=SYear_O,$A182&lt;=EYear_O,BH$3&gt;0),IF($A182=SYear_O,BH$168*(1+Data_All!BH21%),BH181*(1+Data_All!BH21%)),"")</f>
        <v/>
      </c>
      <c r="BI182" s="427" t="str">
        <f>IF(AND($A182&gt;=SYear_O,$A182&lt;=EYear_O,BI$3&gt;0),IF($A182=SYear_O,BI$168*(1+Data_All!BI21%),BI181*(1+Data_All!BI21%)),"")</f>
        <v/>
      </c>
      <c r="BJ182" s="427" t="str">
        <f>IF(AND($A182&gt;=SYear_O,$A182&lt;=EYear_O,BJ$3&gt;0),IF($A182=SYear_O,BJ$168*(1+Data_All!BJ21%),BJ181*(1+Data_All!BJ21%)),"")</f>
        <v/>
      </c>
      <c r="BK182" s="427" t="str">
        <f>IF(AND($A182&gt;=SYear_O,$A182&lt;=EYear_O,BK$3&gt;0),IF($A182=SYear_O,BK$168*(1+Data_All!BK21%),BK181*(1+Data_All!BK21%)),"")</f>
        <v/>
      </c>
      <c r="BL182" s="427" t="str">
        <f>IF(AND($A182&gt;=SYear_O,$A182&lt;=EYear_O,BL$3&gt;0),IF($A182=SYear_O,BL$168*(1+Data_All!BL21%),BL181*(1+Data_All!BL21%)),"")</f>
        <v/>
      </c>
      <c r="BM182" s="427" t="str">
        <f>IF(AND($A182&gt;=SYear_O,$A182&lt;=EYear_O,BM$3&gt;0),IF($A182=SYear_O,BM$168*(1+Data_All!BM21%),BM181*(1+Data_All!BM21%)),"")</f>
        <v/>
      </c>
      <c r="BN182" s="427" t="str">
        <f>IF(AND($A182&gt;=SYear_O,$A182&lt;=EYear_O,BN$3&gt;0),IF($A182=SYear_O,BN$168*(1+Data_All!BN21%),BN181*(1+Data_All!BN21%)),"")</f>
        <v/>
      </c>
      <c r="BO182" s="427" t="str">
        <f>IF(AND($A182&gt;=SYear_O,$A182&lt;=EYear_O,BO$3&gt;0),IF($A182=SYear_O,BO$168*(1+Data_All!BO21%),BO181*(1+Data_All!BO21%)),"")</f>
        <v/>
      </c>
      <c r="BP182" s="427" t="str">
        <f>IF(AND($A182&gt;=SYear_O,$A182&lt;=EYear_O,BP$3&gt;0),IF($A182=SYear_O,BP$168*(1+Data_All!BP21%),BP181*(1+Data_All!BP21%)),"")</f>
        <v/>
      </c>
      <c r="BQ182" s="427" t="str">
        <f>IF(AND($A182&gt;=SYear_O,$A182&lt;=EYear_O,BQ$3&gt;0),IF($A182=SYear_O,BQ$168*(1+Data_All!BQ21%),BQ181*(1+Data_All!BQ21%)),"")</f>
        <v/>
      </c>
      <c r="BR182" s="427" t="str">
        <f>IF(AND($A182&gt;=SYear_O,$A182&lt;=EYear_O,BR$3&gt;0),IF($A182=SYear_O,BR$168*(1+Data_All!BR21%),BR181*(1+Data_All!BR21%)),"")</f>
        <v/>
      </c>
      <c r="BS182" s="427" t="str">
        <f>IF(AND($A182&gt;=SYear_O,$A182&lt;=EYear_O,BS$3&gt;0),IF($A182=SYear_O,BS$168*(1+Data_All!BS21%),BS181*(1+Data_All!BS21%)),"")</f>
        <v/>
      </c>
      <c r="BT182" s="427" t="str">
        <f>IF(AND($A182&gt;=SYear_O,$A182&lt;=EYear_O,BT$3&gt;0),IF($A182=SYear_O,BT$168*(1+Data_All!BT21%),BT181*(1+Data_All!BT21%)),"")</f>
        <v/>
      </c>
      <c r="BU182" s="427" t="str">
        <f>IF(AND($A182&gt;=SYear_O,$A182&lt;=EYear_O,BU$3&gt;0),IF($A182=SYear_O,BU$168*(1+Data_All!BU21%),BU181*(1+Data_All!BU21%)),"")</f>
        <v/>
      </c>
      <c r="BV182" s="427" t="str">
        <f>IF(AND($A182&gt;=SYear_O,$A182&lt;=EYear_O,BV$3&gt;0),IF($A182=SYear_O,BV$168*(1+Data_All!BV21%),BV181*(1+Data_All!BV21%)),"")</f>
        <v/>
      </c>
      <c r="BW182" s="427" t="str">
        <f>IF(AND($A182&gt;=SYear_O,$A182&lt;=EYear_O,BW$3&gt;0),IF($A182=SYear_O,BW$168*(1+Data_All!BW21%),BW181*(1+Data_All!BW21%)),"")</f>
        <v/>
      </c>
      <c r="BX182" s="427">
        <f>IF(AND($A182&gt;=SYear_O,$A182&lt;=EYear_O,BX$3&gt;0),IF($A182=SYear_O,BX$168*(1+Data_All!BX21%),BX181*(1+Data_All!BX21%)),"")</f>
        <v>12982.95620175088</v>
      </c>
      <c r="BY182" s="427">
        <f>IF(AND($A182&gt;=SYear_O,$A182&lt;=EYear_O,BY$3&gt;0),IF($A182=SYear_O,BY$168*(1+Data_All!BY21%),BY181*(1+Data_All!BY21%)),"")</f>
        <v>7928.45799939894</v>
      </c>
      <c r="BZ182" s="427" t="str">
        <f>IF(AND($A182&gt;=SYear_O,$A182&lt;=EYear_O,BZ$3&gt;0),IF($A182=SYear_O,BZ$168*(1+Data_All!BZ21%),BZ181*(1+Data_All!BZ21%)),"")</f>
        <v/>
      </c>
      <c r="CA182" s="565">
        <f t="shared" si="92"/>
        <v>-5.965035842044637</v>
      </c>
      <c r="CB182" s="427">
        <f t="shared" si="93"/>
        <v>20911.414201149819</v>
      </c>
      <c r="CC182" s="565">
        <f>IF(AND($A182&gt;=SYear_O,$A182&lt;=EYear_O),(CA182-Data_All!CA21)/(1+Data_All!CA21%),"")</f>
        <v>4.8430423652761521</v>
      </c>
      <c r="CD182" s="436">
        <f t="shared" si="94"/>
        <v>31487.223985519417</v>
      </c>
      <c r="CE182" s="438">
        <f t="shared" si="95"/>
        <v>1.8966493495788677</v>
      </c>
      <c r="CF182" s="438">
        <f>IF(AND($A182&gt;=SYear_O,$A182&lt;=EYear_O),MAX($CE$169:CE182),"")</f>
        <v>2.0704598529603917</v>
      </c>
      <c r="CG182" s="209">
        <f t="shared" si="96"/>
        <v>8.3947777655773326E-2</v>
      </c>
      <c r="CN182" s="61">
        <f t="shared" si="97"/>
        <v>-5.9650358420446414E-2</v>
      </c>
      <c r="CO182" s="61">
        <f t="shared" si="98"/>
        <v>6.3875439747868024E-2</v>
      </c>
      <c r="CP182" s="61">
        <f t="shared" si="99"/>
        <v>4.7722399273240512E-2</v>
      </c>
      <c r="CQ182" s="61">
        <f t="shared" si="100"/>
        <v>3.1901943957235224E-2</v>
      </c>
      <c r="CR182" s="61">
        <f t="shared" si="101"/>
        <v>5.0913689951137764E-2</v>
      </c>
      <c r="CU182" s="61">
        <f t="shared" si="102"/>
        <v>4.8430423652761512E-2</v>
      </c>
      <c r="CV182" s="61">
        <f t="shared" si="103"/>
        <v>0.11614607550631639</v>
      </c>
      <c r="CW182" s="61">
        <f t="shared" si="104"/>
        <v>7.8311857562155751E-2</v>
      </c>
      <c r="CX182" s="61">
        <f t="shared" si="105"/>
        <v>6.3119766338989747E-2</v>
      </c>
      <c r="CY182" s="61">
        <f t="shared" si="106"/>
        <v>7.3003522917319819E-2</v>
      </c>
    </row>
    <row r="183" spans="1:103">
      <c r="A183" s="204">
        <f t="shared" si="107"/>
        <v>1885</v>
      </c>
      <c r="B183" s="427" t="str">
        <f>IF(AND($A183&gt;=SYear_O,$A183&lt;=EYear_O,B$3&gt;0),IF($A183=SYear_O,B$168*(1+Data_All!B22%),B182*(1+Data_All!B22%)),"")</f>
        <v/>
      </c>
      <c r="C183" s="427" t="str">
        <f>IF(AND($A183&gt;=SYear_O,$A183&lt;=EYear_O,C$3&gt;0),IF($A183=SYear_O,C$168*(1+Data_All!C22%),C182*(1+Data_All!C22%)),"")</f>
        <v/>
      </c>
      <c r="D183" s="427" t="str">
        <f>IF(AND($A183&gt;=SYear_O,$A183&lt;=EYear_O,D$3&gt;0),IF($A183=SYear_O,D$168*(1+Data_All!D22%),D182*(1+Data_All!D22%)),"")</f>
        <v/>
      </c>
      <c r="E183" s="427" t="str">
        <f>IF(AND($A183&gt;=SYear_O,$A183&lt;=EYear_O,E$3&gt;0),IF($A183=SYear_O,E$168*(1+Data_All!E22%),E182*(1+Data_All!E22%)),"")</f>
        <v/>
      </c>
      <c r="F183" s="427" t="str">
        <f>IF(AND($A183&gt;=SYear_O,$A183&lt;=EYear_O,F$3&gt;0),IF($A183=SYear_O,F$168*(1+Data_All!F22%),F182*(1+Data_All!F22%)),"")</f>
        <v/>
      </c>
      <c r="G183" s="427" t="str">
        <f>IF(AND($A183&gt;=SYear_O,$A183&lt;=EYear_O,G$3&gt;0),IF($A183=SYear_O,G$168*(1+Data_All!G22%),G182*(1+Data_All!G22%)),"")</f>
        <v/>
      </c>
      <c r="H183" s="427" t="str">
        <f>IF(AND($A183&gt;=SYear_O,$A183&lt;=EYear_O,H$3&gt;0),IF($A183=SYear_O,H$168*(1+Data_All!H22%),H182*(1+Data_All!H22%)),"")</f>
        <v/>
      </c>
      <c r="I183" s="427" t="str">
        <f>IF(AND($A183&gt;=SYear_O,$A183&lt;=EYear_O,I$3&gt;0),IF($A183=SYear_O,I$168*(1+Data_All!I22%),I182*(1+Data_All!I22%)),"")</f>
        <v/>
      </c>
      <c r="J183" s="427" t="str">
        <f>IF(AND($A183&gt;=SYear_O,$A183&lt;=EYear_O,J$3&gt;0),IF($A183=SYear_O,J$168*(1+Data_All!J22%),J182*(1+Data_All!J22%)),"")</f>
        <v/>
      </c>
      <c r="K183" s="427" t="str">
        <f>IF(AND($A183&gt;=SYear_O,$A183&lt;=EYear_O,K$3&gt;0),IF($A183=SYear_O,K$168*(1+Data_All!K22%),K182*(1+Data_All!K22%)),"")</f>
        <v/>
      </c>
      <c r="L183" s="427" t="str">
        <f>IF(AND($A183&gt;=SYear_O,$A183&lt;=EYear_O,L$3&gt;0),IF($A183=SYear_O,L$168*(1+Data_All!L22%),L182*(1+Data_All!L22%)),"")</f>
        <v/>
      </c>
      <c r="M183" s="427" t="str">
        <f>IF(AND($A183&gt;=SYear_O,$A183&lt;=EYear_O,M$3&gt;0),IF($A183=SYear_O,M$168*(1+Data_All!M22%),M182*(1+Data_All!M22%)),"")</f>
        <v/>
      </c>
      <c r="N183" s="427" t="str">
        <f>IF(AND($A183&gt;=SYear_O,$A183&lt;=EYear_O,N$3&gt;0),IF($A183=SYear_O,N$168*(1+Data_All!N22%),N182*(1+Data_All!N22%)),"")</f>
        <v/>
      </c>
      <c r="O183" s="427" t="str">
        <f>IF(AND($A183&gt;=SYear_O,$A183&lt;=EYear_O,O$3&gt;0),IF($A183=SYear_O,O$168*(1+Data_All!O22%),O182*(1+Data_All!O22%)),"")</f>
        <v/>
      </c>
      <c r="P183" s="427" t="str">
        <f>IF(AND($A183&gt;=SYear_O,$A183&lt;=EYear_O,P$3&gt;0),IF($A183=SYear_O,P$168*(1+Data_All!P22%),P182*(1+Data_All!P22%)),"")</f>
        <v/>
      </c>
      <c r="Q183" s="427" t="str">
        <f>IF(AND($A183&gt;=SYear_O,$A183&lt;=EYear_O,Q$3&gt;0),IF($A183=SYear_O,Q$168*(1+Data_All!Q22%),Q182*(1+Data_All!Q22%)),"")</f>
        <v/>
      </c>
      <c r="R183" s="427" t="str">
        <f>IF(AND($A183&gt;=SYear_O,$A183&lt;=EYear_O,R$3&gt;0),IF($A183=SYear_O,R$168*(1+Data_All!R22%),R182*(1+Data_All!R22%)),"")</f>
        <v/>
      </c>
      <c r="S183" s="427" t="str">
        <f>IF(AND($A183&gt;=SYear_O,$A183&lt;=EYear_O,S$3&gt;0),IF($A183=SYear_O,S$168*(1+Data_All!S22%),S182*(1+Data_All!S22%)),"")</f>
        <v/>
      </c>
      <c r="T183" s="427" t="str">
        <f>IF(AND($A183&gt;=SYear_O,$A183&lt;=EYear_O,T$3&gt;0),IF($A183=SYear_O,T$168*(1+Data_All!T22%),T182*(1+Data_All!T22%)),"")</f>
        <v/>
      </c>
      <c r="U183" s="427" t="str">
        <f>IF(AND($A183&gt;=SYear_O,$A183&lt;=EYear_O,U$3&gt;0),IF($A183=SYear_O,U$168*(1+Data_All!U22%),U182*(1+Data_All!U22%)),"")</f>
        <v/>
      </c>
      <c r="V183" s="427" t="str">
        <f>IF(AND($A183&gt;=SYear_O,$A183&lt;=EYear_O,V$3&gt;0),IF($A183=SYear_O,V$168*(1+Data_All!V22%),V182*(1+Data_All!V22%)),"")</f>
        <v/>
      </c>
      <c r="W183" s="427" t="str">
        <f>IF(AND($A183&gt;=SYear_O,$A183&lt;=EYear_O,W$3&gt;0),IF($A183=SYear_O,W$168*(1+Data_All!W22%),W182*(1+Data_All!W22%)),"")</f>
        <v/>
      </c>
      <c r="X183" s="427" t="str">
        <f>IF(AND($A183&gt;=SYear_O,$A183&lt;=EYear_O,X$3&gt;0),IF($A183=SYear_O,X$168*(1+Data_All!X22%),X182*(1+Data_All!X22%)),"")</f>
        <v/>
      </c>
      <c r="Y183" s="427" t="str">
        <f>IF(AND($A183&gt;=SYear_O,$A183&lt;=EYear_O,Y$3&gt;0),IF($A183=SYear_O,Y$168*(1+Data_All!Y22%),Y182*(1+Data_All!Y22%)),"")</f>
        <v/>
      </c>
      <c r="Z183" s="427" t="str">
        <f>IF(AND($A183&gt;=SYear_O,$A183&lt;=EYear_O,Z$3&gt;0),IF($A183=SYear_O,Z$168*(1+Data_All!Z22%),Z182*(1+Data_All!Z22%)),"")</f>
        <v/>
      </c>
      <c r="AA183" s="427" t="str">
        <f>IF(AND($A183&gt;=SYear_O,$A183&lt;=EYear_O,AA$3&gt;0),IF($A183=SYear_O,AA$168*(1+Data_All!AA22%),AA182*(1+Data_All!AA22%)),"")</f>
        <v/>
      </c>
      <c r="AB183" s="427" t="str">
        <f>IF(AND($A183&gt;=SYear_O,$A183&lt;=EYear_O,AB$3&gt;0),IF($A183=SYear_O,AB$168*(1+Data_All!AB22%),AB182*(1+Data_All!AB22%)),"")</f>
        <v/>
      </c>
      <c r="AC183" s="427" t="str">
        <f>IF(AND($A183&gt;=SYear_O,$A183&lt;=EYear_O,AC$3&gt;0),IF($A183=SYear_O,AC$168*(1+Data_All!AC22%),AC182*(1+Data_All!AC22%)),"")</f>
        <v/>
      </c>
      <c r="AD183" s="427" t="str">
        <f>IF(AND($A183&gt;=SYear_O,$A183&lt;=EYear_O,AD$3&gt;0),IF($A183=SYear_O,AD$168*(1+Data_All!AD22%),AD182*(1+Data_All!AD22%)),"")</f>
        <v/>
      </c>
      <c r="AE183" s="427" t="str">
        <f>IF(AND($A183&gt;=SYear_O,$A183&lt;=EYear_O,AE$3&gt;0),IF($A183=SYear_O,AE$168*(1+Data_All!AE22%),AE182*(1+Data_All!AE22%)),"")</f>
        <v/>
      </c>
      <c r="AF183" s="427" t="str">
        <f>IF(AND($A183&gt;=SYear_O,$A183&lt;=EYear_O,AF$3&gt;0),IF($A183=SYear_O,AF$168*(1+Data_All!AF22%),AF182*(1+Data_All!AF22%)),"")</f>
        <v/>
      </c>
      <c r="AG183" s="427" t="str">
        <f>IF(AND($A183&gt;=SYear_O,$A183&lt;=EYear_O,AG$3&gt;0),IF($A183=SYear_O,AG$168*(1+Data_All!AG22%),AG182*(1+Data_All!AG22%)),"")</f>
        <v/>
      </c>
      <c r="AH183" s="427" t="str">
        <f>IF(AND($A183&gt;=SYear_O,$A183&lt;=EYear_O,AH$3&gt;0),IF($A183=SYear_O,AH$168*(1+Data_All!AH22%),AH182*(1+Data_All!AH22%)),"")</f>
        <v/>
      </c>
      <c r="AI183" s="427" t="str">
        <f>IF(AND($A183&gt;=SYear_O,$A183&lt;=EYear_O,AI$3&gt;0),IF($A183=SYear_O,AI$168*(1+Data_All!AI22%),AI182*(1+Data_All!AI22%)),"")</f>
        <v/>
      </c>
      <c r="AJ183" s="427" t="str">
        <f>IF(AND($A183&gt;=SYear_O,$A183&lt;=EYear_O,AJ$3&gt;0),IF($A183=SYear_O,AJ$168*(1+Data_All!AJ22%),AJ182*(1+Data_All!AJ22%)),"")</f>
        <v/>
      </c>
      <c r="AK183" s="427" t="str">
        <f>IF(AND($A183&gt;=SYear_O,$A183&lt;=EYear_O,AK$3&gt;0),IF($A183=SYear_O,AK$168*(1+Data_All!AK22%),AK182*(1+Data_All!AK22%)),"")</f>
        <v/>
      </c>
      <c r="AL183" s="427" t="str">
        <f>IF(AND($A183&gt;=SYear_O,$A183&lt;=EYear_O,AL$3&gt;0),IF($A183=SYear_O,AL$168*(1+Data_All!AL22%),AL182*(1+Data_All!AL22%)),"")</f>
        <v/>
      </c>
      <c r="AM183" s="427" t="str">
        <f>IF(AND($A183&gt;=SYear_O,$A183&lt;=EYear_O,AM$3&gt;0),IF($A183=SYear_O,AM$168*(1+Data_All!AM22%),AM182*(1+Data_All!AM22%)),"")</f>
        <v/>
      </c>
      <c r="AN183" s="427" t="str">
        <f>IF(AND($A183&gt;=SYear_O,$A183&lt;=EYear_O,AN$3&gt;0),IF($A183=SYear_O,AN$168*(1+Data_All!AN22%),AN182*(1+Data_All!AN22%)),"")</f>
        <v/>
      </c>
      <c r="AO183" s="427" t="str">
        <f>IF(AND($A183&gt;=SYear_O,$A183&lt;=EYear_O,AO$3&gt;0),IF($A183=SYear_O,AO$168*(1+Data_All!AO22%),AO182*(1+Data_All!AO22%)),"")</f>
        <v/>
      </c>
      <c r="AP183" s="427" t="str">
        <f>IF(AND($A183&gt;=SYear_O,$A183&lt;=EYear_O,AP$3&gt;0),IF($A183=SYear_O,AP$168*(1+Data_All!AP22%),AP182*(1+Data_All!AP22%)),"")</f>
        <v/>
      </c>
      <c r="AQ183" s="427" t="str">
        <f>IF(AND($A183&gt;=SYear_O,$A183&lt;=EYear_O,AQ$3&gt;0),IF($A183=SYear_O,AQ$168*(1+Data_All!AQ22%),AQ182*(1+Data_All!AQ22%)),"")</f>
        <v/>
      </c>
      <c r="AR183" s="427" t="str">
        <f>IF(AND($A183&gt;=SYear_O,$A183&lt;=EYear_O,AR$3&gt;0),IF($A183=SYear_O,AR$168*(1+Data_All!AR22%),AR182*(1+Data_All!AR22%)),"")</f>
        <v/>
      </c>
      <c r="AS183" s="427" t="str">
        <f>IF(AND($A183&gt;=SYear_O,$A183&lt;=EYear_O,AS$3&gt;0),IF($A183=SYear_O,AS$168*(1+Data_All!AS22%),AS182*(1+Data_All!AS22%)),"")</f>
        <v/>
      </c>
      <c r="AT183" s="427" t="str">
        <f>IF(AND($A183&gt;=SYear_O,$A183&lt;=EYear_O,AT$3&gt;0),IF($A183=SYear_O,AT$168*(1+Data_All!AT22%),AT182*(1+Data_All!AT22%)),"")</f>
        <v/>
      </c>
      <c r="AU183" s="427" t="str">
        <f>IF(AND($A183&gt;=SYear_O,$A183&lt;=EYear_O,AU$3&gt;0),IF($A183=SYear_O,AU$168*(1+Data_All!AU22%),AU182*(1+Data_All!AU22%)),"")</f>
        <v/>
      </c>
      <c r="AV183" s="427" t="str">
        <f>IF(AND($A183&gt;=SYear_O,$A183&lt;=EYear_O,AV$3&gt;0),IF($A183=SYear_O,AV$168*(1+Data_All!AV22%),AV182*(1+Data_All!AV22%)),"")</f>
        <v/>
      </c>
      <c r="AW183" s="427" t="str">
        <f>IF(AND($A183&gt;=SYear_O,$A183&lt;=EYear_O,AW$3&gt;0),IF($A183=SYear_O,AW$168*(1+Data_All!AW22%),AW182*(1+Data_All!AW22%)),"")</f>
        <v/>
      </c>
      <c r="AX183" s="427" t="str">
        <f>IF(AND($A183&gt;=SYear_O,$A183&lt;=EYear_O,AX$3&gt;0),IF($A183=SYear_O,AX$168*(1+Data_All!AX22%),AX182*(1+Data_All!AX22%)),"")</f>
        <v/>
      </c>
      <c r="AY183" s="427" t="str">
        <f>IF(AND($A183&gt;=SYear_O,$A183&lt;=EYear_O,AY$3&gt;0),IF($A183=SYear_O,AY$168*(1+Data_All!AY22%),AY182*(1+Data_All!AY22%)),"")</f>
        <v/>
      </c>
      <c r="AZ183" s="427" t="str">
        <f>IF(AND($A183&gt;=SYear_O,$A183&lt;=EYear_O,AZ$3&gt;0),IF($A183=SYear_O,AZ$168*(1+Data_All!AZ22%),AZ182*(1+Data_All!AZ22%)),"")</f>
        <v/>
      </c>
      <c r="BA183" s="427" t="str">
        <f>IF(AND($A183&gt;=SYear_O,$A183&lt;=EYear_O,BA$3&gt;0),IF($A183=SYear_O,BA$168*(1+Data_All!BA22%),BA182*(1+Data_All!BA22%)),"")</f>
        <v/>
      </c>
      <c r="BB183" s="427" t="str">
        <f>IF(AND($A183&gt;=SYear_O,$A183&lt;=EYear_O,BB$3&gt;0),IF($A183=SYear_O,BB$168*(1+Data_All!BB22%),BB182*(1+Data_All!BB22%)),"")</f>
        <v/>
      </c>
      <c r="BC183" s="427" t="str">
        <f>IF(AND($A183&gt;=SYear_O,$A183&lt;=EYear_O,BC$3&gt;0),IF($A183=SYear_O,BC$168*(1+Data_All!BC22%),BC182*(1+Data_All!BC22%)),"")</f>
        <v/>
      </c>
      <c r="BD183" s="427" t="str">
        <f>IF(AND($A183&gt;=SYear_O,$A183&lt;=EYear_O,BD$3&gt;0),IF($A183=SYear_O,BD$168*(1+Data_All!BD22%),BD182*(1+Data_All!BD22%)),"")</f>
        <v/>
      </c>
      <c r="BE183" s="427" t="str">
        <f>IF(AND($A183&gt;=SYear_O,$A183&lt;=EYear_O,BE$3&gt;0),IF($A183=SYear_O,BE$168*(1+Data_All!BE22%),BE182*(1+Data_All!BE22%)),"")</f>
        <v/>
      </c>
      <c r="BF183" s="427" t="str">
        <f>IF(AND($A183&gt;=SYear_O,$A183&lt;=EYear_O,BF$3&gt;0),IF($A183=SYear_O,BF$168*(1+Data_All!BF22%),BF182*(1+Data_All!BF22%)),"")</f>
        <v/>
      </c>
      <c r="BG183" s="427" t="str">
        <f>IF(AND($A183&gt;=SYear_O,$A183&lt;=EYear_O,BG$3&gt;0),IF($A183=SYear_O,BG$168*(1+Data_All!BG22%),BG182*(1+Data_All!BG22%)),"")</f>
        <v/>
      </c>
      <c r="BH183" s="427" t="str">
        <f>IF(AND($A183&gt;=SYear_O,$A183&lt;=EYear_O,BH$3&gt;0),IF($A183=SYear_O,BH$168*(1+Data_All!BH22%),BH182*(1+Data_All!BH22%)),"")</f>
        <v/>
      </c>
      <c r="BI183" s="427" t="str">
        <f>IF(AND($A183&gt;=SYear_O,$A183&lt;=EYear_O,BI$3&gt;0),IF($A183=SYear_O,BI$168*(1+Data_All!BI22%),BI182*(1+Data_All!BI22%)),"")</f>
        <v/>
      </c>
      <c r="BJ183" s="427" t="str">
        <f>IF(AND($A183&gt;=SYear_O,$A183&lt;=EYear_O,BJ$3&gt;0),IF($A183=SYear_O,BJ$168*(1+Data_All!BJ22%),BJ182*(1+Data_All!BJ22%)),"")</f>
        <v/>
      </c>
      <c r="BK183" s="427" t="str">
        <f>IF(AND($A183&gt;=SYear_O,$A183&lt;=EYear_O,BK$3&gt;0),IF($A183=SYear_O,BK$168*(1+Data_All!BK22%),BK182*(1+Data_All!BK22%)),"")</f>
        <v/>
      </c>
      <c r="BL183" s="427" t="str">
        <f>IF(AND($A183&gt;=SYear_O,$A183&lt;=EYear_O,BL$3&gt;0),IF($A183=SYear_O,BL$168*(1+Data_All!BL22%),BL182*(1+Data_All!BL22%)),"")</f>
        <v/>
      </c>
      <c r="BM183" s="427" t="str">
        <f>IF(AND($A183&gt;=SYear_O,$A183&lt;=EYear_O,BM$3&gt;0),IF($A183=SYear_O,BM$168*(1+Data_All!BM22%),BM182*(1+Data_All!BM22%)),"")</f>
        <v/>
      </c>
      <c r="BN183" s="427" t="str">
        <f>IF(AND($A183&gt;=SYear_O,$A183&lt;=EYear_O,BN$3&gt;0),IF($A183=SYear_O,BN$168*(1+Data_All!BN22%),BN182*(1+Data_All!BN22%)),"")</f>
        <v/>
      </c>
      <c r="BO183" s="427" t="str">
        <f>IF(AND($A183&gt;=SYear_O,$A183&lt;=EYear_O,BO$3&gt;0),IF($A183=SYear_O,BO$168*(1+Data_All!BO22%),BO182*(1+Data_All!BO22%)),"")</f>
        <v/>
      </c>
      <c r="BP183" s="427" t="str">
        <f>IF(AND($A183&gt;=SYear_O,$A183&lt;=EYear_O,BP$3&gt;0),IF($A183=SYear_O,BP$168*(1+Data_All!BP22%),BP182*(1+Data_All!BP22%)),"")</f>
        <v/>
      </c>
      <c r="BQ183" s="427" t="str">
        <f>IF(AND($A183&gt;=SYear_O,$A183&lt;=EYear_O,BQ$3&gt;0),IF($A183=SYear_O,BQ$168*(1+Data_All!BQ22%),BQ182*(1+Data_All!BQ22%)),"")</f>
        <v/>
      </c>
      <c r="BR183" s="427" t="str">
        <f>IF(AND($A183&gt;=SYear_O,$A183&lt;=EYear_O,BR$3&gt;0),IF($A183=SYear_O,BR$168*(1+Data_All!BR22%),BR182*(1+Data_All!BR22%)),"")</f>
        <v/>
      </c>
      <c r="BS183" s="427" t="str">
        <f>IF(AND($A183&gt;=SYear_O,$A183&lt;=EYear_O,BS$3&gt;0),IF($A183=SYear_O,BS$168*(1+Data_All!BS22%),BS182*(1+Data_All!BS22%)),"")</f>
        <v/>
      </c>
      <c r="BT183" s="427" t="str">
        <f>IF(AND($A183&gt;=SYear_O,$A183&lt;=EYear_O,BT$3&gt;0),IF($A183=SYear_O,BT$168*(1+Data_All!BT22%),BT182*(1+Data_All!BT22%)),"")</f>
        <v/>
      </c>
      <c r="BU183" s="427" t="str">
        <f>IF(AND($A183&gt;=SYear_O,$A183&lt;=EYear_O,BU$3&gt;0),IF($A183=SYear_O,BU$168*(1+Data_All!BU22%),BU182*(1+Data_All!BU22%)),"")</f>
        <v/>
      </c>
      <c r="BV183" s="427" t="str">
        <f>IF(AND($A183&gt;=SYear_O,$A183&lt;=EYear_O,BV$3&gt;0),IF($A183=SYear_O,BV$168*(1+Data_All!BV22%),BV182*(1+Data_All!BV22%)),"")</f>
        <v/>
      </c>
      <c r="BW183" s="427" t="str">
        <f>IF(AND($A183&gt;=SYear_O,$A183&lt;=EYear_O,BW$3&gt;0),IF($A183=SYear_O,BW$168*(1+Data_All!BW22%),BW182*(1+Data_All!BW22%)),"")</f>
        <v/>
      </c>
      <c r="BX183" s="427">
        <f>IF(AND($A183&gt;=SYear_O,$A183&lt;=EYear_O,BX$3&gt;0),IF($A183=SYear_O,BX$168*(1+Data_All!BX22%),BX182*(1+Data_All!BX22%)),"")</f>
        <v>16657.377768284146</v>
      </c>
      <c r="BY183" s="427">
        <f>IF(AND($A183&gt;=SYear_O,$A183&lt;=EYear_O,BY$3&gt;0),IF($A183=SYear_O,BY$168*(1+Data_All!BY22%),BY182*(1+Data_All!BY22%)),"")</f>
        <v>8229.6427473640233</v>
      </c>
      <c r="BZ183" s="427" t="str">
        <f>IF(AND($A183&gt;=SYear_O,$A183&lt;=EYear_O,BZ$3&gt;0),IF($A183=SYear_O,BZ$168*(1+Data_All!BZ22%),BZ182*(1+Data_All!BZ22%)),"")</f>
        <v/>
      </c>
      <c r="CA183" s="565">
        <f t="shared" si="92"/>
        <v>19.011656869575802</v>
      </c>
      <c r="CB183" s="427">
        <f t="shared" si="93"/>
        <v>24887.020515648168</v>
      </c>
      <c r="CC183" s="565">
        <f>IF(AND($A183&gt;=SYear_O,$A183&lt;=EYear_O),(CA183-Data_All!CA22)/(1+Data_All!CA22%),"")</f>
        <v>23.262227147781442</v>
      </c>
      <c r="CD183" s="436">
        <f t="shared" si="94"/>
        <v>38811.85355156166</v>
      </c>
      <c r="CE183" s="438">
        <f t="shared" si="95"/>
        <v>2.2572338159398431</v>
      </c>
      <c r="CF183" s="438">
        <f>IF(AND($A183&gt;=SYear_O,$A183&lt;=EYear_O),MAX($CE$169:CE183),"")</f>
        <v>2.2572338159398431</v>
      </c>
      <c r="CG183" s="209">
        <f t="shared" si="96"/>
        <v>0</v>
      </c>
      <c r="CN183" s="61">
        <f t="shared" si="97"/>
        <v>0.19011656869575799</v>
      </c>
      <c r="CO183" s="61">
        <f t="shared" si="98"/>
        <v>9.0351244204150971E-2</v>
      </c>
      <c r="CP183" s="61">
        <f t="shared" si="99"/>
        <v>7.1786959579237752E-2</v>
      </c>
      <c r="CQ183" s="61">
        <f t="shared" si="100"/>
        <v>4.215187048605662E-2</v>
      </c>
      <c r="CR183" s="61">
        <f t="shared" si="101"/>
        <v>5.7247328421007104E-2</v>
      </c>
      <c r="CU183" s="61">
        <f t="shared" si="102"/>
        <v>0.23262227147781434</v>
      </c>
      <c r="CV183" s="61">
        <f t="shared" si="103"/>
        <v>8.6204536070517257E-2</v>
      </c>
      <c r="CW183" s="61">
        <f t="shared" si="104"/>
        <v>8.9919453716160058E-2</v>
      </c>
      <c r="CX183" s="61">
        <f t="shared" si="105"/>
        <v>6.6591337901803049E-2</v>
      </c>
      <c r="CY183" s="61">
        <f t="shared" si="106"/>
        <v>6.0570052321174295E-2</v>
      </c>
    </row>
    <row r="184" spans="1:103">
      <c r="A184" s="204">
        <f t="shared" si="107"/>
        <v>1886</v>
      </c>
      <c r="B184" s="427" t="str">
        <f>IF(AND($A184&gt;=SYear_O,$A184&lt;=EYear_O,B$3&gt;0),IF($A184=SYear_O,B$168*(1+Data_All!B23%),B183*(1+Data_All!B23%)),"")</f>
        <v/>
      </c>
      <c r="C184" s="427" t="str">
        <f>IF(AND($A184&gt;=SYear_O,$A184&lt;=EYear_O,C$3&gt;0),IF($A184=SYear_O,C$168*(1+Data_All!C23%),C183*(1+Data_All!C23%)),"")</f>
        <v/>
      </c>
      <c r="D184" s="427" t="str">
        <f>IF(AND($A184&gt;=SYear_O,$A184&lt;=EYear_O,D$3&gt;0),IF($A184=SYear_O,D$168*(1+Data_All!D23%),D183*(1+Data_All!D23%)),"")</f>
        <v/>
      </c>
      <c r="E184" s="427" t="str">
        <f>IF(AND($A184&gt;=SYear_O,$A184&lt;=EYear_O,E$3&gt;0),IF($A184=SYear_O,E$168*(1+Data_All!E23%),E183*(1+Data_All!E23%)),"")</f>
        <v/>
      </c>
      <c r="F184" s="427" t="str">
        <f>IF(AND($A184&gt;=SYear_O,$A184&lt;=EYear_O,F$3&gt;0),IF($A184=SYear_O,F$168*(1+Data_All!F23%),F183*(1+Data_All!F23%)),"")</f>
        <v/>
      </c>
      <c r="G184" s="427" t="str">
        <f>IF(AND($A184&gt;=SYear_O,$A184&lt;=EYear_O,G$3&gt;0),IF($A184=SYear_O,G$168*(1+Data_All!G23%),G183*(1+Data_All!G23%)),"")</f>
        <v/>
      </c>
      <c r="H184" s="427" t="str">
        <f>IF(AND($A184&gt;=SYear_O,$A184&lt;=EYear_O,H$3&gt;0),IF($A184=SYear_O,H$168*(1+Data_All!H23%),H183*(1+Data_All!H23%)),"")</f>
        <v/>
      </c>
      <c r="I184" s="427" t="str">
        <f>IF(AND($A184&gt;=SYear_O,$A184&lt;=EYear_O,I$3&gt;0),IF($A184=SYear_O,I$168*(1+Data_All!I23%),I183*(1+Data_All!I23%)),"")</f>
        <v/>
      </c>
      <c r="J184" s="427" t="str">
        <f>IF(AND($A184&gt;=SYear_O,$A184&lt;=EYear_O,J$3&gt;0),IF($A184=SYear_O,J$168*(1+Data_All!J23%),J183*(1+Data_All!J23%)),"")</f>
        <v/>
      </c>
      <c r="K184" s="427" t="str">
        <f>IF(AND($A184&gt;=SYear_O,$A184&lt;=EYear_O,K$3&gt;0),IF($A184=SYear_O,K$168*(1+Data_All!K23%),K183*(1+Data_All!K23%)),"")</f>
        <v/>
      </c>
      <c r="L184" s="427" t="str">
        <f>IF(AND($A184&gt;=SYear_O,$A184&lt;=EYear_O,L$3&gt;0),IF($A184=SYear_O,L$168*(1+Data_All!L23%),L183*(1+Data_All!L23%)),"")</f>
        <v/>
      </c>
      <c r="M184" s="427" t="str">
        <f>IF(AND($A184&gt;=SYear_O,$A184&lt;=EYear_O,M$3&gt;0),IF($A184=SYear_O,M$168*(1+Data_All!M23%),M183*(1+Data_All!M23%)),"")</f>
        <v/>
      </c>
      <c r="N184" s="427" t="str">
        <f>IF(AND($A184&gt;=SYear_O,$A184&lt;=EYear_O,N$3&gt;0),IF($A184=SYear_O,N$168*(1+Data_All!N23%),N183*(1+Data_All!N23%)),"")</f>
        <v/>
      </c>
      <c r="O184" s="427" t="str">
        <f>IF(AND($A184&gt;=SYear_O,$A184&lt;=EYear_O,O$3&gt;0),IF($A184=SYear_O,O$168*(1+Data_All!O23%),O183*(1+Data_All!O23%)),"")</f>
        <v/>
      </c>
      <c r="P184" s="427" t="str">
        <f>IF(AND($A184&gt;=SYear_O,$A184&lt;=EYear_O,P$3&gt;0),IF($A184=SYear_O,P$168*(1+Data_All!P23%),P183*(1+Data_All!P23%)),"")</f>
        <v/>
      </c>
      <c r="Q184" s="427" t="str">
        <f>IF(AND($A184&gt;=SYear_O,$A184&lt;=EYear_O,Q$3&gt;0),IF($A184=SYear_O,Q$168*(1+Data_All!Q23%),Q183*(1+Data_All!Q23%)),"")</f>
        <v/>
      </c>
      <c r="R184" s="427" t="str">
        <f>IF(AND($A184&gt;=SYear_O,$A184&lt;=EYear_O,R$3&gt;0),IF($A184=SYear_O,R$168*(1+Data_All!R23%),R183*(1+Data_All!R23%)),"")</f>
        <v/>
      </c>
      <c r="S184" s="427" t="str">
        <f>IF(AND($A184&gt;=SYear_O,$A184&lt;=EYear_O,S$3&gt;0),IF($A184=SYear_O,S$168*(1+Data_All!S23%),S183*(1+Data_All!S23%)),"")</f>
        <v/>
      </c>
      <c r="T184" s="427" t="str">
        <f>IF(AND($A184&gt;=SYear_O,$A184&lt;=EYear_O,T$3&gt;0),IF($A184=SYear_O,T$168*(1+Data_All!T23%),T183*(1+Data_All!T23%)),"")</f>
        <v/>
      </c>
      <c r="U184" s="427" t="str">
        <f>IF(AND($A184&gt;=SYear_O,$A184&lt;=EYear_O,U$3&gt;0),IF($A184=SYear_O,U$168*(1+Data_All!U23%),U183*(1+Data_All!U23%)),"")</f>
        <v/>
      </c>
      <c r="V184" s="427" t="str">
        <f>IF(AND($A184&gt;=SYear_O,$A184&lt;=EYear_O,V$3&gt;0),IF($A184=SYear_O,V$168*(1+Data_All!V23%),V183*(1+Data_All!V23%)),"")</f>
        <v/>
      </c>
      <c r="W184" s="427" t="str">
        <f>IF(AND($A184&gt;=SYear_O,$A184&lt;=EYear_O,W$3&gt;0),IF($A184=SYear_O,W$168*(1+Data_All!W23%),W183*(1+Data_All!W23%)),"")</f>
        <v/>
      </c>
      <c r="X184" s="427" t="str">
        <f>IF(AND($A184&gt;=SYear_O,$A184&lt;=EYear_O,X$3&gt;0),IF($A184=SYear_O,X$168*(1+Data_All!X23%),X183*(1+Data_All!X23%)),"")</f>
        <v/>
      </c>
      <c r="Y184" s="427" t="str">
        <f>IF(AND($A184&gt;=SYear_O,$A184&lt;=EYear_O,Y$3&gt;0),IF($A184=SYear_O,Y$168*(1+Data_All!Y23%),Y183*(1+Data_All!Y23%)),"")</f>
        <v/>
      </c>
      <c r="Z184" s="427" t="str">
        <f>IF(AND($A184&gt;=SYear_O,$A184&lt;=EYear_O,Z$3&gt;0),IF($A184=SYear_O,Z$168*(1+Data_All!Z23%),Z183*(1+Data_All!Z23%)),"")</f>
        <v/>
      </c>
      <c r="AA184" s="427" t="str">
        <f>IF(AND($A184&gt;=SYear_O,$A184&lt;=EYear_O,AA$3&gt;0),IF($A184=SYear_O,AA$168*(1+Data_All!AA23%),AA183*(1+Data_All!AA23%)),"")</f>
        <v/>
      </c>
      <c r="AB184" s="427" t="str">
        <f>IF(AND($A184&gt;=SYear_O,$A184&lt;=EYear_O,AB$3&gt;0),IF($A184=SYear_O,AB$168*(1+Data_All!AB23%),AB183*(1+Data_All!AB23%)),"")</f>
        <v/>
      </c>
      <c r="AC184" s="427" t="str">
        <f>IF(AND($A184&gt;=SYear_O,$A184&lt;=EYear_O,AC$3&gt;0),IF($A184=SYear_O,AC$168*(1+Data_All!AC23%),AC183*(1+Data_All!AC23%)),"")</f>
        <v/>
      </c>
      <c r="AD184" s="427" t="str">
        <f>IF(AND($A184&gt;=SYear_O,$A184&lt;=EYear_O,AD$3&gt;0),IF($A184=SYear_O,AD$168*(1+Data_All!AD23%),AD183*(1+Data_All!AD23%)),"")</f>
        <v/>
      </c>
      <c r="AE184" s="427" t="str">
        <f>IF(AND($A184&gt;=SYear_O,$A184&lt;=EYear_O,AE$3&gt;0),IF($A184=SYear_O,AE$168*(1+Data_All!AE23%),AE183*(1+Data_All!AE23%)),"")</f>
        <v/>
      </c>
      <c r="AF184" s="427" t="str">
        <f>IF(AND($A184&gt;=SYear_O,$A184&lt;=EYear_O,AF$3&gt;0),IF($A184=SYear_O,AF$168*(1+Data_All!AF23%),AF183*(1+Data_All!AF23%)),"")</f>
        <v/>
      </c>
      <c r="AG184" s="427" t="str">
        <f>IF(AND($A184&gt;=SYear_O,$A184&lt;=EYear_O,AG$3&gt;0),IF($A184=SYear_O,AG$168*(1+Data_All!AG23%),AG183*(1+Data_All!AG23%)),"")</f>
        <v/>
      </c>
      <c r="AH184" s="427" t="str">
        <f>IF(AND($A184&gt;=SYear_O,$A184&lt;=EYear_O,AH$3&gt;0),IF($A184=SYear_O,AH$168*(1+Data_All!AH23%),AH183*(1+Data_All!AH23%)),"")</f>
        <v/>
      </c>
      <c r="AI184" s="427" t="str">
        <f>IF(AND($A184&gt;=SYear_O,$A184&lt;=EYear_O,AI$3&gt;0),IF($A184=SYear_O,AI$168*(1+Data_All!AI23%),AI183*(1+Data_All!AI23%)),"")</f>
        <v/>
      </c>
      <c r="AJ184" s="427" t="str">
        <f>IF(AND($A184&gt;=SYear_O,$A184&lt;=EYear_O,AJ$3&gt;0),IF($A184=SYear_O,AJ$168*(1+Data_All!AJ23%),AJ183*(1+Data_All!AJ23%)),"")</f>
        <v/>
      </c>
      <c r="AK184" s="427" t="str">
        <f>IF(AND($A184&gt;=SYear_O,$A184&lt;=EYear_O,AK$3&gt;0),IF($A184=SYear_O,AK$168*(1+Data_All!AK23%),AK183*(1+Data_All!AK23%)),"")</f>
        <v/>
      </c>
      <c r="AL184" s="427" t="str">
        <f>IF(AND($A184&gt;=SYear_O,$A184&lt;=EYear_O,AL$3&gt;0),IF($A184=SYear_O,AL$168*(1+Data_All!AL23%),AL183*(1+Data_All!AL23%)),"")</f>
        <v/>
      </c>
      <c r="AM184" s="427" t="str">
        <f>IF(AND($A184&gt;=SYear_O,$A184&lt;=EYear_O,AM$3&gt;0),IF($A184=SYear_O,AM$168*(1+Data_All!AM23%),AM183*(1+Data_All!AM23%)),"")</f>
        <v/>
      </c>
      <c r="AN184" s="427" t="str">
        <f>IF(AND($A184&gt;=SYear_O,$A184&lt;=EYear_O,AN$3&gt;0),IF($A184=SYear_O,AN$168*(1+Data_All!AN23%),AN183*(1+Data_All!AN23%)),"")</f>
        <v/>
      </c>
      <c r="AO184" s="427" t="str">
        <f>IF(AND($A184&gt;=SYear_O,$A184&lt;=EYear_O,AO$3&gt;0),IF($A184=SYear_O,AO$168*(1+Data_All!AO23%),AO183*(1+Data_All!AO23%)),"")</f>
        <v/>
      </c>
      <c r="AP184" s="427" t="str">
        <f>IF(AND($A184&gt;=SYear_O,$A184&lt;=EYear_O,AP$3&gt;0),IF($A184=SYear_O,AP$168*(1+Data_All!AP23%),AP183*(1+Data_All!AP23%)),"")</f>
        <v/>
      </c>
      <c r="AQ184" s="427" t="str">
        <f>IF(AND($A184&gt;=SYear_O,$A184&lt;=EYear_O,AQ$3&gt;0),IF($A184=SYear_O,AQ$168*(1+Data_All!AQ23%),AQ183*(1+Data_All!AQ23%)),"")</f>
        <v/>
      </c>
      <c r="AR184" s="427" t="str">
        <f>IF(AND($A184&gt;=SYear_O,$A184&lt;=EYear_O,AR$3&gt;0),IF($A184=SYear_O,AR$168*(1+Data_All!AR23%),AR183*(1+Data_All!AR23%)),"")</f>
        <v/>
      </c>
      <c r="AS184" s="427" t="str">
        <f>IF(AND($A184&gt;=SYear_O,$A184&lt;=EYear_O,AS$3&gt;0),IF($A184=SYear_O,AS$168*(1+Data_All!AS23%),AS183*(1+Data_All!AS23%)),"")</f>
        <v/>
      </c>
      <c r="AT184" s="427" t="str">
        <f>IF(AND($A184&gt;=SYear_O,$A184&lt;=EYear_O,AT$3&gt;0),IF($A184=SYear_O,AT$168*(1+Data_All!AT23%),AT183*(1+Data_All!AT23%)),"")</f>
        <v/>
      </c>
      <c r="AU184" s="427" t="str">
        <f>IF(AND($A184&gt;=SYear_O,$A184&lt;=EYear_O,AU$3&gt;0),IF($A184=SYear_O,AU$168*(1+Data_All!AU23%),AU183*(1+Data_All!AU23%)),"")</f>
        <v/>
      </c>
      <c r="AV184" s="427" t="str">
        <f>IF(AND($A184&gt;=SYear_O,$A184&lt;=EYear_O,AV$3&gt;0),IF($A184=SYear_O,AV$168*(1+Data_All!AV23%),AV183*(1+Data_All!AV23%)),"")</f>
        <v/>
      </c>
      <c r="AW184" s="427" t="str">
        <f>IF(AND($A184&gt;=SYear_O,$A184&lt;=EYear_O,AW$3&gt;0),IF($A184=SYear_O,AW$168*(1+Data_All!AW23%),AW183*(1+Data_All!AW23%)),"")</f>
        <v/>
      </c>
      <c r="AX184" s="427" t="str">
        <f>IF(AND($A184&gt;=SYear_O,$A184&lt;=EYear_O,AX$3&gt;0),IF($A184=SYear_O,AX$168*(1+Data_All!AX23%),AX183*(1+Data_All!AX23%)),"")</f>
        <v/>
      </c>
      <c r="AY184" s="427" t="str">
        <f>IF(AND($A184&gt;=SYear_O,$A184&lt;=EYear_O,AY$3&gt;0),IF($A184=SYear_O,AY$168*(1+Data_All!AY23%),AY183*(1+Data_All!AY23%)),"")</f>
        <v/>
      </c>
      <c r="AZ184" s="427" t="str">
        <f>IF(AND($A184&gt;=SYear_O,$A184&lt;=EYear_O,AZ$3&gt;0),IF($A184=SYear_O,AZ$168*(1+Data_All!AZ23%),AZ183*(1+Data_All!AZ23%)),"")</f>
        <v/>
      </c>
      <c r="BA184" s="427" t="str">
        <f>IF(AND($A184&gt;=SYear_O,$A184&lt;=EYear_O,BA$3&gt;0),IF($A184=SYear_O,BA$168*(1+Data_All!BA23%),BA183*(1+Data_All!BA23%)),"")</f>
        <v/>
      </c>
      <c r="BB184" s="427" t="str">
        <f>IF(AND($A184&gt;=SYear_O,$A184&lt;=EYear_O,BB$3&gt;0),IF($A184=SYear_O,BB$168*(1+Data_All!BB23%),BB183*(1+Data_All!BB23%)),"")</f>
        <v/>
      </c>
      <c r="BC184" s="427" t="str">
        <f>IF(AND($A184&gt;=SYear_O,$A184&lt;=EYear_O,BC$3&gt;0),IF($A184=SYear_O,BC$168*(1+Data_All!BC23%),BC183*(1+Data_All!BC23%)),"")</f>
        <v/>
      </c>
      <c r="BD184" s="427" t="str">
        <f>IF(AND($A184&gt;=SYear_O,$A184&lt;=EYear_O,BD$3&gt;0),IF($A184=SYear_O,BD$168*(1+Data_All!BD23%),BD183*(1+Data_All!BD23%)),"")</f>
        <v/>
      </c>
      <c r="BE184" s="427" t="str">
        <f>IF(AND($A184&gt;=SYear_O,$A184&lt;=EYear_O,BE$3&gt;0),IF($A184=SYear_O,BE$168*(1+Data_All!BE23%),BE183*(1+Data_All!BE23%)),"")</f>
        <v/>
      </c>
      <c r="BF184" s="427" t="str">
        <f>IF(AND($A184&gt;=SYear_O,$A184&lt;=EYear_O,BF$3&gt;0),IF($A184=SYear_O,BF$168*(1+Data_All!BF23%),BF183*(1+Data_All!BF23%)),"")</f>
        <v/>
      </c>
      <c r="BG184" s="427" t="str">
        <f>IF(AND($A184&gt;=SYear_O,$A184&lt;=EYear_O,BG$3&gt;0),IF($A184=SYear_O,BG$168*(1+Data_All!BG23%),BG183*(1+Data_All!BG23%)),"")</f>
        <v/>
      </c>
      <c r="BH184" s="427" t="str">
        <f>IF(AND($A184&gt;=SYear_O,$A184&lt;=EYear_O,BH$3&gt;0),IF($A184=SYear_O,BH$168*(1+Data_All!BH23%),BH183*(1+Data_All!BH23%)),"")</f>
        <v/>
      </c>
      <c r="BI184" s="427" t="str">
        <f>IF(AND($A184&gt;=SYear_O,$A184&lt;=EYear_O,BI$3&gt;0),IF($A184=SYear_O,BI$168*(1+Data_All!BI23%),BI183*(1+Data_All!BI23%)),"")</f>
        <v/>
      </c>
      <c r="BJ184" s="427" t="str">
        <f>IF(AND($A184&gt;=SYear_O,$A184&lt;=EYear_O,BJ$3&gt;0),IF($A184=SYear_O,BJ$168*(1+Data_All!BJ23%),BJ183*(1+Data_All!BJ23%)),"")</f>
        <v/>
      </c>
      <c r="BK184" s="427" t="str">
        <f>IF(AND($A184&gt;=SYear_O,$A184&lt;=EYear_O,BK$3&gt;0),IF($A184=SYear_O,BK$168*(1+Data_All!BK23%),BK183*(1+Data_All!BK23%)),"")</f>
        <v/>
      </c>
      <c r="BL184" s="427" t="str">
        <f>IF(AND($A184&gt;=SYear_O,$A184&lt;=EYear_O,BL$3&gt;0),IF($A184=SYear_O,BL$168*(1+Data_All!BL23%),BL183*(1+Data_All!BL23%)),"")</f>
        <v/>
      </c>
      <c r="BM184" s="427" t="str">
        <f>IF(AND($A184&gt;=SYear_O,$A184&lt;=EYear_O,BM$3&gt;0),IF($A184=SYear_O,BM$168*(1+Data_All!BM23%),BM183*(1+Data_All!BM23%)),"")</f>
        <v/>
      </c>
      <c r="BN184" s="427" t="str">
        <f>IF(AND($A184&gt;=SYear_O,$A184&lt;=EYear_O,BN$3&gt;0),IF($A184=SYear_O,BN$168*(1+Data_All!BN23%),BN183*(1+Data_All!BN23%)),"")</f>
        <v/>
      </c>
      <c r="BO184" s="427" t="str">
        <f>IF(AND($A184&gt;=SYear_O,$A184&lt;=EYear_O,BO$3&gt;0),IF($A184=SYear_O,BO$168*(1+Data_All!BO23%),BO183*(1+Data_All!BO23%)),"")</f>
        <v/>
      </c>
      <c r="BP184" s="427" t="str">
        <f>IF(AND($A184&gt;=SYear_O,$A184&lt;=EYear_O,BP$3&gt;0),IF($A184=SYear_O,BP$168*(1+Data_All!BP23%),BP183*(1+Data_All!BP23%)),"")</f>
        <v/>
      </c>
      <c r="BQ184" s="427" t="str">
        <f>IF(AND($A184&gt;=SYear_O,$A184&lt;=EYear_O,BQ$3&gt;0),IF($A184=SYear_O,BQ$168*(1+Data_All!BQ23%),BQ183*(1+Data_All!BQ23%)),"")</f>
        <v/>
      </c>
      <c r="BR184" s="427" t="str">
        <f>IF(AND($A184&gt;=SYear_O,$A184&lt;=EYear_O,BR$3&gt;0),IF($A184=SYear_O,BR$168*(1+Data_All!BR23%),BR183*(1+Data_All!BR23%)),"")</f>
        <v/>
      </c>
      <c r="BS184" s="427" t="str">
        <f>IF(AND($A184&gt;=SYear_O,$A184&lt;=EYear_O,BS$3&gt;0),IF($A184=SYear_O,BS$168*(1+Data_All!BS23%),BS183*(1+Data_All!BS23%)),"")</f>
        <v/>
      </c>
      <c r="BT184" s="427" t="str">
        <f>IF(AND($A184&gt;=SYear_O,$A184&lt;=EYear_O,BT$3&gt;0),IF($A184=SYear_O,BT$168*(1+Data_All!BT23%),BT183*(1+Data_All!BT23%)),"")</f>
        <v/>
      </c>
      <c r="BU184" s="427" t="str">
        <f>IF(AND($A184&gt;=SYear_O,$A184&lt;=EYear_O,BU$3&gt;0),IF($A184=SYear_O,BU$168*(1+Data_All!BU23%),BU183*(1+Data_All!BU23%)),"")</f>
        <v/>
      </c>
      <c r="BV184" s="427" t="str">
        <f>IF(AND($A184&gt;=SYear_O,$A184&lt;=EYear_O,BV$3&gt;0),IF($A184=SYear_O,BV$168*(1+Data_All!BV23%),BV183*(1+Data_All!BV23%)),"")</f>
        <v/>
      </c>
      <c r="BW184" s="427" t="str">
        <f>IF(AND($A184&gt;=SYear_O,$A184&lt;=EYear_O,BW$3&gt;0),IF($A184=SYear_O,BW$168*(1+Data_All!BW23%),BW183*(1+Data_All!BW23%)),"")</f>
        <v/>
      </c>
      <c r="BX184" s="427">
        <f>IF(AND($A184&gt;=SYear_O,$A184&lt;=EYear_O,BX$3&gt;0),IF($A184=SYear_O,BX$168*(1+Data_All!BX23%),BX183*(1+Data_All!BX23%)),"")</f>
        <v>18579.382895393857</v>
      </c>
      <c r="BY184" s="427">
        <f>IF(AND($A184&gt;=SYear_O,$A184&lt;=EYear_O,BY$3&gt;0),IF($A184=SYear_O,BY$168*(1+Data_All!BY23%),BY183*(1+Data_All!BY23%)),"")</f>
        <v>8197.8928036844427</v>
      </c>
      <c r="BZ184" s="427" t="str">
        <f>IF(AND($A184&gt;=SYear_O,$A184&lt;=EYear_O,BZ$3&gt;0),IF($A184=SYear_O,BZ$168*(1+Data_All!BZ23%),BZ183*(1+Data_All!BZ23%)),"")</f>
        <v/>
      </c>
      <c r="CA184" s="565">
        <f t="shared" si="92"/>
        <v>7.5953454622725989</v>
      </c>
      <c r="CB184" s="427">
        <f t="shared" si="93"/>
        <v>26777.275699078302</v>
      </c>
      <c r="CC184" s="565">
        <f>IF(AND($A184&gt;=SYear_O,$A184&lt;=EYear_O),(CA184-Data_All!CA23)/(1+Data_All!CA23%),"")</f>
        <v>7.5953454622725989</v>
      </c>
      <c r="CD184" s="436">
        <f t="shared" si="94"/>
        <v>41759.747909114092</v>
      </c>
      <c r="CE184" s="438">
        <f t="shared" si="95"/>
        <v>2.4286785221517126</v>
      </c>
      <c r="CF184" s="438">
        <f>IF(AND($A184&gt;=SYear_O,$A184&lt;=EYear_O),MAX($CE$169:CE184),"")</f>
        <v>2.4286785221517126</v>
      </c>
      <c r="CG184" s="209">
        <f t="shared" si="96"/>
        <v>0</v>
      </c>
      <c r="CN184" s="61">
        <f t="shared" si="97"/>
        <v>7.5953454622726069E-2</v>
      </c>
      <c r="CO184" s="61">
        <f t="shared" si="98"/>
        <v>4.1000072433526213E-2</v>
      </c>
      <c r="CP184" s="61">
        <f t="shared" si="99"/>
        <v>2.7613231624224133E-2</v>
      </c>
      <c r="CQ184" s="61">
        <f t="shared" si="100"/>
        <v>2.6796922044439953E-2</v>
      </c>
      <c r="CR184" s="61">
        <f t="shared" si="101"/>
        <v>5.5553215345799822E-2</v>
      </c>
      <c r="CU184" s="61">
        <f t="shared" si="102"/>
        <v>7.5953454622726069E-2</v>
      </c>
      <c r="CV184" s="61">
        <f t="shared" si="103"/>
        <v>4.1000072433526213E-2</v>
      </c>
      <c r="CW184" s="61">
        <f t="shared" si="104"/>
        <v>3.2577747738053331E-2</v>
      </c>
      <c r="CX184" s="61">
        <f t="shared" si="105"/>
        <v>4.5689345101418866E-2</v>
      </c>
      <c r="CY184" s="61">
        <f t="shared" si="106"/>
        <v>5.8115540583422831E-2</v>
      </c>
    </row>
    <row r="185" spans="1:103">
      <c r="A185" s="204">
        <f t="shared" si="107"/>
        <v>1887</v>
      </c>
      <c r="B185" s="427" t="str">
        <f>IF(AND($A185&gt;=SYear_O,$A185&lt;=EYear_O,B$3&gt;0),IF($A185=SYear_O,B$168*(1+Data_All!B24%),B184*(1+Data_All!B24%)),"")</f>
        <v/>
      </c>
      <c r="C185" s="427" t="str">
        <f>IF(AND($A185&gt;=SYear_O,$A185&lt;=EYear_O,C$3&gt;0),IF($A185=SYear_O,C$168*(1+Data_All!C24%),C184*(1+Data_All!C24%)),"")</f>
        <v/>
      </c>
      <c r="D185" s="427" t="str">
        <f>IF(AND($A185&gt;=SYear_O,$A185&lt;=EYear_O,D$3&gt;0),IF($A185=SYear_O,D$168*(1+Data_All!D24%),D184*(1+Data_All!D24%)),"")</f>
        <v/>
      </c>
      <c r="E185" s="427" t="str">
        <f>IF(AND($A185&gt;=SYear_O,$A185&lt;=EYear_O,E$3&gt;0),IF($A185=SYear_O,E$168*(1+Data_All!E24%),E184*(1+Data_All!E24%)),"")</f>
        <v/>
      </c>
      <c r="F185" s="427" t="str">
        <f>IF(AND($A185&gt;=SYear_O,$A185&lt;=EYear_O,F$3&gt;0),IF($A185=SYear_O,F$168*(1+Data_All!F24%),F184*(1+Data_All!F24%)),"")</f>
        <v/>
      </c>
      <c r="G185" s="427" t="str">
        <f>IF(AND($A185&gt;=SYear_O,$A185&lt;=EYear_O,G$3&gt;0),IF($A185=SYear_O,G$168*(1+Data_All!G24%),G184*(1+Data_All!G24%)),"")</f>
        <v/>
      </c>
      <c r="H185" s="427" t="str">
        <f>IF(AND($A185&gt;=SYear_O,$A185&lt;=EYear_O,H$3&gt;0),IF($A185=SYear_O,H$168*(1+Data_All!H24%),H184*(1+Data_All!H24%)),"")</f>
        <v/>
      </c>
      <c r="I185" s="427" t="str">
        <f>IF(AND($A185&gt;=SYear_O,$A185&lt;=EYear_O,I$3&gt;0),IF($A185=SYear_O,I$168*(1+Data_All!I24%),I184*(1+Data_All!I24%)),"")</f>
        <v/>
      </c>
      <c r="J185" s="427" t="str">
        <f>IF(AND($A185&gt;=SYear_O,$A185&lt;=EYear_O,J$3&gt;0),IF($A185=SYear_O,J$168*(1+Data_All!J24%),J184*(1+Data_All!J24%)),"")</f>
        <v/>
      </c>
      <c r="K185" s="427" t="str">
        <f>IF(AND($A185&gt;=SYear_O,$A185&lt;=EYear_O,K$3&gt;0),IF($A185=SYear_O,K$168*(1+Data_All!K24%),K184*(1+Data_All!K24%)),"")</f>
        <v/>
      </c>
      <c r="L185" s="427" t="str">
        <f>IF(AND($A185&gt;=SYear_O,$A185&lt;=EYear_O,L$3&gt;0),IF($A185=SYear_O,L$168*(1+Data_All!L24%),L184*(1+Data_All!L24%)),"")</f>
        <v/>
      </c>
      <c r="M185" s="427" t="str">
        <f>IF(AND($A185&gt;=SYear_O,$A185&lt;=EYear_O,M$3&gt;0),IF($A185=SYear_O,M$168*(1+Data_All!M24%),M184*(1+Data_All!M24%)),"")</f>
        <v/>
      </c>
      <c r="N185" s="427" t="str">
        <f>IF(AND($A185&gt;=SYear_O,$A185&lt;=EYear_O,N$3&gt;0),IF($A185=SYear_O,N$168*(1+Data_All!N24%),N184*(1+Data_All!N24%)),"")</f>
        <v/>
      </c>
      <c r="O185" s="427" t="str">
        <f>IF(AND($A185&gt;=SYear_O,$A185&lt;=EYear_O,O$3&gt;0),IF($A185=SYear_O,O$168*(1+Data_All!O24%),O184*(1+Data_All!O24%)),"")</f>
        <v/>
      </c>
      <c r="P185" s="427" t="str">
        <f>IF(AND($A185&gt;=SYear_O,$A185&lt;=EYear_O,P$3&gt;0),IF($A185=SYear_O,P$168*(1+Data_All!P24%),P184*(1+Data_All!P24%)),"")</f>
        <v/>
      </c>
      <c r="Q185" s="427" t="str">
        <f>IF(AND($A185&gt;=SYear_O,$A185&lt;=EYear_O,Q$3&gt;0),IF($A185=SYear_O,Q$168*(1+Data_All!Q24%),Q184*(1+Data_All!Q24%)),"")</f>
        <v/>
      </c>
      <c r="R185" s="427" t="str">
        <f>IF(AND($A185&gt;=SYear_O,$A185&lt;=EYear_O,R$3&gt;0),IF($A185=SYear_O,R$168*(1+Data_All!R24%),R184*(1+Data_All!R24%)),"")</f>
        <v/>
      </c>
      <c r="S185" s="427" t="str">
        <f>IF(AND($A185&gt;=SYear_O,$A185&lt;=EYear_O,S$3&gt;0),IF($A185=SYear_O,S$168*(1+Data_All!S24%),S184*(1+Data_All!S24%)),"")</f>
        <v/>
      </c>
      <c r="T185" s="427" t="str">
        <f>IF(AND($A185&gt;=SYear_O,$A185&lt;=EYear_O,T$3&gt;0),IF($A185=SYear_O,T$168*(1+Data_All!T24%),T184*(1+Data_All!T24%)),"")</f>
        <v/>
      </c>
      <c r="U185" s="427" t="str">
        <f>IF(AND($A185&gt;=SYear_O,$A185&lt;=EYear_O,U$3&gt;0),IF($A185=SYear_O,U$168*(1+Data_All!U24%),U184*(1+Data_All!U24%)),"")</f>
        <v/>
      </c>
      <c r="V185" s="427" t="str">
        <f>IF(AND($A185&gt;=SYear_O,$A185&lt;=EYear_O,V$3&gt;0),IF($A185=SYear_O,V$168*(1+Data_All!V24%),V184*(1+Data_All!V24%)),"")</f>
        <v/>
      </c>
      <c r="W185" s="427" t="str">
        <f>IF(AND($A185&gt;=SYear_O,$A185&lt;=EYear_O,W$3&gt;0),IF($A185=SYear_O,W$168*(1+Data_All!W24%),W184*(1+Data_All!W24%)),"")</f>
        <v/>
      </c>
      <c r="X185" s="427" t="str">
        <f>IF(AND($A185&gt;=SYear_O,$A185&lt;=EYear_O,X$3&gt;0),IF($A185=SYear_O,X$168*(1+Data_All!X24%),X184*(1+Data_All!X24%)),"")</f>
        <v/>
      </c>
      <c r="Y185" s="427" t="str">
        <f>IF(AND($A185&gt;=SYear_O,$A185&lt;=EYear_O,Y$3&gt;0),IF($A185=SYear_O,Y$168*(1+Data_All!Y24%),Y184*(1+Data_All!Y24%)),"")</f>
        <v/>
      </c>
      <c r="Z185" s="427" t="str">
        <f>IF(AND($A185&gt;=SYear_O,$A185&lt;=EYear_O,Z$3&gt;0),IF($A185=SYear_O,Z$168*(1+Data_All!Z24%),Z184*(1+Data_All!Z24%)),"")</f>
        <v/>
      </c>
      <c r="AA185" s="427" t="str">
        <f>IF(AND($A185&gt;=SYear_O,$A185&lt;=EYear_O,AA$3&gt;0),IF($A185=SYear_O,AA$168*(1+Data_All!AA24%),AA184*(1+Data_All!AA24%)),"")</f>
        <v/>
      </c>
      <c r="AB185" s="427" t="str">
        <f>IF(AND($A185&gt;=SYear_O,$A185&lt;=EYear_O,AB$3&gt;0),IF($A185=SYear_O,AB$168*(1+Data_All!AB24%),AB184*(1+Data_All!AB24%)),"")</f>
        <v/>
      </c>
      <c r="AC185" s="427" t="str">
        <f>IF(AND($A185&gt;=SYear_O,$A185&lt;=EYear_O,AC$3&gt;0),IF($A185=SYear_O,AC$168*(1+Data_All!AC24%),AC184*(1+Data_All!AC24%)),"")</f>
        <v/>
      </c>
      <c r="AD185" s="427" t="str">
        <f>IF(AND($A185&gt;=SYear_O,$A185&lt;=EYear_O,AD$3&gt;0),IF($A185=SYear_O,AD$168*(1+Data_All!AD24%),AD184*(1+Data_All!AD24%)),"")</f>
        <v/>
      </c>
      <c r="AE185" s="427" t="str">
        <f>IF(AND($A185&gt;=SYear_O,$A185&lt;=EYear_O,AE$3&gt;0),IF($A185=SYear_O,AE$168*(1+Data_All!AE24%),AE184*(1+Data_All!AE24%)),"")</f>
        <v/>
      </c>
      <c r="AF185" s="427" t="str">
        <f>IF(AND($A185&gt;=SYear_O,$A185&lt;=EYear_O,AF$3&gt;0),IF($A185=SYear_O,AF$168*(1+Data_All!AF24%),AF184*(1+Data_All!AF24%)),"")</f>
        <v/>
      </c>
      <c r="AG185" s="427" t="str">
        <f>IF(AND($A185&gt;=SYear_O,$A185&lt;=EYear_O,AG$3&gt;0),IF($A185=SYear_O,AG$168*(1+Data_All!AG24%),AG184*(1+Data_All!AG24%)),"")</f>
        <v/>
      </c>
      <c r="AH185" s="427" t="str">
        <f>IF(AND($A185&gt;=SYear_O,$A185&lt;=EYear_O,AH$3&gt;0),IF($A185=SYear_O,AH$168*(1+Data_All!AH24%),AH184*(1+Data_All!AH24%)),"")</f>
        <v/>
      </c>
      <c r="AI185" s="427" t="str">
        <f>IF(AND($A185&gt;=SYear_O,$A185&lt;=EYear_O,AI$3&gt;0),IF($A185=SYear_O,AI$168*(1+Data_All!AI24%),AI184*(1+Data_All!AI24%)),"")</f>
        <v/>
      </c>
      <c r="AJ185" s="427" t="str">
        <f>IF(AND($A185&gt;=SYear_O,$A185&lt;=EYear_O,AJ$3&gt;0),IF($A185=SYear_O,AJ$168*(1+Data_All!AJ24%),AJ184*(1+Data_All!AJ24%)),"")</f>
        <v/>
      </c>
      <c r="AK185" s="427" t="str">
        <f>IF(AND($A185&gt;=SYear_O,$A185&lt;=EYear_O,AK$3&gt;0),IF($A185=SYear_O,AK$168*(1+Data_All!AK24%),AK184*(1+Data_All!AK24%)),"")</f>
        <v/>
      </c>
      <c r="AL185" s="427" t="str">
        <f>IF(AND($A185&gt;=SYear_O,$A185&lt;=EYear_O,AL$3&gt;0),IF($A185=SYear_O,AL$168*(1+Data_All!AL24%),AL184*(1+Data_All!AL24%)),"")</f>
        <v/>
      </c>
      <c r="AM185" s="427" t="str">
        <f>IF(AND($A185&gt;=SYear_O,$A185&lt;=EYear_O,AM$3&gt;0),IF($A185=SYear_O,AM$168*(1+Data_All!AM24%),AM184*(1+Data_All!AM24%)),"")</f>
        <v/>
      </c>
      <c r="AN185" s="427" t="str">
        <f>IF(AND($A185&gt;=SYear_O,$A185&lt;=EYear_O,AN$3&gt;0),IF($A185=SYear_O,AN$168*(1+Data_All!AN24%),AN184*(1+Data_All!AN24%)),"")</f>
        <v/>
      </c>
      <c r="AO185" s="427" t="str">
        <f>IF(AND($A185&gt;=SYear_O,$A185&lt;=EYear_O,AO$3&gt;0),IF($A185=SYear_O,AO$168*(1+Data_All!AO24%),AO184*(1+Data_All!AO24%)),"")</f>
        <v/>
      </c>
      <c r="AP185" s="427" t="str">
        <f>IF(AND($A185&gt;=SYear_O,$A185&lt;=EYear_O,AP$3&gt;0),IF($A185=SYear_O,AP$168*(1+Data_All!AP24%),AP184*(1+Data_All!AP24%)),"")</f>
        <v/>
      </c>
      <c r="AQ185" s="427" t="str">
        <f>IF(AND($A185&gt;=SYear_O,$A185&lt;=EYear_O,AQ$3&gt;0),IF($A185=SYear_O,AQ$168*(1+Data_All!AQ24%),AQ184*(1+Data_All!AQ24%)),"")</f>
        <v/>
      </c>
      <c r="AR185" s="427" t="str">
        <f>IF(AND($A185&gt;=SYear_O,$A185&lt;=EYear_O,AR$3&gt;0),IF($A185=SYear_O,AR$168*(1+Data_All!AR24%),AR184*(1+Data_All!AR24%)),"")</f>
        <v/>
      </c>
      <c r="AS185" s="427" t="str">
        <f>IF(AND($A185&gt;=SYear_O,$A185&lt;=EYear_O,AS$3&gt;0),IF($A185=SYear_O,AS$168*(1+Data_All!AS24%),AS184*(1+Data_All!AS24%)),"")</f>
        <v/>
      </c>
      <c r="AT185" s="427" t="str">
        <f>IF(AND($A185&gt;=SYear_O,$A185&lt;=EYear_O,AT$3&gt;0),IF($A185=SYear_O,AT$168*(1+Data_All!AT24%),AT184*(1+Data_All!AT24%)),"")</f>
        <v/>
      </c>
      <c r="AU185" s="427" t="str">
        <f>IF(AND($A185&gt;=SYear_O,$A185&lt;=EYear_O,AU$3&gt;0),IF($A185=SYear_O,AU$168*(1+Data_All!AU24%),AU184*(1+Data_All!AU24%)),"")</f>
        <v/>
      </c>
      <c r="AV185" s="427" t="str">
        <f>IF(AND($A185&gt;=SYear_O,$A185&lt;=EYear_O,AV$3&gt;0),IF($A185=SYear_O,AV$168*(1+Data_All!AV24%),AV184*(1+Data_All!AV24%)),"")</f>
        <v/>
      </c>
      <c r="AW185" s="427" t="str">
        <f>IF(AND($A185&gt;=SYear_O,$A185&lt;=EYear_O,AW$3&gt;0),IF($A185=SYear_O,AW$168*(1+Data_All!AW24%),AW184*(1+Data_All!AW24%)),"")</f>
        <v/>
      </c>
      <c r="AX185" s="427" t="str">
        <f>IF(AND($A185&gt;=SYear_O,$A185&lt;=EYear_O,AX$3&gt;0),IF($A185=SYear_O,AX$168*(1+Data_All!AX24%),AX184*(1+Data_All!AX24%)),"")</f>
        <v/>
      </c>
      <c r="AY185" s="427" t="str">
        <f>IF(AND($A185&gt;=SYear_O,$A185&lt;=EYear_O,AY$3&gt;0),IF($A185=SYear_O,AY$168*(1+Data_All!AY24%),AY184*(1+Data_All!AY24%)),"")</f>
        <v/>
      </c>
      <c r="AZ185" s="427" t="str">
        <f>IF(AND($A185&gt;=SYear_O,$A185&lt;=EYear_O,AZ$3&gt;0),IF($A185=SYear_O,AZ$168*(1+Data_All!AZ24%),AZ184*(1+Data_All!AZ24%)),"")</f>
        <v/>
      </c>
      <c r="BA185" s="427" t="str">
        <f>IF(AND($A185&gt;=SYear_O,$A185&lt;=EYear_O,BA$3&gt;0),IF($A185=SYear_O,BA$168*(1+Data_All!BA24%),BA184*(1+Data_All!BA24%)),"")</f>
        <v/>
      </c>
      <c r="BB185" s="427" t="str">
        <f>IF(AND($A185&gt;=SYear_O,$A185&lt;=EYear_O,BB$3&gt;0),IF($A185=SYear_O,BB$168*(1+Data_All!BB24%),BB184*(1+Data_All!BB24%)),"")</f>
        <v/>
      </c>
      <c r="BC185" s="427" t="str">
        <f>IF(AND($A185&gt;=SYear_O,$A185&lt;=EYear_O,BC$3&gt;0),IF($A185=SYear_O,BC$168*(1+Data_All!BC24%),BC184*(1+Data_All!BC24%)),"")</f>
        <v/>
      </c>
      <c r="BD185" s="427" t="str">
        <f>IF(AND($A185&gt;=SYear_O,$A185&lt;=EYear_O,BD$3&gt;0),IF($A185=SYear_O,BD$168*(1+Data_All!BD24%),BD184*(1+Data_All!BD24%)),"")</f>
        <v/>
      </c>
      <c r="BE185" s="427" t="str">
        <f>IF(AND($A185&gt;=SYear_O,$A185&lt;=EYear_O,BE$3&gt;0),IF($A185=SYear_O,BE$168*(1+Data_All!BE24%),BE184*(1+Data_All!BE24%)),"")</f>
        <v/>
      </c>
      <c r="BF185" s="427" t="str">
        <f>IF(AND($A185&gt;=SYear_O,$A185&lt;=EYear_O,BF$3&gt;0),IF($A185=SYear_O,BF$168*(1+Data_All!BF24%),BF184*(1+Data_All!BF24%)),"")</f>
        <v/>
      </c>
      <c r="BG185" s="427" t="str">
        <f>IF(AND($A185&gt;=SYear_O,$A185&lt;=EYear_O,BG$3&gt;0),IF($A185=SYear_O,BG$168*(1+Data_All!BG24%),BG184*(1+Data_All!BG24%)),"")</f>
        <v/>
      </c>
      <c r="BH185" s="427" t="str">
        <f>IF(AND($A185&gt;=SYear_O,$A185&lt;=EYear_O,BH$3&gt;0),IF($A185=SYear_O,BH$168*(1+Data_All!BH24%),BH184*(1+Data_All!BH24%)),"")</f>
        <v/>
      </c>
      <c r="BI185" s="427" t="str">
        <f>IF(AND($A185&gt;=SYear_O,$A185&lt;=EYear_O,BI$3&gt;0),IF($A185=SYear_O,BI$168*(1+Data_All!BI24%),BI184*(1+Data_All!BI24%)),"")</f>
        <v/>
      </c>
      <c r="BJ185" s="427" t="str">
        <f>IF(AND($A185&gt;=SYear_O,$A185&lt;=EYear_O,BJ$3&gt;0),IF($A185=SYear_O,BJ$168*(1+Data_All!BJ24%),BJ184*(1+Data_All!BJ24%)),"")</f>
        <v/>
      </c>
      <c r="BK185" s="427" t="str">
        <f>IF(AND($A185&gt;=SYear_O,$A185&lt;=EYear_O,BK$3&gt;0),IF($A185=SYear_O,BK$168*(1+Data_All!BK24%),BK184*(1+Data_All!BK24%)),"")</f>
        <v/>
      </c>
      <c r="BL185" s="427" t="str">
        <f>IF(AND($A185&gt;=SYear_O,$A185&lt;=EYear_O,BL$3&gt;0),IF($A185=SYear_O,BL$168*(1+Data_All!BL24%),BL184*(1+Data_All!BL24%)),"")</f>
        <v/>
      </c>
      <c r="BM185" s="427" t="str">
        <f>IF(AND($A185&gt;=SYear_O,$A185&lt;=EYear_O,BM$3&gt;0),IF($A185=SYear_O,BM$168*(1+Data_All!BM24%),BM184*(1+Data_All!BM24%)),"")</f>
        <v/>
      </c>
      <c r="BN185" s="427" t="str">
        <f>IF(AND($A185&gt;=SYear_O,$A185&lt;=EYear_O,BN$3&gt;0),IF($A185=SYear_O,BN$168*(1+Data_All!BN24%),BN184*(1+Data_All!BN24%)),"")</f>
        <v/>
      </c>
      <c r="BO185" s="427" t="str">
        <f>IF(AND($A185&gt;=SYear_O,$A185&lt;=EYear_O,BO$3&gt;0),IF($A185=SYear_O,BO$168*(1+Data_All!BO24%),BO184*(1+Data_All!BO24%)),"")</f>
        <v/>
      </c>
      <c r="BP185" s="427" t="str">
        <f>IF(AND($A185&gt;=SYear_O,$A185&lt;=EYear_O,BP$3&gt;0),IF($A185=SYear_O,BP$168*(1+Data_All!BP24%),BP184*(1+Data_All!BP24%)),"")</f>
        <v/>
      </c>
      <c r="BQ185" s="427" t="str">
        <f>IF(AND($A185&gt;=SYear_O,$A185&lt;=EYear_O,BQ$3&gt;0),IF($A185=SYear_O,BQ$168*(1+Data_All!BQ24%),BQ184*(1+Data_All!BQ24%)),"")</f>
        <v/>
      </c>
      <c r="BR185" s="427" t="str">
        <f>IF(AND($A185&gt;=SYear_O,$A185&lt;=EYear_O,BR$3&gt;0),IF($A185=SYear_O,BR$168*(1+Data_All!BR24%),BR184*(1+Data_All!BR24%)),"")</f>
        <v/>
      </c>
      <c r="BS185" s="427" t="str">
        <f>IF(AND($A185&gt;=SYear_O,$A185&lt;=EYear_O,BS$3&gt;0),IF($A185=SYear_O,BS$168*(1+Data_All!BS24%),BS184*(1+Data_All!BS24%)),"")</f>
        <v/>
      </c>
      <c r="BT185" s="427" t="str">
        <f>IF(AND($A185&gt;=SYear_O,$A185&lt;=EYear_O,BT$3&gt;0),IF($A185=SYear_O,BT$168*(1+Data_All!BT24%),BT184*(1+Data_All!BT24%)),"")</f>
        <v/>
      </c>
      <c r="BU185" s="427" t="str">
        <f>IF(AND($A185&gt;=SYear_O,$A185&lt;=EYear_O,BU$3&gt;0),IF($A185=SYear_O,BU$168*(1+Data_All!BU24%),BU184*(1+Data_All!BU24%)),"")</f>
        <v/>
      </c>
      <c r="BV185" s="427" t="str">
        <f>IF(AND($A185&gt;=SYear_O,$A185&lt;=EYear_O,BV$3&gt;0),IF($A185=SYear_O,BV$168*(1+Data_All!BV24%),BV184*(1+Data_All!BV24%)),"")</f>
        <v/>
      </c>
      <c r="BW185" s="427" t="str">
        <f>IF(AND($A185&gt;=SYear_O,$A185&lt;=EYear_O,BW$3&gt;0),IF($A185=SYear_O,BW$168*(1+Data_All!BW24%),BW184*(1+Data_All!BW24%)),"")</f>
        <v/>
      </c>
      <c r="BX185" s="427">
        <f>IF(AND($A185&gt;=SYear_O,$A185&lt;=EYear_O,BX$3&gt;0),IF($A185=SYear_O,BX$168*(1+Data_All!BX24%),BX184*(1+Data_All!BX24%)),"")</f>
        <v>18512.79012515947</v>
      </c>
      <c r="BY185" s="427">
        <f>IF(AND($A185&gt;=SYear_O,$A185&lt;=EYear_O,BY$3&gt;0),IF($A185=SYear_O,BY$168*(1+Data_All!BY24%),BY184*(1+Data_All!BY24%)),"")</f>
        <v>8594.2859634725355</v>
      </c>
      <c r="BZ185" s="427" t="str">
        <f>IF(AND($A185&gt;=SYear_O,$A185&lt;=EYear_O,BZ$3&gt;0),IF($A185=SYear_O,BZ$168*(1+Data_All!BZ24%),BZ184*(1+Data_All!BZ24%)),"")</f>
        <v/>
      </c>
      <c r="CA185" s="565">
        <f t="shared" si="92"/>
        <v>1.2316428051157424</v>
      </c>
      <c r="CB185" s="427">
        <f t="shared" si="93"/>
        <v>27107.076088632006</v>
      </c>
      <c r="CC185" s="565">
        <f>IF(AND($A185&gt;=SYear_O,$A185&lt;=EYear_O),(CA185-Data_All!CA24)/(1+Data_All!CA24%),"")</f>
        <v>-3.3701419511858552</v>
      </c>
      <c r="CD185" s="436">
        <f t="shared" si="94"/>
        <v>40352.385126119581</v>
      </c>
      <c r="CE185" s="438">
        <f t="shared" si="95"/>
        <v>2.4585911664291853</v>
      </c>
      <c r="CF185" s="438">
        <f>IF(AND($A185&gt;=SYear_O,$A185&lt;=EYear_O),MAX($CE$169:CE185),"")</f>
        <v>2.4585911664291853</v>
      </c>
      <c r="CG185" s="209">
        <f t="shared" si="96"/>
        <v>0</v>
      </c>
      <c r="CN185" s="61">
        <f t="shared" si="97"/>
        <v>1.2316428051157402E-2</v>
      </c>
      <c r="CO185" s="61">
        <f t="shared" si="98"/>
        <v>3.3680807059156104E-2</v>
      </c>
      <c r="CP185" s="61">
        <f t="shared" si="99"/>
        <v>4.089170921892249E-2</v>
      </c>
      <c r="CQ185" s="61">
        <f t="shared" si="100"/>
        <v>2.4135526754209158E-2</v>
      </c>
      <c r="CR185" s="61">
        <f t="shared" si="101"/>
        <v>6.0343361428675468E-2</v>
      </c>
      <c r="CU185" s="61">
        <f t="shared" si="102"/>
        <v>-3.3701419511858566E-2</v>
      </c>
      <c r="CV185" s="61">
        <f t="shared" si="103"/>
        <v>5.0629301458424036E-2</v>
      </c>
      <c r="CW185" s="61">
        <f t="shared" si="104"/>
        <v>5.9164124746506896E-2</v>
      </c>
      <c r="CX185" s="61">
        <f t="shared" si="105"/>
        <v>4.6006688731013101E-2</v>
      </c>
      <c r="CY185" s="61">
        <f t="shared" si="106"/>
        <v>6.1190249737814284E-2</v>
      </c>
    </row>
    <row r="186" spans="1:103">
      <c r="A186" s="204">
        <f t="shared" si="107"/>
        <v>1888</v>
      </c>
      <c r="B186" s="427" t="str">
        <f>IF(AND($A186&gt;=SYear_O,$A186&lt;=EYear_O,B$3&gt;0),IF($A186=SYear_O,B$168*(1+Data_All!B25%),B185*(1+Data_All!B25%)),"")</f>
        <v/>
      </c>
      <c r="C186" s="427" t="str">
        <f>IF(AND($A186&gt;=SYear_O,$A186&lt;=EYear_O,C$3&gt;0),IF($A186=SYear_O,C$168*(1+Data_All!C25%),C185*(1+Data_All!C25%)),"")</f>
        <v/>
      </c>
      <c r="D186" s="427" t="str">
        <f>IF(AND($A186&gt;=SYear_O,$A186&lt;=EYear_O,D$3&gt;0),IF($A186=SYear_O,D$168*(1+Data_All!D25%),D185*(1+Data_All!D25%)),"")</f>
        <v/>
      </c>
      <c r="E186" s="427" t="str">
        <f>IF(AND($A186&gt;=SYear_O,$A186&lt;=EYear_O,E$3&gt;0),IF($A186=SYear_O,E$168*(1+Data_All!E25%),E185*(1+Data_All!E25%)),"")</f>
        <v/>
      </c>
      <c r="F186" s="427" t="str">
        <f>IF(AND($A186&gt;=SYear_O,$A186&lt;=EYear_O,F$3&gt;0),IF($A186=SYear_O,F$168*(1+Data_All!F25%),F185*(1+Data_All!F25%)),"")</f>
        <v/>
      </c>
      <c r="G186" s="427" t="str">
        <f>IF(AND($A186&gt;=SYear_O,$A186&lt;=EYear_O,G$3&gt;0),IF($A186=SYear_O,G$168*(1+Data_All!G25%),G185*(1+Data_All!G25%)),"")</f>
        <v/>
      </c>
      <c r="H186" s="427" t="str">
        <f>IF(AND($A186&gt;=SYear_O,$A186&lt;=EYear_O,H$3&gt;0),IF($A186=SYear_O,H$168*(1+Data_All!H25%),H185*(1+Data_All!H25%)),"")</f>
        <v/>
      </c>
      <c r="I186" s="427" t="str">
        <f>IF(AND($A186&gt;=SYear_O,$A186&lt;=EYear_O,I$3&gt;0),IF($A186=SYear_O,I$168*(1+Data_All!I25%),I185*(1+Data_All!I25%)),"")</f>
        <v/>
      </c>
      <c r="J186" s="427" t="str">
        <f>IF(AND($A186&gt;=SYear_O,$A186&lt;=EYear_O,J$3&gt;0),IF($A186=SYear_O,J$168*(1+Data_All!J25%),J185*(1+Data_All!J25%)),"")</f>
        <v/>
      </c>
      <c r="K186" s="427" t="str">
        <f>IF(AND($A186&gt;=SYear_O,$A186&lt;=EYear_O,K$3&gt;0),IF($A186=SYear_O,K$168*(1+Data_All!K25%),K185*(1+Data_All!K25%)),"")</f>
        <v/>
      </c>
      <c r="L186" s="427" t="str">
        <f>IF(AND($A186&gt;=SYear_O,$A186&lt;=EYear_O,L$3&gt;0),IF($A186=SYear_O,L$168*(1+Data_All!L25%),L185*(1+Data_All!L25%)),"")</f>
        <v/>
      </c>
      <c r="M186" s="427" t="str">
        <f>IF(AND($A186&gt;=SYear_O,$A186&lt;=EYear_O,M$3&gt;0),IF($A186=SYear_O,M$168*(1+Data_All!M25%),M185*(1+Data_All!M25%)),"")</f>
        <v/>
      </c>
      <c r="N186" s="427" t="str">
        <f>IF(AND($A186&gt;=SYear_O,$A186&lt;=EYear_O,N$3&gt;0),IF($A186=SYear_O,N$168*(1+Data_All!N25%),N185*(1+Data_All!N25%)),"")</f>
        <v/>
      </c>
      <c r="O186" s="427" t="str">
        <f>IF(AND($A186&gt;=SYear_O,$A186&lt;=EYear_O,O$3&gt;0),IF($A186=SYear_O,O$168*(1+Data_All!O25%),O185*(1+Data_All!O25%)),"")</f>
        <v/>
      </c>
      <c r="P186" s="427" t="str">
        <f>IF(AND($A186&gt;=SYear_O,$A186&lt;=EYear_O,P$3&gt;0),IF($A186=SYear_O,P$168*(1+Data_All!P25%),P185*(1+Data_All!P25%)),"")</f>
        <v/>
      </c>
      <c r="Q186" s="427" t="str">
        <f>IF(AND($A186&gt;=SYear_O,$A186&lt;=EYear_O,Q$3&gt;0),IF($A186=SYear_O,Q$168*(1+Data_All!Q25%),Q185*(1+Data_All!Q25%)),"")</f>
        <v/>
      </c>
      <c r="R186" s="427" t="str">
        <f>IF(AND($A186&gt;=SYear_O,$A186&lt;=EYear_O,R$3&gt;0),IF($A186=SYear_O,R$168*(1+Data_All!R25%),R185*(1+Data_All!R25%)),"")</f>
        <v/>
      </c>
      <c r="S186" s="427" t="str">
        <f>IF(AND($A186&gt;=SYear_O,$A186&lt;=EYear_O,S$3&gt;0),IF($A186=SYear_O,S$168*(1+Data_All!S25%),S185*(1+Data_All!S25%)),"")</f>
        <v/>
      </c>
      <c r="T186" s="427" t="str">
        <f>IF(AND($A186&gt;=SYear_O,$A186&lt;=EYear_O,T$3&gt;0),IF($A186=SYear_O,T$168*(1+Data_All!T25%),T185*(1+Data_All!T25%)),"")</f>
        <v/>
      </c>
      <c r="U186" s="427" t="str">
        <f>IF(AND($A186&gt;=SYear_O,$A186&lt;=EYear_O,U$3&gt;0),IF($A186=SYear_O,U$168*(1+Data_All!U25%),U185*(1+Data_All!U25%)),"")</f>
        <v/>
      </c>
      <c r="V186" s="427" t="str">
        <f>IF(AND($A186&gt;=SYear_O,$A186&lt;=EYear_O,V$3&gt;0),IF($A186=SYear_O,V$168*(1+Data_All!V25%),V185*(1+Data_All!V25%)),"")</f>
        <v/>
      </c>
      <c r="W186" s="427" t="str">
        <f>IF(AND($A186&gt;=SYear_O,$A186&lt;=EYear_O,W$3&gt;0),IF($A186=SYear_O,W$168*(1+Data_All!W25%),W185*(1+Data_All!W25%)),"")</f>
        <v/>
      </c>
      <c r="X186" s="427" t="str">
        <f>IF(AND($A186&gt;=SYear_O,$A186&lt;=EYear_O,X$3&gt;0),IF($A186=SYear_O,X$168*(1+Data_All!X25%),X185*(1+Data_All!X25%)),"")</f>
        <v/>
      </c>
      <c r="Y186" s="427" t="str">
        <f>IF(AND($A186&gt;=SYear_O,$A186&lt;=EYear_O,Y$3&gt;0),IF($A186=SYear_O,Y$168*(1+Data_All!Y25%),Y185*(1+Data_All!Y25%)),"")</f>
        <v/>
      </c>
      <c r="Z186" s="427" t="str">
        <f>IF(AND($A186&gt;=SYear_O,$A186&lt;=EYear_O,Z$3&gt;0),IF($A186=SYear_O,Z$168*(1+Data_All!Z25%),Z185*(1+Data_All!Z25%)),"")</f>
        <v/>
      </c>
      <c r="AA186" s="427" t="str">
        <f>IF(AND($A186&gt;=SYear_O,$A186&lt;=EYear_O,AA$3&gt;0),IF($A186=SYear_O,AA$168*(1+Data_All!AA25%),AA185*(1+Data_All!AA25%)),"")</f>
        <v/>
      </c>
      <c r="AB186" s="427" t="str">
        <f>IF(AND($A186&gt;=SYear_O,$A186&lt;=EYear_O,AB$3&gt;0),IF($A186=SYear_O,AB$168*(1+Data_All!AB25%),AB185*(1+Data_All!AB25%)),"")</f>
        <v/>
      </c>
      <c r="AC186" s="427" t="str">
        <f>IF(AND($A186&gt;=SYear_O,$A186&lt;=EYear_O,AC$3&gt;0),IF($A186=SYear_O,AC$168*(1+Data_All!AC25%),AC185*(1+Data_All!AC25%)),"")</f>
        <v/>
      </c>
      <c r="AD186" s="427" t="str">
        <f>IF(AND($A186&gt;=SYear_O,$A186&lt;=EYear_O,AD$3&gt;0),IF($A186=SYear_O,AD$168*(1+Data_All!AD25%),AD185*(1+Data_All!AD25%)),"")</f>
        <v/>
      </c>
      <c r="AE186" s="427" t="str">
        <f>IF(AND($A186&gt;=SYear_O,$A186&lt;=EYear_O,AE$3&gt;0),IF($A186=SYear_O,AE$168*(1+Data_All!AE25%),AE185*(1+Data_All!AE25%)),"")</f>
        <v/>
      </c>
      <c r="AF186" s="427" t="str">
        <f>IF(AND($A186&gt;=SYear_O,$A186&lt;=EYear_O,AF$3&gt;0),IF($A186=SYear_O,AF$168*(1+Data_All!AF25%),AF185*(1+Data_All!AF25%)),"")</f>
        <v/>
      </c>
      <c r="AG186" s="427" t="str">
        <f>IF(AND($A186&gt;=SYear_O,$A186&lt;=EYear_O,AG$3&gt;0),IF($A186=SYear_O,AG$168*(1+Data_All!AG25%),AG185*(1+Data_All!AG25%)),"")</f>
        <v/>
      </c>
      <c r="AH186" s="427" t="str">
        <f>IF(AND($A186&gt;=SYear_O,$A186&lt;=EYear_O,AH$3&gt;0),IF($A186=SYear_O,AH$168*(1+Data_All!AH25%),AH185*(1+Data_All!AH25%)),"")</f>
        <v/>
      </c>
      <c r="AI186" s="427" t="str">
        <f>IF(AND($A186&gt;=SYear_O,$A186&lt;=EYear_O,AI$3&gt;0),IF($A186=SYear_O,AI$168*(1+Data_All!AI25%),AI185*(1+Data_All!AI25%)),"")</f>
        <v/>
      </c>
      <c r="AJ186" s="427" t="str">
        <f>IF(AND($A186&gt;=SYear_O,$A186&lt;=EYear_O,AJ$3&gt;0),IF($A186=SYear_O,AJ$168*(1+Data_All!AJ25%),AJ185*(1+Data_All!AJ25%)),"")</f>
        <v/>
      </c>
      <c r="AK186" s="427" t="str">
        <f>IF(AND($A186&gt;=SYear_O,$A186&lt;=EYear_O,AK$3&gt;0),IF($A186=SYear_O,AK$168*(1+Data_All!AK25%),AK185*(1+Data_All!AK25%)),"")</f>
        <v/>
      </c>
      <c r="AL186" s="427" t="str">
        <f>IF(AND($A186&gt;=SYear_O,$A186&lt;=EYear_O,AL$3&gt;0),IF($A186=SYear_O,AL$168*(1+Data_All!AL25%),AL185*(1+Data_All!AL25%)),"")</f>
        <v/>
      </c>
      <c r="AM186" s="427" t="str">
        <f>IF(AND($A186&gt;=SYear_O,$A186&lt;=EYear_O,AM$3&gt;0),IF($A186=SYear_O,AM$168*(1+Data_All!AM25%),AM185*(1+Data_All!AM25%)),"")</f>
        <v/>
      </c>
      <c r="AN186" s="427" t="str">
        <f>IF(AND($A186&gt;=SYear_O,$A186&lt;=EYear_O,AN$3&gt;0),IF($A186=SYear_O,AN$168*(1+Data_All!AN25%),AN185*(1+Data_All!AN25%)),"")</f>
        <v/>
      </c>
      <c r="AO186" s="427" t="str">
        <f>IF(AND($A186&gt;=SYear_O,$A186&lt;=EYear_O,AO$3&gt;0),IF($A186=SYear_O,AO$168*(1+Data_All!AO25%),AO185*(1+Data_All!AO25%)),"")</f>
        <v/>
      </c>
      <c r="AP186" s="427" t="str">
        <f>IF(AND($A186&gt;=SYear_O,$A186&lt;=EYear_O,AP$3&gt;0),IF($A186=SYear_O,AP$168*(1+Data_All!AP25%),AP185*(1+Data_All!AP25%)),"")</f>
        <v/>
      </c>
      <c r="AQ186" s="427" t="str">
        <f>IF(AND($A186&gt;=SYear_O,$A186&lt;=EYear_O,AQ$3&gt;0),IF($A186=SYear_O,AQ$168*(1+Data_All!AQ25%),AQ185*(1+Data_All!AQ25%)),"")</f>
        <v/>
      </c>
      <c r="AR186" s="427" t="str">
        <f>IF(AND($A186&gt;=SYear_O,$A186&lt;=EYear_O,AR$3&gt;0),IF($A186=SYear_O,AR$168*(1+Data_All!AR25%),AR185*(1+Data_All!AR25%)),"")</f>
        <v/>
      </c>
      <c r="AS186" s="427" t="str">
        <f>IF(AND($A186&gt;=SYear_O,$A186&lt;=EYear_O,AS$3&gt;0),IF($A186=SYear_O,AS$168*(1+Data_All!AS25%),AS185*(1+Data_All!AS25%)),"")</f>
        <v/>
      </c>
      <c r="AT186" s="427" t="str">
        <f>IF(AND($A186&gt;=SYear_O,$A186&lt;=EYear_O,AT$3&gt;0),IF($A186=SYear_O,AT$168*(1+Data_All!AT25%),AT185*(1+Data_All!AT25%)),"")</f>
        <v/>
      </c>
      <c r="AU186" s="427" t="str">
        <f>IF(AND($A186&gt;=SYear_O,$A186&lt;=EYear_O,AU$3&gt;0),IF($A186=SYear_O,AU$168*(1+Data_All!AU25%),AU185*(1+Data_All!AU25%)),"")</f>
        <v/>
      </c>
      <c r="AV186" s="427" t="str">
        <f>IF(AND($A186&gt;=SYear_O,$A186&lt;=EYear_O,AV$3&gt;0),IF($A186=SYear_O,AV$168*(1+Data_All!AV25%),AV185*(1+Data_All!AV25%)),"")</f>
        <v/>
      </c>
      <c r="AW186" s="427" t="str">
        <f>IF(AND($A186&gt;=SYear_O,$A186&lt;=EYear_O,AW$3&gt;0),IF($A186=SYear_O,AW$168*(1+Data_All!AW25%),AW185*(1+Data_All!AW25%)),"")</f>
        <v/>
      </c>
      <c r="AX186" s="427" t="str">
        <f>IF(AND($A186&gt;=SYear_O,$A186&lt;=EYear_O,AX$3&gt;0),IF($A186=SYear_O,AX$168*(1+Data_All!AX25%),AX185*(1+Data_All!AX25%)),"")</f>
        <v/>
      </c>
      <c r="AY186" s="427" t="str">
        <f>IF(AND($A186&gt;=SYear_O,$A186&lt;=EYear_O,AY$3&gt;0),IF($A186=SYear_O,AY$168*(1+Data_All!AY25%),AY185*(1+Data_All!AY25%)),"")</f>
        <v/>
      </c>
      <c r="AZ186" s="427" t="str">
        <f>IF(AND($A186&gt;=SYear_O,$A186&lt;=EYear_O,AZ$3&gt;0),IF($A186=SYear_O,AZ$168*(1+Data_All!AZ25%),AZ185*(1+Data_All!AZ25%)),"")</f>
        <v/>
      </c>
      <c r="BA186" s="427" t="str">
        <f>IF(AND($A186&gt;=SYear_O,$A186&lt;=EYear_O,BA$3&gt;0),IF($A186=SYear_O,BA$168*(1+Data_All!BA25%),BA185*(1+Data_All!BA25%)),"")</f>
        <v/>
      </c>
      <c r="BB186" s="427" t="str">
        <f>IF(AND($A186&gt;=SYear_O,$A186&lt;=EYear_O,BB$3&gt;0),IF($A186=SYear_O,BB$168*(1+Data_All!BB25%),BB185*(1+Data_All!BB25%)),"")</f>
        <v/>
      </c>
      <c r="BC186" s="427" t="str">
        <f>IF(AND($A186&gt;=SYear_O,$A186&lt;=EYear_O,BC$3&gt;0),IF($A186=SYear_O,BC$168*(1+Data_All!BC25%),BC185*(1+Data_All!BC25%)),"")</f>
        <v/>
      </c>
      <c r="BD186" s="427" t="str">
        <f>IF(AND($A186&gt;=SYear_O,$A186&lt;=EYear_O,BD$3&gt;0),IF($A186=SYear_O,BD$168*(1+Data_All!BD25%),BD185*(1+Data_All!BD25%)),"")</f>
        <v/>
      </c>
      <c r="BE186" s="427" t="str">
        <f>IF(AND($A186&gt;=SYear_O,$A186&lt;=EYear_O,BE$3&gt;0),IF($A186=SYear_O,BE$168*(1+Data_All!BE25%),BE185*(1+Data_All!BE25%)),"")</f>
        <v/>
      </c>
      <c r="BF186" s="427" t="str">
        <f>IF(AND($A186&gt;=SYear_O,$A186&lt;=EYear_O,BF$3&gt;0),IF($A186=SYear_O,BF$168*(1+Data_All!BF25%),BF185*(1+Data_All!BF25%)),"")</f>
        <v/>
      </c>
      <c r="BG186" s="427" t="str">
        <f>IF(AND($A186&gt;=SYear_O,$A186&lt;=EYear_O,BG$3&gt;0),IF($A186=SYear_O,BG$168*(1+Data_All!BG25%),BG185*(1+Data_All!BG25%)),"")</f>
        <v/>
      </c>
      <c r="BH186" s="427" t="str">
        <f>IF(AND($A186&gt;=SYear_O,$A186&lt;=EYear_O,BH$3&gt;0),IF($A186=SYear_O,BH$168*(1+Data_All!BH25%),BH185*(1+Data_All!BH25%)),"")</f>
        <v/>
      </c>
      <c r="BI186" s="427" t="str">
        <f>IF(AND($A186&gt;=SYear_O,$A186&lt;=EYear_O,BI$3&gt;0),IF($A186=SYear_O,BI$168*(1+Data_All!BI25%),BI185*(1+Data_All!BI25%)),"")</f>
        <v/>
      </c>
      <c r="BJ186" s="427" t="str">
        <f>IF(AND($A186&gt;=SYear_O,$A186&lt;=EYear_O,BJ$3&gt;0),IF($A186=SYear_O,BJ$168*(1+Data_All!BJ25%),BJ185*(1+Data_All!BJ25%)),"")</f>
        <v/>
      </c>
      <c r="BK186" s="427" t="str">
        <f>IF(AND($A186&gt;=SYear_O,$A186&lt;=EYear_O,BK$3&gt;0),IF($A186=SYear_O,BK$168*(1+Data_All!BK25%),BK185*(1+Data_All!BK25%)),"")</f>
        <v/>
      </c>
      <c r="BL186" s="427" t="str">
        <f>IF(AND($A186&gt;=SYear_O,$A186&lt;=EYear_O,BL$3&gt;0),IF($A186=SYear_O,BL$168*(1+Data_All!BL25%),BL185*(1+Data_All!BL25%)),"")</f>
        <v/>
      </c>
      <c r="BM186" s="427" t="str">
        <f>IF(AND($A186&gt;=SYear_O,$A186&lt;=EYear_O,BM$3&gt;0),IF($A186=SYear_O,BM$168*(1+Data_All!BM25%),BM185*(1+Data_All!BM25%)),"")</f>
        <v/>
      </c>
      <c r="BN186" s="427" t="str">
        <f>IF(AND($A186&gt;=SYear_O,$A186&lt;=EYear_O,BN$3&gt;0),IF($A186=SYear_O,BN$168*(1+Data_All!BN25%),BN185*(1+Data_All!BN25%)),"")</f>
        <v/>
      </c>
      <c r="BO186" s="427" t="str">
        <f>IF(AND($A186&gt;=SYear_O,$A186&lt;=EYear_O,BO$3&gt;0),IF($A186=SYear_O,BO$168*(1+Data_All!BO25%),BO185*(1+Data_All!BO25%)),"")</f>
        <v/>
      </c>
      <c r="BP186" s="427" t="str">
        <f>IF(AND($A186&gt;=SYear_O,$A186&lt;=EYear_O,BP$3&gt;0),IF($A186=SYear_O,BP$168*(1+Data_All!BP25%),BP185*(1+Data_All!BP25%)),"")</f>
        <v/>
      </c>
      <c r="BQ186" s="427" t="str">
        <f>IF(AND($A186&gt;=SYear_O,$A186&lt;=EYear_O,BQ$3&gt;0),IF($A186=SYear_O,BQ$168*(1+Data_All!BQ25%),BQ185*(1+Data_All!BQ25%)),"")</f>
        <v/>
      </c>
      <c r="BR186" s="427" t="str">
        <f>IF(AND($A186&gt;=SYear_O,$A186&lt;=EYear_O,BR$3&gt;0),IF($A186=SYear_O,BR$168*(1+Data_All!BR25%),BR185*(1+Data_All!BR25%)),"")</f>
        <v/>
      </c>
      <c r="BS186" s="427" t="str">
        <f>IF(AND($A186&gt;=SYear_O,$A186&lt;=EYear_O,BS$3&gt;0),IF($A186=SYear_O,BS$168*(1+Data_All!BS25%),BS185*(1+Data_All!BS25%)),"")</f>
        <v/>
      </c>
      <c r="BT186" s="427" t="str">
        <f>IF(AND($A186&gt;=SYear_O,$A186&lt;=EYear_O,BT$3&gt;0),IF($A186=SYear_O,BT$168*(1+Data_All!BT25%),BT185*(1+Data_All!BT25%)),"")</f>
        <v/>
      </c>
      <c r="BU186" s="427" t="str">
        <f>IF(AND($A186&gt;=SYear_O,$A186&lt;=EYear_O,BU$3&gt;0),IF($A186=SYear_O,BU$168*(1+Data_All!BU25%),BU185*(1+Data_All!BU25%)),"")</f>
        <v/>
      </c>
      <c r="BV186" s="427" t="str">
        <f>IF(AND($A186&gt;=SYear_O,$A186&lt;=EYear_O,BV$3&gt;0),IF($A186=SYear_O,BV$168*(1+Data_All!BV25%),BV185*(1+Data_All!BV25%)),"")</f>
        <v/>
      </c>
      <c r="BW186" s="427" t="str">
        <f>IF(AND($A186&gt;=SYear_O,$A186&lt;=EYear_O,BW$3&gt;0),IF($A186=SYear_O,BW$168*(1+Data_All!BW25%),BW185*(1+Data_All!BW25%)),"")</f>
        <v/>
      </c>
      <c r="BX186" s="427">
        <f>IF(AND($A186&gt;=SYear_O,$A186&lt;=EYear_O,BX$3&gt;0),IF($A186=SYear_O,BX$168*(1+Data_All!BX25%),BX185*(1+Data_All!BX25%)),"")</f>
        <v>19070.614309721717</v>
      </c>
      <c r="BY186" s="427">
        <f>IF(AND($A186&gt;=SYear_O,$A186&lt;=EYear_O,BY$3&gt;0),IF($A186=SYear_O,BY$168*(1+Data_All!BY25%),BY185*(1+Data_All!BY25%)),"")</f>
        <v>9004.7360726607403</v>
      </c>
      <c r="BZ186" s="427" t="str">
        <f>IF(AND($A186&gt;=SYear_O,$A186&lt;=EYear_O,BZ$3&gt;0),IF($A186=SYear_O,BZ$168*(1+Data_All!BZ25%),BZ185*(1+Data_All!BZ25%)),"")</f>
        <v/>
      </c>
      <c r="CA186" s="565">
        <f t="shared" si="92"/>
        <v>3.5720351785064732</v>
      </c>
      <c r="CB186" s="427">
        <f t="shared" si="93"/>
        <v>28075.350382382458</v>
      </c>
      <c r="CC186" s="565">
        <f>IF(AND($A186&gt;=SYear_O,$A186&lt;=EYear_O),(CA186-Data_All!CA25)/(1+Data_All!CA25%),"")</f>
        <v>8.5044258731385014</v>
      </c>
      <c r="CD186" s="436">
        <f t="shared" si="94"/>
        <v>43784.123807213793</v>
      </c>
      <c r="CE186" s="438">
        <f t="shared" si="95"/>
        <v>2.5464129077896889</v>
      </c>
      <c r="CF186" s="438">
        <f>IF(AND($A186&gt;=SYear_O,$A186&lt;=EYear_O),MAX($CE$169:CE186),"")</f>
        <v>2.5464129077896889</v>
      </c>
      <c r="CG186" s="209">
        <f t="shared" si="96"/>
        <v>0</v>
      </c>
      <c r="CN186" s="61">
        <f t="shared" si="97"/>
        <v>3.572035178506483E-2</v>
      </c>
      <c r="CO186" s="61">
        <f t="shared" si="98"/>
        <v>1.7059177528975678E-2</v>
      </c>
      <c r="CP186" s="61">
        <f t="shared" si="99"/>
        <v>4.4174966869285681E-2</v>
      </c>
      <c r="CQ186" s="61">
        <f t="shared" si="100"/>
        <v>3.6389023732704917E-2</v>
      </c>
      <c r="CR186" s="61">
        <f t="shared" si="101"/>
        <v>6.4107092347199801E-2</v>
      </c>
      <c r="CU186" s="61">
        <f t="shared" si="102"/>
        <v>8.5044258731385103E-2</v>
      </c>
      <c r="CV186" s="61">
        <f t="shared" si="103"/>
        <v>4.1285116378608988E-2</v>
      </c>
      <c r="CW186" s="61">
        <f t="shared" si="104"/>
        <v>5.6463394509550957E-2</v>
      </c>
      <c r="CX186" s="61">
        <f t="shared" si="105"/>
        <v>6.0379745997707346E-2</v>
      </c>
      <c r="CY186" s="61">
        <f t="shared" si="106"/>
        <v>6.1731820003370741E-2</v>
      </c>
    </row>
    <row r="187" spans="1:103">
      <c r="A187" s="204">
        <f t="shared" si="107"/>
        <v>1889</v>
      </c>
      <c r="B187" s="427" t="str">
        <f>IF(AND($A187&gt;=SYear_O,$A187&lt;=EYear_O,B$3&gt;0),IF($A187=SYear_O,B$168*(1+Data_All!B26%),B186*(1+Data_All!B26%)),"")</f>
        <v/>
      </c>
      <c r="C187" s="427" t="str">
        <f>IF(AND($A187&gt;=SYear_O,$A187&lt;=EYear_O,C$3&gt;0),IF($A187=SYear_O,C$168*(1+Data_All!C26%),C186*(1+Data_All!C26%)),"")</f>
        <v/>
      </c>
      <c r="D187" s="427" t="str">
        <f>IF(AND($A187&gt;=SYear_O,$A187&lt;=EYear_O,D$3&gt;0),IF($A187=SYear_O,D$168*(1+Data_All!D26%),D186*(1+Data_All!D26%)),"")</f>
        <v/>
      </c>
      <c r="E187" s="427" t="str">
        <f>IF(AND($A187&gt;=SYear_O,$A187&lt;=EYear_O,E$3&gt;0),IF($A187=SYear_O,E$168*(1+Data_All!E26%),E186*(1+Data_All!E26%)),"")</f>
        <v/>
      </c>
      <c r="F187" s="427" t="str">
        <f>IF(AND($A187&gt;=SYear_O,$A187&lt;=EYear_O,F$3&gt;0),IF($A187=SYear_O,F$168*(1+Data_All!F26%),F186*(1+Data_All!F26%)),"")</f>
        <v/>
      </c>
      <c r="G187" s="427" t="str">
        <f>IF(AND($A187&gt;=SYear_O,$A187&lt;=EYear_O,G$3&gt;0),IF($A187=SYear_O,G$168*(1+Data_All!G26%),G186*(1+Data_All!G26%)),"")</f>
        <v/>
      </c>
      <c r="H187" s="427" t="str">
        <f>IF(AND($A187&gt;=SYear_O,$A187&lt;=EYear_O,H$3&gt;0),IF($A187=SYear_O,H$168*(1+Data_All!H26%),H186*(1+Data_All!H26%)),"")</f>
        <v/>
      </c>
      <c r="I187" s="427" t="str">
        <f>IF(AND($A187&gt;=SYear_O,$A187&lt;=EYear_O,I$3&gt;0),IF($A187=SYear_O,I$168*(1+Data_All!I26%),I186*(1+Data_All!I26%)),"")</f>
        <v/>
      </c>
      <c r="J187" s="427" t="str">
        <f>IF(AND($A187&gt;=SYear_O,$A187&lt;=EYear_O,J$3&gt;0),IF($A187=SYear_O,J$168*(1+Data_All!J26%),J186*(1+Data_All!J26%)),"")</f>
        <v/>
      </c>
      <c r="K187" s="427" t="str">
        <f>IF(AND($A187&gt;=SYear_O,$A187&lt;=EYear_O,K$3&gt;0),IF($A187=SYear_O,K$168*(1+Data_All!K26%),K186*(1+Data_All!K26%)),"")</f>
        <v/>
      </c>
      <c r="L187" s="427" t="str">
        <f>IF(AND($A187&gt;=SYear_O,$A187&lt;=EYear_O,L$3&gt;0),IF($A187=SYear_O,L$168*(1+Data_All!L26%),L186*(1+Data_All!L26%)),"")</f>
        <v/>
      </c>
      <c r="M187" s="427" t="str">
        <f>IF(AND($A187&gt;=SYear_O,$A187&lt;=EYear_O,M$3&gt;0),IF($A187=SYear_O,M$168*(1+Data_All!M26%),M186*(1+Data_All!M26%)),"")</f>
        <v/>
      </c>
      <c r="N187" s="427" t="str">
        <f>IF(AND($A187&gt;=SYear_O,$A187&lt;=EYear_O,N$3&gt;0),IF($A187=SYear_O,N$168*(1+Data_All!N26%),N186*(1+Data_All!N26%)),"")</f>
        <v/>
      </c>
      <c r="O187" s="427" t="str">
        <f>IF(AND($A187&gt;=SYear_O,$A187&lt;=EYear_O,O$3&gt;0),IF($A187=SYear_O,O$168*(1+Data_All!O26%),O186*(1+Data_All!O26%)),"")</f>
        <v/>
      </c>
      <c r="P187" s="427" t="str">
        <f>IF(AND($A187&gt;=SYear_O,$A187&lt;=EYear_O,P$3&gt;0),IF($A187=SYear_O,P$168*(1+Data_All!P26%),P186*(1+Data_All!P26%)),"")</f>
        <v/>
      </c>
      <c r="Q187" s="427" t="str">
        <f>IF(AND($A187&gt;=SYear_O,$A187&lt;=EYear_O,Q$3&gt;0),IF($A187=SYear_O,Q$168*(1+Data_All!Q26%),Q186*(1+Data_All!Q26%)),"")</f>
        <v/>
      </c>
      <c r="R187" s="427" t="str">
        <f>IF(AND($A187&gt;=SYear_O,$A187&lt;=EYear_O,R$3&gt;0),IF($A187=SYear_O,R$168*(1+Data_All!R26%),R186*(1+Data_All!R26%)),"")</f>
        <v/>
      </c>
      <c r="S187" s="427" t="str">
        <f>IF(AND($A187&gt;=SYear_O,$A187&lt;=EYear_O,S$3&gt;0),IF($A187=SYear_O,S$168*(1+Data_All!S26%),S186*(1+Data_All!S26%)),"")</f>
        <v/>
      </c>
      <c r="T187" s="427" t="str">
        <f>IF(AND($A187&gt;=SYear_O,$A187&lt;=EYear_O,T$3&gt;0),IF($A187=SYear_O,T$168*(1+Data_All!T26%),T186*(1+Data_All!T26%)),"")</f>
        <v/>
      </c>
      <c r="U187" s="427" t="str">
        <f>IF(AND($A187&gt;=SYear_O,$A187&lt;=EYear_O,U$3&gt;0),IF($A187=SYear_O,U$168*(1+Data_All!U26%),U186*(1+Data_All!U26%)),"")</f>
        <v/>
      </c>
      <c r="V187" s="427" t="str">
        <f>IF(AND($A187&gt;=SYear_O,$A187&lt;=EYear_O,V$3&gt;0),IF($A187=SYear_O,V$168*(1+Data_All!V26%),V186*(1+Data_All!V26%)),"")</f>
        <v/>
      </c>
      <c r="W187" s="427" t="str">
        <f>IF(AND($A187&gt;=SYear_O,$A187&lt;=EYear_O,W$3&gt;0),IF($A187=SYear_O,W$168*(1+Data_All!W26%),W186*(1+Data_All!W26%)),"")</f>
        <v/>
      </c>
      <c r="X187" s="427" t="str">
        <f>IF(AND($A187&gt;=SYear_O,$A187&lt;=EYear_O,X$3&gt;0),IF($A187=SYear_O,X$168*(1+Data_All!X26%),X186*(1+Data_All!X26%)),"")</f>
        <v/>
      </c>
      <c r="Y187" s="427" t="str">
        <f>IF(AND($A187&gt;=SYear_O,$A187&lt;=EYear_O,Y$3&gt;0),IF($A187=SYear_O,Y$168*(1+Data_All!Y26%),Y186*(1+Data_All!Y26%)),"")</f>
        <v/>
      </c>
      <c r="Z187" s="427" t="str">
        <f>IF(AND($A187&gt;=SYear_O,$A187&lt;=EYear_O,Z$3&gt;0),IF($A187=SYear_O,Z$168*(1+Data_All!Z26%),Z186*(1+Data_All!Z26%)),"")</f>
        <v/>
      </c>
      <c r="AA187" s="427" t="str">
        <f>IF(AND($A187&gt;=SYear_O,$A187&lt;=EYear_O,AA$3&gt;0),IF($A187=SYear_O,AA$168*(1+Data_All!AA26%),AA186*(1+Data_All!AA26%)),"")</f>
        <v/>
      </c>
      <c r="AB187" s="427" t="str">
        <f>IF(AND($A187&gt;=SYear_O,$A187&lt;=EYear_O,AB$3&gt;0),IF($A187=SYear_O,AB$168*(1+Data_All!AB26%),AB186*(1+Data_All!AB26%)),"")</f>
        <v/>
      </c>
      <c r="AC187" s="427" t="str">
        <f>IF(AND($A187&gt;=SYear_O,$A187&lt;=EYear_O,AC$3&gt;0),IF($A187=SYear_O,AC$168*(1+Data_All!AC26%),AC186*(1+Data_All!AC26%)),"")</f>
        <v/>
      </c>
      <c r="AD187" s="427" t="str">
        <f>IF(AND($A187&gt;=SYear_O,$A187&lt;=EYear_O,AD$3&gt;0),IF($A187=SYear_O,AD$168*(1+Data_All!AD26%),AD186*(1+Data_All!AD26%)),"")</f>
        <v/>
      </c>
      <c r="AE187" s="427" t="str">
        <f>IF(AND($A187&gt;=SYear_O,$A187&lt;=EYear_O,AE$3&gt;0),IF($A187=SYear_O,AE$168*(1+Data_All!AE26%),AE186*(1+Data_All!AE26%)),"")</f>
        <v/>
      </c>
      <c r="AF187" s="427" t="str">
        <f>IF(AND($A187&gt;=SYear_O,$A187&lt;=EYear_O,AF$3&gt;0),IF($A187=SYear_O,AF$168*(1+Data_All!AF26%),AF186*(1+Data_All!AF26%)),"")</f>
        <v/>
      </c>
      <c r="AG187" s="427" t="str">
        <f>IF(AND($A187&gt;=SYear_O,$A187&lt;=EYear_O,AG$3&gt;0),IF($A187=SYear_O,AG$168*(1+Data_All!AG26%),AG186*(1+Data_All!AG26%)),"")</f>
        <v/>
      </c>
      <c r="AH187" s="427" t="str">
        <f>IF(AND($A187&gt;=SYear_O,$A187&lt;=EYear_O,AH$3&gt;0),IF($A187=SYear_O,AH$168*(1+Data_All!AH26%),AH186*(1+Data_All!AH26%)),"")</f>
        <v/>
      </c>
      <c r="AI187" s="427" t="str">
        <f>IF(AND($A187&gt;=SYear_O,$A187&lt;=EYear_O,AI$3&gt;0),IF($A187=SYear_O,AI$168*(1+Data_All!AI26%),AI186*(1+Data_All!AI26%)),"")</f>
        <v/>
      </c>
      <c r="AJ187" s="427" t="str">
        <f>IF(AND($A187&gt;=SYear_O,$A187&lt;=EYear_O,AJ$3&gt;0),IF($A187=SYear_O,AJ$168*(1+Data_All!AJ26%),AJ186*(1+Data_All!AJ26%)),"")</f>
        <v/>
      </c>
      <c r="AK187" s="427" t="str">
        <f>IF(AND($A187&gt;=SYear_O,$A187&lt;=EYear_O,AK$3&gt;0),IF($A187=SYear_O,AK$168*(1+Data_All!AK26%),AK186*(1+Data_All!AK26%)),"")</f>
        <v/>
      </c>
      <c r="AL187" s="427" t="str">
        <f>IF(AND($A187&gt;=SYear_O,$A187&lt;=EYear_O,AL$3&gt;0),IF($A187=SYear_O,AL$168*(1+Data_All!AL26%),AL186*(1+Data_All!AL26%)),"")</f>
        <v/>
      </c>
      <c r="AM187" s="427" t="str">
        <f>IF(AND($A187&gt;=SYear_O,$A187&lt;=EYear_O,AM$3&gt;0),IF($A187=SYear_O,AM$168*(1+Data_All!AM26%),AM186*(1+Data_All!AM26%)),"")</f>
        <v/>
      </c>
      <c r="AN187" s="427" t="str">
        <f>IF(AND($A187&gt;=SYear_O,$A187&lt;=EYear_O,AN$3&gt;0),IF($A187=SYear_O,AN$168*(1+Data_All!AN26%),AN186*(1+Data_All!AN26%)),"")</f>
        <v/>
      </c>
      <c r="AO187" s="427" t="str">
        <f>IF(AND($A187&gt;=SYear_O,$A187&lt;=EYear_O,AO$3&gt;0),IF($A187=SYear_O,AO$168*(1+Data_All!AO26%),AO186*(1+Data_All!AO26%)),"")</f>
        <v/>
      </c>
      <c r="AP187" s="427" t="str">
        <f>IF(AND($A187&gt;=SYear_O,$A187&lt;=EYear_O,AP$3&gt;0),IF($A187=SYear_O,AP$168*(1+Data_All!AP26%),AP186*(1+Data_All!AP26%)),"")</f>
        <v/>
      </c>
      <c r="AQ187" s="427" t="str">
        <f>IF(AND($A187&gt;=SYear_O,$A187&lt;=EYear_O,AQ$3&gt;0),IF($A187=SYear_O,AQ$168*(1+Data_All!AQ26%),AQ186*(1+Data_All!AQ26%)),"")</f>
        <v/>
      </c>
      <c r="AR187" s="427" t="str">
        <f>IF(AND($A187&gt;=SYear_O,$A187&lt;=EYear_O,AR$3&gt;0),IF($A187=SYear_O,AR$168*(1+Data_All!AR26%),AR186*(1+Data_All!AR26%)),"")</f>
        <v/>
      </c>
      <c r="AS187" s="427" t="str">
        <f>IF(AND($A187&gt;=SYear_O,$A187&lt;=EYear_O,AS$3&gt;0),IF($A187=SYear_O,AS$168*(1+Data_All!AS26%),AS186*(1+Data_All!AS26%)),"")</f>
        <v/>
      </c>
      <c r="AT187" s="427" t="str">
        <f>IF(AND($A187&gt;=SYear_O,$A187&lt;=EYear_O,AT$3&gt;0),IF($A187=SYear_O,AT$168*(1+Data_All!AT26%),AT186*(1+Data_All!AT26%)),"")</f>
        <v/>
      </c>
      <c r="AU187" s="427" t="str">
        <f>IF(AND($A187&gt;=SYear_O,$A187&lt;=EYear_O,AU$3&gt;0),IF($A187=SYear_O,AU$168*(1+Data_All!AU26%),AU186*(1+Data_All!AU26%)),"")</f>
        <v/>
      </c>
      <c r="AV187" s="427" t="str">
        <f>IF(AND($A187&gt;=SYear_O,$A187&lt;=EYear_O,AV$3&gt;0),IF($A187=SYear_O,AV$168*(1+Data_All!AV26%),AV186*(1+Data_All!AV26%)),"")</f>
        <v/>
      </c>
      <c r="AW187" s="427" t="str">
        <f>IF(AND($A187&gt;=SYear_O,$A187&lt;=EYear_O,AW$3&gt;0),IF($A187=SYear_O,AW$168*(1+Data_All!AW26%),AW186*(1+Data_All!AW26%)),"")</f>
        <v/>
      </c>
      <c r="AX187" s="427" t="str">
        <f>IF(AND($A187&gt;=SYear_O,$A187&lt;=EYear_O,AX$3&gt;0),IF($A187=SYear_O,AX$168*(1+Data_All!AX26%),AX186*(1+Data_All!AX26%)),"")</f>
        <v/>
      </c>
      <c r="AY187" s="427" t="str">
        <f>IF(AND($A187&gt;=SYear_O,$A187&lt;=EYear_O,AY$3&gt;0),IF($A187=SYear_O,AY$168*(1+Data_All!AY26%),AY186*(1+Data_All!AY26%)),"")</f>
        <v/>
      </c>
      <c r="AZ187" s="427" t="str">
        <f>IF(AND($A187&gt;=SYear_O,$A187&lt;=EYear_O,AZ$3&gt;0),IF($A187=SYear_O,AZ$168*(1+Data_All!AZ26%),AZ186*(1+Data_All!AZ26%)),"")</f>
        <v/>
      </c>
      <c r="BA187" s="427" t="str">
        <f>IF(AND($A187&gt;=SYear_O,$A187&lt;=EYear_O,BA$3&gt;0),IF($A187=SYear_O,BA$168*(1+Data_All!BA26%),BA186*(1+Data_All!BA26%)),"")</f>
        <v/>
      </c>
      <c r="BB187" s="427" t="str">
        <f>IF(AND($A187&gt;=SYear_O,$A187&lt;=EYear_O,BB$3&gt;0),IF($A187=SYear_O,BB$168*(1+Data_All!BB26%),BB186*(1+Data_All!BB26%)),"")</f>
        <v/>
      </c>
      <c r="BC187" s="427" t="str">
        <f>IF(AND($A187&gt;=SYear_O,$A187&lt;=EYear_O,BC$3&gt;0),IF($A187=SYear_O,BC$168*(1+Data_All!BC26%),BC186*(1+Data_All!BC26%)),"")</f>
        <v/>
      </c>
      <c r="BD187" s="427" t="str">
        <f>IF(AND($A187&gt;=SYear_O,$A187&lt;=EYear_O,BD$3&gt;0),IF($A187=SYear_O,BD$168*(1+Data_All!BD26%),BD186*(1+Data_All!BD26%)),"")</f>
        <v/>
      </c>
      <c r="BE187" s="427" t="str">
        <f>IF(AND($A187&gt;=SYear_O,$A187&lt;=EYear_O,BE$3&gt;0),IF($A187=SYear_O,BE$168*(1+Data_All!BE26%),BE186*(1+Data_All!BE26%)),"")</f>
        <v/>
      </c>
      <c r="BF187" s="427" t="str">
        <f>IF(AND($A187&gt;=SYear_O,$A187&lt;=EYear_O,BF$3&gt;0),IF($A187=SYear_O,BF$168*(1+Data_All!BF26%),BF186*(1+Data_All!BF26%)),"")</f>
        <v/>
      </c>
      <c r="BG187" s="427" t="str">
        <f>IF(AND($A187&gt;=SYear_O,$A187&lt;=EYear_O,BG$3&gt;0),IF($A187=SYear_O,BG$168*(1+Data_All!BG26%),BG186*(1+Data_All!BG26%)),"")</f>
        <v/>
      </c>
      <c r="BH187" s="427" t="str">
        <f>IF(AND($A187&gt;=SYear_O,$A187&lt;=EYear_O,BH$3&gt;0),IF($A187=SYear_O,BH$168*(1+Data_All!BH26%),BH186*(1+Data_All!BH26%)),"")</f>
        <v/>
      </c>
      <c r="BI187" s="427" t="str">
        <f>IF(AND($A187&gt;=SYear_O,$A187&lt;=EYear_O,BI$3&gt;0),IF($A187=SYear_O,BI$168*(1+Data_All!BI26%),BI186*(1+Data_All!BI26%)),"")</f>
        <v/>
      </c>
      <c r="BJ187" s="427" t="str">
        <f>IF(AND($A187&gt;=SYear_O,$A187&lt;=EYear_O,BJ$3&gt;0),IF($A187=SYear_O,BJ$168*(1+Data_All!BJ26%),BJ186*(1+Data_All!BJ26%)),"")</f>
        <v/>
      </c>
      <c r="BK187" s="427" t="str">
        <f>IF(AND($A187&gt;=SYear_O,$A187&lt;=EYear_O,BK$3&gt;0),IF($A187=SYear_O,BK$168*(1+Data_All!BK26%),BK186*(1+Data_All!BK26%)),"")</f>
        <v/>
      </c>
      <c r="BL187" s="427" t="str">
        <f>IF(AND($A187&gt;=SYear_O,$A187&lt;=EYear_O,BL$3&gt;0),IF($A187=SYear_O,BL$168*(1+Data_All!BL26%),BL186*(1+Data_All!BL26%)),"")</f>
        <v/>
      </c>
      <c r="BM187" s="427" t="str">
        <f>IF(AND($A187&gt;=SYear_O,$A187&lt;=EYear_O,BM$3&gt;0),IF($A187=SYear_O,BM$168*(1+Data_All!BM26%),BM186*(1+Data_All!BM26%)),"")</f>
        <v/>
      </c>
      <c r="BN187" s="427" t="str">
        <f>IF(AND($A187&gt;=SYear_O,$A187&lt;=EYear_O,BN$3&gt;0),IF($A187=SYear_O,BN$168*(1+Data_All!BN26%),BN186*(1+Data_All!BN26%)),"")</f>
        <v/>
      </c>
      <c r="BO187" s="427" t="str">
        <f>IF(AND($A187&gt;=SYear_O,$A187&lt;=EYear_O,BO$3&gt;0),IF($A187=SYear_O,BO$168*(1+Data_All!BO26%),BO186*(1+Data_All!BO26%)),"")</f>
        <v/>
      </c>
      <c r="BP187" s="427" t="str">
        <f>IF(AND($A187&gt;=SYear_O,$A187&lt;=EYear_O,BP$3&gt;0),IF($A187=SYear_O,BP$168*(1+Data_All!BP26%),BP186*(1+Data_All!BP26%)),"")</f>
        <v/>
      </c>
      <c r="BQ187" s="427" t="str">
        <f>IF(AND($A187&gt;=SYear_O,$A187&lt;=EYear_O,BQ$3&gt;0),IF($A187=SYear_O,BQ$168*(1+Data_All!BQ26%),BQ186*(1+Data_All!BQ26%)),"")</f>
        <v/>
      </c>
      <c r="BR187" s="427" t="str">
        <f>IF(AND($A187&gt;=SYear_O,$A187&lt;=EYear_O,BR$3&gt;0),IF($A187=SYear_O,BR$168*(1+Data_All!BR26%),BR186*(1+Data_All!BR26%)),"")</f>
        <v/>
      </c>
      <c r="BS187" s="427" t="str">
        <f>IF(AND($A187&gt;=SYear_O,$A187&lt;=EYear_O,BS$3&gt;0),IF($A187=SYear_O,BS$168*(1+Data_All!BS26%),BS186*(1+Data_All!BS26%)),"")</f>
        <v/>
      </c>
      <c r="BT187" s="427" t="str">
        <f>IF(AND($A187&gt;=SYear_O,$A187&lt;=EYear_O,BT$3&gt;0),IF($A187=SYear_O,BT$168*(1+Data_All!BT26%),BT186*(1+Data_All!BT26%)),"")</f>
        <v/>
      </c>
      <c r="BU187" s="427" t="str">
        <f>IF(AND($A187&gt;=SYear_O,$A187&lt;=EYear_O,BU$3&gt;0),IF($A187=SYear_O,BU$168*(1+Data_All!BU26%),BU186*(1+Data_All!BU26%)),"")</f>
        <v/>
      </c>
      <c r="BV187" s="427" t="str">
        <f>IF(AND($A187&gt;=SYear_O,$A187&lt;=EYear_O,BV$3&gt;0),IF($A187=SYear_O,BV$168*(1+Data_All!BV26%),BV186*(1+Data_All!BV26%)),"")</f>
        <v/>
      </c>
      <c r="BW187" s="427" t="str">
        <f>IF(AND($A187&gt;=SYear_O,$A187&lt;=EYear_O,BW$3&gt;0),IF($A187=SYear_O,BW$168*(1+Data_All!BW26%),BW186*(1+Data_All!BW26%)),"")</f>
        <v/>
      </c>
      <c r="BX187" s="427">
        <f>IF(AND($A187&gt;=SYear_O,$A187&lt;=EYear_O,BX$3&gt;0),IF($A187=SYear_O,BX$168*(1+Data_All!BX26%),BX186*(1+Data_All!BX26%)),"")</f>
        <v>20380.809185962138</v>
      </c>
      <c r="BY187" s="427">
        <f>IF(AND($A187&gt;=SYear_O,$A187&lt;=EYear_O,BY$3&gt;0),IF($A187=SYear_O,BY$168*(1+Data_All!BY26%),BY186*(1+Data_All!BY26%)),"")</f>
        <v>9194.2585370499764</v>
      </c>
      <c r="BZ187" s="427" t="str">
        <f>IF(AND($A187&gt;=SYear_O,$A187&lt;=EYear_O,BZ$3&gt;0),IF($A187=SYear_O,BZ$168*(1+Data_All!BZ26%),BZ186*(1+Data_All!BZ26%)),"")</f>
        <v/>
      </c>
      <c r="CA187" s="565">
        <f t="shared" si="92"/>
        <v>5.3417582334813654</v>
      </c>
      <c r="CB187" s="427">
        <f t="shared" si="93"/>
        <v>29575.067723012115</v>
      </c>
      <c r="CC187" s="565">
        <f>IF(AND($A187&gt;=SYear_O,$A187&lt;=EYear_O),(CA187-Data_All!CA26)/(1+Data_All!CA26%),"")</f>
        <v>10.60881299945798</v>
      </c>
      <c r="CD187" s="436">
        <f t="shared" si="94"/>
        <v>48429.099625372262</v>
      </c>
      <c r="CE187" s="438">
        <f t="shared" si="95"/>
        <v>2.682436128949977</v>
      </c>
      <c r="CF187" s="438">
        <f>IF(AND($A187&gt;=SYear_O,$A187&lt;=EYear_O),MAX($CE$169:CE187),"")</f>
        <v>2.682436128949977</v>
      </c>
      <c r="CG187" s="209">
        <f t="shared" si="96"/>
        <v>0</v>
      </c>
      <c r="CN187" s="61">
        <f t="shared" si="97"/>
        <v>5.3417582334813751E-2</v>
      </c>
      <c r="CO187" s="61">
        <f t="shared" si="98"/>
        <v>5.2340578719547226E-2</v>
      </c>
      <c r="CP187" s="61">
        <f t="shared" si="99"/>
        <v>1.6320375207537596E-2</v>
      </c>
      <c r="CQ187" s="61">
        <f t="shared" si="100"/>
        <v>5.251297861152926E-2</v>
      </c>
      <c r="CR187" s="61">
        <f t="shared" si="101"/>
        <v>5.2258989923097632E-2</v>
      </c>
      <c r="CU187" s="61">
        <f t="shared" si="102"/>
        <v>0.10608812999457973</v>
      </c>
      <c r="CV187" s="61">
        <f t="shared" si="103"/>
        <v>8.3309384632041406E-2</v>
      </c>
      <c r="CW187" s="61">
        <f t="shared" si="104"/>
        <v>4.8141713043826195E-2</v>
      </c>
      <c r="CX187" s="61">
        <f t="shared" si="105"/>
        <v>7.0359163139966041E-2</v>
      </c>
      <c r="CY187" s="61">
        <f t="shared" si="106"/>
        <v>4.9800102595642493E-2</v>
      </c>
    </row>
    <row r="188" spans="1:103">
      <c r="A188" s="204">
        <f t="shared" si="107"/>
        <v>1890</v>
      </c>
      <c r="B188" s="427" t="str">
        <f>IF(AND($A188&gt;=SYear_O,$A188&lt;=EYear_O,B$3&gt;0),IF($A188=SYear_O,B$168*(1+Data_All!B27%),B187*(1+Data_All!B27%)),"")</f>
        <v/>
      </c>
      <c r="C188" s="427" t="str">
        <f>IF(AND($A188&gt;=SYear_O,$A188&lt;=EYear_O,C$3&gt;0),IF($A188=SYear_O,C$168*(1+Data_All!C27%),C187*(1+Data_All!C27%)),"")</f>
        <v/>
      </c>
      <c r="D188" s="427" t="str">
        <f>IF(AND($A188&gt;=SYear_O,$A188&lt;=EYear_O,D$3&gt;0),IF($A188=SYear_O,D$168*(1+Data_All!D27%),D187*(1+Data_All!D27%)),"")</f>
        <v/>
      </c>
      <c r="E188" s="427" t="str">
        <f>IF(AND($A188&gt;=SYear_O,$A188&lt;=EYear_O,E$3&gt;0),IF($A188=SYear_O,E$168*(1+Data_All!E27%),E187*(1+Data_All!E27%)),"")</f>
        <v/>
      </c>
      <c r="F188" s="427" t="str">
        <f>IF(AND($A188&gt;=SYear_O,$A188&lt;=EYear_O,F$3&gt;0),IF($A188=SYear_O,F$168*(1+Data_All!F27%),F187*(1+Data_All!F27%)),"")</f>
        <v/>
      </c>
      <c r="G188" s="427" t="str">
        <f>IF(AND($A188&gt;=SYear_O,$A188&lt;=EYear_O,G$3&gt;0),IF($A188=SYear_O,G$168*(1+Data_All!G27%),G187*(1+Data_All!G27%)),"")</f>
        <v/>
      </c>
      <c r="H188" s="427" t="str">
        <f>IF(AND($A188&gt;=SYear_O,$A188&lt;=EYear_O,H$3&gt;0),IF($A188=SYear_O,H$168*(1+Data_All!H27%),H187*(1+Data_All!H27%)),"")</f>
        <v/>
      </c>
      <c r="I188" s="427" t="str">
        <f>IF(AND($A188&gt;=SYear_O,$A188&lt;=EYear_O,I$3&gt;0),IF($A188=SYear_O,I$168*(1+Data_All!I27%),I187*(1+Data_All!I27%)),"")</f>
        <v/>
      </c>
      <c r="J188" s="427" t="str">
        <f>IF(AND($A188&gt;=SYear_O,$A188&lt;=EYear_O,J$3&gt;0),IF($A188=SYear_O,J$168*(1+Data_All!J27%),J187*(1+Data_All!J27%)),"")</f>
        <v/>
      </c>
      <c r="K188" s="427" t="str">
        <f>IF(AND($A188&gt;=SYear_O,$A188&lt;=EYear_O,K$3&gt;0),IF($A188=SYear_O,K$168*(1+Data_All!K27%),K187*(1+Data_All!K27%)),"")</f>
        <v/>
      </c>
      <c r="L188" s="427" t="str">
        <f>IF(AND($A188&gt;=SYear_O,$A188&lt;=EYear_O,L$3&gt;0),IF($A188=SYear_O,L$168*(1+Data_All!L27%),L187*(1+Data_All!L27%)),"")</f>
        <v/>
      </c>
      <c r="M188" s="427" t="str">
        <f>IF(AND($A188&gt;=SYear_O,$A188&lt;=EYear_O,M$3&gt;0),IF($A188=SYear_O,M$168*(1+Data_All!M27%),M187*(1+Data_All!M27%)),"")</f>
        <v/>
      </c>
      <c r="N188" s="427" t="str">
        <f>IF(AND($A188&gt;=SYear_O,$A188&lt;=EYear_O,N$3&gt;0),IF($A188=SYear_O,N$168*(1+Data_All!N27%),N187*(1+Data_All!N27%)),"")</f>
        <v/>
      </c>
      <c r="O188" s="427" t="str">
        <f>IF(AND($A188&gt;=SYear_O,$A188&lt;=EYear_O,O$3&gt;0),IF($A188=SYear_O,O$168*(1+Data_All!O27%),O187*(1+Data_All!O27%)),"")</f>
        <v/>
      </c>
      <c r="P188" s="427" t="str">
        <f>IF(AND($A188&gt;=SYear_O,$A188&lt;=EYear_O,P$3&gt;0),IF($A188=SYear_O,P$168*(1+Data_All!P27%),P187*(1+Data_All!P27%)),"")</f>
        <v/>
      </c>
      <c r="Q188" s="427" t="str">
        <f>IF(AND($A188&gt;=SYear_O,$A188&lt;=EYear_O,Q$3&gt;0),IF($A188=SYear_O,Q$168*(1+Data_All!Q27%),Q187*(1+Data_All!Q27%)),"")</f>
        <v/>
      </c>
      <c r="R188" s="427" t="str">
        <f>IF(AND($A188&gt;=SYear_O,$A188&lt;=EYear_O,R$3&gt;0),IF($A188=SYear_O,R$168*(1+Data_All!R27%),R187*(1+Data_All!R27%)),"")</f>
        <v/>
      </c>
      <c r="S188" s="427" t="str">
        <f>IF(AND($A188&gt;=SYear_O,$A188&lt;=EYear_O,S$3&gt;0),IF($A188=SYear_O,S$168*(1+Data_All!S27%),S187*(1+Data_All!S27%)),"")</f>
        <v/>
      </c>
      <c r="T188" s="427" t="str">
        <f>IF(AND($A188&gt;=SYear_O,$A188&lt;=EYear_O,T$3&gt;0),IF($A188=SYear_O,T$168*(1+Data_All!T27%),T187*(1+Data_All!T27%)),"")</f>
        <v/>
      </c>
      <c r="U188" s="427" t="str">
        <f>IF(AND($A188&gt;=SYear_O,$A188&lt;=EYear_O,U$3&gt;0),IF($A188=SYear_O,U$168*(1+Data_All!U27%),U187*(1+Data_All!U27%)),"")</f>
        <v/>
      </c>
      <c r="V188" s="427" t="str">
        <f>IF(AND($A188&gt;=SYear_O,$A188&lt;=EYear_O,V$3&gt;0),IF($A188=SYear_O,V$168*(1+Data_All!V27%),V187*(1+Data_All!V27%)),"")</f>
        <v/>
      </c>
      <c r="W188" s="427" t="str">
        <f>IF(AND($A188&gt;=SYear_O,$A188&lt;=EYear_O,W$3&gt;0),IF($A188=SYear_O,W$168*(1+Data_All!W27%),W187*(1+Data_All!W27%)),"")</f>
        <v/>
      </c>
      <c r="X188" s="427" t="str">
        <f>IF(AND($A188&gt;=SYear_O,$A188&lt;=EYear_O,X$3&gt;0),IF($A188=SYear_O,X$168*(1+Data_All!X27%),X187*(1+Data_All!X27%)),"")</f>
        <v/>
      </c>
      <c r="Y188" s="427" t="str">
        <f>IF(AND($A188&gt;=SYear_O,$A188&lt;=EYear_O,Y$3&gt;0),IF($A188=SYear_O,Y$168*(1+Data_All!Y27%),Y187*(1+Data_All!Y27%)),"")</f>
        <v/>
      </c>
      <c r="Z188" s="427" t="str">
        <f>IF(AND($A188&gt;=SYear_O,$A188&lt;=EYear_O,Z$3&gt;0),IF($A188=SYear_O,Z$168*(1+Data_All!Z27%),Z187*(1+Data_All!Z27%)),"")</f>
        <v/>
      </c>
      <c r="AA188" s="427" t="str">
        <f>IF(AND($A188&gt;=SYear_O,$A188&lt;=EYear_O,AA$3&gt;0),IF($A188=SYear_O,AA$168*(1+Data_All!AA27%),AA187*(1+Data_All!AA27%)),"")</f>
        <v/>
      </c>
      <c r="AB188" s="427" t="str">
        <f>IF(AND($A188&gt;=SYear_O,$A188&lt;=EYear_O,AB$3&gt;0),IF($A188=SYear_O,AB$168*(1+Data_All!AB27%),AB187*(1+Data_All!AB27%)),"")</f>
        <v/>
      </c>
      <c r="AC188" s="427" t="str">
        <f>IF(AND($A188&gt;=SYear_O,$A188&lt;=EYear_O,AC$3&gt;0),IF($A188=SYear_O,AC$168*(1+Data_All!AC27%),AC187*(1+Data_All!AC27%)),"")</f>
        <v/>
      </c>
      <c r="AD188" s="427" t="str">
        <f>IF(AND($A188&gt;=SYear_O,$A188&lt;=EYear_O,AD$3&gt;0),IF($A188=SYear_O,AD$168*(1+Data_All!AD27%),AD187*(1+Data_All!AD27%)),"")</f>
        <v/>
      </c>
      <c r="AE188" s="427" t="str">
        <f>IF(AND($A188&gt;=SYear_O,$A188&lt;=EYear_O,AE$3&gt;0),IF($A188=SYear_O,AE$168*(1+Data_All!AE27%),AE187*(1+Data_All!AE27%)),"")</f>
        <v/>
      </c>
      <c r="AF188" s="427" t="str">
        <f>IF(AND($A188&gt;=SYear_O,$A188&lt;=EYear_O,AF$3&gt;0),IF($A188=SYear_O,AF$168*(1+Data_All!AF27%),AF187*(1+Data_All!AF27%)),"")</f>
        <v/>
      </c>
      <c r="AG188" s="427" t="str">
        <f>IF(AND($A188&gt;=SYear_O,$A188&lt;=EYear_O,AG$3&gt;0),IF($A188=SYear_O,AG$168*(1+Data_All!AG27%),AG187*(1+Data_All!AG27%)),"")</f>
        <v/>
      </c>
      <c r="AH188" s="427" t="str">
        <f>IF(AND($A188&gt;=SYear_O,$A188&lt;=EYear_O,AH$3&gt;0),IF($A188=SYear_O,AH$168*(1+Data_All!AH27%),AH187*(1+Data_All!AH27%)),"")</f>
        <v/>
      </c>
      <c r="AI188" s="427" t="str">
        <f>IF(AND($A188&gt;=SYear_O,$A188&lt;=EYear_O,AI$3&gt;0),IF($A188=SYear_O,AI$168*(1+Data_All!AI27%),AI187*(1+Data_All!AI27%)),"")</f>
        <v/>
      </c>
      <c r="AJ188" s="427" t="str">
        <f>IF(AND($A188&gt;=SYear_O,$A188&lt;=EYear_O,AJ$3&gt;0),IF($A188=SYear_O,AJ$168*(1+Data_All!AJ27%),AJ187*(1+Data_All!AJ27%)),"")</f>
        <v/>
      </c>
      <c r="AK188" s="427" t="str">
        <f>IF(AND($A188&gt;=SYear_O,$A188&lt;=EYear_O,AK$3&gt;0),IF($A188=SYear_O,AK$168*(1+Data_All!AK27%),AK187*(1+Data_All!AK27%)),"")</f>
        <v/>
      </c>
      <c r="AL188" s="427" t="str">
        <f>IF(AND($A188&gt;=SYear_O,$A188&lt;=EYear_O,AL$3&gt;0),IF($A188=SYear_O,AL$168*(1+Data_All!AL27%),AL187*(1+Data_All!AL27%)),"")</f>
        <v/>
      </c>
      <c r="AM188" s="427" t="str">
        <f>IF(AND($A188&gt;=SYear_O,$A188&lt;=EYear_O,AM$3&gt;0),IF($A188=SYear_O,AM$168*(1+Data_All!AM27%),AM187*(1+Data_All!AM27%)),"")</f>
        <v/>
      </c>
      <c r="AN188" s="427" t="str">
        <f>IF(AND($A188&gt;=SYear_O,$A188&lt;=EYear_O,AN$3&gt;0),IF($A188=SYear_O,AN$168*(1+Data_All!AN27%),AN187*(1+Data_All!AN27%)),"")</f>
        <v/>
      </c>
      <c r="AO188" s="427" t="str">
        <f>IF(AND($A188&gt;=SYear_O,$A188&lt;=EYear_O,AO$3&gt;0),IF($A188=SYear_O,AO$168*(1+Data_All!AO27%),AO187*(1+Data_All!AO27%)),"")</f>
        <v/>
      </c>
      <c r="AP188" s="427" t="str">
        <f>IF(AND($A188&gt;=SYear_O,$A188&lt;=EYear_O,AP$3&gt;0),IF($A188=SYear_O,AP$168*(1+Data_All!AP27%),AP187*(1+Data_All!AP27%)),"")</f>
        <v/>
      </c>
      <c r="AQ188" s="427" t="str">
        <f>IF(AND($A188&gt;=SYear_O,$A188&lt;=EYear_O,AQ$3&gt;0),IF($A188=SYear_O,AQ$168*(1+Data_All!AQ27%),AQ187*(1+Data_All!AQ27%)),"")</f>
        <v/>
      </c>
      <c r="AR188" s="427" t="str">
        <f>IF(AND($A188&gt;=SYear_O,$A188&lt;=EYear_O,AR$3&gt;0),IF($A188=SYear_O,AR$168*(1+Data_All!AR27%),AR187*(1+Data_All!AR27%)),"")</f>
        <v/>
      </c>
      <c r="AS188" s="427" t="str">
        <f>IF(AND($A188&gt;=SYear_O,$A188&lt;=EYear_O,AS$3&gt;0),IF($A188=SYear_O,AS$168*(1+Data_All!AS27%),AS187*(1+Data_All!AS27%)),"")</f>
        <v/>
      </c>
      <c r="AT188" s="427" t="str">
        <f>IF(AND($A188&gt;=SYear_O,$A188&lt;=EYear_O,AT$3&gt;0),IF($A188=SYear_O,AT$168*(1+Data_All!AT27%),AT187*(1+Data_All!AT27%)),"")</f>
        <v/>
      </c>
      <c r="AU188" s="427" t="str">
        <f>IF(AND($A188&gt;=SYear_O,$A188&lt;=EYear_O,AU$3&gt;0),IF($A188=SYear_O,AU$168*(1+Data_All!AU27%),AU187*(1+Data_All!AU27%)),"")</f>
        <v/>
      </c>
      <c r="AV188" s="427" t="str">
        <f>IF(AND($A188&gt;=SYear_O,$A188&lt;=EYear_O,AV$3&gt;0),IF($A188=SYear_O,AV$168*(1+Data_All!AV27%),AV187*(1+Data_All!AV27%)),"")</f>
        <v/>
      </c>
      <c r="AW188" s="427" t="str">
        <f>IF(AND($A188&gt;=SYear_O,$A188&lt;=EYear_O,AW$3&gt;0),IF($A188=SYear_O,AW$168*(1+Data_All!AW27%),AW187*(1+Data_All!AW27%)),"")</f>
        <v/>
      </c>
      <c r="AX188" s="427" t="str">
        <f>IF(AND($A188&gt;=SYear_O,$A188&lt;=EYear_O,AX$3&gt;0),IF($A188=SYear_O,AX$168*(1+Data_All!AX27%),AX187*(1+Data_All!AX27%)),"")</f>
        <v/>
      </c>
      <c r="AY188" s="427" t="str">
        <f>IF(AND($A188&gt;=SYear_O,$A188&lt;=EYear_O,AY$3&gt;0),IF($A188=SYear_O,AY$168*(1+Data_All!AY27%),AY187*(1+Data_All!AY27%)),"")</f>
        <v/>
      </c>
      <c r="AZ188" s="427" t="str">
        <f>IF(AND($A188&gt;=SYear_O,$A188&lt;=EYear_O,AZ$3&gt;0),IF($A188=SYear_O,AZ$168*(1+Data_All!AZ27%),AZ187*(1+Data_All!AZ27%)),"")</f>
        <v/>
      </c>
      <c r="BA188" s="427" t="str">
        <f>IF(AND($A188&gt;=SYear_O,$A188&lt;=EYear_O,BA$3&gt;0),IF($A188=SYear_O,BA$168*(1+Data_All!BA27%),BA187*(1+Data_All!BA27%)),"")</f>
        <v/>
      </c>
      <c r="BB188" s="427" t="str">
        <f>IF(AND($A188&gt;=SYear_O,$A188&lt;=EYear_O,BB$3&gt;0),IF($A188=SYear_O,BB$168*(1+Data_All!BB27%),BB187*(1+Data_All!BB27%)),"")</f>
        <v/>
      </c>
      <c r="BC188" s="427" t="str">
        <f>IF(AND($A188&gt;=SYear_O,$A188&lt;=EYear_O,BC$3&gt;0),IF($A188=SYear_O,BC$168*(1+Data_All!BC27%),BC187*(1+Data_All!BC27%)),"")</f>
        <v/>
      </c>
      <c r="BD188" s="427" t="str">
        <f>IF(AND($A188&gt;=SYear_O,$A188&lt;=EYear_O,BD$3&gt;0),IF($A188=SYear_O,BD$168*(1+Data_All!BD27%),BD187*(1+Data_All!BD27%)),"")</f>
        <v/>
      </c>
      <c r="BE188" s="427" t="str">
        <f>IF(AND($A188&gt;=SYear_O,$A188&lt;=EYear_O,BE$3&gt;0),IF($A188=SYear_O,BE$168*(1+Data_All!BE27%),BE187*(1+Data_All!BE27%)),"")</f>
        <v/>
      </c>
      <c r="BF188" s="427" t="str">
        <f>IF(AND($A188&gt;=SYear_O,$A188&lt;=EYear_O,BF$3&gt;0),IF($A188=SYear_O,BF$168*(1+Data_All!BF27%),BF187*(1+Data_All!BF27%)),"")</f>
        <v/>
      </c>
      <c r="BG188" s="427" t="str">
        <f>IF(AND($A188&gt;=SYear_O,$A188&lt;=EYear_O,BG$3&gt;0),IF($A188=SYear_O,BG$168*(1+Data_All!BG27%),BG187*(1+Data_All!BG27%)),"")</f>
        <v/>
      </c>
      <c r="BH188" s="427" t="str">
        <f>IF(AND($A188&gt;=SYear_O,$A188&lt;=EYear_O,BH$3&gt;0),IF($A188=SYear_O,BH$168*(1+Data_All!BH27%),BH187*(1+Data_All!BH27%)),"")</f>
        <v/>
      </c>
      <c r="BI188" s="427" t="str">
        <f>IF(AND($A188&gt;=SYear_O,$A188&lt;=EYear_O,BI$3&gt;0),IF($A188=SYear_O,BI$168*(1+Data_All!BI27%),BI187*(1+Data_All!BI27%)),"")</f>
        <v/>
      </c>
      <c r="BJ188" s="427" t="str">
        <f>IF(AND($A188&gt;=SYear_O,$A188&lt;=EYear_O,BJ$3&gt;0),IF($A188=SYear_O,BJ$168*(1+Data_All!BJ27%),BJ187*(1+Data_All!BJ27%)),"")</f>
        <v/>
      </c>
      <c r="BK188" s="427" t="str">
        <f>IF(AND($A188&gt;=SYear_O,$A188&lt;=EYear_O,BK$3&gt;0),IF($A188=SYear_O,BK$168*(1+Data_All!BK27%),BK187*(1+Data_All!BK27%)),"")</f>
        <v/>
      </c>
      <c r="BL188" s="427" t="str">
        <f>IF(AND($A188&gt;=SYear_O,$A188&lt;=EYear_O,BL$3&gt;0),IF($A188=SYear_O,BL$168*(1+Data_All!BL27%),BL187*(1+Data_All!BL27%)),"")</f>
        <v/>
      </c>
      <c r="BM188" s="427" t="str">
        <f>IF(AND($A188&gt;=SYear_O,$A188&lt;=EYear_O,BM$3&gt;0),IF($A188=SYear_O,BM$168*(1+Data_All!BM27%),BM187*(1+Data_All!BM27%)),"")</f>
        <v/>
      </c>
      <c r="BN188" s="427" t="str">
        <f>IF(AND($A188&gt;=SYear_O,$A188&lt;=EYear_O,BN$3&gt;0),IF($A188=SYear_O,BN$168*(1+Data_All!BN27%),BN187*(1+Data_All!BN27%)),"")</f>
        <v/>
      </c>
      <c r="BO188" s="427" t="str">
        <f>IF(AND($A188&gt;=SYear_O,$A188&lt;=EYear_O,BO$3&gt;0),IF($A188=SYear_O,BO$168*(1+Data_All!BO27%),BO187*(1+Data_All!BO27%)),"")</f>
        <v/>
      </c>
      <c r="BP188" s="427" t="str">
        <f>IF(AND($A188&gt;=SYear_O,$A188&lt;=EYear_O,BP$3&gt;0),IF($A188=SYear_O,BP$168*(1+Data_All!BP27%),BP187*(1+Data_All!BP27%)),"")</f>
        <v/>
      </c>
      <c r="BQ188" s="427" t="str">
        <f>IF(AND($A188&gt;=SYear_O,$A188&lt;=EYear_O,BQ$3&gt;0),IF($A188=SYear_O,BQ$168*(1+Data_All!BQ27%),BQ187*(1+Data_All!BQ27%)),"")</f>
        <v/>
      </c>
      <c r="BR188" s="427" t="str">
        <f>IF(AND($A188&gt;=SYear_O,$A188&lt;=EYear_O,BR$3&gt;0),IF($A188=SYear_O,BR$168*(1+Data_All!BR27%),BR187*(1+Data_All!BR27%)),"")</f>
        <v/>
      </c>
      <c r="BS188" s="427" t="str">
        <f>IF(AND($A188&gt;=SYear_O,$A188&lt;=EYear_O,BS$3&gt;0),IF($A188=SYear_O,BS$168*(1+Data_All!BS27%),BS187*(1+Data_All!BS27%)),"")</f>
        <v/>
      </c>
      <c r="BT188" s="427" t="str">
        <f>IF(AND($A188&gt;=SYear_O,$A188&lt;=EYear_O,BT$3&gt;0),IF($A188=SYear_O,BT$168*(1+Data_All!BT27%),BT187*(1+Data_All!BT27%)),"")</f>
        <v/>
      </c>
      <c r="BU188" s="427" t="str">
        <f>IF(AND($A188&gt;=SYear_O,$A188&lt;=EYear_O,BU$3&gt;0),IF($A188=SYear_O,BU$168*(1+Data_All!BU27%),BU187*(1+Data_All!BU27%)),"")</f>
        <v/>
      </c>
      <c r="BV188" s="427" t="str">
        <f>IF(AND($A188&gt;=SYear_O,$A188&lt;=EYear_O,BV$3&gt;0),IF($A188=SYear_O,BV$168*(1+Data_All!BV27%),BV187*(1+Data_All!BV27%)),"")</f>
        <v/>
      </c>
      <c r="BW188" s="427" t="str">
        <f>IF(AND($A188&gt;=SYear_O,$A188&lt;=EYear_O,BW$3&gt;0),IF($A188=SYear_O,BW$168*(1+Data_All!BW27%),BW187*(1+Data_All!BW27%)),"")</f>
        <v/>
      </c>
      <c r="BX188" s="427">
        <f>IF(AND($A188&gt;=SYear_O,$A188&lt;=EYear_O,BX$3&gt;0),IF($A188=SYear_O,BX$168*(1+Data_All!BX27%),BX187*(1+Data_All!BX27%)),"")</f>
        <v>19168.567747391899</v>
      </c>
      <c r="BY188" s="427">
        <f>IF(AND($A188&gt;=SYear_O,$A188&lt;=EYear_O,BY$3&gt;0),IF($A188=SYear_O,BY$168*(1+Data_All!BY27%),BY187*(1+Data_All!BY27%)),"")</f>
        <v>9349.5819247864711</v>
      </c>
      <c r="BZ188" s="427" t="str">
        <f>IF(AND($A188&gt;=SYear_O,$A188&lt;=EYear_O,BZ$3&gt;0),IF($A188=SYear_O,BZ$168*(1+Data_All!BZ27%),BZ187*(1+Data_All!BZ27%)),"")</f>
        <v/>
      </c>
      <c r="CA188" s="565">
        <f t="shared" si="92"/>
        <v>-3.5736792244481177</v>
      </c>
      <c r="CB188" s="427">
        <f t="shared" si="93"/>
        <v>28518.14967217837</v>
      </c>
      <c r="CC188" s="565">
        <f>IF(AND($A188&gt;=SYear_O,$A188&lt;=EYear_O),(CA188-Data_All!CA27)/(1+Data_All!CA27%),"")</f>
        <v>-5.9255262675319855</v>
      </c>
      <c r="CD188" s="436">
        <f t="shared" si="94"/>
        <v>45559.420605941596</v>
      </c>
      <c r="CE188" s="438">
        <f t="shared" si="95"/>
        <v>2.5865744663006014</v>
      </c>
      <c r="CF188" s="438">
        <f>IF(AND($A188&gt;=SYear_O,$A188&lt;=EYear_O),MAX($CE$169:CE188),"")</f>
        <v>2.682436128949977</v>
      </c>
      <c r="CG188" s="209">
        <f t="shared" si="96"/>
        <v>3.5736792244481119E-2</v>
      </c>
      <c r="CN188" s="61">
        <f t="shared" si="97"/>
        <v>-3.573679224448123E-2</v>
      </c>
      <c r="CO188" s="61">
        <f t="shared" si="98"/>
        <v>4.3937353872936624E-2</v>
      </c>
      <c r="CP188" s="61">
        <f t="shared" si="99"/>
        <v>1.3336196573953796E-2</v>
      </c>
      <c r="CQ188" s="61">
        <f t="shared" si="100"/>
        <v>5.0051646496761082E-2</v>
      </c>
      <c r="CR188" s="61">
        <f t="shared" si="101"/>
        <v>6.3831734913713412E-2</v>
      </c>
      <c r="CU188" s="61">
        <f t="shared" si="102"/>
        <v>-5.9255262675319886E-2</v>
      </c>
      <c r="CV188" s="61">
        <f t="shared" si="103"/>
        <v>3.1205042213354517E-2</v>
      </c>
      <c r="CW188" s="61">
        <f t="shared" si="104"/>
        <v>4.3762525944802455E-2</v>
      </c>
      <c r="CX188" s="61">
        <f t="shared" si="105"/>
        <v>4.6193066116874792E-2</v>
      </c>
      <c r="CY188" s="61">
        <f t="shared" si="106"/>
        <v>5.629783397918664E-2</v>
      </c>
    </row>
    <row r="189" spans="1:103">
      <c r="A189" s="204">
        <f t="shared" si="107"/>
        <v>1891</v>
      </c>
      <c r="B189" s="427" t="str">
        <f>IF(AND($A189&gt;=SYear_O,$A189&lt;=EYear_O,B$3&gt;0),IF($A189=SYear_O,B$168*(1+Data_All!B28%),B188*(1+Data_All!B28%)),"")</f>
        <v/>
      </c>
      <c r="C189" s="427" t="str">
        <f>IF(AND($A189&gt;=SYear_O,$A189&lt;=EYear_O,C$3&gt;0),IF($A189=SYear_O,C$168*(1+Data_All!C28%),C188*(1+Data_All!C28%)),"")</f>
        <v/>
      </c>
      <c r="D189" s="427" t="str">
        <f>IF(AND($A189&gt;=SYear_O,$A189&lt;=EYear_O,D$3&gt;0),IF($A189=SYear_O,D$168*(1+Data_All!D28%),D188*(1+Data_All!D28%)),"")</f>
        <v/>
      </c>
      <c r="E189" s="427" t="str">
        <f>IF(AND($A189&gt;=SYear_O,$A189&lt;=EYear_O,E$3&gt;0),IF($A189=SYear_O,E$168*(1+Data_All!E28%),E188*(1+Data_All!E28%)),"")</f>
        <v/>
      </c>
      <c r="F189" s="427" t="str">
        <f>IF(AND($A189&gt;=SYear_O,$A189&lt;=EYear_O,F$3&gt;0),IF($A189=SYear_O,F$168*(1+Data_All!F28%),F188*(1+Data_All!F28%)),"")</f>
        <v/>
      </c>
      <c r="G189" s="427" t="str">
        <f>IF(AND($A189&gt;=SYear_O,$A189&lt;=EYear_O,G$3&gt;0),IF($A189=SYear_O,G$168*(1+Data_All!G28%),G188*(1+Data_All!G28%)),"")</f>
        <v/>
      </c>
      <c r="H189" s="427" t="str">
        <f>IF(AND($A189&gt;=SYear_O,$A189&lt;=EYear_O,H$3&gt;0),IF($A189=SYear_O,H$168*(1+Data_All!H28%),H188*(1+Data_All!H28%)),"")</f>
        <v/>
      </c>
      <c r="I189" s="427" t="str">
        <f>IF(AND($A189&gt;=SYear_O,$A189&lt;=EYear_O,I$3&gt;0),IF($A189=SYear_O,I$168*(1+Data_All!I28%),I188*(1+Data_All!I28%)),"")</f>
        <v/>
      </c>
      <c r="J189" s="427" t="str">
        <f>IF(AND($A189&gt;=SYear_O,$A189&lt;=EYear_O,J$3&gt;0),IF($A189=SYear_O,J$168*(1+Data_All!J28%),J188*(1+Data_All!J28%)),"")</f>
        <v/>
      </c>
      <c r="K189" s="427" t="str">
        <f>IF(AND($A189&gt;=SYear_O,$A189&lt;=EYear_O,K$3&gt;0),IF($A189=SYear_O,K$168*(1+Data_All!K28%),K188*(1+Data_All!K28%)),"")</f>
        <v/>
      </c>
      <c r="L189" s="427" t="str">
        <f>IF(AND($A189&gt;=SYear_O,$A189&lt;=EYear_O,L$3&gt;0),IF($A189=SYear_O,L$168*(1+Data_All!L28%),L188*(1+Data_All!L28%)),"")</f>
        <v/>
      </c>
      <c r="M189" s="427" t="str">
        <f>IF(AND($A189&gt;=SYear_O,$A189&lt;=EYear_O,M$3&gt;0),IF($A189=SYear_O,M$168*(1+Data_All!M28%),M188*(1+Data_All!M28%)),"")</f>
        <v/>
      </c>
      <c r="N189" s="427" t="str">
        <f>IF(AND($A189&gt;=SYear_O,$A189&lt;=EYear_O,N$3&gt;0),IF($A189=SYear_O,N$168*(1+Data_All!N28%),N188*(1+Data_All!N28%)),"")</f>
        <v/>
      </c>
      <c r="O189" s="427" t="str">
        <f>IF(AND($A189&gt;=SYear_O,$A189&lt;=EYear_O,O$3&gt;0),IF($A189=SYear_O,O$168*(1+Data_All!O28%),O188*(1+Data_All!O28%)),"")</f>
        <v/>
      </c>
      <c r="P189" s="427" t="str">
        <f>IF(AND($A189&gt;=SYear_O,$A189&lt;=EYear_O,P$3&gt;0),IF($A189=SYear_O,P$168*(1+Data_All!P28%),P188*(1+Data_All!P28%)),"")</f>
        <v/>
      </c>
      <c r="Q189" s="427" t="str">
        <f>IF(AND($A189&gt;=SYear_O,$A189&lt;=EYear_O,Q$3&gt;0),IF($A189=SYear_O,Q$168*(1+Data_All!Q28%),Q188*(1+Data_All!Q28%)),"")</f>
        <v/>
      </c>
      <c r="R189" s="427" t="str">
        <f>IF(AND($A189&gt;=SYear_O,$A189&lt;=EYear_O,R$3&gt;0),IF($A189=SYear_O,R$168*(1+Data_All!R28%),R188*(1+Data_All!R28%)),"")</f>
        <v/>
      </c>
      <c r="S189" s="427" t="str">
        <f>IF(AND($A189&gt;=SYear_O,$A189&lt;=EYear_O,S$3&gt;0),IF($A189=SYear_O,S$168*(1+Data_All!S28%),S188*(1+Data_All!S28%)),"")</f>
        <v/>
      </c>
      <c r="T189" s="427" t="str">
        <f>IF(AND($A189&gt;=SYear_O,$A189&lt;=EYear_O,T$3&gt;0),IF($A189=SYear_O,T$168*(1+Data_All!T28%),T188*(1+Data_All!T28%)),"")</f>
        <v/>
      </c>
      <c r="U189" s="427" t="str">
        <f>IF(AND($A189&gt;=SYear_O,$A189&lt;=EYear_O,U$3&gt;0),IF($A189=SYear_O,U$168*(1+Data_All!U28%),U188*(1+Data_All!U28%)),"")</f>
        <v/>
      </c>
      <c r="V189" s="427" t="str">
        <f>IF(AND($A189&gt;=SYear_O,$A189&lt;=EYear_O,V$3&gt;0),IF($A189=SYear_O,V$168*(1+Data_All!V28%),V188*(1+Data_All!V28%)),"")</f>
        <v/>
      </c>
      <c r="W189" s="427" t="str">
        <f>IF(AND($A189&gt;=SYear_O,$A189&lt;=EYear_O,W$3&gt;0),IF($A189=SYear_O,W$168*(1+Data_All!W28%),W188*(1+Data_All!W28%)),"")</f>
        <v/>
      </c>
      <c r="X189" s="427" t="str">
        <f>IF(AND($A189&gt;=SYear_O,$A189&lt;=EYear_O,X$3&gt;0),IF($A189=SYear_O,X$168*(1+Data_All!X28%),X188*(1+Data_All!X28%)),"")</f>
        <v/>
      </c>
      <c r="Y189" s="427" t="str">
        <f>IF(AND($A189&gt;=SYear_O,$A189&lt;=EYear_O,Y$3&gt;0),IF($A189=SYear_O,Y$168*(1+Data_All!Y28%),Y188*(1+Data_All!Y28%)),"")</f>
        <v/>
      </c>
      <c r="Z189" s="427" t="str">
        <f>IF(AND($A189&gt;=SYear_O,$A189&lt;=EYear_O,Z$3&gt;0),IF($A189=SYear_O,Z$168*(1+Data_All!Z28%),Z188*(1+Data_All!Z28%)),"")</f>
        <v/>
      </c>
      <c r="AA189" s="427" t="str">
        <f>IF(AND($A189&gt;=SYear_O,$A189&lt;=EYear_O,AA$3&gt;0),IF($A189=SYear_O,AA$168*(1+Data_All!AA28%),AA188*(1+Data_All!AA28%)),"")</f>
        <v/>
      </c>
      <c r="AB189" s="427" t="str">
        <f>IF(AND($A189&gt;=SYear_O,$A189&lt;=EYear_O,AB$3&gt;0),IF($A189=SYear_O,AB$168*(1+Data_All!AB28%),AB188*(1+Data_All!AB28%)),"")</f>
        <v/>
      </c>
      <c r="AC189" s="427" t="str">
        <f>IF(AND($A189&gt;=SYear_O,$A189&lt;=EYear_O,AC$3&gt;0),IF($A189=SYear_O,AC$168*(1+Data_All!AC28%),AC188*(1+Data_All!AC28%)),"")</f>
        <v/>
      </c>
      <c r="AD189" s="427" t="str">
        <f>IF(AND($A189&gt;=SYear_O,$A189&lt;=EYear_O,AD$3&gt;0),IF($A189=SYear_O,AD$168*(1+Data_All!AD28%),AD188*(1+Data_All!AD28%)),"")</f>
        <v/>
      </c>
      <c r="AE189" s="427" t="str">
        <f>IF(AND($A189&gt;=SYear_O,$A189&lt;=EYear_O,AE$3&gt;0),IF($A189=SYear_O,AE$168*(1+Data_All!AE28%),AE188*(1+Data_All!AE28%)),"")</f>
        <v/>
      </c>
      <c r="AF189" s="427" t="str">
        <f>IF(AND($A189&gt;=SYear_O,$A189&lt;=EYear_O,AF$3&gt;0),IF($A189=SYear_O,AF$168*(1+Data_All!AF28%),AF188*(1+Data_All!AF28%)),"")</f>
        <v/>
      </c>
      <c r="AG189" s="427" t="str">
        <f>IF(AND($A189&gt;=SYear_O,$A189&lt;=EYear_O,AG$3&gt;0),IF($A189=SYear_O,AG$168*(1+Data_All!AG28%),AG188*(1+Data_All!AG28%)),"")</f>
        <v/>
      </c>
      <c r="AH189" s="427" t="str">
        <f>IF(AND($A189&gt;=SYear_O,$A189&lt;=EYear_O,AH$3&gt;0),IF($A189=SYear_O,AH$168*(1+Data_All!AH28%),AH188*(1+Data_All!AH28%)),"")</f>
        <v/>
      </c>
      <c r="AI189" s="427" t="str">
        <f>IF(AND($A189&gt;=SYear_O,$A189&lt;=EYear_O,AI$3&gt;0),IF($A189=SYear_O,AI$168*(1+Data_All!AI28%),AI188*(1+Data_All!AI28%)),"")</f>
        <v/>
      </c>
      <c r="AJ189" s="427" t="str">
        <f>IF(AND($A189&gt;=SYear_O,$A189&lt;=EYear_O,AJ$3&gt;0),IF($A189=SYear_O,AJ$168*(1+Data_All!AJ28%),AJ188*(1+Data_All!AJ28%)),"")</f>
        <v/>
      </c>
      <c r="AK189" s="427" t="str">
        <f>IF(AND($A189&gt;=SYear_O,$A189&lt;=EYear_O,AK$3&gt;0),IF($A189=SYear_O,AK$168*(1+Data_All!AK28%),AK188*(1+Data_All!AK28%)),"")</f>
        <v/>
      </c>
      <c r="AL189" s="427" t="str">
        <f>IF(AND($A189&gt;=SYear_O,$A189&lt;=EYear_O,AL$3&gt;0),IF($A189=SYear_O,AL$168*(1+Data_All!AL28%),AL188*(1+Data_All!AL28%)),"")</f>
        <v/>
      </c>
      <c r="AM189" s="427" t="str">
        <f>IF(AND($A189&gt;=SYear_O,$A189&lt;=EYear_O,AM$3&gt;0),IF($A189=SYear_O,AM$168*(1+Data_All!AM28%),AM188*(1+Data_All!AM28%)),"")</f>
        <v/>
      </c>
      <c r="AN189" s="427" t="str">
        <f>IF(AND($A189&gt;=SYear_O,$A189&lt;=EYear_O,AN$3&gt;0),IF($A189=SYear_O,AN$168*(1+Data_All!AN28%),AN188*(1+Data_All!AN28%)),"")</f>
        <v/>
      </c>
      <c r="AO189" s="427" t="str">
        <f>IF(AND($A189&gt;=SYear_O,$A189&lt;=EYear_O,AO$3&gt;0),IF($A189=SYear_O,AO$168*(1+Data_All!AO28%),AO188*(1+Data_All!AO28%)),"")</f>
        <v/>
      </c>
      <c r="AP189" s="427" t="str">
        <f>IF(AND($A189&gt;=SYear_O,$A189&lt;=EYear_O,AP$3&gt;0),IF($A189=SYear_O,AP$168*(1+Data_All!AP28%),AP188*(1+Data_All!AP28%)),"")</f>
        <v/>
      </c>
      <c r="AQ189" s="427" t="str">
        <f>IF(AND($A189&gt;=SYear_O,$A189&lt;=EYear_O,AQ$3&gt;0),IF($A189=SYear_O,AQ$168*(1+Data_All!AQ28%),AQ188*(1+Data_All!AQ28%)),"")</f>
        <v/>
      </c>
      <c r="AR189" s="427" t="str">
        <f>IF(AND($A189&gt;=SYear_O,$A189&lt;=EYear_O,AR$3&gt;0),IF($A189=SYear_O,AR$168*(1+Data_All!AR28%),AR188*(1+Data_All!AR28%)),"")</f>
        <v/>
      </c>
      <c r="AS189" s="427" t="str">
        <f>IF(AND($A189&gt;=SYear_O,$A189&lt;=EYear_O,AS$3&gt;0),IF($A189=SYear_O,AS$168*(1+Data_All!AS28%),AS188*(1+Data_All!AS28%)),"")</f>
        <v/>
      </c>
      <c r="AT189" s="427" t="str">
        <f>IF(AND($A189&gt;=SYear_O,$A189&lt;=EYear_O,AT$3&gt;0),IF($A189=SYear_O,AT$168*(1+Data_All!AT28%),AT188*(1+Data_All!AT28%)),"")</f>
        <v/>
      </c>
      <c r="AU189" s="427" t="str">
        <f>IF(AND($A189&gt;=SYear_O,$A189&lt;=EYear_O,AU$3&gt;0),IF($A189=SYear_O,AU$168*(1+Data_All!AU28%),AU188*(1+Data_All!AU28%)),"")</f>
        <v/>
      </c>
      <c r="AV189" s="427" t="str">
        <f>IF(AND($A189&gt;=SYear_O,$A189&lt;=EYear_O,AV$3&gt;0),IF($A189=SYear_O,AV$168*(1+Data_All!AV28%),AV188*(1+Data_All!AV28%)),"")</f>
        <v/>
      </c>
      <c r="AW189" s="427" t="str">
        <f>IF(AND($A189&gt;=SYear_O,$A189&lt;=EYear_O,AW$3&gt;0),IF($A189=SYear_O,AW$168*(1+Data_All!AW28%),AW188*(1+Data_All!AW28%)),"")</f>
        <v/>
      </c>
      <c r="AX189" s="427" t="str">
        <f>IF(AND($A189&gt;=SYear_O,$A189&lt;=EYear_O,AX$3&gt;0),IF($A189=SYear_O,AX$168*(1+Data_All!AX28%),AX188*(1+Data_All!AX28%)),"")</f>
        <v/>
      </c>
      <c r="AY189" s="427" t="str">
        <f>IF(AND($A189&gt;=SYear_O,$A189&lt;=EYear_O,AY$3&gt;0),IF($A189=SYear_O,AY$168*(1+Data_All!AY28%),AY188*(1+Data_All!AY28%)),"")</f>
        <v/>
      </c>
      <c r="AZ189" s="427" t="str">
        <f>IF(AND($A189&gt;=SYear_O,$A189&lt;=EYear_O,AZ$3&gt;0),IF($A189=SYear_O,AZ$168*(1+Data_All!AZ28%),AZ188*(1+Data_All!AZ28%)),"")</f>
        <v/>
      </c>
      <c r="BA189" s="427" t="str">
        <f>IF(AND($A189&gt;=SYear_O,$A189&lt;=EYear_O,BA$3&gt;0),IF($A189=SYear_O,BA$168*(1+Data_All!BA28%),BA188*(1+Data_All!BA28%)),"")</f>
        <v/>
      </c>
      <c r="BB189" s="427" t="str">
        <f>IF(AND($A189&gt;=SYear_O,$A189&lt;=EYear_O,BB$3&gt;0),IF($A189=SYear_O,BB$168*(1+Data_All!BB28%),BB188*(1+Data_All!BB28%)),"")</f>
        <v/>
      </c>
      <c r="BC189" s="427" t="str">
        <f>IF(AND($A189&gt;=SYear_O,$A189&lt;=EYear_O,BC$3&gt;0),IF($A189=SYear_O,BC$168*(1+Data_All!BC28%),BC188*(1+Data_All!BC28%)),"")</f>
        <v/>
      </c>
      <c r="BD189" s="427" t="str">
        <f>IF(AND($A189&gt;=SYear_O,$A189&lt;=EYear_O,BD$3&gt;0),IF($A189=SYear_O,BD$168*(1+Data_All!BD28%),BD188*(1+Data_All!BD28%)),"")</f>
        <v/>
      </c>
      <c r="BE189" s="427" t="str">
        <f>IF(AND($A189&gt;=SYear_O,$A189&lt;=EYear_O,BE$3&gt;0),IF($A189=SYear_O,BE$168*(1+Data_All!BE28%),BE188*(1+Data_All!BE28%)),"")</f>
        <v/>
      </c>
      <c r="BF189" s="427" t="str">
        <f>IF(AND($A189&gt;=SYear_O,$A189&lt;=EYear_O,BF$3&gt;0),IF($A189=SYear_O,BF$168*(1+Data_All!BF28%),BF188*(1+Data_All!BF28%)),"")</f>
        <v/>
      </c>
      <c r="BG189" s="427" t="str">
        <f>IF(AND($A189&gt;=SYear_O,$A189&lt;=EYear_O,BG$3&gt;0),IF($A189=SYear_O,BG$168*(1+Data_All!BG28%),BG188*(1+Data_All!BG28%)),"")</f>
        <v/>
      </c>
      <c r="BH189" s="427" t="str">
        <f>IF(AND($A189&gt;=SYear_O,$A189&lt;=EYear_O,BH$3&gt;0),IF($A189=SYear_O,BH$168*(1+Data_All!BH28%),BH188*(1+Data_All!BH28%)),"")</f>
        <v/>
      </c>
      <c r="BI189" s="427" t="str">
        <f>IF(AND($A189&gt;=SYear_O,$A189&lt;=EYear_O,BI$3&gt;0),IF($A189=SYear_O,BI$168*(1+Data_All!BI28%),BI188*(1+Data_All!BI28%)),"")</f>
        <v/>
      </c>
      <c r="BJ189" s="427" t="str">
        <f>IF(AND($A189&gt;=SYear_O,$A189&lt;=EYear_O,BJ$3&gt;0),IF($A189=SYear_O,BJ$168*(1+Data_All!BJ28%),BJ188*(1+Data_All!BJ28%)),"")</f>
        <v/>
      </c>
      <c r="BK189" s="427" t="str">
        <f>IF(AND($A189&gt;=SYear_O,$A189&lt;=EYear_O,BK$3&gt;0),IF($A189=SYear_O,BK$168*(1+Data_All!BK28%),BK188*(1+Data_All!BK28%)),"")</f>
        <v/>
      </c>
      <c r="BL189" s="427" t="str">
        <f>IF(AND($A189&gt;=SYear_O,$A189&lt;=EYear_O,BL$3&gt;0),IF($A189=SYear_O,BL$168*(1+Data_All!BL28%),BL188*(1+Data_All!BL28%)),"")</f>
        <v/>
      </c>
      <c r="BM189" s="427" t="str">
        <f>IF(AND($A189&gt;=SYear_O,$A189&lt;=EYear_O,BM$3&gt;0),IF($A189=SYear_O,BM$168*(1+Data_All!BM28%),BM188*(1+Data_All!BM28%)),"")</f>
        <v/>
      </c>
      <c r="BN189" s="427" t="str">
        <f>IF(AND($A189&gt;=SYear_O,$A189&lt;=EYear_O,BN$3&gt;0),IF($A189=SYear_O,BN$168*(1+Data_All!BN28%),BN188*(1+Data_All!BN28%)),"")</f>
        <v/>
      </c>
      <c r="BO189" s="427" t="str">
        <f>IF(AND($A189&gt;=SYear_O,$A189&lt;=EYear_O,BO$3&gt;0),IF($A189=SYear_O,BO$168*(1+Data_All!BO28%),BO188*(1+Data_All!BO28%)),"")</f>
        <v/>
      </c>
      <c r="BP189" s="427" t="str">
        <f>IF(AND($A189&gt;=SYear_O,$A189&lt;=EYear_O,BP$3&gt;0),IF($A189=SYear_O,BP$168*(1+Data_All!BP28%),BP188*(1+Data_All!BP28%)),"")</f>
        <v/>
      </c>
      <c r="BQ189" s="427" t="str">
        <f>IF(AND($A189&gt;=SYear_O,$A189&lt;=EYear_O,BQ$3&gt;0),IF($A189=SYear_O,BQ$168*(1+Data_All!BQ28%),BQ188*(1+Data_All!BQ28%)),"")</f>
        <v/>
      </c>
      <c r="BR189" s="427" t="str">
        <f>IF(AND($A189&gt;=SYear_O,$A189&lt;=EYear_O,BR$3&gt;0),IF($A189=SYear_O,BR$168*(1+Data_All!BR28%),BR188*(1+Data_All!BR28%)),"")</f>
        <v/>
      </c>
      <c r="BS189" s="427" t="str">
        <f>IF(AND($A189&gt;=SYear_O,$A189&lt;=EYear_O,BS$3&gt;0),IF($A189=SYear_O,BS$168*(1+Data_All!BS28%),BS188*(1+Data_All!BS28%)),"")</f>
        <v/>
      </c>
      <c r="BT189" s="427" t="str">
        <f>IF(AND($A189&gt;=SYear_O,$A189&lt;=EYear_O,BT$3&gt;0),IF($A189=SYear_O,BT$168*(1+Data_All!BT28%),BT188*(1+Data_All!BT28%)),"")</f>
        <v/>
      </c>
      <c r="BU189" s="427" t="str">
        <f>IF(AND($A189&gt;=SYear_O,$A189&lt;=EYear_O,BU$3&gt;0),IF($A189=SYear_O,BU$168*(1+Data_All!BU28%),BU188*(1+Data_All!BU28%)),"")</f>
        <v/>
      </c>
      <c r="BV189" s="427" t="str">
        <f>IF(AND($A189&gt;=SYear_O,$A189&lt;=EYear_O,BV$3&gt;0),IF($A189=SYear_O,BV$168*(1+Data_All!BV28%),BV188*(1+Data_All!BV28%)),"")</f>
        <v/>
      </c>
      <c r="BW189" s="427" t="str">
        <f>IF(AND($A189&gt;=SYear_O,$A189&lt;=EYear_O,BW$3&gt;0),IF($A189=SYear_O,BW$168*(1+Data_All!BW28%),BW188*(1+Data_All!BW28%)),"")</f>
        <v/>
      </c>
      <c r="BX189" s="427">
        <f>IF(AND($A189&gt;=SYear_O,$A189&lt;=EYear_O,BX$3&gt;0),IF($A189=SYear_O,BX$168*(1+Data_All!BX28%),BX188*(1+Data_All!BX28%)),"")</f>
        <v>22693.366362098259</v>
      </c>
      <c r="BY189" s="427">
        <f>IF(AND($A189&gt;=SYear_O,$A189&lt;=EYear_O,BY$3&gt;0),IF($A189=SYear_O,BY$168*(1+Data_All!BY28%),BY188*(1+Data_All!BY28%)),"")</f>
        <v>10025.190288927441</v>
      </c>
      <c r="BZ189" s="427" t="str">
        <f>IF(AND($A189&gt;=SYear_O,$A189&lt;=EYear_O,BZ$3&gt;0),IF($A189=SYear_O,BZ$168*(1+Data_All!BZ28%),BZ188*(1+Data_All!BZ28%)),"")</f>
        <v/>
      </c>
      <c r="CA189" s="565">
        <f t="shared" si="92"/>
        <v>14.728890293135482</v>
      </c>
      <c r="CB189" s="427">
        <f t="shared" si="93"/>
        <v>32718.556651025698</v>
      </c>
      <c r="CC189" s="565">
        <f>IF(AND($A189&gt;=SYear_O,$A189&lt;=EYear_O),(CA189-Data_All!CA28)/(1+Data_All!CA28%),"")</f>
        <v>22.178837066989072</v>
      </c>
      <c r="CD189" s="436">
        <f t="shared" si="94"/>
        <v>55663.970270797625</v>
      </c>
      <c r="CE189" s="438">
        <f t="shared" si="95"/>
        <v>2.9675481817922718</v>
      </c>
      <c r="CF189" s="438">
        <f>IF(AND($A189&gt;=SYear_O,$A189&lt;=EYear_O),MAX($CE$169:CE189),"")</f>
        <v>2.9675481817922718</v>
      </c>
      <c r="CG189" s="209">
        <f t="shared" si="96"/>
        <v>0</v>
      </c>
      <c r="CN189" s="61">
        <f t="shared" si="97"/>
        <v>0.14728890293135488</v>
      </c>
      <c r="CO189" s="61">
        <f t="shared" si="98"/>
        <v>2.20033852570507E-2</v>
      </c>
      <c r="CP189" s="61">
        <f t="shared" si="99"/>
        <v>2.5981260920037164E-2</v>
      </c>
      <c r="CQ189" s="61">
        <f t="shared" si="100"/>
        <v>6.9806803971178111E-2</v>
      </c>
      <c r="CR189" s="61">
        <f t="shared" si="101"/>
        <v>7.7614019055178396E-2</v>
      </c>
      <c r="CU189" s="61">
        <f t="shared" si="102"/>
        <v>0.22178837066989066</v>
      </c>
      <c r="CV189" s="61">
        <f t="shared" si="103"/>
        <v>6.728277071845401E-2</v>
      </c>
      <c r="CW189" s="61">
        <f t="shared" si="104"/>
        <v>5.8967432577316403E-2</v>
      </c>
      <c r="CX189" s="61">
        <f t="shared" si="105"/>
        <v>7.1120320649187718E-2</v>
      </c>
      <c r="CY189" s="61">
        <f t="shared" si="106"/>
        <v>7.1745331173913129E-2</v>
      </c>
    </row>
    <row r="190" spans="1:103">
      <c r="A190" s="204">
        <f t="shared" si="107"/>
        <v>1892</v>
      </c>
      <c r="B190" s="427" t="str">
        <f>IF(AND($A190&gt;=SYear_O,$A190&lt;=EYear_O,B$3&gt;0),IF($A190=SYear_O,B$168*(1+Data_All!B29%),B189*(1+Data_All!B29%)),"")</f>
        <v/>
      </c>
      <c r="C190" s="427" t="str">
        <f>IF(AND($A190&gt;=SYear_O,$A190&lt;=EYear_O,C$3&gt;0),IF($A190=SYear_O,C$168*(1+Data_All!C29%),C189*(1+Data_All!C29%)),"")</f>
        <v/>
      </c>
      <c r="D190" s="427" t="str">
        <f>IF(AND($A190&gt;=SYear_O,$A190&lt;=EYear_O,D$3&gt;0),IF($A190=SYear_O,D$168*(1+Data_All!D29%),D189*(1+Data_All!D29%)),"")</f>
        <v/>
      </c>
      <c r="E190" s="427" t="str">
        <f>IF(AND($A190&gt;=SYear_O,$A190&lt;=EYear_O,E$3&gt;0),IF($A190=SYear_O,E$168*(1+Data_All!E29%),E189*(1+Data_All!E29%)),"")</f>
        <v/>
      </c>
      <c r="F190" s="427" t="str">
        <f>IF(AND($A190&gt;=SYear_O,$A190&lt;=EYear_O,F$3&gt;0),IF($A190=SYear_O,F$168*(1+Data_All!F29%),F189*(1+Data_All!F29%)),"")</f>
        <v/>
      </c>
      <c r="G190" s="427" t="str">
        <f>IF(AND($A190&gt;=SYear_O,$A190&lt;=EYear_O,G$3&gt;0),IF($A190=SYear_O,G$168*(1+Data_All!G29%),G189*(1+Data_All!G29%)),"")</f>
        <v/>
      </c>
      <c r="H190" s="427" t="str">
        <f>IF(AND($A190&gt;=SYear_O,$A190&lt;=EYear_O,H$3&gt;0),IF($A190=SYear_O,H$168*(1+Data_All!H29%),H189*(1+Data_All!H29%)),"")</f>
        <v/>
      </c>
      <c r="I190" s="427" t="str">
        <f>IF(AND($A190&gt;=SYear_O,$A190&lt;=EYear_O,I$3&gt;0),IF($A190=SYear_O,I$168*(1+Data_All!I29%),I189*(1+Data_All!I29%)),"")</f>
        <v/>
      </c>
      <c r="J190" s="427" t="str">
        <f>IF(AND($A190&gt;=SYear_O,$A190&lt;=EYear_O,J$3&gt;0),IF($A190=SYear_O,J$168*(1+Data_All!J29%),J189*(1+Data_All!J29%)),"")</f>
        <v/>
      </c>
      <c r="K190" s="427" t="str">
        <f>IF(AND($A190&gt;=SYear_O,$A190&lt;=EYear_O,K$3&gt;0),IF($A190=SYear_O,K$168*(1+Data_All!K29%),K189*(1+Data_All!K29%)),"")</f>
        <v/>
      </c>
      <c r="L190" s="427" t="str">
        <f>IF(AND($A190&gt;=SYear_O,$A190&lt;=EYear_O,L$3&gt;0),IF($A190=SYear_O,L$168*(1+Data_All!L29%),L189*(1+Data_All!L29%)),"")</f>
        <v/>
      </c>
      <c r="M190" s="427" t="str">
        <f>IF(AND($A190&gt;=SYear_O,$A190&lt;=EYear_O,M$3&gt;0),IF($A190=SYear_O,M$168*(1+Data_All!M29%),M189*(1+Data_All!M29%)),"")</f>
        <v/>
      </c>
      <c r="N190" s="427" t="str">
        <f>IF(AND($A190&gt;=SYear_O,$A190&lt;=EYear_O,N$3&gt;0),IF($A190=SYear_O,N$168*(1+Data_All!N29%),N189*(1+Data_All!N29%)),"")</f>
        <v/>
      </c>
      <c r="O190" s="427" t="str">
        <f>IF(AND($A190&gt;=SYear_O,$A190&lt;=EYear_O,O$3&gt;0),IF($A190=SYear_O,O$168*(1+Data_All!O29%),O189*(1+Data_All!O29%)),"")</f>
        <v/>
      </c>
      <c r="P190" s="427" t="str">
        <f>IF(AND($A190&gt;=SYear_O,$A190&lt;=EYear_O,P$3&gt;0),IF($A190=SYear_O,P$168*(1+Data_All!P29%),P189*(1+Data_All!P29%)),"")</f>
        <v/>
      </c>
      <c r="Q190" s="427" t="str">
        <f>IF(AND($A190&gt;=SYear_O,$A190&lt;=EYear_O,Q$3&gt;0),IF($A190=SYear_O,Q$168*(1+Data_All!Q29%),Q189*(1+Data_All!Q29%)),"")</f>
        <v/>
      </c>
      <c r="R190" s="427" t="str">
        <f>IF(AND($A190&gt;=SYear_O,$A190&lt;=EYear_O,R$3&gt;0),IF($A190=SYear_O,R$168*(1+Data_All!R29%),R189*(1+Data_All!R29%)),"")</f>
        <v/>
      </c>
      <c r="S190" s="427" t="str">
        <f>IF(AND($A190&gt;=SYear_O,$A190&lt;=EYear_O,S$3&gt;0),IF($A190=SYear_O,S$168*(1+Data_All!S29%),S189*(1+Data_All!S29%)),"")</f>
        <v/>
      </c>
      <c r="T190" s="427" t="str">
        <f>IF(AND($A190&gt;=SYear_O,$A190&lt;=EYear_O,T$3&gt;0),IF($A190=SYear_O,T$168*(1+Data_All!T29%),T189*(1+Data_All!T29%)),"")</f>
        <v/>
      </c>
      <c r="U190" s="427" t="str">
        <f>IF(AND($A190&gt;=SYear_O,$A190&lt;=EYear_O,U$3&gt;0),IF($A190=SYear_O,U$168*(1+Data_All!U29%),U189*(1+Data_All!U29%)),"")</f>
        <v/>
      </c>
      <c r="V190" s="427" t="str">
        <f>IF(AND($A190&gt;=SYear_O,$A190&lt;=EYear_O,V$3&gt;0),IF($A190=SYear_O,V$168*(1+Data_All!V29%),V189*(1+Data_All!V29%)),"")</f>
        <v/>
      </c>
      <c r="W190" s="427" t="str">
        <f>IF(AND($A190&gt;=SYear_O,$A190&lt;=EYear_O,W$3&gt;0),IF($A190=SYear_O,W$168*(1+Data_All!W29%),W189*(1+Data_All!W29%)),"")</f>
        <v/>
      </c>
      <c r="X190" s="427" t="str">
        <f>IF(AND($A190&gt;=SYear_O,$A190&lt;=EYear_O,X$3&gt;0),IF($A190=SYear_O,X$168*(1+Data_All!X29%),X189*(1+Data_All!X29%)),"")</f>
        <v/>
      </c>
      <c r="Y190" s="427" t="str">
        <f>IF(AND($A190&gt;=SYear_O,$A190&lt;=EYear_O,Y$3&gt;0),IF($A190=SYear_O,Y$168*(1+Data_All!Y29%),Y189*(1+Data_All!Y29%)),"")</f>
        <v/>
      </c>
      <c r="Z190" s="427" t="str">
        <f>IF(AND($A190&gt;=SYear_O,$A190&lt;=EYear_O,Z$3&gt;0),IF($A190=SYear_O,Z$168*(1+Data_All!Z29%),Z189*(1+Data_All!Z29%)),"")</f>
        <v/>
      </c>
      <c r="AA190" s="427" t="str">
        <f>IF(AND($A190&gt;=SYear_O,$A190&lt;=EYear_O,AA$3&gt;0),IF($A190=SYear_O,AA$168*(1+Data_All!AA29%),AA189*(1+Data_All!AA29%)),"")</f>
        <v/>
      </c>
      <c r="AB190" s="427" t="str">
        <f>IF(AND($A190&gt;=SYear_O,$A190&lt;=EYear_O,AB$3&gt;0),IF($A190=SYear_O,AB$168*(1+Data_All!AB29%),AB189*(1+Data_All!AB29%)),"")</f>
        <v/>
      </c>
      <c r="AC190" s="427" t="str">
        <f>IF(AND($A190&gt;=SYear_O,$A190&lt;=EYear_O,AC$3&gt;0),IF($A190=SYear_O,AC$168*(1+Data_All!AC29%),AC189*(1+Data_All!AC29%)),"")</f>
        <v/>
      </c>
      <c r="AD190" s="427" t="str">
        <f>IF(AND($A190&gt;=SYear_O,$A190&lt;=EYear_O,AD$3&gt;0),IF($A190=SYear_O,AD$168*(1+Data_All!AD29%),AD189*(1+Data_All!AD29%)),"")</f>
        <v/>
      </c>
      <c r="AE190" s="427" t="str">
        <f>IF(AND($A190&gt;=SYear_O,$A190&lt;=EYear_O,AE$3&gt;0),IF($A190=SYear_O,AE$168*(1+Data_All!AE29%),AE189*(1+Data_All!AE29%)),"")</f>
        <v/>
      </c>
      <c r="AF190" s="427" t="str">
        <f>IF(AND($A190&gt;=SYear_O,$A190&lt;=EYear_O,AF$3&gt;0),IF($A190=SYear_O,AF$168*(1+Data_All!AF29%),AF189*(1+Data_All!AF29%)),"")</f>
        <v/>
      </c>
      <c r="AG190" s="427" t="str">
        <f>IF(AND($A190&gt;=SYear_O,$A190&lt;=EYear_O,AG$3&gt;0),IF($A190=SYear_O,AG$168*(1+Data_All!AG29%),AG189*(1+Data_All!AG29%)),"")</f>
        <v/>
      </c>
      <c r="AH190" s="427" t="str">
        <f>IF(AND($A190&gt;=SYear_O,$A190&lt;=EYear_O,AH$3&gt;0),IF($A190=SYear_O,AH$168*(1+Data_All!AH29%),AH189*(1+Data_All!AH29%)),"")</f>
        <v/>
      </c>
      <c r="AI190" s="427" t="str">
        <f>IF(AND($A190&gt;=SYear_O,$A190&lt;=EYear_O,AI$3&gt;0),IF($A190=SYear_O,AI$168*(1+Data_All!AI29%),AI189*(1+Data_All!AI29%)),"")</f>
        <v/>
      </c>
      <c r="AJ190" s="427" t="str">
        <f>IF(AND($A190&gt;=SYear_O,$A190&lt;=EYear_O,AJ$3&gt;0),IF($A190=SYear_O,AJ$168*(1+Data_All!AJ29%),AJ189*(1+Data_All!AJ29%)),"")</f>
        <v/>
      </c>
      <c r="AK190" s="427" t="str">
        <f>IF(AND($A190&gt;=SYear_O,$A190&lt;=EYear_O,AK$3&gt;0),IF($A190=SYear_O,AK$168*(1+Data_All!AK29%),AK189*(1+Data_All!AK29%)),"")</f>
        <v/>
      </c>
      <c r="AL190" s="427" t="str">
        <f>IF(AND($A190&gt;=SYear_O,$A190&lt;=EYear_O,AL$3&gt;0),IF($A190=SYear_O,AL$168*(1+Data_All!AL29%),AL189*(1+Data_All!AL29%)),"")</f>
        <v/>
      </c>
      <c r="AM190" s="427" t="str">
        <f>IF(AND($A190&gt;=SYear_O,$A190&lt;=EYear_O,AM$3&gt;0),IF($A190=SYear_O,AM$168*(1+Data_All!AM29%),AM189*(1+Data_All!AM29%)),"")</f>
        <v/>
      </c>
      <c r="AN190" s="427" t="str">
        <f>IF(AND($A190&gt;=SYear_O,$A190&lt;=EYear_O,AN$3&gt;0),IF($A190=SYear_O,AN$168*(1+Data_All!AN29%),AN189*(1+Data_All!AN29%)),"")</f>
        <v/>
      </c>
      <c r="AO190" s="427" t="str">
        <f>IF(AND($A190&gt;=SYear_O,$A190&lt;=EYear_O,AO$3&gt;0),IF($A190=SYear_O,AO$168*(1+Data_All!AO29%),AO189*(1+Data_All!AO29%)),"")</f>
        <v/>
      </c>
      <c r="AP190" s="427" t="str">
        <f>IF(AND($A190&gt;=SYear_O,$A190&lt;=EYear_O,AP$3&gt;0),IF($A190=SYear_O,AP$168*(1+Data_All!AP29%),AP189*(1+Data_All!AP29%)),"")</f>
        <v/>
      </c>
      <c r="AQ190" s="427" t="str">
        <f>IF(AND($A190&gt;=SYear_O,$A190&lt;=EYear_O,AQ$3&gt;0),IF($A190=SYear_O,AQ$168*(1+Data_All!AQ29%),AQ189*(1+Data_All!AQ29%)),"")</f>
        <v/>
      </c>
      <c r="AR190" s="427" t="str">
        <f>IF(AND($A190&gt;=SYear_O,$A190&lt;=EYear_O,AR$3&gt;0),IF($A190=SYear_O,AR$168*(1+Data_All!AR29%),AR189*(1+Data_All!AR29%)),"")</f>
        <v/>
      </c>
      <c r="AS190" s="427" t="str">
        <f>IF(AND($A190&gt;=SYear_O,$A190&lt;=EYear_O,AS$3&gt;0),IF($A190=SYear_O,AS$168*(1+Data_All!AS29%),AS189*(1+Data_All!AS29%)),"")</f>
        <v/>
      </c>
      <c r="AT190" s="427" t="str">
        <f>IF(AND($A190&gt;=SYear_O,$A190&lt;=EYear_O,AT$3&gt;0),IF($A190=SYear_O,AT$168*(1+Data_All!AT29%),AT189*(1+Data_All!AT29%)),"")</f>
        <v/>
      </c>
      <c r="AU190" s="427" t="str">
        <f>IF(AND($A190&gt;=SYear_O,$A190&lt;=EYear_O,AU$3&gt;0),IF($A190=SYear_O,AU$168*(1+Data_All!AU29%),AU189*(1+Data_All!AU29%)),"")</f>
        <v/>
      </c>
      <c r="AV190" s="427" t="str">
        <f>IF(AND($A190&gt;=SYear_O,$A190&lt;=EYear_O,AV$3&gt;0),IF($A190=SYear_O,AV$168*(1+Data_All!AV29%),AV189*(1+Data_All!AV29%)),"")</f>
        <v/>
      </c>
      <c r="AW190" s="427" t="str">
        <f>IF(AND($A190&gt;=SYear_O,$A190&lt;=EYear_O,AW$3&gt;0),IF($A190=SYear_O,AW$168*(1+Data_All!AW29%),AW189*(1+Data_All!AW29%)),"")</f>
        <v/>
      </c>
      <c r="AX190" s="427" t="str">
        <f>IF(AND($A190&gt;=SYear_O,$A190&lt;=EYear_O,AX$3&gt;0),IF($A190=SYear_O,AX$168*(1+Data_All!AX29%),AX189*(1+Data_All!AX29%)),"")</f>
        <v/>
      </c>
      <c r="AY190" s="427" t="str">
        <f>IF(AND($A190&gt;=SYear_O,$A190&lt;=EYear_O,AY$3&gt;0),IF($A190=SYear_O,AY$168*(1+Data_All!AY29%),AY189*(1+Data_All!AY29%)),"")</f>
        <v/>
      </c>
      <c r="AZ190" s="427" t="str">
        <f>IF(AND($A190&gt;=SYear_O,$A190&lt;=EYear_O,AZ$3&gt;0),IF($A190=SYear_O,AZ$168*(1+Data_All!AZ29%),AZ189*(1+Data_All!AZ29%)),"")</f>
        <v/>
      </c>
      <c r="BA190" s="427" t="str">
        <f>IF(AND($A190&gt;=SYear_O,$A190&lt;=EYear_O,BA$3&gt;0),IF($A190=SYear_O,BA$168*(1+Data_All!BA29%),BA189*(1+Data_All!BA29%)),"")</f>
        <v/>
      </c>
      <c r="BB190" s="427" t="str">
        <f>IF(AND($A190&gt;=SYear_O,$A190&lt;=EYear_O,BB$3&gt;0),IF($A190=SYear_O,BB$168*(1+Data_All!BB29%),BB189*(1+Data_All!BB29%)),"")</f>
        <v/>
      </c>
      <c r="BC190" s="427" t="str">
        <f>IF(AND($A190&gt;=SYear_O,$A190&lt;=EYear_O,BC$3&gt;0),IF($A190=SYear_O,BC$168*(1+Data_All!BC29%),BC189*(1+Data_All!BC29%)),"")</f>
        <v/>
      </c>
      <c r="BD190" s="427" t="str">
        <f>IF(AND($A190&gt;=SYear_O,$A190&lt;=EYear_O,BD$3&gt;0),IF($A190=SYear_O,BD$168*(1+Data_All!BD29%),BD189*(1+Data_All!BD29%)),"")</f>
        <v/>
      </c>
      <c r="BE190" s="427" t="str">
        <f>IF(AND($A190&gt;=SYear_O,$A190&lt;=EYear_O,BE$3&gt;0),IF($A190=SYear_O,BE$168*(1+Data_All!BE29%),BE189*(1+Data_All!BE29%)),"")</f>
        <v/>
      </c>
      <c r="BF190" s="427" t="str">
        <f>IF(AND($A190&gt;=SYear_O,$A190&lt;=EYear_O,BF$3&gt;0),IF($A190=SYear_O,BF$168*(1+Data_All!BF29%),BF189*(1+Data_All!BF29%)),"")</f>
        <v/>
      </c>
      <c r="BG190" s="427" t="str">
        <f>IF(AND($A190&gt;=SYear_O,$A190&lt;=EYear_O,BG$3&gt;0),IF($A190=SYear_O,BG$168*(1+Data_All!BG29%),BG189*(1+Data_All!BG29%)),"")</f>
        <v/>
      </c>
      <c r="BH190" s="427" t="str">
        <f>IF(AND($A190&gt;=SYear_O,$A190&lt;=EYear_O,BH$3&gt;0),IF($A190=SYear_O,BH$168*(1+Data_All!BH29%),BH189*(1+Data_All!BH29%)),"")</f>
        <v/>
      </c>
      <c r="BI190" s="427" t="str">
        <f>IF(AND($A190&gt;=SYear_O,$A190&lt;=EYear_O,BI$3&gt;0),IF($A190=SYear_O,BI$168*(1+Data_All!BI29%),BI189*(1+Data_All!BI29%)),"")</f>
        <v/>
      </c>
      <c r="BJ190" s="427" t="str">
        <f>IF(AND($A190&gt;=SYear_O,$A190&lt;=EYear_O,BJ$3&gt;0),IF($A190=SYear_O,BJ$168*(1+Data_All!BJ29%),BJ189*(1+Data_All!BJ29%)),"")</f>
        <v/>
      </c>
      <c r="BK190" s="427" t="str">
        <f>IF(AND($A190&gt;=SYear_O,$A190&lt;=EYear_O,BK$3&gt;0),IF($A190=SYear_O,BK$168*(1+Data_All!BK29%),BK189*(1+Data_All!BK29%)),"")</f>
        <v/>
      </c>
      <c r="BL190" s="427" t="str">
        <f>IF(AND($A190&gt;=SYear_O,$A190&lt;=EYear_O,BL$3&gt;0),IF($A190=SYear_O,BL$168*(1+Data_All!BL29%),BL189*(1+Data_All!BL29%)),"")</f>
        <v/>
      </c>
      <c r="BM190" s="427" t="str">
        <f>IF(AND($A190&gt;=SYear_O,$A190&lt;=EYear_O,BM$3&gt;0),IF($A190=SYear_O,BM$168*(1+Data_All!BM29%),BM189*(1+Data_All!BM29%)),"")</f>
        <v/>
      </c>
      <c r="BN190" s="427" t="str">
        <f>IF(AND($A190&gt;=SYear_O,$A190&lt;=EYear_O,BN$3&gt;0),IF($A190=SYear_O,BN$168*(1+Data_All!BN29%),BN189*(1+Data_All!BN29%)),"")</f>
        <v/>
      </c>
      <c r="BO190" s="427" t="str">
        <f>IF(AND($A190&gt;=SYear_O,$A190&lt;=EYear_O,BO$3&gt;0),IF($A190=SYear_O,BO$168*(1+Data_All!BO29%),BO189*(1+Data_All!BO29%)),"")</f>
        <v/>
      </c>
      <c r="BP190" s="427" t="str">
        <f>IF(AND($A190&gt;=SYear_O,$A190&lt;=EYear_O,BP$3&gt;0),IF($A190=SYear_O,BP$168*(1+Data_All!BP29%),BP189*(1+Data_All!BP29%)),"")</f>
        <v/>
      </c>
      <c r="BQ190" s="427" t="str">
        <f>IF(AND($A190&gt;=SYear_O,$A190&lt;=EYear_O,BQ$3&gt;0),IF($A190=SYear_O,BQ$168*(1+Data_All!BQ29%),BQ189*(1+Data_All!BQ29%)),"")</f>
        <v/>
      </c>
      <c r="BR190" s="427" t="str">
        <f>IF(AND($A190&gt;=SYear_O,$A190&lt;=EYear_O,BR$3&gt;0),IF($A190=SYear_O,BR$168*(1+Data_All!BR29%),BR189*(1+Data_All!BR29%)),"")</f>
        <v/>
      </c>
      <c r="BS190" s="427" t="str">
        <f>IF(AND($A190&gt;=SYear_O,$A190&lt;=EYear_O,BS$3&gt;0),IF($A190=SYear_O,BS$168*(1+Data_All!BS29%),BS189*(1+Data_All!BS29%)),"")</f>
        <v/>
      </c>
      <c r="BT190" s="427" t="str">
        <f>IF(AND($A190&gt;=SYear_O,$A190&lt;=EYear_O,BT$3&gt;0),IF($A190=SYear_O,BT$168*(1+Data_All!BT29%),BT189*(1+Data_All!BT29%)),"")</f>
        <v/>
      </c>
      <c r="BU190" s="427" t="str">
        <f>IF(AND($A190&gt;=SYear_O,$A190&lt;=EYear_O,BU$3&gt;0),IF($A190=SYear_O,BU$168*(1+Data_All!BU29%),BU189*(1+Data_All!BU29%)),"")</f>
        <v/>
      </c>
      <c r="BV190" s="427" t="str">
        <f>IF(AND($A190&gt;=SYear_O,$A190&lt;=EYear_O,BV$3&gt;0),IF($A190=SYear_O,BV$168*(1+Data_All!BV29%),BV189*(1+Data_All!BV29%)),"")</f>
        <v/>
      </c>
      <c r="BW190" s="427" t="str">
        <f>IF(AND($A190&gt;=SYear_O,$A190&lt;=EYear_O,BW$3&gt;0),IF($A190=SYear_O,BW$168*(1+Data_All!BW29%),BW189*(1+Data_All!BW29%)),"")</f>
        <v/>
      </c>
      <c r="BX190" s="427">
        <f>IF(AND($A190&gt;=SYear_O,$A190&lt;=EYear_O,BX$3&gt;0),IF($A190=SYear_O,BX$168*(1+Data_All!BX29%),BX189*(1+Data_All!BX29%)),"")</f>
        <v>24093.682979723199</v>
      </c>
      <c r="BY190" s="427">
        <f>IF(AND($A190&gt;=SYear_O,$A190&lt;=EYear_O,BY$3&gt;0),IF($A190=SYear_O,BY$168*(1+Data_All!BY29%),BY189*(1+Data_All!BY29%)),"")</f>
        <v>9553.5271813973122</v>
      </c>
      <c r="BZ190" s="427" t="str">
        <f>IF(AND($A190&gt;=SYear_O,$A190&lt;=EYear_O,BZ$3&gt;0),IF($A190=SYear_O,BZ$168*(1+Data_All!BZ29%),BZ189*(1+Data_All!BZ29%)),"")</f>
        <v/>
      </c>
      <c r="CA190" s="565">
        <f t="shared" si="92"/>
        <v>2.838308303143636</v>
      </c>
      <c r="CB190" s="427">
        <f t="shared" si="93"/>
        <v>33647.210161120514</v>
      </c>
      <c r="CC190" s="565">
        <f>IF(AND($A190&gt;=SYear_O,$A190&lt;=EYear_O),(CA190-Data_All!CA29)/(1+Data_All!CA29%),"")</f>
        <v>-4.5958428493997783</v>
      </c>
      <c r="CD190" s="436">
        <f t="shared" si="94"/>
        <v>53105.741673415156</v>
      </c>
      <c r="CE190" s="438">
        <f t="shared" si="95"/>
        <v>3.0517763482358702</v>
      </c>
      <c r="CF190" s="438">
        <f>IF(AND($A190&gt;=SYear_O,$A190&lt;=EYear_O),MAX($CE$169:CE190),"")</f>
        <v>3.0517763482358702</v>
      </c>
      <c r="CG190" s="209">
        <f t="shared" si="96"/>
        <v>0</v>
      </c>
      <c r="CN190" s="61">
        <f t="shared" si="97"/>
        <v>2.838308303143644E-2</v>
      </c>
      <c r="CO190" s="61">
        <f t="shared" si="98"/>
        <v>-1.1523238774375E-2</v>
      </c>
      <c r="CP190" s="61">
        <f t="shared" si="99"/>
        <v>7.6490838294538399E-3</v>
      </c>
      <c r="CQ190" s="61">
        <f t="shared" si="100"/>
        <v>7.0205079372102075E-2</v>
      </c>
      <c r="CR190" s="61">
        <f t="shared" si="101"/>
        <v>6.8474314947513326E-2</v>
      </c>
      <c r="CU190" s="61">
        <f t="shared" si="102"/>
        <v>-4.5958428493997783E-2</v>
      </c>
      <c r="CV190" s="61">
        <f t="shared" si="103"/>
        <v>2.5290434903620485E-2</v>
      </c>
      <c r="CW190" s="61">
        <f t="shared" si="104"/>
        <v>3.3012700587720545E-2</v>
      </c>
      <c r="CX190" s="61">
        <f t="shared" si="105"/>
        <v>6.2204765221662628E-2</v>
      </c>
      <c r="CY190" s="61">
        <f t="shared" si="106"/>
        <v>5.5110750432519007E-2</v>
      </c>
    </row>
    <row r="191" spans="1:103">
      <c r="A191" s="204">
        <f t="shared" si="107"/>
        <v>1893</v>
      </c>
      <c r="B191" s="427" t="str">
        <f>IF(AND($A191&gt;=SYear_O,$A191&lt;=EYear_O,B$3&gt;0),IF($A191=SYear_O,B$168*(1+Data_All!B30%),B190*(1+Data_All!B30%)),"")</f>
        <v/>
      </c>
      <c r="C191" s="427" t="str">
        <f>IF(AND($A191&gt;=SYear_O,$A191&lt;=EYear_O,C$3&gt;0),IF($A191=SYear_O,C$168*(1+Data_All!C30%),C190*(1+Data_All!C30%)),"")</f>
        <v/>
      </c>
      <c r="D191" s="427" t="str">
        <f>IF(AND($A191&gt;=SYear_O,$A191&lt;=EYear_O,D$3&gt;0),IF($A191=SYear_O,D$168*(1+Data_All!D30%),D190*(1+Data_All!D30%)),"")</f>
        <v/>
      </c>
      <c r="E191" s="427" t="str">
        <f>IF(AND($A191&gt;=SYear_O,$A191&lt;=EYear_O,E$3&gt;0),IF($A191=SYear_O,E$168*(1+Data_All!E30%),E190*(1+Data_All!E30%)),"")</f>
        <v/>
      </c>
      <c r="F191" s="427" t="str">
        <f>IF(AND($A191&gt;=SYear_O,$A191&lt;=EYear_O,F$3&gt;0),IF($A191=SYear_O,F$168*(1+Data_All!F30%),F190*(1+Data_All!F30%)),"")</f>
        <v/>
      </c>
      <c r="G191" s="427" t="str">
        <f>IF(AND($A191&gt;=SYear_O,$A191&lt;=EYear_O,G$3&gt;0),IF($A191=SYear_O,G$168*(1+Data_All!G30%),G190*(1+Data_All!G30%)),"")</f>
        <v/>
      </c>
      <c r="H191" s="427" t="str">
        <f>IF(AND($A191&gt;=SYear_O,$A191&lt;=EYear_O,H$3&gt;0),IF($A191=SYear_O,H$168*(1+Data_All!H30%),H190*(1+Data_All!H30%)),"")</f>
        <v/>
      </c>
      <c r="I191" s="427" t="str">
        <f>IF(AND($A191&gt;=SYear_O,$A191&lt;=EYear_O,I$3&gt;0),IF($A191=SYear_O,I$168*(1+Data_All!I30%),I190*(1+Data_All!I30%)),"")</f>
        <v/>
      </c>
      <c r="J191" s="427" t="str">
        <f>IF(AND($A191&gt;=SYear_O,$A191&lt;=EYear_O,J$3&gt;0),IF($A191=SYear_O,J$168*(1+Data_All!J30%),J190*(1+Data_All!J30%)),"")</f>
        <v/>
      </c>
      <c r="K191" s="427" t="str">
        <f>IF(AND($A191&gt;=SYear_O,$A191&lt;=EYear_O,K$3&gt;0),IF($A191=SYear_O,K$168*(1+Data_All!K30%),K190*(1+Data_All!K30%)),"")</f>
        <v/>
      </c>
      <c r="L191" s="427" t="str">
        <f>IF(AND($A191&gt;=SYear_O,$A191&lt;=EYear_O,L$3&gt;0),IF($A191=SYear_O,L$168*(1+Data_All!L30%),L190*(1+Data_All!L30%)),"")</f>
        <v/>
      </c>
      <c r="M191" s="427" t="str">
        <f>IF(AND($A191&gt;=SYear_O,$A191&lt;=EYear_O,M$3&gt;0),IF($A191=SYear_O,M$168*(1+Data_All!M30%),M190*(1+Data_All!M30%)),"")</f>
        <v/>
      </c>
      <c r="N191" s="427" t="str">
        <f>IF(AND($A191&gt;=SYear_O,$A191&lt;=EYear_O,N$3&gt;0),IF($A191=SYear_O,N$168*(1+Data_All!N30%),N190*(1+Data_All!N30%)),"")</f>
        <v/>
      </c>
      <c r="O191" s="427" t="str">
        <f>IF(AND($A191&gt;=SYear_O,$A191&lt;=EYear_O,O$3&gt;0),IF($A191=SYear_O,O$168*(1+Data_All!O30%),O190*(1+Data_All!O30%)),"")</f>
        <v/>
      </c>
      <c r="P191" s="427" t="str">
        <f>IF(AND($A191&gt;=SYear_O,$A191&lt;=EYear_O,P$3&gt;0),IF($A191=SYear_O,P$168*(1+Data_All!P30%),P190*(1+Data_All!P30%)),"")</f>
        <v/>
      </c>
      <c r="Q191" s="427" t="str">
        <f>IF(AND($A191&gt;=SYear_O,$A191&lt;=EYear_O,Q$3&gt;0),IF($A191=SYear_O,Q$168*(1+Data_All!Q30%),Q190*(1+Data_All!Q30%)),"")</f>
        <v/>
      </c>
      <c r="R191" s="427" t="str">
        <f>IF(AND($A191&gt;=SYear_O,$A191&lt;=EYear_O,R$3&gt;0),IF($A191=SYear_O,R$168*(1+Data_All!R30%),R190*(1+Data_All!R30%)),"")</f>
        <v/>
      </c>
      <c r="S191" s="427" t="str">
        <f>IF(AND($A191&gt;=SYear_O,$A191&lt;=EYear_O,S$3&gt;0),IF($A191=SYear_O,S$168*(1+Data_All!S30%),S190*(1+Data_All!S30%)),"")</f>
        <v/>
      </c>
      <c r="T191" s="427" t="str">
        <f>IF(AND($A191&gt;=SYear_O,$A191&lt;=EYear_O,T$3&gt;0),IF($A191=SYear_O,T$168*(1+Data_All!T30%),T190*(1+Data_All!T30%)),"")</f>
        <v/>
      </c>
      <c r="U191" s="427" t="str">
        <f>IF(AND($A191&gt;=SYear_O,$A191&lt;=EYear_O,U$3&gt;0),IF($A191=SYear_O,U$168*(1+Data_All!U30%),U190*(1+Data_All!U30%)),"")</f>
        <v/>
      </c>
      <c r="V191" s="427" t="str">
        <f>IF(AND($A191&gt;=SYear_O,$A191&lt;=EYear_O,V$3&gt;0),IF($A191=SYear_O,V$168*(1+Data_All!V30%),V190*(1+Data_All!V30%)),"")</f>
        <v/>
      </c>
      <c r="W191" s="427" t="str">
        <f>IF(AND($A191&gt;=SYear_O,$A191&lt;=EYear_O,W$3&gt;0),IF($A191=SYear_O,W$168*(1+Data_All!W30%),W190*(1+Data_All!W30%)),"")</f>
        <v/>
      </c>
      <c r="X191" s="427" t="str">
        <f>IF(AND($A191&gt;=SYear_O,$A191&lt;=EYear_O,X$3&gt;0),IF($A191=SYear_O,X$168*(1+Data_All!X30%),X190*(1+Data_All!X30%)),"")</f>
        <v/>
      </c>
      <c r="Y191" s="427" t="str">
        <f>IF(AND($A191&gt;=SYear_O,$A191&lt;=EYear_O,Y$3&gt;0),IF($A191=SYear_O,Y$168*(1+Data_All!Y30%),Y190*(1+Data_All!Y30%)),"")</f>
        <v/>
      </c>
      <c r="Z191" s="427" t="str">
        <f>IF(AND($A191&gt;=SYear_O,$A191&lt;=EYear_O,Z$3&gt;0),IF($A191=SYear_O,Z$168*(1+Data_All!Z30%),Z190*(1+Data_All!Z30%)),"")</f>
        <v/>
      </c>
      <c r="AA191" s="427" t="str">
        <f>IF(AND($A191&gt;=SYear_O,$A191&lt;=EYear_O,AA$3&gt;0),IF($A191=SYear_O,AA$168*(1+Data_All!AA30%),AA190*(1+Data_All!AA30%)),"")</f>
        <v/>
      </c>
      <c r="AB191" s="427" t="str">
        <f>IF(AND($A191&gt;=SYear_O,$A191&lt;=EYear_O,AB$3&gt;0),IF($A191=SYear_O,AB$168*(1+Data_All!AB30%),AB190*(1+Data_All!AB30%)),"")</f>
        <v/>
      </c>
      <c r="AC191" s="427" t="str">
        <f>IF(AND($A191&gt;=SYear_O,$A191&lt;=EYear_O,AC$3&gt;0),IF($A191=SYear_O,AC$168*(1+Data_All!AC30%),AC190*(1+Data_All!AC30%)),"")</f>
        <v/>
      </c>
      <c r="AD191" s="427" t="str">
        <f>IF(AND($A191&gt;=SYear_O,$A191&lt;=EYear_O,AD$3&gt;0),IF($A191=SYear_O,AD$168*(1+Data_All!AD30%),AD190*(1+Data_All!AD30%)),"")</f>
        <v/>
      </c>
      <c r="AE191" s="427" t="str">
        <f>IF(AND($A191&gt;=SYear_O,$A191&lt;=EYear_O,AE$3&gt;0),IF($A191=SYear_O,AE$168*(1+Data_All!AE30%),AE190*(1+Data_All!AE30%)),"")</f>
        <v/>
      </c>
      <c r="AF191" s="427" t="str">
        <f>IF(AND($A191&gt;=SYear_O,$A191&lt;=EYear_O,AF$3&gt;0),IF($A191=SYear_O,AF$168*(1+Data_All!AF30%),AF190*(1+Data_All!AF30%)),"")</f>
        <v/>
      </c>
      <c r="AG191" s="427" t="str">
        <f>IF(AND($A191&gt;=SYear_O,$A191&lt;=EYear_O,AG$3&gt;0),IF($A191=SYear_O,AG$168*(1+Data_All!AG30%),AG190*(1+Data_All!AG30%)),"")</f>
        <v/>
      </c>
      <c r="AH191" s="427" t="str">
        <f>IF(AND($A191&gt;=SYear_O,$A191&lt;=EYear_O,AH$3&gt;0),IF($A191=SYear_O,AH$168*(1+Data_All!AH30%),AH190*(1+Data_All!AH30%)),"")</f>
        <v/>
      </c>
      <c r="AI191" s="427" t="str">
        <f>IF(AND($A191&gt;=SYear_O,$A191&lt;=EYear_O,AI$3&gt;0),IF($A191=SYear_O,AI$168*(1+Data_All!AI30%),AI190*(1+Data_All!AI30%)),"")</f>
        <v/>
      </c>
      <c r="AJ191" s="427" t="str">
        <f>IF(AND($A191&gt;=SYear_O,$A191&lt;=EYear_O,AJ$3&gt;0),IF($A191=SYear_O,AJ$168*(1+Data_All!AJ30%),AJ190*(1+Data_All!AJ30%)),"")</f>
        <v/>
      </c>
      <c r="AK191" s="427" t="str">
        <f>IF(AND($A191&gt;=SYear_O,$A191&lt;=EYear_O,AK$3&gt;0),IF($A191=SYear_O,AK$168*(1+Data_All!AK30%),AK190*(1+Data_All!AK30%)),"")</f>
        <v/>
      </c>
      <c r="AL191" s="427" t="str">
        <f>IF(AND($A191&gt;=SYear_O,$A191&lt;=EYear_O,AL$3&gt;0),IF($A191=SYear_O,AL$168*(1+Data_All!AL30%),AL190*(1+Data_All!AL30%)),"")</f>
        <v/>
      </c>
      <c r="AM191" s="427" t="str">
        <f>IF(AND($A191&gt;=SYear_O,$A191&lt;=EYear_O,AM$3&gt;0),IF($A191=SYear_O,AM$168*(1+Data_All!AM30%),AM190*(1+Data_All!AM30%)),"")</f>
        <v/>
      </c>
      <c r="AN191" s="427" t="str">
        <f>IF(AND($A191&gt;=SYear_O,$A191&lt;=EYear_O,AN$3&gt;0),IF($A191=SYear_O,AN$168*(1+Data_All!AN30%),AN190*(1+Data_All!AN30%)),"")</f>
        <v/>
      </c>
      <c r="AO191" s="427" t="str">
        <f>IF(AND($A191&gt;=SYear_O,$A191&lt;=EYear_O,AO$3&gt;0),IF($A191=SYear_O,AO$168*(1+Data_All!AO30%),AO190*(1+Data_All!AO30%)),"")</f>
        <v/>
      </c>
      <c r="AP191" s="427" t="str">
        <f>IF(AND($A191&gt;=SYear_O,$A191&lt;=EYear_O,AP$3&gt;0),IF($A191=SYear_O,AP$168*(1+Data_All!AP30%),AP190*(1+Data_All!AP30%)),"")</f>
        <v/>
      </c>
      <c r="AQ191" s="427" t="str">
        <f>IF(AND($A191&gt;=SYear_O,$A191&lt;=EYear_O,AQ$3&gt;0),IF($A191=SYear_O,AQ$168*(1+Data_All!AQ30%),AQ190*(1+Data_All!AQ30%)),"")</f>
        <v/>
      </c>
      <c r="AR191" s="427" t="str">
        <f>IF(AND($A191&gt;=SYear_O,$A191&lt;=EYear_O,AR$3&gt;0),IF($A191=SYear_O,AR$168*(1+Data_All!AR30%),AR190*(1+Data_All!AR30%)),"")</f>
        <v/>
      </c>
      <c r="AS191" s="427" t="str">
        <f>IF(AND($A191&gt;=SYear_O,$A191&lt;=EYear_O,AS$3&gt;0),IF($A191=SYear_O,AS$168*(1+Data_All!AS30%),AS190*(1+Data_All!AS30%)),"")</f>
        <v/>
      </c>
      <c r="AT191" s="427" t="str">
        <f>IF(AND($A191&gt;=SYear_O,$A191&lt;=EYear_O,AT$3&gt;0),IF($A191=SYear_O,AT$168*(1+Data_All!AT30%),AT190*(1+Data_All!AT30%)),"")</f>
        <v/>
      </c>
      <c r="AU191" s="427" t="str">
        <f>IF(AND($A191&gt;=SYear_O,$A191&lt;=EYear_O,AU$3&gt;0),IF($A191=SYear_O,AU$168*(1+Data_All!AU30%),AU190*(1+Data_All!AU30%)),"")</f>
        <v/>
      </c>
      <c r="AV191" s="427" t="str">
        <f>IF(AND($A191&gt;=SYear_O,$A191&lt;=EYear_O,AV$3&gt;0),IF($A191=SYear_O,AV$168*(1+Data_All!AV30%),AV190*(1+Data_All!AV30%)),"")</f>
        <v/>
      </c>
      <c r="AW191" s="427" t="str">
        <f>IF(AND($A191&gt;=SYear_O,$A191&lt;=EYear_O,AW$3&gt;0),IF($A191=SYear_O,AW$168*(1+Data_All!AW30%),AW190*(1+Data_All!AW30%)),"")</f>
        <v/>
      </c>
      <c r="AX191" s="427" t="str">
        <f>IF(AND($A191&gt;=SYear_O,$A191&lt;=EYear_O,AX$3&gt;0),IF($A191=SYear_O,AX$168*(1+Data_All!AX30%),AX190*(1+Data_All!AX30%)),"")</f>
        <v/>
      </c>
      <c r="AY191" s="427" t="str">
        <f>IF(AND($A191&gt;=SYear_O,$A191&lt;=EYear_O,AY$3&gt;0),IF($A191=SYear_O,AY$168*(1+Data_All!AY30%),AY190*(1+Data_All!AY30%)),"")</f>
        <v/>
      </c>
      <c r="AZ191" s="427" t="str">
        <f>IF(AND($A191&gt;=SYear_O,$A191&lt;=EYear_O,AZ$3&gt;0),IF($A191=SYear_O,AZ$168*(1+Data_All!AZ30%),AZ190*(1+Data_All!AZ30%)),"")</f>
        <v/>
      </c>
      <c r="BA191" s="427" t="str">
        <f>IF(AND($A191&gt;=SYear_O,$A191&lt;=EYear_O,BA$3&gt;0),IF($A191=SYear_O,BA$168*(1+Data_All!BA30%),BA190*(1+Data_All!BA30%)),"")</f>
        <v/>
      </c>
      <c r="BB191" s="427" t="str">
        <f>IF(AND($A191&gt;=SYear_O,$A191&lt;=EYear_O,BB$3&gt;0),IF($A191=SYear_O,BB$168*(1+Data_All!BB30%),BB190*(1+Data_All!BB30%)),"")</f>
        <v/>
      </c>
      <c r="BC191" s="427" t="str">
        <f>IF(AND($A191&gt;=SYear_O,$A191&lt;=EYear_O,BC$3&gt;0),IF($A191=SYear_O,BC$168*(1+Data_All!BC30%),BC190*(1+Data_All!BC30%)),"")</f>
        <v/>
      </c>
      <c r="BD191" s="427" t="str">
        <f>IF(AND($A191&gt;=SYear_O,$A191&lt;=EYear_O,BD$3&gt;0),IF($A191=SYear_O,BD$168*(1+Data_All!BD30%),BD190*(1+Data_All!BD30%)),"")</f>
        <v/>
      </c>
      <c r="BE191" s="427" t="str">
        <f>IF(AND($A191&gt;=SYear_O,$A191&lt;=EYear_O,BE$3&gt;0),IF($A191=SYear_O,BE$168*(1+Data_All!BE30%),BE190*(1+Data_All!BE30%)),"")</f>
        <v/>
      </c>
      <c r="BF191" s="427" t="str">
        <f>IF(AND($A191&gt;=SYear_O,$A191&lt;=EYear_O,BF$3&gt;0),IF($A191=SYear_O,BF$168*(1+Data_All!BF30%),BF190*(1+Data_All!BF30%)),"")</f>
        <v/>
      </c>
      <c r="BG191" s="427" t="str">
        <f>IF(AND($A191&gt;=SYear_O,$A191&lt;=EYear_O,BG$3&gt;0),IF($A191=SYear_O,BG$168*(1+Data_All!BG30%),BG190*(1+Data_All!BG30%)),"")</f>
        <v/>
      </c>
      <c r="BH191" s="427" t="str">
        <f>IF(AND($A191&gt;=SYear_O,$A191&lt;=EYear_O,BH$3&gt;0),IF($A191=SYear_O,BH$168*(1+Data_All!BH30%),BH190*(1+Data_All!BH30%)),"")</f>
        <v/>
      </c>
      <c r="BI191" s="427" t="str">
        <f>IF(AND($A191&gt;=SYear_O,$A191&lt;=EYear_O,BI$3&gt;0),IF($A191=SYear_O,BI$168*(1+Data_All!BI30%),BI190*(1+Data_All!BI30%)),"")</f>
        <v/>
      </c>
      <c r="BJ191" s="427" t="str">
        <f>IF(AND($A191&gt;=SYear_O,$A191&lt;=EYear_O,BJ$3&gt;0),IF($A191=SYear_O,BJ$168*(1+Data_All!BJ30%),BJ190*(1+Data_All!BJ30%)),"")</f>
        <v/>
      </c>
      <c r="BK191" s="427" t="str">
        <f>IF(AND($A191&gt;=SYear_O,$A191&lt;=EYear_O,BK$3&gt;0),IF($A191=SYear_O,BK$168*(1+Data_All!BK30%),BK190*(1+Data_All!BK30%)),"")</f>
        <v/>
      </c>
      <c r="BL191" s="427" t="str">
        <f>IF(AND($A191&gt;=SYear_O,$A191&lt;=EYear_O,BL$3&gt;0),IF($A191=SYear_O,BL$168*(1+Data_All!BL30%),BL190*(1+Data_All!BL30%)),"")</f>
        <v/>
      </c>
      <c r="BM191" s="427" t="str">
        <f>IF(AND($A191&gt;=SYear_O,$A191&lt;=EYear_O,BM$3&gt;0),IF($A191=SYear_O,BM$168*(1+Data_All!BM30%),BM190*(1+Data_All!BM30%)),"")</f>
        <v/>
      </c>
      <c r="BN191" s="427" t="str">
        <f>IF(AND($A191&gt;=SYear_O,$A191&lt;=EYear_O,BN$3&gt;0),IF($A191=SYear_O,BN$168*(1+Data_All!BN30%),BN190*(1+Data_All!BN30%)),"")</f>
        <v/>
      </c>
      <c r="BO191" s="427" t="str">
        <f>IF(AND($A191&gt;=SYear_O,$A191&lt;=EYear_O,BO$3&gt;0),IF($A191=SYear_O,BO$168*(1+Data_All!BO30%),BO190*(1+Data_All!BO30%)),"")</f>
        <v/>
      </c>
      <c r="BP191" s="427" t="str">
        <f>IF(AND($A191&gt;=SYear_O,$A191&lt;=EYear_O,BP$3&gt;0),IF($A191=SYear_O,BP$168*(1+Data_All!BP30%),BP190*(1+Data_All!BP30%)),"")</f>
        <v/>
      </c>
      <c r="BQ191" s="427" t="str">
        <f>IF(AND($A191&gt;=SYear_O,$A191&lt;=EYear_O,BQ$3&gt;0),IF($A191=SYear_O,BQ$168*(1+Data_All!BQ30%),BQ190*(1+Data_All!BQ30%)),"")</f>
        <v/>
      </c>
      <c r="BR191" s="427" t="str">
        <f>IF(AND($A191&gt;=SYear_O,$A191&lt;=EYear_O,BR$3&gt;0),IF($A191=SYear_O,BR$168*(1+Data_All!BR30%),BR190*(1+Data_All!BR30%)),"")</f>
        <v/>
      </c>
      <c r="BS191" s="427" t="str">
        <f>IF(AND($A191&gt;=SYear_O,$A191&lt;=EYear_O,BS$3&gt;0),IF($A191=SYear_O,BS$168*(1+Data_All!BS30%),BS190*(1+Data_All!BS30%)),"")</f>
        <v/>
      </c>
      <c r="BT191" s="427" t="str">
        <f>IF(AND($A191&gt;=SYear_O,$A191&lt;=EYear_O,BT$3&gt;0),IF($A191=SYear_O,BT$168*(1+Data_All!BT30%),BT190*(1+Data_All!BT30%)),"")</f>
        <v/>
      </c>
      <c r="BU191" s="427" t="str">
        <f>IF(AND($A191&gt;=SYear_O,$A191&lt;=EYear_O,BU$3&gt;0),IF($A191=SYear_O,BU$168*(1+Data_All!BU30%),BU190*(1+Data_All!BU30%)),"")</f>
        <v/>
      </c>
      <c r="BV191" s="427" t="str">
        <f>IF(AND($A191&gt;=SYear_O,$A191&lt;=EYear_O,BV$3&gt;0),IF($A191=SYear_O,BV$168*(1+Data_All!BV30%),BV190*(1+Data_All!BV30%)),"")</f>
        <v/>
      </c>
      <c r="BW191" s="427" t="str">
        <f>IF(AND($A191&gt;=SYear_O,$A191&lt;=EYear_O,BW$3&gt;0),IF($A191=SYear_O,BW$168*(1+Data_All!BW30%),BW190*(1+Data_All!BW30%)),"")</f>
        <v/>
      </c>
      <c r="BX191" s="427">
        <f>IF(AND($A191&gt;=SYear_O,$A191&lt;=EYear_O,BX$3&gt;0),IF($A191=SYear_O,BX$168*(1+Data_All!BX30%),BX190*(1+Data_All!BX30%)),"")</f>
        <v>19627.117864052587</v>
      </c>
      <c r="BY191" s="427">
        <f>IF(AND($A191&gt;=SYear_O,$A191&lt;=EYear_O,BY$3&gt;0),IF($A191=SYear_O,BY$168*(1+Data_All!BY30%),BY190*(1+Data_All!BY30%)),"")</f>
        <v>10815.244209500237</v>
      </c>
      <c r="BZ191" s="427" t="str">
        <f>IF(AND($A191&gt;=SYear_O,$A191&lt;=EYear_O,BZ$3&gt;0),IF($A191=SYear_O,BZ$168*(1+Data_All!BZ30%),BZ190*(1+Data_All!BZ30%)),"")</f>
        <v/>
      </c>
      <c r="CA191" s="565">
        <f t="shared" si="92"/>
        <v>-9.5248553214997465</v>
      </c>
      <c r="CB191" s="427">
        <f t="shared" si="93"/>
        <v>30442.362073552824</v>
      </c>
      <c r="CC191" s="565">
        <f>IF(AND($A191&gt;=SYear_O,$A191&lt;=EYear_O),(CA191-Data_All!CA30)/(1+Data_All!CA30%),"")</f>
        <v>4.2978148639868543</v>
      </c>
      <c r="CD191" s="436">
        <f t="shared" si="94"/>
        <v>55388.128132685655</v>
      </c>
      <c r="CE191" s="438">
        <f t="shared" si="95"/>
        <v>2.7610990663306554</v>
      </c>
      <c r="CF191" s="438">
        <f>IF(AND($A191&gt;=SYear_O,$A191&lt;=EYear_O),MAX($CE$169:CE191),"")</f>
        <v>3.0517763482358702</v>
      </c>
      <c r="CG191" s="209">
        <f t="shared" si="96"/>
        <v>9.5248553214997478E-2</v>
      </c>
      <c r="CN191" s="61">
        <f t="shared" si="97"/>
        <v>-9.5248553214997478E-2</v>
      </c>
      <c r="CO191" s="61">
        <f t="shared" si="98"/>
        <v>-1.2304347471022936E-2</v>
      </c>
      <c r="CP191" s="61">
        <f t="shared" si="99"/>
        <v>2.8661136872561999E-2</v>
      </c>
      <c r="CQ191" s="61">
        <f t="shared" si="100"/>
        <v>7.421538506405434E-2</v>
      </c>
      <c r="CR191" s="61">
        <f t="shared" si="101"/>
        <v>5.182725074491179E-2</v>
      </c>
      <c r="CU191" s="61">
        <f t="shared" si="102"/>
        <v>4.2978148639868596E-2</v>
      </c>
      <c r="CV191" s="61">
        <f t="shared" si="103"/>
        <v>4.5401802741494413E-2</v>
      </c>
      <c r="CW191" s="61">
        <f t="shared" si="104"/>
        <v>6.431061555535722E-2</v>
      </c>
      <c r="CX191" s="61">
        <f t="shared" si="105"/>
        <v>6.437587689665647E-2</v>
      </c>
      <c r="CY191" s="61">
        <f t="shared" si="106"/>
        <v>4.5394445725760901E-2</v>
      </c>
    </row>
    <row r="192" spans="1:103">
      <c r="A192" s="204">
        <f t="shared" si="107"/>
        <v>1894</v>
      </c>
      <c r="B192" s="427" t="str">
        <f>IF(AND($A192&gt;=SYear_O,$A192&lt;=EYear_O,B$3&gt;0),IF($A192=SYear_O,B$168*(1+Data_All!B31%),B191*(1+Data_All!B31%)),"")</f>
        <v/>
      </c>
      <c r="C192" s="427" t="str">
        <f>IF(AND($A192&gt;=SYear_O,$A192&lt;=EYear_O,C$3&gt;0),IF($A192=SYear_O,C$168*(1+Data_All!C31%),C191*(1+Data_All!C31%)),"")</f>
        <v/>
      </c>
      <c r="D192" s="427" t="str">
        <f>IF(AND($A192&gt;=SYear_O,$A192&lt;=EYear_O,D$3&gt;0),IF($A192=SYear_O,D$168*(1+Data_All!D31%),D191*(1+Data_All!D31%)),"")</f>
        <v/>
      </c>
      <c r="E192" s="427" t="str">
        <f>IF(AND($A192&gt;=SYear_O,$A192&lt;=EYear_O,E$3&gt;0),IF($A192=SYear_O,E$168*(1+Data_All!E31%),E191*(1+Data_All!E31%)),"")</f>
        <v/>
      </c>
      <c r="F192" s="427" t="str">
        <f>IF(AND($A192&gt;=SYear_O,$A192&lt;=EYear_O,F$3&gt;0),IF($A192=SYear_O,F$168*(1+Data_All!F31%),F191*(1+Data_All!F31%)),"")</f>
        <v/>
      </c>
      <c r="G192" s="427" t="str">
        <f>IF(AND($A192&gt;=SYear_O,$A192&lt;=EYear_O,G$3&gt;0),IF($A192=SYear_O,G$168*(1+Data_All!G31%),G191*(1+Data_All!G31%)),"")</f>
        <v/>
      </c>
      <c r="H192" s="427" t="str">
        <f>IF(AND($A192&gt;=SYear_O,$A192&lt;=EYear_O,H$3&gt;0),IF($A192=SYear_O,H$168*(1+Data_All!H31%),H191*(1+Data_All!H31%)),"")</f>
        <v/>
      </c>
      <c r="I192" s="427" t="str">
        <f>IF(AND($A192&gt;=SYear_O,$A192&lt;=EYear_O,I$3&gt;0),IF($A192=SYear_O,I$168*(1+Data_All!I31%),I191*(1+Data_All!I31%)),"")</f>
        <v/>
      </c>
      <c r="J192" s="427" t="str">
        <f>IF(AND($A192&gt;=SYear_O,$A192&lt;=EYear_O,J$3&gt;0),IF($A192=SYear_O,J$168*(1+Data_All!J31%),J191*(1+Data_All!J31%)),"")</f>
        <v/>
      </c>
      <c r="K192" s="427" t="str">
        <f>IF(AND($A192&gt;=SYear_O,$A192&lt;=EYear_O,K$3&gt;0),IF($A192=SYear_O,K$168*(1+Data_All!K31%),K191*(1+Data_All!K31%)),"")</f>
        <v/>
      </c>
      <c r="L192" s="427" t="str">
        <f>IF(AND($A192&gt;=SYear_O,$A192&lt;=EYear_O,L$3&gt;0),IF($A192=SYear_O,L$168*(1+Data_All!L31%),L191*(1+Data_All!L31%)),"")</f>
        <v/>
      </c>
      <c r="M192" s="427" t="str">
        <f>IF(AND($A192&gt;=SYear_O,$A192&lt;=EYear_O,M$3&gt;0),IF($A192=SYear_O,M$168*(1+Data_All!M31%),M191*(1+Data_All!M31%)),"")</f>
        <v/>
      </c>
      <c r="N192" s="427" t="str">
        <f>IF(AND($A192&gt;=SYear_O,$A192&lt;=EYear_O,N$3&gt;0),IF($A192=SYear_O,N$168*(1+Data_All!N31%),N191*(1+Data_All!N31%)),"")</f>
        <v/>
      </c>
      <c r="O192" s="427" t="str">
        <f>IF(AND($A192&gt;=SYear_O,$A192&lt;=EYear_O,O$3&gt;0),IF($A192=SYear_O,O$168*(1+Data_All!O31%),O191*(1+Data_All!O31%)),"")</f>
        <v/>
      </c>
      <c r="P192" s="427" t="str">
        <f>IF(AND($A192&gt;=SYear_O,$A192&lt;=EYear_O,P$3&gt;0),IF($A192=SYear_O,P$168*(1+Data_All!P31%),P191*(1+Data_All!P31%)),"")</f>
        <v/>
      </c>
      <c r="Q192" s="427" t="str">
        <f>IF(AND($A192&gt;=SYear_O,$A192&lt;=EYear_O,Q$3&gt;0),IF($A192=SYear_O,Q$168*(1+Data_All!Q31%),Q191*(1+Data_All!Q31%)),"")</f>
        <v/>
      </c>
      <c r="R192" s="427" t="str">
        <f>IF(AND($A192&gt;=SYear_O,$A192&lt;=EYear_O,R$3&gt;0),IF($A192=SYear_O,R$168*(1+Data_All!R31%),R191*(1+Data_All!R31%)),"")</f>
        <v/>
      </c>
      <c r="S192" s="427" t="str">
        <f>IF(AND($A192&gt;=SYear_O,$A192&lt;=EYear_O,S$3&gt;0),IF($A192=SYear_O,S$168*(1+Data_All!S31%),S191*(1+Data_All!S31%)),"")</f>
        <v/>
      </c>
      <c r="T192" s="427" t="str">
        <f>IF(AND($A192&gt;=SYear_O,$A192&lt;=EYear_O,T$3&gt;0),IF($A192=SYear_O,T$168*(1+Data_All!T31%),T191*(1+Data_All!T31%)),"")</f>
        <v/>
      </c>
      <c r="U192" s="427" t="str">
        <f>IF(AND($A192&gt;=SYear_O,$A192&lt;=EYear_O,U$3&gt;0),IF($A192=SYear_O,U$168*(1+Data_All!U31%),U191*(1+Data_All!U31%)),"")</f>
        <v/>
      </c>
      <c r="V192" s="427" t="str">
        <f>IF(AND($A192&gt;=SYear_O,$A192&lt;=EYear_O,V$3&gt;0),IF($A192=SYear_O,V$168*(1+Data_All!V31%),V191*(1+Data_All!V31%)),"")</f>
        <v/>
      </c>
      <c r="W192" s="427" t="str">
        <f>IF(AND($A192&gt;=SYear_O,$A192&lt;=EYear_O,W$3&gt;0),IF($A192=SYear_O,W$168*(1+Data_All!W31%),W191*(1+Data_All!W31%)),"")</f>
        <v/>
      </c>
      <c r="X192" s="427" t="str">
        <f>IF(AND($A192&gt;=SYear_O,$A192&lt;=EYear_O,X$3&gt;0),IF($A192=SYear_O,X$168*(1+Data_All!X31%),X191*(1+Data_All!X31%)),"")</f>
        <v/>
      </c>
      <c r="Y192" s="427" t="str">
        <f>IF(AND($A192&gt;=SYear_O,$A192&lt;=EYear_O,Y$3&gt;0),IF($A192=SYear_O,Y$168*(1+Data_All!Y31%),Y191*(1+Data_All!Y31%)),"")</f>
        <v/>
      </c>
      <c r="Z192" s="427" t="str">
        <f>IF(AND($A192&gt;=SYear_O,$A192&lt;=EYear_O,Z$3&gt;0),IF($A192=SYear_O,Z$168*(1+Data_All!Z31%),Z191*(1+Data_All!Z31%)),"")</f>
        <v/>
      </c>
      <c r="AA192" s="427" t="str">
        <f>IF(AND($A192&gt;=SYear_O,$A192&lt;=EYear_O,AA$3&gt;0),IF($A192=SYear_O,AA$168*(1+Data_All!AA31%),AA191*(1+Data_All!AA31%)),"")</f>
        <v/>
      </c>
      <c r="AB192" s="427" t="str">
        <f>IF(AND($A192&gt;=SYear_O,$A192&lt;=EYear_O,AB$3&gt;0),IF($A192=SYear_O,AB$168*(1+Data_All!AB31%),AB191*(1+Data_All!AB31%)),"")</f>
        <v/>
      </c>
      <c r="AC192" s="427" t="str">
        <f>IF(AND($A192&gt;=SYear_O,$A192&lt;=EYear_O,AC$3&gt;0),IF($A192=SYear_O,AC$168*(1+Data_All!AC31%),AC191*(1+Data_All!AC31%)),"")</f>
        <v/>
      </c>
      <c r="AD192" s="427" t="str">
        <f>IF(AND($A192&gt;=SYear_O,$A192&lt;=EYear_O,AD$3&gt;0),IF($A192=SYear_O,AD$168*(1+Data_All!AD31%),AD191*(1+Data_All!AD31%)),"")</f>
        <v/>
      </c>
      <c r="AE192" s="427" t="str">
        <f>IF(AND($A192&gt;=SYear_O,$A192&lt;=EYear_O,AE$3&gt;0),IF($A192=SYear_O,AE$168*(1+Data_All!AE31%),AE191*(1+Data_All!AE31%)),"")</f>
        <v/>
      </c>
      <c r="AF192" s="427" t="str">
        <f>IF(AND($A192&gt;=SYear_O,$A192&lt;=EYear_O,AF$3&gt;0),IF($A192=SYear_O,AF$168*(1+Data_All!AF31%),AF191*(1+Data_All!AF31%)),"")</f>
        <v/>
      </c>
      <c r="AG192" s="427" t="str">
        <f>IF(AND($A192&gt;=SYear_O,$A192&lt;=EYear_O,AG$3&gt;0),IF($A192=SYear_O,AG$168*(1+Data_All!AG31%),AG191*(1+Data_All!AG31%)),"")</f>
        <v/>
      </c>
      <c r="AH192" s="427" t="str">
        <f>IF(AND($A192&gt;=SYear_O,$A192&lt;=EYear_O,AH$3&gt;0),IF($A192=SYear_O,AH$168*(1+Data_All!AH31%),AH191*(1+Data_All!AH31%)),"")</f>
        <v/>
      </c>
      <c r="AI192" s="427" t="str">
        <f>IF(AND($A192&gt;=SYear_O,$A192&lt;=EYear_O,AI$3&gt;0),IF($A192=SYear_O,AI$168*(1+Data_All!AI31%),AI191*(1+Data_All!AI31%)),"")</f>
        <v/>
      </c>
      <c r="AJ192" s="427" t="str">
        <f>IF(AND($A192&gt;=SYear_O,$A192&lt;=EYear_O,AJ$3&gt;0),IF($A192=SYear_O,AJ$168*(1+Data_All!AJ31%),AJ191*(1+Data_All!AJ31%)),"")</f>
        <v/>
      </c>
      <c r="AK192" s="427" t="str">
        <f>IF(AND($A192&gt;=SYear_O,$A192&lt;=EYear_O,AK$3&gt;0),IF($A192=SYear_O,AK$168*(1+Data_All!AK31%),AK191*(1+Data_All!AK31%)),"")</f>
        <v/>
      </c>
      <c r="AL192" s="427" t="str">
        <f>IF(AND($A192&gt;=SYear_O,$A192&lt;=EYear_O,AL$3&gt;0),IF($A192=SYear_O,AL$168*(1+Data_All!AL31%),AL191*(1+Data_All!AL31%)),"")</f>
        <v/>
      </c>
      <c r="AM192" s="427" t="str">
        <f>IF(AND($A192&gt;=SYear_O,$A192&lt;=EYear_O,AM$3&gt;0),IF($A192=SYear_O,AM$168*(1+Data_All!AM31%),AM191*(1+Data_All!AM31%)),"")</f>
        <v/>
      </c>
      <c r="AN192" s="427" t="str">
        <f>IF(AND($A192&gt;=SYear_O,$A192&lt;=EYear_O,AN$3&gt;0),IF($A192=SYear_O,AN$168*(1+Data_All!AN31%),AN191*(1+Data_All!AN31%)),"")</f>
        <v/>
      </c>
      <c r="AO192" s="427" t="str">
        <f>IF(AND($A192&gt;=SYear_O,$A192&lt;=EYear_O,AO$3&gt;0),IF($A192=SYear_O,AO$168*(1+Data_All!AO31%),AO191*(1+Data_All!AO31%)),"")</f>
        <v/>
      </c>
      <c r="AP192" s="427" t="str">
        <f>IF(AND($A192&gt;=SYear_O,$A192&lt;=EYear_O,AP$3&gt;0),IF($A192=SYear_O,AP$168*(1+Data_All!AP31%),AP191*(1+Data_All!AP31%)),"")</f>
        <v/>
      </c>
      <c r="AQ192" s="427" t="str">
        <f>IF(AND($A192&gt;=SYear_O,$A192&lt;=EYear_O,AQ$3&gt;0),IF($A192=SYear_O,AQ$168*(1+Data_All!AQ31%),AQ191*(1+Data_All!AQ31%)),"")</f>
        <v/>
      </c>
      <c r="AR192" s="427" t="str">
        <f>IF(AND($A192&gt;=SYear_O,$A192&lt;=EYear_O,AR$3&gt;0),IF($A192=SYear_O,AR$168*(1+Data_All!AR31%),AR191*(1+Data_All!AR31%)),"")</f>
        <v/>
      </c>
      <c r="AS192" s="427" t="str">
        <f>IF(AND($A192&gt;=SYear_O,$A192&lt;=EYear_O,AS$3&gt;0),IF($A192=SYear_O,AS$168*(1+Data_All!AS31%),AS191*(1+Data_All!AS31%)),"")</f>
        <v/>
      </c>
      <c r="AT192" s="427" t="str">
        <f>IF(AND($A192&gt;=SYear_O,$A192&lt;=EYear_O,AT$3&gt;0),IF($A192=SYear_O,AT$168*(1+Data_All!AT31%),AT191*(1+Data_All!AT31%)),"")</f>
        <v/>
      </c>
      <c r="AU192" s="427" t="str">
        <f>IF(AND($A192&gt;=SYear_O,$A192&lt;=EYear_O,AU$3&gt;0),IF($A192=SYear_O,AU$168*(1+Data_All!AU31%),AU191*(1+Data_All!AU31%)),"")</f>
        <v/>
      </c>
      <c r="AV192" s="427" t="str">
        <f>IF(AND($A192&gt;=SYear_O,$A192&lt;=EYear_O,AV$3&gt;0),IF($A192=SYear_O,AV$168*(1+Data_All!AV31%),AV191*(1+Data_All!AV31%)),"")</f>
        <v/>
      </c>
      <c r="AW192" s="427" t="str">
        <f>IF(AND($A192&gt;=SYear_O,$A192&lt;=EYear_O,AW$3&gt;0),IF($A192=SYear_O,AW$168*(1+Data_All!AW31%),AW191*(1+Data_All!AW31%)),"")</f>
        <v/>
      </c>
      <c r="AX192" s="427" t="str">
        <f>IF(AND($A192&gt;=SYear_O,$A192&lt;=EYear_O,AX$3&gt;0),IF($A192=SYear_O,AX$168*(1+Data_All!AX31%),AX191*(1+Data_All!AX31%)),"")</f>
        <v/>
      </c>
      <c r="AY192" s="427" t="str">
        <f>IF(AND($A192&gt;=SYear_O,$A192&lt;=EYear_O,AY$3&gt;0),IF($A192=SYear_O,AY$168*(1+Data_All!AY31%),AY191*(1+Data_All!AY31%)),"")</f>
        <v/>
      </c>
      <c r="AZ192" s="427" t="str">
        <f>IF(AND($A192&gt;=SYear_O,$A192&lt;=EYear_O,AZ$3&gt;0),IF($A192=SYear_O,AZ$168*(1+Data_All!AZ31%),AZ191*(1+Data_All!AZ31%)),"")</f>
        <v/>
      </c>
      <c r="BA192" s="427" t="str">
        <f>IF(AND($A192&gt;=SYear_O,$A192&lt;=EYear_O,BA$3&gt;0),IF($A192=SYear_O,BA$168*(1+Data_All!BA31%),BA191*(1+Data_All!BA31%)),"")</f>
        <v/>
      </c>
      <c r="BB192" s="427" t="str">
        <f>IF(AND($A192&gt;=SYear_O,$A192&lt;=EYear_O,BB$3&gt;0),IF($A192=SYear_O,BB$168*(1+Data_All!BB31%),BB191*(1+Data_All!BB31%)),"")</f>
        <v/>
      </c>
      <c r="BC192" s="427" t="str">
        <f>IF(AND($A192&gt;=SYear_O,$A192&lt;=EYear_O,BC$3&gt;0),IF($A192=SYear_O,BC$168*(1+Data_All!BC31%),BC191*(1+Data_All!BC31%)),"")</f>
        <v/>
      </c>
      <c r="BD192" s="427" t="str">
        <f>IF(AND($A192&gt;=SYear_O,$A192&lt;=EYear_O,BD$3&gt;0),IF($A192=SYear_O,BD$168*(1+Data_All!BD31%),BD191*(1+Data_All!BD31%)),"")</f>
        <v/>
      </c>
      <c r="BE192" s="427" t="str">
        <f>IF(AND($A192&gt;=SYear_O,$A192&lt;=EYear_O,BE$3&gt;0),IF($A192=SYear_O,BE$168*(1+Data_All!BE31%),BE191*(1+Data_All!BE31%)),"")</f>
        <v/>
      </c>
      <c r="BF192" s="427" t="str">
        <f>IF(AND($A192&gt;=SYear_O,$A192&lt;=EYear_O,BF$3&gt;0),IF($A192=SYear_O,BF$168*(1+Data_All!BF31%),BF191*(1+Data_All!BF31%)),"")</f>
        <v/>
      </c>
      <c r="BG192" s="427" t="str">
        <f>IF(AND($A192&gt;=SYear_O,$A192&lt;=EYear_O,BG$3&gt;0),IF($A192=SYear_O,BG$168*(1+Data_All!BG31%),BG191*(1+Data_All!BG31%)),"")</f>
        <v/>
      </c>
      <c r="BH192" s="427" t="str">
        <f>IF(AND($A192&gt;=SYear_O,$A192&lt;=EYear_O,BH$3&gt;0),IF($A192=SYear_O,BH$168*(1+Data_All!BH31%),BH191*(1+Data_All!BH31%)),"")</f>
        <v/>
      </c>
      <c r="BI192" s="427" t="str">
        <f>IF(AND($A192&gt;=SYear_O,$A192&lt;=EYear_O,BI$3&gt;0),IF($A192=SYear_O,BI$168*(1+Data_All!BI31%),BI191*(1+Data_All!BI31%)),"")</f>
        <v/>
      </c>
      <c r="BJ192" s="427" t="str">
        <f>IF(AND($A192&gt;=SYear_O,$A192&lt;=EYear_O,BJ$3&gt;0),IF($A192=SYear_O,BJ$168*(1+Data_All!BJ31%),BJ191*(1+Data_All!BJ31%)),"")</f>
        <v/>
      </c>
      <c r="BK192" s="427" t="str">
        <f>IF(AND($A192&gt;=SYear_O,$A192&lt;=EYear_O,BK$3&gt;0),IF($A192=SYear_O,BK$168*(1+Data_All!BK31%),BK191*(1+Data_All!BK31%)),"")</f>
        <v/>
      </c>
      <c r="BL192" s="427" t="str">
        <f>IF(AND($A192&gt;=SYear_O,$A192&lt;=EYear_O,BL$3&gt;0),IF($A192=SYear_O,BL$168*(1+Data_All!BL31%),BL191*(1+Data_All!BL31%)),"")</f>
        <v/>
      </c>
      <c r="BM192" s="427" t="str">
        <f>IF(AND($A192&gt;=SYear_O,$A192&lt;=EYear_O,BM$3&gt;0),IF($A192=SYear_O,BM$168*(1+Data_All!BM31%),BM191*(1+Data_All!BM31%)),"")</f>
        <v/>
      </c>
      <c r="BN192" s="427" t="str">
        <f>IF(AND($A192&gt;=SYear_O,$A192&lt;=EYear_O,BN$3&gt;0),IF($A192=SYear_O,BN$168*(1+Data_All!BN31%),BN191*(1+Data_All!BN31%)),"")</f>
        <v/>
      </c>
      <c r="BO192" s="427" t="str">
        <f>IF(AND($A192&gt;=SYear_O,$A192&lt;=EYear_O,BO$3&gt;0),IF($A192=SYear_O,BO$168*(1+Data_All!BO31%),BO191*(1+Data_All!BO31%)),"")</f>
        <v/>
      </c>
      <c r="BP192" s="427" t="str">
        <f>IF(AND($A192&gt;=SYear_O,$A192&lt;=EYear_O,BP$3&gt;0),IF($A192=SYear_O,BP$168*(1+Data_All!BP31%),BP191*(1+Data_All!BP31%)),"")</f>
        <v/>
      </c>
      <c r="BQ192" s="427" t="str">
        <f>IF(AND($A192&gt;=SYear_O,$A192&lt;=EYear_O,BQ$3&gt;0),IF($A192=SYear_O,BQ$168*(1+Data_All!BQ31%),BQ191*(1+Data_All!BQ31%)),"")</f>
        <v/>
      </c>
      <c r="BR192" s="427" t="str">
        <f>IF(AND($A192&gt;=SYear_O,$A192&lt;=EYear_O,BR$3&gt;0),IF($A192=SYear_O,BR$168*(1+Data_All!BR31%),BR191*(1+Data_All!BR31%)),"")</f>
        <v/>
      </c>
      <c r="BS192" s="427" t="str">
        <f>IF(AND($A192&gt;=SYear_O,$A192&lt;=EYear_O,BS$3&gt;0),IF($A192=SYear_O,BS$168*(1+Data_All!BS31%),BS191*(1+Data_All!BS31%)),"")</f>
        <v/>
      </c>
      <c r="BT192" s="427" t="str">
        <f>IF(AND($A192&gt;=SYear_O,$A192&lt;=EYear_O,BT$3&gt;0),IF($A192=SYear_O,BT$168*(1+Data_All!BT31%),BT191*(1+Data_All!BT31%)),"")</f>
        <v/>
      </c>
      <c r="BU192" s="427" t="str">
        <f>IF(AND($A192&gt;=SYear_O,$A192&lt;=EYear_O,BU$3&gt;0),IF($A192=SYear_O,BU$168*(1+Data_All!BU31%),BU191*(1+Data_All!BU31%)),"")</f>
        <v/>
      </c>
      <c r="BV192" s="427" t="str">
        <f>IF(AND($A192&gt;=SYear_O,$A192&lt;=EYear_O,BV$3&gt;0),IF($A192=SYear_O,BV$168*(1+Data_All!BV31%),BV191*(1+Data_All!BV31%)),"")</f>
        <v/>
      </c>
      <c r="BW192" s="427" t="str">
        <f>IF(AND($A192&gt;=SYear_O,$A192&lt;=EYear_O,BW$3&gt;0),IF($A192=SYear_O,BW$168*(1+Data_All!BW31%),BW191*(1+Data_All!BW31%)),"")</f>
        <v/>
      </c>
      <c r="BX192" s="427">
        <f>IF(AND($A192&gt;=SYear_O,$A192&lt;=EYear_O,BX$3&gt;0),IF($A192=SYear_O,BX$168*(1+Data_All!BX31%),BX191*(1+Data_All!BX31%)),"")</f>
        <v>20263.181868906144</v>
      </c>
      <c r="BY192" s="427">
        <f>IF(AND($A192&gt;=SYear_O,$A192&lt;=EYear_O,BY$3&gt;0),IF($A192=SYear_O,BY$168*(1+Data_All!BY31%),BY191*(1+Data_All!BY31%)),"")</f>
        <v>11337.287100843187</v>
      </c>
      <c r="BZ192" s="427" t="str">
        <f>IF(AND($A192&gt;=SYear_O,$A192&lt;=EYear_O,BZ$3&gt;0),IF($A192=SYear_O,BZ$168*(1+Data_All!BZ31%),BZ191*(1+Data_All!BZ31%)),"")</f>
        <v/>
      </c>
      <c r="CA192" s="565">
        <f t="shared" si="92"/>
        <v>3.8042609617426044</v>
      </c>
      <c r="CB192" s="427">
        <f t="shared" si="93"/>
        <v>31600.46896974933</v>
      </c>
      <c r="CC192" s="565">
        <f>IF(AND($A192&gt;=SYear_O,$A192&lt;=EYear_O),(CA192-Data_All!CA31)/(1+Data_All!CA31%),"")</f>
        <v>8.3173954480716468</v>
      </c>
      <c r="CD192" s="436">
        <f t="shared" si="94"/>
        <v>59994.977780765737</v>
      </c>
      <c r="CE192" s="438">
        <f t="shared" si="95"/>
        <v>2.8661384802261121</v>
      </c>
      <c r="CF192" s="438">
        <f>IF(AND($A192&gt;=SYear_O,$A192&lt;=EYear_O),MAX($CE$169:CE192),"")</f>
        <v>3.0517763482358702</v>
      </c>
      <c r="CG192" s="209">
        <f t="shared" si="96"/>
        <v>6.0829447124154168E-2</v>
      </c>
      <c r="CN192" s="61">
        <f t="shared" si="97"/>
        <v>3.8042609617426004E-2</v>
      </c>
      <c r="CO192" s="61">
        <f t="shared" si="98"/>
        <v>3.7418815748409662E-2</v>
      </c>
      <c r="CP192" s="61">
        <f t="shared" si="99"/>
        <v>8.999445171951681E-2</v>
      </c>
      <c r="CQ192" s="61">
        <f t="shared" si="100"/>
        <v>7.0702091467240269E-2</v>
      </c>
      <c r="CR192" s="61">
        <f t="shared" si="101"/>
        <v>7.813396842891196E-2</v>
      </c>
      <c r="CU192" s="61">
        <f t="shared" si="102"/>
        <v>8.3173954480716406E-2</v>
      </c>
      <c r="CV192" s="61">
        <f t="shared" si="103"/>
        <v>5.7373930938618534E-2</v>
      </c>
      <c r="CW192" s="61">
        <f t="shared" si="104"/>
        <v>9.304755631816386E-2</v>
      </c>
      <c r="CX192" s="61">
        <f t="shared" si="105"/>
        <v>5.0630281087916229E-2</v>
      </c>
      <c r="CY192" s="61">
        <f t="shared" si="106"/>
        <v>5.9139290192679494E-2</v>
      </c>
    </row>
    <row r="193" spans="1:103">
      <c r="A193" s="204">
        <f t="shared" si="107"/>
        <v>1895</v>
      </c>
      <c r="B193" s="427" t="str">
        <f>IF(AND($A193&gt;=SYear_O,$A193&lt;=EYear_O,B$3&gt;0),IF($A193=SYear_O,B$168*(1+Data_All!B32%),B192*(1+Data_All!B32%)),"")</f>
        <v/>
      </c>
      <c r="C193" s="427" t="str">
        <f>IF(AND($A193&gt;=SYear_O,$A193&lt;=EYear_O,C$3&gt;0),IF($A193=SYear_O,C$168*(1+Data_All!C32%),C192*(1+Data_All!C32%)),"")</f>
        <v/>
      </c>
      <c r="D193" s="427" t="str">
        <f>IF(AND($A193&gt;=SYear_O,$A193&lt;=EYear_O,D$3&gt;0),IF($A193=SYear_O,D$168*(1+Data_All!D32%),D192*(1+Data_All!D32%)),"")</f>
        <v/>
      </c>
      <c r="E193" s="427" t="str">
        <f>IF(AND($A193&gt;=SYear_O,$A193&lt;=EYear_O,E$3&gt;0),IF($A193=SYear_O,E$168*(1+Data_All!E32%),E192*(1+Data_All!E32%)),"")</f>
        <v/>
      </c>
      <c r="F193" s="427" t="str">
        <f>IF(AND($A193&gt;=SYear_O,$A193&lt;=EYear_O,F$3&gt;0),IF($A193=SYear_O,F$168*(1+Data_All!F32%),F192*(1+Data_All!F32%)),"")</f>
        <v/>
      </c>
      <c r="G193" s="427" t="str">
        <f>IF(AND($A193&gt;=SYear_O,$A193&lt;=EYear_O,G$3&gt;0),IF($A193=SYear_O,G$168*(1+Data_All!G32%),G192*(1+Data_All!G32%)),"")</f>
        <v/>
      </c>
      <c r="H193" s="427" t="str">
        <f>IF(AND($A193&gt;=SYear_O,$A193&lt;=EYear_O,H$3&gt;0),IF($A193=SYear_O,H$168*(1+Data_All!H32%),H192*(1+Data_All!H32%)),"")</f>
        <v/>
      </c>
      <c r="I193" s="427" t="str">
        <f>IF(AND($A193&gt;=SYear_O,$A193&lt;=EYear_O,I$3&gt;0),IF($A193=SYear_O,I$168*(1+Data_All!I32%),I192*(1+Data_All!I32%)),"")</f>
        <v/>
      </c>
      <c r="J193" s="427" t="str">
        <f>IF(AND($A193&gt;=SYear_O,$A193&lt;=EYear_O,J$3&gt;0),IF($A193=SYear_O,J$168*(1+Data_All!J32%),J192*(1+Data_All!J32%)),"")</f>
        <v/>
      </c>
      <c r="K193" s="427" t="str">
        <f>IF(AND($A193&gt;=SYear_O,$A193&lt;=EYear_O,K$3&gt;0),IF($A193=SYear_O,K$168*(1+Data_All!K32%),K192*(1+Data_All!K32%)),"")</f>
        <v/>
      </c>
      <c r="L193" s="427" t="str">
        <f>IF(AND($A193&gt;=SYear_O,$A193&lt;=EYear_O,L$3&gt;0),IF($A193=SYear_O,L$168*(1+Data_All!L32%),L192*(1+Data_All!L32%)),"")</f>
        <v/>
      </c>
      <c r="M193" s="427" t="str">
        <f>IF(AND($A193&gt;=SYear_O,$A193&lt;=EYear_O,M$3&gt;0),IF($A193=SYear_O,M$168*(1+Data_All!M32%),M192*(1+Data_All!M32%)),"")</f>
        <v/>
      </c>
      <c r="N193" s="427" t="str">
        <f>IF(AND($A193&gt;=SYear_O,$A193&lt;=EYear_O,N$3&gt;0),IF($A193=SYear_O,N$168*(1+Data_All!N32%),N192*(1+Data_All!N32%)),"")</f>
        <v/>
      </c>
      <c r="O193" s="427" t="str">
        <f>IF(AND($A193&gt;=SYear_O,$A193&lt;=EYear_O,O$3&gt;0),IF($A193=SYear_O,O$168*(1+Data_All!O32%),O192*(1+Data_All!O32%)),"")</f>
        <v/>
      </c>
      <c r="P193" s="427" t="str">
        <f>IF(AND($A193&gt;=SYear_O,$A193&lt;=EYear_O,P$3&gt;0),IF($A193=SYear_O,P$168*(1+Data_All!P32%),P192*(1+Data_All!P32%)),"")</f>
        <v/>
      </c>
      <c r="Q193" s="427" t="str">
        <f>IF(AND($A193&gt;=SYear_O,$A193&lt;=EYear_O,Q$3&gt;0),IF($A193=SYear_O,Q$168*(1+Data_All!Q32%),Q192*(1+Data_All!Q32%)),"")</f>
        <v/>
      </c>
      <c r="R193" s="427" t="str">
        <f>IF(AND($A193&gt;=SYear_O,$A193&lt;=EYear_O,R$3&gt;0),IF($A193=SYear_O,R$168*(1+Data_All!R32%),R192*(1+Data_All!R32%)),"")</f>
        <v/>
      </c>
      <c r="S193" s="427" t="str">
        <f>IF(AND($A193&gt;=SYear_O,$A193&lt;=EYear_O,S$3&gt;0),IF($A193=SYear_O,S$168*(1+Data_All!S32%),S192*(1+Data_All!S32%)),"")</f>
        <v/>
      </c>
      <c r="T193" s="427" t="str">
        <f>IF(AND($A193&gt;=SYear_O,$A193&lt;=EYear_O,T$3&gt;0),IF($A193=SYear_O,T$168*(1+Data_All!T32%),T192*(1+Data_All!T32%)),"")</f>
        <v/>
      </c>
      <c r="U193" s="427" t="str">
        <f>IF(AND($A193&gt;=SYear_O,$A193&lt;=EYear_O,U$3&gt;0),IF($A193=SYear_O,U$168*(1+Data_All!U32%),U192*(1+Data_All!U32%)),"")</f>
        <v/>
      </c>
      <c r="V193" s="427" t="str">
        <f>IF(AND($A193&gt;=SYear_O,$A193&lt;=EYear_O,V$3&gt;0),IF($A193=SYear_O,V$168*(1+Data_All!V32%),V192*(1+Data_All!V32%)),"")</f>
        <v/>
      </c>
      <c r="W193" s="427" t="str">
        <f>IF(AND($A193&gt;=SYear_O,$A193&lt;=EYear_O,W$3&gt;0),IF($A193=SYear_O,W$168*(1+Data_All!W32%),W192*(1+Data_All!W32%)),"")</f>
        <v/>
      </c>
      <c r="X193" s="427" t="str">
        <f>IF(AND($A193&gt;=SYear_O,$A193&lt;=EYear_O,X$3&gt;0),IF($A193=SYear_O,X$168*(1+Data_All!X32%),X192*(1+Data_All!X32%)),"")</f>
        <v/>
      </c>
      <c r="Y193" s="427" t="str">
        <f>IF(AND($A193&gt;=SYear_O,$A193&lt;=EYear_O,Y$3&gt;0),IF($A193=SYear_O,Y$168*(1+Data_All!Y32%),Y192*(1+Data_All!Y32%)),"")</f>
        <v/>
      </c>
      <c r="Z193" s="427" t="str">
        <f>IF(AND($A193&gt;=SYear_O,$A193&lt;=EYear_O,Z$3&gt;0),IF($A193=SYear_O,Z$168*(1+Data_All!Z32%),Z192*(1+Data_All!Z32%)),"")</f>
        <v/>
      </c>
      <c r="AA193" s="427" t="str">
        <f>IF(AND($A193&gt;=SYear_O,$A193&lt;=EYear_O,AA$3&gt;0),IF($A193=SYear_O,AA$168*(1+Data_All!AA32%),AA192*(1+Data_All!AA32%)),"")</f>
        <v/>
      </c>
      <c r="AB193" s="427" t="str">
        <f>IF(AND($A193&gt;=SYear_O,$A193&lt;=EYear_O,AB$3&gt;0),IF($A193=SYear_O,AB$168*(1+Data_All!AB32%),AB192*(1+Data_All!AB32%)),"")</f>
        <v/>
      </c>
      <c r="AC193" s="427" t="str">
        <f>IF(AND($A193&gt;=SYear_O,$A193&lt;=EYear_O,AC$3&gt;0),IF($A193=SYear_O,AC$168*(1+Data_All!AC32%),AC192*(1+Data_All!AC32%)),"")</f>
        <v/>
      </c>
      <c r="AD193" s="427" t="str">
        <f>IF(AND($A193&gt;=SYear_O,$A193&lt;=EYear_O,AD$3&gt;0),IF($A193=SYear_O,AD$168*(1+Data_All!AD32%),AD192*(1+Data_All!AD32%)),"")</f>
        <v/>
      </c>
      <c r="AE193" s="427" t="str">
        <f>IF(AND($A193&gt;=SYear_O,$A193&lt;=EYear_O,AE$3&gt;0),IF($A193=SYear_O,AE$168*(1+Data_All!AE32%),AE192*(1+Data_All!AE32%)),"")</f>
        <v/>
      </c>
      <c r="AF193" s="427" t="str">
        <f>IF(AND($A193&gt;=SYear_O,$A193&lt;=EYear_O,AF$3&gt;0),IF($A193=SYear_O,AF$168*(1+Data_All!AF32%),AF192*(1+Data_All!AF32%)),"")</f>
        <v/>
      </c>
      <c r="AG193" s="427" t="str">
        <f>IF(AND($A193&gt;=SYear_O,$A193&lt;=EYear_O,AG$3&gt;0),IF($A193=SYear_O,AG$168*(1+Data_All!AG32%),AG192*(1+Data_All!AG32%)),"")</f>
        <v/>
      </c>
      <c r="AH193" s="427" t="str">
        <f>IF(AND($A193&gt;=SYear_O,$A193&lt;=EYear_O,AH$3&gt;0),IF($A193=SYear_O,AH$168*(1+Data_All!AH32%),AH192*(1+Data_All!AH32%)),"")</f>
        <v/>
      </c>
      <c r="AI193" s="427" t="str">
        <f>IF(AND($A193&gt;=SYear_O,$A193&lt;=EYear_O,AI$3&gt;0),IF($A193=SYear_O,AI$168*(1+Data_All!AI32%),AI192*(1+Data_All!AI32%)),"")</f>
        <v/>
      </c>
      <c r="AJ193" s="427" t="str">
        <f>IF(AND($A193&gt;=SYear_O,$A193&lt;=EYear_O,AJ$3&gt;0),IF($A193=SYear_O,AJ$168*(1+Data_All!AJ32%),AJ192*(1+Data_All!AJ32%)),"")</f>
        <v/>
      </c>
      <c r="AK193" s="427" t="str">
        <f>IF(AND($A193&gt;=SYear_O,$A193&lt;=EYear_O,AK$3&gt;0),IF($A193=SYear_O,AK$168*(1+Data_All!AK32%),AK192*(1+Data_All!AK32%)),"")</f>
        <v/>
      </c>
      <c r="AL193" s="427" t="str">
        <f>IF(AND($A193&gt;=SYear_O,$A193&lt;=EYear_O,AL$3&gt;0),IF($A193=SYear_O,AL$168*(1+Data_All!AL32%),AL192*(1+Data_All!AL32%)),"")</f>
        <v/>
      </c>
      <c r="AM193" s="427" t="str">
        <f>IF(AND($A193&gt;=SYear_O,$A193&lt;=EYear_O,AM$3&gt;0),IF($A193=SYear_O,AM$168*(1+Data_All!AM32%),AM192*(1+Data_All!AM32%)),"")</f>
        <v/>
      </c>
      <c r="AN193" s="427" t="str">
        <f>IF(AND($A193&gt;=SYear_O,$A193&lt;=EYear_O,AN$3&gt;0),IF($A193=SYear_O,AN$168*(1+Data_All!AN32%),AN192*(1+Data_All!AN32%)),"")</f>
        <v/>
      </c>
      <c r="AO193" s="427" t="str">
        <f>IF(AND($A193&gt;=SYear_O,$A193&lt;=EYear_O,AO$3&gt;0),IF($A193=SYear_O,AO$168*(1+Data_All!AO32%),AO192*(1+Data_All!AO32%)),"")</f>
        <v/>
      </c>
      <c r="AP193" s="427" t="str">
        <f>IF(AND($A193&gt;=SYear_O,$A193&lt;=EYear_O,AP$3&gt;0),IF($A193=SYear_O,AP$168*(1+Data_All!AP32%),AP192*(1+Data_All!AP32%)),"")</f>
        <v/>
      </c>
      <c r="AQ193" s="427" t="str">
        <f>IF(AND($A193&gt;=SYear_O,$A193&lt;=EYear_O,AQ$3&gt;0),IF($A193=SYear_O,AQ$168*(1+Data_All!AQ32%),AQ192*(1+Data_All!AQ32%)),"")</f>
        <v/>
      </c>
      <c r="AR193" s="427" t="str">
        <f>IF(AND($A193&gt;=SYear_O,$A193&lt;=EYear_O,AR$3&gt;0),IF($A193=SYear_O,AR$168*(1+Data_All!AR32%),AR192*(1+Data_All!AR32%)),"")</f>
        <v/>
      </c>
      <c r="AS193" s="427" t="str">
        <f>IF(AND($A193&gt;=SYear_O,$A193&lt;=EYear_O,AS$3&gt;0),IF($A193=SYear_O,AS$168*(1+Data_All!AS32%),AS192*(1+Data_All!AS32%)),"")</f>
        <v/>
      </c>
      <c r="AT193" s="427" t="str">
        <f>IF(AND($A193&gt;=SYear_O,$A193&lt;=EYear_O,AT$3&gt;0),IF($A193=SYear_O,AT$168*(1+Data_All!AT32%),AT192*(1+Data_All!AT32%)),"")</f>
        <v/>
      </c>
      <c r="AU193" s="427" t="str">
        <f>IF(AND($A193&gt;=SYear_O,$A193&lt;=EYear_O,AU$3&gt;0),IF($A193=SYear_O,AU$168*(1+Data_All!AU32%),AU192*(1+Data_All!AU32%)),"")</f>
        <v/>
      </c>
      <c r="AV193" s="427" t="str">
        <f>IF(AND($A193&gt;=SYear_O,$A193&lt;=EYear_O,AV$3&gt;0),IF($A193=SYear_O,AV$168*(1+Data_All!AV32%),AV192*(1+Data_All!AV32%)),"")</f>
        <v/>
      </c>
      <c r="AW193" s="427" t="str">
        <f>IF(AND($A193&gt;=SYear_O,$A193&lt;=EYear_O,AW$3&gt;0),IF($A193=SYear_O,AW$168*(1+Data_All!AW32%),AW192*(1+Data_All!AW32%)),"")</f>
        <v/>
      </c>
      <c r="AX193" s="427" t="str">
        <f>IF(AND($A193&gt;=SYear_O,$A193&lt;=EYear_O,AX$3&gt;0),IF($A193=SYear_O,AX$168*(1+Data_All!AX32%),AX192*(1+Data_All!AX32%)),"")</f>
        <v/>
      </c>
      <c r="AY193" s="427" t="str">
        <f>IF(AND($A193&gt;=SYear_O,$A193&lt;=EYear_O,AY$3&gt;0),IF($A193=SYear_O,AY$168*(1+Data_All!AY32%),AY192*(1+Data_All!AY32%)),"")</f>
        <v/>
      </c>
      <c r="AZ193" s="427" t="str">
        <f>IF(AND($A193&gt;=SYear_O,$A193&lt;=EYear_O,AZ$3&gt;0),IF($A193=SYear_O,AZ$168*(1+Data_All!AZ32%),AZ192*(1+Data_All!AZ32%)),"")</f>
        <v/>
      </c>
      <c r="BA193" s="427" t="str">
        <f>IF(AND($A193&gt;=SYear_O,$A193&lt;=EYear_O,BA$3&gt;0),IF($A193=SYear_O,BA$168*(1+Data_All!BA32%),BA192*(1+Data_All!BA32%)),"")</f>
        <v/>
      </c>
      <c r="BB193" s="427" t="str">
        <f>IF(AND($A193&gt;=SYear_O,$A193&lt;=EYear_O,BB$3&gt;0),IF($A193=SYear_O,BB$168*(1+Data_All!BB32%),BB192*(1+Data_All!BB32%)),"")</f>
        <v/>
      </c>
      <c r="BC193" s="427" t="str">
        <f>IF(AND($A193&gt;=SYear_O,$A193&lt;=EYear_O,BC$3&gt;0),IF($A193=SYear_O,BC$168*(1+Data_All!BC32%),BC192*(1+Data_All!BC32%)),"")</f>
        <v/>
      </c>
      <c r="BD193" s="427" t="str">
        <f>IF(AND($A193&gt;=SYear_O,$A193&lt;=EYear_O,BD$3&gt;0),IF($A193=SYear_O,BD$168*(1+Data_All!BD32%),BD192*(1+Data_All!BD32%)),"")</f>
        <v/>
      </c>
      <c r="BE193" s="427" t="str">
        <f>IF(AND($A193&gt;=SYear_O,$A193&lt;=EYear_O,BE$3&gt;0),IF($A193=SYear_O,BE$168*(1+Data_All!BE32%),BE192*(1+Data_All!BE32%)),"")</f>
        <v/>
      </c>
      <c r="BF193" s="427" t="str">
        <f>IF(AND($A193&gt;=SYear_O,$A193&lt;=EYear_O,BF$3&gt;0),IF($A193=SYear_O,BF$168*(1+Data_All!BF32%),BF192*(1+Data_All!BF32%)),"")</f>
        <v/>
      </c>
      <c r="BG193" s="427" t="str">
        <f>IF(AND($A193&gt;=SYear_O,$A193&lt;=EYear_O,BG$3&gt;0),IF($A193=SYear_O,BG$168*(1+Data_All!BG32%),BG192*(1+Data_All!BG32%)),"")</f>
        <v/>
      </c>
      <c r="BH193" s="427" t="str">
        <f>IF(AND($A193&gt;=SYear_O,$A193&lt;=EYear_O,BH$3&gt;0),IF($A193=SYear_O,BH$168*(1+Data_All!BH32%),BH192*(1+Data_All!BH32%)),"")</f>
        <v/>
      </c>
      <c r="BI193" s="427" t="str">
        <f>IF(AND($A193&gt;=SYear_O,$A193&lt;=EYear_O,BI$3&gt;0),IF($A193=SYear_O,BI$168*(1+Data_All!BI32%),BI192*(1+Data_All!BI32%)),"")</f>
        <v/>
      </c>
      <c r="BJ193" s="427" t="str">
        <f>IF(AND($A193&gt;=SYear_O,$A193&lt;=EYear_O,BJ$3&gt;0),IF($A193=SYear_O,BJ$168*(1+Data_All!BJ32%),BJ192*(1+Data_All!BJ32%)),"")</f>
        <v/>
      </c>
      <c r="BK193" s="427" t="str">
        <f>IF(AND($A193&gt;=SYear_O,$A193&lt;=EYear_O,BK$3&gt;0),IF($A193=SYear_O,BK$168*(1+Data_All!BK32%),BK192*(1+Data_All!BK32%)),"")</f>
        <v/>
      </c>
      <c r="BL193" s="427" t="str">
        <f>IF(AND($A193&gt;=SYear_O,$A193&lt;=EYear_O,BL$3&gt;0),IF($A193=SYear_O,BL$168*(1+Data_All!BL32%),BL192*(1+Data_All!BL32%)),"")</f>
        <v/>
      </c>
      <c r="BM193" s="427" t="str">
        <f>IF(AND($A193&gt;=SYear_O,$A193&lt;=EYear_O,BM$3&gt;0),IF($A193=SYear_O,BM$168*(1+Data_All!BM32%),BM192*(1+Data_All!BM32%)),"")</f>
        <v/>
      </c>
      <c r="BN193" s="427" t="str">
        <f>IF(AND($A193&gt;=SYear_O,$A193&lt;=EYear_O,BN$3&gt;0),IF($A193=SYear_O,BN$168*(1+Data_All!BN32%),BN192*(1+Data_All!BN32%)),"")</f>
        <v/>
      </c>
      <c r="BO193" s="427" t="str">
        <f>IF(AND($A193&gt;=SYear_O,$A193&lt;=EYear_O,BO$3&gt;0),IF($A193=SYear_O,BO$168*(1+Data_All!BO32%),BO192*(1+Data_All!BO32%)),"")</f>
        <v/>
      </c>
      <c r="BP193" s="427" t="str">
        <f>IF(AND($A193&gt;=SYear_O,$A193&lt;=EYear_O,BP$3&gt;0),IF($A193=SYear_O,BP$168*(1+Data_All!BP32%),BP192*(1+Data_All!BP32%)),"")</f>
        <v/>
      </c>
      <c r="BQ193" s="427" t="str">
        <f>IF(AND($A193&gt;=SYear_O,$A193&lt;=EYear_O,BQ$3&gt;0),IF($A193=SYear_O,BQ$168*(1+Data_All!BQ32%),BQ192*(1+Data_All!BQ32%)),"")</f>
        <v/>
      </c>
      <c r="BR193" s="427" t="str">
        <f>IF(AND($A193&gt;=SYear_O,$A193&lt;=EYear_O,BR$3&gt;0),IF($A193=SYear_O,BR$168*(1+Data_All!BR32%),BR192*(1+Data_All!BR32%)),"")</f>
        <v/>
      </c>
      <c r="BS193" s="427" t="str">
        <f>IF(AND($A193&gt;=SYear_O,$A193&lt;=EYear_O,BS$3&gt;0),IF($A193=SYear_O,BS$168*(1+Data_All!BS32%),BS192*(1+Data_All!BS32%)),"")</f>
        <v/>
      </c>
      <c r="BT193" s="427" t="str">
        <f>IF(AND($A193&gt;=SYear_O,$A193&lt;=EYear_O,BT$3&gt;0),IF($A193=SYear_O,BT$168*(1+Data_All!BT32%),BT192*(1+Data_All!BT32%)),"")</f>
        <v/>
      </c>
      <c r="BU193" s="427" t="str">
        <f>IF(AND($A193&gt;=SYear_O,$A193&lt;=EYear_O,BU$3&gt;0),IF($A193=SYear_O,BU$168*(1+Data_All!BU32%),BU192*(1+Data_All!BU32%)),"")</f>
        <v/>
      </c>
      <c r="BV193" s="427" t="str">
        <f>IF(AND($A193&gt;=SYear_O,$A193&lt;=EYear_O,BV$3&gt;0),IF($A193=SYear_O,BV$168*(1+Data_All!BV32%),BV192*(1+Data_All!BV32%)),"")</f>
        <v/>
      </c>
      <c r="BW193" s="427" t="str">
        <f>IF(AND($A193&gt;=SYear_O,$A193&lt;=EYear_O,BW$3&gt;0),IF($A193=SYear_O,BW$168*(1+Data_All!BW32%),BW192*(1+Data_All!BW32%)),"")</f>
        <v/>
      </c>
      <c r="BX193" s="427">
        <f>IF(AND($A193&gt;=SYear_O,$A193&lt;=EYear_O,BX$3&gt;0),IF($A193=SYear_O,BX$168*(1+Data_All!BX32%),BX192*(1+Data_All!BX32%)),"")</f>
        <v>21264.421443605035</v>
      </c>
      <c r="BY193" s="427">
        <f>IF(AND($A193&gt;=SYear_O,$A193&lt;=EYear_O,BY$3&gt;0),IF($A193=SYear_O,BY$168*(1+Data_All!BY32%),BY192*(1+Data_All!BY32%)),"")</f>
        <v>11155.987399025558</v>
      </c>
      <c r="BZ193" s="427" t="str">
        <f>IF(AND($A193&gt;=SYear_O,$A193&lt;=EYear_O,BZ$3&gt;0),IF($A193=SYear_O,BZ$168*(1+Data_All!BZ32%),BZ192*(1+Data_All!BZ32%)),"")</f>
        <v/>
      </c>
      <c r="CA193" s="565">
        <f t="shared" si="92"/>
        <v>2.5947079255886347</v>
      </c>
      <c r="CB193" s="427">
        <f t="shared" si="93"/>
        <v>32420.408842630593</v>
      </c>
      <c r="CC193" s="565">
        <f>IF(AND($A193&gt;=SYear_O,$A193&lt;=EYear_O),(CA193-Data_All!CA32)/(1+Data_All!CA32%),"")</f>
        <v>1.1291404081726262</v>
      </c>
      <c r="CD193" s="436">
        <f t="shared" si="94"/>
        <v>60672.405317762554</v>
      </c>
      <c r="CE193" s="438">
        <f t="shared" si="95"/>
        <v>2.9405064025308842</v>
      </c>
      <c r="CF193" s="438">
        <f>IF(AND($A193&gt;=SYear_O,$A193&lt;=EYear_O),MAX($CE$169:CE193),"")</f>
        <v>3.0517763482358702</v>
      </c>
      <c r="CG193" s="209">
        <f t="shared" si="96"/>
        <v>3.6460714353890089E-2</v>
      </c>
      <c r="CN193" s="61">
        <f t="shared" si="97"/>
        <v>2.5947079255886241E-2</v>
      </c>
      <c r="CO193" s="61">
        <f t="shared" si="98"/>
        <v>7.0382659829279159E-2</v>
      </c>
      <c r="CP193" s="61">
        <f t="shared" si="99"/>
        <v>8.8097379762442696E-2</v>
      </c>
      <c r="CQ193" s="61">
        <f t="shared" si="100"/>
        <v>9.0015401161001707E-2</v>
      </c>
      <c r="CR193" s="61">
        <f t="shared" si="101"/>
        <v>8.4384814293715804E-2</v>
      </c>
      <c r="CU193" s="61">
        <f t="shared" si="102"/>
        <v>1.1291404081726242E-2</v>
      </c>
      <c r="CV193" s="61">
        <f t="shared" si="103"/>
        <v>6.5261383226246306E-2</v>
      </c>
      <c r="CW193" s="61">
        <f t="shared" si="104"/>
        <v>4.8629266125721493E-2</v>
      </c>
      <c r="CX193" s="61">
        <f t="shared" si="105"/>
        <v>6.262183013440481E-2</v>
      </c>
      <c r="CY193" s="61">
        <f t="shared" si="106"/>
        <v>5.5126271543204597E-2</v>
      </c>
    </row>
    <row r="194" spans="1:103">
      <c r="A194" s="204">
        <f t="shared" si="107"/>
        <v>1896</v>
      </c>
      <c r="B194" s="427" t="str">
        <f>IF(AND($A194&gt;=SYear_O,$A194&lt;=EYear_O,B$3&gt;0),IF($A194=SYear_O,B$168*(1+Data_All!B33%),B193*(1+Data_All!B33%)),"")</f>
        <v/>
      </c>
      <c r="C194" s="427" t="str">
        <f>IF(AND($A194&gt;=SYear_O,$A194&lt;=EYear_O,C$3&gt;0),IF($A194=SYear_O,C$168*(1+Data_All!C33%),C193*(1+Data_All!C33%)),"")</f>
        <v/>
      </c>
      <c r="D194" s="427" t="str">
        <f>IF(AND($A194&gt;=SYear_O,$A194&lt;=EYear_O,D$3&gt;0),IF($A194=SYear_O,D$168*(1+Data_All!D33%),D193*(1+Data_All!D33%)),"")</f>
        <v/>
      </c>
      <c r="E194" s="427" t="str">
        <f>IF(AND($A194&gt;=SYear_O,$A194&lt;=EYear_O,E$3&gt;0),IF($A194=SYear_O,E$168*(1+Data_All!E33%),E193*(1+Data_All!E33%)),"")</f>
        <v/>
      </c>
      <c r="F194" s="427" t="str">
        <f>IF(AND($A194&gt;=SYear_O,$A194&lt;=EYear_O,F$3&gt;0),IF($A194=SYear_O,F$168*(1+Data_All!F33%),F193*(1+Data_All!F33%)),"")</f>
        <v/>
      </c>
      <c r="G194" s="427" t="str">
        <f>IF(AND($A194&gt;=SYear_O,$A194&lt;=EYear_O,G$3&gt;0),IF($A194=SYear_O,G$168*(1+Data_All!G33%),G193*(1+Data_All!G33%)),"")</f>
        <v/>
      </c>
      <c r="H194" s="427" t="str">
        <f>IF(AND($A194&gt;=SYear_O,$A194&lt;=EYear_O,H$3&gt;0),IF($A194=SYear_O,H$168*(1+Data_All!H33%),H193*(1+Data_All!H33%)),"")</f>
        <v/>
      </c>
      <c r="I194" s="427" t="str">
        <f>IF(AND($A194&gt;=SYear_O,$A194&lt;=EYear_O,I$3&gt;0),IF($A194=SYear_O,I$168*(1+Data_All!I33%),I193*(1+Data_All!I33%)),"")</f>
        <v/>
      </c>
      <c r="J194" s="427" t="str">
        <f>IF(AND($A194&gt;=SYear_O,$A194&lt;=EYear_O,J$3&gt;0),IF($A194=SYear_O,J$168*(1+Data_All!J33%),J193*(1+Data_All!J33%)),"")</f>
        <v/>
      </c>
      <c r="K194" s="427" t="str">
        <f>IF(AND($A194&gt;=SYear_O,$A194&lt;=EYear_O,K$3&gt;0),IF($A194=SYear_O,K$168*(1+Data_All!K33%),K193*(1+Data_All!K33%)),"")</f>
        <v/>
      </c>
      <c r="L194" s="427" t="str">
        <f>IF(AND($A194&gt;=SYear_O,$A194&lt;=EYear_O,L$3&gt;0),IF($A194=SYear_O,L$168*(1+Data_All!L33%),L193*(1+Data_All!L33%)),"")</f>
        <v/>
      </c>
      <c r="M194" s="427" t="str">
        <f>IF(AND($A194&gt;=SYear_O,$A194&lt;=EYear_O,M$3&gt;0),IF($A194=SYear_O,M$168*(1+Data_All!M33%),M193*(1+Data_All!M33%)),"")</f>
        <v/>
      </c>
      <c r="N194" s="427" t="str">
        <f>IF(AND($A194&gt;=SYear_O,$A194&lt;=EYear_O,N$3&gt;0),IF($A194=SYear_O,N$168*(1+Data_All!N33%),N193*(1+Data_All!N33%)),"")</f>
        <v/>
      </c>
      <c r="O194" s="427" t="str">
        <f>IF(AND($A194&gt;=SYear_O,$A194&lt;=EYear_O,O$3&gt;0),IF($A194=SYear_O,O$168*(1+Data_All!O33%),O193*(1+Data_All!O33%)),"")</f>
        <v/>
      </c>
      <c r="P194" s="427" t="str">
        <f>IF(AND($A194&gt;=SYear_O,$A194&lt;=EYear_O,P$3&gt;0),IF($A194=SYear_O,P$168*(1+Data_All!P33%),P193*(1+Data_All!P33%)),"")</f>
        <v/>
      </c>
      <c r="Q194" s="427" t="str">
        <f>IF(AND($A194&gt;=SYear_O,$A194&lt;=EYear_O,Q$3&gt;0),IF($A194=SYear_O,Q$168*(1+Data_All!Q33%),Q193*(1+Data_All!Q33%)),"")</f>
        <v/>
      </c>
      <c r="R194" s="427" t="str">
        <f>IF(AND($A194&gt;=SYear_O,$A194&lt;=EYear_O,R$3&gt;0),IF($A194=SYear_O,R$168*(1+Data_All!R33%),R193*(1+Data_All!R33%)),"")</f>
        <v/>
      </c>
      <c r="S194" s="427" t="str">
        <f>IF(AND($A194&gt;=SYear_O,$A194&lt;=EYear_O,S$3&gt;0),IF($A194=SYear_O,S$168*(1+Data_All!S33%),S193*(1+Data_All!S33%)),"")</f>
        <v/>
      </c>
      <c r="T194" s="427" t="str">
        <f>IF(AND($A194&gt;=SYear_O,$A194&lt;=EYear_O,T$3&gt;0),IF($A194=SYear_O,T$168*(1+Data_All!T33%),T193*(1+Data_All!T33%)),"")</f>
        <v/>
      </c>
      <c r="U194" s="427" t="str">
        <f>IF(AND($A194&gt;=SYear_O,$A194&lt;=EYear_O,U$3&gt;0),IF($A194=SYear_O,U$168*(1+Data_All!U33%),U193*(1+Data_All!U33%)),"")</f>
        <v/>
      </c>
      <c r="V194" s="427" t="str">
        <f>IF(AND($A194&gt;=SYear_O,$A194&lt;=EYear_O,V$3&gt;0),IF($A194=SYear_O,V$168*(1+Data_All!V33%),V193*(1+Data_All!V33%)),"")</f>
        <v/>
      </c>
      <c r="W194" s="427" t="str">
        <f>IF(AND($A194&gt;=SYear_O,$A194&lt;=EYear_O,W$3&gt;0),IF($A194=SYear_O,W$168*(1+Data_All!W33%),W193*(1+Data_All!W33%)),"")</f>
        <v/>
      </c>
      <c r="X194" s="427" t="str">
        <f>IF(AND($A194&gt;=SYear_O,$A194&lt;=EYear_O,X$3&gt;0),IF($A194=SYear_O,X$168*(1+Data_All!X33%),X193*(1+Data_All!X33%)),"")</f>
        <v/>
      </c>
      <c r="Y194" s="427" t="str">
        <f>IF(AND($A194&gt;=SYear_O,$A194&lt;=EYear_O,Y$3&gt;0),IF($A194=SYear_O,Y$168*(1+Data_All!Y33%),Y193*(1+Data_All!Y33%)),"")</f>
        <v/>
      </c>
      <c r="Z194" s="427" t="str">
        <f>IF(AND($A194&gt;=SYear_O,$A194&lt;=EYear_O,Z$3&gt;0),IF($A194=SYear_O,Z$168*(1+Data_All!Z33%),Z193*(1+Data_All!Z33%)),"")</f>
        <v/>
      </c>
      <c r="AA194" s="427" t="str">
        <f>IF(AND($A194&gt;=SYear_O,$A194&lt;=EYear_O,AA$3&gt;0),IF($A194=SYear_O,AA$168*(1+Data_All!AA33%),AA193*(1+Data_All!AA33%)),"")</f>
        <v/>
      </c>
      <c r="AB194" s="427" t="str">
        <f>IF(AND($A194&gt;=SYear_O,$A194&lt;=EYear_O,AB$3&gt;0),IF($A194=SYear_O,AB$168*(1+Data_All!AB33%),AB193*(1+Data_All!AB33%)),"")</f>
        <v/>
      </c>
      <c r="AC194" s="427" t="str">
        <f>IF(AND($A194&gt;=SYear_O,$A194&lt;=EYear_O,AC$3&gt;0),IF($A194=SYear_O,AC$168*(1+Data_All!AC33%),AC193*(1+Data_All!AC33%)),"")</f>
        <v/>
      </c>
      <c r="AD194" s="427" t="str">
        <f>IF(AND($A194&gt;=SYear_O,$A194&lt;=EYear_O,AD$3&gt;0),IF($A194=SYear_O,AD$168*(1+Data_All!AD33%),AD193*(1+Data_All!AD33%)),"")</f>
        <v/>
      </c>
      <c r="AE194" s="427" t="str">
        <f>IF(AND($A194&gt;=SYear_O,$A194&lt;=EYear_O,AE$3&gt;0),IF($A194=SYear_O,AE$168*(1+Data_All!AE33%),AE193*(1+Data_All!AE33%)),"")</f>
        <v/>
      </c>
      <c r="AF194" s="427" t="str">
        <f>IF(AND($A194&gt;=SYear_O,$A194&lt;=EYear_O,AF$3&gt;0),IF($A194=SYear_O,AF$168*(1+Data_All!AF33%),AF193*(1+Data_All!AF33%)),"")</f>
        <v/>
      </c>
      <c r="AG194" s="427" t="str">
        <f>IF(AND($A194&gt;=SYear_O,$A194&lt;=EYear_O,AG$3&gt;0),IF($A194=SYear_O,AG$168*(1+Data_All!AG33%),AG193*(1+Data_All!AG33%)),"")</f>
        <v/>
      </c>
      <c r="AH194" s="427" t="str">
        <f>IF(AND($A194&gt;=SYear_O,$A194&lt;=EYear_O,AH$3&gt;0),IF($A194=SYear_O,AH$168*(1+Data_All!AH33%),AH193*(1+Data_All!AH33%)),"")</f>
        <v/>
      </c>
      <c r="AI194" s="427" t="str">
        <f>IF(AND($A194&gt;=SYear_O,$A194&lt;=EYear_O,AI$3&gt;0),IF($A194=SYear_O,AI$168*(1+Data_All!AI33%),AI193*(1+Data_All!AI33%)),"")</f>
        <v/>
      </c>
      <c r="AJ194" s="427" t="str">
        <f>IF(AND($A194&gt;=SYear_O,$A194&lt;=EYear_O,AJ$3&gt;0),IF($A194=SYear_O,AJ$168*(1+Data_All!AJ33%),AJ193*(1+Data_All!AJ33%)),"")</f>
        <v/>
      </c>
      <c r="AK194" s="427" t="str">
        <f>IF(AND($A194&gt;=SYear_O,$A194&lt;=EYear_O,AK$3&gt;0),IF($A194=SYear_O,AK$168*(1+Data_All!AK33%),AK193*(1+Data_All!AK33%)),"")</f>
        <v/>
      </c>
      <c r="AL194" s="427" t="str">
        <f>IF(AND($A194&gt;=SYear_O,$A194&lt;=EYear_O,AL$3&gt;0),IF($A194=SYear_O,AL$168*(1+Data_All!AL33%),AL193*(1+Data_All!AL33%)),"")</f>
        <v/>
      </c>
      <c r="AM194" s="427" t="str">
        <f>IF(AND($A194&gt;=SYear_O,$A194&lt;=EYear_O,AM$3&gt;0),IF($A194=SYear_O,AM$168*(1+Data_All!AM33%),AM193*(1+Data_All!AM33%)),"")</f>
        <v/>
      </c>
      <c r="AN194" s="427" t="str">
        <f>IF(AND($A194&gt;=SYear_O,$A194&lt;=EYear_O,AN$3&gt;0),IF($A194=SYear_O,AN$168*(1+Data_All!AN33%),AN193*(1+Data_All!AN33%)),"")</f>
        <v/>
      </c>
      <c r="AO194" s="427" t="str">
        <f>IF(AND($A194&gt;=SYear_O,$A194&lt;=EYear_O,AO$3&gt;0),IF($A194=SYear_O,AO$168*(1+Data_All!AO33%),AO193*(1+Data_All!AO33%)),"")</f>
        <v/>
      </c>
      <c r="AP194" s="427" t="str">
        <f>IF(AND($A194&gt;=SYear_O,$A194&lt;=EYear_O,AP$3&gt;0),IF($A194=SYear_O,AP$168*(1+Data_All!AP33%),AP193*(1+Data_All!AP33%)),"")</f>
        <v/>
      </c>
      <c r="AQ194" s="427" t="str">
        <f>IF(AND($A194&gt;=SYear_O,$A194&lt;=EYear_O,AQ$3&gt;0),IF($A194=SYear_O,AQ$168*(1+Data_All!AQ33%),AQ193*(1+Data_All!AQ33%)),"")</f>
        <v/>
      </c>
      <c r="AR194" s="427" t="str">
        <f>IF(AND($A194&gt;=SYear_O,$A194&lt;=EYear_O,AR$3&gt;0),IF($A194=SYear_O,AR$168*(1+Data_All!AR33%),AR193*(1+Data_All!AR33%)),"")</f>
        <v/>
      </c>
      <c r="AS194" s="427" t="str">
        <f>IF(AND($A194&gt;=SYear_O,$A194&lt;=EYear_O,AS$3&gt;0),IF($A194=SYear_O,AS$168*(1+Data_All!AS33%),AS193*(1+Data_All!AS33%)),"")</f>
        <v/>
      </c>
      <c r="AT194" s="427" t="str">
        <f>IF(AND($A194&gt;=SYear_O,$A194&lt;=EYear_O,AT$3&gt;0),IF($A194=SYear_O,AT$168*(1+Data_All!AT33%),AT193*(1+Data_All!AT33%)),"")</f>
        <v/>
      </c>
      <c r="AU194" s="427" t="str">
        <f>IF(AND($A194&gt;=SYear_O,$A194&lt;=EYear_O,AU$3&gt;0),IF($A194=SYear_O,AU$168*(1+Data_All!AU33%),AU193*(1+Data_All!AU33%)),"")</f>
        <v/>
      </c>
      <c r="AV194" s="427" t="str">
        <f>IF(AND($A194&gt;=SYear_O,$A194&lt;=EYear_O,AV$3&gt;0),IF($A194=SYear_O,AV$168*(1+Data_All!AV33%),AV193*(1+Data_All!AV33%)),"")</f>
        <v/>
      </c>
      <c r="AW194" s="427" t="str">
        <f>IF(AND($A194&gt;=SYear_O,$A194&lt;=EYear_O,AW$3&gt;0),IF($A194=SYear_O,AW$168*(1+Data_All!AW33%),AW193*(1+Data_All!AW33%)),"")</f>
        <v/>
      </c>
      <c r="AX194" s="427" t="str">
        <f>IF(AND($A194&gt;=SYear_O,$A194&lt;=EYear_O,AX$3&gt;0),IF($A194=SYear_O,AX$168*(1+Data_All!AX33%),AX193*(1+Data_All!AX33%)),"")</f>
        <v/>
      </c>
      <c r="AY194" s="427" t="str">
        <f>IF(AND($A194&gt;=SYear_O,$A194&lt;=EYear_O,AY$3&gt;0),IF($A194=SYear_O,AY$168*(1+Data_All!AY33%),AY193*(1+Data_All!AY33%)),"")</f>
        <v/>
      </c>
      <c r="AZ194" s="427" t="str">
        <f>IF(AND($A194&gt;=SYear_O,$A194&lt;=EYear_O,AZ$3&gt;0),IF($A194=SYear_O,AZ$168*(1+Data_All!AZ33%),AZ193*(1+Data_All!AZ33%)),"")</f>
        <v/>
      </c>
      <c r="BA194" s="427" t="str">
        <f>IF(AND($A194&gt;=SYear_O,$A194&lt;=EYear_O,BA$3&gt;0),IF($A194=SYear_O,BA$168*(1+Data_All!BA33%),BA193*(1+Data_All!BA33%)),"")</f>
        <v/>
      </c>
      <c r="BB194" s="427" t="str">
        <f>IF(AND($A194&gt;=SYear_O,$A194&lt;=EYear_O,BB$3&gt;0),IF($A194=SYear_O,BB$168*(1+Data_All!BB33%),BB193*(1+Data_All!BB33%)),"")</f>
        <v/>
      </c>
      <c r="BC194" s="427" t="str">
        <f>IF(AND($A194&gt;=SYear_O,$A194&lt;=EYear_O,BC$3&gt;0),IF($A194=SYear_O,BC$168*(1+Data_All!BC33%),BC193*(1+Data_All!BC33%)),"")</f>
        <v/>
      </c>
      <c r="BD194" s="427" t="str">
        <f>IF(AND($A194&gt;=SYear_O,$A194&lt;=EYear_O,BD$3&gt;0),IF($A194=SYear_O,BD$168*(1+Data_All!BD33%),BD193*(1+Data_All!BD33%)),"")</f>
        <v/>
      </c>
      <c r="BE194" s="427" t="str">
        <f>IF(AND($A194&gt;=SYear_O,$A194&lt;=EYear_O,BE$3&gt;0),IF($A194=SYear_O,BE$168*(1+Data_All!BE33%),BE193*(1+Data_All!BE33%)),"")</f>
        <v/>
      </c>
      <c r="BF194" s="427" t="str">
        <f>IF(AND($A194&gt;=SYear_O,$A194&lt;=EYear_O,BF$3&gt;0),IF($A194=SYear_O,BF$168*(1+Data_All!BF33%),BF193*(1+Data_All!BF33%)),"")</f>
        <v/>
      </c>
      <c r="BG194" s="427" t="str">
        <f>IF(AND($A194&gt;=SYear_O,$A194&lt;=EYear_O,BG$3&gt;0),IF($A194=SYear_O,BG$168*(1+Data_All!BG33%),BG193*(1+Data_All!BG33%)),"")</f>
        <v/>
      </c>
      <c r="BH194" s="427" t="str">
        <f>IF(AND($A194&gt;=SYear_O,$A194&lt;=EYear_O,BH$3&gt;0),IF($A194=SYear_O,BH$168*(1+Data_All!BH33%),BH193*(1+Data_All!BH33%)),"")</f>
        <v/>
      </c>
      <c r="BI194" s="427" t="str">
        <f>IF(AND($A194&gt;=SYear_O,$A194&lt;=EYear_O,BI$3&gt;0),IF($A194=SYear_O,BI$168*(1+Data_All!BI33%),BI193*(1+Data_All!BI33%)),"")</f>
        <v/>
      </c>
      <c r="BJ194" s="427" t="str">
        <f>IF(AND($A194&gt;=SYear_O,$A194&lt;=EYear_O,BJ$3&gt;0),IF($A194=SYear_O,BJ$168*(1+Data_All!BJ33%),BJ193*(1+Data_All!BJ33%)),"")</f>
        <v/>
      </c>
      <c r="BK194" s="427" t="str">
        <f>IF(AND($A194&gt;=SYear_O,$A194&lt;=EYear_O,BK$3&gt;0),IF($A194=SYear_O,BK$168*(1+Data_All!BK33%),BK193*(1+Data_All!BK33%)),"")</f>
        <v/>
      </c>
      <c r="BL194" s="427" t="str">
        <f>IF(AND($A194&gt;=SYear_O,$A194&lt;=EYear_O,BL$3&gt;0),IF($A194=SYear_O,BL$168*(1+Data_All!BL33%),BL193*(1+Data_All!BL33%)),"")</f>
        <v/>
      </c>
      <c r="BM194" s="427" t="str">
        <f>IF(AND($A194&gt;=SYear_O,$A194&lt;=EYear_O,BM$3&gt;0),IF($A194=SYear_O,BM$168*(1+Data_All!BM33%),BM193*(1+Data_All!BM33%)),"")</f>
        <v/>
      </c>
      <c r="BN194" s="427" t="str">
        <f>IF(AND($A194&gt;=SYear_O,$A194&lt;=EYear_O,BN$3&gt;0),IF($A194=SYear_O,BN$168*(1+Data_All!BN33%),BN193*(1+Data_All!BN33%)),"")</f>
        <v/>
      </c>
      <c r="BO194" s="427" t="str">
        <f>IF(AND($A194&gt;=SYear_O,$A194&lt;=EYear_O,BO$3&gt;0),IF($A194=SYear_O,BO$168*(1+Data_All!BO33%),BO193*(1+Data_All!BO33%)),"")</f>
        <v/>
      </c>
      <c r="BP194" s="427" t="str">
        <f>IF(AND($A194&gt;=SYear_O,$A194&lt;=EYear_O,BP$3&gt;0),IF($A194=SYear_O,BP$168*(1+Data_All!BP33%),BP193*(1+Data_All!BP33%)),"")</f>
        <v/>
      </c>
      <c r="BQ194" s="427" t="str">
        <f>IF(AND($A194&gt;=SYear_O,$A194&lt;=EYear_O,BQ$3&gt;0),IF($A194=SYear_O,BQ$168*(1+Data_All!BQ33%),BQ193*(1+Data_All!BQ33%)),"")</f>
        <v/>
      </c>
      <c r="BR194" s="427" t="str">
        <f>IF(AND($A194&gt;=SYear_O,$A194&lt;=EYear_O,BR$3&gt;0),IF($A194=SYear_O,BR$168*(1+Data_All!BR33%),BR193*(1+Data_All!BR33%)),"")</f>
        <v/>
      </c>
      <c r="BS194" s="427" t="str">
        <f>IF(AND($A194&gt;=SYear_O,$A194&lt;=EYear_O,BS$3&gt;0),IF($A194=SYear_O,BS$168*(1+Data_All!BS33%),BS193*(1+Data_All!BS33%)),"")</f>
        <v/>
      </c>
      <c r="BT194" s="427" t="str">
        <f>IF(AND($A194&gt;=SYear_O,$A194&lt;=EYear_O,BT$3&gt;0),IF($A194=SYear_O,BT$168*(1+Data_All!BT33%),BT193*(1+Data_All!BT33%)),"")</f>
        <v/>
      </c>
      <c r="BU194" s="427" t="str">
        <f>IF(AND($A194&gt;=SYear_O,$A194&lt;=EYear_O,BU$3&gt;0),IF($A194=SYear_O,BU$168*(1+Data_All!BU33%),BU193*(1+Data_All!BU33%)),"")</f>
        <v/>
      </c>
      <c r="BV194" s="427" t="str">
        <f>IF(AND($A194&gt;=SYear_O,$A194&lt;=EYear_O,BV$3&gt;0),IF($A194=SYear_O,BV$168*(1+Data_All!BV33%),BV193*(1+Data_All!BV33%)),"")</f>
        <v/>
      </c>
      <c r="BW194" s="427" t="str">
        <f>IF(AND($A194&gt;=SYear_O,$A194&lt;=EYear_O,BW$3&gt;0),IF($A194=SYear_O,BW$168*(1+Data_All!BW33%),BW193*(1+Data_All!BW33%)),"")</f>
        <v/>
      </c>
      <c r="BX194" s="427">
        <f>IF(AND($A194&gt;=SYear_O,$A194&lt;=EYear_O,BX$3&gt;0),IF($A194=SYear_O,BX$168*(1+Data_All!BX33%),BX193*(1+Data_All!BX33%)),"")</f>
        <v>21911.816007461865</v>
      </c>
      <c r="BY194" s="427">
        <f>IF(AND($A194&gt;=SYear_O,$A194&lt;=EYear_O,BY$3&gt;0),IF($A194=SYear_O,BY$168*(1+Data_All!BY33%),BY193*(1+Data_All!BY33%)),"")</f>
        <v>12077.365676163266</v>
      </c>
      <c r="BZ194" s="427" t="str">
        <f>IF(AND($A194&gt;=SYear_O,$A194&lt;=EYear_O,BZ$3&gt;0),IF($A194=SYear_O,BZ$168*(1+Data_All!BZ33%),BZ193*(1+Data_All!BZ33%)),"")</f>
        <v/>
      </c>
      <c r="CA194" s="565">
        <f t="shared" si="92"/>
        <v>4.8388434846993968</v>
      </c>
      <c r="CB194" s="427">
        <f t="shared" si="93"/>
        <v>33989.181683625131</v>
      </c>
      <c r="CC194" s="565">
        <f>IF(AND($A194&gt;=SYear_O,$A194&lt;=EYear_O),(CA194-Data_All!CA33)/(1+Data_All!CA33%),"")</f>
        <v>7.9223198653413975</v>
      </c>
      <c r="CD194" s="436">
        <f t="shared" si="94"/>
        <v>65479.067337032109</v>
      </c>
      <c r="CE194" s="438">
        <f t="shared" si="95"/>
        <v>3.0827929050069187</v>
      </c>
      <c r="CF194" s="438">
        <f>IF(AND($A194&gt;=SYear_O,$A194&lt;=EYear_O),MAX($CE$169:CE194),"")</f>
        <v>3.0827929050069187</v>
      </c>
      <c r="CG194" s="209">
        <f t="shared" si="96"/>
        <v>0</v>
      </c>
      <c r="CN194" s="61">
        <f t="shared" si="97"/>
        <v>4.8388434846994066E-2</v>
      </c>
      <c r="CO194" s="61">
        <f t="shared" si="98"/>
        <v>0.13047361923500778</v>
      </c>
      <c r="CP194" s="61">
        <f t="shared" si="99"/>
        <v>0.11550438727966728</v>
      </c>
      <c r="CQ194" s="61">
        <f t="shared" si="100"/>
        <v>0.10439678737090241</v>
      </c>
      <c r="CR194" s="61">
        <f t="shared" si="101"/>
        <v>8.1193376508469361E-2</v>
      </c>
      <c r="CU194" s="61">
        <f t="shared" si="102"/>
        <v>7.9223198653413984E-2</v>
      </c>
      <c r="CV194" s="61">
        <f t="shared" si="103"/>
        <v>0.12514092401157573</v>
      </c>
      <c r="CW194" s="61">
        <f t="shared" si="104"/>
        <v>8.3412677305213512E-2</v>
      </c>
      <c r="CX194" s="61">
        <f t="shared" si="105"/>
        <v>7.8191983313954383E-2</v>
      </c>
      <c r="CY194" s="61">
        <f t="shared" si="106"/>
        <v>5.7934002999582512E-2</v>
      </c>
    </row>
    <row r="195" spans="1:103">
      <c r="A195" s="204">
        <f t="shared" si="107"/>
        <v>1897</v>
      </c>
      <c r="B195" s="427" t="str">
        <f>IF(AND($A195&gt;=SYear_O,$A195&lt;=EYear_O,B$3&gt;0),IF($A195=SYear_O,B$168*(1+Data_All!B34%),B194*(1+Data_All!B34%)),"")</f>
        <v/>
      </c>
      <c r="C195" s="427" t="str">
        <f>IF(AND($A195&gt;=SYear_O,$A195&lt;=EYear_O,C$3&gt;0),IF($A195=SYear_O,C$168*(1+Data_All!C34%),C194*(1+Data_All!C34%)),"")</f>
        <v/>
      </c>
      <c r="D195" s="427" t="str">
        <f>IF(AND($A195&gt;=SYear_O,$A195&lt;=EYear_O,D$3&gt;0),IF($A195=SYear_O,D$168*(1+Data_All!D34%),D194*(1+Data_All!D34%)),"")</f>
        <v/>
      </c>
      <c r="E195" s="427" t="str">
        <f>IF(AND($A195&gt;=SYear_O,$A195&lt;=EYear_O,E$3&gt;0),IF($A195=SYear_O,E$168*(1+Data_All!E34%),E194*(1+Data_All!E34%)),"")</f>
        <v/>
      </c>
      <c r="F195" s="427" t="str">
        <f>IF(AND($A195&gt;=SYear_O,$A195&lt;=EYear_O,F$3&gt;0),IF($A195=SYear_O,F$168*(1+Data_All!F34%),F194*(1+Data_All!F34%)),"")</f>
        <v/>
      </c>
      <c r="G195" s="427" t="str">
        <f>IF(AND($A195&gt;=SYear_O,$A195&lt;=EYear_O,G$3&gt;0),IF($A195=SYear_O,G$168*(1+Data_All!G34%),G194*(1+Data_All!G34%)),"")</f>
        <v/>
      </c>
      <c r="H195" s="427" t="str">
        <f>IF(AND($A195&gt;=SYear_O,$A195&lt;=EYear_O,H$3&gt;0),IF($A195=SYear_O,H$168*(1+Data_All!H34%),H194*(1+Data_All!H34%)),"")</f>
        <v/>
      </c>
      <c r="I195" s="427" t="str">
        <f>IF(AND($A195&gt;=SYear_O,$A195&lt;=EYear_O,I$3&gt;0),IF($A195=SYear_O,I$168*(1+Data_All!I34%),I194*(1+Data_All!I34%)),"")</f>
        <v/>
      </c>
      <c r="J195" s="427" t="str">
        <f>IF(AND($A195&gt;=SYear_O,$A195&lt;=EYear_O,J$3&gt;0),IF($A195=SYear_O,J$168*(1+Data_All!J34%),J194*(1+Data_All!J34%)),"")</f>
        <v/>
      </c>
      <c r="K195" s="427" t="str">
        <f>IF(AND($A195&gt;=SYear_O,$A195&lt;=EYear_O,K$3&gt;0),IF($A195=SYear_O,K$168*(1+Data_All!K34%),K194*(1+Data_All!K34%)),"")</f>
        <v/>
      </c>
      <c r="L195" s="427" t="str">
        <f>IF(AND($A195&gt;=SYear_O,$A195&lt;=EYear_O,L$3&gt;0),IF($A195=SYear_O,L$168*(1+Data_All!L34%),L194*(1+Data_All!L34%)),"")</f>
        <v/>
      </c>
      <c r="M195" s="427" t="str">
        <f>IF(AND($A195&gt;=SYear_O,$A195&lt;=EYear_O,M$3&gt;0),IF($A195=SYear_O,M$168*(1+Data_All!M34%),M194*(1+Data_All!M34%)),"")</f>
        <v/>
      </c>
      <c r="N195" s="427" t="str">
        <f>IF(AND($A195&gt;=SYear_O,$A195&lt;=EYear_O,N$3&gt;0),IF($A195=SYear_O,N$168*(1+Data_All!N34%),N194*(1+Data_All!N34%)),"")</f>
        <v/>
      </c>
      <c r="O195" s="427" t="str">
        <f>IF(AND($A195&gt;=SYear_O,$A195&lt;=EYear_O,O$3&gt;0),IF($A195=SYear_O,O$168*(1+Data_All!O34%),O194*(1+Data_All!O34%)),"")</f>
        <v/>
      </c>
      <c r="P195" s="427" t="str">
        <f>IF(AND($A195&gt;=SYear_O,$A195&lt;=EYear_O,P$3&gt;0),IF($A195=SYear_O,P$168*(1+Data_All!P34%),P194*(1+Data_All!P34%)),"")</f>
        <v/>
      </c>
      <c r="Q195" s="427" t="str">
        <f>IF(AND($A195&gt;=SYear_O,$A195&lt;=EYear_O,Q$3&gt;0),IF($A195=SYear_O,Q$168*(1+Data_All!Q34%),Q194*(1+Data_All!Q34%)),"")</f>
        <v/>
      </c>
      <c r="R195" s="427" t="str">
        <f>IF(AND($A195&gt;=SYear_O,$A195&lt;=EYear_O,R$3&gt;0),IF($A195=SYear_O,R$168*(1+Data_All!R34%),R194*(1+Data_All!R34%)),"")</f>
        <v/>
      </c>
      <c r="S195" s="427" t="str">
        <f>IF(AND($A195&gt;=SYear_O,$A195&lt;=EYear_O,S$3&gt;0),IF($A195=SYear_O,S$168*(1+Data_All!S34%),S194*(1+Data_All!S34%)),"")</f>
        <v/>
      </c>
      <c r="T195" s="427" t="str">
        <f>IF(AND($A195&gt;=SYear_O,$A195&lt;=EYear_O,T$3&gt;0),IF($A195=SYear_O,T$168*(1+Data_All!T34%),T194*(1+Data_All!T34%)),"")</f>
        <v/>
      </c>
      <c r="U195" s="427" t="str">
        <f>IF(AND($A195&gt;=SYear_O,$A195&lt;=EYear_O,U$3&gt;0),IF($A195=SYear_O,U$168*(1+Data_All!U34%),U194*(1+Data_All!U34%)),"")</f>
        <v/>
      </c>
      <c r="V195" s="427" t="str">
        <f>IF(AND($A195&gt;=SYear_O,$A195&lt;=EYear_O,V$3&gt;0),IF($A195=SYear_O,V$168*(1+Data_All!V34%),V194*(1+Data_All!V34%)),"")</f>
        <v/>
      </c>
      <c r="W195" s="427" t="str">
        <f>IF(AND($A195&gt;=SYear_O,$A195&lt;=EYear_O,W$3&gt;0),IF($A195=SYear_O,W$168*(1+Data_All!W34%),W194*(1+Data_All!W34%)),"")</f>
        <v/>
      </c>
      <c r="X195" s="427" t="str">
        <f>IF(AND($A195&gt;=SYear_O,$A195&lt;=EYear_O,X$3&gt;0),IF($A195=SYear_O,X$168*(1+Data_All!X34%),X194*(1+Data_All!X34%)),"")</f>
        <v/>
      </c>
      <c r="Y195" s="427" t="str">
        <f>IF(AND($A195&gt;=SYear_O,$A195&lt;=EYear_O,Y$3&gt;0),IF($A195=SYear_O,Y$168*(1+Data_All!Y34%),Y194*(1+Data_All!Y34%)),"")</f>
        <v/>
      </c>
      <c r="Z195" s="427" t="str">
        <f>IF(AND($A195&gt;=SYear_O,$A195&lt;=EYear_O,Z$3&gt;0),IF($A195=SYear_O,Z$168*(1+Data_All!Z34%),Z194*(1+Data_All!Z34%)),"")</f>
        <v/>
      </c>
      <c r="AA195" s="427" t="str">
        <f>IF(AND($A195&gt;=SYear_O,$A195&lt;=EYear_O,AA$3&gt;0),IF($A195=SYear_O,AA$168*(1+Data_All!AA34%),AA194*(1+Data_All!AA34%)),"")</f>
        <v/>
      </c>
      <c r="AB195" s="427" t="str">
        <f>IF(AND($A195&gt;=SYear_O,$A195&lt;=EYear_O,AB$3&gt;0),IF($A195=SYear_O,AB$168*(1+Data_All!AB34%),AB194*(1+Data_All!AB34%)),"")</f>
        <v/>
      </c>
      <c r="AC195" s="427" t="str">
        <f>IF(AND($A195&gt;=SYear_O,$A195&lt;=EYear_O,AC$3&gt;0),IF($A195=SYear_O,AC$168*(1+Data_All!AC34%),AC194*(1+Data_All!AC34%)),"")</f>
        <v/>
      </c>
      <c r="AD195" s="427" t="str">
        <f>IF(AND($A195&gt;=SYear_O,$A195&lt;=EYear_O,AD$3&gt;0),IF($A195=SYear_O,AD$168*(1+Data_All!AD34%),AD194*(1+Data_All!AD34%)),"")</f>
        <v/>
      </c>
      <c r="AE195" s="427" t="str">
        <f>IF(AND($A195&gt;=SYear_O,$A195&lt;=EYear_O,AE$3&gt;0),IF($A195=SYear_O,AE$168*(1+Data_All!AE34%),AE194*(1+Data_All!AE34%)),"")</f>
        <v/>
      </c>
      <c r="AF195" s="427" t="str">
        <f>IF(AND($A195&gt;=SYear_O,$A195&lt;=EYear_O,AF$3&gt;0),IF($A195=SYear_O,AF$168*(1+Data_All!AF34%),AF194*(1+Data_All!AF34%)),"")</f>
        <v/>
      </c>
      <c r="AG195" s="427" t="str">
        <f>IF(AND($A195&gt;=SYear_O,$A195&lt;=EYear_O,AG$3&gt;0),IF($A195=SYear_O,AG$168*(1+Data_All!AG34%),AG194*(1+Data_All!AG34%)),"")</f>
        <v/>
      </c>
      <c r="AH195" s="427" t="str">
        <f>IF(AND($A195&gt;=SYear_O,$A195&lt;=EYear_O,AH$3&gt;0),IF($A195=SYear_O,AH$168*(1+Data_All!AH34%),AH194*(1+Data_All!AH34%)),"")</f>
        <v/>
      </c>
      <c r="AI195" s="427" t="str">
        <f>IF(AND($A195&gt;=SYear_O,$A195&lt;=EYear_O,AI$3&gt;0),IF($A195=SYear_O,AI$168*(1+Data_All!AI34%),AI194*(1+Data_All!AI34%)),"")</f>
        <v/>
      </c>
      <c r="AJ195" s="427" t="str">
        <f>IF(AND($A195&gt;=SYear_O,$A195&lt;=EYear_O,AJ$3&gt;0),IF($A195=SYear_O,AJ$168*(1+Data_All!AJ34%),AJ194*(1+Data_All!AJ34%)),"")</f>
        <v/>
      </c>
      <c r="AK195" s="427" t="str">
        <f>IF(AND($A195&gt;=SYear_O,$A195&lt;=EYear_O,AK$3&gt;0),IF($A195=SYear_O,AK$168*(1+Data_All!AK34%),AK194*(1+Data_All!AK34%)),"")</f>
        <v/>
      </c>
      <c r="AL195" s="427" t="str">
        <f>IF(AND($A195&gt;=SYear_O,$A195&lt;=EYear_O,AL$3&gt;0),IF($A195=SYear_O,AL$168*(1+Data_All!AL34%),AL194*(1+Data_All!AL34%)),"")</f>
        <v/>
      </c>
      <c r="AM195" s="427" t="str">
        <f>IF(AND($A195&gt;=SYear_O,$A195&lt;=EYear_O,AM$3&gt;0),IF($A195=SYear_O,AM$168*(1+Data_All!AM34%),AM194*(1+Data_All!AM34%)),"")</f>
        <v/>
      </c>
      <c r="AN195" s="427" t="str">
        <f>IF(AND($A195&gt;=SYear_O,$A195&lt;=EYear_O,AN$3&gt;0),IF($A195=SYear_O,AN$168*(1+Data_All!AN34%),AN194*(1+Data_All!AN34%)),"")</f>
        <v/>
      </c>
      <c r="AO195" s="427" t="str">
        <f>IF(AND($A195&gt;=SYear_O,$A195&lt;=EYear_O,AO$3&gt;0),IF($A195=SYear_O,AO$168*(1+Data_All!AO34%),AO194*(1+Data_All!AO34%)),"")</f>
        <v/>
      </c>
      <c r="AP195" s="427" t="str">
        <f>IF(AND($A195&gt;=SYear_O,$A195&lt;=EYear_O,AP$3&gt;0),IF($A195=SYear_O,AP$168*(1+Data_All!AP34%),AP194*(1+Data_All!AP34%)),"")</f>
        <v/>
      </c>
      <c r="AQ195" s="427" t="str">
        <f>IF(AND($A195&gt;=SYear_O,$A195&lt;=EYear_O,AQ$3&gt;0),IF($A195=SYear_O,AQ$168*(1+Data_All!AQ34%),AQ194*(1+Data_All!AQ34%)),"")</f>
        <v/>
      </c>
      <c r="AR195" s="427" t="str">
        <f>IF(AND($A195&gt;=SYear_O,$A195&lt;=EYear_O,AR$3&gt;0),IF($A195=SYear_O,AR$168*(1+Data_All!AR34%),AR194*(1+Data_All!AR34%)),"")</f>
        <v/>
      </c>
      <c r="AS195" s="427" t="str">
        <f>IF(AND($A195&gt;=SYear_O,$A195&lt;=EYear_O,AS$3&gt;0),IF($A195=SYear_O,AS$168*(1+Data_All!AS34%),AS194*(1+Data_All!AS34%)),"")</f>
        <v/>
      </c>
      <c r="AT195" s="427" t="str">
        <f>IF(AND($A195&gt;=SYear_O,$A195&lt;=EYear_O,AT$3&gt;0),IF($A195=SYear_O,AT$168*(1+Data_All!AT34%),AT194*(1+Data_All!AT34%)),"")</f>
        <v/>
      </c>
      <c r="AU195" s="427" t="str">
        <f>IF(AND($A195&gt;=SYear_O,$A195&lt;=EYear_O,AU$3&gt;0),IF($A195=SYear_O,AU$168*(1+Data_All!AU34%),AU194*(1+Data_All!AU34%)),"")</f>
        <v/>
      </c>
      <c r="AV195" s="427" t="str">
        <f>IF(AND($A195&gt;=SYear_O,$A195&lt;=EYear_O,AV$3&gt;0),IF($A195=SYear_O,AV$168*(1+Data_All!AV34%),AV194*(1+Data_All!AV34%)),"")</f>
        <v/>
      </c>
      <c r="AW195" s="427" t="str">
        <f>IF(AND($A195&gt;=SYear_O,$A195&lt;=EYear_O,AW$3&gt;0),IF($A195=SYear_O,AW$168*(1+Data_All!AW34%),AW194*(1+Data_All!AW34%)),"")</f>
        <v/>
      </c>
      <c r="AX195" s="427" t="str">
        <f>IF(AND($A195&gt;=SYear_O,$A195&lt;=EYear_O,AX$3&gt;0),IF($A195=SYear_O,AX$168*(1+Data_All!AX34%),AX194*(1+Data_All!AX34%)),"")</f>
        <v/>
      </c>
      <c r="AY195" s="427" t="str">
        <f>IF(AND($A195&gt;=SYear_O,$A195&lt;=EYear_O,AY$3&gt;0),IF($A195=SYear_O,AY$168*(1+Data_All!AY34%),AY194*(1+Data_All!AY34%)),"")</f>
        <v/>
      </c>
      <c r="AZ195" s="427" t="str">
        <f>IF(AND($A195&gt;=SYear_O,$A195&lt;=EYear_O,AZ$3&gt;0),IF($A195=SYear_O,AZ$168*(1+Data_All!AZ34%),AZ194*(1+Data_All!AZ34%)),"")</f>
        <v/>
      </c>
      <c r="BA195" s="427" t="str">
        <f>IF(AND($A195&gt;=SYear_O,$A195&lt;=EYear_O,BA$3&gt;0),IF($A195=SYear_O,BA$168*(1+Data_All!BA34%),BA194*(1+Data_All!BA34%)),"")</f>
        <v/>
      </c>
      <c r="BB195" s="427" t="str">
        <f>IF(AND($A195&gt;=SYear_O,$A195&lt;=EYear_O,BB$3&gt;0),IF($A195=SYear_O,BB$168*(1+Data_All!BB34%),BB194*(1+Data_All!BB34%)),"")</f>
        <v/>
      </c>
      <c r="BC195" s="427" t="str">
        <f>IF(AND($A195&gt;=SYear_O,$A195&lt;=EYear_O,BC$3&gt;0),IF($A195=SYear_O,BC$168*(1+Data_All!BC34%),BC194*(1+Data_All!BC34%)),"")</f>
        <v/>
      </c>
      <c r="BD195" s="427" t="str">
        <f>IF(AND($A195&gt;=SYear_O,$A195&lt;=EYear_O,BD$3&gt;0),IF($A195=SYear_O,BD$168*(1+Data_All!BD34%),BD194*(1+Data_All!BD34%)),"")</f>
        <v/>
      </c>
      <c r="BE195" s="427" t="str">
        <f>IF(AND($A195&gt;=SYear_O,$A195&lt;=EYear_O,BE$3&gt;0),IF($A195=SYear_O,BE$168*(1+Data_All!BE34%),BE194*(1+Data_All!BE34%)),"")</f>
        <v/>
      </c>
      <c r="BF195" s="427" t="str">
        <f>IF(AND($A195&gt;=SYear_O,$A195&lt;=EYear_O,BF$3&gt;0),IF($A195=SYear_O,BF$168*(1+Data_All!BF34%),BF194*(1+Data_All!BF34%)),"")</f>
        <v/>
      </c>
      <c r="BG195" s="427" t="str">
        <f>IF(AND($A195&gt;=SYear_O,$A195&lt;=EYear_O,BG$3&gt;0),IF($A195=SYear_O,BG$168*(1+Data_All!BG34%),BG194*(1+Data_All!BG34%)),"")</f>
        <v/>
      </c>
      <c r="BH195" s="427" t="str">
        <f>IF(AND($A195&gt;=SYear_O,$A195&lt;=EYear_O,BH$3&gt;0),IF($A195=SYear_O,BH$168*(1+Data_All!BH34%),BH194*(1+Data_All!BH34%)),"")</f>
        <v/>
      </c>
      <c r="BI195" s="427" t="str">
        <f>IF(AND($A195&gt;=SYear_O,$A195&lt;=EYear_O,BI$3&gt;0),IF($A195=SYear_O,BI$168*(1+Data_All!BI34%),BI194*(1+Data_All!BI34%)),"")</f>
        <v/>
      </c>
      <c r="BJ195" s="427" t="str">
        <f>IF(AND($A195&gt;=SYear_O,$A195&lt;=EYear_O,BJ$3&gt;0),IF($A195=SYear_O,BJ$168*(1+Data_All!BJ34%),BJ194*(1+Data_All!BJ34%)),"")</f>
        <v/>
      </c>
      <c r="BK195" s="427" t="str">
        <f>IF(AND($A195&gt;=SYear_O,$A195&lt;=EYear_O,BK$3&gt;0),IF($A195=SYear_O,BK$168*(1+Data_All!BK34%),BK194*(1+Data_All!BK34%)),"")</f>
        <v/>
      </c>
      <c r="BL195" s="427" t="str">
        <f>IF(AND($A195&gt;=SYear_O,$A195&lt;=EYear_O,BL$3&gt;0),IF($A195=SYear_O,BL$168*(1+Data_All!BL34%),BL194*(1+Data_All!BL34%)),"")</f>
        <v/>
      </c>
      <c r="BM195" s="427" t="str">
        <f>IF(AND($A195&gt;=SYear_O,$A195&lt;=EYear_O,BM$3&gt;0),IF($A195=SYear_O,BM$168*(1+Data_All!BM34%),BM194*(1+Data_All!BM34%)),"")</f>
        <v/>
      </c>
      <c r="BN195" s="427" t="str">
        <f>IF(AND($A195&gt;=SYear_O,$A195&lt;=EYear_O,BN$3&gt;0),IF($A195=SYear_O,BN$168*(1+Data_All!BN34%),BN194*(1+Data_All!BN34%)),"")</f>
        <v/>
      </c>
      <c r="BO195" s="427" t="str">
        <f>IF(AND($A195&gt;=SYear_O,$A195&lt;=EYear_O,BO$3&gt;0),IF($A195=SYear_O,BO$168*(1+Data_All!BO34%),BO194*(1+Data_All!BO34%)),"")</f>
        <v/>
      </c>
      <c r="BP195" s="427" t="str">
        <f>IF(AND($A195&gt;=SYear_O,$A195&lt;=EYear_O,BP$3&gt;0),IF($A195=SYear_O,BP$168*(1+Data_All!BP34%),BP194*(1+Data_All!BP34%)),"")</f>
        <v/>
      </c>
      <c r="BQ195" s="427" t="str">
        <f>IF(AND($A195&gt;=SYear_O,$A195&lt;=EYear_O,BQ$3&gt;0),IF($A195=SYear_O,BQ$168*(1+Data_All!BQ34%),BQ194*(1+Data_All!BQ34%)),"")</f>
        <v/>
      </c>
      <c r="BR195" s="427" t="str">
        <f>IF(AND($A195&gt;=SYear_O,$A195&lt;=EYear_O,BR$3&gt;0),IF($A195=SYear_O,BR$168*(1+Data_All!BR34%),BR194*(1+Data_All!BR34%)),"")</f>
        <v/>
      </c>
      <c r="BS195" s="427" t="str">
        <f>IF(AND($A195&gt;=SYear_O,$A195&lt;=EYear_O,BS$3&gt;0),IF($A195=SYear_O,BS$168*(1+Data_All!BS34%),BS194*(1+Data_All!BS34%)),"")</f>
        <v/>
      </c>
      <c r="BT195" s="427" t="str">
        <f>IF(AND($A195&gt;=SYear_O,$A195&lt;=EYear_O,BT$3&gt;0),IF($A195=SYear_O,BT$168*(1+Data_All!BT34%),BT194*(1+Data_All!BT34%)),"")</f>
        <v/>
      </c>
      <c r="BU195" s="427" t="str">
        <f>IF(AND($A195&gt;=SYear_O,$A195&lt;=EYear_O,BU$3&gt;0),IF($A195=SYear_O,BU$168*(1+Data_All!BU34%),BU194*(1+Data_All!BU34%)),"")</f>
        <v/>
      </c>
      <c r="BV195" s="427" t="str">
        <f>IF(AND($A195&gt;=SYear_O,$A195&lt;=EYear_O,BV$3&gt;0),IF($A195=SYear_O,BV$168*(1+Data_All!BV34%),BV194*(1+Data_All!BV34%)),"")</f>
        <v/>
      </c>
      <c r="BW195" s="427" t="str">
        <f>IF(AND($A195&gt;=SYear_O,$A195&lt;=EYear_O,BW$3&gt;0),IF($A195=SYear_O,BW$168*(1+Data_All!BW34%),BW194*(1+Data_All!BW34%)),"")</f>
        <v/>
      </c>
      <c r="BX195" s="427">
        <f>IF(AND($A195&gt;=SYear_O,$A195&lt;=EYear_O,BX$3&gt;0),IF($A195=SYear_O,BX$168*(1+Data_All!BX34%),BX194*(1+Data_All!BX34%)),"")</f>
        <v>26273.409715108304</v>
      </c>
      <c r="BY195" s="427">
        <f>IF(AND($A195&gt;=SYear_O,$A195&lt;=EYear_O,BY$3&gt;0),IF($A195=SYear_O,BY$168*(1+Data_All!BY34%),BY194*(1+Data_All!BY34%)),"")</f>
        <v>12480.071630708164</v>
      </c>
      <c r="BZ195" s="427" t="str">
        <f>IF(AND($A195&gt;=SYear_O,$A195&lt;=EYear_O,BZ$3&gt;0),IF($A195=SYear_O,BZ$168*(1+Data_All!BZ34%),BZ194*(1+Data_All!BZ34%)),"")</f>
        <v/>
      </c>
      <c r="CA195" s="565">
        <f t="shared" si="92"/>
        <v>14.017106109049466</v>
      </c>
      <c r="CB195" s="427">
        <f t="shared" si="93"/>
        <v>38753.481345816472</v>
      </c>
      <c r="CC195" s="565">
        <f>IF(AND($A195&gt;=SYear_O,$A195&lt;=EYear_O),(CA195-Data_All!CA34)/(1+Data_All!CA34%),"")</f>
        <v>10.759494021808633</v>
      </c>
      <c r="CD195" s="436">
        <f t="shared" si="94"/>
        <v>72524.283672696125</v>
      </c>
      <c r="CE195" s="438">
        <f t="shared" si="95"/>
        <v>3.5149112576239872</v>
      </c>
      <c r="CF195" s="438">
        <f>IF(AND($A195&gt;=SYear_O,$A195&lt;=EYear_O),MAX($CE$169:CE195),"")</f>
        <v>3.5149112576239872</v>
      </c>
      <c r="CG195" s="209">
        <f t="shared" si="96"/>
        <v>0</v>
      </c>
      <c r="CN195" s="61">
        <f t="shared" si="97"/>
        <v>0.14017106109049471</v>
      </c>
      <c r="CO195" s="61">
        <f t="shared" si="98"/>
        <v>0.12347620998683539</v>
      </c>
      <c r="CP195" s="61">
        <f t="shared" si="99"/>
        <v>0.13664462191650983</v>
      </c>
      <c r="CQ195" s="61">
        <f t="shared" si="100"/>
        <v>0.10025024198261767</v>
      </c>
      <c r="CR195" s="61">
        <f t="shared" si="101"/>
        <v>8.0210615495247772E-2</v>
      </c>
      <c r="CU195" s="61">
        <f t="shared" si="102"/>
        <v>0.10759494021808624</v>
      </c>
      <c r="CV195" s="61">
        <f t="shared" si="103"/>
        <v>5.1253434659791486E-2</v>
      </c>
      <c r="CW195" s="61">
        <f t="shared" si="104"/>
        <v>9.2221772895615173E-2</v>
      </c>
      <c r="CX195" s="61">
        <f t="shared" si="105"/>
        <v>6.6336417641411405E-2</v>
      </c>
      <c r="CY195" s="61">
        <f t="shared" si="106"/>
        <v>5.5660351269823272E-2</v>
      </c>
    </row>
    <row r="196" spans="1:103">
      <c r="A196" s="204">
        <f t="shared" si="107"/>
        <v>1898</v>
      </c>
      <c r="B196" s="427" t="str">
        <f>IF(AND($A196&gt;=SYear_O,$A196&lt;=EYear_O,B$3&gt;0),IF($A196=SYear_O,B$168*(1+Data_All!B35%),B195*(1+Data_All!B35%)),"")</f>
        <v/>
      </c>
      <c r="C196" s="427" t="str">
        <f>IF(AND($A196&gt;=SYear_O,$A196&lt;=EYear_O,C$3&gt;0),IF($A196=SYear_O,C$168*(1+Data_All!C35%),C195*(1+Data_All!C35%)),"")</f>
        <v/>
      </c>
      <c r="D196" s="427" t="str">
        <f>IF(AND($A196&gt;=SYear_O,$A196&lt;=EYear_O,D$3&gt;0),IF($A196=SYear_O,D$168*(1+Data_All!D35%),D195*(1+Data_All!D35%)),"")</f>
        <v/>
      </c>
      <c r="E196" s="427" t="str">
        <f>IF(AND($A196&gt;=SYear_O,$A196&lt;=EYear_O,E$3&gt;0),IF($A196=SYear_O,E$168*(1+Data_All!E35%),E195*(1+Data_All!E35%)),"")</f>
        <v/>
      </c>
      <c r="F196" s="427" t="str">
        <f>IF(AND($A196&gt;=SYear_O,$A196&lt;=EYear_O,F$3&gt;0),IF($A196=SYear_O,F$168*(1+Data_All!F35%),F195*(1+Data_All!F35%)),"")</f>
        <v/>
      </c>
      <c r="G196" s="427" t="str">
        <f>IF(AND($A196&gt;=SYear_O,$A196&lt;=EYear_O,G$3&gt;0),IF($A196=SYear_O,G$168*(1+Data_All!G35%),G195*(1+Data_All!G35%)),"")</f>
        <v/>
      </c>
      <c r="H196" s="427" t="str">
        <f>IF(AND($A196&gt;=SYear_O,$A196&lt;=EYear_O,H$3&gt;0),IF($A196=SYear_O,H$168*(1+Data_All!H35%),H195*(1+Data_All!H35%)),"")</f>
        <v/>
      </c>
      <c r="I196" s="427" t="str">
        <f>IF(AND($A196&gt;=SYear_O,$A196&lt;=EYear_O,I$3&gt;0),IF($A196=SYear_O,I$168*(1+Data_All!I35%),I195*(1+Data_All!I35%)),"")</f>
        <v/>
      </c>
      <c r="J196" s="427" t="str">
        <f>IF(AND($A196&gt;=SYear_O,$A196&lt;=EYear_O,J$3&gt;0),IF($A196=SYear_O,J$168*(1+Data_All!J35%),J195*(1+Data_All!J35%)),"")</f>
        <v/>
      </c>
      <c r="K196" s="427" t="str">
        <f>IF(AND($A196&gt;=SYear_O,$A196&lt;=EYear_O,K$3&gt;0),IF($A196=SYear_O,K$168*(1+Data_All!K35%),K195*(1+Data_All!K35%)),"")</f>
        <v/>
      </c>
      <c r="L196" s="427" t="str">
        <f>IF(AND($A196&gt;=SYear_O,$A196&lt;=EYear_O,L$3&gt;0),IF($A196=SYear_O,L$168*(1+Data_All!L35%),L195*(1+Data_All!L35%)),"")</f>
        <v/>
      </c>
      <c r="M196" s="427" t="str">
        <f>IF(AND($A196&gt;=SYear_O,$A196&lt;=EYear_O,M$3&gt;0),IF($A196=SYear_O,M$168*(1+Data_All!M35%),M195*(1+Data_All!M35%)),"")</f>
        <v/>
      </c>
      <c r="N196" s="427" t="str">
        <f>IF(AND($A196&gt;=SYear_O,$A196&lt;=EYear_O,N$3&gt;0),IF($A196=SYear_O,N$168*(1+Data_All!N35%),N195*(1+Data_All!N35%)),"")</f>
        <v/>
      </c>
      <c r="O196" s="427" t="str">
        <f>IF(AND($A196&gt;=SYear_O,$A196&lt;=EYear_O,O$3&gt;0),IF($A196=SYear_O,O$168*(1+Data_All!O35%),O195*(1+Data_All!O35%)),"")</f>
        <v/>
      </c>
      <c r="P196" s="427" t="str">
        <f>IF(AND($A196&gt;=SYear_O,$A196&lt;=EYear_O,P$3&gt;0),IF($A196=SYear_O,P$168*(1+Data_All!P35%),P195*(1+Data_All!P35%)),"")</f>
        <v/>
      </c>
      <c r="Q196" s="427" t="str">
        <f>IF(AND($A196&gt;=SYear_O,$A196&lt;=EYear_O,Q$3&gt;0),IF($A196=SYear_O,Q$168*(1+Data_All!Q35%),Q195*(1+Data_All!Q35%)),"")</f>
        <v/>
      </c>
      <c r="R196" s="427" t="str">
        <f>IF(AND($A196&gt;=SYear_O,$A196&lt;=EYear_O,R$3&gt;0),IF($A196=SYear_O,R$168*(1+Data_All!R35%),R195*(1+Data_All!R35%)),"")</f>
        <v/>
      </c>
      <c r="S196" s="427" t="str">
        <f>IF(AND($A196&gt;=SYear_O,$A196&lt;=EYear_O,S$3&gt;0),IF($A196=SYear_O,S$168*(1+Data_All!S35%),S195*(1+Data_All!S35%)),"")</f>
        <v/>
      </c>
      <c r="T196" s="427" t="str">
        <f>IF(AND($A196&gt;=SYear_O,$A196&lt;=EYear_O,T$3&gt;0),IF($A196=SYear_O,T$168*(1+Data_All!T35%),T195*(1+Data_All!T35%)),"")</f>
        <v/>
      </c>
      <c r="U196" s="427" t="str">
        <f>IF(AND($A196&gt;=SYear_O,$A196&lt;=EYear_O,U$3&gt;0),IF($A196=SYear_O,U$168*(1+Data_All!U35%),U195*(1+Data_All!U35%)),"")</f>
        <v/>
      </c>
      <c r="V196" s="427" t="str">
        <f>IF(AND($A196&gt;=SYear_O,$A196&lt;=EYear_O,V$3&gt;0),IF($A196=SYear_O,V$168*(1+Data_All!V35%),V195*(1+Data_All!V35%)),"")</f>
        <v/>
      </c>
      <c r="W196" s="427" t="str">
        <f>IF(AND($A196&gt;=SYear_O,$A196&lt;=EYear_O,W$3&gt;0),IF($A196=SYear_O,W$168*(1+Data_All!W35%),W195*(1+Data_All!W35%)),"")</f>
        <v/>
      </c>
      <c r="X196" s="427" t="str">
        <f>IF(AND($A196&gt;=SYear_O,$A196&lt;=EYear_O,X$3&gt;0),IF($A196=SYear_O,X$168*(1+Data_All!X35%),X195*(1+Data_All!X35%)),"")</f>
        <v/>
      </c>
      <c r="Y196" s="427" t="str">
        <f>IF(AND($A196&gt;=SYear_O,$A196&lt;=EYear_O,Y$3&gt;0),IF($A196=SYear_O,Y$168*(1+Data_All!Y35%),Y195*(1+Data_All!Y35%)),"")</f>
        <v/>
      </c>
      <c r="Z196" s="427" t="str">
        <f>IF(AND($A196&gt;=SYear_O,$A196&lt;=EYear_O,Z$3&gt;0),IF($A196=SYear_O,Z$168*(1+Data_All!Z35%),Z195*(1+Data_All!Z35%)),"")</f>
        <v/>
      </c>
      <c r="AA196" s="427" t="str">
        <f>IF(AND($A196&gt;=SYear_O,$A196&lt;=EYear_O,AA$3&gt;0),IF($A196=SYear_O,AA$168*(1+Data_All!AA35%),AA195*(1+Data_All!AA35%)),"")</f>
        <v/>
      </c>
      <c r="AB196" s="427" t="str">
        <f>IF(AND($A196&gt;=SYear_O,$A196&lt;=EYear_O,AB$3&gt;0),IF($A196=SYear_O,AB$168*(1+Data_All!AB35%),AB195*(1+Data_All!AB35%)),"")</f>
        <v/>
      </c>
      <c r="AC196" s="427" t="str">
        <f>IF(AND($A196&gt;=SYear_O,$A196&lt;=EYear_O,AC$3&gt;0),IF($A196=SYear_O,AC$168*(1+Data_All!AC35%),AC195*(1+Data_All!AC35%)),"")</f>
        <v/>
      </c>
      <c r="AD196" s="427" t="str">
        <f>IF(AND($A196&gt;=SYear_O,$A196&lt;=EYear_O,AD$3&gt;0),IF($A196=SYear_O,AD$168*(1+Data_All!AD35%),AD195*(1+Data_All!AD35%)),"")</f>
        <v/>
      </c>
      <c r="AE196" s="427" t="str">
        <f>IF(AND($A196&gt;=SYear_O,$A196&lt;=EYear_O,AE$3&gt;0),IF($A196=SYear_O,AE$168*(1+Data_All!AE35%),AE195*(1+Data_All!AE35%)),"")</f>
        <v/>
      </c>
      <c r="AF196" s="427" t="str">
        <f>IF(AND($A196&gt;=SYear_O,$A196&lt;=EYear_O,AF$3&gt;0),IF($A196=SYear_O,AF$168*(1+Data_All!AF35%),AF195*(1+Data_All!AF35%)),"")</f>
        <v/>
      </c>
      <c r="AG196" s="427" t="str">
        <f>IF(AND($A196&gt;=SYear_O,$A196&lt;=EYear_O,AG$3&gt;0),IF($A196=SYear_O,AG$168*(1+Data_All!AG35%),AG195*(1+Data_All!AG35%)),"")</f>
        <v/>
      </c>
      <c r="AH196" s="427" t="str">
        <f>IF(AND($A196&gt;=SYear_O,$A196&lt;=EYear_O,AH$3&gt;0),IF($A196=SYear_O,AH$168*(1+Data_All!AH35%),AH195*(1+Data_All!AH35%)),"")</f>
        <v/>
      </c>
      <c r="AI196" s="427" t="str">
        <f>IF(AND($A196&gt;=SYear_O,$A196&lt;=EYear_O,AI$3&gt;0),IF($A196=SYear_O,AI$168*(1+Data_All!AI35%),AI195*(1+Data_All!AI35%)),"")</f>
        <v/>
      </c>
      <c r="AJ196" s="427" t="str">
        <f>IF(AND($A196&gt;=SYear_O,$A196&lt;=EYear_O,AJ$3&gt;0),IF($A196=SYear_O,AJ$168*(1+Data_All!AJ35%),AJ195*(1+Data_All!AJ35%)),"")</f>
        <v/>
      </c>
      <c r="AK196" s="427" t="str">
        <f>IF(AND($A196&gt;=SYear_O,$A196&lt;=EYear_O,AK$3&gt;0),IF($A196=SYear_O,AK$168*(1+Data_All!AK35%),AK195*(1+Data_All!AK35%)),"")</f>
        <v/>
      </c>
      <c r="AL196" s="427" t="str">
        <f>IF(AND($A196&gt;=SYear_O,$A196&lt;=EYear_O,AL$3&gt;0),IF($A196=SYear_O,AL$168*(1+Data_All!AL35%),AL195*(1+Data_All!AL35%)),"")</f>
        <v/>
      </c>
      <c r="AM196" s="427" t="str">
        <f>IF(AND($A196&gt;=SYear_O,$A196&lt;=EYear_O,AM$3&gt;0),IF($A196=SYear_O,AM$168*(1+Data_All!AM35%),AM195*(1+Data_All!AM35%)),"")</f>
        <v/>
      </c>
      <c r="AN196" s="427" t="str">
        <f>IF(AND($A196&gt;=SYear_O,$A196&lt;=EYear_O,AN$3&gt;0),IF($A196=SYear_O,AN$168*(1+Data_All!AN35%),AN195*(1+Data_All!AN35%)),"")</f>
        <v/>
      </c>
      <c r="AO196" s="427" t="str">
        <f>IF(AND($A196&gt;=SYear_O,$A196&lt;=EYear_O,AO$3&gt;0),IF($A196=SYear_O,AO$168*(1+Data_All!AO35%),AO195*(1+Data_All!AO35%)),"")</f>
        <v/>
      </c>
      <c r="AP196" s="427" t="str">
        <f>IF(AND($A196&gt;=SYear_O,$A196&lt;=EYear_O,AP$3&gt;0),IF($A196=SYear_O,AP$168*(1+Data_All!AP35%),AP195*(1+Data_All!AP35%)),"")</f>
        <v/>
      </c>
      <c r="AQ196" s="427" t="str">
        <f>IF(AND($A196&gt;=SYear_O,$A196&lt;=EYear_O,AQ$3&gt;0),IF($A196=SYear_O,AQ$168*(1+Data_All!AQ35%),AQ195*(1+Data_All!AQ35%)),"")</f>
        <v/>
      </c>
      <c r="AR196" s="427" t="str">
        <f>IF(AND($A196&gt;=SYear_O,$A196&lt;=EYear_O,AR$3&gt;0),IF($A196=SYear_O,AR$168*(1+Data_All!AR35%),AR195*(1+Data_All!AR35%)),"")</f>
        <v/>
      </c>
      <c r="AS196" s="427" t="str">
        <f>IF(AND($A196&gt;=SYear_O,$A196&lt;=EYear_O,AS$3&gt;0),IF($A196=SYear_O,AS$168*(1+Data_All!AS35%),AS195*(1+Data_All!AS35%)),"")</f>
        <v/>
      </c>
      <c r="AT196" s="427" t="str">
        <f>IF(AND($A196&gt;=SYear_O,$A196&lt;=EYear_O,AT$3&gt;0),IF($A196=SYear_O,AT$168*(1+Data_All!AT35%),AT195*(1+Data_All!AT35%)),"")</f>
        <v/>
      </c>
      <c r="AU196" s="427" t="str">
        <f>IF(AND($A196&gt;=SYear_O,$A196&lt;=EYear_O,AU$3&gt;0),IF($A196=SYear_O,AU$168*(1+Data_All!AU35%),AU195*(1+Data_All!AU35%)),"")</f>
        <v/>
      </c>
      <c r="AV196" s="427" t="str">
        <f>IF(AND($A196&gt;=SYear_O,$A196&lt;=EYear_O,AV$3&gt;0),IF($A196=SYear_O,AV$168*(1+Data_All!AV35%),AV195*(1+Data_All!AV35%)),"")</f>
        <v/>
      </c>
      <c r="AW196" s="427" t="str">
        <f>IF(AND($A196&gt;=SYear_O,$A196&lt;=EYear_O,AW$3&gt;0),IF($A196=SYear_O,AW$168*(1+Data_All!AW35%),AW195*(1+Data_All!AW35%)),"")</f>
        <v/>
      </c>
      <c r="AX196" s="427" t="str">
        <f>IF(AND($A196&gt;=SYear_O,$A196&lt;=EYear_O,AX$3&gt;0),IF($A196=SYear_O,AX$168*(1+Data_All!AX35%),AX195*(1+Data_All!AX35%)),"")</f>
        <v/>
      </c>
      <c r="AY196" s="427" t="str">
        <f>IF(AND($A196&gt;=SYear_O,$A196&lt;=EYear_O,AY$3&gt;0),IF($A196=SYear_O,AY$168*(1+Data_All!AY35%),AY195*(1+Data_All!AY35%)),"")</f>
        <v/>
      </c>
      <c r="AZ196" s="427" t="str">
        <f>IF(AND($A196&gt;=SYear_O,$A196&lt;=EYear_O,AZ$3&gt;0),IF($A196=SYear_O,AZ$168*(1+Data_All!AZ35%),AZ195*(1+Data_All!AZ35%)),"")</f>
        <v/>
      </c>
      <c r="BA196" s="427" t="str">
        <f>IF(AND($A196&gt;=SYear_O,$A196&lt;=EYear_O,BA$3&gt;0),IF($A196=SYear_O,BA$168*(1+Data_All!BA35%),BA195*(1+Data_All!BA35%)),"")</f>
        <v/>
      </c>
      <c r="BB196" s="427" t="str">
        <f>IF(AND($A196&gt;=SYear_O,$A196&lt;=EYear_O,BB$3&gt;0),IF($A196=SYear_O,BB$168*(1+Data_All!BB35%),BB195*(1+Data_All!BB35%)),"")</f>
        <v/>
      </c>
      <c r="BC196" s="427" t="str">
        <f>IF(AND($A196&gt;=SYear_O,$A196&lt;=EYear_O,BC$3&gt;0),IF($A196=SYear_O,BC$168*(1+Data_All!BC35%),BC195*(1+Data_All!BC35%)),"")</f>
        <v/>
      </c>
      <c r="BD196" s="427" t="str">
        <f>IF(AND($A196&gt;=SYear_O,$A196&lt;=EYear_O,BD$3&gt;0),IF($A196=SYear_O,BD$168*(1+Data_All!BD35%),BD195*(1+Data_All!BD35%)),"")</f>
        <v/>
      </c>
      <c r="BE196" s="427" t="str">
        <f>IF(AND($A196&gt;=SYear_O,$A196&lt;=EYear_O,BE$3&gt;0),IF($A196=SYear_O,BE$168*(1+Data_All!BE35%),BE195*(1+Data_All!BE35%)),"")</f>
        <v/>
      </c>
      <c r="BF196" s="427" t="str">
        <f>IF(AND($A196&gt;=SYear_O,$A196&lt;=EYear_O,BF$3&gt;0),IF($A196=SYear_O,BF$168*(1+Data_All!BF35%),BF195*(1+Data_All!BF35%)),"")</f>
        <v/>
      </c>
      <c r="BG196" s="427" t="str">
        <f>IF(AND($A196&gt;=SYear_O,$A196&lt;=EYear_O,BG$3&gt;0),IF($A196=SYear_O,BG$168*(1+Data_All!BG35%),BG195*(1+Data_All!BG35%)),"")</f>
        <v/>
      </c>
      <c r="BH196" s="427" t="str">
        <f>IF(AND($A196&gt;=SYear_O,$A196&lt;=EYear_O,BH$3&gt;0),IF($A196=SYear_O,BH$168*(1+Data_All!BH35%),BH195*(1+Data_All!BH35%)),"")</f>
        <v/>
      </c>
      <c r="BI196" s="427" t="str">
        <f>IF(AND($A196&gt;=SYear_O,$A196&lt;=EYear_O,BI$3&gt;0),IF($A196=SYear_O,BI$168*(1+Data_All!BI35%),BI195*(1+Data_All!BI35%)),"")</f>
        <v/>
      </c>
      <c r="BJ196" s="427" t="str">
        <f>IF(AND($A196&gt;=SYear_O,$A196&lt;=EYear_O,BJ$3&gt;0),IF($A196=SYear_O,BJ$168*(1+Data_All!BJ35%),BJ195*(1+Data_All!BJ35%)),"")</f>
        <v/>
      </c>
      <c r="BK196" s="427" t="str">
        <f>IF(AND($A196&gt;=SYear_O,$A196&lt;=EYear_O,BK$3&gt;0),IF($A196=SYear_O,BK$168*(1+Data_All!BK35%),BK195*(1+Data_All!BK35%)),"")</f>
        <v/>
      </c>
      <c r="BL196" s="427" t="str">
        <f>IF(AND($A196&gt;=SYear_O,$A196&lt;=EYear_O,BL$3&gt;0),IF($A196=SYear_O,BL$168*(1+Data_All!BL35%),BL195*(1+Data_All!BL35%)),"")</f>
        <v/>
      </c>
      <c r="BM196" s="427" t="str">
        <f>IF(AND($A196&gt;=SYear_O,$A196&lt;=EYear_O,BM$3&gt;0),IF($A196=SYear_O,BM$168*(1+Data_All!BM35%),BM195*(1+Data_All!BM35%)),"")</f>
        <v/>
      </c>
      <c r="BN196" s="427" t="str">
        <f>IF(AND($A196&gt;=SYear_O,$A196&lt;=EYear_O,BN$3&gt;0),IF($A196=SYear_O,BN$168*(1+Data_All!BN35%),BN195*(1+Data_All!BN35%)),"")</f>
        <v/>
      </c>
      <c r="BO196" s="427" t="str">
        <f>IF(AND($A196&gt;=SYear_O,$A196&lt;=EYear_O,BO$3&gt;0),IF($A196=SYear_O,BO$168*(1+Data_All!BO35%),BO195*(1+Data_All!BO35%)),"")</f>
        <v/>
      </c>
      <c r="BP196" s="427" t="str">
        <f>IF(AND($A196&gt;=SYear_O,$A196&lt;=EYear_O,BP$3&gt;0),IF($A196=SYear_O,BP$168*(1+Data_All!BP35%),BP195*(1+Data_All!BP35%)),"")</f>
        <v/>
      </c>
      <c r="BQ196" s="427" t="str">
        <f>IF(AND($A196&gt;=SYear_O,$A196&lt;=EYear_O,BQ$3&gt;0),IF($A196=SYear_O,BQ$168*(1+Data_All!BQ35%),BQ195*(1+Data_All!BQ35%)),"")</f>
        <v/>
      </c>
      <c r="BR196" s="427" t="str">
        <f>IF(AND($A196&gt;=SYear_O,$A196&lt;=EYear_O,BR$3&gt;0),IF($A196=SYear_O,BR$168*(1+Data_All!BR35%),BR195*(1+Data_All!BR35%)),"")</f>
        <v/>
      </c>
      <c r="BS196" s="427" t="str">
        <f>IF(AND($A196&gt;=SYear_O,$A196&lt;=EYear_O,BS$3&gt;0),IF($A196=SYear_O,BS$168*(1+Data_All!BS35%),BS195*(1+Data_All!BS35%)),"")</f>
        <v/>
      </c>
      <c r="BT196" s="427" t="str">
        <f>IF(AND($A196&gt;=SYear_O,$A196&lt;=EYear_O,BT$3&gt;0),IF($A196=SYear_O,BT$168*(1+Data_All!BT35%),BT195*(1+Data_All!BT35%)),"")</f>
        <v/>
      </c>
      <c r="BU196" s="427" t="str">
        <f>IF(AND($A196&gt;=SYear_O,$A196&lt;=EYear_O,BU$3&gt;0),IF($A196=SYear_O,BU$168*(1+Data_All!BU35%),BU195*(1+Data_All!BU35%)),"")</f>
        <v/>
      </c>
      <c r="BV196" s="427" t="str">
        <f>IF(AND($A196&gt;=SYear_O,$A196&lt;=EYear_O,BV$3&gt;0),IF($A196=SYear_O,BV$168*(1+Data_All!BV35%),BV195*(1+Data_All!BV35%)),"")</f>
        <v/>
      </c>
      <c r="BW196" s="427" t="str">
        <f>IF(AND($A196&gt;=SYear_O,$A196&lt;=EYear_O,BW$3&gt;0),IF($A196=SYear_O,BW$168*(1+Data_All!BW35%),BW195*(1+Data_All!BW35%)),"")</f>
        <v/>
      </c>
      <c r="BX196" s="427">
        <f>IF(AND($A196&gt;=SYear_O,$A196&lt;=EYear_O,BX$3&gt;0),IF($A196=SYear_O,BX$168*(1+Data_All!BX35%),BX195*(1+Data_All!BX35%)),"")</f>
        <v>33810.86332190167</v>
      </c>
      <c r="BY196" s="427">
        <f>IF(AND($A196&gt;=SYear_O,$A196&lt;=EYear_O,BY$3&gt;0),IF($A196=SYear_O,BY$168*(1+Data_All!BY35%),BY195*(1+Data_All!BY35%)),"")</f>
        <v>13027.292120168691</v>
      </c>
      <c r="BZ196" s="427" t="str">
        <f>IF(AND($A196&gt;=SYear_O,$A196&lt;=EYear_O,BZ$3&gt;0),IF($A196=SYear_O,BZ$168*(1+Data_All!BZ35%),BZ195*(1+Data_All!BZ35%)),"")</f>
        <v/>
      </c>
      <c r="CA196" s="565">
        <f t="shared" si="92"/>
        <v>20.86180083825333</v>
      </c>
      <c r="CB196" s="427">
        <f t="shared" si="93"/>
        <v>46838.155442070361</v>
      </c>
      <c r="CC196" s="565">
        <f>IF(AND($A196&gt;=SYear_O,$A196&lt;=EYear_O),(CA196-Data_All!CA35)/(1+Data_All!CA35%),"")</f>
        <v>19.15946056843886</v>
      </c>
      <c r="CD196" s="436">
        <f t="shared" si="94"/>
        <v>86419.545205509086</v>
      </c>
      <c r="CE196" s="438">
        <f t="shared" si="95"/>
        <v>4.2481850438308486</v>
      </c>
      <c r="CF196" s="438">
        <f>IF(AND($A196&gt;=SYear_O,$A196&lt;=EYear_O),MAX($CE$169:CE196),"")</f>
        <v>4.2481850438308486</v>
      </c>
      <c r="CG196" s="209">
        <f t="shared" si="96"/>
        <v>0</v>
      </c>
      <c r="CN196" s="61">
        <f t="shared" si="97"/>
        <v>0.2086180083825333</v>
      </c>
      <c r="CO196" s="61">
        <f t="shared" si="98"/>
        <v>0.13054553571772831</v>
      </c>
      <c r="CP196" s="61">
        <f t="shared" si="99"/>
        <v>0.1217870026825687</v>
      </c>
      <c r="CQ196" s="61">
        <f t="shared" si="100"/>
        <v>6.3605222925976701E-2</v>
      </c>
      <c r="CR196" s="61">
        <f t="shared" si="101"/>
        <v>7.5000308799657356E-2</v>
      </c>
      <c r="CU196" s="61">
        <f t="shared" si="102"/>
        <v>0.19159460568438869</v>
      </c>
      <c r="CV196" s="61">
        <f t="shared" si="103"/>
        <v>7.6859664368891911E-2</v>
      </c>
      <c r="CW196" s="61">
        <f t="shared" si="104"/>
        <v>6.4441142239647364E-2</v>
      </c>
      <c r="CX196" s="61">
        <f t="shared" si="105"/>
        <v>3.6062811870135159E-2</v>
      </c>
      <c r="CY196" s="61">
        <f t="shared" si="106"/>
        <v>4.7673534689633756E-2</v>
      </c>
    </row>
    <row r="197" spans="1:103">
      <c r="A197" s="204">
        <f t="shared" si="107"/>
        <v>1899</v>
      </c>
      <c r="B197" s="427" t="str">
        <f>IF(AND($A197&gt;=SYear_O,$A197&lt;=EYear_O,B$3&gt;0),IF($A197=SYear_O,B$168*(1+Data_All!B36%),B196*(1+Data_All!B36%)),"")</f>
        <v/>
      </c>
      <c r="C197" s="427" t="str">
        <f>IF(AND($A197&gt;=SYear_O,$A197&lt;=EYear_O,C$3&gt;0),IF($A197=SYear_O,C$168*(1+Data_All!C36%),C196*(1+Data_All!C36%)),"")</f>
        <v/>
      </c>
      <c r="D197" s="427" t="str">
        <f>IF(AND($A197&gt;=SYear_O,$A197&lt;=EYear_O,D$3&gt;0),IF($A197=SYear_O,D$168*(1+Data_All!D36%),D196*(1+Data_All!D36%)),"")</f>
        <v/>
      </c>
      <c r="E197" s="427" t="str">
        <f>IF(AND($A197&gt;=SYear_O,$A197&lt;=EYear_O,E$3&gt;0),IF($A197=SYear_O,E$168*(1+Data_All!E36%),E196*(1+Data_All!E36%)),"")</f>
        <v/>
      </c>
      <c r="F197" s="427" t="str">
        <f>IF(AND($A197&gt;=SYear_O,$A197&lt;=EYear_O,F$3&gt;0),IF($A197=SYear_O,F$168*(1+Data_All!F36%),F196*(1+Data_All!F36%)),"")</f>
        <v/>
      </c>
      <c r="G197" s="427" t="str">
        <f>IF(AND($A197&gt;=SYear_O,$A197&lt;=EYear_O,G$3&gt;0),IF($A197=SYear_O,G$168*(1+Data_All!G36%),G196*(1+Data_All!G36%)),"")</f>
        <v/>
      </c>
      <c r="H197" s="427" t="str">
        <f>IF(AND($A197&gt;=SYear_O,$A197&lt;=EYear_O,H$3&gt;0),IF($A197=SYear_O,H$168*(1+Data_All!H36%),H196*(1+Data_All!H36%)),"")</f>
        <v/>
      </c>
      <c r="I197" s="427" t="str">
        <f>IF(AND($A197&gt;=SYear_O,$A197&lt;=EYear_O,I$3&gt;0),IF($A197=SYear_O,I$168*(1+Data_All!I36%),I196*(1+Data_All!I36%)),"")</f>
        <v/>
      </c>
      <c r="J197" s="427" t="str">
        <f>IF(AND($A197&gt;=SYear_O,$A197&lt;=EYear_O,J$3&gt;0),IF($A197=SYear_O,J$168*(1+Data_All!J36%),J196*(1+Data_All!J36%)),"")</f>
        <v/>
      </c>
      <c r="K197" s="427" t="str">
        <f>IF(AND($A197&gt;=SYear_O,$A197&lt;=EYear_O,K$3&gt;0),IF($A197=SYear_O,K$168*(1+Data_All!K36%),K196*(1+Data_All!K36%)),"")</f>
        <v/>
      </c>
      <c r="L197" s="427" t="str">
        <f>IF(AND($A197&gt;=SYear_O,$A197&lt;=EYear_O,L$3&gt;0),IF($A197=SYear_O,L$168*(1+Data_All!L36%),L196*(1+Data_All!L36%)),"")</f>
        <v/>
      </c>
      <c r="M197" s="427" t="str">
        <f>IF(AND($A197&gt;=SYear_O,$A197&lt;=EYear_O,M$3&gt;0),IF($A197=SYear_O,M$168*(1+Data_All!M36%),M196*(1+Data_All!M36%)),"")</f>
        <v/>
      </c>
      <c r="N197" s="427" t="str">
        <f>IF(AND($A197&gt;=SYear_O,$A197&lt;=EYear_O,N$3&gt;0),IF($A197=SYear_O,N$168*(1+Data_All!N36%),N196*(1+Data_All!N36%)),"")</f>
        <v/>
      </c>
      <c r="O197" s="427" t="str">
        <f>IF(AND($A197&gt;=SYear_O,$A197&lt;=EYear_O,O$3&gt;0),IF($A197=SYear_O,O$168*(1+Data_All!O36%),O196*(1+Data_All!O36%)),"")</f>
        <v/>
      </c>
      <c r="P197" s="427" t="str">
        <f>IF(AND($A197&gt;=SYear_O,$A197&lt;=EYear_O,P$3&gt;0),IF($A197=SYear_O,P$168*(1+Data_All!P36%),P196*(1+Data_All!P36%)),"")</f>
        <v/>
      </c>
      <c r="Q197" s="427" t="str">
        <f>IF(AND($A197&gt;=SYear_O,$A197&lt;=EYear_O,Q$3&gt;0),IF($A197=SYear_O,Q$168*(1+Data_All!Q36%),Q196*(1+Data_All!Q36%)),"")</f>
        <v/>
      </c>
      <c r="R197" s="427" t="str">
        <f>IF(AND($A197&gt;=SYear_O,$A197&lt;=EYear_O,R$3&gt;0),IF($A197=SYear_O,R$168*(1+Data_All!R36%),R196*(1+Data_All!R36%)),"")</f>
        <v/>
      </c>
      <c r="S197" s="427" t="str">
        <f>IF(AND($A197&gt;=SYear_O,$A197&lt;=EYear_O,S$3&gt;0),IF($A197=SYear_O,S$168*(1+Data_All!S36%),S196*(1+Data_All!S36%)),"")</f>
        <v/>
      </c>
      <c r="T197" s="427" t="str">
        <f>IF(AND($A197&gt;=SYear_O,$A197&lt;=EYear_O,T$3&gt;0),IF($A197=SYear_O,T$168*(1+Data_All!T36%),T196*(1+Data_All!T36%)),"")</f>
        <v/>
      </c>
      <c r="U197" s="427" t="str">
        <f>IF(AND($A197&gt;=SYear_O,$A197&lt;=EYear_O,U$3&gt;0),IF($A197=SYear_O,U$168*(1+Data_All!U36%),U196*(1+Data_All!U36%)),"")</f>
        <v/>
      </c>
      <c r="V197" s="427" t="str">
        <f>IF(AND($A197&gt;=SYear_O,$A197&lt;=EYear_O,V$3&gt;0),IF($A197=SYear_O,V$168*(1+Data_All!V36%),V196*(1+Data_All!V36%)),"")</f>
        <v/>
      </c>
      <c r="W197" s="427" t="str">
        <f>IF(AND($A197&gt;=SYear_O,$A197&lt;=EYear_O,W$3&gt;0),IF($A197=SYear_O,W$168*(1+Data_All!W36%),W196*(1+Data_All!W36%)),"")</f>
        <v/>
      </c>
      <c r="X197" s="427" t="str">
        <f>IF(AND($A197&gt;=SYear_O,$A197&lt;=EYear_O,X$3&gt;0),IF($A197=SYear_O,X$168*(1+Data_All!X36%),X196*(1+Data_All!X36%)),"")</f>
        <v/>
      </c>
      <c r="Y197" s="427" t="str">
        <f>IF(AND($A197&gt;=SYear_O,$A197&lt;=EYear_O,Y$3&gt;0),IF($A197=SYear_O,Y$168*(1+Data_All!Y36%),Y196*(1+Data_All!Y36%)),"")</f>
        <v/>
      </c>
      <c r="Z197" s="427" t="str">
        <f>IF(AND($A197&gt;=SYear_O,$A197&lt;=EYear_O,Z$3&gt;0),IF($A197=SYear_O,Z$168*(1+Data_All!Z36%),Z196*(1+Data_All!Z36%)),"")</f>
        <v/>
      </c>
      <c r="AA197" s="427" t="str">
        <f>IF(AND($A197&gt;=SYear_O,$A197&lt;=EYear_O,AA$3&gt;0),IF($A197=SYear_O,AA$168*(1+Data_All!AA36%),AA196*(1+Data_All!AA36%)),"")</f>
        <v/>
      </c>
      <c r="AB197" s="427" t="str">
        <f>IF(AND($A197&gt;=SYear_O,$A197&lt;=EYear_O,AB$3&gt;0),IF($A197=SYear_O,AB$168*(1+Data_All!AB36%),AB196*(1+Data_All!AB36%)),"")</f>
        <v/>
      </c>
      <c r="AC197" s="427" t="str">
        <f>IF(AND($A197&gt;=SYear_O,$A197&lt;=EYear_O,AC$3&gt;0),IF($A197=SYear_O,AC$168*(1+Data_All!AC36%),AC196*(1+Data_All!AC36%)),"")</f>
        <v/>
      </c>
      <c r="AD197" s="427" t="str">
        <f>IF(AND($A197&gt;=SYear_O,$A197&lt;=EYear_O,AD$3&gt;0),IF($A197=SYear_O,AD$168*(1+Data_All!AD36%),AD196*(1+Data_All!AD36%)),"")</f>
        <v/>
      </c>
      <c r="AE197" s="427" t="str">
        <f>IF(AND($A197&gt;=SYear_O,$A197&lt;=EYear_O,AE$3&gt;0),IF($A197=SYear_O,AE$168*(1+Data_All!AE36%),AE196*(1+Data_All!AE36%)),"")</f>
        <v/>
      </c>
      <c r="AF197" s="427" t="str">
        <f>IF(AND($A197&gt;=SYear_O,$A197&lt;=EYear_O,AF$3&gt;0),IF($A197=SYear_O,AF$168*(1+Data_All!AF36%),AF196*(1+Data_All!AF36%)),"")</f>
        <v/>
      </c>
      <c r="AG197" s="427" t="str">
        <f>IF(AND($A197&gt;=SYear_O,$A197&lt;=EYear_O,AG$3&gt;0),IF($A197=SYear_O,AG$168*(1+Data_All!AG36%),AG196*(1+Data_All!AG36%)),"")</f>
        <v/>
      </c>
      <c r="AH197" s="427" t="str">
        <f>IF(AND($A197&gt;=SYear_O,$A197&lt;=EYear_O,AH$3&gt;0),IF($A197=SYear_O,AH$168*(1+Data_All!AH36%),AH196*(1+Data_All!AH36%)),"")</f>
        <v/>
      </c>
      <c r="AI197" s="427" t="str">
        <f>IF(AND($A197&gt;=SYear_O,$A197&lt;=EYear_O,AI$3&gt;0),IF($A197=SYear_O,AI$168*(1+Data_All!AI36%),AI196*(1+Data_All!AI36%)),"")</f>
        <v/>
      </c>
      <c r="AJ197" s="427" t="str">
        <f>IF(AND($A197&gt;=SYear_O,$A197&lt;=EYear_O,AJ$3&gt;0),IF($A197=SYear_O,AJ$168*(1+Data_All!AJ36%),AJ196*(1+Data_All!AJ36%)),"")</f>
        <v/>
      </c>
      <c r="AK197" s="427" t="str">
        <f>IF(AND($A197&gt;=SYear_O,$A197&lt;=EYear_O,AK$3&gt;0),IF($A197=SYear_O,AK$168*(1+Data_All!AK36%),AK196*(1+Data_All!AK36%)),"")</f>
        <v/>
      </c>
      <c r="AL197" s="427" t="str">
        <f>IF(AND($A197&gt;=SYear_O,$A197&lt;=EYear_O,AL$3&gt;0),IF($A197=SYear_O,AL$168*(1+Data_All!AL36%),AL196*(1+Data_All!AL36%)),"")</f>
        <v/>
      </c>
      <c r="AM197" s="427" t="str">
        <f>IF(AND($A197&gt;=SYear_O,$A197&lt;=EYear_O,AM$3&gt;0),IF($A197=SYear_O,AM$168*(1+Data_All!AM36%),AM196*(1+Data_All!AM36%)),"")</f>
        <v/>
      </c>
      <c r="AN197" s="427" t="str">
        <f>IF(AND($A197&gt;=SYear_O,$A197&lt;=EYear_O,AN$3&gt;0),IF($A197=SYear_O,AN$168*(1+Data_All!AN36%),AN196*(1+Data_All!AN36%)),"")</f>
        <v/>
      </c>
      <c r="AO197" s="427" t="str">
        <f>IF(AND($A197&gt;=SYear_O,$A197&lt;=EYear_O,AO$3&gt;0),IF($A197=SYear_O,AO$168*(1+Data_All!AO36%),AO196*(1+Data_All!AO36%)),"")</f>
        <v/>
      </c>
      <c r="AP197" s="427" t="str">
        <f>IF(AND($A197&gt;=SYear_O,$A197&lt;=EYear_O,AP$3&gt;0),IF($A197=SYear_O,AP$168*(1+Data_All!AP36%),AP196*(1+Data_All!AP36%)),"")</f>
        <v/>
      </c>
      <c r="AQ197" s="427" t="str">
        <f>IF(AND($A197&gt;=SYear_O,$A197&lt;=EYear_O,AQ$3&gt;0),IF($A197=SYear_O,AQ$168*(1+Data_All!AQ36%),AQ196*(1+Data_All!AQ36%)),"")</f>
        <v/>
      </c>
      <c r="AR197" s="427" t="str">
        <f>IF(AND($A197&gt;=SYear_O,$A197&lt;=EYear_O,AR$3&gt;0),IF($A197=SYear_O,AR$168*(1+Data_All!AR36%),AR196*(1+Data_All!AR36%)),"")</f>
        <v/>
      </c>
      <c r="AS197" s="427" t="str">
        <f>IF(AND($A197&gt;=SYear_O,$A197&lt;=EYear_O,AS$3&gt;0),IF($A197=SYear_O,AS$168*(1+Data_All!AS36%),AS196*(1+Data_All!AS36%)),"")</f>
        <v/>
      </c>
      <c r="AT197" s="427" t="str">
        <f>IF(AND($A197&gt;=SYear_O,$A197&lt;=EYear_O,AT$3&gt;0),IF($A197=SYear_O,AT$168*(1+Data_All!AT36%),AT196*(1+Data_All!AT36%)),"")</f>
        <v/>
      </c>
      <c r="AU197" s="427" t="str">
        <f>IF(AND($A197&gt;=SYear_O,$A197&lt;=EYear_O,AU$3&gt;0),IF($A197=SYear_O,AU$168*(1+Data_All!AU36%),AU196*(1+Data_All!AU36%)),"")</f>
        <v/>
      </c>
      <c r="AV197" s="427" t="str">
        <f>IF(AND($A197&gt;=SYear_O,$A197&lt;=EYear_O,AV$3&gt;0),IF($A197=SYear_O,AV$168*(1+Data_All!AV36%),AV196*(1+Data_All!AV36%)),"")</f>
        <v/>
      </c>
      <c r="AW197" s="427" t="str">
        <f>IF(AND($A197&gt;=SYear_O,$A197&lt;=EYear_O,AW$3&gt;0),IF($A197=SYear_O,AW$168*(1+Data_All!AW36%),AW196*(1+Data_All!AW36%)),"")</f>
        <v/>
      </c>
      <c r="AX197" s="427" t="str">
        <f>IF(AND($A197&gt;=SYear_O,$A197&lt;=EYear_O,AX$3&gt;0),IF($A197=SYear_O,AX$168*(1+Data_All!AX36%),AX196*(1+Data_All!AX36%)),"")</f>
        <v/>
      </c>
      <c r="AY197" s="427" t="str">
        <f>IF(AND($A197&gt;=SYear_O,$A197&lt;=EYear_O,AY$3&gt;0),IF($A197=SYear_O,AY$168*(1+Data_All!AY36%),AY196*(1+Data_All!AY36%)),"")</f>
        <v/>
      </c>
      <c r="AZ197" s="427" t="str">
        <f>IF(AND($A197&gt;=SYear_O,$A197&lt;=EYear_O,AZ$3&gt;0),IF($A197=SYear_O,AZ$168*(1+Data_All!AZ36%),AZ196*(1+Data_All!AZ36%)),"")</f>
        <v/>
      </c>
      <c r="BA197" s="427" t="str">
        <f>IF(AND($A197&gt;=SYear_O,$A197&lt;=EYear_O,BA$3&gt;0),IF($A197=SYear_O,BA$168*(1+Data_All!BA36%),BA196*(1+Data_All!BA36%)),"")</f>
        <v/>
      </c>
      <c r="BB197" s="427" t="str">
        <f>IF(AND($A197&gt;=SYear_O,$A197&lt;=EYear_O,BB$3&gt;0),IF($A197=SYear_O,BB$168*(1+Data_All!BB36%),BB196*(1+Data_All!BB36%)),"")</f>
        <v/>
      </c>
      <c r="BC197" s="427" t="str">
        <f>IF(AND($A197&gt;=SYear_O,$A197&lt;=EYear_O,BC$3&gt;0),IF($A197=SYear_O,BC$168*(1+Data_All!BC36%),BC196*(1+Data_All!BC36%)),"")</f>
        <v/>
      </c>
      <c r="BD197" s="427" t="str">
        <f>IF(AND($A197&gt;=SYear_O,$A197&lt;=EYear_O,BD$3&gt;0),IF($A197=SYear_O,BD$168*(1+Data_All!BD36%),BD196*(1+Data_All!BD36%)),"")</f>
        <v/>
      </c>
      <c r="BE197" s="427" t="str">
        <f>IF(AND($A197&gt;=SYear_O,$A197&lt;=EYear_O,BE$3&gt;0),IF($A197=SYear_O,BE$168*(1+Data_All!BE36%),BE196*(1+Data_All!BE36%)),"")</f>
        <v/>
      </c>
      <c r="BF197" s="427" t="str">
        <f>IF(AND($A197&gt;=SYear_O,$A197&lt;=EYear_O,BF$3&gt;0),IF($A197=SYear_O,BF$168*(1+Data_All!BF36%),BF196*(1+Data_All!BF36%)),"")</f>
        <v/>
      </c>
      <c r="BG197" s="427" t="str">
        <f>IF(AND($A197&gt;=SYear_O,$A197&lt;=EYear_O,BG$3&gt;0),IF($A197=SYear_O,BG$168*(1+Data_All!BG36%),BG196*(1+Data_All!BG36%)),"")</f>
        <v/>
      </c>
      <c r="BH197" s="427" t="str">
        <f>IF(AND($A197&gt;=SYear_O,$A197&lt;=EYear_O,BH$3&gt;0),IF($A197=SYear_O,BH$168*(1+Data_All!BH36%),BH196*(1+Data_All!BH36%)),"")</f>
        <v/>
      </c>
      <c r="BI197" s="427" t="str">
        <f>IF(AND($A197&gt;=SYear_O,$A197&lt;=EYear_O,BI$3&gt;0),IF($A197=SYear_O,BI$168*(1+Data_All!BI36%),BI196*(1+Data_All!BI36%)),"")</f>
        <v/>
      </c>
      <c r="BJ197" s="427" t="str">
        <f>IF(AND($A197&gt;=SYear_O,$A197&lt;=EYear_O,BJ$3&gt;0),IF($A197=SYear_O,BJ$168*(1+Data_All!BJ36%),BJ196*(1+Data_All!BJ36%)),"")</f>
        <v/>
      </c>
      <c r="BK197" s="427" t="str">
        <f>IF(AND($A197&gt;=SYear_O,$A197&lt;=EYear_O,BK$3&gt;0),IF($A197=SYear_O,BK$168*(1+Data_All!BK36%),BK196*(1+Data_All!BK36%)),"")</f>
        <v/>
      </c>
      <c r="BL197" s="427" t="str">
        <f>IF(AND($A197&gt;=SYear_O,$A197&lt;=EYear_O,BL$3&gt;0),IF($A197=SYear_O,BL$168*(1+Data_All!BL36%),BL196*(1+Data_All!BL36%)),"")</f>
        <v/>
      </c>
      <c r="BM197" s="427" t="str">
        <f>IF(AND($A197&gt;=SYear_O,$A197&lt;=EYear_O,BM$3&gt;0),IF($A197=SYear_O,BM$168*(1+Data_All!BM36%),BM196*(1+Data_All!BM36%)),"")</f>
        <v/>
      </c>
      <c r="BN197" s="427" t="str">
        <f>IF(AND($A197&gt;=SYear_O,$A197&lt;=EYear_O,BN$3&gt;0),IF($A197=SYear_O,BN$168*(1+Data_All!BN36%),BN196*(1+Data_All!BN36%)),"")</f>
        <v/>
      </c>
      <c r="BO197" s="427" t="str">
        <f>IF(AND($A197&gt;=SYear_O,$A197&lt;=EYear_O,BO$3&gt;0),IF($A197=SYear_O,BO$168*(1+Data_All!BO36%),BO196*(1+Data_All!BO36%)),"")</f>
        <v/>
      </c>
      <c r="BP197" s="427" t="str">
        <f>IF(AND($A197&gt;=SYear_O,$A197&lt;=EYear_O,BP$3&gt;0),IF($A197=SYear_O,BP$168*(1+Data_All!BP36%),BP196*(1+Data_All!BP36%)),"")</f>
        <v/>
      </c>
      <c r="BQ197" s="427" t="str">
        <f>IF(AND($A197&gt;=SYear_O,$A197&lt;=EYear_O,BQ$3&gt;0),IF($A197=SYear_O,BQ$168*(1+Data_All!BQ36%),BQ196*(1+Data_All!BQ36%)),"")</f>
        <v/>
      </c>
      <c r="BR197" s="427" t="str">
        <f>IF(AND($A197&gt;=SYear_O,$A197&lt;=EYear_O,BR$3&gt;0),IF($A197=SYear_O,BR$168*(1+Data_All!BR36%),BR196*(1+Data_All!BR36%)),"")</f>
        <v/>
      </c>
      <c r="BS197" s="427" t="str">
        <f>IF(AND($A197&gt;=SYear_O,$A197&lt;=EYear_O,BS$3&gt;0),IF($A197=SYear_O,BS$168*(1+Data_All!BS36%),BS196*(1+Data_All!BS36%)),"")</f>
        <v/>
      </c>
      <c r="BT197" s="427" t="str">
        <f>IF(AND($A197&gt;=SYear_O,$A197&lt;=EYear_O,BT$3&gt;0),IF($A197=SYear_O,BT$168*(1+Data_All!BT36%),BT196*(1+Data_All!BT36%)),"")</f>
        <v/>
      </c>
      <c r="BU197" s="427" t="str">
        <f>IF(AND($A197&gt;=SYear_O,$A197&lt;=EYear_O,BU$3&gt;0),IF($A197=SYear_O,BU$168*(1+Data_All!BU36%),BU196*(1+Data_All!BU36%)),"")</f>
        <v/>
      </c>
      <c r="BV197" s="427" t="str">
        <f>IF(AND($A197&gt;=SYear_O,$A197&lt;=EYear_O,BV$3&gt;0),IF($A197=SYear_O,BV$168*(1+Data_All!BV36%),BV196*(1+Data_All!BV36%)),"")</f>
        <v/>
      </c>
      <c r="BW197" s="427" t="str">
        <f>IF(AND($A197&gt;=SYear_O,$A197&lt;=EYear_O,BW$3&gt;0),IF($A197=SYear_O,BW$168*(1+Data_All!BW36%),BW196*(1+Data_All!BW36%)),"")</f>
        <v/>
      </c>
      <c r="BX197" s="427">
        <f>IF(AND($A197&gt;=SYear_O,$A197&lt;=EYear_O,BX$3&gt;0),IF($A197=SYear_O,BX$168*(1+Data_All!BX36%),BX196*(1+Data_All!BX36%)),"")</f>
        <v>35089.892690986766</v>
      </c>
      <c r="BY197" s="427">
        <f>IF(AND($A197&gt;=SYear_O,$A197&lt;=EYear_O,BY$3&gt;0),IF($A197=SYear_O,BY$168*(1+Data_All!BY36%),BY196*(1+Data_All!BY36%)),"")</f>
        <v>13108.477196887572</v>
      </c>
      <c r="BZ197" s="427" t="str">
        <f>IF(AND($A197&gt;=SYear_O,$A197&lt;=EYear_O,BZ$3&gt;0),IF($A197=SYear_O,BZ$168*(1+Data_All!BZ36%),BZ196*(1+Data_All!BZ36%)),"")</f>
        <v/>
      </c>
      <c r="CA197" s="565">
        <f t="shared" si="92"/>
        <v>2.9040734695163133</v>
      </c>
      <c r="CB197" s="427">
        <f t="shared" si="93"/>
        <v>48198.369887874338</v>
      </c>
      <c r="CC197" s="565">
        <f>IF(AND($A197&gt;=SYear_O,$A197&lt;=EYear_O),(CA197-Data_All!CA36)/(1+Data_All!CA36%),"")</f>
        <v>-11.973630273589464</v>
      </c>
      <c r="CD197" s="436">
        <f t="shared" si="94"/>
        <v>76071.988378483918</v>
      </c>
      <c r="CE197" s="438">
        <f t="shared" si="95"/>
        <v>4.3715554586246999</v>
      </c>
      <c r="CF197" s="438">
        <f>IF(AND($A197&gt;=SYear_O,$A197&lt;=EYear_O),MAX($CE$169:CE197),"")</f>
        <v>4.3715554586246999</v>
      </c>
      <c r="CG197" s="209">
        <f t="shared" si="96"/>
        <v>0</v>
      </c>
      <c r="CN197" s="61">
        <f t="shared" si="97"/>
        <v>2.9040734695163106E-2</v>
      </c>
      <c r="CO197" s="61">
        <f t="shared" si="98"/>
        <v>0.11246957955104353</v>
      </c>
      <c r="CP197" s="61">
        <f t="shared" si="99"/>
        <v>5.175119640638437E-2</v>
      </c>
      <c r="CQ197" s="61">
        <f t="shared" si="100"/>
        <v>7.2252211166754066E-2</v>
      </c>
      <c r="CR197" s="61">
        <f t="shared" si="101"/>
        <v>5.9464795766156486E-2</v>
      </c>
      <c r="CU197" s="61">
        <f t="shared" si="102"/>
        <v>-0.11973630273589464</v>
      </c>
      <c r="CV197" s="61">
        <f t="shared" si="103"/>
        <v>5.6042878822659459E-2</v>
      </c>
      <c r="CW197" s="61">
        <f t="shared" si="104"/>
        <v>9.8590689475666071E-3</v>
      </c>
      <c r="CX197" s="61">
        <f t="shared" si="105"/>
        <v>4.2581681075049227E-2</v>
      </c>
      <c r="CY197" s="61">
        <f t="shared" si="106"/>
        <v>3.211879958808761E-2</v>
      </c>
    </row>
    <row r="198" spans="1:103">
      <c r="A198" s="204">
        <f t="shared" si="107"/>
        <v>1900</v>
      </c>
      <c r="B198" s="427" t="str">
        <f>IF(AND($A198&gt;=SYear_O,$A198&lt;=EYear_O,B$3&gt;0),IF($A198=SYear_O,B$168*(1+Data_All!B37%),B197*(1+Data_All!B37%)),"")</f>
        <v/>
      </c>
      <c r="C198" s="427" t="str">
        <f>IF(AND($A198&gt;=SYear_O,$A198&lt;=EYear_O,C$3&gt;0),IF($A198=SYear_O,C$168*(1+Data_All!C37%),C197*(1+Data_All!C37%)),"")</f>
        <v/>
      </c>
      <c r="D198" s="427" t="str">
        <f>IF(AND($A198&gt;=SYear_O,$A198&lt;=EYear_O,D$3&gt;0),IF($A198=SYear_O,D$168*(1+Data_All!D37%),D197*(1+Data_All!D37%)),"")</f>
        <v/>
      </c>
      <c r="E198" s="427" t="str">
        <f>IF(AND($A198&gt;=SYear_O,$A198&lt;=EYear_O,E$3&gt;0),IF($A198=SYear_O,E$168*(1+Data_All!E37%),E197*(1+Data_All!E37%)),"")</f>
        <v/>
      </c>
      <c r="F198" s="427" t="str">
        <f>IF(AND($A198&gt;=SYear_O,$A198&lt;=EYear_O,F$3&gt;0),IF($A198=SYear_O,F$168*(1+Data_All!F37%),F197*(1+Data_All!F37%)),"")</f>
        <v/>
      </c>
      <c r="G198" s="427" t="str">
        <f>IF(AND($A198&gt;=SYear_O,$A198&lt;=EYear_O,G$3&gt;0),IF($A198=SYear_O,G$168*(1+Data_All!G37%),G197*(1+Data_All!G37%)),"")</f>
        <v/>
      </c>
      <c r="H198" s="427" t="str">
        <f>IF(AND($A198&gt;=SYear_O,$A198&lt;=EYear_O,H$3&gt;0),IF($A198=SYear_O,H$168*(1+Data_All!H37%),H197*(1+Data_All!H37%)),"")</f>
        <v/>
      </c>
      <c r="I198" s="427" t="str">
        <f>IF(AND($A198&gt;=SYear_O,$A198&lt;=EYear_O,I$3&gt;0),IF($A198=SYear_O,I$168*(1+Data_All!I37%),I197*(1+Data_All!I37%)),"")</f>
        <v/>
      </c>
      <c r="J198" s="427" t="str">
        <f>IF(AND($A198&gt;=SYear_O,$A198&lt;=EYear_O,J$3&gt;0),IF($A198=SYear_O,J$168*(1+Data_All!J37%),J197*(1+Data_All!J37%)),"")</f>
        <v/>
      </c>
      <c r="K198" s="427" t="str">
        <f>IF(AND($A198&gt;=SYear_O,$A198&lt;=EYear_O,K$3&gt;0),IF($A198=SYear_O,K$168*(1+Data_All!K37%),K197*(1+Data_All!K37%)),"")</f>
        <v/>
      </c>
      <c r="L198" s="427" t="str">
        <f>IF(AND($A198&gt;=SYear_O,$A198&lt;=EYear_O,L$3&gt;0),IF($A198=SYear_O,L$168*(1+Data_All!L37%),L197*(1+Data_All!L37%)),"")</f>
        <v/>
      </c>
      <c r="M198" s="427" t="str">
        <f>IF(AND($A198&gt;=SYear_O,$A198&lt;=EYear_O,M$3&gt;0),IF($A198=SYear_O,M$168*(1+Data_All!M37%),M197*(1+Data_All!M37%)),"")</f>
        <v/>
      </c>
      <c r="N198" s="427" t="str">
        <f>IF(AND($A198&gt;=SYear_O,$A198&lt;=EYear_O,N$3&gt;0),IF($A198=SYear_O,N$168*(1+Data_All!N37%),N197*(1+Data_All!N37%)),"")</f>
        <v/>
      </c>
      <c r="O198" s="427" t="str">
        <f>IF(AND($A198&gt;=SYear_O,$A198&lt;=EYear_O,O$3&gt;0),IF($A198=SYear_O,O$168*(1+Data_All!O37%),O197*(1+Data_All!O37%)),"")</f>
        <v/>
      </c>
      <c r="P198" s="427" t="str">
        <f>IF(AND($A198&gt;=SYear_O,$A198&lt;=EYear_O,P$3&gt;0),IF($A198=SYear_O,P$168*(1+Data_All!P37%),P197*(1+Data_All!P37%)),"")</f>
        <v/>
      </c>
      <c r="Q198" s="427" t="str">
        <f>IF(AND($A198&gt;=SYear_O,$A198&lt;=EYear_O,Q$3&gt;0),IF($A198=SYear_O,Q$168*(1+Data_All!Q37%),Q197*(1+Data_All!Q37%)),"")</f>
        <v/>
      </c>
      <c r="R198" s="427" t="str">
        <f>IF(AND($A198&gt;=SYear_O,$A198&lt;=EYear_O,R$3&gt;0),IF($A198=SYear_O,R$168*(1+Data_All!R37%),R197*(1+Data_All!R37%)),"")</f>
        <v/>
      </c>
      <c r="S198" s="427" t="str">
        <f>IF(AND($A198&gt;=SYear_O,$A198&lt;=EYear_O,S$3&gt;0),IF($A198=SYear_O,S$168*(1+Data_All!S37%),S197*(1+Data_All!S37%)),"")</f>
        <v/>
      </c>
      <c r="T198" s="427" t="str">
        <f>IF(AND($A198&gt;=SYear_O,$A198&lt;=EYear_O,T$3&gt;0),IF($A198=SYear_O,T$168*(1+Data_All!T37%),T197*(1+Data_All!T37%)),"")</f>
        <v/>
      </c>
      <c r="U198" s="427" t="str">
        <f>IF(AND($A198&gt;=SYear_O,$A198&lt;=EYear_O,U$3&gt;0),IF($A198=SYear_O,U$168*(1+Data_All!U37%),U197*(1+Data_All!U37%)),"")</f>
        <v/>
      </c>
      <c r="V198" s="427" t="str">
        <f>IF(AND($A198&gt;=SYear_O,$A198&lt;=EYear_O,V$3&gt;0),IF($A198=SYear_O,V$168*(1+Data_All!V37%),V197*(1+Data_All!V37%)),"")</f>
        <v/>
      </c>
      <c r="W198" s="427" t="str">
        <f>IF(AND($A198&gt;=SYear_O,$A198&lt;=EYear_O,W$3&gt;0),IF($A198=SYear_O,W$168*(1+Data_All!W37%),W197*(1+Data_All!W37%)),"")</f>
        <v/>
      </c>
      <c r="X198" s="427" t="str">
        <f>IF(AND($A198&gt;=SYear_O,$A198&lt;=EYear_O,X$3&gt;0),IF($A198=SYear_O,X$168*(1+Data_All!X37%),X197*(1+Data_All!X37%)),"")</f>
        <v/>
      </c>
      <c r="Y198" s="427" t="str">
        <f>IF(AND($A198&gt;=SYear_O,$A198&lt;=EYear_O,Y$3&gt;0),IF($A198=SYear_O,Y$168*(1+Data_All!Y37%),Y197*(1+Data_All!Y37%)),"")</f>
        <v/>
      </c>
      <c r="Z198" s="427" t="str">
        <f>IF(AND($A198&gt;=SYear_O,$A198&lt;=EYear_O,Z$3&gt;0),IF($A198=SYear_O,Z$168*(1+Data_All!Z37%),Z197*(1+Data_All!Z37%)),"")</f>
        <v/>
      </c>
      <c r="AA198" s="427" t="str">
        <f>IF(AND($A198&gt;=SYear_O,$A198&lt;=EYear_O,AA$3&gt;0),IF($A198=SYear_O,AA$168*(1+Data_All!AA37%),AA197*(1+Data_All!AA37%)),"")</f>
        <v/>
      </c>
      <c r="AB198" s="427" t="str">
        <f>IF(AND($A198&gt;=SYear_O,$A198&lt;=EYear_O,AB$3&gt;0),IF($A198=SYear_O,AB$168*(1+Data_All!AB37%),AB197*(1+Data_All!AB37%)),"")</f>
        <v/>
      </c>
      <c r="AC198" s="427" t="str">
        <f>IF(AND($A198&gt;=SYear_O,$A198&lt;=EYear_O,AC$3&gt;0),IF($A198=SYear_O,AC$168*(1+Data_All!AC37%),AC197*(1+Data_All!AC37%)),"")</f>
        <v/>
      </c>
      <c r="AD198" s="427" t="str">
        <f>IF(AND($A198&gt;=SYear_O,$A198&lt;=EYear_O,AD$3&gt;0),IF($A198=SYear_O,AD$168*(1+Data_All!AD37%),AD197*(1+Data_All!AD37%)),"")</f>
        <v/>
      </c>
      <c r="AE198" s="427" t="str">
        <f>IF(AND($A198&gt;=SYear_O,$A198&lt;=EYear_O,AE$3&gt;0),IF($A198=SYear_O,AE$168*(1+Data_All!AE37%),AE197*(1+Data_All!AE37%)),"")</f>
        <v/>
      </c>
      <c r="AF198" s="427" t="str">
        <f>IF(AND($A198&gt;=SYear_O,$A198&lt;=EYear_O,AF$3&gt;0),IF($A198=SYear_O,AF$168*(1+Data_All!AF37%),AF197*(1+Data_All!AF37%)),"")</f>
        <v/>
      </c>
      <c r="AG198" s="427" t="str">
        <f>IF(AND($A198&gt;=SYear_O,$A198&lt;=EYear_O,AG$3&gt;0),IF($A198=SYear_O,AG$168*(1+Data_All!AG37%),AG197*(1+Data_All!AG37%)),"")</f>
        <v/>
      </c>
      <c r="AH198" s="427" t="str">
        <f>IF(AND($A198&gt;=SYear_O,$A198&lt;=EYear_O,AH$3&gt;0),IF($A198=SYear_O,AH$168*(1+Data_All!AH37%),AH197*(1+Data_All!AH37%)),"")</f>
        <v/>
      </c>
      <c r="AI198" s="427" t="str">
        <f>IF(AND($A198&gt;=SYear_O,$A198&lt;=EYear_O,AI$3&gt;0),IF($A198=SYear_O,AI$168*(1+Data_All!AI37%),AI197*(1+Data_All!AI37%)),"")</f>
        <v/>
      </c>
      <c r="AJ198" s="427" t="str">
        <f>IF(AND($A198&gt;=SYear_O,$A198&lt;=EYear_O,AJ$3&gt;0),IF($A198=SYear_O,AJ$168*(1+Data_All!AJ37%),AJ197*(1+Data_All!AJ37%)),"")</f>
        <v/>
      </c>
      <c r="AK198" s="427" t="str">
        <f>IF(AND($A198&gt;=SYear_O,$A198&lt;=EYear_O,AK$3&gt;0),IF($A198=SYear_O,AK$168*(1+Data_All!AK37%),AK197*(1+Data_All!AK37%)),"")</f>
        <v/>
      </c>
      <c r="AL198" s="427" t="str">
        <f>IF(AND($A198&gt;=SYear_O,$A198&lt;=EYear_O,AL$3&gt;0),IF($A198=SYear_O,AL$168*(1+Data_All!AL37%),AL197*(1+Data_All!AL37%)),"")</f>
        <v/>
      </c>
      <c r="AM198" s="427" t="str">
        <f>IF(AND($A198&gt;=SYear_O,$A198&lt;=EYear_O,AM$3&gt;0),IF($A198=SYear_O,AM$168*(1+Data_All!AM37%),AM197*(1+Data_All!AM37%)),"")</f>
        <v/>
      </c>
      <c r="AN198" s="427" t="str">
        <f>IF(AND($A198&gt;=SYear_O,$A198&lt;=EYear_O,AN$3&gt;0),IF($A198=SYear_O,AN$168*(1+Data_All!AN37%),AN197*(1+Data_All!AN37%)),"")</f>
        <v/>
      </c>
      <c r="AO198" s="427" t="str">
        <f>IF(AND($A198&gt;=SYear_O,$A198&lt;=EYear_O,AO$3&gt;0),IF($A198=SYear_O,AO$168*(1+Data_All!AO37%),AO197*(1+Data_All!AO37%)),"")</f>
        <v/>
      </c>
      <c r="AP198" s="427" t="str">
        <f>IF(AND($A198&gt;=SYear_O,$A198&lt;=EYear_O,AP$3&gt;0),IF($A198=SYear_O,AP$168*(1+Data_All!AP37%),AP197*(1+Data_All!AP37%)),"")</f>
        <v/>
      </c>
      <c r="AQ198" s="427" t="str">
        <f>IF(AND($A198&gt;=SYear_O,$A198&lt;=EYear_O,AQ$3&gt;0),IF($A198=SYear_O,AQ$168*(1+Data_All!AQ37%),AQ197*(1+Data_All!AQ37%)),"")</f>
        <v/>
      </c>
      <c r="AR198" s="427" t="str">
        <f>IF(AND($A198&gt;=SYear_O,$A198&lt;=EYear_O,AR$3&gt;0),IF($A198=SYear_O,AR$168*(1+Data_All!AR37%),AR197*(1+Data_All!AR37%)),"")</f>
        <v/>
      </c>
      <c r="AS198" s="427" t="str">
        <f>IF(AND($A198&gt;=SYear_O,$A198&lt;=EYear_O,AS$3&gt;0),IF($A198=SYear_O,AS$168*(1+Data_All!AS37%),AS197*(1+Data_All!AS37%)),"")</f>
        <v/>
      </c>
      <c r="AT198" s="427" t="str">
        <f>IF(AND($A198&gt;=SYear_O,$A198&lt;=EYear_O,AT$3&gt;0),IF($A198=SYear_O,AT$168*(1+Data_All!AT37%),AT197*(1+Data_All!AT37%)),"")</f>
        <v/>
      </c>
      <c r="AU198" s="427" t="str">
        <f>IF(AND($A198&gt;=SYear_O,$A198&lt;=EYear_O,AU$3&gt;0),IF($A198=SYear_O,AU$168*(1+Data_All!AU37%),AU197*(1+Data_All!AU37%)),"")</f>
        <v/>
      </c>
      <c r="AV198" s="427" t="str">
        <f>IF(AND($A198&gt;=SYear_O,$A198&lt;=EYear_O,AV$3&gt;0),IF($A198=SYear_O,AV$168*(1+Data_All!AV37%),AV197*(1+Data_All!AV37%)),"")</f>
        <v/>
      </c>
      <c r="AW198" s="427" t="str">
        <f>IF(AND($A198&gt;=SYear_O,$A198&lt;=EYear_O,AW$3&gt;0),IF($A198=SYear_O,AW$168*(1+Data_All!AW37%),AW197*(1+Data_All!AW37%)),"")</f>
        <v/>
      </c>
      <c r="AX198" s="427" t="str">
        <f>IF(AND($A198&gt;=SYear_O,$A198&lt;=EYear_O,AX$3&gt;0),IF($A198=SYear_O,AX$168*(1+Data_All!AX37%),AX197*(1+Data_All!AX37%)),"")</f>
        <v/>
      </c>
      <c r="AY198" s="427" t="str">
        <f>IF(AND($A198&gt;=SYear_O,$A198&lt;=EYear_O,AY$3&gt;0),IF($A198=SYear_O,AY$168*(1+Data_All!AY37%),AY197*(1+Data_All!AY37%)),"")</f>
        <v/>
      </c>
      <c r="AZ198" s="427" t="str">
        <f>IF(AND($A198&gt;=SYear_O,$A198&lt;=EYear_O,AZ$3&gt;0),IF($A198=SYear_O,AZ$168*(1+Data_All!AZ37%),AZ197*(1+Data_All!AZ37%)),"")</f>
        <v/>
      </c>
      <c r="BA198" s="427" t="str">
        <f>IF(AND($A198&gt;=SYear_O,$A198&lt;=EYear_O,BA$3&gt;0),IF($A198=SYear_O,BA$168*(1+Data_All!BA37%),BA197*(1+Data_All!BA37%)),"")</f>
        <v/>
      </c>
      <c r="BB198" s="427" t="str">
        <f>IF(AND($A198&gt;=SYear_O,$A198&lt;=EYear_O,BB$3&gt;0),IF($A198=SYear_O,BB$168*(1+Data_All!BB37%),BB197*(1+Data_All!BB37%)),"")</f>
        <v/>
      </c>
      <c r="BC198" s="427" t="str">
        <f>IF(AND($A198&gt;=SYear_O,$A198&lt;=EYear_O,BC$3&gt;0),IF($A198=SYear_O,BC$168*(1+Data_All!BC37%),BC197*(1+Data_All!BC37%)),"")</f>
        <v/>
      </c>
      <c r="BD198" s="427" t="str">
        <f>IF(AND($A198&gt;=SYear_O,$A198&lt;=EYear_O,BD$3&gt;0),IF($A198=SYear_O,BD$168*(1+Data_All!BD37%),BD197*(1+Data_All!BD37%)),"")</f>
        <v/>
      </c>
      <c r="BE198" s="427" t="str">
        <f>IF(AND($A198&gt;=SYear_O,$A198&lt;=EYear_O,BE$3&gt;0),IF($A198=SYear_O,BE$168*(1+Data_All!BE37%),BE197*(1+Data_All!BE37%)),"")</f>
        <v/>
      </c>
      <c r="BF198" s="427" t="str">
        <f>IF(AND($A198&gt;=SYear_O,$A198&lt;=EYear_O,BF$3&gt;0),IF($A198=SYear_O,BF$168*(1+Data_All!BF37%),BF197*(1+Data_All!BF37%)),"")</f>
        <v/>
      </c>
      <c r="BG198" s="427" t="str">
        <f>IF(AND($A198&gt;=SYear_O,$A198&lt;=EYear_O,BG$3&gt;0),IF($A198=SYear_O,BG$168*(1+Data_All!BG37%),BG197*(1+Data_All!BG37%)),"")</f>
        <v/>
      </c>
      <c r="BH198" s="427" t="str">
        <f>IF(AND($A198&gt;=SYear_O,$A198&lt;=EYear_O,BH$3&gt;0),IF($A198=SYear_O,BH$168*(1+Data_All!BH37%),BH197*(1+Data_All!BH37%)),"")</f>
        <v/>
      </c>
      <c r="BI198" s="427" t="str">
        <f>IF(AND($A198&gt;=SYear_O,$A198&lt;=EYear_O,BI$3&gt;0),IF($A198=SYear_O,BI$168*(1+Data_All!BI37%),BI197*(1+Data_All!BI37%)),"")</f>
        <v/>
      </c>
      <c r="BJ198" s="427" t="str">
        <f>IF(AND($A198&gt;=SYear_O,$A198&lt;=EYear_O,BJ$3&gt;0),IF($A198=SYear_O,BJ$168*(1+Data_All!BJ37%),BJ197*(1+Data_All!BJ37%)),"")</f>
        <v/>
      </c>
      <c r="BK198" s="427" t="str">
        <f>IF(AND($A198&gt;=SYear_O,$A198&lt;=EYear_O,BK$3&gt;0),IF($A198=SYear_O,BK$168*(1+Data_All!BK37%),BK197*(1+Data_All!BK37%)),"")</f>
        <v/>
      </c>
      <c r="BL198" s="427" t="str">
        <f>IF(AND($A198&gt;=SYear_O,$A198&lt;=EYear_O,BL$3&gt;0),IF($A198=SYear_O,BL$168*(1+Data_All!BL37%),BL197*(1+Data_All!BL37%)),"")</f>
        <v/>
      </c>
      <c r="BM198" s="427" t="str">
        <f>IF(AND($A198&gt;=SYear_O,$A198&lt;=EYear_O,BM$3&gt;0),IF($A198=SYear_O,BM$168*(1+Data_All!BM37%),BM197*(1+Data_All!BM37%)),"")</f>
        <v/>
      </c>
      <c r="BN198" s="427" t="str">
        <f>IF(AND($A198&gt;=SYear_O,$A198&lt;=EYear_O,BN$3&gt;0),IF($A198=SYear_O,BN$168*(1+Data_All!BN37%),BN197*(1+Data_All!BN37%)),"")</f>
        <v/>
      </c>
      <c r="BO198" s="427" t="str">
        <f>IF(AND($A198&gt;=SYear_O,$A198&lt;=EYear_O,BO$3&gt;0),IF($A198=SYear_O,BO$168*(1+Data_All!BO37%),BO197*(1+Data_All!BO37%)),"")</f>
        <v/>
      </c>
      <c r="BP198" s="427" t="str">
        <f>IF(AND($A198&gt;=SYear_O,$A198&lt;=EYear_O,BP$3&gt;0),IF($A198=SYear_O,BP$168*(1+Data_All!BP37%),BP197*(1+Data_All!BP37%)),"")</f>
        <v/>
      </c>
      <c r="BQ198" s="427" t="str">
        <f>IF(AND($A198&gt;=SYear_O,$A198&lt;=EYear_O,BQ$3&gt;0),IF($A198=SYear_O,BQ$168*(1+Data_All!BQ37%),BQ197*(1+Data_All!BQ37%)),"")</f>
        <v/>
      </c>
      <c r="BR198" s="427" t="str">
        <f>IF(AND($A198&gt;=SYear_O,$A198&lt;=EYear_O,BR$3&gt;0),IF($A198=SYear_O,BR$168*(1+Data_All!BR37%),BR197*(1+Data_All!BR37%)),"")</f>
        <v/>
      </c>
      <c r="BS198" s="427" t="str">
        <f>IF(AND($A198&gt;=SYear_O,$A198&lt;=EYear_O,BS$3&gt;0),IF($A198=SYear_O,BS$168*(1+Data_All!BS37%),BS197*(1+Data_All!BS37%)),"")</f>
        <v/>
      </c>
      <c r="BT198" s="427" t="str">
        <f>IF(AND($A198&gt;=SYear_O,$A198&lt;=EYear_O,BT$3&gt;0),IF($A198=SYear_O,BT$168*(1+Data_All!BT37%),BT197*(1+Data_All!BT37%)),"")</f>
        <v/>
      </c>
      <c r="BU198" s="427" t="str">
        <f>IF(AND($A198&gt;=SYear_O,$A198&lt;=EYear_O,BU$3&gt;0),IF($A198=SYear_O,BU$168*(1+Data_All!BU37%),BU197*(1+Data_All!BU37%)),"")</f>
        <v/>
      </c>
      <c r="BV198" s="427" t="str">
        <f>IF(AND($A198&gt;=SYear_O,$A198&lt;=EYear_O,BV$3&gt;0),IF($A198=SYear_O,BV$168*(1+Data_All!BV37%),BV197*(1+Data_All!BV37%)),"")</f>
        <v/>
      </c>
      <c r="BW198" s="427" t="str">
        <f>IF(AND($A198&gt;=SYear_O,$A198&lt;=EYear_O,BW$3&gt;0),IF($A198=SYear_O,BW$168*(1+Data_All!BW37%),BW197*(1+Data_All!BW37%)),"")</f>
        <v/>
      </c>
      <c r="BX198" s="427">
        <f>IF(AND($A198&gt;=SYear_O,$A198&lt;=EYear_O,BX$3&gt;0),IF($A198=SYear_O,BX$168*(1+Data_All!BX37%),BX197*(1+Data_All!BX37%)),"")</f>
        <v>42395.493300421716</v>
      </c>
      <c r="BY198" s="427">
        <f>IF(AND($A198&gt;=SYear_O,$A198&lt;=EYear_O,BY$3&gt;0),IF($A198=SYear_O,BY$168*(1+Data_All!BY37%),BY197*(1+Data_All!BY37%)),"")</f>
        <v>13602.814170131445</v>
      </c>
      <c r="BZ198" s="427" t="str">
        <f>IF(AND($A198&gt;=SYear_O,$A198&lt;=EYear_O,BZ$3&gt;0),IF($A198=SYear_O,BZ$168*(1+Data_All!BZ37%),BZ197*(1+Data_All!BZ37%)),"")</f>
        <v/>
      </c>
      <c r="CA198" s="565">
        <f t="shared" si="92"/>
        <v>16.182990422340236</v>
      </c>
      <c r="CB198" s="427">
        <f t="shared" si="93"/>
        <v>55998.307470553162</v>
      </c>
      <c r="CC198" s="565">
        <f>IF(AND($A198&gt;=SYear_O,$A198&lt;=EYear_O),(CA198-Data_All!CA37)/(1+Data_All!CA37%),"")</f>
        <v>19.051812023604313</v>
      </c>
      <c r="CD198" s="436">
        <f t="shared" si="94"/>
        <v>90565.080606970791</v>
      </c>
      <c r="CE198" s="438">
        <f t="shared" si="95"/>
        <v>5.0790038598012268</v>
      </c>
      <c r="CF198" s="438">
        <f>IF(AND($A198&gt;=SYear_O,$A198&lt;=EYear_O),MAX($CE$169:CE198),"")</f>
        <v>5.0790038598012268</v>
      </c>
      <c r="CG198" s="209">
        <f t="shared" si="96"/>
        <v>0</v>
      </c>
      <c r="CN198" s="61">
        <f t="shared" si="97"/>
        <v>0.16182990422340238</v>
      </c>
      <c r="CO198" s="61">
        <f t="shared" si="98"/>
        <v>0.1261860165078621</v>
      </c>
      <c r="CP198" s="61">
        <f t="shared" si="99"/>
        <v>9.1936803512546961E-2</v>
      </c>
      <c r="CQ198" s="61">
        <f t="shared" si="100"/>
        <v>8.2533284462433576E-2</v>
      </c>
      <c r="CR198" s="61">
        <f t="shared" si="101"/>
        <v>5.4924334742490144E-2</v>
      </c>
      <c r="CU198" s="61">
        <f t="shared" si="102"/>
        <v>0.19051812023604309</v>
      </c>
      <c r="CV198" s="61">
        <f t="shared" si="103"/>
        <v>9.2166824973007655E-2</v>
      </c>
      <c r="CW198" s="61">
        <f t="shared" si="104"/>
        <v>7.6801106314740908E-2</v>
      </c>
      <c r="CX198" s="61">
        <f t="shared" si="105"/>
        <v>5.8389853792124802E-2</v>
      </c>
      <c r="CY198" s="61">
        <f t="shared" si="106"/>
        <v>3.7761836599319976E-2</v>
      </c>
    </row>
    <row r="199" spans="1:103">
      <c r="A199" s="204">
        <f t="shared" si="107"/>
        <v>1901</v>
      </c>
      <c r="B199" s="427" t="str">
        <f>IF(AND($A199&gt;=SYear_O,$A199&lt;=EYear_O,B$3&gt;0),IF($A199=SYear_O,B$168*(1+Data_All!B38%),B198*(1+Data_All!B38%)),"")</f>
        <v/>
      </c>
      <c r="C199" s="427" t="str">
        <f>IF(AND($A199&gt;=SYear_O,$A199&lt;=EYear_O,C$3&gt;0),IF($A199=SYear_O,C$168*(1+Data_All!C38%),C198*(1+Data_All!C38%)),"")</f>
        <v/>
      </c>
      <c r="D199" s="427" t="str">
        <f>IF(AND($A199&gt;=SYear_O,$A199&lt;=EYear_O,D$3&gt;0),IF($A199=SYear_O,D$168*(1+Data_All!D38%),D198*(1+Data_All!D38%)),"")</f>
        <v/>
      </c>
      <c r="E199" s="427" t="str">
        <f>IF(AND($A199&gt;=SYear_O,$A199&lt;=EYear_O,E$3&gt;0),IF($A199=SYear_O,E$168*(1+Data_All!E38%),E198*(1+Data_All!E38%)),"")</f>
        <v/>
      </c>
      <c r="F199" s="427" t="str">
        <f>IF(AND($A199&gt;=SYear_O,$A199&lt;=EYear_O,F$3&gt;0),IF($A199=SYear_O,F$168*(1+Data_All!F38%),F198*(1+Data_All!F38%)),"")</f>
        <v/>
      </c>
      <c r="G199" s="427" t="str">
        <f>IF(AND($A199&gt;=SYear_O,$A199&lt;=EYear_O,G$3&gt;0),IF($A199=SYear_O,G$168*(1+Data_All!G38%),G198*(1+Data_All!G38%)),"")</f>
        <v/>
      </c>
      <c r="H199" s="427" t="str">
        <f>IF(AND($A199&gt;=SYear_O,$A199&lt;=EYear_O,H$3&gt;0),IF($A199=SYear_O,H$168*(1+Data_All!H38%),H198*(1+Data_All!H38%)),"")</f>
        <v/>
      </c>
      <c r="I199" s="427" t="str">
        <f>IF(AND($A199&gt;=SYear_O,$A199&lt;=EYear_O,I$3&gt;0),IF($A199=SYear_O,I$168*(1+Data_All!I38%),I198*(1+Data_All!I38%)),"")</f>
        <v/>
      </c>
      <c r="J199" s="427" t="str">
        <f>IF(AND($A199&gt;=SYear_O,$A199&lt;=EYear_O,J$3&gt;0),IF($A199=SYear_O,J$168*(1+Data_All!J38%),J198*(1+Data_All!J38%)),"")</f>
        <v/>
      </c>
      <c r="K199" s="427" t="str">
        <f>IF(AND($A199&gt;=SYear_O,$A199&lt;=EYear_O,K$3&gt;0),IF($A199=SYear_O,K$168*(1+Data_All!K38%),K198*(1+Data_All!K38%)),"")</f>
        <v/>
      </c>
      <c r="L199" s="427" t="str">
        <f>IF(AND($A199&gt;=SYear_O,$A199&lt;=EYear_O,L$3&gt;0),IF($A199=SYear_O,L$168*(1+Data_All!L38%),L198*(1+Data_All!L38%)),"")</f>
        <v/>
      </c>
      <c r="M199" s="427" t="str">
        <f>IF(AND($A199&gt;=SYear_O,$A199&lt;=EYear_O,M$3&gt;0),IF($A199=SYear_O,M$168*(1+Data_All!M38%),M198*(1+Data_All!M38%)),"")</f>
        <v/>
      </c>
      <c r="N199" s="427" t="str">
        <f>IF(AND($A199&gt;=SYear_O,$A199&lt;=EYear_O,N$3&gt;0),IF($A199=SYear_O,N$168*(1+Data_All!N38%),N198*(1+Data_All!N38%)),"")</f>
        <v/>
      </c>
      <c r="O199" s="427" t="str">
        <f>IF(AND($A199&gt;=SYear_O,$A199&lt;=EYear_O,O$3&gt;0),IF($A199=SYear_O,O$168*(1+Data_All!O38%),O198*(1+Data_All!O38%)),"")</f>
        <v/>
      </c>
      <c r="P199" s="427" t="str">
        <f>IF(AND($A199&gt;=SYear_O,$A199&lt;=EYear_O,P$3&gt;0),IF($A199=SYear_O,P$168*(1+Data_All!P38%),P198*(1+Data_All!P38%)),"")</f>
        <v/>
      </c>
      <c r="Q199" s="427" t="str">
        <f>IF(AND($A199&gt;=SYear_O,$A199&lt;=EYear_O,Q$3&gt;0),IF($A199=SYear_O,Q$168*(1+Data_All!Q38%),Q198*(1+Data_All!Q38%)),"")</f>
        <v/>
      </c>
      <c r="R199" s="427" t="str">
        <f>IF(AND($A199&gt;=SYear_O,$A199&lt;=EYear_O,R$3&gt;0),IF($A199=SYear_O,R$168*(1+Data_All!R38%),R198*(1+Data_All!R38%)),"")</f>
        <v/>
      </c>
      <c r="S199" s="427" t="str">
        <f>IF(AND($A199&gt;=SYear_O,$A199&lt;=EYear_O,S$3&gt;0),IF($A199=SYear_O,S$168*(1+Data_All!S38%),S198*(1+Data_All!S38%)),"")</f>
        <v/>
      </c>
      <c r="T199" s="427" t="str">
        <f>IF(AND($A199&gt;=SYear_O,$A199&lt;=EYear_O,T$3&gt;0),IF($A199=SYear_O,T$168*(1+Data_All!T38%),T198*(1+Data_All!T38%)),"")</f>
        <v/>
      </c>
      <c r="U199" s="427" t="str">
        <f>IF(AND($A199&gt;=SYear_O,$A199&lt;=EYear_O,U$3&gt;0),IF($A199=SYear_O,U$168*(1+Data_All!U38%),U198*(1+Data_All!U38%)),"")</f>
        <v/>
      </c>
      <c r="V199" s="427" t="str">
        <f>IF(AND($A199&gt;=SYear_O,$A199&lt;=EYear_O,V$3&gt;0),IF($A199=SYear_O,V$168*(1+Data_All!V38%),V198*(1+Data_All!V38%)),"")</f>
        <v/>
      </c>
      <c r="W199" s="427" t="str">
        <f>IF(AND($A199&gt;=SYear_O,$A199&lt;=EYear_O,W$3&gt;0),IF($A199=SYear_O,W$168*(1+Data_All!W38%),W198*(1+Data_All!W38%)),"")</f>
        <v/>
      </c>
      <c r="X199" s="427" t="str">
        <f>IF(AND($A199&gt;=SYear_O,$A199&lt;=EYear_O,X$3&gt;0),IF($A199=SYear_O,X$168*(1+Data_All!X38%),X198*(1+Data_All!X38%)),"")</f>
        <v/>
      </c>
      <c r="Y199" s="427" t="str">
        <f>IF(AND($A199&gt;=SYear_O,$A199&lt;=EYear_O,Y$3&gt;0),IF($A199=SYear_O,Y$168*(1+Data_All!Y38%),Y198*(1+Data_All!Y38%)),"")</f>
        <v/>
      </c>
      <c r="Z199" s="427" t="str">
        <f>IF(AND($A199&gt;=SYear_O,$A199&lt;=EYear_O,Z$3&gt;0),IF($A199=SYear_O,Z$168*(1+Data_All!Z38%),Z198*(1+Data_All!Z38%)),"")</f>
        <v/>
      </c>
      <c r="AA199" s="427" t="str">
        <f>IF(AND($A199&gt;=SYear_O,$A199&lt;=EYear_O,AA$3&gt;0),IF($A199=SYear_O,AA$168*(1+Data_All!AA38%),AA198*(1+Data_All!AA38%)),"")</f>
        <v/>
      </c>
      <c r="AB199" s="427" t="str">
        <f>IF(AND($A199&gt;=SYear_O,$A199&lt;=EYear_O,AB$3&gt;0),IF($A199=SYear_O,AB$168*(1+Data_All!AB38%),AB198*(1+Data_All!AB38%)),"")</f>
        <v/>
      </c>
      <c r="AC199" s="427" t="str">
        <f>IF(AND($A199&gt;=SYear_O,$A199&lt;=EYear_O,AC$3&gt;0),IF($A199=SYear_O,AC$168*(1+Data_All!AC38%),AC198*(1+Data_All!AC38%)),"")</f>
        <v/>
      </c>
      <c r="AD199" s="427" t="str">
        <f>IF(AND($A199&gt;=SYear_O,$A199&lt;=EYear_O,AD$3&gt;0),IF($A199=SYear_O,AD$168*(1+Data_All!AD38%),AD198*(1+Data_All!AD38%)),"")</f>
        <v/>
      </c>
      <c r="AE199" s="427" t="str">
        <f>IF(AND($A199&gt;=SYear_O,$A199&lt;=EYear_O,AE$3&gt;0),IF($A199=SYear_O,AE$168*(1+Data_All!AE38%),AE198*(1+Data_All!AE38%)),"")</f>
        <v/>
      </c>
      <c r="AF199" s="427" t="str">
        <f>IF(AND($A199&gt;=SYear_O,$A199&lt;=EYear_O,AF$3&gt;0),IF($A199=SYear_O,AF$168*(1+Data_All!AF38%),AF198*(1+Data_All!AF38%)),"")</f>
        <v/>
      </c>
      <c r="AG199" s="427" t="str">
        <f>IF(AND($A199&gt;=SYear_O,$A199&lt;=EYear_O,AG$3&gt;0),IF($A199=SYear_O,AG$168*(1+Data_All!AG38%),AG198*(1+Data_All!AG38%)),"")</f>
        <v/>
      </c>
      <c r="AH199" s="427" t="str">
        <f>IF(AND($A199&gt;=SYear_O,$A199&lt;=EYear_O,AH$3&gt;0),IF($A199=SYear_O,AH$168*(1+Data_All!AH38%),AH198*(1+Data_All!AH38%)),"")</f>
        <v/>
      </c>
      <c r="AI199" s="427" t="str">
        <f>IF(AND($A199&gt;=SYear_O,$A199&lt;=EYear_O,AI$3&gt;0),IF($A199=SYear_O,AI$168*(1+Data_All!AI38%),AI198*(1+Data_All!AI38%)),"")</f>
        <v/>
      </c>
      <c r="AJ199" s="427" t="str">
        <f>IF(AND($A199&gt;=SYear_O,$A199&lt;=EYear_O,AJ$3&gt;0),IF($A199=SYear_O,AJ$168*(1+Data_All!AJ38%),AJ198*(1+Data_All!AJ38%)),"")</f>
        <v/>
      </c>
      <c r="AK199" s="427" t="str">
        <f>IF(AND($A199&gt;=SYear_O,$A199&lt;=EYear_O,AK$3&gt;0),IF($A199=SYear_O,AK$168*(1+Data_All!AK38%),AK198*(1+Data_All!AK38%)),"")</f>
        <v/>
      </c>
      <c r="AL199" s="427" t="str">
        <f>IF(AND($A199&gt;=SYear_O,$A199&lt;=EYear_O,AL$3&gt;0),IF($A199=SYear_O,AL$168*(1+Data_All!AL38%),AL198*(1+Data_All!AL38%)),"")</f>
        <v/>
      </c>
      <c r="AM199" s="427" t="str">
        <f>IF(AND($A199&gt;=SYear_O,$A199&lt;=EYear_O,AM$3&gt;0),IF($A199=SYear_O,AM$168*(1+Data_All!AM38%),AM198*(1+Data_All!AM38%)),"")</f>
        <v/>
      </c>
      <c r="AN199" s="427" t="str">
        <f>IF(AND($A199&gt;=SYear_O,$A199&lt;=EYear_O,AN$3&gt;0),IF($A199=SYear_O,AN$168*(1+Data_All!AN38%),AN198*(1+Data_All!AN38%)),"")</f>
        <v/>
      </c>
      <c r="AO199" s="427" t="str">
        <f>IF(AND($A199&gt;=SYear_O,$A199&lt;=EYear_O,AO$3&gt;0),IF($A199=SYear_O,AO$168*(1+Data_All!AO38%),AO198*(1+Data_All!AO38%)),"")</f>
        <v/>
      </c>
      <c r="AP199" s="427" t="str">
        <f>IF(AND($A199&gt;=SYear_O,$A199&lt;=EYear_O,AP$3&gt;0),IF($A199=SYear_O,AP$168*(1+Data_All!AP38%),AP198*(1+Data_All!AP38%)),"")</f>
        <v/>
      </c>
      <c r="AQ199" s="427" t="str">
        <f>IF(AND($A199&gt;=SYear_O,$A199&lt;=EYear_O,AQ$3&gt;0),IF($A199=SYear_O,AQ$168*(1+Data_All!AQ38%),AQ198*(1+Data_All!AQ38%)),"")</f>
        <v/>
      </c>
      <c r="AR199" s="427" t="str">
        <f>IF(AND($A199&gt;=SYear_O,$A199&lt;=EYear_O,AR$3&gt;0),IF($A199=SYear_O,AR$168*(1+Data_All!AR38%),AR198*(1+Data_All!AR38%)),"")</f>
        <v/>
      </c>
      <c r="AS199" s="427" t="str">
        <f>IF(AND($A199&gt;=SYear_O,$A199&lt;=EYear_O,AS$3&gt;0),IF($A199=SYear_O,AS$168*(1+Data_All!AS38%),AS198*(1+Data_All!AS38%)),"")</f>
        <v/>
      </c>
      <c r="AT199" s="427" t="str">
        <f>IF(AND($A199&gt;=SYear_O,$A199&lt;=EYear_O,AT$3&gt;0),IF($A199=SYear_O,AT$168*(1+Data_All!AT38%),AT198*(1+Data_All!AT38%)),"")</f>
        <v/>
      </c>
      <c r="AU199" s="427" t="str">
        <f>IF(AND($A199&gt;=SYear_O,$A199&lt;=EYear_O,AU$3&gt;0),IF($A199=SYear_O,AU$168*(1+Data_All!AU38%),AU198*(1+Data_All!AU38%)),"")</f>
        <v/>
      </c>
      <c r="AV199" s="427" t="str">
        <f>IF(AND($A199&gt;=SYear_O,$A199&lt;=EYear_O,AV$3&gt;0),IF($A199=SYear_O,AV$168*(1+Data_All!AV38%),AV198*(1+Data_All!AV38%)),"")</f>
        <v/>
      </c>
      <c r="AW199" s="427" t="str">
        <f>IF(AND($A199&gt;=SYear_O,$A199&lt;=EYear_O,AW$3&gt;0),IF($A199=SYear_O,AW$168*(1+Data_All!AW38%),AW198*(1+Data_All!AW38%)),"")</f>
        <v/>
      </c>
      <c r="AX199" s="427" t="str">
        <f>IF(AND($A199&gt;=SYear_O,$A199&lt;=EYear_O,AX$3&gt;0),IF($A199=SYear_O,AX$168*(1+Data_All!AX38%),AX198*(1+Data_All!AX38%)),"")</f>
        <v/>
      </c>
      <c r="AY199" s="427" t="str">
        <f>IF(AND($A199&gt;=SYear_O,$A199&lt;=EYear_O,AY$3&gt;0),IF($A199=SYear_O,AY$168*(1+Data_All!AY38%),AY198*(1+Data_All!AY38%)),"")</f>
        <v/>
      </c>
      <c r="AZ199" s="427" t="str">
        <f>IF(AND($A199&gt;=SYear_O,$A199&lt;=EYear_O,AZ$3&gt;0),IF($A199=SYear_O,AZ$168*(1+Data_All!AZ38%),AZ198*(1+Data_All!AZ38%)),"")</f>
        <v/>
      </c>
      <c r="BA199" s="427" t="str">
        <f>IF(AND($A199&gt;=SYear_O,$A199&lt;=EYear_O,BA$3&gt;0),IF($A199=SYear_O,BA$168*(1+Data_All!BA38%),BA198*(1+Data_All!BA38%)),"")</f>
        <v/>
      </c>
      <c r="BB199" s="427" t="str">
        <f>IF(AND($A199&gt;=SYear_O,$A199&lt;=EYear_O,BB$3&gt;0),IF($A199=SYear_O,BB$168*(1+Data_All!BB38%),BB198*(1+Data_All!BB38%)),"")</f>
        <v/>
      </c>
      <c r="BC199" s="427" t="str">
        <f>IF(AND($A199&gt;=SYear_O,$A199&lt;=EYear_O,BC$3&gt;0),IF($A199=SYear_O,BC$168*(1+Data_All!BC38%),BC198*(1+Data_All!BC38%)),"")</f>
        <v/>
      </c>
      <c r="BD199" s="427" t="str">
        <f>IF(AND($A199&gt;=SYear_O,$A199&lt;=EYear_O,BD$3&gt;0),IF($A199=SYear_O,BD$168*(1+Data_All!BD38%),BD198*(1+Data_All!BD38%)),"")</f>
        <v/>
      </c>
      <c r="BE199" s="427" t="str">
        <f>IF(AND($A199&gt;=SYear_O,$A199&lt;=EYear_O,BE$3&gt;0),IF($A199=SYear_O,BE$168*(1+Data_All!BE38%),BE198*(1+Data_All!BE38%)),"")</f>
        <v/>
      </c>
      <c r="BF199" s="427" t="str">
        <f>IF(AND($A199&gt;=SYear_O,$A199&lt;=EYear_O,BF$3&gt;0),IF($A199=SYear_O,BF$168*(1+Data_All!BF38%),BF198*(1+Data_All!BF38%)),"")</f>
        <v/>
      </c>
      <c r="BG199" s="427" t="str">
        <f>IF(AND($A199&gt;=SYear_O,$A199&lt;=EYear_O,BG$3&gt;0),IF($A199=SYear_O,BG$168*(1+Data_All!BG38%),BG198*(1+Data_All!BG38%)),"")</f>
        <v/>
      </c>
      <c r="BH199" s="427" t="str">
        <f>IF(AND($A199&gt;=SYear_O,$A199&lt;=EYear_O,BH$3&gt;0),IF($A199=SYear_O,BH$168*(1+Data_All!BH38%),BH198*(1+Data_All!BH38%)),"")</f>
        <v/>
      </c>
      <c r="BI199" s="427" t="str">
        <f>IF(AND($A199&gt;=SYear_O,$A199&lt;=EYear_O,BI$3&gt;0),IF($A199=SYear_O,BI$168*(1+Data_All!BI38%),BI198*(1+Data_All!BI38%)),"")</f>
        <v/>
      </c>
      <c r="BJ199" s="427" t="str">
        <f>IF(AND($A199&gt;=SYear_O,$A199&lt;=EYear_O,BJ$3&gt;0),IF($A199=SYear_O,BJ$168*(1+Data_All!BJ38%),BJ198*(1+Data_All!BJ38%)),"")</f>
        <v/>
      </c>
      <c r="BK199" s="427" t="str">
        <f>IF(AND($A199&gt;=SYear_O,$A199&lt;=EYear_O,BK$3&gt;0),IF($A199=SYear_O,BK$168*(1+Data_All!BK38%),BK198*(1+Data_All!BK38%)),"")</f>
        <v/>
      </c>
      <c r="BL199" s="427" t="str">
        <f>IF(AND($A199&gt;=SYear_O,$A199&lt;=EYear_O,BL$3&gt;0),IF($A199=SYear_O,BL$168*(1+Data_All!BL38%),BL198*(1+Data_All!BL38%)),"")</f>
        <v/>
      </c>
      <c r="BM199" s="427" t="str">
        <f>IF(AND($A199&gt;=SYear_O,$A199&lt;=EYear_O,BM$3&gt;0),IF($A199=SYear_O,BM$168*(1+Data_All!BM38%),BM198*(1+Data_All!BM38%)),"")</f>
        <v/>
      </c>
      <c r="BN199" s="427" t="str">
        <f>IF(AND($A199&gt;=SYear_O,$A199&lt;=EYear_O,BN$3&gt;0),IF($A199=SYear_O,BN$168*(1+Data_All!BN38%),BN198*(1+Data_All!BN38%)),"")</f>
        <v/>
      </c>
      <c r="BO199" s="427" t="str">
        <f>IF(AND($A199&gt;=SYear_O,$A199&lt;=EYear_O,BO$3&gt;0),IF($A199=SYear_O,BO$168*(1+Data_All!BO38%),BO198*(1+Data_All!BO38%)),"")</f>
        <v/>
      </c>
      <c r="BP199" s="427" t="str">
        <f>IF(AND($A199&gt;=SYear_O,$A199&lt;=EYear_O,BP$3&gt;0),IF($A199=SYear_O,BP$168*(1+Data_All!BP38%),BP198*(1+Data_All!BP38%)),"")</f>
        <v/>
      </c>
      <c r="BQ199" s="427" t="str">
        <f>IF(AND($A199&gt;=SYear_O,$A199&lt;=EYear_O,BQ$3&gt;0),IF($A199=SYear_O,BQ$168*(1+Data_All!BQ38%),BQ198*(1+Data_All!BQ38%)),"")</f>
        <v/>
      </c>
      <c r="BR199" s="427" t="str">
        <f>IF(AND($A199&gt;=SYear_O,$A199&lt;=EYear_O,BR$3&gt;0),IF($A199=SYear_O,BR$168*(1+Data_All!BR38%),BR198*(1+Data_All!BR38%)),"")</f>
        <v/>
      </c>
      <c r="BS199" s="427" t="str">
        <f>IF(AND($A199&gt;=SYear_O,$A199&lt;=EYear_O,BS$3&gt;0),IF($A199=SYear_O,BS$168*(1+Data_All!BS38%),BS198*(1+Data_All!BS38%)),"")</f>
        <v/>
      </c>
      <c r="BT199" s="427" t="str">
        <f>IF(AND($A199&gt;=SYear_O,$A199&lt;=EYear_O,BT$3&gt;0),IF($A199=SYear_O,BT$168*(1+Data_All!BT38%),BT198*(1+Data_All!BT38%)),"")</f>
        <v/>
      </c>
      <c r="BU199" s="427" t="str">
        <f>IF(AND($A199&gt;=SYear_O,$A199&lt;=EYear_O,BU$3&gt;0),IF($A199=SYear_O,BU$168*(1+Data_All!BU38%),BU198*(1+Data_All!BU38%)),"")</f>
        <v/>
      </c>
      <c r="BV199" s="427" t="str">
        <f>IF(AND($A199&gt;=SYear_O,$A199&lt;=EYear_O,BV$3&gt;0),IF($A199=SYear_O,BV$168*(1+Data_All!BV38%),BV198*(1+Data_All!BV38%)),"")</f>
        <v/>
      </c>
      <c r="BW199" s="427" t="str">
        <f>IF(AND($A199&gt;=SYear_O,$A199&lt;=EYear_O,BW$3&gt;0),IF($A199=SYear_O,BW$168*(1+Data_All!BW38%),BW198*(1+Data_All!BW38%)),"")</f>
        <v/>
      </c>
      <c r="BX199" s="427">
        <f>IF(AND($A199&gt;=SYear_O,$A199&lt;=EYear_O,BX$3&gt;0),IF($A199=SYear_O,BX$168*(1+Data_All!BX38%),BX198*(1+Data_All!BX38%)),"")</f>
        <v>50610.744477448272</v>
      </c>
      <c r="BY199" s="427">
        <f>IF(AND($A199&gt;=SYear_O,$A199&lt;=EYear_O,BY$3&gt;0),IF($A199=SYear_O,BY$168*(1+Data_All!BY38%),BY198*(1+Data_All!BY38%)),"")</f>
        <v>13875.073890547006</v>
      </c>
      <c r="BZ199" s="427" t="str">
        <f>IF(AND($A199&gt;=SYear_O,$A199&lt;=EYear_O,BZ$3&gt;0),IF($A199=SYear_O,BZ$168*(1+Data_All!BZ38%),BZ198*(1+Data_All!BZ38%)),"")</f>
        <v/>
      </c>
      <c r="CA199" s="565">
        <f t="shared" si="92"/>
        <v>15.15672755271272</v>
      </c>
      <c r="CB199" s="427">
        <f t="shared" si="93"/>
        <v>64485.818367995278</v>
      </c>
      <c r="CC199" s="565">
        <f>IF(AND($A199&gt;=SYear_O,$A199&lt;=EYear_O),(CA199-Data_All!CA38)/(1+Data_All!CA38%),"")</f>
        <v>12.381766786314609</v>
      </c>
      <c r="CD199" s="436">
        <f t="shared" si="94"/>
        <v>101778.63767756376</v>
      </c>
      <c r="CE199" s="438">
        <f t="shared" si="95"/>
        <v>5.8488146372230618</v>
      </c>
      <c r="CF199" s="438">
        <f>IF(AND($A199&gt;=SYear_O,$A199&lt;=EYear_O),MAX($CE$169:CE199),"")</f>
        <v>5.8488146372230618</v>
      </c>
      <c r="CG199" s="209">
        <f t="shared" si="96"/>
        <v>0</v>
      </c>
      <c r="CN199" s="61">
        <f t="shared" si="97"/>
        <v>0.15156727552712712</v>
      </c>
      <c r="CO199" s="61">
        <f t="shared" si="98"/>
        <v>2.4857110885567746E-2</v>
      </c>
      <c r="CP199" s="61">
        <f t="shared" si="99"/>
        <v>9.339979103944307E-2</v>
      </c>
      <c r="CQ199" s="61">
        <f t="shared" si="100"/>
        <v>6.4435679230087084E-2</v>
      </c>
      <c r="CR199" s="61">
        <f t="shared" si="101"/>
        <v>6.0231528116498456E-2</v>
      </c>
      <c r="CU199" s="61">
        <f t="shared" si="102"/>
        <v>0.12381766786314619</v>
      </c>
      <c r="CV199" s="61">
        <f t="shared" si="103"/>
        <v>7.3329539684463541E-4</v>
      </c>
      <c r="CW199" s="61">
        <f t="shared" si="104"/>
        <v>7.2996446537781479E-2</v>
      </c>
      <c r="CX199" s="61">
        <f t="shared" si="105"/>
        <v>4.5420248153930975E-2</v>
      </c>
      <c r="CY199" s="61">
        <f t="shared" si="106"/>
        <v>3.9258067848401579E-2</v>
      </c>
    </row>
    <row r="200" spans="1:103">
      <c r="A200" s="204">
        <f t="shared" si="107"/>
        <v>1902</v>
      </c>
      <c r="B200" s="427" t="str">
        <f>IF(AND($A200&gt;=SYear_O,$A200&lt;=EYear_O,B$3&gt;0),IF($A200=SYear_O,B$168*(1+Data_All!B39%),B199*(1+Data_All!B39%)),"")</f>
        <v/>
      </c>
      <c r="C200" s="427" t="str">
        <f>IF(AND($A200&gt;=SYear_O,$A200&lt;=EYear_O,C$3&gt;0),IF($A200=SYear_O,C$168*(1+Data_All!C39%),C199*(1+Data_All!C39%)),"")</f>
        <v/>
      </c>
      <c r="D200" s="427" t="str">
        <f>IF(AND($A200&gt;=SYear_O,$A200&lt;=EYear_O,D$3&gt;0),IF($A200=SYear_O,D$168*(1+Data_All!D39%),D199*(1+Data_All!D39%)),"")</f>
        <v/>
      </c>
      <c r="E200" s="427" t="str">
        <f>IF(AND($A200&gt;=SYear_O,$A200&lt;=EYear_O,E$3&gt;0),IF($A200=SYear_O,E$168*(1+Data_All!E39%),E199*(1+Data_All!E39%)),"")</f>
        <v/>
      </c>
      <c r="F200" s="427" t="str">
        <f>IF(AND($A200&gt;=SYear_O,$A200&lt;=EYear_O,F$3&gt;0),IF($A200=SYear_O,F$168*(1+Data_All!F39%),F199*(1+Data_All!F39%)),"")</f>
        <v/>
      </c>
      <c r="G200" s="427" t="str">
        <f>IF(AND($A200&gt;=SYear_O,$A200&lt;=EYear_O,G$3&gt;0),IF($A200=SYear_O,G$168*(1+Data_All!G39%),G199*(1+Data_All!G39%)),"")</f>
        <v/>
      </c>
      <c r="H200" s="427" t="str">
        <f>IF(AND($A200&gt;=SYear_O,$A200&lt;=EYear_O,H$3&gt;0),IF($A200=SYear_O,H$168*(1+Data_All!H39%),H199*(1+Data_All!H39%)),"")</f>
        <v/>
      </c>
      <c r="I200" s="427" t="str">
        <f>IF(AND($A200&gt;=SYear_O,$A200&lt;=EYear_O,I$3&gt;0),IF($A200=SYear_O,I$168*(1+Data_All!I39%),I199*(1+Data_All!I39%)),"")</f>
        <v/>
      </c>
      <c r="J200" s="427" t="str">
        <f>IF(AND($A200&gt;=SYear_O,$A200&lt;=EYear_O,J$3&gt;0),IF($A200=SYear_O,J$168*(1+Data_All!J39%),J199*(1+Data_All!J39%)),"")</f>
        <v/>
      </c>
      <c r="K200" s="427" t="str">
        <f>IF(AND($A200&gt;=SYear_O,$A200&lt;=EYear_O,K$3&gt;0),IF($A200=SYear_O,K$168*(1+Data_All!K39%),K199*(1+Data_All!K39%)),"")</f>
        <v/>
      </c>
      <c r="L200" s="427" t="str">
        <f>IF(AND($A200&gt;=SYear_O,$A200&lt;=EYear_O,L$3&gt;0),IF($A200=SYear_O,L$168*(1+Data_All!L39%),L199*(1+Data_All!L39%)),"")</f>
        <v/>
      </c>
      <c r="M200" s="427" t="str">
        <f>IF(AND($A200&gt;=SYear_O,$A200&lt;=EYear_O,M$3&gt;0),IF($A200=SYear_O,M$168*(1+Data_All!M39%),M199*(1+Data_All!M39%)),"")</f>
        <v/>
      </c>
      <c r="N200" s="427" t="str">
        <f>IF(AND($A200&gt;=SYear_O,$A200&lt;=EYear_O,N$3&gt;0),IF($A200=SYear_O,N$168*(1+Data_All!N39%),N199*(1+Data_All!N39%)),"")</f>
        <v/>
      </c>
      <c r="O200" s="427" t="str">
        <f>IF(AND($A200&gt;=SYear_O,$A200&lt;=EYear_O,O$3&gt;0),IF($A200=SYear_O,O$168*(1+Data_All!O39%),O199*(1+Data_All!O39%)),"")</f>
        <v/>
      </c>
      <c r="P200" s="427" t="str">
        <f>IF(AND($A200&gt;=SYear_O,$A200&lt;=EYear_O,P$3&gt;0),IF($A200=SYear_O,P$168*(1+Data_All!P39%),P199*(1+Data_All!P39%)),"")</f>
        <v/>
      </c>
      <c r="Q200" s="427" t="str">
        <f>IF(AND($A200&gt;=SYear_O,$A200&lt;=EYear_O,Q$3&gt;0),IF($A200=SYear_O,Q$168*(1+Data_All!Q39%),Q199*(1+Data_All!Q39%)),"")</f>
        <v/>
      </c>
      <c r="R200" s="427" t="str">
        <f>IF(AND($A200&gt;=SYear_O,$A200&lt;=EYear_O,R$3&gt;0),IF($A200=SYear_O,R$168*(1+Data_All!R39%),R199*(1+Data_All!R39%)),"")</f>
        <v/>
      </c>
      <c r="S200" s="427" t="str">
        <f>IF(AND($A200&gt;=SYear_O,$A200&lt;=EYear_O,S$3&gt;0),IF($A200=SYear_O,S$168*(1+Data_All!S39%),S199*(1+Data_All!S39%)),"")</f>
        <v/>
      </c>
      <c r="T200" s="427" t="str">
        <f>IF(AND($A200&gt;=SYear_O,$A200&lt;=EYear_O,T$3&gt;0),IF($A200=SYear_O,T$168*(1+Data_All!T39%),T199*(1+Data_All!T39%)),"")</f>
        <v/>
      </c>
      <c r="U200" s="427" t="str">
        <f>IF(AND($A200&gt;=SYear_O,$A200&lt;=EYear_O,U$3&gt;0),IF($A200=SYear_O,U$168*(1+Data_All!U39%),U199*(1+Data_All!U39%)),"")</f>
        <v/>
      </c>
      <c r="V200" s="427" t="str">
        <f>IF(AND($A200&gt;=SYear_O,$A200&lt;=EYear_O,V$3&gt;0),IF($A200=SYear_O,V$168*(1+Data_All!V39%),V199*(1+Data_All!V39%)),"")</f>
        <v/>
      </c>
      <c r="W200" s="427" t="str">
        <f>IF(AND($A200&gt;=SYear_O,$A200&lt;=EYear_O,W$3&gt;0),IF($A200=SYear_O,W$168*(1+Data_All!W39%),W199*(1+Data_All!W39%)),"")</f>
        <v/>
      </c>
      <c r="X200" s="427" t="str">
        <f>IF(AND($A200&gt;=SYear_O,$A200&lt;=EYear_O,X$3&gt;0),IF($A200=SYear_O,X$168*(1+Data_All!X39%),X199*(1+Data_All!X39%)),"")</f>
        <v/>
      </c>
      <c r="Y200" s="427" t="str">
        <f>IF(AND($A200&gt;=SYear_O,$A200&lt;=EYear_O,Y$3&gt;0),IF($A200=SYear_O,Y$168*(1+Data_All!Y39%),Y199*(1+Data_All!Y39%)),"")</f>
        <v/>
      </c>
      <c r="Z200" s="427" t="str">
        <f>IF(AND($A200&gt;=SYear_O,$A200&lt;=EYear_O,Z$3&gt;0),IF($A200=SYear_O,Z$168*(1+Data_All!Z39%),Z199*(1+Data_All!Z39%)),"")</f>
        <v/>
      </c>
      <c r="AA200" s="427" t="str">
        <f>IF(AND($A200&gt;=SYear_O,$A200&lt;=EYear_O,AA$3&gt;0),IF($A200=SYear_O,AA$168*(1+Data_All!AA39%),AA199*(1+Data_All!AA39%)),"")</f>
        <v/>
      </c>
      <c r="AB200" s="427" t="str">
        <f>IF(AND($A200&gt;=SYear_O,$A200&lt;=EYear_O,AB$3&gt;0),IF($A200=SYear_O,AB$168*(1+Data_All!AB39%),AB199*(1+Data_All!AB39%)),"")</f>
        <v/>
      </c>
      <c r="AC200" s="427" t="str">
        <f>IF(AND($A200&gt;=SYear_O,$A200&lt;=EYear_O,AC$3&gt;0),IF($A200=SYear_O,AC$168*(1+Data_All!AC39%),AC199*(1+Data_All!AC39%)),"")</f>
        <v/>
      </c>
      <c r="AD200" s="427" t="str">
        <f>IF(AND($A200&gt;=SYear_O,$A200&lt;=EYear_O,AD$3&gt;0),IF($A200=SYear_O,AD$168*(1+Data_All!AD39%),AD199*(1+Data_All!AD39%)),"")</f>
        <v/>
      </c>
      <c r="AE200" s="427" t="str">
        <f>IF(AND($A200&gt;=SYear_O,$A200&lt;=EYear_O,AE$3&gt;0),IF($A200=SYear_O,AE$168*(1+Data_All!AE39%),AE199*(1+Data_All!AE39%)),"")</f>
        <v/>
      </c>
      <c r="AF200" s="427" t="str">
        <f>IF(AND($A200&gt;=SYear_O,$A200&lt;=EYear_O,AF$3&gt;0),IF($A200=SYear_O,AF$168*(1+Data_All!AF39%),AF199*(1+Data_All!AF39%)),"")</f>
        <v/>
      </c>
      <c r="AG200" s="427" t="str">
        <f>IF(AND($A200&gt;=SYear_O,$A200&lt;=EYear_O,AG$3&gt;0),IF($A200=SYear_O,AG$168*(1+Data_All!AG39%),AG199*(1+Data_All!AG39%)),"")</f>
        <v/>
      </c>
      <c r="AH200" s="427" t="str">
        <f>IF(AND($A200&gt;=SYear_O,$A200&lt;=EYear_O,AH$3&gt;0),IF($A200=SYear_O,AH$168*(1+Data_All!AH39%),AH199*(1+Data_All!AH39%)),"")</f>
        <v/>
      </c>
      <c r="AI200" s="427" t="str">
        <f>IF(AND($A200&gt;=SYear_O,$A200&lt;=EYear_O,AI$3&gt;0),IF($A200=SYear_O,AI$168*(1+Data_All!AI39%),AI199*(1+Data_All!AI39%)),"")</f>
        <v/>
      </c>
      <c r="AJ200" s="427" t="str">
        <f>IF(AND($A200&gt;=SYear_O,$A200&lt;=EYear_O,AJ$3&gt;0),IF($A200=SYear_O,AJ$168*(1+Data_All!AJ39%),AJ199*(1+Data_All!AJ39%)),"")</f>
        <v/>
      </c>
      <c r="AK200" s="427" t="str">
        <f>IF(AND($A200&gt;=SYear_O,$A200&lt;=EYear_O,AK$3&gt;0),IF($A200=SYear_O,AK$168*(1+Data_All!AK39%),AK199*(1+Data_All!AK39%)),"")</f>
        <v/>
      </c>
      <c r="AL200" s="427" t="str">
        <f>IF(AND($A200&gt;=SYear_O,$A200&lt;=EYear_O,AL$3&gt;0),IF($A200=SYear_O,AL$168*(1+Data_All!AL39%),AL199*(1+Data_All!AL39%)),"")</f>
        <v/>
      </c>
      <c r="AM200" s="427" t="str">
        <f>IF(AND($A200&gt;=SYear_O,$A200&lt;=EYear_O,AM$3&gt;0),IF($A200=SYear_O,AM$168*(1+Data_All!AM39%),AM199*(1+Data_All!AM39%)),"")</f>
        <v/>
      </c>
      <c r="AN200" s="427" t="str">
        <f>IF(AND($A200&gt;=SYear_O,$A200&lt;=EYear_O,AN$3&gt;0),IF($A200=SYear_O,AN$168*(1+Data_All!AN39%),AN199*(1+Data_All!AN39%)),"")</f>
        <v/>
      </c>
      <c r="AO200" s="427" t="str">
        <f>IF(AND($A200&gt;=SYear_O,$A200&lt;=EYear_O,AO$3&gt;0),IF($A200=SYear_O,AO$168*(1+Data_All!AO39%),AO199*(1+Data_All!AO39%)),"")</f>
        <v/>
      </c>
      <c r="AP200" s="427" t="str">
        <f>IF(AND($A200&gt;=SYear_O,$A200&lt;=EYear_O,AP$3&gt;0),IF($A200=SYear_O,AP$168*(1+Data_All!AP39%),AP199*(1+Data_All!AP39%)),"")</f>
        <v/>
      </c>
      <c r="AQ200" s="427" t="str">
        <f>IF(AND($A200&gt;=SYear_O,$A200&lt;=EYear_O,AQ$3&gt;0),IF($A200=SYear_O,AQ$168*(1+Data_All!AQ39%),AQ199*(1+Data_All!AQ39%)),"")</f>
        <v/>
      </c>
      <c r="AR200" s="427" t="str">
        <f>IF(AND($A200&gt;=SYear_O,$A200&lt;=EYear_O,AR$3&gt;0),IF($A200=SYear_O,AR$168*(1+Data_All!AR39%),AR199*(1+Data_All!AR39%)),"")</f>
        <v/>
      </c>
      <c r="AS200" s="427" t="str">
        <f>IF(AND($A200&gt;=SYear_O,$A200&lt;=EYear_O,AS$3&gt;0),IF($A200=SYear_O,AS$168*(1+Data_All!AS39%),AS199*(1+Data_All!AS39%)),"")</f>
        <v/>
      </c>
      <c r="AT200" s="427" t="str">
        <f>IF(AND($A200&gt;=SYear_O,$A200&lt;=EYear_O,AT$3&gt;0),IF($A200=SYear_O,AT$168*(1+Data_All!AT39%),AT199*(1+Data_All!AT39%)),"")</f>
        <v/>
      </c>
      <c r="AU200" s="427" t="str">
        <f>IF(AND($A200&gt;=SYear_O,$A200&lt;=EYear_O,AU$3&gt;0),IF($A200=SYear_O,AU$168*(1+Data_All!AU39%),AU199*(1+Data_All!AU39%)),"")</f>
        <v/>
      </c>
      <c r="AV200" s="427" t="str">
        <f>IF(AND($A200&gt;=SYear_O,$A200&lt;=EYear_O,AV$3&gt;0),IF($A200=SYear_O,AV$168*(1+Data_All!AV39%),AV199*(1+Data_All!AV39%)),"")</f>
        <v/>
      </c>
      <c r="AW200" s="427" t="str">
        <f>IF(AND($A200&gt;=SYear_O,$A200&lt;=EYear_O,AW$3&gt;0),IF($A200=SYear_O,AW$168*(1+Data_All!AW39%),AW199*(1+Data_All!AW39%)),"")</f>
        <v/>
      </c>
      <c r="AX200" s="427" t="str">
        <f>IF(AND($A200&gt;=SYear_O,$A200&lt;=EYear_O,AX$3&gt;0),IF($A200=SYear_O,AX$168*(1+Data_All!AX39%),AX199*(1+Data_All!AX39%)),"")</f>
        <v/>
      </c>
      <c r="AY200" s="427" t="str">
        <f>IF(AND($A200&gt;=SYear_O,$A200&lt;=EYear_O,AY$3&gt;0),IF($A200=SYear_O,AY$168*(1+Data_All!AY39%),AY199*(1+Data_All!AY39%)),"")</f>
        <v/>
      </c>
      <c r="AZ200" s="427" t="str">
        <f>IF(AND($A200&gt;=SYear_O,$A200&lt;=EYear_O,AZ$3&gt;0),IF($A200=SYear_O,AZ$168*(1+Data_All!AZ39%),AZ199*(1+Data_All!AZ39%)),"")</f>
        <v/>
      </c>
      <c r="BA200" s="427" t="str">
        <f>IF(AND($A200&gt;=SYear_O,$A200&lt;=EYear_O,BA$3&gt;0),IF($A200=SYear_O,BA$168*(1+Data_All!BA39%),BA199*(1+Data_All!BA39%)),"")</f>
        <v/>
      </c>
      <c r="BB200" s="427" t="str">
        <f>IF(AND($A200&gt;=SYear_O,$A200&lt;=EYear_O,BB$3&gt;0),IF($A200=SYear_O,BB$168*(1+Data_All!BB39%),BB199*(1+Data_All!BB39%)),"")</f>
        <v/>
      </c>
      <c r="BC200" s="427" t="str">
        <f>IF(AND($A200&gt;=SYear_O,$A200&lt;=EYear_O,BC$3&gt;0),IF($A200=SYear_O,BC$168*(1+Data_All!BC39%),BC199*(1+Data_All!BC39%)),"")</f>
        <v/>
      </c>
      <c r="BD200" s="427" t="str">
        <f>IF(AND($A200&gt;=SYear_O,$A200&lt;=EYear_O,BD$3&gt;0),IF($A200=SYear_O,BD$168*(1+Data_All!BD39%),BD199*(1+Data_All!BD39%)),"")</f>
        <v/>
      </c>
      <c r="BE200" s="427" t="str">
        <f>IF(AND($A200&gt;=SYear_O,$A200&lt;=EYear_O,BE$3&gt;0),IF($A200=SYear_O,BE$168*(1+Data_All!BE39%),BE199*(1+Data_All!BE39%)),"")</f>
        <v/>
      </c>
      <c r="BF200" s="427" t="str">
        <f>IF(AND($A200&gt;=SYear_O,$A200&lt;=EYear_O,BF$3&gt;0),IF($A200=SYear_O,BF$168*(1+Data_All!BF39%),BF199*(1+Data_All!BF39%)),"")</f>
        <v/>
      </c>
      <c r="BG200" s="427" t="str">
        <f>IF(AND($A200&gt;=SYear_O,$A200&lt;=EYear_O,BG$3&gt;0),IF($A200=SYear_O,BG$168*(1+Data_All!BG39%),BG199*(1+Data_All!BG39%)),"")</f>
        <v/>
      </c>
      <c r="BH200" s="427" t="str">
        <f>IF(AND($A200&gt;=SYear_O,$A200&lt;=EYear_O,BH$3&gt;0),IF($A200=SYear_O,BH$168*(1+Data_All!BH39%),BH199*(1+Data_All!BH39%)),"")</f>
        <v/>
      </c>
      <c r="BI200" s="427" t="str">
        <f>IF(AND($A200&gt;=SYear_O,$A200&lt;=EYear_O,BI$3&gt;0),IF($A200=SYear_O,BI$168*(1+Data_All!BI39%),BI199*(1+Data_All!BI39%)),"")</f>
        <v/>
      </c>
      <c r="BJ200" s="427" t="str">
        <f>IF(AND($A200&gt;=SYear_O,$A200&lt;=EYear_O,BJ$3&gt;0),IF($A200=SYear_O,BJ$168*(1+Data_All!BJ39%),BJ199*(1+Data_All!BJ39%)),"")</f>
        <v/>
      </c>
      <c r="BK200" s="427" t="str">
        <f>IF(AND($A200&gt;=SYear_O,$A200&lt;=EYear_O,BK$3&gt;0),IF($A200=SYear_O,BK$168*(1+Data_All!BK39%),BK199*(1+Data_All!BK39%)),"")</f>
        <v/>
      </c>
      <c r="BL200" s="427" t="str">
        <f>IF(AND($A200&gt;=SYear_O,$A200&lt;=EYear_O,BL$3&gt;0),IF($A200=SYear_O,BL$168*(1+Data_All!BL39%),BL199*(1+Data_All!BL39%)),"")</f>
        <v/>
      </c>
      <c r="BM200" s="427" t="str">
        <f>IF(AND($A200&gt;=SYear_O,$A200&lt;=EYear_O,BM$3&gt;0),IF($A200=SYear_O,BM$168*(1+Data_All!BM39%),BM199*(1+Data_All!BM39%)),"")</f>
        <v/>
      </c>
      <c r="BN200" s="427" t="str">
        <f>IF(AND($A200&gt;=SYear_O,$A200&lt;=EYear_O,BN$3&gt;0),IF($A200=SYear_O,BN$168*(1+Data_All!BN39%),BN199*(1+Data_All!BN39%)),"")</f>
        <v/>
      </c>
      <c r="BO200" s="427" t="str">
        <f>IF(AND($A200&gt;=SYear_O,$A200&lt;=EYear_O,BO$3&gt;0),IF($A200=SYear_O,BO$168*(1+Data_All!BO39%),BO199*(1+Data_All!BO39%)),"")</f>
        <v/>
      </c>
      <c r="BP200" s="427" t="str">
        <f>IF(AND($A200&gt;=SYear_O,$A200&lt;=EYear_O,BP$3&gt;0),IF($A200=SYear_O,BP$168*(1+Data_All!BP39%),BP199*(1+Data_All!BP39%)),"")</f>
        <v/>
      </c>
      <c r="BQ200" s="427" t="str">
        <f>IF(AND($A200&gt;=SYear_O,$A200&lt;=EYear_O,BQ$3&gt;0),IF($A200=SYear_O,BQ$168*(1+Data_All!BQ39%),BQ199*(1+Data_All!BQ39%)),"")</f>
        <v/>
      </c>
      <c r="BR200" s="427" t="str">
        <f>IF(AND($A200&gt;=SYear_O,$A200&lt;=EYear_O,BR$3&gt;0),IF($A200=SYear_O,BR$168*(1+Data_All!BR39%),BR199*(1+Data_All!BR39%)),"")</f>
        <v/>
      </c>
      <c r="BS200" s="427" t="str">
        <f>IF(AND($A200&gt;=SYear_O,$A200&lt;=EYear_O,BS$3&gt;0),IF($A200=SYear_O,BS$168*(1+Data_All!BS39%),BS199*(1+Data_All!BS39%)),"")</f>
        <v/>
      </c>
      <c r="BT200" s="427" t="str">
        <f>IF(AND($A200&gt;=SYear_O,$A200&lt;=EYear_O,BT$3&gt;0),IF($A200=SYear_O,BT$168*(1+Data_All!BT39%),BT199*(1+Data_All!BT39%)),"")</f>
        <v/>
      </c>
      <c r="BU200" s="427" t="str">
        <f>IF(AND($A200&gt;=SYear_O,$A200&lt;=EYear_O,BU$3&gt;0),IF($A200=SYear_O,BU$168*(1+Data_All!BU39%),BU199*(1+Data_All!BU39%)),"")</f>
        <v/>
      </c>
      <c r="BV200" s="427" t="str">
        <f>IF(AND($A200&gt;=SYear_O,$A200&lt;=EYear_O,BV$3&gt;0),IF($A200=SYear_O,BV$168*(1+Data_All!BV39%),BV199*(1+Data_All!BV39%)),"")</f>
        <v/>
      </c>
      <c r="BW200" s="427" t="str">
        <f>IF(AND($A200&gt;=SYear_O,$A200&lt;=EYear_O,BW$3&gt;0),IF($A200=SYear_O,BW$168*(1+Data_All!BW39%),BW199*(1+Data_All!BW39%)),"")</f>
        <v/>
      </c>
      <c r="BX200" s="427">
        <f>IF(AND($A200&gt;=SYear_O,$A200&lt;=EYear_O,BX$3&gt;0),IF($A200=SYear_O,BX$168*(1+Data_All!BX39%),BX199*(1+Data_All!BX39%)),"")</f>
        <v>54786.754181868273</v>
      </c>
      <c r="BY200" s="427">
        <f>IF(AND($A200&gt;=SYear_O,$A200&lt;=EYear_O,BY$3&gt;0),IF($A200=SYear_O,BY$168*(1+Data_All!BY39%),BY199*(1+Data_All!BY39%)),"")</f>
        <v>14056.714139878281</v>
      </c>
      <c r="BZ200" s="427" t="str">
        <f>IF(AND($A200&gt;=SYear_O,$A200&lt;=EYear_O,BZ$3&gt;0),IF($A200=SYear_O,BZ$168*(1+Data_All!BZ39%),BZ199*(1+Data_All!BZ39%)),"")</f>
        <v/>
      </c>
      <c r="CA200" s="565">
        <f t="shared" si="92"/>
        <v>6.7575322203152828</v>
      </c>
      <c r="CB200" s="427">
        <f t="shared" si="93"/>
        <v>68843.46832174655</v>
      </c>
      <c r="CC200" s="565">
        <f>IF(AND($A200&gt;=SYear_O,$A200&lt;=EYear_O),(CA200-Data_All!CA39)/(1+Data_All!CA39%),"")</f>
        <v>-2.6277789947257735</v>
      </c>
      <c r="CD200" s="436">
        <f t="shared" si="94"/>
        <v>99104.120015554698</v>
      </c>
      <c r="CE200" s="438">
        <f t="shared" si="95"/>
        <v>6.2440501708399259</v>
      </c>
      <c r="CF200" s="438">
        <f>IF(AND($A200&gt;=SYear_O,$A200&lt;=EYear_O),MAX($CE$169:CE200),"")</f>
        <v>6.2440501708399259</v>
      </c>
      <c r="CG200" s="209">
        <f t="shared" si="96"/>
        <v>0</v>
      </c>
      <c r="CN200" s="61">
        <f t="shared" si="97"/>
        <v>6.7575322203152766E-2</v>
      </c>
      <c r="CO200" s="61">
        <f t="shared" si="98"/>
        <v>5.0796340390170336E-2</v>
      </c>
      <c r="CP200" s="61">
        <f t="shared" si="99"/>
        <v>6.5021178687921788E-2</v>
      </c>
      <c r="CQ200" s="61">
        <f t="shared" si="100"/>
        <v>5.3053196206759967E-2</v>
      </c>
      <c r="CR200" s="61">
        <f t="shared" si="101"/>
        <v>5.5406793584832581E-2</v>
      </c>
      <c r="CU200" s="61">
        <f t="shared" si="102"/>
        <v>-2.6277789947257602E-2</v>
      </c>
      <c r="CV200" s="61">
        <f t="shared" si="103"/>
        <v>2.6632952514664909E-2</v>
      </c>
      <c r="CW200" s="61">
        <f t="shared" si="104"/>
        <v>4.1064538178722243E-2</v>
      </c>
      <c r="CX200" s="61">
        <f t="shared" si="105"/>
        <v>3.7841184944939599E-2</v>
      </c>
      <c r="CY200" s="61">
        <f t="shared" si="106"/>
        <v>2.8107761522841113E-2</v>
      </c>
    </row>
    <row r="201" spans="1:103">
      <c r="A201" s="204">
        <f t="shared" si="107"/>
        <v>1903</v>
      </c>
      <c r="B201" s="427" t="str">
        <f>IF(AND($A201&gt;=SYear_O,$A201&lt;=EYear_O,B$3&gt;0),IF($A201=SYear_O,B$168*(1+Data_All!B40%),B200*(1+Data_All!B40%)),"")</f>
        <v/>
      </c>
      <c r="C201" s="427" t="str">
        <f>IF(AND($A201&gt;=SYear_O,$A201&lt;=EYear_O,C$3&gt;0),IF($A201=SYear_O,C$168*(1+Data_All!C40%),C200*(1+Data_All!C40%)),"")</f>
        <v/>
      </c>
      <c r="D201" s="427" t="str">
        <f>IF(AND($A201&gt;=SYear_O,$A201&lt;=EYear_O,D$3&gt;0),IF($A201=SYear_O,D$168*(1+Data_All!D40%),D200*(1+Data_All!D40%)),"")</f>
        <v/>
      </c>
      <c r="E201" s="427" t="str">
        <f>IF(AND($A201&gt;=SYear_O,$A201&lt;=EYear_O,E$3&gt;0),IF($A201=SYear_O,E$168*(1+Data_All!E40%),E200*(1+Data_All!E40%)),"")</f>
        <v/>
      </c>
      <c r="F201" s="427" t="str">
        <f>IF(AND($A201&gt;=SYear_O,$A201&lt;=EYear_O,F$3&gt;0),IF($A201=SYear_O,F$168*(1+Data_All!F40%),F200*(1+Data_All!F40%)),"")</f>
        <v/>
      </c>
      <c r="G201" s="427" t="str">
        <f>IF(AND($A201&gt;=SYear_O,$A201&lt;=EYear_O,G$3&gt;0),IF($A201=SYear_O,G$168*(1+Data_All!G40%),G200*(1+Data_All!G40%)),"")</f>
        <v/>
      </c>
      <c r="H201" s="427" t="str">
        <f>IF(AND($A201&gt;=SYear_O,$A201&lt;=EYear_O,H$3&gt;0),IF($A201=SYear_O,H$168*(1+Data_All!H40%),H200*(1+Data_All!H40%)),"")</f>
        <v/>
      </c>
      <c r="I201" s="427" t="str">
        <f>IF(AND($A201&gt;=SYear_O,$A201&lt;=EYear_O,I$3&gt;0),IF($A201=SYear_O,I$168*(1+Data_All!I40%),I200*(1+Data_All!I40%)),"")</f>
        <v/>
      </c>
      <c r="J201" s="427" t="str">
        <f>IF(AND($A201&gt;=SYear_O,$A201&lt;=EYear_O,J$3&gt;0),IF($A201=SYear_O,J$168*(1+Data_All!J40%),J200*(1+Data_All!J40%)),"")</f>
        <v/>
      </c>
      <c r="K201" s="427" t="str">
        <f>IF(AND($A201&gt;=SYear_O,$A201&lt;=EYear_O,K$3&gt;0),IF($A201=SYear_O,K$168*(1+Data_All!K40%),K200*(1+Data_All!K40%)),"")</f>
        <v/>
      </c>
      <c r="L201" s="427" t="str">
        <f>IF(AND($A201&gt;=SYear_O,$A201&lt;=EYear_O,L$3&gt;0),IF($A201=SYear_O,L$168*(1+Data_All!L40%),L200*(1+Data_All!L40%)),"")</f>
        <v/>
      </c>
      <c r="M201" s="427" t="str">
        <f>IF(AND($A201&gt;=SYear_O,$A201&lt;=EYear_O,M$3&gt;0),IF($A201=SYear_O,M$168*(1+Data_All!M40%),M200*(1+Data_All!M40%)),"")</f>
        <v/>
      </c>
      <c r="N201" s="427" t="str">
        <f>IF(AND($A201&gt;=SYear_O,$A201&lt;=EYear_O,N$3&gt;0),IF($A201=SYear_O,N$168*(1+Data_All!N40%),N200*(1+Data_All!N40%)),"")</f>
        <v/>
      </c>
      <c r="O201" s="427" t="str">
        <f>IF(AND($A201&gt;=SYear_O,$A201&lt;=EYear_O,O$3&gt;0),IF($A201=SYear_O,O$168*(1+Data_All!O40%),O200*(1+Data_All!O40%)),"")</f>
        <v/>
      </c>
      <c r="P201" s="427" t="str">
        <f>IF(AND($A201&gt;=SYear_O,$A201&lt;=EYear_O,P$3&gt;0),IF($A201=SYear_O,P$168*(1+Data_All!P40%),P200*(1+Data_All!P40%)),"")</f>
        <v/>
      </c>
      <c r="Q201" s="427" t="str">
        <f>IF(AND($A201&gt;=SYear_O,$A201&lt;=EYear_O,Q$3&gt;0),IF($A201=SYear_O,Q$168*(1+Data_All!Q40%),Q200*(1+Data_All!Q40%)),"")</f>
        <v/>
      </c>
      <c r="R201" s="427" t="str">
        <f>IF(AND($A201&gt;=SYear_O,$A201&lt;=EYear_O,R$3&gt;0),IF($A201=SYear_O,R$168*(1+Data_All!R40%),R200*(1+Data_All!R40%)),"")</f>
        <v/>
      </c>
      <c r="S201" s="427" t="str">
        <f>IF(AND($A201&gt;=SYear_O,$A201&lt;=EYear_O,S$3&gt;0),IF($A201=SYear_O,S$168*(1+Data_All!S40%),S200*(1+Data_All!S40%)),"")</f>
        <v/>
      </c>
      <c r="T201" s="427" t="str">
        <f>IF(AND($A201&gt;=SYear_O,$A201&lt;=EYear_O,T$3&gt;0),IF($A201=SYear_O,T$168*(1+Data_All!T40%),T200*(1+Data_All!T40%)),"")</f>
        <v/>
      </c>
      <c r="U201" s="427" t="str">
        <f>IF(AND($A201&gt;=SYear_O,$A201&lt;=EYear_O,U$3&gt;0),IF($A201=SYear_O,U$168*(1+Data_All!U40%),U200*(1+Data_All!U40%)),"")</f>
        <v/>
      </c>
      <c r="V201" s="427" t="str">
        <f>IF(AND($A201&gt;=SYear_O,$A201&lt;=EYear_O,V$3&gt;0),IF($A201=SYear_O,V$168*(1+Data_All!V40%),V200*(1+Data_All!V40%)),"")</f>
        <v/>
      </c>
      <c r="W201" s="427" t="str">
        <f>IF(AND($A201&gt;=SYear_O,$A201&lt;=EYear_O,W$3&gt;0),IF($A201=SYear_O,W$168*(1+Data_All!W40%),W200*(1+Data_All!W40%)),"")</f>
        <v/>
      </c>
      <c r="X201" s="427" t="str">
        <f>IF(AND($A201&gt;=SYear_O,$A201&lt;=EYear_O,X$3&gt;0),IF($A201=SYear_O,X$168*(1+Data_All!X40%),X200*(1+Data_All!X40%)),"")</f>
        <v/>
      </c>
      <c r="Y201" s="427" t="str">
        <f>IF(AND($A201&gt;=SYear_O,$A201&lt;=EYear_O,Y$3&gt;0),IF($A201=SYear_O,Y$168*(1+Data_All!Y40%),Y200*(1+Data_All!Y40%)),"")</f>
        <v/>
      </c>
      <c r="Z201" s="427" t="str">
        <f>IF(AND($A201&gt;=SYear_O,$A201&lt;=EYear_O,Z$3&gt;0),IF($A201=SYear_O,Z$168*(1+Data_All!Z40%),Z200*(1+Data_All!Z40%)),"")</f>
        <v/>
      </c>
      <c r="AA201" s="427" t="str">
        <f>IF(AND($A201&gt;=SYear_O,$A201&lt;=EYear_O,AA$3&gt;0),IF($A201=SYear_O,AA$168*(1+Data_All!AA40%),AA200*(1+Data_All!AA40%)),"")</f>
        <v/>
      </c>
      <c r="AB201" s="427" t="str">
        <f>IF(AND($A201&gt;=SYear_O,$A201&lt;=EYear_O,AB$3&gt;0),IF($A201=SYear_O,AB$168*(1+Data_All!AB40%),AB200*(1+Data_All!AB40%)),"")</f>
        <v/>
      </c>
      <c r="AC201" s="427" t="str">
        <f>IF(AND($A201&gt;=SYear_O,$A201&lt;=EYear_O,AC$3&gt;0),IF($A201=SYear_O,AC$168*(1+Data_All!AC40%),AC200*(1+Data_All!AC40%)),"")</f>
        <v/>
      </c>
      <c r="AD201" s="427" t="str">
        <f>IF(AND($A201&gt;=SYear_O,$A201&lt;=EYear_O,AD$3&gt;0),IF($A201=SYear_O,AD$168*(1+Data_All!AD40%),AD200*(1+Data_All!AD40%)),"")</f>
        <v/>
      </c>
      <c r="AE201" s="427" t="str">
        <f>IF(AND($A201&gt;=SYear_O,$A201&lt;=EYear_O,AE$3&gt;0),IF($A201=SYear_O,AE$168*(1+Data_All!AE40%),AE200*(1+Data_All!AE40%)),"")</f>
        <v/>
      </c>
      <c r="AF201" s="427" t="str">
        <f>IF(AND($A201&gt;=SYear_O,$A201&lt;=EYear_O,AF$3&gt;0),IF($A201=SYear_O,AF$168*(1+Data_All!AF40%),AF200*(1+Data_All!AF40%)),"")</f>
        <v/>
      </c>
      <c r="AG201" s="427" t="str">
        <f>IF(AND($A201&gt;=SYear_O,$A201&lt;=EYear_O,AG$3&gt;0),IF($A201=SYear_O,AG$168*(1+Data_All!AG40%),AG200*(1+Data_All!AG40%)),"")</f>
        <v/>
      </c>
      <c r="AH201" s="427" t="str">
        <f>IF(AND($A201&gt;=SYear_O,$A201&lt;=EYear_O,AH$3&gt;0),IF($A201=SYear_O,AH$168*(1+Data_All!AH40%),AH200*(1+Data_All!AH40%)),"")</f>
        <v/>
      </c>
      <c r="AI201" s="427" t="str">
        <f>IF(AND($A201&gt;=SYear_O,$A201&lt;=EYear_O,AI$3&gt;0),IF($A201=SYear_O,AI$168*(1+Data_All!AI40%),AI200*(1+Data_All!AI40%)),"")</f>
        <v/>
      </c>
      <c r="AJ201" s="427" t="str">
        <f>IF(AND($A201&gt;=SYear_O,$A201&lt;=EYear_O,AJ$3&gt;0),IF($A201=SYear_O,AJ$168*(1+Data_All!AJ40%),AJ200*(1+Data_All!AJ40%)),"")</f>
        <v/>
      </c>
      <c r="AK201" s="427" t="str">
        <f>IF(AND($A201&gt;=SYear_O,$A201&lt;=EYear_O,AK$3&gt;0),IF($A201=SYear_O,AK$168*(1+Data_All!AK40%),AK200*(1+Data_All!AK40%)),"")</f>
        <v/>
      </c>
      <c r="AL201" s="427" t="str">
        <f>IF(AND($A201&gt;=SYear_O,$A201&lt;=EYear_O,AL$3&gt;0),IF($A201=SYear_O,AL$168*(1+Data_All!AL40%),AL200*(1+Data_All!AL40%)),"")</f>
        <v/>
      </c>
      <c r="AM201" s="427" t="str">
        <f>IF(AND($A201&gt;=SYear_O,$A201&lt;=EYear_O,AM$3&gt;0),IF($A201=SYear_O,AM$168*(1+Data_All!AM40%),AM200*(1+Data_All!AM40%)),"")</f>
        <v/>
      </c>
      <c r="AN201" s="427" t="str">
        <f>IF(AND($A201&gt;=SYear_O,$A201&lt;=EYear_O,AN$3&gt;0),IF($A201=SYear_O,AN$168*(1+Data_All!AN40%),AN200*(1+Data_All!AN40%)),"")</f>
        <v/>
      </c>
      <c r="AO201" s="427" t="str">
        <f>IF(AND($A201&gt;=SYear_O,$A201&lt;=EYear_O,AO$3&gt;0),IF($A201=SYear_O,AO$168*(1+Data_All!AO40%),AO200*(1+Data_All!AO40%)),"")</f>
        <v/>
      </c>
      <c r="AP201" s="427" t="str">
        <f>IF(AND($A201&gt;=SYear_O,$A201&lt;=EYear_O,AP$3&gt;0),IF($A201=SYear_O,AP$168*(1+Data_All!AP40%),AP200*(1+Data_All!AP40%)),"")</f>
        <v/>
      </c>
      <c r="AQ201" s="427" t="str">
        <f>IF(AND($A201&gt;=SYear_O,$A201&lt;=EYear_O,AQ$3&gt;0),IF($A201=SYear_O,AQ$168*(1+Data_All!AQ40%),AQ200*(1+Data_All!AQ40%)),"")</f>
        <v/>
      </c>
      <c r="AR201" s="427" t="str">
        <f>IF(AND($A201&gt;=SYear_O,$A201&lt;=EYear_O,AR$3&gt;0),IF($A201=SYear_O,AR$168*(1+Data_All!AR40%),AR200*(1+Data_All!AR40%)),"")</f>
        <v/>
      </c>
      <c r="AS201" s="427" t="str">
        <f>IF(AND($A201&gt;=SYear_O,$A201&lt;=EYear_O,AS$3&gt;0),IF($A201=SYear_O,AS$168*(1+Data_All!AS40%),AS200*(1+Data_All!AS40%)),"")</f>
        <v/>
      </c>
      <c r="AT201" s="427" t="str">
        <f>IF(AND($A201&gt;=SYear_O,$A201&lt;=EYear_O,AT$3&gt;0),IF($A201=SYear_O,AT$168*(1+Data_All!AT40%),AT200*(1+Data_All!AT40%)),"")</f>
        <v/>
      </c>
      <c r="AU201" s="427" t="str">
        <f>IF(AND($A201&gt;=SYear_O,$A201&lt;=EYear_O,AU$3&gt;0),IF($A201=SYear_O,AU$168*(1+Data_All!AU40%),AU200*(1+Data_All!AU40%)),"")</f>
        <v/>
      </c>
      <c r="AV201" s="427" t="str">
        <f>IF(AND($A201&gt;=SYear_O,$A201&lt;=EYear_O,AV$3&gt;0),IF($A201=SYear_O,AV$168*(1+Data_All!AV40%),AV200*(1+Data_All!AV40%)),"")</f>
        <v/>
      </c>
      <c r="AW201" s="427" t="str">
        <f>IF(AND($A201&gt;=SYear_O,$A201&lt;=EYear_O,AW$3&gt;0),IF($A201=SYear_O,AW$168*(1+Data_All!AW40%),AW200*(1+Data_All!AW40%)),"")</f>
        <v/>
      </c>
      <c r="AX201" s="427" t="str">
        <f>IF(AND($A201&gt;=SYear_O,$A201&lt;=EYear_O,AX$3&gt;0),IF($A201=SYear_O,AX$168*(1+Data_All!AX40%),AX200*(1+Data_All!AX40%)),"")</f>
        <v/>
      </c>
      <c r="AY201" s="427" t="str">
        <f>IF(AND($A201&gt;=SYear_O,$A201&lt;=EYear_O,AY$3&gt;0),IF($A201=SYear_O,AY$168*(1+Data_All!AY40%),AY200*(1+Data_All!AY40%)),"")</f>
        <v/>
      </c>
      <c r="AZ201" s="427" t="str">
        <f>IF(AND($A201&gt;=SYear_O,$A201&lt;=EYear_O,AZ$3&gt;0),IF($A201=SYear_O,AZ$168*(1+Data_All!AZ40%),AZ200*(1+Data_All!AZ40%)),"")</f>
        <v/>
      </c>
      <c r="BA201" s="427" t="str">
        <f>IF(AND($A201&gt;=SYear_O,$A201&lt;=EYear_O,BA$3&gt;0),IF($A201=SYear_O,BA$168*(1+Data_All!BA40%),BA200*(1+Data_All!BA40%)),"")</f>
        <v/>
      </c>
      <c r="BB201" s="427" t="str">
        <f>IF(AND($A201&gt;=SYear_O,$A201&lt;=EYear_O,BB$3&gt;0),IF($A201=SYear_O,BB$168*(1+Data_All!BB40%),BB200*(1+Data_All!BB40%)),"")</f>
        <v/>
      </c>
      <c r="BC201" s="427" t="str">
        <f>IF(AND($A201&gt;=SYear_O,$A201&lt;=EYear_O,BC$3&gt;0),IF($A201=SYear_O,BC$168*(1+Data_All!BC40%),BC200*(1+Data_All!BC40%)),"")</f>
        <v/>
      </c>
      <c r="BD201" s="427" t="str">
        <f>IF(AND($A201&gt;=SYear_O,$A201&lt;=EYear_O,BD$3&gt;0),IF($A201=SYear_O,BD$168*(1+Data_All!BD40%),BD200*(1+Data_All!BD40%)),"")</f>
        <v/>
      </c>
      <c r="BE201" s="427" t="str">
        <f>IF(AND($A201&gt;=SYear_O,$A201&lt;=EYear_O,BE$3&gt;0),IF($A201=SYear_O,BE$168*(1+Data_All!BE40%),BE200*(1+Data_All!BE40%)),"")</f>
        <v/>
      </c>
      <c r="BF201" s="427" t="str">
        <f>IF(AND($A201&gt;=SYear_O,$A201&lt;=EYear_O,BF$3&gt;0),IF($A201=SYear_O,BF$168*(1+Data_All!BF40%),BF200*(1+Data_All!BF40%)),"")</f>
        <v/>
      </c>
      <c r="BG201" s="427" t="str">
        <f>IF(AND($A201&gt;=SYear_O,$A201&lt;=EYear_O,BG$3&gt;0),IF($A201=SYear_O,BG$168*(1+Data_All!BG40%),BG200*(1+Data_All!BG40%)),"")</f>
        <v/>
      </c>
      <c r="BH201" s="427" t="str">
        <f>IF(AND($A201&gt;=SYear_O,$A201&lt;=EYear_O,BH$3&gt;0),IF($A201=SYear_O,BH$168*(1+Data_All!BH40%),BH200*(1+Data_All!BH40%)),"")</f>
        <v/>
      </c>
      <c r="BI201" s="427" t="str">
        <f>IF(AND($A201&gt;=SYear_O,$A201&lt;=EYear_O,BI$3&gt;0),IF($A201=SYear_O,BI$168*(1+Data_All!BI40%),BI200*(1+Data_All!BI40%)),"")</f>
        <v/>
      </c>
      <c r="BJ201" s="427" t="str">
        <f>IF(AND($A201&gt;=SYear_O,$A201&lt;=EYear_O,BJ$3&gt;0),IF($A201=SYear_O,BJ$168*(1+Data_All!BJ40%),BJ200*(1+Data_All!BJ40%)),"")</f>
        <v/>
      </c>
      <c r="BK201" s="427" t="str">
        <f>IF(AND($A201&gt;=SYear_O,$A201&lt;=EYear_O,BK$3&gt;0),IF($A201=SYear_O,BK$168*(1+Data_All!BK40%),BK200*(1+Data_All!BK40%)),"")</f>
        <v/>
      </c>
      <c r="BL201" s="427" t="str">
        <f>IF(AND($A201&gt;=SYear_O,$A201&lt;=EYear_O,BL$3&gt;0),IF($A201=SYear_O,BL$168*(1+Data_All!BL40%),BL200*(1+Data_All!BL40%)),"")</f>
        <v/>
      </c>
      <c r="BM201" s="427" t="str">
        <f>IF(AND($A201&gt;=SYear_O,$A201&lt;=EYear_O,BM$3&gt;0),IF($A201=SYear_O,BM$168*(1+Data_All!BM40%),BM200*(1+Data_All!BM40%)),"")</f>
        <v/>
      </c>
      <c r="BN201" s="427" t="str">
        <f>IF(AND($A201&gt;=SYear_O,$A201&lt;=EYear_O,BN$3&gt;0),IF($A201=SYear_O,BN$168*(1+Data_All!BN40%),BN200*(1+Data_All!BN40%)),"")</f>
        <v/>
      </c>
      <c r="BO201" s="427" t="str">
        <f>IF(AND($A201&gt;=SYear_O,$A201&lt;=EYear_O,BO$3&gt;0),IF($A201=SYear_O,BO$168*(1+Data_All!BO40%),BO200*(1+Data_All!BO40%)),"")</f>
        <v/>
      </c>
      <c r="BP201" s="427" t="str">
        <f>IF(AND($A201&gt;=SYear_O,$A201&lt;=EYear_O,BP$3&gt;0),IF($A201=SYear_O,BP$168*(1+Data_All!BP40%),BP200*(1+Data_All!BP40%)),"")</f>
        <v/>
      </c>
      <c r="BQ201" s="427" t="str">
        <f>IF(AND($A201&gt;=SYear_O,$A201&lt;=EYear_O,BQ$3&gt;0),IF($A201=SYear_O,BQ$168*(1+Data_All!BQ40%),BQ200*(1+Data_All!BQ40%)),"")</f>
        <v/>
      </c>
      <c r="BR201" s="427" t="str">
        <f>IF(AND($A201&gt;=SYear_O,$A201&lt;=EYear_O,BR$3&gt;0),IF($A201=SYear_O,BR$168*(1+Data_All!BR40%),BR200*(1+Data_All!BR40%)),"")</f>
        <v/>
      </c>
      <c r="BS201" s="427" t="str">
        <f>IF(AND($A201&gt;=SYear_O,$A201&lt;=EYear_O,BS$3&gt;0),IF($A201=SYear_O,BS$168*(1+Data_All!BS40%),BS200*(1+Data_All!BS40%)),"")</f>
        <v/>
      </c>
      <c r="BT201" s="427" t="str">
        <f>IF(AND($A201&gt;=SYear_O,$A201&lt;=EYear_O,BT$3&gt;0),IF($A201=SYear_O,BT$168*(1+Data_All!BT40%),BT200*(1+Data_All!BT40%)),"")</f>
        <v/>
      </c>
      <c r="BU201" s="427" t="str">
        <f>IF(AND($A201&gt;=SYear_O,$A201&lt;=EYear_O,BU$3&gt;0),IF($A201=SYear_O,BU$168*(1+Data_All!BU40%),BU200*(1+Data_All!BU40%)),"")</f>
        <v/>
      </c>
      <c r="BV201" s="427" t="str">
        <f>IF(AND($A201&gt;=SYear_O,$A201&lt;=EYear_O,BV$3&gt;0),IF($A201=SYear_O,BV$168*(1+Data_All!BV40%),BV200*(1+Data_All!BV40%)),"")</f>
        <v/>
      </c>
      <c r="BW201" s="427" t="str">
        <f>IF(AND($A201&gt;=SYear_O,$A201&lt;=EYear_O,BW$3&gt;0),IF($A201=SYear_O,BW$168*(1+Data_All!BW40%),BW200*(1+Data_All!BW40%)),"")</f>
        <v/>
      </c>
      <c r="BX201" s="427">
        <f>IF(AND($A201&gt;=SYear_O,$A201&lt;=EYear_O,BX$3&gt;0),IF($A201=SYear_O,BX$168*(1+Data_All!BX40%),BX200*(1+Data_All!BX40%)),"")</f>
        <v>45526.108971457907</v>
      </c>
      <c r="BY201" s="427">
        <f>IF(AND($A201&gt;=SYear_O,$A201&lt;=EYear_O,BY$3&gt;0),IF($A201=SYear_O,BY$168*(1+Data_All!BY40%),BY200*(1+Data_All!BY40%)),"")</f>
        <v>14752.726994156808</v>
      </c>
      <c r="BZ201" s="427" t="str">
        <f>IF(AND($A201&gt;=SYear_O,$A201&lt;=EYear_O,BZ$3&gt;0),IF($A201=SYear_O,BZ$168*(1+Data_All!BZ40%),BZ200*(1+Data_All!BZ40%)),"")</f>
        <v/>
      </c>
      <c r="CA201" s="565">
        <f t="shared" ref="CA201:CA232" si="108">IF(AND($A201&gt;=SYear_O,$A201&lt;=EYear_O),IF($A201=SYear_O,100*(CB201-$CB$168)/$CB$168,100*(CB201-CB200)/CB200),"")</f>
        <v>-12.440733398416542</v>
      </c>
      <c r="CB201" s="427">
        <f t="shared" ref="CB201:CB232" si="109">IF(AND($A201&gt;=SYear_O,$A201&lt;=EYear_O),SUM(B201:BZ201),"")</f>
        <v>60278.835965614715</v>
      </c>
      <c r="CC201" s="565">
        <f>IF(AND($A201&gt;=SYear_O,$A201&lt;=EYear_O),(CA201-Data_All!CA40)/(1+Data_All!CA40%),"")</f>
        <v>-8.4150491471452948</v>
      </c>
      <c r="CD201" s="436">
        <f t="shared" ref="CD201:CD232" si="110">IF(AND($A201&gt;=SYear_O,$A201&lt;=EYear_O),IF($A201=SYear_O,$CD$4*(1+CC201%),$CD200*(1+CC201%)),"")</f>
        <v>90764.459609399913</v>
      </c>
      <c r="CE201" s="438">
        <f t="shared" ref="CE201:CE232" si="111">IF(AND($A201&gt;=SYear_O,$A201&lt;=EYear_O),IF($A201=SYear_O,$CE$166,$CE200*(1+CA201%)),"")</f>
        <v>5.467244535822358</v>
      </c>
      <c r="CF201" s="438">
        <f>IF(AND($A201&gt;=SYear_O,$A201&lt;=EYear_O),MAX($CE$169:CE201),"")</f>
        <v>6.2440501708399259</v>
      </c>
      <c r="CG201" s="209">
        <f t="shared" ref="CG201:CG232" si="112">IF(AND($A201&gt;=SYear_O,$A201&lt;=EYear_O),1-(CE201/CF201),"")</f>
        <v>0.12440733398416537</v>
      </c>
      <c r="CN201" s="61">
        <f t="shared" ref="CN201:CN232" si="113">IF(AND($A201&gt;=SYear_O,$A201&lt;=EYear_O),IF($A201=SYear_O,($CB201/CB$168)-1,($CB201/$CB200)-1),"")</f>
        <v>-0.12440733398416537</v>
      </c>
      <c r="CO201" s="61">
        <f t="shared" ref="CO201:CO232" si="114">IF(AND($A201&gt;=SYear_O,$A201&lt;=EYear_O),IF($A201=SYear_O,(($CB203/$CB$168)^(1/(1+($A203-$A201)))-1),(($CB203/$CB200)^(1/(1+($A203-$A201)))-1)),"")</f>
        <v>8.3267458891378876E-2</v>
      </c>
      <c r="CP201" s="61">
        <f t="shared" ref="CP201:CP232" si="115">IF(AND($A201&gt;=SYear_O,$A201&lt;=EYear_O),IF($A201=SYear_O,(($CB205/$CB$168)^(1/(1+($A205-$A201)))-1),(($CB205/$CB200)^(1/(1+($A205-$A201)))-1)),"")</f>
        <v>8.4410565733104015E-3</v>
      </c>
      <c r="CQ201" s="61">
        <f t="shared" ref="CQ201:CQ232" si="116">IF(AND($A201&gt;=SYear_O,$A201&lt;=EYear_O),IF($A201=SYear_O,(($CB210/$CB$168)^(1/(1+($A210-$A201)))-1),(($CB210/$CB200)^(1/(1+($A210-$A201)))-1)),"")</f>
        <v>5.2343884496908188E-2</v>
      </c>
      <c r="CR201" s="61">
        <f t="shared" ref="CR201:CR232" si="117">IF(AND($A201&gt;=SYear_O,$A201&lt;=EYear_O),IF($A201=SYear_O,(($CB215/$CB$168)^(1/(1+($A215-$A201)))-1),(($CB215/$CB200)^(1/(1+($A215-$A201)))-1)),"")</f>
        <v>3.9840736020055445E-2</v>
      </c>
      <c r="CU201" s="61">
        <f t="shared" ref="CU201:CU232" si="118">IF(AND($A201&gt;=SYear_O,$A201&lt;=EYear_O),IF($A201=SYear_O,($CD201/$CD$168)-1,($CD201/$CD200)-1),"")</f>
        <v>-8.4150491471452926E-2</v>
      </c>
      <c r="CV201" s="61">
        <f t="shared" ref="CV201:CV232" si="119">IF(AND($A201&gt;=SYear_O,$A201&lt;=EYear_O),IF($A201=SYear_O,(($CD203/$CD$168)^(1/(1+($A203-$A201)))-1),(($CD203/$CD200)^(1/(1+($A203-$A201)))-1)),"")</f>
        <v>9.1323471009047363E-2</v>
      </c>
      <c r="CW201" s="61">
        <f t="shared" ref="CW201:CW232" si="120">IF(AND($A201&gt;=SYear_O,$A201&lt;=EYear_O),IF($A201=SYear_O,(($CD205/$CD$168)^(1/(1+($A205-$A201)))-1),(($CD205/$CD200)^(1/(1+($A205-$A201)))-1)),"")</f>
        <v>8.4410565733104015E-3</v>
      </c>
      <c r="CX201" s="61">
        <f t="shared" ref="CX201:CX232" si="121">IF(AND($A201&gt;=SYear_O,$A201&lt;=EYear_O),IF($A201=SYear_O,(($CD210/$CD$168)^(1/(1+($A210-$A201)))-1),(($CD210/$CD200)^(1/(1+($A210-$A201)))-1)),"")</f>
        <v>3.9389041901489286E-2</v>
      </c>
      <c r="CY201" s="61">
        <f t="shared" ref="CY201:CY232" si="122">IF(AND($A201&gt;=SYear_O,$A201&lt;=EYear_O),IF($A201=SYear_O,(($CD215/$CD$168)^(1/(1+($A215-$A201)))-1),(($CD215/$CD200)^(1/(1+($A215-$A201)))-1)),"")</f>
        <v>7.0561001866651374E-3</v>
      </c>
    </row>
    <row r="202" spans="1:103">
      <c r="A202" s="204">
        <f t="shared" si="107"/>
        <v>1904</v>
      </c>
      <c r="B202" s="427" t="str">
        <f>IF(AND($A202&gt;=SYear_O,$A202&lt;=EYear_O,B$3&gt;0),IF($A202=SYear_O,B$168*(1+Data_All!B41%),B201*(1+Data_All!B41%)),"")</f>
        <v/>
      </c>
      <c r="C202" s="427" t="str">
        <f>IF(AND($A202&gt;=SYear_O,$A202&lt;=EYear_O,C$3&gt;0),IF($A202=SYear_O,C$168*(1+Data_All!C41%),C201*(1+Data_All!C41%)),"")</f>
        <v/>
      </c>
      <c r="D202" s="427" t="str">
        <f>IF(AND($A202&gt;=SYear_O,$A202&lt;=EYear_O,D$3&gt;0),IF($A202=SYear_O,D$168*(1+Data_All!D41%),D201*(1+Data_All!D41%)),"")</f>
        <v/>
      </c>
      <c r="E202" s="427" t="str">
        <f>IF(AND($A202&gt;=SYear_O,$A202&lt;=EYear_O,E$3&gt;0),IF($A202=SYear_O,E$168*(1+Data_All!E41%),E201*(1+Data_All!E41%)),"")</f>
        <v/>
      </c>
      <c r="F202" s="427" t="str">
        <f>IF(AND($A202&gt;=SYear_O,$A202&lt;=EYear_O,F$3&gt;0),IF($A202=SYear_O,F$168*(1+Data_All!F41%),F201*(1+Data_All!F41%)),"")</f>
        <v/>
      </c>
      <c r="G202" s="427" t="str">
        <f>IF(AND($A202&gt;=SYear_O,$A202&lt;=EYear_O,G$3&gt;0),IF($A202=SYear_O,G$168*(1+Data_All!G41%),G201*(1+Data_All!G41%)),"")</f>
        <v/>
      </c>
      <c r="H202" s="427" t="str">
        <f>IF(AND($A202&gt;=SYear_O,$A202&lt;=EYear_O,H$3&gt;0),IF($A202=SYear_O,H$168*(1+Data_All!H41%),H201*(1+Data_All!H41%)),"")</f>
        <v/>
      </c>
      <c r="I202" s="427" t="str">
        <f>IF(AND($A202&gt;=SYear_O,$A202&lt;=EYear_O,I$3&gt;0),IF($A202=SYear_O,I$168*(1+Data_All!I41%),I201*(1+Data_All!I41%)),"")</f>
        <v/>
      </c>
      <c r="J202" s="427" t="str">
        <f>IF(AND($A202&gt;=SYear_O,$A202&lt;=EYear_O,J$3&gt;0),IF($A202=SYear_O,J$168*(1+Data_All!J41%),J201*(1+Data_All!J41%)),"")</f>
        <v/>
      </c>
      <c r="K202" s="427" t="str">
        <f>IF(AND($A202&gt;=SYear_O,$A202&lt;=EYear_O,K$3&gt;0),IF($A202=SYear_O,K$168*(1+Data_All!K41%),K201*(1+Data_All!K41%)),"")</f>
        <v/>
      </c>
      <c r="L202" s="427" t="str">
        <f>IF(AND($A202&gt;=SYear_O,$A202&lt;=EYear_O,L$3&gt;0),IF($A202=SYear_O,L$168*(1+Data_All!L41%),L201*(1+Data_All!L41%)),"")</f>
        <v/>
      </c>
      <c r="M202" s="427" t="str">
        <f>IF(AND($A202&gt;=SYear_O,$A202&lt;=EYear_O,M$3&gt;0),IF($A202=SYear_O,M$168*(1+Data_All!M41%),M201*(1+Data_All!M41%)),"")</f>
        <v/>
      </c>
      <c r="N202" s="427" t="str">
        <f>IF(AND($A202&gt;=SYear_O,$A202&lt;=EYear_O,N$3&gt;0),IF($A202=SYear_O,N$168*(1+Data_All!N41%),N201*(1+Data_All!N41%)),"")</f>
        <v/>
      </c>
      <c r="O202" s="427" t="str">
        <f>IF(AND($A202&gt;=SYear_O,$A202&lt;=EYear_O,O$3&gt;0),IF($A202=SYear_O,O$168*(1+Data_All!O41%),O201*(1+Data_All!O41%)),"")</f>
        <v/>
      </c>
      <c r="P202" s="427" t="str">
        <f>IF(AND($A202&gt;=SYear_O,$A202&lt;=EYear_O,P$3&gt;0),IF($A202=SYear_O,P$168*(1+Data_All!P41%),P201*(1+Data_All!P41%)),"")</f>
        <v/>
      </c>
      <c r="Q202" s="427" t="str">
        <f>IF(AND($A202&gt;=SYear_O,$A202&lt;=EYear_O,Q$3&gt;0),IF($A202=SYear_O,Q$168*(1+Data_All!Q41%),Q201*(1+Data_All!Q41%)),"")</f>
        <v/>
      </c>
      <c r="R202" s="427" t="str">
        <f>IF(AND($A202&gt;=SYear_O,$A202&lt;=EYear_O,R$3&gt;0),IF($A202=SYear_O,R$168*(1+Data_All!R41%),R201*(1+Data_All!R41%)),"")</f>
        <v/>
      </c>
      <c r="S202" s="427" t="str">
        <f>IF(AND($A202&gt;=SYear_O,$A202&lt;=EYear_O,S$3&gt;0),IF($A202=SYear_O,S$168*(1+Data_All!S41%),S201*(1+Data_All!S41%)),"")</f>
        <v/>
      </c>
      <c r="T202" s="427" t="str">
        <f>IF(AND($A202&gt;=SYear_O,$A202&lt;=EYear_O,T$3&gt;0),IF($A202=SYear_O,T$168*(1+Data_All!T41%),T201*(1+Data_All!T41%)),"")</f>
        <v/>
      </c>
      <c r="U202" s="427" t="str">
        <f>IF(AND($A202&gt;=SYear_O,$A202&lt;=EYear_O,U$3&gt;0),IF($A202=SYear_O,U$168*(1+Data_All!U41%),U201*(1+Data_All!U41%)),"")</f>
        <v/>
      </c>
      <c r="V202" s="427" t="str">
        <f>IF(AND($A202&gt;=SYear_O,$A202&lt;=EYear_O,V$3&gt;0),IF($A202=SYear_O,V$168*(1+Data_All!V41%),V201*(1+Data_All!V41%)),"")</f>
        <v/>
      </c>
      <c r="W202" s="427" t="str">
        <f>IF(AND($A202&gt;=SYear_O,$A202&lt;=EYear_O,W$3&gt;0),IF($A202=SYear_O,W$168*(1+Data_All!W41%),W201*(1+Data_All!W41%)),"")</f>
        <v/>
      </c>
      <c r="X202" s="427" t="str">
        <f>IF(AND($A202&gt;=SYear_O,$A202&lt;=EYear_O,X$3&gt;0),IF($A202=SYear_O,X$168*(1+Data_All!X41%),X201*(1+Data_All!X41%)),"")</f>
        <v/>
      </c>
      <c r="Y202" s="427" t="str">
        <f>IF(AND($A202&gt;=SYear_O,$A202&lt;=EYear_O,Y$3&gt;0),IF($A202=SYear_O,Y$168*(1+Data_All!Y41%),Y201*(1+Data_All!Y41%)),"")</f>
        <v/>
      </c>
      <c r="Z202" s="427" t="str">
        <f>IF(AND($A202&gt;=SYear_O,$A202&lt;=EYear_O,Z$3&gt;0),IF($A202=SYear_O,Z$168*(1+Data_All!Z41%),Z201*(1+Data_All!Z41%)),"")</f>
        <v/>
      </c>
      <c r="AA202" s="427" t="str">
        <f>IF(AND($A202&gt;=SYear_O,$A202&lt;=EYear_O,AA$3&gt;0),IF($A202=SYear_O,AA$168*(1+Data_All!AA41%),AA201*(1+Data_All!AA41%)),"")</f>
        <v/>
      </c>
      <c r="AB202" s="427" t="str">
        <f>IF(AND($A202&gt;=SYear_O,$A202&lt;=EYear_O,AB$3&gt;0),IF($A202=SYear_O,AB$168*(1+Data_All!AB41%),AB201*(1+Data_All!AB41%)),"")</f>
        <v/>
      </c>
      <c r="AC202" s="427" t="str">
        <f>IF(AND($A202&gt;=SYear_O,$A202&lt;=EYear_O,AC$3&gt;0),IF($A202=SYear_O,AC$168*(1+Data_All!AC41%),AC201*(1+Data_All!AC41%)),"")</f>
        <v/>
      </c>
      <c r="AD202" s="427" t="str">
        <f>IF(AND($A202&gt;=SYear_O,$A202&lt;=EYear_O,AD$3&gt;0),IF($A202=SYear_O,AD$168*(1+Data_All!AD41%),AD201*(1+Data_All!AD41%)),"")</f>
        <v/>
      </c>
      <c r="AE202" s="427" t="str">
        <f>IF(AND($A202&gt;=SYear_O,$A202&lt;=EYear_O,AE$3&gt;0),IF($A202=SYear_O,AE$168*(1+Data_All!AE41%),AE201*(1+Data_All!AE41%)),"")</f>
        <v/>
      </c>
      <c r="AF202" s="427" t="str">
        <f>IF(AND($A202&gt;=SYear_O,$A202&lt;=EYear_O,AF$3&gt;0),IF($A202=SYear_O,AF$168*(1+Data_All!AF41%),AF201*(1+Data_All!AF41%)),"")</f>
        <v/>
      </c>
      <c r="AG202" s="427" t="str">
        <f>IF(AND($A202&gt;=SYear_O,$A202&lt;=EYear_O,AG$3&gt;0),IF($A202=SYear_O,AG$168*(1+Data_All!AG41%),AG201*(1+Data_All!AG41%)),"")</f>
        <v/>
      </c>
      <c r="AH202" s="427" t="str">
        <f>IF(AND($A202&gt;=SYear_O,$A202&lt;=EYear_O,AH$3&gt;0),IF($A202=SYear_O,AH$168*(1+Data_All!AH41%),AH201*(1+Data_All!AH41%)),"")</f>
        <v/>
      </c>
      <c r="AI202" s="427" t="str">
        <f>IF(AND($A202&gt;=SYear_O,$A202&lt;=EYear_O,AI$3&gt;0),IF($A202=SYear_O,AI$168*(1+Data_All!AI41%),AI201*(1+Data_All!AI41%)),"")</f>
        <v/>
      </c>
      <c r="AJ202" s="427" t="str">
        <f>IF(AND($A202&gt;=SYear_O,$A202&lt;=EYear_O,AJ$3&gt;0),IF($A202=SYear_O,AJ$168*(1+Data_All!AJ41%),AJ201*(1+Data_All!AJ41%)),"")</f>
        <v/>
      </c>
      <c r="AK202" s="427" t="str">
        <f>IF(AND($A202&gt;=SYear_O,$A202&lt;=EYear_O,AK$3&gt;0),IF($A202=SYear_O,AK$168*(1+Data_All!AK41%),AK201*(1+Data_All!AK41%)),"")</f>
        <v/>
      </c>
      <c r="AL202" s="427" t="str">
        <f>IF(AND($A202&gt;=SYear_O,$A202&lt;=EYear_O,AL$3&gt;0),IF($A202=SYear_O,AL$168*(1+Data_All!AL41%),AL201*(1+Data_All!AL41%)),"")</f>
        <v/>
      </c>
      <c r="AM202" s="427" t="str">
        <f>IF(AND($A202&gt;=SYear_O,$A202&lt;=EYear_O,AM$3&gt;0),IF($A202=SYear_O,AM$168*(1+Data_All!AM41%),AM201*(1+Data_All!AM41%)),"")</f>
        <v/>
      </c>
      <c r="AN202" s="427" t="str">
        <f>IF(AND($A202&gt;=SYear_O,$A202&lt;=EYear_O,AN$3&gt;0),IF($A202=SYear_O,AN$168*(1+Data_All!AN41%),AN201*(1+Data_All!AN41%)),"")</f>
        <v/>
      </c>
      <c r="AO202" s="427" t="str">
        <f>IF(AND($A202&gt;=SYear_O,$A202&lt;=EYear_O,AO$3&gt;0),IF($A202=SYear_O,AO$168*(1+Data_All!AO41%),AO201*(1+Data_All!AO41%)),"")</f>
        <v/>
      </c>
      <c r="AP202" s="427" t="str">
        <f>IF(AND($A202&gt;=SYear_O,$A202&lt;=EYear_O,AP$3&gt;0),IF($A202=SYear_O,AP$168*(1+Data_All!AP41%),AP201*(1+Data_All!AP41%)),"")</f>
        <v/>
      </c>
      <c r="AQ202" s="427" t="str">
        <f>IF(AND($A202&gt;=SYear_O,$A202&lt;=EYear_O,AQ$3&gt;0),IF($A202=SYear_O,AQ$168*(1+Data_All!AQ41%),AQ201*(1+Data_All!AQ41%)),"")</f>
        <v/>
      </c>
      <c r="AR202" s="427" t="str">
        <f>IF(AND($A202&gt;=SYear_O,$A202&lt;=EYear_O,AR$3&gt;0),IF($A202=SYear_O,AR$168*(1+Data_All!AR41%),AR201*(1+Data_All!AR41%)),"")</f>
        <v/>
      </c>
      <c r="AS202" s="427" t="str">
        <f>IF(AND($A202&gt;=SYear_O,$A202&lt;=EYear_O,AS$3&gt;0),IF($A202=SYear_O,AS$168*(1+Data_All!AS41%),AS201*(1+Data_All!AS41%)),"")</f>
        <v/>
      </c>
      <c r="AT202" s="427" t="str">
        <f>IF(AND($A202&gt;=SYear_O,$A202&lt;=EYear_O,AT$3&gt;0),IF($A202=SYear_O,AT$168*(1+Data_All!AT41%),AT201*(1+Data_All!AT41%)),"")</f>
        <v/>
      </c>
      <c r="AU202" s="427" t="str">
        <f>IF(AND($A202&gt;=SYear_O,$A202&lt;=EYear_O,AU$3&gt;0),IF($A202=SYear_O,AU$168*(1+Data_All!AU41%),AU201*(1+Data_All!AU41%)),"")</f>
        <v/>
      </c>
      <c r="AV202" s="427" t="str">
        <f>IF(AND($A202&gt;=SYear_O,$A202&lt;=EYear_O,AV$3&gt;0),IF($A202=SYear_O,AV$168*(1+Data_All!AV41%),AV201*(1+Data_All!AV41%)),"")</f>
        <v/>
      </c>
      <c r="AW202" s="427" t="str">
        <f>IF(AND($A202&gt;=SYear_O,$A202&lt;=EYear_O,AW$3&gt;0),IF($A202=SYear_O,AW$168*(1+Data_All!AW41%),AW201*(1+Data_All!AW41%)),"")</f>
        <v/>
      </c>
      <c r="AX202" s="427" t="str">
        <f>IF(AND($A202&gt;=SYear_O,$A202&lt;=EYear_O,AX$3&gt;0),IF($A202=SYear_O,AX$168*(1+Data_All!AX41%),AX201*(1+Data_All!AX41%)),"")</f>
        <v/>
      </c>
      <c r="AY202" s="427" t="str">
        <f>IF(AND($A202&gt;=SYear_O,$A202&lt;=EYear_O,AY$3&gt;0),IF($A202=SYear_O,AY$168*(1+Data_All!AY41%),AY201*(1+Data_All!AY41%)),"")</f>
        <v/>
      </c>
      <c r="AZ202" s="427" t="str">
        <f>IF(AND($A202&gt;=SYear_O,$A202&lt;=EYear_O,AZ$3&gt;0),IF($A202=SYear_O,AZ$168*(1+Data_All!AZ41%),AZ201*(1+Data_All!AZ41%)),"")</f>
        <v/>
      </c>
      <c r="BA202" s="427" t="str">
        <f>IF(AND($A202&gt;=SYear_O,$A202&lt;=EYear_O,BA$3&gt;0),IF($A202=SYear_O,BA$168*(1+Data_All!BA41%),BA201*(1+Data_All!BA41%)),"")</f>
        <v/>
      </c>
      <c r="BB202" s="427" t="str">
        <f>IF(AND($A202&gt;=SYear_O,$A202&lt;=EYear_O,BB$3&gt;0),IF($A202=SYear_O,BB$168*(1+Data_All!BB41%),BB201*(1+Data_All!BB41%)),"")</f>
        <v/>
      </c>
      <c r="BC202" s="427" t="str">
        <f>IF(AND($A202&gt;=SYear_O,$A202&lt;=EYear_O,BC$3&gt;0),IF($A202=SYear_O,BC$168*(1+Data_All!BC41%),BC201*(1+Data_All!BC41%)),"")</f>
        <v/>
      </c>
      <c r="BD202" s="427" t="str">
        <f>IF(AND($A202&gt;=SYear_O,$A202&lt;=EYear_O,BD$3&gt;0),IF($A202=SYear_O,BD$168*(1+Data_All!BD41%),BD201*(1+Data_All!BD41%)),"")</f>
        <v/>
      </c>
      <c r="BE202" s="427" t="str">
        <f>IF(AND($A202&gt;=SYear_O,$A202&lt;=EYear_O,BE$3&gt;0),IF($A202=SYear_O,BE$168*(1+Data_All!BE41%),BE201*(1+Data_All!BE41%)),"")</f>
        <v/>
      </c>
      <c r="BF202" s="427" t="str">
        <f>IF(AND($A202&gt;=SYear_O,$A202&lt;=EYear_O,BF$3&gt;0),IF($A202=SYear_O,BF$168*(1+Data_All!BF41%),BF201*(1+Data_All!BF41%)),"")</f>
        <v/>
      </c>
      <c r="BG202" s="427" t="str">
        <f>IF(AND($A202&gt;=SYear_O,$A202&lt;=EYear_O,BG$3&gt;0),IF($A202=SYear_O,BG$168*(1+Data_All!BG41%),BG201*(1+Data_All!BG41%)),"")</f>
        <v/>
      </c>
      <c r="BH202" s="427" t="str">
        <f>IF(AND($A202&gt;=SYear_O,$A202&lt;=EYear_O,BH$3&gt;0),IF($A202=SYear_O,BH$168*(1+Data_All!BH41%),BH201*(1+Data_All!BH41%)),"")</f>
        <v/>
      </c>
      <c r="BI202" s="427" t="str">
        <f>IF(AND($A202&gt;=SYear_O,$A202&lt;=EYear_O,BI$3&gt;0),IF($A202=SYear_O,BI$168*(1+Data_All!BI41%),BI201*(1+Data_All!BI41%)),"")</f>
        <v/>
      </c>
      <c r="BJ202" s="427" t="str">
        <f>IF(AND($A202&gt;=SYear_O,$A202&lt;=EYear_O,BJ$3&gt;0),IF($A202=SYear_O,BJ$168*(1+Data_All!BJ41%),BJ201*(1+Data_All!BJ41%)),"")</f>
        <v/>
      </c>
      <c r="BK202" s="427" t="str">
        <f>IF(AND($A202&gt;=SYear_O,$A202&lt;=EYear_O,BK$3&gt;0),IF($A202=SYear_O,BK$168*(1+Data_All!BK41%),BK201*(1+Data_All!BK41%)),"")</f>
        <v/>
      </c>
      <c r="BL202" s="427" t="str">
        <f>IF(AND($A202&gt;=SYear_O,$A202&lt;=EYear_O,BL$3&gt;0),IF($A202=SYear_O,BL$168*(1+Data_All!BL41%),BL201*(1+Data_All!BL41%)),"")</f>
        <v/>
      </c>
      <c r="BM202" s="427" t="str">
        <f>IF(AND($A202&gt;=SYear_O,$A202&lt;=EYear_O,BM$3&gt;0),IF($A202=SYear_O,BM$168*(1+Data_All!BM41%),BM201*(1+Data_All!BM41%)),"")</f>
        <v/>
      </c>
      <c r="BN202" s="427" t="str">
        <f>IF(AND($A202&gt;=SYear_O,$A202&lt;=EYear_O,BN$3&gt;0),IF($A202=SYear_O,BN$168*(1+Data_All!BN41%),BN201*(1+Data_All!BN41%)),"")</f>
        <v/>
      </c>
      <c r="BO202" s="427" t="str">
        <f>IF(AND($A202&gt;=SYear_O,$A202&lt;=EYear_O,BO$3&gt;0),IF($A202=SYear_O,BO$168*(1+Data_All!BO41%),BO201*(1+Data_All!BO41%)),"")</f>
        <v/>
      </c>
      <c r="BP202" s="427" t="str">
        <f>IF(AND($A202&gt;=SYear_O,$A202&lt;=EYear_O,BP$3&gt;0),IF($A202=SYear_O,BP$168*(1+Data_All!BP41%),BP201*(1+Data_All!BP41%)),"")</f>
        <v/>
      </c>
      <c r="BQ202" s="427" t="str">
        <f>IF(AND($A202&gt;=SYear_O,$A202&lt;=EYear_O,BQ$3&gt;0),IF($A202=SYear_O,BQ$168*(1+Data_All!BQ41%),BQ201*(1+Data_All!BQ41%)),"")</f>
        <v/>
      </c>
      <c r="BR202" s="427" t="str">
        <f>IF(AND($A202&gt;=SYear_O,$A202&lt;=EYear_O,BR$3&gt;0),IF($A202=SYear_O,BR$168*(1+Data_All!BR41%),BR201*(1+Data_All!BR41%)),"")</f>
        <v/>
      </c>
      <c r="BS202" s="427" t="str">
        <f>IF(AND($A202&gt;=SYear_O,$A202&lt;=EYear_O,BS$3&gt;0),IF($A202=SYear_O,BS$168*(1+Data_All!BS41%),BS201*(1+Data_All!BS41%)),"")</f>
        <v/>
      </c>
      <c r="BT202" s="427" t="str">
        <f>IF(AND($A202&gt;=SYear_O,$A202&lt;=EYear_O,BT$3&gt;0),IF($A202=SYear_O,BT$168*(1+Data_All!BT41%),BT201*(1+Data_All!BT41%)),"")</f>
        <v/>
      </c>
      <c r="BU202" s="427" t="str">
        <f>IF(AND($A202&gt;=SYear_O,$A202&lt;=EYear_O,BU$3&gt;0),IF($A202=SYear_O,BU$168*(1+Data_All!BU41%),BU201*(1+Data_All!BU41%)),"")</f>
        <v/>
      </c>
      <c r="BV202" s="427" t="str">
        <f>IF(AND($A202&gt;=SYear_O,$A202&lt;=EYear_O,BV$3&gt;0),IF($A202=SYear_O,BV$168*(1+Data_All!BV41%),BV201*(1+Data_All!BV41%)),"")</f>
        <v/>
      </c>
      <c r="BW202" s="427" t="str">
        <f>IF(AND($A202&gt;=SYear_O,$A202&lt;=EYear_O,BW$3&gt;0),IF($A202=SYear_O,BW$168*(1+Data_All!BW41%),BW201*(1+Data_All!BW41%)),"")</f>
        <v/>
      </c>
      <c r="BX202" s="427">
        <f>IF(AND($A202&gt;=SYear_O,$A202&lt;=EYear_O,BX$3&gt;0),IF($A202=SYear_O,BX$168*(1+Data_All!BX41%),BX201*(1+Data_All!BX41%)),"")</f>
        <v>59565.597666248817</v>
      </c>
      <c r="BY202" s="427">
        <f>IF(AND($A202&gt;=SYear_O,$A202&lt;=EYear_O,BY$3&gt;0),IF($A202=SYear_O,BY$168*(1+Data_All!BY41%),BY201*(1+Data_All!BY41%)),"")</f>
        <v>15254.775600063287</v>
      </c>
      <c r="BZ202" s="427" t="str">
        <f>IF(AND($A202&gt;=SYear_O,$A202&lt;=EYear_O,BZ$3&gt;0),IF($A202=SYear_O,BZ$168*(1+Data_All!BZ41%),BZ201*(1+Data_All!BZ41%)),"")</f>
        <v/>
      </c>
      <c r="CA202" s="565">
        <f t="shared" si="108"/>
        <v>24.123785849136873</v>
      </c>
      <c r="CB202" s="427">
        <f t="shared" si="109"/>
        <v>74820.373266312105</v>
      </c>
      <c r="CC202" s="565">
        <f>IF(AND($A202&gt;=SYear_O,$A202&lt;=EYear_O),(CA202-Data_All!CA41)/(1+Data_All!CA41%),"")</f>
        <v>21.335087350701905</v>
      </c>
      <c r="CD202" s="436">
        <f t="shared" si="110"/>
        <v>110129.13635045793</v>
      </c>
      <c r="CE202" s="438">
        <f t="shared" si="111"/>
        <v>6.7861508994927817</v>
      </c>
      <c r="CF202" s="438">
        <f>IF(AND($A202&gt;=SYear_O,$A202&lt;=EYear_O),MAX($CE$169:CE202),"")</f>
        <v>6.7861508994927817</v>
      </c>
      <c r="CG202" s="209">
        <f t="shared" si="112"/>
        <v>0</v>
      </c>
      <c r="CN202" s="61">
        <f t="shared" si="113"/>
        <v>0.24123785849136881</v>
      </c>
      <c r="CO202" s="61">
        <f t="shared" si="114"/>
        <v>0.13596127465863805</v>
      </c>
      <c r="CP202" s="61">
        <f t="shared" si="115"/>
        <v>9.3152837173244407E-2</v>
      </c>
      <c r="CQ202" s="61">
        <f t="shared" si="116"/>
        <v>6.3342784066633628E-2</v>
      </c>
      <c r="CR202" s="61">
        <f t="shared" si="117"/>
        <v>5.8673224953543768E-2</v>
      </c>
      <c r="CU202" s="61">
        <f t="shared" si="118"/>
        <v>0.21335087350701909</v>
      </c>
      <c r="CV202" s="61">
        <f t="shared" si="119"/>
        <v>0.11098882685405131</v>
      </c>
      <c r="CW202" s="61">
        <f t="shared" si="120"/>
        <v>7.6364608822177216E-2</v>
      </c>
      <c r="CX202" s="61">
        <f t="shared" si="121"/>
        <v>4.3431991295078687E-2</v>
      </c>
      <c r="CY202" s="61">
        <f t="shared" si="122"/>
        <v>1.109098824025323E-2</v>
      </c>
    </row>
    <row r="203" spans="1:103">
      <c r="A203" s="204">
        <f t="shared" si="107"/>
        <v>1905</v>
      </c>
      <c r="B203" s="427" t="str">
        <f>IF(AND($A203&gt;=SYear_O,$A203&lt;=EYear_O,B$3&gt;0),IF($A203=SYear_O,B$168*(1+Data_All!B42%),B202*(1+Data_All!B42%)),"")</f>
        <v/>
      </c>
      <c r="C203" s="427" t="str">
        <f>IF(AND($A203&gt;=SYear_O,$A203&lt;=EYear_O,C$3&gt;0),IF($A203=SYear_O,C$168*(1+Data_All!C42%),C202*(1+Data_All!C42%)),"")</f>
        <v/>
      </c>
      <c r="D203" s="427" t="str">
        <f>IF(AND($A203&gt;=SYear_O,$A203&lt;=EYear_O,D$3&gt;0),IF($A203=SYear_O,D$168*(1+Data_All!D42%),D202*(1+Data_All!D42%)),"")</f>
        <v/>
      </c>
      <c r="E203" s="427" t="str">
        <f>IF(AND($A203&gt;=SYear_O,$A203&lt;=EYear_O,E$3&gt;0),IF($A203=SYear_O,E$168*(1+Data_All!E42%),E202*(1+Data_All!E42%)),"")</f>
        <v/>
      </c>
      <c r="F203" s="427" t="str">
        <f>IF(AND($A203&gt;=SYear_O,$A203&lt;=EYear_O,F$3&gt;0),IF($A203=SYear_O,F$168*(1+Data_All!F42%),F202*(1+Data_All!F42%)),"")</f>
        <v/>
      </c>
      <c r="G203" s="427" t="str">
        <f>IF(AND($A203&gt;=SYear_O,$A203&lt;=EYear_O,G$3&gt;0),IF($A203=SYear_O,G$168*(1+Data_All!G42%),G202*(1+Data_All!G42%)),"")</f>
        <v/>
      </c>
      <c r="H203" s="427" t="str">
        <f>IF(AND($A203&gt;=SYear_O,$A203&lt;=EYear_O,H$3&gt;0),IF($A203=SYear_O,H$168*(1+Data_All!H42%),H202*(1+Data_All!H42%)),"")</f>
        <v/>
      </c>
      <c r="I203" s="427" t="str">
        <f>IF(AND($A203&gt;=SYear_O,$A203&lt;=EYear_O,I$3&gt;0),IF($A203=SYear_O,I$168*(1+Data_All!I42%),I202*(1+Data_All!I42%)),"")</f>
        <v/>
      </c>
      <c r="J203" s="427" t="str">
        <f>IF(AND($A203&gt;=SYear_O,$A203&lt;=EYear_O,J$3&gt;0),IF($A203=SYear_O,J$168*(1+Data_All!J42%),J202*(1+Data_All!J42%)),"")</f>
        <v/>
      </c>
      <c r="K203" s="427" t="str">
        <f>IF(AND($A203&gt;=SYear_O,$A203&lt;=EYear_O,K$3&gt;0),IF($A203=SYear_O,K$168*(1+Data_All!K42%),K202*(1+Data_All!K42%)),"")</f>
        <v/>
      </c>
      <c r="L203" s="427" t="str">
        <f>IF(AND($A203&gt;=SYear_O,$A203&lt;=EYear_O,L$3&gt;0),IF($A203=SYear_O,L$168*(1+Data_All!L42%),L202*(1+Data_All!L42%)),"")</f>
        <v/>
      </c>
      <c r="M203" s="427" t="str">
        <f>IF(AND($A203&gt;=SYear_O,$A203&lt;=EYear_O,M$3&gt;0),IF($A203=SYear_O,M$168*(1+Data_All!M42%),M202*(1+Data_All!M42%)),"")</f>
        <v/>
      </c>
      <c r="N203" s="427" t="str">
        <f>IF(AND($A203&gt;=SYear_O,$A203&lt;=EYear_O,N$3&gt;0),IF($A203=SYear_O,N$168*(1+Data_All!N42%),N202*(1+Data_All!N42%)),"")</f>
        <v/>
      </c>
      <c r="O203" s="427" t="str">
        <f>IF(AND($A203&gt;=SYear_O,$A203&lt;=EYear_O,O$3&gt;0),IF($A203=SYear_O,O$168*(1+Data_All!O42%),O202*(1+Data_All!O42%)),"")</f>
        <v/>
      </c>
      <c r="P203" s="427" t="str">
        <f>IF(AND($A203&gt;=SYear_O,$A203&lt;=EYear_O,P$3&gt;0),IF($A203=SYear_O,P$168*(1+Data_All!P42%),P202*(1+Data_All!P42%)),"")</f>
        <v/>
      </c>
      <c r="Q203" s="427" t="str">
        <f>IF(AND($A203&gt;=SYear_O,$A203&lt;=EYear_O,Q$3&gt;0),IF($A203=SYear_O,Q$168*(1+Data_All!Q42%),Q202*(1+Data_All!Q42%)),"")</f>
        <v/>
      </c>
      <c r="R203" s="427" t="str">
        <f>IF(AND($A203&gt;=SYear_O,$A203&lt;=EYear_O,R$3&gt;0),IF($A203=SYear_O,R$168*(1+Data_All!R42%),R202*(1+Data_All!R42%)),"")</f>
        <v/>
      </c>
      <c r="S203" s="427" t="str">
        <f>IF(AND($A203&gt;=SYear_O,$A203&lt;=EYear_O,S$3&gt;0),IF($A203=SYear_O,S$168*(1+Data_All!S42%),S202*(1+Data_All!S42%)),"")</f>
        <v/>
      </c>
      <c r="T203" s="427" t="str">
        <f>IF(AND($A203&gt;=SYear_O,$A203&lt;=EYear_O,T$3&gt;0),IF($A203=SYear_O,T$168*(1+Data_All!T42%),T202*(1+Data_All!T42%)),"")</f>
        <v/>
      </c>
      <c r="U203" s="427" t="str">
        <f>IF(AND($A203&gt;=SYear_O,$A203&lt;=EYear_O,U$3&gt;0),IF($A203=SYear_O,U$168*(1+Data_All!U42%),U202*(1+Data_All!U42%)),"")</f>
        <v/>
      </c>
      <c r="V203" s="427" t="str">
        <f>IF(AND($A203&gt;=SYear_O,$A203&lt;=EYear_O,V$3&gt;0),IF($A203=SYear_O,V$168*(1+Data_All!V42%),V202*(1+Data_All!V42%)),"")</f>
        <v/>
      </c>
      <c r="W203" s="427" t="str">
        <f>IF(AND($A203&gt;=SYear_O,$A203&lt;=EYear_O,W$3&gt;0),IF($A203=SYear_O,W$168*(1+Data_All!W42%),W202*(1+Data_All!W42%)),"")</f>
        <v/>
      </c>
      <c r="X203" s="427" t="str">
        <f>IF(AND($A203&gt;=SYear_O,$A203&lt;=EYear_O,X$3&gt;0),IF($A203=SYear_O,X$168*(1+Data_All!X42%),X202*(1+Data_All!X42%)),"")</f>
        <v/>
      </c>
      <c r="Y203" s="427" t="str">
        <f>IF(AND($A203&gt;=SYear_O,$A203&lt;=EYear_O,Y$3&gt;0),IF($A203=SYear_O,Y$168*(1+Data_All!Y42%),Y202*(1+Data_All!Y42%)),"")</f>
        <v/>
      </c>
      <c r="Z203" s="427" t="str">
        <f>IF(AND($A203&gt;=SYear_O,$A203&lt;=EYear_O,Z$3&gt;0),IF($A203=SYear_O,Z$168*(1+Data_All!Z42%),Z202*(1+Data_All!Z42%)),"")</f>
        <v/>
      </c>
      <c r="AA203" s="427" t="str">
        <f>IF(AND($A203&gt;=SYear_O,$A203&lt;=EYear_O,AA$3&gt;0),IF($A203=SYear_O,AA$168*(1+Data_All!AA42%),AA202*(1+Data_All!AA42%)),"")</f>
        <v/>
      </c>
      <c r="AB203" s="427" t="str">
        <f>IF(AND($A203&gt;=SYear_O,$A203&lt;=EYear_O,AB$3&gt;0),IF($A203=SYear_O,AB$168*(1+Data_All!AB42%),AB202*(1+Data_All!AB42%)),"")</f>
        <v/>
      </c>
      <c r="AC203" s="427" t="str">
        <f>IF(AND($A203&gt;=SYear_O,$A203&lt;=EYear_O,AC$3&gt;0),IF($A203=SYear_O,AC$168*(1+Data_All!AC42%),AC202*(1+Data_All!AC42%)),"")</f>
        <v/>
      </c>
      <c r="AD203" s="427" t="str">
        <f>IF(AND($A203&gt;=SYear_O,$A203&lt;=EYear_O,AD$3&gt;0),IF($A203=SYear_O,AD$168*(1+Data_All!AD42%),AD202*(1+Data_All!AD42%)),"")</f>
        <v/>
      </c>
      <c r="AE203" s="427" t="str">
        <f>IF(AND($A203&gt;=SYear_O,$A203&lt;=EYear_O,AE$3&gt;0),IF($A203=SYear_O,AE$168*(1+Data_All!AE42%),AE202*(1+Data_All!AE42%)),"")</f>
        <v/>
      </c>
      <c r="AF203" s="427" t="str">
        <f>IF(AND($A203&gt;=SYear_O,$A203&lt;=EYear_O,AF$3&gt;0),IF($A203=SYear_O,AF$168*(1+Data_All!AF42%),AF202*(1+Data_All!AF42%)),"")</f>
        <v/>
      </c>
      <c r="AG203" s="427" t="str">
        <f>IF(AND($A203&gt;=SYear_O,$A203&lt;=EYear_O,AG$3&gt;0),IF($A203=SYear_O,AG$168*(1+Data_All!AG42%),AG202*(1+Data_All!AG42%)),"")</f>
        <v/>
      </c>
      <c r="AH203" s="427" t="str">
        <f>IF(AND($A203&gt;=SYear_O,$A203&lt;=EYear_O,AH$3&gt;0),IF($A203=SYear_O,AH$168*(1+Data_All!AH42%),AH202*(1+Data_All!AH42%)),"")</f>
        <v/>
      </c>
      <c r="AI203" s="427" t="str">
        <f>IF(AND($A203&gt;=SYear_O,$A203&lt;=EYear_O,AI$3&gt;0),IF($A203=SYear_O,AI$168*(1+Data_All!AI42%),AI202*(1+Data_All!AI42%)),"")</f>
        <v/>
      </c>
      <c r="AJ203" s="427" t="str">
        <f>IF(AND($A203&gt;=SYear_O,$A203&lt;=EYear_O,AJ$3&gt;0),IF($A203=SYear_O,AJ$168*(1+Data_All!AJ42%),AJ202*(1+Data_All!AJ42%)),"")</f>
        <v/>
      </c>
      <c r="AK203" s="427" t="str">
        <f>IF(AND($A203&gt;=SYear_O,$A203&lt;=EYear_O,AK$3&gt;0),IF($A203=SYear_O,AK$168*(1+Data_All!AK42%),AK202*(1+Data_All!AK42%)),"")</f>
        <v/>
      </c>
      <c r="AL203" s="427" t="str">
        <f>IF(AND($A203&gt;=SYear_O,$A203&lt;=EYear_O,AL$3&gt;0),IF($A203=SYear_O,AL$168*(1+Data_All!AL42%),AL202*(1+Data_All!AL42%)),"")</f>
        <v/>
      </c>
      <c r="AM203" s="427" t="str">
        <f>IF(AND($A203&gt;=SYear_O,$A203&lt;=EYear_O,AM$3&gt;0),IF($A203=SYear_O,AM$168*(1+Data_All!AM42%),AM202*(1+Data_All!AM42%)),"")</f>
        <v/>
      </c>
      <c r="AN203" s="427" t="str">
        <f>IF(AND($A203&gt;=SYear_O,$A203&lt;=EYear_O,AN$3&gt;0),IF($A203=SYear_O,AN$168*(1+Data_All!AN42%),AN202*(1+Data_All!AN42%)),"")</f>
        <v/>
      </c>
      <c r="AO203" s="427" t="str">
        <f>IF(AND($A203&gt;=SYear_O,$A203&lt;=EYear_O,AO$3&gt;0),IF($A203=SYear_O,AO$168*(1+Data_All!AO42%),AO202*(1+Data_All!AO42%)),"")</f>
        <v/>
      </c>
      <c r="AP203" s="427" t="str">
        <f>IF(AND($A203&gt;=SYear_O,$A203&lt;=EYear_O,AP$3&gt;0),IF($A203=SYear_O,AP$168*(1+Data_All!AP42%),AP202*(1+Data_All!AP42%)),"")</f>
        <v/>
      </c>
      <c r="AQ203" s="427" t="str">
        <f>IF(AND($A203&gt;=SYear_O,$A203&lt;=EYear_O,AQ$3&gt;0),IF($A203=SYear_O,AQ$168*(1+Data_All!AQ42%),AQ202*(1+Data_All!AQ42%)),"")</f>
        <v/>
      </c>
      <c r="AR203" s="427" t="str">
        <f>IF(AND($A203&gt;=SYear_O,$A203&lt;=EYear_O,AR$3&gt;0),IF($A203=SYear_O,AR$168*(1+Data_All!AR42%),AR202*(1+Data_All!AR42%)),"")</f>
        <v/>
      </c>
      <c r="AS203" s="427" t="str">
        <f>IF(AND($A203&gt;=SYear_O,$A203&lt;=EYear_O,AS$3&gt;0),IF($A203=SYear_O,AS$168*(1+Data_All!AS42%),AS202*(1+Data_All!AS42%)),"")</f>
        <v/>
      </c>
      <c r="AT203" s="427" t="str">
        <f>IF(AND($A203&gt;=SYear_O,$A203&lt;=EYear_O,AT$3&gt;0),IF($A203=SYear_O,AT$168*(1+Data_All!AT42%),AT202*(1+Data_All!AT42%)),"")</f>
        <v/>
      </c>
      <c r="AU203" s="427" t="str">
        <f>IF(AND($A203&gt;=SYear_O,$A203&lt;=EYear_O,AU$3&gt;0),IF($A203=SYear_O,AU$168*(1+Data_All!AU42%),AU202*(1+Data_All!AU42%)),"")</f>
        <v/>
      </c>
      <c r="AV203" s="427" t="str">
        <f>IF(AND($A203&gt;=SYear_O,$A203&lt;=EYear_O,AV$3&gt;0),IF($A203=SYear_O,AV$168*(1+Data_All!AV42%),AV202*(1+Data_All!AV42%)),"")</f>
        <v/>
      </c>
      <c r="AW203" s="427" t="str">
        <f>IF(AND($A203&gt;=SYear_O,$A203&lt;=EYear_O,AW$3&gt;0),IF($A203=SYear_O,AW$168*(1+Data_All!AW42%),AW202*(1+Data_All!AW42%)),"")</f>
        <v/>
      </c>
      <c r="AX203" s="427" t="str">
        <f>IF(AND($A203&gt;=SYear_O,$A203&lt;=EYear_O,AX$3&gt;0),IF($A203=SYear_O,AX$168*(1+Data_All!AX42%),AX202*(1+Data_All!AX42%)),"")</f>
        <v/>
      </c>
      <c r="AY203" s="427" t="str">
        <f>IF(AND($A203&gt;=SYear_O,$A203&lt;=EYear_O,AY$3&gt;0),IF($A203=SYear_O,AY$168*(1+Data_All!AY42%),AY202*(1+Data_All!AY42%)),"")</f>
        <v/>
      </c>
      <c r="AZ203" s="427" t="str">
        <f>IF(AND($A203&gt;=SYear_O,$A203&lt;=EYear_O,AZ$3&gt;0),IF($A203=SYear_O,AZ$168*(1+Data_All!AZ42%),AZ202*(1+Data_All!AZ42%)),"")</f>
        <v/>
      </c>
      <c r="BA203" s="427" t="str">
        <f>IF(AND($A203&gt;=SYear_O,$A203&lt;=EYear_O,BA$3&gt;0),IF($A203=SYear_O,BA$168*(1+Data_All!BA42%),BA202*(1+Data_All!BA42%)),"")</f>
        <v/>
      </c>
      <c r="BB203" s="427" t="str">
        <f>IF(AND($A203&gt;=SYear_O,$A203&lt;=EYear_O,BB$3&gt;0),IF($A203=SYear_O,BB$168*(1+Data_All!BB42%),BB202*(1+Data_All!BB42%)),"")</f>
        <v/>
      </c>
      <c r="BC203" s="427" t="str">
        <f>IF(AND($A203&gt;=SYear_O,$A203&lt;=EYear_O,BC$3&gt;0),IF($A203=SYear_O,BC$168*(1+Data_All!BC42%),BC202*(1+Data_All!BC42%)),"")</f>
        <v/>
      </c>
      <c r="BD203" s="427" t="str">
        <f>IF(AND($A203&gt;=SYear_O,$A203&lt;=EYear_O,BD$3&gt;0),IF($A203=SYear_O,BD$168*(1+Data_All!BD42%),BD202*(1+Data_All!BD42%)),"")</f>
        <v/>
      </c>
      <c r="BE203" s="427" t="str">
        <f>IF(AND($A203&gt;=SYear_O,$A203&lt;=EYear_O,BE$3&gt;0),IF($A203=SYear_O,BE$168*(1+Data_All!BE42%),BE202*(1+Data_All!BE42%)),"")</f>
        <v/>
      </c>
      <c r="BF203" s="427" t="str">
        <f>IF(AND($A203&gt;=SYear_O,$A203&lt;=EYear_O,BF$3&gt;0),IF($A203=SYear_O,BF$168*(1+Data_All!BF42%),BF202*(1+Data_All!BF42%)),"")</f>
        <v/>
      </c>
      <c r="BG203" s="427" t="str">
        <f>IF(AND($A203&gt;=SYear_O,$A203&lt;=EYear_O,BG$3&gt;0),IF($A203=SYear_O,BG$168*(1+Data_All!BG42%),BG202*(1+Data_All!BG42%)),"")</f>
        <v/>
      </c>
      <c r="BH203" s="427" t="str">
        <f>IF(AND($A203&gt;=SYear_O,$A203&lt;=EYear_O,BH$3&gt;0),IF($A203=SYear_O,BH$168*(1+Data_All!BH42%),BH202*(1+Data_All!BH42%)),"")</f>
        <v/>
      </c>
      <c r="BI203" s="427" t="str">
        <f>IF(AND($A203&gt;=SYear_O,$A203&lt;=EYear_O,BI$3&gt;0),IF($A203=SYear_O,BI$168*(1+Data_All!BI42%),BI202*(1+Data_All!BI42%)),"")</f>
        <v/>
      </c>
      <c r="BJ203" s="427" t="str">
        <f>IF(AND($A203&gt;=SYear_O,$A203&lt;=EYear_O,BJ$3&gt;0),IF($A203=SYear_O,BJ$168*(1+Data_All!BJ42%),BJ202*(1+Data_All!BJ42%)),"")</f>
        <v/>
      </c>
      <c r="BK203" s="427" t="str">
        <f>IF(AND($A203&gt;=SYear_O,$A203&lt;=EYear_O,BK$3&gt;0),IF($A203=SYear_O,BK$168*(1+Data_All!BK42%),BK202*(1+Data_All!BK42%)),"")</f>
        <v/>
      </c>
      <c r="BL203" s="427" t="str">
        <f>IF(AND($A203&gt;=SYear_O,$A203&lt;=EYear_O,BL$3&gt;0),IF($A203=SYear_O,BL$168*(1+Data_All!BL42%),BL202*(1+Data_All!BL42%)),"")</f>
        <v/>
      </c>
      <c r="BM203" s="427" t="str">
        <f>IF(AND($A203&gt;=SYear_O,$A203&lt;=EYear_O,BM$3&gt;0),IF($A203=SYear_O,BM$168*(1+Data_All!BM42%),BM202*(1+Data_All!BM42%)),"")</f>
        <v/>
      </c>
      <c r="BN203" s="427" t="str">
        <f>IF(AND($A203&gt;=SYear_O,$A203&lt;=EYear_O,BN$3&gt;0),IF($A203=SYear_O,BN$168*(1+Data_All!BN42%),BN202*(1+Data_All!BN42%)),"")</f>
        <v/>
      </c>
      <c r="BO203" s="427" t="str">
        <f>IF(AND($A203&gt;=SYear_O,$A203&lt;=EYear_O,BO$3&gt;0),IF($A203=SYear_O,BO$168*(1+Data_All!BO42%),BO202*(1+Data_All!BO42%)),"")</f>
        <v/>
      </c>
      <c r="BP203" s="427" t="str">
        <f>IF(AND($A203&gt;=SYear_O,$A203&lt;=EYear_O,BP$3&gt;0),IF($A203=SYear_O,BP$168*(1+Data_All!BP42%),BP202*(1+Data_All!BP42%)),"")</f>
        <v/>
      </c>
      <c r="BQ203" s="427" t="str">
        <f>IF(AND($A203&gt;=SYear_O,$A203&lt;=EYear_O,BQ$3&gt;0),IF($A203=SYear_O,BQ$168*(1+Data_All!BQ42%),BQ202*(1+Data_All!BQ42%)),"")</f>
        <v/>
      </c>
      <c r="BR203" s="427" t="str">
        <f>IF(AND($A203&gt;=SYear_O,$A203&lt;=EYear_O,BR$3&gt;0),IF($A203=SYear_O,BR$168*(1+Data_All!BR42%),BR202*(1+Data_All!BR42%)),"")</f>
        <v/>
      </c>
      <c r="BS203" s="427" t="str">
        <f>IF(AND($A203&gt;=SYear_O,$A203&lt;=EYear_O,BS$3&gt;0),IF($A203=SYear_O,BS$168*(1+Data_All!BS42%),BS202*(1+Data_All!BS42%)),"")</f>
        <v/>
      </c>
      <c r="BT203" s="427" t="str">
        <f>IF(AND($A203&gt;=SYear_O,$A203&lt;=EYear_O,BT$3&gt;0),IF($A203=SYear_O,BT$168*(1+Data_All!BT42%),BT202*(1+Data_All!BT42%)),"")</f>
        <v/>
      </c>
      <c r="BU203" s="427" t="str">
        <f>IF(AND($A203&gt;=SYear_O,$A203&lt;=EYear_O,BU$3&gt;0),IF($A203=SYear_O,BU$168*(1+Data_All!BU42%),BU202*(1+Data_All!BU42%)),"")</f>
        <v/>
      </c>
      <c r="BV203" s="427" t="str">
        <f>IF(AND($A203&gt;=SYear_O,$A203&lt;=EYear_O,BV$3&gt;0),IF($A203=SYear_O,BV$168*(1+Data_All!BV42%),BV202*(1+Data_All!BV42%)),"")</f>
        <v/>
      </c>
      <c r="BW203" s="427" t="str">
        <f>IF(AND($A203&gt;=SYear_O,$A203&lt;=EYear_O,BW$3&gt;0),IF($A203=SYear_O,BW$168*(1+Data_All!BW42%),BW202*(1+Data_All!BW42%)),"")</f>
        <v/>
      </c>
      <c r="BX203" s="427">
        <f>IF(AND($A203&gt;=SYear_O,$A203&lt;=EYear_O,BX$3&gt;0),IF($A203=SYear_O,BX$168*(1+Data_All!BX42%),BX202*(1+Data_All!BX42%)),"")</f>
        <v>72072.253404002127</v>
      </c>
      <c r="BY203" s="427">
        <f>IF(AND($A203&gt;=SYear_O,$A203&lt;=EYear_O,BY$3&gt;0),IF($A203=SYear_O,BY$168*(1+Data_All!BY42%),BY202*(1+Data_All!BY42%)),"")</f>
        <v>15440.194795145617</v>
      </c>
      <c r="BZ203" s="427" t="str">
        <f>IF(AND($A203&gt;=SYear_O,$A203&lt;=EYear_O,BZ$3&gt;0),IF($A203=SYear_O,BZ$168*(1+Data_All!BZ42%),BZ202*(1+Data_All!BZ42%)),"")</f>
        <v/>
      </c>
      <c r="CA203" s="565">
        <f t="shared" si="108"/>
        <v>16.963394298582365</v>
      </c>
      <c r="CB203" s="427">
        <f t="shared" si="109"/>
        <v>87512.448199147737</v>
      </c>
      <c r="CC203" s="565">
        <f>IF(AND($A203&gt;=SYear_O,$A203&lt;=EYear_O),(CA203-Data_All!CA42)/(1+Data_All!CA42%),"")</f>
        <v>16.963394298582365</v>
      </c>
      <c r="CD203" s="436">
        <f t="shared" si="110"/>
        <v>128810.7759872095</v>
      </c>
      <c r="CE203" s="438">
        <f t="shared" si="111"/>
        <v>7.9373124342705355</v>
      </c>
      <c r="CF203" s="438">
        <f>IF(AND($A203&gt;=SYear_O,$A203&lt;=EYear_O),MAX($CE$169:CE203),"")</f>
        <v>7.9373124342705355</v>
      </c>
      <c r="CG203" s="209">
        <f t="shared" si="112"/>
        <v>0</v>
      </c>
      <c r="CN203" s="61">
        <f t="shared" si="113"/>
        <v>0.16963394298582357</v>
      </c>
      <c r="CO203" s="61">
        <f t="shared" si="114"/>
        <v>-1.3648244816280797E-2</v>
      </c>
      <c r="CP203" s="61">
        <f t="shared" si="115"/>
        <v>7.3210746445509622E-2</v>
      </c>
      <c r="CQ203" s="61">
        <f t="shared" si="116"/>
        <v>3.6891260331939346E-2</v>
      </c>
      <c r="CR203" s="61">
        <f t="shared" si="117"/>
        <v>5.3845046717597711E-2</v>
      </c>
      <c r="CU203" s="61">
        <f t="shared" si="118"/>
        <v>0.16963394298582357</v>
      </c>
      <c r="CV203" s="61">
        <f t="shared" si="119"/>
        <v>-2.0929368977109841E-2</v>
      </c>
      <c r="CW203" s="61">
        <f t="shared" si="120"/>
        <v>4.0293398698173721E-2</v>
      </c>
      <c r="CX203" s="61">
        <f t="shared" si="121"/>
        <v>1.8776214435591632E-2</v>
      </c>
      <c r="CY203" s="61">
        <f t="shared" si="122"/>
        <v>-2.4727887290314499E-3</v>
      </c>
    </row>
    <row r="204" spans="1:103">
      <c r="A204" s="204">
        <f t="shared" si="107"/>
        <v>1906</v>
      </c>
      <c r="B204" s="427" t="str">
        <f>IF(AND($A204&gt;=SYear_O,$A204&lt;=EYear_O,B$3&gt;0),IF($A204=SYear_O,B$168*(1+Data_All!B43%),B203*(1+Data_All!B43%)),"")</f>
        <v/>
      </c>
      <c r="C204" s="427" t="str">
        <f>IF(AND($A204&gt;=SYear_O,$A204&lt;=EYear_O,C$3&gt;0),IF($A204=SYear_O,C$168*(1+Data_All!C43%),C203*(1+Data_All!C43%)),"")</f>
        <v/>
      </c>
      <c r="D204" s="427" t="str">
        <f>IF(AND($A204&gt;=SYear_O,$A204&lt;=EYear_O,D$3&gt;0),IF($A204=SYear_O,D$168*(1+Data_All!D43%),D203*(1+Data_All!D43%)),"")</f>
        <v/>
      </c>
      <c r="E204" s="427" t="str">
        <f>IF(AND($A204&gt;=SYear_O,$A204&lt;=EYear_O,E$3&gt;0),IF($A204=SYear_O,E$168*(1+Data_All!E43%),E203*(1+Data_All!E43%)),"")</f>
        <v/>
      </c>
      <c r="F204" s="427" t="str">
        <f>IF(AND($A204&gt;=SYear_O,$A204&lt;=EYear_O,F$3&gt;0),IF($A204=SYear_O,F$168*(1+Data_All!F43%),F203*(1+Data_All!F43%)),"")</f>
        <v/>
      </c>
      <c r="G204" s="427" t="str">
        <f>IF(AND($A204&gt;=SYear_O,$A204&lt;=EYear_O,G$3&gt;0),IF($A204=SYear_O,G$168*(1+Data_All!G43%),G203*(1+Data_All!G43%)),"")</f>
        <v/>
      </c>
      <c r="H204" s="427" t="str">
        <f>IF(AND($A204&gt;=SYear_O,$A204&lt;=EYear_O,H$3&gt;0),IF($A204=SYear_O,H$168*(1+Data_All!H43%),H203*(1+Data_All!H43%)),"")</f>
        <v/>
      </c>
      <c r="I204" s="427" t="str">
        <f>IF(AND($A204&gt;=SYear_O,$A204&lt;=EYear_O,I$3&gt;0),IF($A204=SYear_O,I$168*(1+Data_All!I43%),I203*(1+Data_All!I43%)),"")</f>
        <v/>
      </c>
      <c r="J204" s="427" t="str">
        <f>IF(AND($A204&gt;=SYear_O,$A204&lt;=EYear_O,J$3&gt;0),IF($A204=SYear_O,J$168*(1+Data_All!J43%),J203*(1+Data_All!J43%)),"")</f>
        <v/>
      </c>
      <c r="K204" s="427" t="str">
        <f>IF(AND($A204&gt;=SYear_O,$A204&lt;=EYear_O,K$3&gt;0),IF($A204=SYear_O,K$168*(1+Data_All!K43%),K203*(1+Data_All!K43%)),"")</f>
        <v/>
      </c>
      <c r="L204" s="427" t="str">
        <f>IF(AND($A204&gt;=SYear_O,$A204&lt;=EYear_O,L$3&gt;0),IF($A204=SYear_O,L$168*(1+Data_All!L43%),L203*(1+Data_All!L43%)),"")</f>
        <v/>
      </c>
      <c r="M204" s="427" t="str">
        <f>IF(AND($A204&gt;=SYear_O,$A204&lt;=EYear_O,M$3&gt;0),IF($A204=SYear_O,M$168*(1+Data_All!M43%),M203*(1+Data_All!M43%)),"")</f>
        <v/>
      </c>
      <c r="N204" s="427" t="str">
        <f>IF(AND($A204&gt;=SYear_O,$A204&lt;=EYear_O,N$3&gt;0),IF($A204=SYear_O,N$168*(1+Data_All!N43%),N203*(1+Data_All!N43%)),"")</f>
        <v/>
      </c>
      <c r="O204" s="427" t="str">
        <f>IF(AND($A204&gt;=SYear_O,$A204&lt;=EYear_O,O$3&gt;0),IF($A204=SYear_O,O$168*(1+Data_All!O43%),O203*(1+Data_All!O43%)),"")</f>
        <v/>
      </c>
      <c r="P204" s="427" t="str">
        <f>IF(AND($A204&gt;=SYear_O,$A204&lt;=EYear_O,P$3&gt;0),IF($A204=SYear_O,P$168*(1+Data_All!P43%),P203*(1+Data_All!P43%)),"")</f>
        <v/>
      </c>
      <c r="Q204" s="427" t="str">
        <f>IF(AND($A204&gt;=SYear_O,$A204&lt;=EYear_O,Q$3&gt;0),IF($A204=SYear_O,Q$168*(1+Data_All!Q43%),Q203*(1+Data_All!Q43%)),"")</f>
        <v/>
      </c>
      <c r="R204" s="427" t="str">
        <f>IF(AND($A204&gt;=SYear_O,$A204&lt;=EYear_O,R$3&gt;0),IF($A204=SYear_O,R$168*(1+Data_All!R43%),R203*(1+Data_All!R43%)),"")</f>
        <v/>
      </c>
      <c r="S204" s="427" t="str">
        <f>IF(AND($A204&gt;=SYear_O,$A204&lt;=EYear_O,S$3&gt;0),IF($A204=SYear_O,S$168*(1+Data_All!S43%),S203*(1+Data_All!S43%)),"")</f>
        <v/>
      </c>
      <c r="T204" s="427" t="str">
        <f>IF(AND($A204&gt;=SYear_O,$A204&lt;=EYear_O,T$3&gt;0),IF($A204=SYear_O,T$168*(1+Data_All!T43%),T203*(1+Data_All!T43%)),"")</f>
        <v/>
      </c>
      <c r="U204" s="427" t="str">
        <f>IF(AND($A204&gt;=SYear_O,$A204&lt;=EYear_O,U$3&gt;0),IF($A204=SYear_O,U$168*(1+Data_All!U43%),U203*(1+Data_All!U43%)),"")</f>
        <v/>
      </c>
      <c r="V204" s="427" t="str">
        <f>IF(AND($A204&gt;=SYear_O,$A204&lt;=EYear_O,V$3&gt;0),IF($A204=SYear_O,V$168*(1+Data_All!V43%),V203*(1+Data_All!V43%)),"")</f>
        <v/>
      </c>
      <c r="W204" s="427" t="str">
        <f>IF(AND($A204&gt;=SYear_O,$A204&lt;=EYear_O,W$3&gt;0),IF($A204=SYear_O,W$168*(1+Data_All!W43%),W203*(1+Data_All!W43%)),"")</f>
        <v/>
      </c>
      <c r="X204" s="427" t="str">
        <f>IF(AND($A204&gt;=SYear_O,$A204&lt;=EYear_O,X$3&gt;0),IF($A204=SYear_O,X$168*(1+Data_All!X43%),X203*(1+Data_All!X43%)),"")</f>
        <v/>
      </c>
      <c r="Y204" s="427" t="str">
        <f>IF(AND($A204&gt;=SYear_O,$A204&lt;=EYear_O,Y$3&gt;0),IF($A204=SYear_O,Y$168*(1+Data_All!Y43%),Y203*(1+Data_All!Y43%)),"")</f>
        <v/>
      </c>
      <c r="Z204" s="427" t="str">
        <f>IF(AND($A204&gt;=SYear_O,$A204&lt;=EYear_O,Z$3&gt;0),IF($A204=SYear_O,Z$168*(1+Data_All!Z43%),Z203*(1+Data_All!Z43%)),"")</f>
        <v/>
      </c>
      <c r="AA204" s="427" t="str">
        <f>IF(AND($A204&gt;=SYear_O,$A204&lt;=EYear_O,AA$3&gt;0),IF($A204=SYear_O,AA$168*(1+Data_All!AA43%),AA203*(1+Data_All!AA43%)),"")</f>
        <v/>
      </c>
      <c r="AB204" s="427" t="str">
        <f>IF(AND($A204&gt;=SYear_O,$A204&lt;=EYear_O,AB$3&gt;0),IF($A204=SYear_O,AB$168*(1+Data_All!AB43%),AB203*(1+Data_All!AB43%)),"")</f>
        <v/>
      </c>
      <c r="AC204" s="427" t="str">
        <f>IF(AND($A204&gt;=SYear_O,$A204&lt;=EYear_O,AC$3&gt;0),IF($A204=SYear_O,AC$168*(1+Data_All!AC43%),AC203*(1+Data_All!AC43%)),"")</f>
        <v/>
      </c>
      <c r="AD204" s="427" t="str">
        <f>IF(AND($A204&gt;=SYear_O,$A204&lt;=EYear_O,AD$3&gt;0),IF($A204=SYear_O,AD$168*(1+Data_All!AD43%),AD203*(1+Data_All!AD43%)),"")</f>
        <v/>
      </c>
      <c r="AE204" s="427" t="str">
        <f>IF(AND($A204&gt;=SYear_O,$A204&lt;=EYear_O,AE$3&gt;0),IF($A204=SYear_O,AE$168*(1+Data_All!AE43%),AE203*(1+Data_All!AE43%)),"")</f>
        <v/>
      </c>
      <c r="AF204" s="427" t="str">
        <f>IF(AND($A204&gt;=SYear_O,$A204&lt;=EYear_O,AF$3&gt;0),IF($A204=SYear_O,AF$168*(1+Data_All!AF43%),AF203*(1+Data_All!AF43%)),"")</f>
        <v/>
      </c>
      <c r="AG204" s="427" t="str">
        <f>IF(AND($A204&gt;=SYear_O,$A204&lt;=EYear_O,AG$3&gt;0),IF($A204=SYear_O,AG$168*(1+Data_All!AG43%),AG203*(1+Data_All!AG43%)),"")</f>
        <v/>
      </c>
      <c r="AH204" s="427" t="str">
        <f>IF(AND($A204&gt;=SYear_O,$A204&lt;=EYear_O,AH$3&gt;0),IF($A204=SYear_O,AH$168*(1+Data_All!AH43%),AH203*(1+Data_All!AH43%)),"")</f>
        <v/>
      </c>
      <c r="AI204" s="427" t="str">
        <f>IF(AND($A204&gt;=SYear_O,$A204&lt;=EYear_O,AI$3&gt;0),IF($A204=SYear_O,AI$168*(1+Data_All!AI43%),AI203*(1+Data_All!AI43%)),"")</f>
        <v/>
      </c>
      <c r="AJ204" s="427" t="str">
        <f>IF(AND($A204&gt;=SYear_O,$A204&lt;=EYear_O,AJ$3&gt;0),IF($A204=SYear_O,AJ$168*(1+Data_All!AJ43%),AJ203*(1+Data_All!AJ43%)),"")</f>
        <v/>
      </c>
      <c r="AK204" s="427" t="str">
        <f>IF(AND($A204&gt;=SYear_O,$A204&lt;=EYear_O,AK$3&gt;0),IF($A204=SYear_O,AK$168*(1+Data_All!AK43%),AK203*(1+Data_All!AK43%)),"")</f>
        <v/>
      </c>
      <c r="AL204" s="427" t="str">
        <f>IF(AND($A204&gt;=SYear_O,$A204&lt;=EYear_O,AL$3&gt;0),IF($A204=SYear_O,AL$168*(1+Data_All!AL43%),AL203*(1+Data_All!AL43%)),"")</f>
        <v/>
      </c>
      <c r="AM204" s="427" t="str">
        <f>IF(AND($A204&gt;=SYear_O,$A204&lt;=EYear_O,AM$3&gt;0),IF($A204=SYear_O,AM$168*(1+Data_All!AM43%),AM203*(1+Data_All!AM43%)),"")</f>
        <v/>
      </c>
      <c r="AN204" s="427" t="str">
        <f>IF(AND($A204&gt;=SYear_O,$A204&lt;=EYear_O,AN$3&gt;0),IF($A204=SYear_O,AN$168*(1+Data_All!AN43%),AN203*(1+Data_All!AN43%)),"")</f>
        <v/>
      </c>
      <c r="AO204" s="427" t="str">
        <f>IF(AND($A204&gt;=SYear_O,$A204&lt;=EYear_O,AO$3&gt;0),IF($A204=SYear_O,AO$168*(1+Data_All!AO43%),AO203*(1+Data_All!AO43%)),"")</f>
        <v/>
      </c>
      <c r="AP204" s="427" t="str">
        <f>IF(AND($A204&gt;=SYear_O,$A204&lt;=EYear_O,AP$3&gt;0),IF($A204=SYear_O,AP$168*(1+Data_All!AP43%),AP203*(1+Data_All!AP43%)),"")</f>
        <v/>
      </c>
      <c r="AQ204" s="427" t="str">
        <f>IF(AND($A204&gt;=SYear_O,$A204&lt;=EYear_O,AQ$3&gt;0),IF($A204=SYear_O,AQ$168*(1+Data_All!AQ43%),AQ203*(1+Data_All!AQ43%)),"")</f>
        <v/>
      </c>
      <c r="AR204" s="427" t="str">
        <f>IF(AND($A204&gt;=SYear_O,$A204&lt;=EYear_O,AR$3&gt;0),IF($A204=SYear_O,AR$168*(1+Data_All!AR43%),AR203*(1+Data_All!AR43%)),"")</f>
        <v/>
      </c>
      <c r="AS204" s="427" t="str">
        <f>IF(AND($A204&gt;=SYear_O,$A204&lt;=EYear_O,AS$3&gt;0),IF($A204=SYear_O,AS$168*(1+Data_All!AS43%),AS203*(1+Data_All!AS43%)),"")</f>
        <v/>
      </c>
      <c r="AT204" s="427" t="str">
        <f>IF(AND($A204&gt;=SYear_O,$A204&lt;=EYear_O,AT$3&gt;0),IF($A204=SYear_O,AT$168*(1+Data_All!AT43%),AT203*(1+Data_All!AT43%)),"")</f>
        <v/>
      </c>
      <c r="AU204" s="427" t="str">
        <f>IF(AND($A204&gt;=SYear_O,$A204&lt;=EYear_O,AU$3&gt;0),IF($A204=SYear_O,AU$168*(1+Data_All!AU43%),AU203*(1+Data_All!AU43%)),"")</f>
        <v/>
      </c>
      <c r="AV204" s="427" t="str">
        <f>IF(AND($A204&gt;=SYear_O,$A204&lt;=EYear_O,AV$3&gt;0),IF($A204=SYear_O,AV$168*(1+Data_All!AV43%),AV203*(1+Data_All!AV43%)),"")</f>
        <v/>
      </c>
      <c r="AW204" s="427" t="str">
        <f>IF(AND($A204&gt;=SYear_O,$A204&lt;=EYear_O,AW$3&gt;0),IF($A204=SYear_O,AW$168*(1+Data_All!AW43%),AW203*(1+Data_All!AW43%)),"")</f>
        <v/>
      </c>
      <c r="AX204" s="427" t="str">
        <f>IF(AND($A204&gt;=SYear_O,$A204&lt;=EYear_O,AX$3&gt;0),IF($A204=SYear_O,AX$168*(1+Data_All!AX43%),AX203*(1+Data_All!AX43%)),"")</f>
        <v/>
      </c>
      <c r="AY204" s="427" t="str">
        <f>IF(AND($A204&gt;=SYear_O,$A204&lt;=EYear_O,AY$3&gt;0),IF($A204=SYear_O,AY$168*(1+Data_All!AY43%),AY203*(1+Data_All!AY43%)),"")</f>
        <v/>
      </c>
      <c r="AZ204" s="427" t="str">
        <f>IF(AND($A204&gt;=SYear_O,$A204&lt;=EYear_O,AZ$3&gt;0),IF($A204=SYear_O,AZ$168*(1+Data_All!AZ43%),AZ203*(1+Data_All!AZ43%)),"")</f>
        <v/>
      </c>
      <c r="BA204" s="427" t="str">
        <f>IF(AND($A204&gt;=SYear_O,$A204&lt;=EYear_O,BA$3&gt;0),IF($A204=SYear_O,BA$168*(1+Data_All!BA43%),BA203*(1+Data_All!BA43%)),"")</f>
        <v/>
      </c>
      <c r="BB204" s="427" t="str">
        <f>IF(AND($A204&gt;=SYear_O,$A204&lt;=EYear_O,BB$3&gt;0),IF($A204=SYear_O,BB$168*(1+Data_All!BB43%),BB203*(1+Data_All!BB43%)),"")</f>
        <v/>
      </c>
      <c r="BC204" s="427" t="str">
        <f>IF(AND($A204&gt;=SYear_O,$A204&lt;=EYear_O,BC$3&gt;0),IF($A204=SYear_O,BC$168*(1+Data_All!BC43%),BC203*(1+Data_All!BC43%)),"")</f>
        <v/>
      </c>
      <c r="BD204" s="427" t="str">
        <f>IF(AND($A204&gt;=SYear_O,$A204&lt;=EYear_O,BD$3&gt;0),IF($A204=SYear_O,BD$168*(1+Data_All!BD43%),BD203*(1+Data_All!BD43%)),"")</f>
        <v/>
      </c>
      <c r="BE204" s="427" t="str">
        <f>IF(AND($A204&gt;=SYear_O,$A204&lt;=EYear_O,BE$3&gt;0),IF($A204=SYear_O,BE$168*(1+Data_All!BE43%),BE203*(1+Data_All!BE43%)),"")</f>
        <v/>
      </c>
      <c r="BF204" s="427" t="str">
        <f>IF(AND($A204&gt;=SYear_O,$A204&lt;=EYear_O,BF$3&gt;0),IF($A204=SYear_O,BF$168*(1+Data_All!BF43%),BF203*(1+Data_All!BF43%)),"")</f>
        <v/>
      </c>
      <c r="BG204" s="427" t="str">
        <f>IF(AND($A204&gt;=SYear_O,$A204&lt;=EYear_O,BG$3&gt;0),IF($A204=SYear_O,BG$168*(1+Data_All!BG43%),BG203*(1+Data_All!BG43%)),"")</f>
        <v/>
      </c>
      <c r="BH204" s="427" t="str">
        <f>IF(AND($A204&gt;=SYear_O,$A204&lt;=EYear_O,BH$3&gt;0),IF($A204=SYear_O,BH$168*(1+Data_All!BH43%),BH203*(1+Data_All!BH43%)),"")</f>
        <v/>
      </c>
      <c r="BI204" s="427" t="str">
        <f>IF(AND($A204&gt;=SYear_O,$A204&lt;=EYear_O,BI$3&gt;0),IF($A204=SYear_O,BI$168*(1+Data_All!BI43%),BI203*(1+Data_All!BI43%)),"")</f>
        <v/>
      </c>
      <c r="BJ204" s="427" t="str">
        <f>IF(AND($A204&gt;=SYear_O,$A204&lt;=EYear_O,BJ$3&gt;0),IF($A204=SYear_O,BJ$168*(1+Data_All!BJ43%),BJ203*(1+Data_All!BJ43%)),"")</f>
        <v/>
      </c>
      <c r="BK204" s="427" t="str">
        <f>IF(AND($A204&gt;=SYear_O,$A204&lt;=EYear_O,BK$3&gt;0),IF($A204=SYear_O,BK$168*(1+Data_All!BK43%),BK203*(1+Data_All!BK43%)),"")</f>
        <v/>
      </c>
      <c r="BL204" s="427" t="str">
        <f>IF(AND($A204&gt;=SYear_O,$A204&lt;=EYear_O,BL$3&gt;0),IF($A204=SYear_O,BL$168*(1+Data_All!BL43%),BL203*(1+Data_All!BL43%)),"")</f>
        <v/>
      </c>
      <c r="BM204" s="427" t="str">
        <f>IF(AND($A204&gt;=SYear_O,$A204&lt;=EYear_O,BM$3&gt;0),IF($A204=SYear_O,BM$168*(1+Data_All!BM43%),BM203*(1+Data_All!BM43%)),"")</f>
        <v/>
      </c>
      <c r="BN204" s="427" t="str">
        <f>IF(AND($A204&gt;=SYear_O,$A204&lt;=EYear_O,BN$3&gt;0),IF($A204=SYear_O,BN$168*(1+Data_All!BN43%),BN203*(1+Data_All!BN43%)),"")</f>
        <v/>
      </c>
      <c r="BO204" s="427" t="str">
        <f>IF(AND($A204&gt;=SYear_O,$A204&lt;=EYear_O,BO$3&gt;0),IF($A204=SYear_O,BO$168*(1+Data_All!BO43%),BO203*(1+Data_All!BO43%)),"")</f>
        <v/>
      </c>
      <c r="BP204" s="427" t="str">
        <f>IF(AND($A204&gt;=SYear_O,$A204&lt;=EYear_O,BP$3&gt;0),IF($A204=SYear_O,BP$168*(1+Data_All!BP43%),BP203*(1+Data_All!BP43%)),"")</f>
        <v/>
      </c>
      <c r="BQ204" s="427" t="str">
        <f>IF(AND($A204&gt;=SYear_O,$A204&lt;=EYear_O,BQ$3&gt;0),IF($A204=SYear_O,BQ$168*(1+Data_All!BQ43%),BQ203*(1+Data_All!BQ43%)),"")</f>
        <v/>
      </c>
      <c r="BR204" s="427" t="str">
        <f>IF(AND($A204&gt;=SYear_O,$A204&lt;=EYear_O,BR$3&gt;0),IF($A204=SYear_O,BR$168*(1+Data_All!BR43%),BR203*(1+Data_All!BR43%)),"")</f>
        <v/>
      </c>
      <c r="BS204" s="427" t="str">
        <f>IF(AND($A204&gt;=SYear_O,$A204&lt;=EYear_O,BS$3&gt;0),IF($A204=SYear_O,BS$168*(1+Data_All!BS43%),BS203*(1+Data_All!BS43%)),"")</f>
        <v/>
      </c>
      <c r="BT204" s="427" t="str">
        <f>IF(AND($A204&gt;=SYear_O,$A204&lt;=EYear_O,BT$3&gt;0),IF($A204=SYear_O,BT$168*(1+Data_All!BT43%),BT203*(1+Data_All!BT43%)),"")</f>
        <v/>
      </c>
      <c r="BU204" s="427" t="str">
        <f>IF(AND($A204&gt;=SYear_O,$A204&lt;=EYear_O,BU$3&gt;0),IF($A204=SYear_O,BU$168*(1+Data_All!BU43%),BU203*(1+Data_All!BU43%)),"")</f>
        <v/>
      </c>
      <c r="BV204" s="427" t="str">
        <f>IF(AND($A204&gt;=SYear_O,$A204&lt;=EYear_O,BV$3&gt;0),IF($A204=SYear_O,BV$168*(1+Data_All!BV43%),BV203*(1+Data_All!BV43%)),"")</f>
        <v/>
      </c>
      <c r="BW204" s="427" t="str">
        <f>IF(AND($A204&gt;=SYear_O,$A204&lt;=EYear_O,BW$3&gt;0),IF($A204=SYear_O,BW$168*(1+Data_All!BW43%),BW203*(1+Data_All!BW43%)),"")</f>
        <v/>
      </c>
      <c r="BX204" s="427">
        <f>IF(AND($A204&gt;=SYear_O,$A204&lt;=EYear_O,BX$3&gt;0),IF($A204=SYear_O,BX$168*(1+Data_All!BX43%),BX203*(1+Data_All!BX43%)),"")</f>
        <v>72729.447204038632</v>
      </c>
      <c r="BY204" s="427">
        <f>IF(AND($A204&gt;=SYear_O,$A204&lt;=EYear_O,BY$3&gt;0),IF($A204=SYear_O,BY$168*(1+Data_All!BY43%),BY203*(1+Data_All!BY43%)),"")</f>
        <v>15630.497667220434</v>
      </c>
      <c r="BZ204" s="427" t="str">
        <f>IF(AND($A204&gt;=SYear_O,$A204&lt;=EYear_O,BZ$3&gt;0),IF($A204=SYear_O,BZ$168*(1+Data_All!BZ43%),BZ203*(1+Data_All!BZ43%)),"")</f>
        <v/>
      </c>
      <c r="CA204" s="565">
        <f t="shared" si="108"/>
        <v>0.96842985146835847</v>
      </c>
      <c r="CB204" s="427">
        <f t="shared" si="109"/>
        <v>88359.944871259067</v>
      </c>
      <c r="CC204" s="565">
        <f>IF(AND($A204&gt;=SYear_O,$A204&lt;=EYear_O),(CA204-Data_All!CA43)/(1+Data_All!CA43%),"")</f>
        <v>-3.3742887683901803</v>
      </c>
      <c r="CD204" s="436">
        <f t="shared" si="110"/>
        <v>124464.32844059686</v>
      </c>
      <c r="CE204" s="438">
        <f t="shared" si="111"/>
        <v>8.0141797372883214</v>
      </c>
      <c r="CF204" s="438">
        <f>IF(AND($A204&gt;=SYear_O,$A204&lt;=EYear_O),MAX($CE$169:CE204),"")</f>
        <v>8.0141797372883214</v>
      </c>
      <c r="CG204" s="209">
        <f t="shared" si="112"/>
        <v>0</v>
      </c>
      <c r="CN204" s="61">
        <f t="shared" si="113"/>
        <v>9.6842985146836646E-3</v>
      </c>
      <c r="CO204" s="61">
        <f t="shared" si="114"/>
        <v>2.4471351756025328E-2</v>
      </c>
      <c r="CP204" s="61">
        <f t="shared" si="115"/>
        <v>3.6238825453684509E-2</v>
      </c>
      <c r="CQ204" s="61">
        <f t="shared" si="116"/>
        <v>4.4026635799551794E-2</v>
      </c>
      <c r="CR204" s="61">
        <f t="shared" si="117"/>
        <v>3.4830839467530073E-2</v>
      </c>
      <c r="CU204" s="61">
        <f t="shared" si="118"/>
        <v>-3.3742887683901768E-2</v>
      </c>
      <c r="CV204" s="61">
        <f t="shared" si="119"/>
        <v>5.9743157761540377E-3</v>
      </c>
      <c r="CW204" s="61">
        <f t="shared" si="120"/>
        <v>1.8552762944070045E-2</v>
      </c>
      <c r="CX204" s="61">
        <f t="shared" si="121"/>
        <v>2.278880346508938E-2</v>
      </c>
      <c r="CY204" s="61">
        <f t="shared" si="122"/>
        <v>-1.9447308055916435E-2</v>
      </c>
    </row>
    <row r="205" spans="1:103">
      <c r="A205" s="204">
        <f t="shared" si="107"/>
        <v>1907</v>
      </c>
      <c r="B205" s="427" t="str">
        <f>IF(AND($A205&gt;=SYear_O,$A205&lt;=EYear_O,B$3&gt;0),IF($A205=SYear_O,B$168*(1+Data_All!B44%),B204*(1+Data_All!B44%)),"")</f>
        <v/>
      </c>
      <c r="C205" s="427" t="str">
        <f>IF(AND($A205&gt;=SYear_O,$A205&lt;=EYear_O,C$3&gt;0),IF($A205=SYear_O,C$168*(1+Data_All!C44%),C204*(1+Data_All!C44%)),"")</f>
        <v/>
      </c>
      <c r="D205" s="427" t="str">
        <f>IF(AND($A205&gt;=SYear_O,$A205&lt;=EYear_O,D$3&gt;0),IF($A205=SYear_O,D$168*(1+Data_All!D44%),D204*(1+Data_All!D44%)),"")</f>
        <v/>
      </c>
      <c r="E205" s="427" t="str">
        <f>IF(AND($A205&gt;=SYear_O,$A205&lt;=EYear_O,E$3&gt;0),IF($A205=SYear_O,E$168*(1+Data_All!E44%),E204*(1+Data_All!E44%)),"")</f>
        <v/>
      </c>
      <c r="F205" s="427" t="str">
        <f>IF(AND($A205&gt;=SYear_O,$A205&lt;=EYear_O,F$3&gt;0),IF($A205=SYear_O,F$168*(1+Data_All!F44%),F204*(1+Data_All!F44%)),"")</f>
        <v/>
      </c>
      <c r="G205" s="427" t="str">
        <f>IF(AND($A205&gt;=SYear_O,$A205&lt;=EYear_O,G$3&gt;0),IF($A205=SYear_O,G$168*(1+Data_All!G44%),G204*(1+Data_All!G44%)),"")</f>
        <v/>
      </c>
      <c r="H205" s="427" t="str">
        <f>IF(AND($A205&gt;=SYear_O,$A205&lt;=EYear_O,H$3&gt;0),IF($A205=SYear_O,H$168*(1+Data_All!H44%),H204*(1+Data_All!H44%)),"")</f>
        <v/>
      </c>
      <c r="I205" s="427" t="str">
        <f>IF(AND($A205&gt;=SYear_O,$A205&lt;=EYear_O,I$3&gt;0),IF($A205=SYear_O,I$168*(1+Data_All!I44%),I204*(1+Data_All!I44%)),"")</f>
        <v/>
      </c>
      <c r="J205" s="427" t="str">
        <f>IF(AND($A205&gt;=SYear_O,$A205&lt;=EYear_O,J$3&gt;0),IF($A205=SYear_O,J$168*(1+Data_All!J44%),J204*(1+Data_All!J44%)),"")</f>
        <v/>
      </c>
      <c r="K205" s="427" t="str">
        <f>IF(AND($A205&gt;=SYear_O,$A205&lt;=EYear_O,K$3&gt;0),IF($A205=SYear_O,K$168*(1+Data_All!K44%),K204*(1+Data_All!K44%)),"")</f>
        <v/>
      </c>
      <c r="L205" s="427" t="str">
        <f>IF(AND($A205&gt;=SYear_O,$A205&lt;=EYear_O,L$3&gt;0),IF($A205=SYear_O,L$168*(1+Data_All!L44%),L204*(1+Data_All!L44%)),"")</f>
        <v/>
      </c>
      <c r="M205" s="427" t="str">
        <f>IF(AND($A205&gt;=SYear_O,$A205&lt;=EYear_O,M$3&gt;0),IF($A205=SYear_O,M$168*(1+Data_All!M44%),M204*(1+Data_All!M44%)),"")</f>
        <v/>
      </c>
      <c r="N205" s="427" t="str">
        <f>IF(AND($A205&gt;=SYear_O,$A205&lt;=EYear_O,N$3&gt;0),IF($A205=SYear_O,N$168*(1+Data_All!N44%),N204*(1+Data_All!N44%)),"")</f>
        <v/>
      </c>
      <c r="O205" s="427" t="str">
        <f>IF(AND($A205&gt;=SYear_O,$A205&lt;=EYear_O,O$3&gt;0),IF($A205=SYear_O,O$168*(1+Data_All!O44%),O204*(1+Data_All!O44%)),"")</f>
        <v/>
      </c>
      <c r="P205" s="427" t="str">
        <f>IF(AND($A205&gt;=SYear_O,$A205&lt;=EYear_O,P$3&gt;0),IF($A205=SYear_O,P$168*(1+Data_All!P44%),P204*(1+Data_All!P44%)),"")</f>
        <v/>
      </c>
      <c r="Q205" s="427" t="str">
        <f>IF(AND($A205&gt;=SYear_O,$A205&lt;=EYear_O,Q$3&gt;0),IF($A205=SYear_O,Q$168*(1+Data_All!Q44%),Q204*(1+Data_All!Q44%)),"")</f>
        <v/>
      </c>
      <c r="R205" s="427" t="str">
        <f>IF(AND($A205&gt;=SYear_O,$A205&lt;=EYear_O,R$3&gt;0),IF($A205=SYear_O,R$168*(1+Data_All!R44%),R204*(1+Data_All!R44%)),"")</f>
        <v/>
      </c>
      <c r="S205" s="427" t="str">
        <f>IF(AND($A205&gt;=SYear_O,$A205&lt;=EYear_O,S$3&gt;0),IF($A205=SYear_O,S$168*(1+Data_All!S44%),S204*(1+Data_All!S44%)),"")</f>
        <v/>
      </c>
      <c r="T205" s="427" t="str">
        <f>IF(AND($A205&gt;=SYear_O,$A205&lt;=EYear_O,T$3&gt;0),IF($A205=SYear_O,T$168*(1+Data_All!T44%),T204*(1+Data_All!T44%)),"")</f>
        <v/>
      </c>
      <c r="U205" s="427" t="str">
        <f>IF(AND($A205&gt;=SYear_O,$A205&lt;=EYear_O,U$3&gt;0),IF($A205=SYear_O,U$168*(1+Data_All!U44%),U204*(1+Data_All!U44%)),"")</f>
        <v/>
      </c>
      <c r="V205" s="427" t="str">
        <f>IF(AND($A205&gt;=SYear_O,$A205&lt;=EYear_O,V$3&gt;0),IF($A205=SYear_O,V$168*(1+Data_All!V44%),V204*(1+Data_All!V44%)),"")</f>
        <v/>
      </c>
      <c r="W205" s="427" t="str">
        <f>IF(AND($A205&gt;=SYear_O,$A205&lt;=EYear_O,W$3&gt;0),IF($A205=SYear_O,W$168*(1+Data_All!W44%),W204*(1+Data_All!W44%)),"")</f>
        <v/>
      </c>
      <c r="X205" s="427" t="str">
        <f>IF(AND($A205&gt;=SYear_O,$A205&lt;=EYear_O,X$3&gt;0),IF($A205=SYear_O,X$168*(1+Data_All!X44%),X204*(1+Data_All!X44%)),"")</f>
        <v/>
      </c>
      <c r="Y205" s="427" t="str">
        <f>IF(AND($A205&gt;=SYear_O,$A205&lt;=EYear_O,Y$3&gt;0),IF($A205=SYear_O,Y$168*(1+Data_All!Y44%),Y204*(1+Data_All!Y44%)),"")</f>
        <v/>
      </c>
      <c r="Z205" s="427" t="str">
        <f>IF(AND($A205&gt;=SYear_O,$A205&lt;=EYear_O,Z$3&gt;0),IF($A205=SYear_O,Z$168*(1+Data_All!Z44%),Z204*(1+Data_All!Z44%)),"")</f>
        <v/>
      </c>
      <c r="AA205" s="427" t="str">
        <f>IF(AND($A205&gt;=SYear_O,$A205&lt;=EYear_O,AA$3&gt;0),IF($A205=SYear_O,AA$168*(1+Data_All!AA44%),AA204*(1+Data_All!AA44%)),"")</f>
        <v/>
      </c>
      <c r="AB205" s="427" t="str">
        <f>IF(AND($A205&gt;=SYear_O,$A205&lt;=EYear_O,AB$3&gt;0),IF($A205=SYear_O,AB$168*(1+Data_All!AB44%),AB204*(1+Data_All!AB44%)),"")</f>
        <v/>
      </c>
      <c r="AC205" s="427" t="str">
        <f>IF(AND($A205&gt;=SYear_O,$A205&lt;=EYear_O,AC$3&gt;0),IF($A205=SYear_O,AC$168*(1+Data_All!AC44%),AC204*(1+Data_All!AC44%)),"")</f>
        <v/>
      </c>
      <c r="AD205" s="427" t="str">
        <f>IF(AND($A205&gt;=SYear_O,$A205&lt;=EYear_O,AD$3&gt;0),IF($A205=SYear_O,AD$168*(1+Data_All!AD44%),AD204*(1+Data_All!AD44%)),"")</f>
        <v/>
      </c>
      <c r="AE205" s="427" t="str">
        <f>IF(AND($A205&gt;=SYear_O,$A205&lt;=EYear_O,AE$3&gt;0),IF($A205=SYear_O,AE$168*(1+Data_All!AE44%),AE204*(1+Data_All!AE44%)),"")</f>
        <v/>
      </c>
      <c r="AF205" s="427" t="str">
        <f>IF(AND($A205&gt;=SYear_O,$A205&lt;=EYear_O,AF$3&gt;0),IF($A205=SYear_O,AF$168*(1+Data_All!AF44%),AF204*(1+Data_All!AF44%)),"")</f>
        <v/>
      </c>
      <c r="AG205" s="427" t="str">
        <f>IF(AND($A205&gt;=SYear_O,$A205&lt;=EYear_O,AG$3&gt;0),IF($A205=SYear_O,AG$168*(1+Data_All!AG44%),AG204*(1+Data_All!AG44%)),"")</f>
        <v/>
      </c>
      <c r="AH205" s="427" t="str">
        <f>IF(AND($A205&gt;=SYear_O,$A205&lt;=EYear_O,AH$3&gt;0),IF($A205=SYear_O,AH$168*(1+Data_All!AH44%),AH204*(1+Data_All!AH44%)),"")</f>
        <v/>
      </c>
      <c r="AI205" s="427" t="str">
        <f>IF(AND($A205&gt;=SYear_O,$A205&lt;=EYear_O,AI$3&gt;0),IF($A205=SYear_O,AI$168*(1+Data_All!AI44%),AI204*(1+Data_All!AI44%)),"")</f>
        <v/>
      </c>
      <c r="AJ205" s="427" t="str">
        <f>IF(AND($A205&gt;=SYear_O,$A205&lt;=EYear_O,AJ$3&gt;0),IF($A205=SYear_O,AJ$168*(1+Data_All!AJ44%),AJ204*(1+Data_All!AJ44%)),"")</f>
        <v/>
      </c>
      <c r="AK205" s="427" t="str">
        <f>IF(AND($A205&gt;=SYear_O,$A205&lt;=EYear_O,AK$3&gt;0),IF($A205=SYear_O,AK$168*(1+Data_All!AK44%),AK204*(1+Data_All!AK44%)),"")</f>
        <v/>
      </c>
      <c r="AL205" s="427" t="str">
        <f>IF(AND($A205&gt;=SYear_O,$A205&lt;=EYear_O,AL$3&gt;0),IF($A205=SYear_O,AL$168*(1+Data_All!AL44%),AL204*(1+Data_All!AL44%)),"")</f>
        <v/>
      </c>
      <c r="AM205" s="427" t="str">
        <f>IF(AND($A205&gt;=SYear_O,$A205&lt;=EYear_O,AM$3&gt;0),IF($A205=SYear_O,AM$168*(1+Data_All!AM44%),AM204*(1+Data_All!AM44%)),"")</f>
        <v/>
      </c>
      <c r="AN205" s="427" t="str">
        <f>IF(AND($A205&gt;=SYear_O,$A205&lt;=EYear_O,AN$3&gt;0),IF($A205=SYear_O,AN$168*(1+Data_All!AN44%),AN204*(1+Data_All!AN44%)),"")</f>
        <v/>
      </c>
      <c r="AO205" s="427" t="str">
        <f>IF(AND($A205&gt;=SYear_O,$A205&lt;=EYear_O,AO$3&gt;0),IF($A205=SYear_O,AO$168*(1+Data_All!AO44%),AO204*(1+Data_All!AO44%)),"")</f>
        <v/>
      </c>
      <c r="AP205" s="427" t="str">
        <f>IF(AND($A205&gt;=SYear_O,$A205&lt;=EYear_O,AP$3&gt;0),IF($A205=SYear_O,AP$168*(1+Data_All!AP44%),AP204*(1+Data_All!AP44%)),"")</f>
        <v/>
      </c>
      <c r="AQ205" s="427" t="str">
        <f>IF(AND($A205&gt;=SYear_O,$A205&lt;=EYear_O,AQ$3&gt;0),IF($A205=SYear_O,AQ$168*(1+Data_All!AQ44%),AQ204*(1+Data_All!AQ44%)),"")</f>
        <v/>
      </c>
      <c r="AR205" s="427" t="str">
        <f>IF(AND($A205&gt;=SYear_O,$A205&lt;=EYear_O,AR$3&gt;0),IF($A205=SYear_O,AR$168*(1+Data_All!AR44%),AR204*(1+Data_All!AR44%)),"")</f>
        <v/>
      </c>
      <c r="AS205" s="427" t="str">
        <f>IF(AND($A205&gt;=SYear_O,$A205&lt;=EYear_O,AS$3&gt;0),IF($A205=SYear_O,AS$168*(1+Data_All!AS44%),AS204*(1+Data_All!AS44%)),"")</f>
        <v/>
      </c>
      <c r="AT205" s="427" t="str">
        <f>IF(AND($A205&gt;=SYear_O,$A205&lt;=EYear_O,AT$3&gt;0),IF($A205=SYear_O,AT$168*(1+Data_All!AT44%),AT204*(1+Data_All!AT44%)),"")</f>
        <v/>
      </c>
      <c r="AU205" s="427" t="str">
        <f>IF(AND($A205&gt;=SYear_O,$A205&lt;=EYear_O,AU$3&gt;0),IF($A205=SYear_O,AU$168*(1+Data_All!AU44%),AU204*(1+Data_All!AU44%)),"")</f>
        <v/>
      </c>
      <c r="AV205" s="427" t="str">
        <f>IF(AND($A205&gt;=SYear_O,$A205&lt;=EYear_O,AV$3&gt;0),IF($A205=SYear_O,AV$168*(1+Data_All!AV44%),AV204*(1+Data_All!AV44%)),"")</f>
        <v/>
      </c>
      <c r="AW205" s="427" t="str">
        <f>IF(AND($A205&gt;=SYear_O,$A205&lt;=EYear_O,AW$3&gt;0),IF($A205=SYear_O,AW$168*(1+Data_All!AW44%),AW204*(1+Data_All!AW44%)),"")</f>
        <v/>
      </c>
      <c r="AX205" s="427" t="str">
        <f>IF(AND($A205&gt;=SYear_O,$A205&lt;=EYear_O,AX$3&gt;0),IF($A205=SYear_O,AX$168*(1+Data_All!AX44%),AX204*(1+Data_All!AX44%)),"")</f>
        <v/>
      </c>
      <c r="AY205" s="427" t="str">
        <f>IF(AND($A205&gt;=SYear_O,$A205&lt;=EYear_O,AY$3&gt;0),IF($A205=SYear_O,AY$168*(1+Data_All!AY44%),AY204*(1+Data_All!AY44%)),"")</f>
        <v/>
      </c>
      <c r="AZ205" s="427" t="str">
        <f>IF(AND($A205&gt;=SYear_O,$A205&lt;=EYear_O,AZ$3&gt;0),IF($A205=SYear_O,AZ$168*(1+Data_All!AZ44%),AZ204*(1+Data_All!AZ44%)),"")</f>
        <v/>
      </c>
      <c r="BA205" s="427" t="str">
        <f>IF(AND($A205&gt;=SYear_O,$A205&lt;=EYear_O,BA$3&gt;0),IF($A205=SYear_O,BA$168*(1+Data_All!BA44%),BA204*(1+Data_All!BA44%)),"")</f>
        <v/>
      </c>
      <c r="BB205" s="427" t="str">
        <f>IF(AND($A205&gt;=SYear_O,$A205&lt;=EYear_O,BB$3&gt;0),IF($A205=SYear_O,BB$168*(1+Data_All!BB44%),BB204*(1+Data_All!BB44%)),"")</f>
        <v/>
      </c>
      <c r="BC205" s="427" t="str">
        <f>IF(AND($A205&gt;=SYear_O,$A205&lt;=EYear_O,BC$3&gt;0),IF($A205=SYear_O,BC$168*(1+Data_All!BC44%),BC204*(1+Data_All!BC44%)),"")</f>
        <v/>
      </c>
      <c r="BD205" s="427" t="str">
        <f>IF(AND($A205&gt;=SYear_O,$A205&lt;=EYear_O,BD$3&gt;0),IF($A205=SYear_O,BD$168*(1+Data_All!BD44%),BD204*(1+Data_All!BD44%)),"")</f>
        <v/>
      </c>
      <c r="BE205" s="427" t="str">
        <f>IF(AND($A205&gt;=SYear_O,$A205&lt;=EYear_O,BE$3&gt;0),IF($A205=SYear_O,BE$168*(1+Data_All!BE44%),BE204*(1+Data_All!BE44%)),"")</f>
        <v/>
      </c>
      <c r="BF205" s="427" t="str">
        <f>IF(AND($A205&gt;=SYear_O,$A205&lt;=EYear_O,BF$3&gt;0),IF($A205=SYear_O,BF$168*(1+Data_All!BF44%),BF204*(1+Data_All!BF44%)),"")</f>
        <v/>
      </c>
      <c r="BG205" s="427" t="str">
        <f>IF(AND($A205&gt;=SYear_O,$A205&lt;=EYear_O,BG$3&gt;0),IF($A205=SYear_O,BG$168*(1+Data_All!BG44%),BG204*(1+Data_All!BG44%)),"")</f>
        <v/>
      </c>
      <c r="BH205" s="427" t="str">
        <f>IF(AND($A205&gt;=SYear_O,$A205&lt;=EYear_O,BH$3&gt;0),IF($A205=SYear_O,BH$168*(1+Data_All!BH44%),BH204*(1+Data_All!BH44%)),"")</f>
        <v/>
      </c>
      <c r="BI205" s="427" t="str">
        <f>IF(AND($A205&gt;=SYear_O,$A205&lt;=EYear_O,BI$3&gt;0),IF($A205=SYear_O,BI$168*(1+Data_All!BI44%),BI204*(1+Data_All!BI44%)),"")</f>
        <v/>
      </c>
      <c r="BJ205" s="427" t="str">
        <f>IF(AND($A205&gt;=SYear_O,$A205&lt;=EYear_O,BJ$3&gt;0),IF($A205=SYear_O,BJ$168*(1+Data_All!BJ44%),BJ204*(1+Data_All!BJ44%)),"")</f>
        <v/>
      </c>
      <c r="BK205" s="427" t="str">
        <f>IF(AND($A205&gt;=SYear_O,$A205&lt;=EYear_O,BK$3&gt;0),IF($A205=SYear_O,BK$168*(1+Data_All!BK44%),BK204*(1+Data_All!BK44%)),"")</f>
        <v/>
      </c>
      <c r="BL205" s="427" t="str">
        <f>IF(AND($A205&gt;=SYear_O,$A205&lt;=EYear_O,BL$3&gt;0),IF($A205=SYear_O,BL$168*(1+Data_All!BL44%),BL204*(1+Data_All!BL44%)),"")</f>
        <v/>
      </c>
      <c r="BM205" s="427" t="str">
        <f>IF(AND($A205&gt;=SYear_O,$A205&lt;=EYear_O,BM$3&gt;0),IF($A205=SYear_O,BM$168*(1+Data_All!BM44%),BM204*(1+Data_All!BM44%)),"")</f>
        <v/>
      </c>
      <c r="BN205" s="427" t="str">
        <f>IF(AND($A205&gt;=SYear_O,$A205&lt;=EYear_O,BN$3&gt;0),IF($A205=SYear_O,BN$168*(1+Data_All!BN44%),BN204*(1+Data_All!BN44%)),"")</f>
        <v/>
      </c>
      <c r="BO205" s="427" t="str">
        <f>IF(AND($A205&gt;=SYear_O,$A205&lt;=EYear_O,BO$3&gt;0),IF($A205=SYear_O,BO$168*(1+Data_All!BO44%),BO204*(1+Data_All!BO44%)),"")</f>
        <v/>
      </c>
      <c r="BP205" s="427" t="str">
        <f>IF(AND($A205&gt;=SYear_O,$A205&lt;=EYear_O,BP$3&gt;0),IF($A205=SYear_O,BP$168*(1+Data_All!BP44%),BP204*(1+Data_All!BP44%)),"")</f>
        <v/>
      </c>
      <c r="BQ205" s="427" t="str">
        <f>IF(AND($A205&gt;=SYear_O,$A205&lt;=EYear_O,BQ$3&gt;0),IF($A205=SYear_O,BQ$168*(1+Data_All!BQ44%),BQ204*(1+Data_All!BQ44%)),"")</f>
        <v/>
      </c>
      <c r="BR205" s="427" t="str">
        <f>IF(AND($A205&gt;=SYear_O,$A205&lt;=EYear_O,BR$3&gt;0),IF($A205=SYear_O,BR$168*(1+Data_All!BR44%),BR204*(1+Data_All!BR44%)),"")</f>
        <v/>
      </c>
      <c r="BS205" s="427" t="str">
        <f>IF(AND($A205&gt;=SYear_O,$A205&lt;=EYear_O,BS$3&gt;0),IF($A205=SYear_O,BS$168*(1+Data_All!BS44%),BS204*(1+Data_All!BS44%)),"")</f>
        <v/>
      </c>
      <c r="BT205" s="427" t="str">
        <f>IF(AND($A205&gt;=SYear_O,$A205&lt;=EYear_O,BT$3&gt;0),IF($A205=SYear_O,BT$168*(1+Data_All!BT44%),BT204*(1+Data_All!BT44%)),"")</f>
        <v/>
      </c>
      <c r="BU205" s="427" t="str">
        <f>IF(AND($A205&gt;=SYear_O,$A205&lt;=EYear_O,BU$3&gt;0),IF($A205=SYear_O,BU$168*(1+Data_All!BU44%),BU204*(1+Data_All!BU44%)),"")</f>
        <v/>
      </c>
      <c r="BV205" s="427" t="str">
        <f>IF(AND($A205&gt;=SYear_O,$A205&lt;=EYear_O,BV$3&gt;0),IF($A205=SYear_O,BV$168*(1+Data_All!BV44%),BV204*(1+Data_All!BV44%)),"")</f>
        <v/>
      </c>
      <c r="BW205" s="427" t="str">
        <f>IF(AND($A205&gt;=SYear_O,$A205&lt;=EYear_O,BW$3&gt;0),IF($A205=SYear_O,BW$168*(1+Data_All!BW44%),BW204*(1+Data_All!BW44%)),"")</f>
        <v/>
      </c>
      <c r="BX205" s="427">
        <f>IF(AND($A205&gt;=SYear_O,$A205&lt;=EYear_O,BX$3&gt;0),IF($A205=SYear_O,BX$168*(1+Data_All!BX44%),BX204*(1+Data_All!BX44%)),"")</f>
        <v>55460.007334460417</v>
      </c>
      <c r="BY205" s="427">
        <f>IF(AND($A205&gt;=SYear_O,$A205&lt;=EYear_O,BY$3&gt;0),IF($A205=SYear_O,BY$168*(1+Data_All!BY44%),BY204*(1+Data_All!BY44%)),"")</f>
        <v>16338.48680197158</v>
      </c>
      <c r="BZ205" s="427" t="str">
        <f>IF(AND($A205&gt;=SYear_O,$A205&lt;=EYear_O,BZ$3&gt;0),IF($A205=SYear_O,BZ$168*(1+Data_All!BZ44%),BZ204*(1+Data_All!BZ44%)),"")</f>
        <v/>
      </c>
      <c r="CA205" s="565">
        <f t="shared" si="108"/>
        <v>-18.743165536100321</v>
      </c>
      <c r="CB205" s="427">
        <f t="shared" si="109"/>
        <v>71798.494136431997</v>
      </c>
      <c r="CC205" s="565">
        <f>IF(AND($A205&gt;=SYear_O,$A205&lt;=EYear_O),(CA205-Data_All!CA44)/(1+Data_All!CA44%),"")</f>
        <v>-16.957693495902973</v>
      </c>
      <c r="CD205" s="436">
        <f t="shared" si="110"/>
        <v>103358.04911190645</v>
      </c>
      <c r="CE205" s="438">
        <f t="shared" si="111"/>
        <v>6.512068762767762</v>
      </c>
      <c r="CF205" s="438">
        <f>IF(AND($A205&gt;=SYear_O,$A205&lt;=EYear_O),MAX($CE$169:CE205),"")</f>
        <v>8.0141797372883214</v>
      </c>
      <c r="CG205" s="209">
        <f t="shared" si="112"/>
        <v>0.18743165536100315</v>
      </c>
      <c r="CN205" s="61">
        <f t="shared" si="113"/>
        <v>-0.18743165536100315</v>
      </c>
      <c r="CO205" s="61">
        <f t="shared" si="114"/>
        <v>6.4297803934999953E-2</v>
      </c>
      <c r="CP205" s="61">
        <f t="shared" si="115"/>
        <v>4.1219701759766192E-2</v>
      </c>
      <c r="CQ205" s="61">
        <f t="shared" si="116"/>
        <v>5.0632197550836588E-2</v>
      </c>
      <c r="CR205" s="61">
        <f t="shared" si="117"/>
        <v>4.0569439111854733E-2</v>
      </c>
      <c r="CU205" s="61">
        <f t="shared" si="118"/>
        <v>-0.1695769349590297</v>
      </c>
      <c r="CV205" s="61">
        <f t="shared" si="119"/>
        <v>2.5365849330579504E-2</v>
      </c>
      <c r="CW205" s="61">
        <f t="shared" si="120"/>
        <v>3.462781188595776E-2</v>
      </c>
      <c r="CX205" s="61">
        <f t="shared" si="121"/>
        <v>2.1689970275055259E-2</v>
      </c>
      <c r="CY205" s="61">
        <f t="shared" si="122"/>
        <v>-3.3638712399608472E-3</v>
      </c>
    </row>
    <row r="206" spans="1:103">
      <c r="A206" s="204">
        <f t="shared" si="107"/>
        <v>1908</v>
      </c>
      <c r="B206" s="427" t="str">
        <f>IF(AND($A206&gt;=SYear_O,$A206&lt;=EYear_O,B$3&gt;0),IF($A206=SYear_O,B$168*(1+Data_All!B45%),B205*(1+Data_All!B45%)),"")</f>
        <v/>
      </c>
      <c r="C206" s="427" t="str">
        <f>IF(AND($A206&gt;=SYear_O,$A206&lt;=EYear_O,C$3&gt;0),IF($A206=SYear_O,C$168*(1+Data_All!C45%),C205*(1+Data_All!C45%)),"")</f>
        <v/>
      </c>
      <c r="D206" s="427" t="str">
        <f>IF(AND($A206&gt;=SYear_O,$A206&lt;=EYear_O,D$3&gt;0),IF($A206=SYear_O,D$168*(1+Data_All!D45%),D205*(1+Data_All!D45%)),"")</f>
        <v/>
      </c>
      <c r="E206" s="427" t="str">
        <f>IF(AND($A206&gt;=SYear_O,$A206&lt;=EYear_O,E$3&gt;0),IF($A206=SYear_O,E$168*(1+Data_All!E45%),E205*(1+Data_All!E45%)),"")</f>
        <v/>
      </c>
      <c r="F206" s="427" t="str">
        <f>IF(AND($A206&gt;=SYear_O,$A206&lt;=EYear_O,F$3&gt;0),IF($A206=SYear_O,F$168*(1+Data_All!F45%),F205*(1+Data_All!F45%)),"")</f>
        <v/>
      </c>
      <c r="G206" s="427" t="str">
        <f>IF(AND($A206&gt;=SYear_O,$A206&lt;=EYear_O,G$3&gt;0),IF($A206=SYear_O,G$168*(1+Data_All!G45%),G205*(1+Data_All!G45%)),"")</f>
        <v/>
      </c>
      <c r="H206" s="427" t="str">
        <f>IF(AND($A206&gt;=SYear_O,$A206&lt;=EYear_O,H$3&gt;0),IF($A206=SYear_O,H$168*(1+Data_All!H45%),H205*(1+Data_All!H45%)),"")</f>
        <v/>
      </c>
      <c r="I206" s="427" t="str">
        <f>IF(AND($A206&gt;=SYear_O,$A206&lt;=EYear_O,I$3&gt;0),IF($A206=SYear_O,I$168*(1+Data_All!I45%),I205*(1+Data_All!I45%)),"")</f>
        <v/>
      </c>
      <c r="J206" s="427" t="str">
        <f>IF(AND($A206&gt;=SYear_O,$A206&lt;=EYear_O,J$3&gt;0),IF($A206=SYear_O,J$168*(1+Data_All!J45%),J205*(1+Data_All!J45%)),"")</f>
        <v/>
      </c>
      <c r="K206" s="427" t="str">
        <f>IF(AND($A206&gt;=SYear_O,$A206&lt;=EYear_O,K$3&gt;0),IF($A206=SYear_O,K$168*(1+Data_All!K45%),K205*(1+Data_All!K45%)),"")</f>
        <v/>
      </c>
      <c r="L206" s="427" t="str">
        <f>IF(AND($A206&gt;=SYear_O,$A206&lt;=EYear_O,L$3&gt;0),IF($A206=SYear_O,L$168*(1+Data_All!L45%),L205*(1+Data_All!L45%)),"")</f>
        <v/>
      </c>
      <c r="M206" s="427" t="str">
        <f>IF(AND($A206&gt;=SYear_O,$A206&lt;=EYear_O,M$3&gt;0),IF($A206=SYear_O,M$168*(1+Data_All!M45%),M205*(1+Data_All!M45%)),"")</f>
        <v/>
      </c>
      <c r="N206" s="427" t="str">
        <f>IF(AND($A206&gt;=SYear_O,$A206&lt;=EYear_O,N$3&gt;0),IF($A206=SYear_O,N$168*(1+Data_All!N45%),N205*(1+Data_All!N45%)),"")</f>
        <v/>
      </c>
      <c r="O206" s="427" t="str">
        <f>IF(AND($A206&gt;=SYear_O,$A206&lt;=EYear_O,O$3&gt;0),IF($A206=SYear_O,O$168*(1+Data_All!O45%),O205*(1+Data_All!O45%)),"")</f>
        <v/>
      </c>
      <c r="P206" s="427" t="str">
        <f>IF(AND($A206&gt;=SYear_O,$A206&lt;=EYear_O,P$3&gt;0),IF($A206=SYear_O,P$168*(1+Data_All!P45%),P205*(1+Data_All!P45%)),"")</f>
        <v/>
      </c>
      <c r="Q206" s="427" t="str">
        <f>IF(AND($A206&gt;=SYear_O,$A206&lt;=EYear_O,Q$3&gt;0),IF($A206=SYear_O,Q$168*(1+Data_All!Q45%),Q205*(1+Data_All!Q45%)),"")</f>
        <v/>
      </c>
      <c r="R206" s="427" t="str">
        <f>IF(AND($A206&gt;=SYear_O,$A206&lt;=EYear_O,R$3&gt;0),IF($A206=SYear_O,R$168*(1+Data_All!R45%),R205*(1+Data_All!R45%)),"")</f>
        <v/>
      </c>
      <c r="S206" s="427" t="str">
        <f>IF(AND($A206&gt;=SYear_O,$A206&lt;=EYear_O,S$3&gt;0),IF($A206=SYear_O,S$168*(1+Data_All!S45%),S205*(1+Data_All!S45%)),"")</f>
        <v/>
      </c>
      <c r="T206" s="427" t="str">
        <f>IF(AND($A206&gt;=SYear_O,$A206&lt;=EYear_O,T$3&gt;0),IF($A206=SYear_O,T$168*(1+Data_All!T45%),T205*(1+Data_All!T45%)),"")</f>
        <v/>
      </c>
      <c r="U206" s="427" t="str">
        <f>IF(AND($A206&gt;=SYear_O,$A206&lt;=EYear_O,U$3&gt;0),IF($A206=SYear_O,U$168*(1+Data_All!U45%),U205*(1+Data_All!U45%)),"")</f>
        <v/>
      </c>
      <c r="V206" s="427" t="str">
        <f>IF(AND($A206&gt;=SYear_O,$A206&lt;=EYear_O,V$3&gt;0),IF($A206=SYear_O,V$168*(1+Data_All!V45%),V205*(1+Data_All!V45%)),"")</f>
        <v/>
      </c>
      <c r="W206" s="427" t="str">
        <f>IF(AND($A206&gt;=SYear_O,$A206&lt;=EYear_O,W$3&gt;0),IF($A206=SYear_O,W$168*(1+Data_All!W45%),W205*(1+Data_All!W45%)),"")</f>
        <v/>
      </c>
      <c r="X206" s="427" t="str">
        <f>IF(AND($A206&gt;=SYear_O,$A206&lt;=EYear_O,X$3&gt;0),IF($A206=SYear_O,X$168*(1+Data_All!X45%),X205*(1+Data_All!X45%)),"")</f>
        <v/>
      </c>
      <c r="Y206" s="427" t="str">
        <f>IF(AND($A206&gt;=SYear_O,$A206&lt;=EYear_O,Y$3&gt;0),IF($A206=SYear_O,Y$168*(1+Data_All!Y45%),Y205*(1+Data_All!Y45%)),"")</f>
        <v/>
      </c>
      <c r="Z206" s="427" t="str">
        <f>IF(AND($A206&gt;=SYear_O,$A206&lt;=EYear_O,Z$3&gt;0),IF($A206=SYear_O,Z$168*(1+Data_All!Z45%),Z205*(1+Data_All!Z45%)),"")</f>
        <v/>
      </c>
      <c r="AA206" s="427" t="str">
        <f>IF(AND($A206&gt;=SYear_O,$A206&lt;=EYear_O,AA$3&gt;0),IF($A206=SYear_O,AA$168*(1+Data_All!AA45%),AA205*(1+Data_All!AA45%)),"")</f>
        <v/>
      </c>
      <c r="AB206" s="427" t="str">
        <f>IF(AND($A206&gt;=SYear_O,$A206&lt;=EYear_O,AB$3&gt;0),IF($A206=SYear_O,AB$168*(1+Data_All!AB45%),AB205*(1+Data_All!AB45%)),"")</f>
        <v/>
      </c>
      <c r="AC206" s="427" t="str">
        <f>IF(AND($A206&gt;=SYear_O,$A206&lt;=EYear_O,AC$3&gt;0),IF($A206=SYear_O,AC$168*(1+Data_All!AC45%),AC205*(1+Data_All!AC45%)),"")</f>
        <v/>
      </c>
      <c r="AD206" s="427" t="str">
        <f>IF(AND($A206&gt;=SYear_O,$A206&lt;=EYear_O,AD$3&gt;0),IF($A206=SYear_O,AD$168*(1+Data_All!AD45%),AD205*(1+Data_All!AD45%)),"")</f>
        <v/>
      </c>
      <c r="AE206" s="427" t="str">
        <f>IF(AND($A206&gt;=SYear_O,$A206&lt;=EYear_O,AE$3&gt;0),IF($A206=SYear_O,AE$168*(1+Data_All!AE45%),AE205*(1+Data_All!AE45%)),"")</f>
        <v/>
      </c>
      <c r="AF206" s="427" t="str">
        <f>IF(AND($A206&gt;=SYear_O,$A206&lt;=EYear_O,AF$3&gt;0),IF($A206=SYear_O,AF$168*(1+Data_All!AF45%),AF205*(1+Data_All!AF45%)),"")</f>
        <v/>
      </c>
      <c r="AG206" s="427" t="str">
        <f>IF(AND($A206&gt;=SYear_O,$A206&lt;=EYear_O,AG$3&gt;0),IF($A206=SYear_O,AG$168*(1+Data_All!AG45%),AG205*(1+Data_All!AG45%)),"")</f>
        <v/>
      </c>
      <c r="AH206" s="427" t="str">
        <f>IF(AND($A206&gt;=SYear_O,$A206&lt;=EYear_O,AH$3&gt;0),IF($A206=SYear_O,AH$168*(1+Data_All!AH45%),AH205*(1+Data_All!AH45%)),"")</f>
        <v/>
      </c>
      <c r="AI206" s="427" t="str">
        <f>IF(AND($A206&gt;=SYear_O,$A206&lt;=EYear_O,AI$3&gt;0),IF($A206=SYear_O,AI$168*(1+Data_All!AI45%),AI205*(1+Data_All!AI45%)),"")</f>
        <v/>
      </c>
      <c r="AJ206" s="427" t="str">
        <f>IF(AND($A206&gt;=SYear_O,$A206&lt;=EYear_O,AJ$3&gt;0),IF($A206=SYear_O,AJ$168*(1+Data_All!AJ45%),AJ205*(1+Data_All!AJ45%)),"")</f>
        <v/>
      </c>
      <c r="AK206" s="427" t="str">
        <f>IF(AND($A206&gt;=SYear_O,$A206&lt;=EYear_O,AK$3&gt;0),IF($A206=SYear_O,AK$168*(1+Data_All!AK45%),AK205*(1+Data_All!AK45%)),"")</f>
        <v/>
      </c>
      <c r="AL206" s="427" t="str">
        <f>IF(AND($A206&gt;=SYear_O,$A206&lt;=EYear_O,AL$3&gt;0),IF($A206=SYear_O,AL$168*(1+Data_All!AL45%),AL205*(1+Data_All!AL45%)),"")</f>
        <v/>
      </c>
      <c r="AM206" s="427" t="str">
        <f>IF(AND($A206&gt;=SYear_O,$A206&lt;=EYear_O,AM$3&gt;0),IF($A206=SYear_O,AM$168*(1+Data_All!AM45%),AM205*(1+Data_All!AM45%)),"")</f>
        <v/>
      </c>
      <c r="AN206" s="427" t="str">
        <f>IF(AND($A206&gt;=SYear_O,$A206&lt;=EYear_O,AN$3&gt;0),IF($A206=SYear_O,AN$168*(1+Data_All!AN45%),AN205*(1+Data_All!AN45%)),"")</f>
        <v/>
      </c>
      <c r="AO206" s="427" t="str">
        <f>IF(AND($A206&gt;=SYear_O,$A206&lt;=EYear_O,AO$3&gt;0),IF($A206=SYear_O,AO$168*(1+Data_All!AO45%),AO205*(1+Data_All!AO45%)),"")</f>
        <v/>
      </c>
      <c r="AP206" s="427" t="str">
        <f>IF(AND($A206&gt;=SYear_O,$A206&lt;=EYear_O,AP$3&gt;0),IF($A206=SYear_O,AP$168*(1+Data_All!AP45%),AP205*(1+Data_All!AP45%)),"")</f>
        <v/>
      </c>
      <c r="AQ206" s="427" t="str">
        <f>IF(AND($A206&gt;=SYear_O,$A206&lt;=EYear_O,AQ$3&gt;0),IF($A206=SYear_O,AQ$168*(1+Data_All!AQ45%),AQ205*(1+Data_All!AQ45%)),"")</f>
        <v/>
      </c>
      <c r="AR206" s="427" t="str">
        <f>IF(AND($A206&gt;=SYear_O,$A206&lt;=EYear_O,AR$3&gt;0),IF($A206=SYear_O,AR$168*(1+Data_All!AR45%),AR205*(1+Data_All!AR45%)),"")</f>
        <v/>
      </c>
      <c r="AS206" s="427" t="str">
        <f>IF(AND($A206&gt;=SYear_O,$A206&lt;=EYear_O,AS$3&gt;0),IF($A206=SYear_O,AS$168*(1+Data_All!AS45%),AS205*(1+Data_All!AS45%)),"")</f>
        <v/>
      </c>
      <c r="AT206" s="427" t="str">
        <f>IF(AND($A206&gt;=SYear_O,$A206&lt;=EYear_O,AT$3&gt;0),IF($A206=SYear_O,AT$168*(1+Data_All!AT45%),AT205*(1+Data_All!AT45%)),"")</f>
        <v/>
      </c>
      <c r="AU206" s="427" t="str">
        <f>IF(AND($A206&gt;=SYear_O,$A206&lt;=EYear_O,AU$3&gt;0),IF($A206=SYear_O,AU$168*(1+Data_All!AU45%),AU205*(1+Data_All!AU45%)),"")</f>
        <v/>
      </c>
      <c r="AV206" s="427" t="str">
        <f>IF(AND($A206&gt;=SYear_O,$A206&lt;=EYear_O,AV$3&gt;0),IF($A206=SYear_O,AV$168*(1+Data_All!AV45%),AV205*(1+Data_All!AV45%)),"")</f>
        <v/>
      </c>
      <c r="AW206" s="427" t="str">
        <f>IF(AND($A206&gt;=SYear_O,$A206&lt;=EYear_O,AW$3&gt;0),IF($A206=SYear_O,AW$168*(1+Data_All!AW45%),AW205*(1+Data_All!AW45%)),"")</f>
        <v/>
      </c>
      <c r="AX206" s="427" t="str">
        <f>IF(AND($A206&gt;=SYear_O,$A206&lt;=EYear_O,AX$3&gt;0),IF($A206=SYear_O,AX$168*(1+Data_All!AX45%),AX205*(1+Data_All!AX45%)),"")</f>
        <v/>
      </c>
      <c r="AY206" s="427" t="str">
        <f>IF(AND($A206&gt;=SYear_O,$A206&lt;=EYear_O,AY$3&gt;0),IF($A206=SYear_O,AY$168*(1+Data_All!AY45%),AY205*(1+Data_All!AY45%)),"")</f>
        <v/>
      </c>
      <c r="AZ206" s="427" t="str">
        <f>IF(AND($A206&gt;=SYear_O,$A206&lt;=EYear_O,AZ$3&gt;0),IF($A206=SYear_O,AZ$168*(1+Data_All!AZ45%),AZ205*(1+Data_All!AZ45%)),"")</f>
        <v/>
      </c>
      <c r="BA206" s="427" t="str">
        <f>IF(AND($A206&gt;=SYear_O,$A206&lt;=EYear_O,BA$3&gt;0),IF($A206=SYear_O,BA$168*(1+Data_All!BA45%),BA205*(1+Data_All!BA45%)),"")</f>
        <v/>
      </c>
      <c r="BB206" s="427" t="str">
        <f>IF(AND($A206&gt;=SYear_O,$A206&lt;=EYear_O,BB$3&gt;0),IF($A206=SYear_O,BB$168*(1+Data_All!BB45%),BB205*(1+Data_All!BB45%)),"")</f>
        <v/>
      </c>
      <c r="BC206" s="427" t="str">
        <f>IF(AND($A206&gt;=SYear_O,$A206&lt;=EYear_O,BC$3&gt;0),IF($A206=SYear_O,BC$168*(1+Data_All!BC45%),BC205*(1+Data_All!BC45%)),"")</f>
        <v/>
      </c>
      <c r="BD206" s="427" t="str">
        <f>IF(AND($A206&gt;=SYear_O,$A206&lt;=EYear_O,BD$3&gt;0),IF($A206=SYear_O,BD$168*(1+Data_All!BD45%),BD205*(1+Data_All!BD45%)),"")</f>
        <v/>
      </c>
      <c r="BE206" s="427" t="str">
        <f>IF(AND($A206&gt;=SYear_O,$A206&lt;=EYear_O,BE$3&gt;0),IF($A206=SYear_O,BE$168*(1+Data_All!BE45%),BE205*(1+Data_All!BE45%)),"")</f>
        <v/>
      </c>
      <c r="BF206" s="427" t="str">
        <f>IF(AND($A206&gt;=SYear_O,$A206&lt;=EYear_O,BF$3&gt;0),IF($A206=SYear_O,BF$168*(1+Data_All!BF45%),BF205*(1+Data_All!BF45%)),"")</f>
        <v/>
      </c>
      <c r="BG206" s="427" t="str">
        <f>IF(AND($A206&gt;=SYear_O,$A206&lt;=EYear_O,BG$3&gt;0),IF($A206=SYear_O,BG$168*(1+Data_All!BG45%),BG205*(1+Data_All!BG45%)),"")</f>
        <v/>
      </c>
      <c r="BH206" s="427" t="str">
        <f>IF(AND($A206&gt;=SYear_O,$A206&lt;=EYear_O,BH$3&gt;0),IF($A206=SYear_O,BH$168*(1+Data_All!BH45%),BH205*(1+Data_All!BH45%)),"")</f>
        <v/>
      </c>
      <c r="BI206" s="427" t="str">
        <f>IF(AND($A206&gt;=SYear_O,$A206&lt;=EYear_O,BI$3&gt;0),IF($A206=SYear_O,BI$168*(1+Data_All!BI45%),BI205*(1+Data_All!BI45%)),"")</f>
        <v/>
      </c>
      <c r="BJ206" s="427" t="str">
        <f>IF(AND($A206&gt;=SYear_O,$A206&lt;=EYear_O,BJ$3&gt;0),IF($A206=SYear_O,BJ$168*(1+Data_All!BJ45%),BJ205*(1+Data_All!BJ45%)),"")</f>
        <v/>
      </c>
      <c r="BK206" s="427" t="str">
        <f>IF(AND($A206&gt;=SYear_O,$A206&lt;=EYear_O,BK$3&gt;0),IF($A206=SYear_O,BK$168*(1+Data_All!BK45%),BK205*(1+Data_All!BK45%)),"")</f>
        <v/>
      </c>
      <c r="BL206" s="427" t="str">
        <f>IF(AND($A206&gt;=SYear_O,$A206&lt;=EYear_O,BL$3&gt;0),IF($A206=SYear_O,BL$168*(1+Data_All!BL45%),BL205*(1+Data_All!BL45%)),"")</f>
        <v/>
      </c>
      <c r="BM206" s="427" t="str">
        <f>IF(AND($A206&gt;=SYear_O,$A206&lt;=EYear_O,BM$3&gt;0),IF($A206=SYear_O,BM$168*(1+Data_All!BM45%),BM205*(1+Data_All!BM45%)),"")</f>
        <v/>
      </c>
      <c r="BN206" s="427" t="str">
        <f>IF(AND($A206&gt;=SYear_O,$A206&lt;=EYear_O,BN$3&gt;0),IF($A206=SYear_O,BN$168*(1+Data_All!BN45%),BN205*(1+Data_All!BN45%)),"")</f>
        <v/>
      </c>
      <c r="BO206" s="427" t="str">
        <f>IF(AND($A206&gt;=SYear_O,$A206&lt;=EYear_O,BO$3&gt;0),IF($A206=SYear_O,BO$168*(1+Data_All!BO45%),BO205*(1+Data_All!BO45%)),"")</f>
        <v/>
      </c>
      <c r="BP206" s="427" t="str">
        <f>IF(AND($A206&gt;=SYear_O,$A206&lt;=EYear_O,BP$3&gt;0),IF($A206=SYear_O,BP$168*(1+Data_All!BP45%),BP205*(1+Data_All!BP45%)),"")</f>
        <v/>
      </c>
      <c r="BQ206" s="427" t="str">
        <f>IF(AND($A206&gt;=SYear_O,$A206&lt;=EYear_O,BQ$3&gt;0),IF($A206=SYear_O,BQ$168*(1+Data_All!BQ45%),BQ205*(1+Data_All!BQ45%)),"")</f>
        <v/>
      </c>
      <c r="BR206" s="427" t="str">
        <f>IF(AND($A206&gt;=SYear_O,$A206&lt;=EYear_O,BR$3&gt;0),IF($A206=SYear_O,BR$168*(1+Data_All!BR45%),BR205*(1+Data_All!BR45%)),"")</f>
        <v/>
      </c>
      <c r="BS206" s="427" t="str">
        <f>IF(AND($A206&gt;=SYear_O,$A206&lt;=EYear_O,BS$3&gt;0),IF($A206=SYear_O,BS$168*(1+Data_All!BS45%),BS205*(1+Data_All!BS45%)),"")</f>
        <v/>
      </c>
      <c r="BT206" s="427" t="str">
        <f>IF(AND($A206&gt;=SYear_O,$A206&lt;=EYear_O,BT$3&gt;0),IF($A206=SYear_O,BT$168*(1+Data_All!BT45%),BT205*(1+Data_All!BT45%)),"")</f>
        <v/>
      </c>
      <c r="BU206" s="427" t="str">
        <f>IF(AND($A206&gt;=SYear_O,$A206&lt;=EYear_O,BU$3&gt;0),IF($A206=SYear_O,BU$168*(1+Data_All!BU45%),BU205*(1+Data_All!BU45%)),"")</f>
        <v/>
      </c>
      <c r="BV206" s="427" t="str">
        <f>IF(AND($A206&gt;=SYear_O,$A206&lt;=EYear_O,BV$3&gt;0),IF($A206=SYear_O,BV$168*(1+Data_All!BV45%),BV205*(1+Data_All!BV45%)),"")</f>
        <v/>
      </c>
      <c r="BW206" s="427" t="str">
        <f>IF(AND($A206&gt;=SYear_O,$A206&lt;=EYear_O,BW$3&gt;0),IF($A206=SYear_O,BW$168*(1+Data_All!BW45%),BW205*(1+Data_All!BW45%)),"")</f>
        <v/>
      </c>
      <c r="BX206" s="427">
        <f>IF(AND($A206&gt;=SYear_O,$A206&lt;=EYear_O,BX$3&gt;0),IF($A206=SYear_O,BX$168*(1+Data_All!BX45%),BX205*(1+Data_All!BX45%)),"")</f>
        <v>76591.484581605197</v>
      </c>
      <c r="BY206" s="427">
        <f>IF(AND($A206&gt;=SYear_O,$A206&lt;=EYear_O,BY$3&gt;0),IF($A206=SYear_O,BY$168*(1+Data_All!BY45%),BY205*(1+Data_All!BY45%)),"")</f>
        <v>17504.10950204164</v>
      </c>
      <c r="BZ206" s="427" t="str">
        <f>IF(AND($A206&gt;=SYear_O,$A206&lt;=EYear_O,BZ$3&gt;0),IF($A206=SYear_O,BZ$168*(1+Data_All!BZ45%),BZ205*(1+Data_All!BZ45%)),"")</f>
        <v/>
      </c>
      <c r="CA206" s="565">
        <f t="shared" si="108"/>
        <v>31.055108070714876</v>
      </c>
      <c r="CB206" s="427">
        <f t="shared" si="109"/>
        <v>94095.594083646836</v>
      </c>
      <c r="CC206" s="565">
        <f>IF(AND($A206&gt;=SYear_O,$A206&lt;=EYear_O),(CA206-Data_All!CA45)/(1+Data_All!CA45%),"")</f>
        <v>26.872813535876698</v>
      </c>
      <c r="CD206" s="436">
        <f t="shared" si="110"/>
        <v>131133.26492406894</v>
      </c>
      <c r="CE206" s="438">
        <f t="shared" si="111"/>
        <v>8.5343987546845561</v>
      </c>
      <c r="CF206" s="438">
        <f>IF(AND($A206&gt;=SYear_O,$A206&lt;=EYear_O),MAX($CE$169:CE206),"")</f>
        <v>8.5343987546845561</v>
      </c>
      <c r="CG206" s="209">
        <f t="shared" si="112"/>
        <v>0</v>
      </c>
      <c r="CN206" s="61">
        <f t="shared" si="113"/>
        <v>0.31055108070714876</v>
      </c>
      <c r="CO206" s="61">
        <f t="shared" si="114"/>
        <v>0.13349062657061594</v>
      </c>
      <c r="CP206" s="61">
        <f t="shared" si="115"/>
        <v>9.8158037120274155E-2</v>
      </c>
      <c r="CQ206" s="61">
        <f t="shared" si="116"/>
        <v>5.5905327671996963E-2</v>
      </c>
      <c r="CR206" s="61">
        <f t="shared" si="117"/>
        <v>7.0470828945230046E-2</v>
      </c>
      <c r="CU206" s="61">
        <f t="shared" si="118"/>
        <v>0.26872813535876694</v>
      </c>
      <c r="CV206" s="61">
        <f t="shared" si="119"/>
        <v>0.10962231759458119</v>
      </c>
      <c r="CW206" s="61">
        <f t="shared" si="120"/>
        <v>7.1286788040803462E-2</v>
      </c>
      <c r="CX206" s="61">
        <f t="shared" si="121"/>
        <v>6.3643354250233486E-3</v>
      </c>
      <c r="CY206" s="61">
        <f t="shared" si="122"/>
        <v>2.4195644760957924E-2</v>
      </c>
    </row>
    <row r="207" spans="1:103">
      <c r="A207" s="204">
        <f t="shared" si="107"/>
        <v>1909</v>
      </c>
      <c r="B207" s="427" t="str">
        <f>IF(AND($A207&gt;=SYear_O,$A207&lt;=EYear_O,B$3&gt;0),IF($A207=SYear_O,B$168*(1+Data_All!B46%),B206*(1+Data_All!B46%)),"")</f>
        <v/>
      </c>
      <c r="C207" s="427" t="str">
        <f>IF(AND($A207&gt;=SYear_O,$A207&lt;=EYear_O,C$3&gt;0),IF($A207=SYear_O,C$168*(1+Data_All!C46%),C206*(1+Data_All!C46%)),"")</f>
        <v/>
      </c>
      <c r="D207" s="427" t="str">
        <f>IF(AND($A207&gt;=SYear_O,$A207&lt;=EYear_O,D$3&gt;0),IF($A207=SYear_O,D$168*(1+Data_All!D46%),D206*(1+Data_All!D46%)),"")</f>
        <v/>
      </c>
      <c r="E207" s="427" t="str">
        <f>IF(AND($A207&gt;=SYear_O,$A207&lt;=EYear_O,E$3&gt;0),IF($A207=SYear_O,E$168*(1+Data_All!E46%),E206*(1+Data_All!E46%)),"")</f>
        <v/>
      </c>
      <c r="F207" s="427" t="str">
        <f>IF(AND($A207&gt;=SYear_O,$A207&lt;=EYear_O,F$3&gt;0),IF($A207=SYear_O,F$168*(1+Data_All!F46%),F206*(1+Data_All!F46%)),"")</f>
        <v/>
      </c>
      <c r="G207" s="427" t="str">
        <f>IF(AND($A207&gt;=SYear_O,$A207&lt;=EYear_O,G$3&gt;0),IF($A207=SYear_O,G$168*(1+Data_All!G46%),G206*(1+Data_All!G46%)),"")</f>
        <v/>
      </c>
      <c r="H207" s="427" t="str">
        <f>IF(AND($A207&gt;=SYear_O,$A207&lt;=EYear_O,H$3&gt;0),IF($A207=SYear_O,H$168*(1+Data_All!H46%),H206*(1+Data_All!H46%)),"")</f>
        <v/>
      </c>
      <c r="I207" s="427" t="str">
        <f>IF(AND($A207&gt;=SYear_O,$A207&lt;=EYear_O,I$3&gt;0),IF($A207=SYear_O,I$168*(1+Data_All!I46%),I206*(1+Data_All!I46%)),"")</f>
        <v/>
      </c>
      <c r="J207" s="427" t="str">
        <f>IF(AND($A207&gt;=SYear_O,$A207&lt;=EYear_O,J$3&gt;0),IF($A207=SYear_O,J$168*(1+Data_All!J46%),J206*(1+Data_All!J46%)),"")</f>
        <v/>
      </c>
      <c r="K207" s="427" t="str">
        <f>IF(AND($A207&gt;=SYear_O,$A207&lt;=EYear_O,K$3&gt;0),IF($A207=SYear_O,K$168*(1+Data_All!K46%),K206*(1+Data_All!K46%)),"")</f>
        <v/>
      </c>
      <c r="L207" s="427" t="str">
        <f>IF(AND($A207&gt;=SYear_O,$A207&lt;=EYear_O,L$3&gt;0),IF($A207=SYear_O,L$168*(1+Data_All!L46%),L206*(1+Data_All!L46%)),"")</f>
        <v/>
      </c>
      <c r="M207" s="427" t="str">
        <f>IF(AND($A207&gt;=SYear_O,$A207&lt;=EYear_O,M$3&gt;0),IF($A207=SYear_O,M$168*(1+Data_All!M46%),M206*(1+Data_All!M46%)),"")</f>
        <v/>
      </c>
      <c r="N207" s="427" t="str">
        <f>IF(AND($A207&gt;=SYear_O,$A207&lt;=EYear_O,N$3&gt;0),IF($A207=SYear_O,N$168*(1+Data_All!N46%),N206*(1+Data_All!N46%)),"")</f>
        <v/>
      </c>
      <c r="O207" s="427" t="str">
        <f>IF(AND($A207&gt;=SYear_O,$A207&lt;=EYear_O,O$3&gt;0),IF($A207=SYear_O,O$168*(1+Data_All!O46%),O206*(1+Data_All!O46%)),"")</f>
        <v/>
      </c>
      <c r="P207" s="427" t="str">
        <f>IF(AND($A207&gt;=SYear_O,$A207&lt;=EYear_O,P$3&gt;0),IF($A207=SYear_O,P$168*(1+Data_All!P46%),P206*(1+Data_All!P46%)),"")</f>
        <v/>
      </c>
      <c r="Q207" s="427" t="str">
        <f>IF(AND($A207&gt;=SYear_O,$A207&lt;=EYear_O,Q$3&gt;0),IF($A207=SYear_O,Q$168*(1+Data_All!Q46%),Q206*(1+Data_All!Q46%)),"")</f>
        <v/>
      </c>
      <c r="R207" s="427" t="str">
        <f>IF(AND($A207&gt;=SYear_O,$A207&lt;=EYear_O,R$3&gt;0),IF($A207=SYear_O,R$168*(1+Data_All!R46%),R206*(1+Data_All!R46%)),"")</f>
        <v/>
      </c>
      <c r="S207" s="427" t="str">
        <f>IF(AND($A207&gt;=SYear_O,$A207&lt;=EYear_O,S$3&gt;0),IF($A207=SYear_O,S$168*(1+Data_All!S46%),S206*(1+Data_All!S46%)),"")</f>
        <v/>
      </c>
      <c r="T207" s="427" t="str">
        <f>IF(AND($A207&gt;=SYear_O,$A207&lt;=EYear_O,T$3&gt;0),IF($A207=SYear_O,T$168*(1+Data_All!T46%),T206*(1+Data_All!T46%)),"")</f>
        <v/>
      </c>
      <c r="U207" s="427" t="str">
        <f>IF(AND($A207&gt;=SYear_O,$A207&lt;=EYear_O,U$3&gt;0),IF($A207=SYear_O,U$168*(1+Data_All!U46%),U206*(1+Data_All!U46%)),"")</f>
        <v/>
      </c>
      <c r="V207" s="427" t="str">
        <f>IF(AND($A207&gt;=SYear_O,$A207&lt;=EYear_O,V$3&gt;0),IF($A207=SYear_O,V$168*(1+Data_All!V46%),V206*(1+Data_All!V46%)),"")</f>
        <v/>
      </c>
      <c r="W207" s="427" t="str">
        <f>IF(AND($A207&gt;=SYear_O,$A207&lt;=EYear_O,W$3&gt;0),IF($A207=SYear_O,W$168*(1+Data_All!W46%),W206*(1+Data_All!W46%)),"")</f>
        <v/>
      </c>
      <c r="X207" s="427" t="str">
        <f>IF(AND($A207&gt;=SYear_O,$A207&lt;=EYear_O,X$3&gt;0),IF($A207=SYear_O,X$168*(1+Data_All!X46%),X206*(1+Data_All!X46%)),"")</f>
        <v/>
      </c>
      <c r="Y207" s="427" t="str">
        <f>IF(AND($A207&gt;=SYear_O,$A207&lt;=EYear_O,Y$3&gt;0),IF($A207=SYear_O,Y$168*(1+Data_All!Y46%),Y206*(1+Data_All!Y46%)),"")</f>
        <v/>
      </c>
      <c r="Z207" s="427" t="str">
        <f>IF(AND($A207&gt;=SYear_O,$A207&lt;=EYear_O,Z$3&gt;0),IF($A207=SYear_O,Z$168*(1+Data_All!Z46%),Z206*(1+Data_All!Z46%)),"")</f>
        <v/>
      </c>
      <c r="AA207" s="427" t="str">
        <f>IF(AND($A207&gt;=SYear_O,$A207&lt;=EYear_O,AA$3&gt;0),IF($A207=SYear_O,AA$168*(1+Data_All!AA46%),AA206*(1+Data_All!AA46%)),"")</f>
        <v/>
      </c>
      <c r="AB207" s="427" t="str">
        <f>IF(AND($A207&gt;=SYear_O,$A207&lt;=EYear_O,AB$3&gt;0),IF($A207=SYear_O,AB$168*(1+Data_All!AB46%),AB206*(1+Data_All!AB46%)),"")</f>
        <v/>
      </c>
      <c r="AC207" s="427" t="str">
        <f>IF(AND($A207&gt;=SYear_O,$A207&lt;=EYear_O,AC$3&gt;0),IF($A207=SYear_O,AC$168*(1+Data_All!AC46%),AC206*(1+Data_All!AC46%)),"")</f>
        <v/>
      </c>
      <c r="AD207" s="427" t="str">
        <f>IF(AND($A207&gt;=SYear_O,$A207&lt;=EYear_O,AD$3&gt;0),IF($A207=SYear_O,AD$168*(1+Data_All!AD46%),AD206*(1+Data_All!AD46%)),"")</f>
        <v/>
      </c>
      <c r="AE207" s="427" t="str">
        <f>IF(AND($A207&gt;=SYear_O,$A207&lt;=EYear_O,AE$3&gt;0),IF($A207=SYear_O,AE$168*(1+Data_All!AE46%),AE206*(1+Data_All!AE46%)),"")</f>
        <v/>
      </c>
      <c r="AF207" s="427" t="str">
        <f>IF(AND($A207&gt;=SYear_O,$A207&lt;=EYear_O,AF$3&gt;0),IF($A207=SYear_O,AF$168*(1+Data_All!AF46%),AF206*(1+Data_All!AF46%)),"")</f>
        <v/>
      </c>
      <c r="AG207" s="427" t="str">
        <f>IF(AND($A207&gt;=SYear_O,$A207&lt;=EYear_O,AG$3&gt;0),IF($A207=SYear_O,AG$168*(1+Data_All!AG46%),AG206*(1+Data_All!AG46%)),"")</f>
        <v/>
      </c>
      <c r="AH207" s="427" t="str">
        <f>IF(AND($A207&gt;=SYear_O,$A207&lt;=EYear_O,AH$3&gt;0),IF($A207=SYear_O,AH$168*(1+Data_All!AH46%),AH206*(1+Data_All!AH46%)),"")</f>
        <v/>
      </c>
      <c r="AI207" s="427" t="str">
        <f>IF(AND($A207&gt;=SYear_O,$A207&lt;=EYear_O,AI$3&gt;0),IF($A207=SYear_O,AI$168*(1+Data_All!AI46%),AI206*(1+Data_All!AI46%)),"")</f>
        <v/>
      </c>
      <c r="AJ207" s="427" t="str">
        <f>IF(AND($A207&gt;=SYear_O,$A207&lt;=EYear_O,AJ$3&gt;0),IF($A207=SYear_O,AJ$168*(1+Data_All!AJ46%),AJ206*(1+Data_All!AJ46%)),"")</f>
        <v/>
      </c>
      <c r="AK207" s="427" t="str">
        <f>IF(AND($A207&gt;=SYear_O,$A207&lt;=EYear_O,AK$3&gt;0),IF($A207=SYear_O,AK$168*(1+Data_All!AK46%),AK206*(1+Data_All!AK46%)),"")</f>
        <v/>
      </c>
      <c r="AL207" s="427" t="str">
        <f>IF(AND($A207&gt;=SYear_O,$A207&lt;=EYear_O,AL$3&gt;0),IF($A207=SYear_O,AL$168*(1+Data_All!AL46%),AL206*(1+Data_All!AL46%)),"")</f>
        <v/>
      </c>
      <c r="AM207" s="427" t="str">
        <f>IF(AND($A207&gt;=SYear_O,$A207&lt;=EYear_O,AM$3&gt;0),IF($A207=SYear_O,AM$168*(1+Data_All!AM46%),AM206*(1+Data_All!AM46%)),"")</f>
        <v/>
      </c>
      <c r="AN207" s="427" t="str">
        <f>IF(AND($A207&gt;=SYear_O,$A207&lt;=EYear_O,AN$3&gt;0),IF($A207=SYear_O,AN$168*(1+Data_All!AN46%),AN206*(1+Data_All!AN46%)),"")</f>
        <v/>
      </c>
      <c r="AO207" s="427" t="str">
        <f>IF(AND($A207&gt;=SYear_O,$A207&lt;=EYear_O,AO$3&gt;0),IF($A207=SYear_O,AO$168*(1+Data_All!AO46%),AO206*(1+Data_All!AO46%)),"")</f>
        <v/>
      </c>
      <c r="AP207" s="427" t="str">
        <f>IF(AND($A207&gt;=SYear_O,$A207&lt;=EYear_O,AP$3&gt;0),IF($A207=SYear_O,AP$168*(1+Data_All!AP46%),AP206*(1+Data_All!AP46%)),"")</f>
        <v/>
      </c>
      <c r="AQ207" s="427" t="str">
        <f>IF(AND($A207&gt;=SYear_O,$A207&lt;=EYear_O,AQ$3&gt;0),IF($A207=SYear_O,AQ$168*(1+Data_All!AQ46%),AQ206*(1+Data_All!AQ46%)),"")</f>
        <v/>
      </c>
      <c r="AR207" s="427" t="str">
        <f>IF(AND($A207&gt;=SYear_O,$A207&lt;=EYear_O,AR$3&gt;0),IF($A207=SYear_O,AR$168*(1+Data_All!AR46%),AR206*(1+Data_All!AR46%)),"")</f>
        <v/>
      </c>
      <c r="AS207" s="427" t="str">
        <f>IF(AND($A207&gt;=SYear_O,$A207&lt;=EYear_O,AS$3&gt;0),IF($A207=SYear_O,AS$168*(1+Data_All!AS46%),AS206*(1+Data_All!AS46%)),"")</f>
        <v/>
      </c>
      <c r="AT207" s="427" t="str">
        <f>IF(AND($A207&gt;=SYear_O,$A207&lt;=EYear_O,AT$3&gt;0),IF($A207=SYear_O,AT$168*(1+Data_All!AT46%),AT206*(1+Data_All!AT46%)),"")</f>
        <v/>
      </c>
      <c r="AU207" s="427" t="str">
        <f>IF(AND($A207&gt;=SYear_O,$A207&lt;=EYear_O,AU$3&gt;0),IF($A207=SYear_O,AU$168*(1+Data_All!AU46%),AU206*(1+Data_All!AU46%)),"")</f>
        <v/>
      </c>
      <c r="AV207" s="427" t="str">
        <f>IF(AND($A207&gt;=SYear_O,$A207&lt;=EYear_O,AV$3&gt;0),IF($A207=SYear_O,AV$168*(1+Data_All!AV46%),AV206*(1+Data_All!AV46%)),"")</f>
        <v/>
      </c>
      <c r="AW207" s="427" t="str">
        <f>IF(AND($A207&gt;=SYear_O,$A207&lt;=EYear_O,AW$3&gt;0),IF($A207=SYear_O,AW$168*(1+Data_All!AW46%),AW206*(1+Data_All!AW46%)),"")</f>
        <v/>
      </c>
      <c r="AX207" s="427" t="str">
        <f>IF(AND($A207&gt;=SYear_O,$A207&lt;=EYear_O,AX$3&gt;0),IF($A207=SYear_O,AX$168*(1+Data_All!AX46%),AX206*(1+Data_All!AX46%)),"")</f>
        <v/>
      </c>
      <c r="AY207" s="427" t="str">
        <f>IF(AND($A207&gt;=SYear_O,$A207&lt;=EYear_O,AY$3&gt;0),IF($A207=SYear_O,AY$168*(1+Data_All!AY46%),AY206*(1+Data_All!AY46%)),"")</f>
        <v/>
      </c>
      <c r="AZ207" s="427" t="str">
        <f>IF(AND($A207&gt;=SYear_O,$A207&lt;=EYear_O,AZ$3&gt;0),IF($A207=SYear_O,AZ$168*(1+Data_All!AZ46%),AZ206*(1+Data_All!AZ46%)),"")</f>
        <v/>
      </c>
      <c r="BA207" s="427" t="str">
        <f>IF(AND($A207&gt;=SYear_O,$A207&lt;=EYear_O,BA$3&gt;0),IF($A207=SYear_O,BA$168*(1+Data_All!BA46%),BA206*(1+Data_All!BA46%)),"")</f>
        <v/>
      </c>
      <c r="BB207" s="427" t="str">
        <f>IF(AND($A207&gt;=SYear_O,$A207&lt;=EYear_O,BB$3&gt;0),IF($A207=SYear_O,BB$168*(1+Data_All!BB46%),BB206*(1+Data_All!BB46%)),"")</f>
        <v/>
      </c>
      <c r="BC207" s="427" t="str">
        <f>IF(AND($A207&gt;=SYear_O,$A207&lt;=EYear_O,BC$3&gt;0),IF($A207=SYear_O,BC$168*(1+Data_All!BC46%),BC206*(1+Data_All!BC46%)),"")</f>
        <v/>
      </c>
      <c r="BD207" s="427" t="str">
        <f>IF(AND($A207&gt;=SYear_O,$A207&lt;=EYear_O,BD$3&gt;0),IF($A207=SYear_O,BD$168*(1+Data_All!BD46%),BD206*(1+Data_All!BD46%)),"")</f>
        <v/>
      </c>
      <c r="BE207" s="427" t="str">
        <f>IF(AND($A207&gt;=SYear_O,$A207&lt;=EYear_O,BE$3&gt;0),IF($A207=SYear_O,BE$168*(1+Data_All!BE46%),BE206*(1+Data_All!BE46%)),"")</f>
        <v/>
      </c>
      <c r="BF207" s="427" t="str">
        <f>IF(AND($A207&gt;=SYear_O,$A207&lt;=EYear_O,BF$3&gt;0),IF($A207=SYear_O,BF$168*(1+Data_All!BF46%),BF206*(1+Data_All!BF46%)),"")</f>
        <v/>
      </c>
      <c r="BG207" s="427" t="str">
        <f>IF(AND($A207&gt;=SYear_O,$A207&lt;=EYear_O,BG$3&gt;0),IF($A207=SYear_O,BG$168*(1+Data_All!BG46%),BG206*(1+Data_All!BG46%)),"")</f>
        <v/>
      </c>
      <c r="BH207" s="427" t="str">
        <f>IF(AND($A207&gt;=SYear_O,$A207&lt;=EYear_O,BH$3&gt;0),IF($A207=SYear_O,BH$168*(1+Data_All!BH46%),BH206*(1+Data_All!BH46%)),"")</f>
        <v/>
      </c>
      <c r="BI207" s="427" t="str">
        <f>IF(AND($A207&gt;=SYear_O,$A207&lt;=EYear_O,BI$3&gt;0),IF($A207=SYear_O,BI$168*(1+Data_All!BI46%),BI206*(1+Data_All!BI46%)),"")</f>
        <v/>
      </c>
      <c r="BJ207" s="427" t="str">
        <f>IF(AND($A207&gt;=SYear_O,$A207&lt;=EYear_O,BJ$3&gt;0),IF($A207=SYear_O,BJ$168*(1+Data_All!BJ46%),BJ206*(1+Data_All!BJ46%)),"")</f>
        <v/>
      </c>
      <c r="BK207" s="427" t="str">
        <f>IF(AND($A207&gt;=SYear_O,$A207&lt;=EYear_O,BK$3&gt;0),IF($A207=SYear_O,BK$168*(1+Data_All!BK46%),BK206*(1+Data_All!BK46%)),"")</f>
        <v/>
      </c>
      <c r="BL207" s="427" t="str">
        <f>IF(AND($A207&gt;=SYear_O,$A207&lt;=EYear_O,BL$3&gt;0),IF($A207=SYear_O,BL$168*(1+Data_All!BL46%),BL206*(1+Data_All!BL46%)),"")</f>
        <v/>
      </c>
      <c r="BM207" s="427" t="str">
        <f>IF(AND($A207&gt;=SYear_O,$A207&lt;=EYear_O,BM$3&gt;0),IF($A207=SYear_O,BM$168*(1+Data_All!BM46%),BM206*(1+Data_All!BM46%)),"")</f>
        <v/>
      </c>
      <c r="BN207" s="427" t="str">
        <f>IF(AND($A207&gt;=SYear_O,$A207&lt;=EYear_O,BN$3&gt;0),IF($A207=SYear_O,BN$168*(1+Data_All!BN46%),BN206*(1+Data_All!BN46%)),"")</f>
        <v/>
      </c>
      <c r="BO207" s="427" t="str">
        <f>IF(AND($A207&gt;=SYear_O,$A207&lt;=EYear_O,BO$3&gt;0),IF($A207=SYear_O,BO$168*(1+Data_All!BO46%),BO206*(1+Data_All!BO46%)),"")</f>
        <v/>
      </c>
      <c r="BP207" s="427" t="str">
        <f>IF(AND($A207&gt;=SYear_O,$A207&lt;=EYear_O,BP$3&gt;0),IF($A207=SYear_O,BP$168*(1+Data_All!BP46%),BP206*(1+Data_All!BP46%)),"")</f>
        <v/>
      </c>
      <c r="BQ207" s="427" t="str">
        <f>IF(AND($A207&gt;=SYear_O,$A207&lt;=EYear_O,BQ$3&gt;0),IF($A207=SYear_O,BQ$168*(1+Data_All!BQ46%),BQ206*(1+Data_All!BQ46%)),"")</f>
        <v/>
      </c>
      <c r="BR207" s="427" t="str">
        <f>IF(AND($A207&gt;=SYear_O,$A207&lt;=EYear_O,BR$3&gt;0),IF($A207=SYear_O,BR$168*(1+Data_All!BR46%),BR206*(1+Data_All!BR46%)),"")</f>
        <v/>
      </c>
      <c r="BS207" s="427" t="str">
        <f>IF(AND($A207&gt;=SYear_O,$A207&lt;=EYear_O,BS$3&gt;0),IF($A207=SYear_O,BS$168*(1+Data_All!BS46%),BS206*(1+Data_All!BS46%)),"")</f>
        <v/>
      </c>
      <c r="BT207" s="427" t="str">
        <f>IF(AND($A207&gt;=SYear_O,$A207&lt;=EYear_O,BT$3&gt;0),IF($A207=SYear_O,BT$168*(1+Data_All!BT46%),BT206*(1+Data_All!BT46%)),"")</f>
        <v/>
      </c>
      <c r="BU207" s="427" t="str">
        <f>IF(AND($A207&gt;=SYear_O,$A207&lt;=EYear_O,BU$3&gt;0),IF($A207=SYear_O,BU$168*(1+Data_All!BU46%),BU206*(1+Data_All!BU46%)),"")</f>
        <v/>
      </c>
      <c r="BV207" s="427" t="str">
        <f>IF(AND($A207&gt;=SYear_O,$A207&lt;=EYear_O,BV$3&gt;0),IF($A207=SYear_O,BV$168*(1+Data_All!BV46%),BV206*(1+Data_All!BV46%)),"")</f>
        <v/>
      </c>
      <c r="BW207" s="427" t="str">
        <f>IF(AND($A207&gt;=SYear_O,$A207&lt;=EYear_O,BW$3&gt;0),IF($A207=SYear_O,BW$168*(1+Data_All!BW46%),BW206*(1+Data_All!BW46%)),"")</f>
        <v/>
      </c>
      <c r="BX207" s="427">
        <f>IF(AND($A207&gt;=SYear_O,$A207&lt;=EYear_O,BX$3&gt;0),IF($A207=SYear_O,BX$168*(1+Data_All!BX46%),BX206*(1+Data_All!BX46%)),"")</f>
        <v>88934.041699612208</v>
      </c>
      <c r="BY207" s="427">
        <f>IF(AND($A207&gt;=SYear_O,$A207&lt;=EYear_O,BY$3&gt;0),IF($A207=SYear_O,BY$168*(1+Data_All!BY46%),BY206*(1+Data_All!BY46%)),"")</f>
        <v>17589.337351206566</v>
      </c>
      <c r="BZ207" s="427" t="str">
        <f>IF(AND($A207&gt;=SYear_O,$A207&lt;=EYear_O,BZ$3&gt;0),IF($A207=SYear_O,BZ$168*(1+Data_All!BZ46%),BZ206*(1+Data_All!BZ46%)),"")</f>
        <v/>
      </c>
      <c r="CA207" s="565">
        <f t="shared" si="108"/>
        <v>13.207616241972158</v>
      </c>
      <c r="CB207" s="427">
        <f t="shared" si="109"/>
        <v>106523.37905081877</v>
      </c>
      <c r="CC207" s="565">
        <f>IF(AND($A207&gt;=SYear_O,$A207&lt;=EYear_O),(CA207-Data_All!CA46)/(1+Data_All!CA46%),"")</f>
        <v>2.321894437513893</v>
      </c>
      <c r="CD207" s="436">
        <f t="shared" si="110"/>
        <v>134178.04090807124</v>
      </c>
      <c r="CE207" s="438">
        <f t="shared" si="111"/>
        <v>9.6615893907629431</v>
      </c>
      <c r="CF207" s="438">
        <f>IF(AND($A207&gt;=SYear_O,$A207&lt;=EYear_O),MAX($CE$169:CE207),"")</f>
        <v>9.6615893907629431</v>
      </c>
      <c r="CG207" s="209">
        <f t="shared" si="112"/>
        <v>0</v>
      </c>
      <c r="CN207" s="61">
        <f t="shared" si="113"/>
        <v>0.13207616241972153</v>
      </c>
      <c r="CO207" s="61">
        <f t="shared" si="114"/>
        <v>4.7448496729119327E-2</v>
      </c>
      <c r="CP207" s="61">
        <f t="shared" si="115"/>
        <v>3.4345644978996503E-2</v>
      </c>
      <c r="CQ207" s="61">
        <f t="shared" si="116"/>
        <v>4.1843414717519067E-2</v>
      </c>
      <c r="CR207" s="61">
        <f t="shared" si="117"/>
        <v>5.4989916359216462E-2</v>
      </c>
      <c r="CU207" s="61">
        <f t="shared" si="118"/>
        <v>2.3218944375138939E-2</v>
      </c>
      <c r="CV207" s="61">
        <f t="shared" si="119"/>
        <v>4.0121937179081968E-2</v>
      </c>
      <c r="CW207" s="61">
        <f t="shared" si="120"/>
        <v>1.1506985211441556E-2</v>
      </c>
      <c r="CX207" s="61">
        <f t="shared" si="121"/>
        <v>-2.0046079861275601E-2</v>
      </c>
      <c r="CY207" s="61">
        <f t="shared" si="122"/>
        <v>9.5929295816430393E-3</v>
      </c>
    </row>
    <row r="208" spans="1:103">
      <c r="A208" s="204">
        <f t="shared" si="107"/>
        <v>1910</v>
      </c>
      <c r="B208" s="427" t="str">
        <f>IF(AND($A208&gt;=SYear_O,$A208&lt;=EYear_O,B$3&gt;0),IF($A208=SYear_O,B$168*(1+Data_All!B47%),B207*(1+Data_All!B47%)),"")</f>
        <v/>
      </c>
      <c r="C208" s="427" t="str">
        <f>IF(AND($A208&gt;=SYear_O,$A208&lt;=EYear_O,C$3&gt;0),IF($A208=SYear_O,C$168*(1+Data_All!C47%),C207*(1+Data_All!C47%)),"")</f>
        <v/>
      </c>
      <c r="D208" s="427" t="str">
        <f>IF(AND($A208&gt;=SYear_O,$A208&lt;=EYear_O,D$3&gt;0),IF($A208=SYear_O,D$168*(1+Data_All!D47%),D207*(1+Data_All!D47%)),"")</f>
        <v/>
      </c>
      <c r="E208" s="427" t="str">
        <f>IF(AND($A208&gt;=SYear_O,$A208&lt;=EYear_O,E$3&gt;0),IF($A208=SYear_O,E$168*(1+Data_All!E47%),E207*(1+Data_All!E47%)),"")</f>
        <v/>
      </c>
      <c r="F208" s="427" t="str">
        <f>IF(AND($A208&gt;=SYear_O,$A208&lt;=EYear_O,F$3&gt;0),IF($A208=SYear_O,F$168*(1+Data_All!F47%),F207*(1+Data_All!F47%)),"")</f>
        <v/>
      </c>
      <c r="G208" s="427" t="str">
        <f>IF(AND($A208&gt;=SYear_O,$A208&lt;=EYear_O,G$3&gt;0),IF($A208=SYear_O,G$168*(1+Data_All!G47%),G207*(1+Data_All!G47%)),"")</f>
        <v/>
      </c>
      <c r="H208" s="427" t="str">
        <f>IF(AND($A208&gt;=SYear_O,$A208&lt;=EYear_O,H$3&gt;0),IF($A208=SYear_O,H$168*(1+Data_All!H47%),H207*(1+Data_All!H47%)),"")</f>
        <v/>
      </c>
      <c r="I208" s="427" t="str">
        <f>IF(AND($A208&gt;=SYear_O,$A208&lt;=EYear_O,I$3&gt;0),IF($A208=SYear_O,I$168*(1+Data_All!I47%),I207*(1+Data_All!I47%)),"")</f>
        <v/>
      </c>
      <c r="J208" s="427" t="str">
        <f>IF(AND($A208&gt;=SYear_O,$A208&lt;=EYear_O,J$3&gt;0),IF($A208=SYear_O,J$168*(1+Data_All!J47%),J207*(1+Data_All!J47%)),"")</f>
        <v/>
      </c>
      <c r="K208" s="427" t="str">
        <f>IF(AND($A208&gt;=SYear_O,$A208&lt;=EYear_O,K$3&gt;0),IF($A208=SYear_O,K$168*(1+Data_All!K47%),K207*(1+Data_All!K47%)),"")</f>
        <v/>
      </c>
      <c r="L208" s="427" t="str">
        <f>IF(AND($A208&gt;=SYear_O,$A208&lt;=EYear_O,L$3&gt;0),IF($A208=SYear_O,L$168*(1+Data_All!L47%),L207*(1+Data_All!L47%)),"")</f>
        <v/>
      </c>
      <c r="M208" s="427" t="str">
        <f>IF(AND($A208&gt;=SYear_O,$A208&lt;=EYear_O,M$3&gt;0),IF($A208=SYear_O,M$168*(1+Data_All!M47%),M207*(1+Data_All!M47%)),"")</f>
        <v/>
      </c>
      <c r="N208" s="427" t="str">
        <f>IF(AND($A208&gt;=SYear_O,$A208&lt;=EYear_O,N$3&gt;0),IF($A208=SYear_O,N$168*(1+Data_All!N47%),N207*(1+Data_All!N47%)),"")</f>
        <v/>
      </c>
      <c r="O208" s="427" t="str">
        <f>IF(AND($A208&gt;=SYear_O,$A208&lt;=EYear_O,O$3&gt;0),IF($A208=SYear_O,O$168*(1+Data_All!O47%),O207*(1+Data_All!O47%)),"")</f>
        <v/>
      </c>
      <c r="P208" s="427" t="str">
        <f>IF(AND($A208&gt;=SYear_O,$A208&lt;=EYear_O,P$3&gt;0),IF($A208=SYear_O,P$168*(1+Data_All!P47%),P207*(1+Data_All!P47%)),"")</f>
        <v/>
      </c>
      <c r="Q208" s="427" t="str">
        <f>IF(AND($A208&gt;=SYear_O,$A208&lt;=EYear_O,Q$3&gt;0),IF($A208=SYear_O,Q$168*(1+Data_All!Q47%),Q207*(1+Data_All!Q47%)),"")</f>
        <v/>
      </c>
      <c r="R208" s="427" t="str">
        <f>IF(AND($A208&gt;=SYear_O,$A208&lt;=EYear_O,R$3&gt;0),IF($A208=SYear_O,R$168*(1+Data_All!R47%),R207*(1+Data_All!R47%)),"")</f>
        <v/>
      </c>
      <c r="S208" s="427" t="str">
        <f>IF(AND($A208&gt;=SYear_O,$A208&lt;=EYear_O,S$3&gt;0),IF($A208=SYear_O,S$168*(1+Data_All!S47%),S207*(1+Data_All!S47%)),"")</f>
        <v/>
      </c>
      <c r="T208" s="427" t="str">
        <f>IF(AND($A208&gt;=SYear_O,$A208&lt;=EYear_O,T$3&gt;0),IF($A208=SYear_O,T$168*(1+Data_All!T47%),T207*(1+Data_All!T47%)),"")</f>
        <v/>
      </c>
      <c r="U208" s="427" t="str">
        <f>IF(AND($A208&gt;=SYear_O,$A208&lt;=EYear_O,U$3&gt;0),IF($A208=SYear_O,U$168*(1+Data_All!U47%),U207*(1+Data_All!U47%)),"")</f>
        <v/>
      </c>
      <c r="V208" s="427" t="str">
        <f>IF(AND($A208&gt;=SYear_O,$A208&lt;=EYear_O,V$3&gt;0),IF($A208=SYear_O,V$168*(1+Data_All!V47%),V207*(1+Data_All!V47%)),"")</f>
        <v/>
      </c>
      <c r="W208" s="427" t="str">
        <f>IF(AND($A208&gt;=SYear_O,$A208&lt;=EYear_O,W$3&gt;0),IF($A208=SYear_O,W$168*(1+Data_All!W47%),W207*(1+Data_All!W47%)),"")</f>
        <v/>
      </c>
      <c r="X208" s="427" t="str">
        <f>IF(AND($A208&gt;=SYear_O,$A208&lt;=EYear_O,X$3&gt;0),IF($A208=SYear_O,X$168*(1+Data_All!X47%),X207*(1+Data_All!X47%)),"")</f>
        <v/>
      </c>
      <c r="Y208" s="427" t="str">
        <f>IF(AND($A208&gt;=SYear_O,$A208&lt;=EYear_O,Y$3&gt;0),IF($A208=SYear_O,Y$168*(1+Data_All!Y47%),Y207*(1+Data_All!Y47%)),"")</f>
        <v/>
      </c>
      <c r="Z208" s="427" t="str">
        <f>IF(AND($A208&gt;=SYear_O,$A208&lt;=EYear_O,Z$3&gt;0),IF($A208=SYear_O,Z$168*(1+Data_All!Z47%),Z207*(1+Data_All!Z47%)),"")</f>
        <v/>
      </c>
      <c r="AA208" s="427" t="str">
        <f>IF(AND($A208&gt;=SYear_O,$A208&lt;=EYear_O,AA$3&gt;0),IF($A208=SYear_O,AA$168*(1+Data_All!AA47%),AA207*(1+Data_All!AA47%)),"")</f>
        <v/>
      </c>
      <c r="AB208" s="427" t="str">
        <f>IF(AND($A208&gt;=SYear_O,$A208&lt;=EYear_O,AB$3&gt;0),IF($A208=SYear_O,AB$168*(1+Data_All!AB47%),AB207*(1+Data_All!AB47%)),"")</f>
        <v/>
      </c>
      <c r="AC208" s="427" t="str">
        <f>IF(AND($A208&gt;=SYear_O,$A208&lt;=EYear_O,AC$3&gt;0),IF($A208=SYear_O,AC$168*(1+Data_All!AC47%),AC207*(1+Data_All!AC47%)),"")</f>
        <v/>
      </c>
      <c r="AD208" s="427" t="str">
        <f>IF(AND($A208&gt;=SYear_O,$A208&lt;=EYear_O,AD$3&gt;0),IF($A208=SYear_O,AD$168*(1+Data_All!AD47%),AD207*(1+Data_All!AD47%)),"")</f>
        <v/>
      </c>
      <c r="AE208" s="427" t="str">
        <f>IF(AND($A208&gt;=SYear_O,$A208&lt;=EYear_O,AE$3&gt;0),IF($A208=SYear_O,AE$168*(1+Data_All!AE47%),AE207*(1+Data_All!AE47%)),"")</f>
        <v/>
      </c>
      <c r="AF208" s="427" t="str">
        <f>IF(AND($A208&gt;=SYear_O,$A208&lt;=EYear_O,AF$3&gt;0),IF($A208=SYear_O,AF$168*(1+Data_All!AF47%),AF207*(1+Data_All!AF47%)),"")</f>
        <v/>
      </c>
      <c r="AG208" s="427" t="str">
        <f>IF(AND($A208&gt;=SYear_O,$A208&lt;=EYear_O,AG$3&gt;0),IF($A208=SYear_O,AG$168*(1+Data_All!AG47%),AG207*(1+Data_All!AG47%)),"")</f>
        <v/>
      </c>
      <c r="AH208" s="427" t="str">
        <f>IF(AND($A208&gt;=SYear_O,$A208&lt;=EYear_O,AH$3&gt;0),IF($A208=SYear_O,AH$168*(1+Data_All!AH47%),AH207*(1+Data_All!AH47%)),"")</f>
        <v/>
      </c>
      <c r="AI208" s="427" t="str">
        <f>IF(AND($A208&gt;=SYear_O,$A208&lt;=EYear_O,AI$3&gt;0),IF($A208=SYear_O,AI$168*(1+Data_All!AI47%),AI207*(1+Data_All!AI47%)),"")</f>
        <v/>
      </c>
      <c r="AJ208" s="427" t="str">
        <f>IF(AND($A208&gt;=SYear_O,$A208&lt;=EYear_O,AJ$3&gt;0),IF($A208=SYear_O,AJ$168*(1+Data_All!AJ47%),AJ207*(1+Data_All!AJ47%)),"")</f>
        <v/>
      </c>
      <c r="AK208" s="427" t="str">
        <f>IF(AND($A208&gt;=SYear_O,$A208&lt;=EYear_O,AK$3&gt;0),IF($A208=SYear_O,AK$168*(1+Data_All!AK47%),AK207*(1+Data_All!AK47%)),"")</f>
        <v/>
      </c>
      <c r="AL208" s="427" t="str">
        <f>IF(AND($A208&gt;=SYear_O,$A208&lt;=EYear_O,AL$3&gt;0),IF($A208=SYear_O,AL$168*(1+Data_All!AL47%),AL207*(1+Data_All!AL47%)),"")</f>
        <v/>
      </c>
      <c r="AM208" s="427" t="str">
        <f>IF(AND($A208&gt;=SYear_O,$A208&lt;=EYear_O,AM$3&gt;0),IF($A208=SYear_O,AM$168*(1+Data_All!AM47%),AM207*(1+Data_All!AM47%)),"")</f>
        <v/>
      </c>
      <c r="AN208" s="427" t="str">
        <f>IF(AND($A208&gt;=SYear_O,$A208&lt;=EYear_O,AN$3&gt;0),IF($A208=SYear_O,AN$168*(1+Data_All!AN47%),AN207*(1+Data_All!AN47%)),"")</f>
        <v/>
      </c>
      <c r="AO208" s="427" t="str">
        <f>IF(AND($A208&gt;=SYear_O,$A208&lt;=EYear_O,AO$3&gt;0),IF($A208=SYear_O,AO$168*(1+Data_All!AO47%),AO207*(1+Data_All!AO47%)),"")</f>
        <v/>
      </c>
      <c r="AP208" s="427" t="str">
        <f>IF(AND($A208&gt;=SYear_O,$A208&lt;=EYear_O,AP$3&gt;0),IF($A208=SYear_O,AP$168*(1+Data_All!AP47%),AP207*(1+Data_All!AP47%)),"")</f>
        <v/>
      </c>
      <c r="AQ208" s="427" t="str">
        <f>IF(AND($A208&gt;=SYear_O,$A208&lt;=EYear_O,AQ$3&gt;0),IF($A208=SYear_O,AQ$168*(1+Data_All!AQ47%),AQ207*(1+Data_All!AQ47%)),"")</f>
        <v/>
      </c>
      <c r="AR208" s="427" t="str">
        <f>IF(AND($A208&gt;=SYear_O,$A208&lt;=EYear_O,AR$3&gt;0),IF($A208=SYear_O,AR$168*(1+Data_All!AR47%),AR207*(1+Data_All!AR47%)),"")</f>
        <v/>
      </c>
      <c r="AS208" s="427" t="str">
        <f>IF(AND($A208&gt;=SYear_O,$A208&lt;=EYear_O,AS$3&gt;0),IF($A208=SYear_O,AS$168*(1+Data_All!AS47%),AS207*(1+Data_All!AS47%)),"")</f>
        <v/>
      </c>
      <c r="AT208" s="427" t="str">
        <f>IF(AND($A208&gt;=SYear_O,$A208&lt;=EYear_O,AT$3&gt;0),IF($A208=SYear_O,AT$168*(1+Data_All!AT47%),AT207*(1+Data_All!AT47%)),"")</f>
        <v/>
      </c>
      <c r="AU208" s="427" t="str">
        <f>IF(AND($A208&gt;=SYear_O,$A208&lt;=EYear_O,AU$3&gt;0),IF($A208=SYear_O,AU$168*(1+Data_All!AU47%),AU207*(1+Data_All!AU47%)),"")</f>
        <v/>
      </c>
      <c r="AV208" s="427" t="str">
        <f>IF(AND($A208&gt;=SYear_O,$A208&lt;=EYear_O,AV$3&gt;0),IF($A208=SYear_O,AV$168*(1+Data_All!AV47%),AV207*(1+Data_All!AV47%)),"")</f>
        <v/>
      </c>
      <c r="AW208" s="427" t="str">
        <f>IF(AND($A208&gt;=SYear_O,$A208&lt;=EYear_O,AW$3&gt;0),IF($A208=SYear_O,AW$168*(1+Data_All!AW47%),AW207*(1+Data_All!AW47%)),"")</f>
        <v/>
      </c>
      <c r="AX208" s="427" t="str">
        <f>IF(AND($A208&gt;=SYear_O,$A208&lt;=EYear_O,AX$3&gt;0),IF($A208=SYear_O,AX$168*(1+Data_All!AX47%),AX207*(1+Data_All!AX47%)),"")</f>
        <v/>
      </c>
      <c r="AY208" s="427" t="str">
        <f>IF(AND($A208&gt;=SYear_O,$A208&lt;=EYear_O,AY$3&gt;0),IF($A208=SYear_O,AY$168*(1+Data_All!AY47%),AY207*(1+Data_All!AY47%)),"")</f>
        <v/>
      </c>
      <c r="AZ208" s="427" t="str">
        <f>IF(AND($A208&gt;=SYear_O,$A208&lt;=EYear_O,AZ$3&gt;0),IF($A208=SYear_O,AZ$168*(1+Data_All!AZ47%),AZ207*(1+Data_All!AZ47%)),"")</f>
        <v/>
      </c>
      <c r="BA208" s="427" t="str">
        <f>IF(AND($A208&gt;=SYear_O,$A208&lt;=EYear_O,BA$3&gt;0),IF($A208=SYear_O,BA$168*(1+Data_All!BA47%),BA207*(1+Data_All!BA47%)),"")</f>
        <v/>
      </c>
      <c r="BB208" s="427" t="str">
        <f>IF(AND($A208&gt;=SYear_O,$A208&lt;=EYear_O,BB$3&gt;0),IF($A208=SYear_O,BB$168*(1+Data_All!BB47%),BB207*(1+Data_All!BB47%)),"")</f>
        <v/>
      </c>
      <c r="BC208" s="427" t="str">
        <f>IF(AND($A208&gt;=SYear_O,$A208&lt;=EYear_O,BC$3&gt;0),IF($A208=SYear_O,BC$168*(1+Data_All!BC47%),BC207*(1+Data_All!BC47%)),"")</f>
        <v/>
      </c>
      <c r="BD208" s="427" t="str">
        <f>IF(AND($A208&gt;=SYear_O,$A208&lt;=EYear_O,BD$3&gt;0),IF($A208=SYear_O,BD$168*(1+Data_All!BD47%),BD207*(1+Data_All!BD47%)),"")</f>
        <v/>
      </c>
      <c r="BE208" s="427" t="str">
        <f>IF(AND($A208&gt;=SYear_O,$A208&lt;=EYear_O,BE$3&gt;0),IF($A208=SYear_O,BE$168*(1+Data_All!BE47%),BE207*(1+Data_All!BE47%)),"")</f>
        <v/>
      </c>
      <c r="BF208" s="427" t="str">
        <f>IF(AND($A208&gt;=SYear_O,$A208&lt;=EYear_O,BF$3&gt;0),IF($A208=SYear_O,BF$168*(1+Data_All!BF47%),BF207*(1+Data_All!BF47%)),"")</f>
        <v/>
      </c>
      <c r="BG208" s="427" t="str">
        <f>IF(AND($A208&gt;=SYear_O,$A208&lt;=EYear_O,BG$3&gt;0),IF($A208=SYear_O,BG$168*(1+Data_All!BG47%),BG207*(1+Data_All!BG47%)),"")</f>
        <v/>
      </c>
      <c r="BH208" s="427" t="str">
        <f>IF(AND($A208&gt;=SYear_O,$A208&lt;=EYear_O,BH$3&gt;0),IF($A208=SYear_O,BH$168*(1+Data_All!BH47%),BH207*(1+Data_All!BH47%)),"")</f>
        <v/>
      </c>
      <c r="BI208" s="427" t="str">
        <f>IF(AND($A208&gt;=SYear_O,$A208&lt;=EYear_O,BI$3&gt;0),IF($A208=SYear_O,BI$168*(1+Data_All!BI47%),BI207*(1+Data_All!BI47%)),"")</f>
        <v/>
      </c>
      <c r="BJ208" s="427" t="str">
        <f>IF(AND($A208&gt;=SYear_O,$A208&lt;=EYear_O,BJ$3&gt;0),IF($A208=SYear_O,BJ$168*(1+Data_All!BJ47%),BJ207*(1+Data_All!BJ47%)),"")</f>
        <v/>
      </c>
      <c r="BK208" s="427" t="str">
        <f>IF(AND($A208&gt;=SYear_O,$A208&lt;=EYear_O,BK$3&gt;0),IF($A208=SYear_O,BK$168*(1+Data_All!BK47%),BK207*(1+Data_All!BK47%)),"")</f>
        <v/>
      </c>
      <c r="BL208" s="427" t="str">
        <f>IF(AND($A208&gt;=SYear_O,$A208&lt;=EYear_O,BL$3&gt;0),IF($A208=SYear_O,BL$168*(1+Data_All!BL47%),BL207*(1+Data_All!BL47%)),"")</f>
        <v/>
      </c>
      <c r="BM208" s="427" t="str">
        <f>IF(AND($A208&gt;=SYear_O,$A208&lt;=EYear_O,BM$3&gt;0),IF($A208=SYear_O,BM$168*(1+Data_All!BM47%),BM207*(1+Data_All!BM47%)),"")</f>
        <v/>
      </c>
      <c r="BN208" s="427" t="str">
        <f>IF(AND($A208&gt;=SYear_O,$A208&lt;=EYear_O,BN$3&gt;0),IF($A208=SYear_O,BN$168*(1+Data_All!BN47%),BN207*(1+Data_All!BN47%)),"")</f>
        <v/>
      </c>
      <c r="BO208" s="427" t="str">
        <f>IF(AND($A208&gt;=SYear_O,$A208&lt;=EYear_O,BO$3&gt;0),IF($A208=SYear_O,BO$168*(1+Data_All!BO47%),BO207*(1+Data_All!BO47%)),"")</f>
        <v/>
      </c>
      <c r="BP208" s="427" t="str">
        <f>IF(AND($A208&gt;=SYear_O,$A208&lt;=EYear_O,BP$3&gt;0),IF($A208=SYear_O,BP$168*(1+Data_All!BP47%),BP207*(1+Data_All!BP47%)),"")</f>
        <v/>
      </c>
      <c r="BQ208" s="427" t="str">
        <f>IF(AND($A208&gt;=SYear_O,$A208&lt;=EYear_O,BQ$3&gt;0),IF($A208=SYear_O,BQ$168*(1+Data_All!BQ47%),BQ207*(1+Data_All!BQ47%)),"")</f>
        <v/>
      </c>
      <c r="BR208" s="427" t="str">
        <f>IF(AND($A208&gt;=SYear_O,$A208&lt;=EYear_O,BR$3&gt;0),IF($A208=SYear_O,BR$168*(1+Data_All!BR47%),BR207*(1+Data_All!BR47%)),"")</f>
        <v/>
      </c>
      <c r="BS208" s="427" t="str">
        <f>IF(AND($A208&gt;=SYear_O,$A208&lt;=EYear_O,BS$3&gt;0),IF($A208=SYear_O,BS$168*(1+Data_All!BS47%),BS207*(1+Data_All!BS47%)),"")</f>
        <v/>
      </c>
      <c r="BT208" s="427" t="str">
        <f>IF(AND($A208&gt;=SYear_O,$A208&lt;=EYear_O,BT$3&gt;0),IF($A208=SYear_O,BT$168*(1+Data_All!BT47%),BT207*(1+Data_All!BT47%)),"")</f>
        <v/>
      </c>
      <c r="BU208" s="427" t="str">
        <f>IF(AND($A208&gt;=SYear_O,$A208&lt;=EYear_O,BU$3&gt;0),IF($A208=SYear_O,BU$168*(1+Data_All!BU47%),BU207*(1+Data_All!BU47%)),"")</f>
        <v/>
      </c>
      <c r="BV208" s="427" t="str">
        <f>IF(AND($A208&gt;=SYear_O,$A208&lt;=EYear_O,BV$3&gt;0),IF($A208=SYear_O,BV$168*(1+Data_All!BV47%),BV207*(1+Data_All!BV47%)),"")</f>
        <v/>
      </c>
      <c r="BW208" s="427" t="str">
        <f>IF(AND($A208&gt;=SYear_O,$A208&lt;=EYear_O,BW$3&gt;0),IF($A208=SYear_O,BW$168*(1+Data_All!BW47%),BW207*(1+Data_All!BW47%)),"")</f>
        <v/>
      </c>
      <c r="BX208" s="427">
        <f>IF(AND($A208&gt;=SYear_O,$A208&lt;=EYear_O,BX$3&gt;0),IF($A208=SYear_O,BX$168*(1+Data_All!BX47%),BX207*(1+Data_All!BX47%)),"")</f>
        <v>85934.282356569733</v>
      </c>
      <c r="BY208" s="427">
        <f>IF(AND($A208&gt;=SYear_O,$A208&lt;=EYear_O,BY$3&gt;0),IF($A208=SYear_O,BY$168*(1+Data_All!BY47%),BY207*(1+Data_All!BY47%)),"")</f>
        <v>18626.574820536327</v>
      </c>
      <c r="BZ208" s="427" t="str">
        <f>IF(AND($A208&gt;=SYear_O,$A208&lt;=EYear_O,BZ$3&gt;0),IF($A208=SYear_O,BZ$168*(1+Data_All!BZ47%),BZ207*(1+Data_All!BZ47%)),"")</f>
        <v/>
      </c>
      <c r="CA208" s="565">
        <f t="shared" si="108"/>
        <v>-1.8423391101557718</v>
      </c>
      <c r="CB208" s="427">
        <f t="shared" si="109"/>
        <v>104560.85717710605</v>
      </c>
      <c r="CC208" s="565">
        <f>IF(AND($A208&gt;=SYear_O,$A208&lt;=EYear_O),(CA208-Data_All!CA47)/(1+Data_All!CA47%),"")</f>
        <v>5.2418335540814187</v>
      </c>
      <c r="CD208" s="436">
        <f t="shared" si="110"/>
        <v>141211.43047859959</v>
      </c>
      <c r="CE208" s="438">
        <f t="shared" si="111"/>
        <v>9.4835901507542566</v>
      </c>
      <c r="CF208" s="438">
        <f>IF(AND($A208&gt;=SYear_O,$A208&lt;=EYear_O),MAX($CE$169:CE208),"")</f>
        <v>9.6615893907629431</v>
      </c>
      <c r="CG208" s="209">
        <f t="shared" si="112"/>
        <v>1.8423391101557773E-2</v>
      </c>
      <c r="CN208" s="61">
        <f t="shared" si="113"/>
        <v>-1.8423391101557773E-2</v>
      </c>
      <c r="CO208" s="61">
        <f t="shared" si="114"/>
        <v>2.4860782010398319E-2</v>
      </c>
      <c r="CP208" s="61">
        <f t="shared" si="115"/>
        <v>1.8008944782275105E-3</v>
      </c>
      <c r="CQ208" s="61">
        <f t="shared" si="116"/>
        <v>4.4293636290151817E-2</v>
      </c>
      <c r="CR208" s="61">
        <f t="shared" si="117"/>
        <v>6.0787773625811781E-2</v>
      </c>
      <c r="CU208" s="61">
        <f t="shared" si="118"/>
        <v>5.2418335540814098E-2</v>
      </c>
      <c r="CV208" s="61">
        <f t="shared" si="119"/>
        <v>2.8167488671601237E-2</v>
      </c>
      <c r="CW208" s="61">
        <f t="shared" si="120"/>
        <v>-2.2959134427343875E-3</v>
      </c>
      <c r="CX208" s="61">
        <f t="shared" si="121"/>
        <v>-2.3192004121696419E-2</v>
      </c>
      <c r="CY208" s="61">
        <f t="shared" si="122"/>
        <v>2.2006447313506206E-2</v>
      </c>
    </row>
    <row r="209" spans="1:103">
      <c r="A209" s="204">
        <f t="shared" si="107"/>
        <v>1911</v>
      </c>
      <c r="B209" s="427" t="str">
        <f>IF(AND($A209&gt;=SYear_O,$A209&lt;=EYear_O,B$3&gt;0),IF($A209=SYear_O,B$168*(1+Data_All!B48%),B208*(1+Data_All!B48%)),"")</f>
        <v/>
      </c>
      <c r="C209" s="427" t="str">
        <f>IF(AND($A209&gt;=SYear_O,$A209&lt;=EYear_O,C$3&gt;0),IF($A209=SYear_O,C$168*(1+Data_All!C48%),C208*(1+Data_All!C48%)),"")</f>
        <v/>
      </c>
      <c r="D209" s="427" t="str">
        <f>IF(AND($A209&gt;=SYear_O,$A209&lt;=EYear_O,D$3&gt;0),IF($A209=SYear_O,D$168*(1+Data_All!D48%),D208*(1+Data_All!D48%)),"")</f>
        <v/>
      </c>
      <c r="E209" s="427" t="str">
        <f>IF(AND($A209&gt;=SYear_O,$A209&lt;=EYear_O,E$3&gt;0),IF($A209=SYear_O,E$168*(1+Data_All!E48%),E208*(1+Data_All!E48%)),"")</f>
        <v/>
      </c>
      <c r="F209" s="427" t="str">
        <f>IF(AND($A209&gt;=SYear_O,$A209&lt;=EYear_O,F$3&gt;0),IF($A209=SYear_O,F$168*(1+Data_All!F48%),F208*(1+Data_All!F48%)),"")</f>
        <v/>
      </c>
      <c r="G209" s="427" t="str">
        <f>IF(AND($A209&gt;=SYear_O,$A209&lt;=EYear_O,G$3&gt;0),IF($A209=SYear_O,G$168*(1+Data_All!G48%),G208*(1+Data_All!G48%)),"")</f>
        <v/>
      </c>
      <c r="H209" s="427" t="str">
        <f>IF(AND($A209&gt;=SYear_O,$A209&lt;=EYear_O,H$3&gt;0),IF($A209=SYear_O,H$168*(1+Data_All!H48%),H208*(1+Data_All!H48%)),"")</f>
        <v/>
      </c>
      <c r="I209" s="427" t="str">
        <f>IF(AND($A209&gt;=SYear_O,$A209&lt;=EYear_O,I$3&gt;0),IF($A209=SYear_O,I$168*(1+Data_All!I48%),I208*(1+Data_All!I48%)),"")</f>
        <v/>
      </c>
      <c r="J209" s="427" t="str">
        <f>IF(AND($A209&gt;=SYear_O,$A209&lt;=EYear_O,J$3&gt;0),IF($A209=SYear_O,J$168*(1+Data_All!J48%),J208*(1+Data_All!J48%)),"")</f>
        <v/>
      </c>
      <c r="K209" s="427" t="str">
        <f>IF(AND($A209&gt;=SYear_O,$A209&lt;=EYear_O,K$3&gt;0),IF($A209=SYear_O,K$168*(1+Data_All!K48%),K208*(1+Data_All!K48%)),"")</f>
        <v/>
      </c>
      <c r="L209" s="427" t="str">
        <f>IF(AND($A209&gt;=SYear_O,$A209&lt;=EYear_O,L$3&gt;0),IF($A209=SYear_O,L$168*(1+Data_All!L48%),L208*(1+Data_All!L48%)),"")</f>
        <v/>
      </c>
      <c r="M209" s="427" t="str">
        <f>IF(AND($A209&gt;=SYear_O,$A209&lt;=EYear_O,M$3&gt;0),IF($A209=SYear_O,M$168*(1+Data_All!M48%),M208*(1+Data_All!M48%)),"")</f>
        <v/>
      </c>
      <c r="N209" s="427" t="str">
        <f>IF(AND($A209&gt;=SYear_O,$A209&lt;=EYear_O,N$3&gt;0),IF($A209=SYear_O,N$168*(1+Data_All!N48%),N208*(1+Data_All!N48%)),"")</f>
        <v/>
      </c>
      <c r="O209" s="427" t="str">
        <f>IF(AND($A209&gt;=SYear_O,$A209&lt;=EYear_O,O$3&gt;0),IF($A209=SYear_O,O$168*(1+Data_All!O48%),O208*(1+Data_All!O48%)),"")</f>
        <v/>
      </c>
      <c r="P209" s="427" t="str">
        <f>IF(AND($A209&gt;=SYear_O,$A209&lt;=EYear_O,P$3&gt;0),IF($A209=SYear_O,P$168*(1+Data_All!P48%),P208*(1+Data_All!P48%)),"")</f>
        <v/>
      </c>
      <c r="Q209" s="427" t="str">
        <f>IF(AND($A209&gt;=SYear_O,$A209&lt;=EYear_O,Q$3&gt;0),IF($A209=SYear_O,Q$168*(1+Data_All!Q48%),Q208*(1+Data_All!Q48%)),"")</f>
        <v/>
      </c>
      <c r="R209" s="427" t="str">
        <f>IF(AND($A209&gt;=SYear_O,$A209&lt;=EYear_O,R$3&gt;0),IF($A209=SYear_O,R$168*(1+Data_All!R48%),R208*(1+Data_All!R48%)),"")</f>
        <v/>
      </c>
      <c r="S209" s="427" t="str">
        <f>IF(AND($A209&gt;=SYear_O,$A209&lt;=EYear_O,S$3&gt;0),IF($A209=SYear_O,S$168*(1+Data_All!S48%),S208*(1+Data_All!S48%)),"")</f>
        <v/>
      </c>
      <c r="T209" s="427" t="str">
        <f>IF(AND($A209&gt;=SYear_O,$A209&lt;=EYear_O,T$3&gt;0),IF($A209=SYear_O,T$168*(1+Data_All!T48%),T208*(1+Data_All!T48%)),"")</f>
        <v/>
      </c>
      <c r="U209" s="427" t="str">
        <f>IF(AND($A209&gt;=SYear_O,$A209&lt;=EYear_O,U$3&gt;0),IF($A209=SYear_O,U$168*(1+Data_All!U48%),U208*(1+Data_All!U48%)),"")</f>
        <v/>
      </c>
      <c r="V209" s="427" t="str">
        <f>IF(AND($A209&gt;=SYear_O,$A209&lt;=EYear_O,V$3&gt;0),IF($A209=SYear_O,V$168*(1+Data_All!V48%),V208*(1+Data_All!V48%)),"")</f>
        <v/>
      </c>
      <c r="W209" s="427" t="str">
        <f>IF(AND($A209&gt;=SYear_O,$A209&lt;=EYear_O,W$3&gt;0),IF($A209=SYear_O,W$168*(1+Data_All!W48%),W208*(1+Data_All!W48%)),"")</f>
        <v/>
      </c>
      <c r="X209" s="427" t="str">
        <f>IF(AND($A209&gt;=SYear_O,$A209&lt;=EYear_O,X$3&gt;0),IF($A209=SYear_O,X$168*(1+Data_All!X48%),X208*(1+Data_All!X48%)),"")</f>
        <v/>
      </c>
      <c r="Y209" s="427" t="str">
        <f>IF(AND($A209&gt;=SYear_O,$A209&lt;=EYear_O,Y$3&gt;0),IF($A209=SYear_O,Y$168*(1+Data_All!Y48%),Y208*(1+Data_All!Y48%)),"")</f>
        <v/>
      </c>
      <c r="Z209" s="427" t="str">
        <f>IF(AND($A209&gt;=SYear_O,$A209&lt;=EYear_O,Z$3&gt;0),IF($A209=SYear_O,Z$168*(1+Data_All!Z48%),Z208*(1+Data_All!Z48%)),"")</f>
        <v/>
      </c>
      <c r="AA209" s="427" t="str">
        <f>IF(AND($A209&gt;=SYear_O,$A209&lt;=EYear_O,AA$3&gt;0),IF($A209=SYear_O,AA$168*(1+Data_All!AA48%),AA208*(1+Data_All!AA48%)),"")</f>
        <v/>
      </c>
      <c r="AB209" s="427" t="str">
        <f>IF(AND($A209&gt;=SYear_O,$A209&lt;=EYear_O,AB$3&gt;0),IF($A209=SYear_O,AB$168*(1+Data_All!AB48%),AB208*(1+Data_All!AB48%)),"")</f>
        <v/>
      </c>
      <c r="AC209" s="427" t="str">
        <f>IF(AND($A209&gt;=SYear_O,$A209&lt;=EYear_O,AC$3&gt;0),IF($A209=SYear_O,AC$168*(1+Data_All!AC48%),AC208*(1+Data_All!AC48%)),"")</f>
        <v/>
      </c>
      <c r="AD209" s="427" t="str">
        <f>IF(AND($A209&gt;=SYear_O,$A209&lt;=EYear_O,AD$3&gt;0),IF($A209=SYear_O,AD$168*(1+Data_All!AD48%),AD208*(1+Data_All!AD48%)),"")</f>
        <v/>
      </c>
      <c r="AE209" s="427" t="str">
        <f>IF(AND($A209&gt;=SYear_O,$A209&lt;=EYear_O,AE$3&gt;0),IF($A209=SYear_O,AE$168*(1+Data_All!AE48%),AE208*(1+Data_All!AE48%)),"")</f>
        <v/>
      </c>
      <c r="AF209" s="427" t="str">
        <f>IF(AND($A209&gt;=SYear_O,$A209&lt;=EYear_O,AF$3&gt;0),IF($A209=SYear_O,AF$168*(1+Data_All!AF48%),AF208*(1+Data_All!AF48%)),"")</f>
        <v/>
      </c>
      <c r="AG209" s="427" t="str">
        <f>IF(AND($A209&gt;=SYear_O,$A209&lt;=EYear_O,AG$3&gt;0),IF($A209=SYear_O,AG$168*(1+Data_All!AG48%),AG208*(1+Data_All!AG48%)),"")</f>
        <v/>
      </c>
      <c r="AH209" s="427" t="str">
        <f>IF(AND($A209&gt;=SYear_O,$A209&lt;=EYear_O,AH$3&gt;0),IF($A209=SYear_O,AH$168*(1+Data_All!AH48%),AH208*(1+Data_All!AH48%)),"")</f>
        <v/>
      </c>
      <c r="AI209" s="427" t="str">
        <f>IF(AND($A209&gt;=SYear_O,$A209&lt;=EYear_O,AI$3&gt;0),IF($A209=SYear_O,AI$168*(1+Data_All!AI48%),AI208*(1+Data_All!AI48%)),"")</f>
        <v/>
      </c>
      <c r="AJ209" s="427" t="str">
        <f>IF(AND($A209&gt;=SYear_O,$A209&lt;=EYear_O,AJ$3&gt;0),IF($A209=SYear_O,AJ$168*(1+Data_All!AJ48%),AJ208*(1+Data_All!AJ48%)),"")</f>
        <v/>
      </c>
      <c r="AK209" s="427" t="str">
        <f>IF(AND($A209&gt;=SYear_O,$A209&lt;=EYear_O,AK$3&gt;0),IF($A209=SYear_O,AK$168*(1+Data_All!AK48%),AK208*(1+Data_All!AK48%)),"")</f>
        <v/>
      </c>
      <c r="AL209" s="427" t="str">
        <f>IF(AND($A209&gt;=SYear_O,$A209&lt;=EYear_O,AL$3&gt;0),IF($A209=SYear_O,AL$168*(1+Data_All!AL48%),AL208*(1+Data_All!AL48%)),"")</f>
        <v/>
      </c>
      <c r="AM209" s="427" t="str">
        <f>IF(AND($A209&gt;=SYear_O,$A209&lt;=EYear_O,AM$3&gt;0),IF($A209=SYear_O,AM$168*(1+Data_All!AM48%),AM208*(1+Data_All!AM48%)),"")</f>
        <v/>
      </c>
      <c r="AN209" s="427" t="str">
        <f>IF(AND($A209&gt;=SYear_O,$A209&lt;=EYear_O,AN$3&gt;0),IF($A209=SYear_O,AN$168*(1+Data_All!AN48%),AN208*(1+Data_All!AN48%)),"")</f>
        <v/>
      </c>
      <c r="AO209" s="427" t="str">
        <f>IF(AND($A209&gt;=SYear_O,$A209&lt;=EYear_O,AO$3&gt;0),IF($A209=SYear_O,AO$168*(1+Data_All!AO48%),AO208*(1+Data_All!AO48%)),"")</f>
        <v/>
      </c>
      <c r="AP209" s="427" t="str">
        <f>IF(AND($A209&gt;=SYear_O,$A209&lt;=EYear_O,AP$3&gt;0),IF($A209=SYear_O,AP$168*(1+Data_All!AP48%),AP208*(1+Data_All!AP48%)),"")</f>
        <v/>
      </c>
      <c r="AQ209" s="427" t="str">
        <f>IF(AND($A209&gt;=SYear_O,$A209&lt;=EYear_O,AQ$3&gt;0),IF($A209=SYear_O,AQ$168*(1+Data_All!AQ48%),AQ208*(1+Data_All!AQ48%)),"")</f>
        <v/>
      </c>
      <c r="AR209" s="427" t="str">
        <f>IF(AND($A209&gt;=SYear_O,$A209&lt;=EYear_O,AR$3&gt;0),IF($A209=SYear_O,AR$168*(1+Data_All!AR48%),AR208*(1+Data_All!AR48%)),"")</f>
        <v/>
      </c>
      <c r="AS209" s="427" t="str">
        <f>IF(AND($A209&gt;=SYear_O,$A209&lt;=EYear_O,AS$3&gt;0),IF($A209=SYear_O,AS$168*(1+Data_All!AS48%),AS208*(1+Data_All!AS48%)),"")</f>
        <v/>
      </c>
      <c r="AT209" s="427" t="str">
        <f>IF(AND($A209&gt;=SYear_O,$A209&lt;=EYear_O,AT$3&gt;0),IF($A209=SYear_O,AT$168*(1+Data_All!AT48%),AT208*(1+Data_All!AT48%)),"")</f>
        <v/>
      </c>
      <c r="AU209" s="427" t="str">
        <f>IF(AND($A209&gt;=SYear_O,$A209&lt;=EYear_O,AU$3&gt;0),IF($A209=SYear_O,AU$168*(1+Data_All!AU48%),AU208*(1+Data_All!AU48%)),"")</f>
        <v/>
      </c>
      <c r="AV209" s="427" t="str">
        <f>IF(AND($A209&gt;=SYear_O,$A209&lt;=EYear_O,AV$3&gt;0),IF($A209=SYear_O,AV$168*(1+Data_All!AV48%),AV208*(1+Data_All!AV48%)),"")</f>
        <v/>
      </c>
      <c r="AW209" s="427" t="str">
        <f>IF(AND($A209&gt;=SYear_O,$A209&lt;=EYear_O,AW$3&gt;0),IF($A209=SYear_O,AW$168*(1+Data_All!AW48%),AW208*(1+Data_All!AW48%)),"")</f>
        <v/>
      </c>
      <c r="AX209" s="427" t="str">
        <f>IF(AND($A209&gt;=SYear_O,$A209&lt;=EYear_O,AX$3&gt;0),IF($A209=SYear_O,AX$168*(1+Data_All!AX48%),AX208*(1+Data_All!AX48%)),"")</f>
        <v/>
      </c>
      <c r="AY209" s="427" t="str">
        <f>IF(AND($A209&gt;=SYear_O,$A209&lt;=EYear_O,AY$3&gt;0),IF($A209=SYear_O,AY$168*(1+Data_All!AY48%),AY208*(1+Data_All!AY48%)),"")</f>
        <v/>
      </c>
      <c r="AZ209" s="427" t="str">
        <f>IF(AND($A209&gt;=SYear_O,$A209&lt;=EYear_O,AZ$3&gt;0),IF($A209=SYear_O,AZ$168*(1+Data_All!AZ48%),AZ208*(1+Data_All!AZ48%)),"")</f>
        <v/>
      </c>
      <c r="BA209" s="427" t="str">
        <f>IF(AND($A209&gt;=SYear_O,$A209&lt;=EYear_O,BA$3&gt;0),IF($A209=SYear_O,BA$168*(1+Data_All!BA48%),BA208*(1+Data_All!BA48%)),"")</f>
        <v/>
      </c>
      <c r="BB209" s="427" t="str">
        <f>IF(AND($A209&gt;=SYear_O,$A209&lt;=EYear_O,BB$3&gt;0),IF($A209=SYear_O,BB$168*(1+Data_All!BB48%),BB208*(1+Data_All!BB48%)),"")</f>
        <v/>
      </c>
      <c r="BC209" s="427" t="str">
        <f>IF(AND($A209&gt;=SYear_O,$A209&lt;=EYear_O,BC$3&gt;0),IF($A209=SYear_O,BC$168*(1+Data_All!BC48%),BC208*(1+Data_All!BC48%)),"")</f>
        <v/>
      </c>
      <c r="BD209" s="427" t="str">
        <f>IF(AND($A209&gt;=SYear_O,$A209&lt;=EYear_O,BD$3&gt;0),IF($A209=SYear_O,BD$168*(1+Data_All!BD48%),BD208*(1+Data_All!BD48%)),"")</f>
        <v/>
      </c>
      <c r="BE209" s="427" t="str">
        <f>IF(AND($A209&gt;=SYear_O,$A209&lt;=EYear_O,BE$3&gt;0),IF($A209=SYear_O,BE$168*(1+Data_All!BE48%),BE208*(1+Data_All!BE48%)),"")</f>
        <v/>
      </c>
      <c r="BF209" s="427" t="str">
        <f>IF(AND($A209&gt;=SYear_O,$A209&lt;=EYear_O,BF$3&gt;0),IF($A209=SYear_O,BF$168*(1+Data_All!BF48%),BF208*(1+Data_All!BF48%)),"")</f>
        <v/>
      </c>
      <c r="BG209" s="427" t="str">
        <f>IF(AND($A209&gt;=SYear_O,$A209&lt;=EYear_O,BG$3&gt;0),IF($A209=SYear_O,BG$168*(1+Data_All!BG48%),BG208*(1+Data_All!BG48%)),"")</f>
        <v/>
      </c>
      <c r="BH209" s="427" t="str">
        <f>IF(AND($A209&gt;=SYear_O,$A209&lt;=EYear_O,BH$3&gt;0),IF($A209=SYear_O,BH$168*(1+Data_All!BH48%),BH208*(1+Data_All!BH48%)),"")</f>
        <v/>
      </c>
      <c r="BI209" s="427" t="str">
        <f>IF(AND($A209&gt;=SYear_O,$A209&lt;=EYear_O,BI$3&gt;0),IF($A209=SYear_O,BI$168*(1+Data_All!BI48%),BI208*(1+Data_All!BI48%)),"")</f>
        <v/>
      </c>
      <c r="BJ209" s="427" t="str">
        <f>IF(AND($A209&gt;=SYear_O,$A209&lt;=EYear_O,BJ$3&gt;0),IF($A209=SYear_O,BJ$168*(1+Data_All!BJ48%),BJ208*(1+Data_All!BJ48%)),"")</f>
        <v/>
      </c>
      <c r="BK209" s="427" t="str">
        <f>IF(AND($A209&gt;=SYear_O,$A209&lt;=EYear_O,BK$3&gt;0),IF($A209=SYear_O,BK$168*(1+Data_All!BK48%),BK208*(1+Data_All!BK48%)),"")</f>
        <v/>
      </c>
      <c r="BL209" s="427" t="str">
        <f>IF(AND($A209&gt;=SYear_O,$A209&lt;=EYear_O,BL$3&gt;0),IF($A209=SYear_O,BL$168*(1+Data_All!BL48%),BL208*(1+Data_All!BL48%)),"")</f>
        <v/>
      </c>
      <c r="BM209" s="427" t="str">
        <f>IF(AND($A209&gt;=SYear_O,$A209&lt;=EYear_O,BM$3&gt;0),IF($A209=SYear_O,BM$168*(1+Data_All!BM48%),BM208*(1+Data_All!BM48%)),"")</f>
        <v/>
      </c>
      <c r="BN209" s="427" t="str">
        <f>IF(AND($A209&gt;=SYear_O,$A209&lt;=EYear_O,BN$3&gt;0),IF($A209=SYear_O,BN$168*(1+Data_All!BN48%),BN208*(1+Data_All!BN48%)),"")</f>
        <v/>
      </c>
      <c r="BO209" s="427" t="str">
        <f>IF(AND($A209&gt;=SYear_O,$A209&lt;=EYear_O,BO$3&gt;0),IF($A209=SYear_O,BO$168*(1+Data_All!BO48%),BO208*(1+Data_All!BO48%)),"")</f>
        <v/>
      </c>
      <c r="BP209" s="427" t="str">
        <f>IF(AND($A209&gt;=SYear_O,$A209&lt;=EYear_O,BP$3&gt;0),IF($A209=SYear_O,BP$168*(1+Data_All!BP48%),BP208*(1+Data_All!BP48%)),"")</f>
        <v/>
      </c>
      <c r="BQ209" s="427" t="str">
        <f>IF(AND($A209&gt;=SYear_O,$A209&lt;=EYear_O,BQ$3&gt;0),IF($A209=SYear_O,BQ$168*(1+Data_All!BQ48%),BQ208*(1+Data_All!BQ48%)),"")</f>
        <v/>
      </c>
      <c r="BR209" s="427" t="str">
        <f>IF(AND($A209&gt;=SYear_O,$A209&lt;=EYear_O,BR$3&gt;0),IF($A209=SYear_O,BR$168*(1+Data_All!BR48%),BR208*(1+Data_All!BR48%)),"")</f>
        <v/>
      </c>
      <c r="BS209" s="427" t="str">
        <f>IF(AND($A209&gt;=SYear_O,$A209&lt;=EYear_O,BS$3&gt;0),IF($A209=SYear_O,BS$168*(1+Data_All!BS48%),BS208*(1+Data_All!BS48%)),"")</f>
        <v/>
      </c>
      <c r="BT209" s="427" t="str">
        <f>IF(AND($A209&gt;=SYear_O,$A209&lt;=EYear_O,BT$3&gt;0),IF($A209=SYear_O,BT$168*(1+Data_All!BT48%),BT208*(1+Data_All!BT48%)),"")</f>
        <v/>
      </c>
      <c r="BU209" s="427" t="str">
        <f>IF(AND($A209&gt;=SYear_O,$A209&lt;=EYear_O,BU$3&gt;0),IF($A209=SYear_O,BU$168*(1+Data_All!BU48%),BU208*(1+Data_All!BU48%)),"")</f>
        <v/>
      </c>
      <c r="BV209" s="427" t="str">
        <f>IF(AND($A209&gt;=SYear_O,$A209&lt;=EYear_O,BV$3&gt;0),IF($A209=SYear_O,BV$168*(1+Data_All!BV48%),BV208*(1+Data_All!BV48%)),"")</f>
        <v/>
      </c>
      <c r="BW209" s="427" t="str">
        <f>IF(AND($A209&gt;=SYear_O,$A209&lt;=EYear_O,BW$3&gt;0),IF($A209=SYear_O,BW$168*(1+Data_All!BW48%),BW208*(1+Data_All!BW48%)),"")</f>
        <v/>
      </c>
      <c r="BX209" s="427">
        <f>IF(AND($A209&gt;=SYear_O,$A209&lt;=EYear_O,BX$3&gt;0),IF($A209=SYear_O,BX$168*(1+Data_All!BX48%),BX208*(1+Data_All!BX48%)),"")</f>
        <v>88900.73007545888</v>
      </c>
      <c r="BY209" s="427">
        <f>IF(AND($A209&gt;=SYear_O,$A209&lt;=EYear_O,BY$3&gt;0),IF($A209=SYear_O,BY$168*(1+Data_All!BY48%),BY208*(1+Data_All!BY48%)),"")</f>
        <v>19234.528231817691</v>
      </c>
      <c r="BZ209" s="427" t="str">
        <f>IF(AND($A209&gt;=SYear_O,$A209&lt;=EYear_O,BZ$3&gt;0),IF($A209=SYear_O,BZ$168*(1+Data_All!BZ48%),BZ208*(1+Data_All!BZ48%)),"")</f>
        <v/>
      </c>
      <c r="CA209" s="565">
        <f t="shared" si="108"/>
        <v>3.4184887410746523</v>
      </c>
      <c r="CB209" s="427">
        <f t="shared" si="109"/>
        <v>108135.25830727657</v>
      </c>
      <c r="CC209" s="565">
        <f>IF(AND($A209&gt;=SYear_O,$A209&lt;=EYear_O),(CA209-Data_All!CA48)/(1+Data_All!CA48%),"")</f>
        <v>4.4950673732303112</v>
      </c>
      <c r="CD209" s="436">
        <f t="shared" si="110"/>
        <v>147558.97941731493</v>
      </c>
      <c r="CE209" s="438">
        <f t="shared" si="111"/>
        <v>9.8077856123074554</v>
      </c>
      <c r="CF209" s="438">
        <f>IF(AND($A209&gt;=SYear_O,$A209&lt;=EYear_O),MAX($CE$169:CE209),"")</f>
        <v>9.8077856123074554</v>
      </c>
      <c r="CG209" s="209">
        <f t="shared" si="112"/>
        <v>0</v>
      </c>
      <c r="CN209" s="61">
        <f t="shared" si="113"/>
        <v>3.4184887410746434E-2</v>
      </c>
      <c r="CO209" s="61">
        <f t="shared" si="114"/>
        <v>2.135378250976383E-2</v>
      </c>
      <c r="CP209" s="61">
        <f t="shared" si="115"/>
        <v>5.1872975114314546E-2</v>
      </c>
      <c r="CQ209" s="61">
        <f t="shared" si="116"/>
        <v>3.412756404806605E-2</v>
      </c>
      <c r="CR209" s="61">
        <f t="shared" si="117"/>
        <v>7.6519492310922255E-2</v>
      </c>
      <c r="CU209" s="61">
        <f t="shared" si="118"/>
        <v>4.4950673732303104E-2</v>
      </c>
      <c r="CV209" s="61">
        <f t="shared" si="119"/>
        <v>-5.5968660543386228E-3</v>
      </c>
      <c r="CW209" s="61">
        <f t="shared" si="120"/>
        <v>2.704246117782283E-2</v>
      </c>
      <c r="CX209" s="61">
        <f t="shared" si="121"/>
        <v>-3.7912352046998943E-2</v>
      </c>
      <c r="CY209" s="61">
        <f t="shared" si="122"/>
        <v>3.0012003100151174E-2</v>
      </c>
    </row>
    <row r="210" spans="1:103">
      <c r="A210" s="204">
        <f t="shared" si="107"/>
        <v>1912</v>
      </c>
      <c r="B210" s="427" t="str">
        <f>IF(AND($A210&gt;=SYear_O,$A210&lt;=EYear_O,B$3&gt;0),IF($A210=SYear_O,B$168*(1+Data_All!B49%),B209*(1+Data_All!B49%)),"")</f>
        <v/>
      </c>
      <c r="C210" s="427" t="str">
        <f>IF(AND($A210&gt;=SYear_O,$A210&lt;=EYear_O,C$3&gt;0),IF($A210=SYear_O,C$168*(1+Data_All!C49%),C209*(1+Data_All!C49%)),"")</f>
        <v/>
      </c>
      <c r="D210" s="427" t="str">
        <f>IF(AND($A210&gt;=SYear_O,$A210&lt;=EYear_O,D$3&gt;0),IF($A210=SYear_O,D$168*(1+Data_All!D49%),D209*(1+Data_All!D49%)),"")</f>
        <v/>
      </c>
      <c r="E210" s="427" t="str">
        <f>IF(AND($A210&gt;=SYear_O,$A210&lt;=EYear_O,E$3&gt;0),IF($A210=SYear_O,E$168*(1+Data_All!E49%),E209*(1+Data_All!E49%)),"")</f>
        <v/>
      </c>
      <c r="F210" s="427" t="str">
        <f>IF(AND($A210&gt;=SYear_O,$A210&lt;=EYear_O,F$3&gt;0),IF($A210=SYear_O,F$168*(1+Data_All!F49%),F209*(1+Data_All!F49%)),"")</f>
        <v/>
      </c>
      <c r="G210" s="427" t="str">
        <f>IF(AND($A210&gt;=SYear_O,$A210&lt;=EYear_O,G$3&gt;0),IF($A210=SYear_O,G$168*(1+Data_All!G49%),G209*(1+Data_All!G49%)),"")</f>
        <v/>
      </c>
      <c r="H210" s="427" t="str">
        <f>IF(AND($A210&gt;=SYear_O,$A210&lt;=EYear_O,H$3&gt;0),IF($A210=SYear_O,H$168*(1+Data_All!H49%),H209*(1+Data_All!H49%)),"")</f>
        <v/>
      </c>
      <c r="I210" s="427" t="str">
        <f>IF(AND($A210&gt;=SYear_O,$A210&lt;=EYear_O,I$3&gt;0),IF($A210=SYear_O,I$168*(1+Data_All!I49%),I209*(1+Data_All!I49%)),"")</f>
        <v/>
      </c>
      <c r="J210" s="427" t="str">
        <f>IF(AND($A210&gt;=SYear_O,$A210&lt;=EYear_O,J$3&gt;0),IF($A210=SYear_O,J$168*(1+Data_All!J49%),J209*(1+Data_All!J49%)),"")</f>
        <v/>
      </c>
      <c r="K210" s="427" t="str">
        <f>IF(AND($A210&gt;=SYear_O,$A210&lt;=EYear_O,K$3&gt;0),IF($A210=SYear_O,K$168*(1+Data_All!K49%),K209*(1+Data_All!K49%)),"")</f>
        <v/>
      </c>
      <c r="L210" s="427" t="str">
        <f>IF(AND($A210&gt;=SYear_O,$A210&lt;=EYear_O,L$3&gt;0),IF($A210=SYear_O,L$168*(1+Data_All!L49%),L209*(1+Data_All!L49%)),"")</f>
        <v/>
      </c>
      <c r="M210" s="427" t="str">
        <f>IF(AND($A210&gt;=SYear_O,$A210&lt;=EYear_O,M$3&gt;0),IF($A210=SYear_O,M$168*(1+Data_All!M49%),M209*(1+Data_All!M49%)),"")</f>
        <v/>
      </c>
      <c r="N210" s="427" t="str">
        <f>IF(AND($A210&gt;=SYear_O,$A210&lt;=EYear_O,N$3&gt;0),IF($A210=SYear_O,N$168*(1+Data_All!N49%),N209*(1+Data_All!N49%)),"")</f>
        <v/>
      </c>
      <c r="O210" s="427" t="str">
        <f>IF(AND($A210&gt;=SYear_O,$A210&lt;=EYear_O,O$3&gt;0),IF($A210=SYear_O,O$168*(1+Data_All!O49%),O209*(1+Data_All!O49%)),"")</f>
        <v/>
      </c>
      <c r="P210" s="427" t="str">
        <f>IF(AND($A210&gt;=SYear_O,$A210&lt;=EYear_O,P$3&gt;0),IF($A210=SYear_O,P$168*(1+Data_All!P49%),P209*(1+Data_All!P49%)),"")</f>
        <v/>
      </c>
      <c r="Q210" s="427" t="str">
        <f>IF(AND($A210&gt;=SYear_O,$A210&lt;=EYear_O,Q$3&gt;0),IF($A210=SYear_O,Q$168*(1+Data_All!Q49%),Q209*(1+Data_All!Q49%)),"")</f>
        <v/>
      </c>
      <c r="R210" s="427" t="str">
        <f>IF(AND($A210&gt;=SYear_O,$A210&lt;=EYear_O,R$3&gt;0),IF($A210=SYear_O,R$168*(1+Data_All!R49%),R209*(1+Data_All!R49%)),"")</f>
        <v/>
      </c>
      <c r="S210" s="427" t="str">
        <f>IF(AND($A210&gt;=SYear_O,$A210&lt;=EYear_O,S$3&gt;0),IF($A210=SYear_O,S$168*(1+Data_All!S49%),S209*(1+Data_All!S49%)),"")</f>
        <v/>
      </c>
      <c r="T210" s="427" t="str">
        <f>IF(AND($A210&gt;=SYear_O,$A210&lt;=EYear_O,T$3&gt;0),IF($A210=SYear_O,T$168*(1+Data_All!T49%),T209*(1+Data_All!T49%)),"")</f>
        <v/>
      </c>
      <c r="U210" s="427" t="str">
        <f>IF(AND($A210&gt;=SYear_O,$A210&lt;=EYear_O,U$3&gt;0),IF($A210=SYear_O,U$168*(1+Data_All!U49%),U209*(1+Data_All!U49%)),"")</f>
        <v/>
      </c>
      <c r="V210" s="427" t="str">
        <f>IF(AND($A210&gt;=SYear_O,$A210&lt;=EYear_O,V$3&gt;0),IF($A210=SYear_O,V$168*(1+Data_All!V49%),V209*(1+Data_All!V49%)),"")</f>
        <v/>
      </c>
      <c r="W210" s="427" t="str">
        <f>IF(AND($A210&gt;=SYear_O,$A210&lt;=EYear_O,W$3&gt;0),IF($A210=SYear_O,W$168*(1+Data_All!W49%),W209*(1+Data_All!W49%)),"")</f>
        <v/>
      </c>
      <c r="X210" s="427" t="str">
        <f>IF(AND($A210&gt;=SYear_O,$A210&lt;=EYear_O,X$3&gt;0),IF($A210=SYear_O,X$168*(1+Data_All!X49%),X209*(1+Data_All!X49%)),"")</f>
        <v/>
      </c>
      <c r="Y210" s="427" t="str">
        <f>IF(AND($A210&gt;=SYear_O,$A210&lt;=EYear_O,Y$3&gt;0),IF($A210=SYear_O,Y$168*(1+Data_All!Y49%),Y209*(1+Data_All!Y49%)),"")</f>
        <v/>
      </c>
      <c r="Z210" s="427" t="str">
        <f>IF(AND($A210&gt;=SYear_O,$A210&lt;=EYear_O,Z$3&gt;0),IF($A210=SYear_O,Z$168*(1+Data_All!Z49%),Z209*(1+Data_All!Z49%)),"")</f>
        <v/>
      </c>
      <c r="AA210" s="427" t="str">
        <f>IF(AND($A210&gt;=SYear_O,$A210&lt;=EYear_O,AA$3&gt;0),IF($A210=SYear_O,AA$168*(1+Data_All!AA49%),AA209*(1+Data_All!AA49%)),"")</f>
        <v/>
      </c>
      <c r="AB210" s="427" t="str">
        <f>IF(AND($A210&gt;=SYear_O,$A210&lt;=EYear_O,AB$3&gt;0),IF($A210=SYear_O,AB$168*(1+Data_All!AB49%),AB209*(1+Data_All!AB49%)),"")</f>
        <v/>
      </c>
      <c r="AC210" s="427" t="str">
        <f>IF(AND($A210&gt;=SYear_O,$A210&lt;=EYear_O,AC$3&gt;0),IF($A210=SYear_O,AC$168*(1+Data_All!AC49%),AC209*(1+Data_All!AC49%)),"")</f>
        <v/>
      </c>
      <c r="AD210" s="427" t="str">
        <f>IF(AND($A210&gt;=SYear_O,$A210&lt;=EYear_O,AD$3&gt;0),IF($A210=SYear_O,AD$168*(1+Data_All!AD49%),AD209*(1+Data_All!AD49%)),"")</f>
        <v/>
      </c>
      <c r="AE210" s="427" t="str">
        <f>IF(AND($A210&gt;=SYear_O,$A210&lt;=EYear_O,AE$3&gt;0),IF($A210=SYear_O,AE$168*(1+Data_All!AE49%),AE209*(1+Data_All!AE49%)),"")</f>
        <v/>
      </c>
      <c r="AF210" s="427" t="str">
        <f>IF(AND($A210&gt;=SYear_O,$A210&lt;=EYear_O,AF$3&gt;0),IF($A210=SYear_O,AF$168*(1+Data_All!AF49%),AF209*(1+Data_All!AF49%)),"")</f>
        <v/>
      </c>
      <c r="AG210" s="427" t="str">
        <f>IF(AND($A210&gt;=SYear_O,$A210&lt;=EYear_O,AG$3&gt;0),IF($A210=SYear_O,AG$168*(1+Data_All!AG49%),AG209*(1+Data_All!AG49%)),"")</f>
        <v/>
      </c>
      <c r="AH210" s="427" t="str">
        <f>IF(AND($A210&gt;=SYear_O,$A210&lt;=EYear_O,AH$3&gt;0),IF($A210=SYear_O,AH$168*(1+Data_All!AH49%),AH209*(1+Data_All!AH49%)),"")</f>
        <v/>
      </c>
      <c r="AI210" s="427" t="str">
        <f>IF(AND($A210&gt;=SYear_O,$A210&lt;=EYear_O,AI$3&gt;0),IF($A210=SYear_O,AI$168*(1+Data_All!AI49%),AI209*(1+Data_All!AI49%)),"")</f>
        <v/>
      </c>
      <c r="AJ210" s="427" t="str">
        <f>IF(AND($A210&gt;=SYear_O,$A210&lt;=EYear_O,AJ$3&gt;0),IF($A210=SYear_O,AJ$168*(1+Data_All!AJ49%),AJ209*(1+Data_All!AJ49%)),"")</f>
        <v/>
      </c>
      <c r="AK210" s="427" t="str">
        <f>IF(AND($A210&gt;=SYear_O,$A210&lt;=EYear_O,AK$3&gt;0),IF($A210=SYear_O,AK$168*(1+Data_All!AK49%),AK209*(1+Data_All!AK49%)),"")</f>
        <v/>
      </c>
      <c r="AL210" s="427" t="str">
        <f>IF(AND($A210&gt;=SYear_O,$A210&lt;=EYear_O,AL$3&gt;0),IF($A210=SYear_O,AL$168*(1+Data_All!AL49%),AL209*(1+Data_All!AL49%)),"")</f>
        <v/>
      </c>
      <c r="AM210" s="427" t="str">
        <f>IF(AND($A210&gt;=SYear_O,$A210&lt;=EYear_O,AM$3&gt;0),IF($A210=SYear_O,AM$168*(1+Data_All!AM49%),AM209*(1+Data_All!AM49%)),"")</f>
        <v/>
      </c>
      <c r="AN210" s="427" t="str">
        <f>IF(AND($A210&gt;=SYear_O,$A210&lt;=EYear_O,AN$3&gt;0),IF($A210=SYear_O,AN$168*(1+Data_All!AN49%),AN209*(1+Data_All!AN49%)),"")</f>
        <v/>
      </c>
      <c r="AO210" s="427" t="str">
        <f>IF(AND($A210&gt;=SYear_O,$A210&lt;=EYear_O,AO$3&gt;0),IF($A210=SYear_O,AO$168*(1+Data_All!AO49%),AO209*(1+Data_All!AO49%)),"")</f>
        <v/>
      </c>
      <c r="AP210" s="427" t="str">
        <f>IF(AND($A210&gt;=SYear_O,$A210&lt;=EYear_O,AP$3&gt;0),IF($A210=SYear_O,AP$168*(1+Data_All!AP49%),AP209*(1+Data_All!AP49%)),"")</f>
        <v/>
      </c>
      <c r="AQ210" s="427" t="str">
        <f>IF(AND($A210&gt;=SYear_O,$A210&lt;=EYear_O,AQ$3&gt;0),IF($A210=SYear_O,AQ$168*(1+Data_All!AQ49%),AQ209*(1+Data_All!AQ49%)),"")</f>
        <v/>
      </c>
      <c r="AR210" s="427" t="str">
        <f>IF(AND($A210&gt;=SYear_O,$A210&lt;=EYear_O,AR$3&gt;0),IF($A210=SYear_O,AR$168*(1+Data_All!AR49%),AR209*(1+Data_All!AR49%)),"")</f>
        <v/>
      </c>
      <c r="AS210" s="427" t="str">
        <f>IF(AND($A210&gt;=SYear_O,$A210&lt;=EYear_O,AS$3&gt;0),IF($A210=SYear_O,AS$168*(1+Data_All!AS49%),AS209*(1+Data_All!AS49%)),"")</f>
        <v/>
      </c>
      <c r="AT210" s="427" t="str">
        <f>IF(AND($A210&gt;=SYear_O,$A210&lt;=EYear_O,AT$3&gt;0),IF($A210=SYear_O,AT$168*(1+Data_All!AT49%),AT209*(1+Data_All!AT49%)),"")</f>
        <v/>
      </c>
      <c r="AU210" s="427" t="str">
        <f>IF(AND($A210&gt;=SYear_O,$A210&lt;=EYear_O,AU$3&gt;0),IF($A210=SYear_O,AU$168*(1+Data_All!AU49%),AU209*(1+Data_All!AU49%)),"")</f>
        <v/>
      </c>
      <c r="AV210" s="427" t="str">
        <f>IF(AND($A210&gt;=SYear_O,$A210&lt;=EYear_O,AV$3&gt;0),IF($A210=SYear_O,AV$168*(1+Data_All!AV49%),AV209*(1+Data_All!AV49%)),"")</f>
        <v/>
      </c>
      <c r="AW210" s="427" t="str">
        <f>IF(AND($A210&gt;=SYear_O,$A210&lt;=EYear_O,AW$3&gt;0),IF($A210=SYear_O,AW$168*(1+Data_All!AW49%),AW209*(1+Data_All!AW49%)),"")</f>
        <v/>
      </c>
      <c r="AX210" s="427" t="str">
        <f>IF(AND($A210&gt;=SYear_O,$A210&lt;=EYear_O,AX$3&gt;0),IF($A210=SYear_O,AX$168*(1+Data_All!AX49%),AX209*(1+Data_All!AX49%)),"")</f>
        <v/>
      </c>
      <c r="AY210" s="427" t="str">
        <f>IF(AND($A210&gt;=SYear_O,$A210&lt;=EYear_O,AY$3&gt;0),IF($A210=SYear_O,AY$168*(1+Data_All!AY49%),AY209*(1+Data_All!AY49%)),"")</f>
        <v/>
      </c>
      <c r="AZ210" s="427" t="str">
        <f>IF(AND($A210&gt;=SYear_O,$A210&lt;=EYear_O,AZ$3&gt;0),IF($A210=SYear_O,AZ$168*(1+Data_All!AZ49%),AZ209*(1+Data_All!AZ49%)),"")</f>
        <v/>
      </c>
      <c r="BA210" s="427" t="str">
        <f>IF(AND($A210&gt;=SYear_O,$A210&lt;=EYear_O,BA$3&gt;0),IF($A210=SYear_O,BA$168*(1+Data_All!BA49%),BA209*(1+Data_All!BA49%)),"")</f>
        <v/>
      </c>
      <c r="BB210" s="427" t="str">
        <f>IF(AND($A210&gt;=SYear_O,$A210&lt;=EYear_O,BB$3&gt;0),IF($A210=SYear_O,BB$168*(1+Data_All!BB49%),BB209*(1+Data_All!BB49%)),"")</f>
        <v/>
      </c>
      <c r="BC210" s="427" t="str">
        <f>IF(AND($A210&gt;=SYear_O,$A210&lt;=EYear_O,BC$3&gt;0),IF($A210=SYear_O,BC$168*(1+Data_All!BC49%),BC209*(1+Data_All!BC49%)),"")</f>
        <v/>
      </c>
      <c r="BD210" s="427" t="str">
        <f>IF(AND($A210&gt;=SYear_O,$A210&lt;=EYear_O,BD$3&gt;0),IF($A210=SYear_O,BD$168*(1+Data_All!BD49%),BD209*(1+Data_All!BD49%)),"")</f>
        <v/>
      </c>
      <c r="BE210" s="427" t="str">
        <f>IF(AND($A210&gt;=SYear_O,$A210&lt;=EYear_O,BE$3&gt;0),IF($A210=SYear_O,BE$168*(1+Data_All!BE49%),BE209*(1+Data_All!BE49%)),"")</f>
        <v/>
      </c>
      <c r="BF210" s="427" t="str">
        <f>IF(AND($A210&gt;=SYear_O,$A210&lt;=EYear_O,BF$3&gt;0),IF($A210=SYear_O,BF$168*(1+Data_All!BF49%),BF209*(1+Data_All!BF49%)),"")</f>
        <v/>
      </c>
      <c r="BG210" s="427" t="str">
        <f>IF(AND($A210&gt;=SYear_O,$A210&lt;=EYear_O,BG$3&gt;0),IF($A210=SYear_O,BG$168*(1+Data_All!BG49%),BG209*(1+Data_All!BG49%)),"")</f>
        <v/>
      </c>
      <c r="BH210" s="427" t="str">
        <f>IF(AND($A210&gt;=SYear_O,$A210&lt;=EYear_O,BH$3&gt;0),IF($A210=SYear_O,BH$168*(1+Data_All!BH49%),BH209*(1+Data_All!BH49%)),"")</f>
        <v/>
      </c>
      <c r="BI210" s="427" t="str">
        <f>IF(AND($A210&gt;=SYear_O,$A210&lt;=EYear_O,BI$3&gt;0),IF($A210=SYear_O,BI$168*(1+Data_All!BI49%),BI209*(1+Data_All!BI49%)),"")</f>
        <v/>
      </c>
      <c r="BJ210" s="427" t="str">
        <f>IF(AND($A210&gt;=SYear_O,$A210&lt;=EYear_O,BJ$3&gt;0),IF($A210=SYear_O,BJ$168*(1+Data_All!BJ49%),BJ209*(1+Data_All!BJ49%)),"")</f>
        <v/>
      </c>
      <c r="BK210" s="427" t="str">
        <f>IF(AND($A210&gt;=SYear_O,$A210&lt;=EYear_O,BK$3&gt;0),IF($A210=SYear_O,BK$168*(1+Data_All!BK49%),BK209*(1+Data_All!BK49%)),"")</f>
        <v/>
      </c>
      <c r="BL210" s="427" t="str">
        <f>IF(AND($A210&gt;=SYear_O,$A210&lt;=EYear_O,BL$3&gt;0),IF($A210=SYear_O,BL$168*(1+Data_All!BL49%),BL209*(1+Data_All!BL49%)),"")</f>
        <v/>
      </c>
      <c r="BM210" s="427" t="str">
        <f>IF(AND($A210&gt;=SYear_O,$A210&lt;=EYear_O,BM$3&gt;0),IF($A210=SYear_O,BM$168*(1+Data_All!BM49%),BM209*(1+Data_All!BM49%)),"")</f>
        <v/>
      </c>
      <c r="BN210" s="427" t="str">
        <f>IF(AND($A210&gt;=SYear_O,$A210&lt;=EYear_O,BN$3&gt;0),IF($A210=SYear_O,BN$168*(1+Data_All!BN49%),BN209*(1+Data_All!BN49%)),"")</f>
        <v/>
      </c>
      <c r="BO210" s="427" t="str">
        <f>IF(AND($A210&gt;=SYear_O,$A210&lt;=EYear_O,BO$3&gt;0),IF($A210=SYear_O,BO$168*(1+Data_All!BO49%),BO209*(1+Data_All!BO49%)),"")</f>
        <v/>
      </c>
      <c r="BP210" s="427" t="str">
        <f>IF(AND($A210&gt;=SYear_O,$A210&lt;=EYear_O,BP$3&gt;0),IF($A210=SYear_O,BP$168*(1+Data_All!BP49%),BP209*(1+Data_All!BP49%)),"")</f>
        <v/>
      </c>
      <c r="BQ210" s="427" t="str">
        <f>IF(AND($A210&gt;=SYear_O,$A210&lt;=EYear_O,BQ$3&gt;0),IF($A210=SYear_O,BQ$168*(1+Data_All!BQ49%),BQ209*(1+Data_All!BQ49%)),"")</f>
        <v/>
      </c>
      <c r="BR210" s="427" t="str">
        <f>IF(AND($A210&gt;=SYear_O,$A210&lt;=EYear_O,BR$3&gt;0),IF($A210=SYear_O,BR$168*(1+Data_All!BR49%),BR209*(1+Data_All!BR49%)),"")</f>
        <v/>
      </c>
      <c r="BS210" s="427" t="str">
        <f>IF(AND($A210&gt;=SYear_O,$A210&lt;=EYear_O,BS$3&gt;0),IF($A210=SYear_O,BS$168*(1+Data_All!BS49%),BS209*(1+Data_All!BS49%)),"")</f>
        <v/>
      </c>
      <c r="BT210" s="427" t="str">
        <f>IF(AND($A210&gt;=SYear_O,$A210&lt;=EYear_O,BT$3&gt;0),IF($A210=SYear_O,BT$168*(1+Data_All!BT49%),BT209*(1+Data_All!BT49%)),"")</f>
        <v/>
      </c>
      <c r="BU210" s="427" t="str">
        <f>IF(AND($A210&gt;=SYear_O,$A210&lt;=EYear_O,BU$3&gt;0),IF($A210=SYear_O,BU$168*(1+Data_All!BU49%),BU209*(1+Data_All!BU49%)),"")</f>
        <v/>
      </c>
      <c r="BV210" s="427" t="str">
        <f>IF(AND($A210&gt;=SYear_O,$A210&lt;=EYear_O,BV$3&gt;0),IF($A210=SYear_O,BV$168*(1+Data_All!BV49%),BV209*(1+Data_All!BV49%)),"")</f>
        <v/>
      </c>
      <c r="BW210" s="427" t="str">
        <f>IF(AND($A210&gt;=SYear_O,$A210&lt;=EYear_O,BW$3&gt;0),IF($A210=SYear_O,BW$168*(1+Data_All!BW49%),BW209*(1+Data_All!BW49%)),"")</f>
        <v/>
      </c>
      <c r="BX210" s="427">
        <f>IF(AND($A210&gt;=SYear_O,$A210&lt;=EYear_O,BX$3&gt;0),IF($A210=SYear_O,BX$168*(1+Data_All!BX49%),BX209*(1+Data_All!BX49%)),"")</f>
        <v>95334.335541446068</v>
      </c>
      <c r="BY210" s="427">
        <f>IF(AND($A210&gt;=SYear_O,$A210&lt;=EYear_O,BY$3&gt;0),IF($A210=SYear_O,BY$168*(1+Data_All!BY49%),BY209*(1+Data_All!BY49%)),"")</f>
        <v>19332.956836227982</v>
      </c>
      <c r="BZ210" s="427" t="str">
        <f>IF(AND($A210&gt;=SYear_O,$A210&lt;=EYear_O,BZ$3&gt;0),IF($A210=SYear_O,BZ$168*(1+Data_All!BZ49%),BZ209*(1+Data_All!BZ49%)),"")</f>
        <v/>
      </c>
      <c r="CA210" s="565">
        <f t="shared" si="108"/>
        <v>6.040614479170233</v>
      </c>
      <c r="CB210" s="427">
        <f t="shared" si="109"/>
        <v>114667.29237767405</v>
      </c>
      <c r="CC210" s="565">
        <f>IF(AND($A210&gt;=SYear_O,$A210&lt;=EYear_O),(CA210-Data_All!CA49)/(1+Data_All!CA49%),"")</f>
        <v>-1.1657650147129253</v>
      </c>
      <c r="CD210" s="436">
        <f t="shared" si="110"/>
        <v>145838.78845920041</v>
      </c>
      <c r="CE210" s="438">
        <f t="shared" si="111"/>
        <v>10.400236130090475</v>
      </c>
      <c r="CF210" s="438">
        <f>IF(AND($A210&gt;=SYear_O,$A210&lt;=EYear_O),MAX($CE$169:CE210),"")</f>
        <v>10.400236130090475</v>
      </c>
      <c r="CG210" s="209">
        <f t="shared" si="112"/>
        <v>0</v>
      </c>
      <c r="CN210" s="61">
        <f t="shared" si="113"/>
        <v>6.0406144791702365E-2</v>
      </c>
      <c r="CO210" s="61">
        <f t="shared" si="114"/>
        <v>-2.0053128507060425E-3</v>
      </c>
      <c r="CP210" s="61">
        <f t="shared" si="115"/>
        <v>6.0129781125846327E-2</v>
      </c>
      <c r="CQ210" s="61">
        <f t="shared" si="116"/>
        <v>4.0244460092042855E-2</v>
      </c>
      <c r="CR210" s="61">
        <f t="shared" si="117"/>
        <v>8.1370697588643459E-2</v>
      </c>
      <c r="CU210" s="61">
        <f t="shared" si="118"/>
        <v>-1.1657650147129384E-2</v>
      </c>
      <c r="CV210" s="61">
        <f t="shared" si="119"/>
        <v>-3.4894361232281179E-2</v>
      </c>
      <c r="CW210" s="61">
        <f t="shared" si="120"/>
        <v>8.9139141329233063E-3</v>
      </c>
      <c r="CX210" s="61">
        <f t="shared" si="121"/>
        <v>-2.1833318672482949E-2</v>
      </c>
      <c r="CY210" s="61">
        <f t="shared" si="122"/>
        <v>3.5498506558872656E-2</v>
      </c>
    </row>
    <row r="211" spans="1:103">
      <c r="A211" s="204">
        <f t="shared" si="107"/>
        <v>1913</v>
      </c>
      <c r="B211" s="427" t="str">
        <f>IF(AND($A211&gt;=SYear_O,$A211&lt;=EYear_O,B$3&gt;0),IF($A211=SYear_O,B$168*(1+Data_All!B50%),B210*(1+Data_All!B50%)),"")</f>
        <v/>
      </c>
      <c r="C211" s="427" t="str">
        <f>IF(AND($A211&gt;=SYear_O,$A211&lt;=EYear_O,C$3&gt;0),IF($A211=SYear_O,C$168*(1+Data_All!C50%),C210*(1+Data_All!C50%)),"")</f>
        <v/>
      </c>
      <c r="D211" s="427" t="str">
        <f>IF(AND($A211&gt;=SYear_O,$A211&lt;=EYear_O,D$3&gt;0),IF($A211=SYear_O,D$168*(1+Data_All!D50%),D210*(1+Data_All!D50%)),"")</f>
        <v/>
      </c>
      <c r="E211" s="427" t="str">
        <f>IF(AND($A211&gt;=SYear_O,$A211&lt;=EYear_O,E$3&gt;0),IF($A211=SYear_O,E$168*(1+Data_All!E50%),E210*(1+Data_All!E50%)),"")</f>
        <v/>
      </c>
      <c r="F211" s="427" t="str">
        <f>IF(AND($A211&gt;=SYear_O,$A211&lt;=EYear_O,F$3&gt;0),IF($A211=SYear_O,F$168*(1+Data_All!F50%),F210*(1+Data_All!F50%)),"")</f>
        <v/>
      </c>
      <c r="G211" s="427" t="str">
        <f>IF(AND($A211&gt;=SYear_O,$A211&lt;=EYear_O,G$3&gt;0),IF($A211=SYear_O,G$168*(1+Data_All!G50%),G210*(1+Data_All!G50%)),"")</f>
        <v/>
      </c>
      <c r="H211" s="427" t="str">
        <f>IF(AND($A211&gt;=SYear_O,$A211&lt;=EYear_O,H$3&gt;0),IF($A211=SYear_O,H$168*(1+Data_All!H50%),H210*(1+Data_All!H50%)),"")</f>
        <v/>
      </c>
      <c r="I211" s="427" t="str">
        <f>IF(AND($A211&gt;=SYear_O,$A211&lt;=EYear_O,I$3&gt;0),IF($A211=SYear_O,I$168*(1+Data_All!I50%),I210*(1+Data_All!I50%)),"")</f>
        <v/>
      </c>
      <c r="J211" s="427" t="str">
        <f>IF(AND($A211&gt;=SYear_O,$A211&lt;=EYear_O,J$3&gt;0),IF($A211=SYear_O,J$168*(1+Data_All!J50%),J210*(1+Data_All!J50%)),"")</f>
        <v/>
      </c>
      <c r="K211" s="427" t="str">
        <f>IF(AND($A211&gt;=SYear_O,$A211&lt;=EYear_O,K$3&gt;0),IF($A211=SYear_O,K$168*(1+Data_All!K50%),K210*(1+Data_All!K50%)),"")</f>
        <v/>
      </c>
      <c r="L211" s="427" t="str">
        <f>IF(AND($A211&gt;=SYear_O,$A211&lt;=EYear_O,L$3&gt;0),IF($A211=SYear_O,L$168*(1+Data_All!L50%),L210*(1+Data_All!L50%)),"")</f>
        <v/>
      </c>
      <c r="M211" s="427" t="str">
        <f>IF(AND($A211&gt;=SYear_O,$A211&lt;=EYear_O,M$3&gt;0),IF($A211=SYear_O,M$168*(1+Data_All!M50%),M210*(1+Data_All!M50%)),"")</f>
        <v/>
      </c>
      <c r="N211" s="427" t="str">
        <f>IF(AND($A211&gt;=SYear_O,$A211&lt;=EYear_O,N$3&gt;0),IF($A211=SYear_O,N$168*(1+Data_All!N50%),N210*(1+Data_All!N50%)),"")</f>
        <v/>
      </c>
      <c r="O211" s="427" t="str">
        <f>IF(AND($A211&gt;=SYear_O,$A211&lt;=EYear_O,O$3&gt;0),IF($A211=SYear_O,O$168*(1+Data_All!O50%),O210*(1+Data_All!O50%)),"")</f>
        <v/>
      </c>
      <c r="P211" s="427" t="str">
        <f>IF(AND($A211&gt;=SYear_O,$A211&lt;=EYear_O,P$3&gt;0),IF($A211=SYear_O,P$168*(1+Data_All!P50%),P210*(1+Data_All!P50%)),"")</f>
        <v/>
      </c>
      <c r="Q211" s="427" t="str">
        <f>IF(AND($A211&gt;=SYear_O,$A211&lt;=EYear_O,Q$3&gt;0),IF($A211=SYear_O,Q$168*(1+Data_All!Q50%),Q210*(1+Data_All!Q50%)),"")</f>
        <v/>
      </c>
      <c r="R211" s="427" t="str">
        <f>IF(AND($A211&gt;=SYear_O,$A211&lt;=EYear_O,R$3&gt;0),IF($A211=SYear_O,R$168*(1+Data_All!R50%),R210*(1+Data_All!R50%)),"")</f>
        <v/>
      </c>
      <c r="S211" s="427" t="str">
        <f>IF(AND($A211&gt;=SYear_O,$A211&lt;=EYear_O,S$3&gt;0),IF($A211=SYear_O,S$168*(1+Data_All!S50%),S210*(1+Data_All!S50%)),"")</f>
        <v/>
      </c>
      <c r="T211" s="427" t="str">
        <f>IF(AND($A211&gt;=SYear_O,$A211&lt;=EYear_O,T$3&gt;0),IF($A211=SYear_O,T$168*(1+Data_All!T50%),T210*(1+Data_All!T50%)),"")</f>
        <v/>
      </c>
      <c r="U211" s="427" t="str">
        <f>IF(AND($A211&gt;=SYear_O,$A211&lt;=EYear_O,U$3&gt;0),IF($A211=SYear_O,U$168*(1+Data_All!U50%),U210*(1+Data_All!U50%)),"")</f>
        <v/>
      </c>
      <c r="V211" s="427" t="str">
        <f>IF(AND($A211&gt;=SYear_O,$A211&lt;=EYear_O,V$3&gt;0),IF($A211=SYear_O,V$168*(1+Data_All!V50%),V210*(1+Data_All!V50%)),"")</f>
        <v/>
      </c>
      <c r="W211" s="427" t="str">
        <f>IF(AND($A211&gt;=SYear_O,$A211&lt;=EYear_O,W$3&gt;0),IF($A211=SYear_O,W$168*(1+Data_All!W50%),W210*(1+Data_All!W50%)),"")</f>
        <v/>
      </c>
      <c r="X211" s="427" t="str">
        <f>IF(AND($A211&gt;=SYear_O,$A211&lt;=EYear_O,X$3&gt;0),IF($A211=SYear_O,X$168*(1+Data_All!X50%),X210*(1+Data_All!X50%)),"")</f>
        <v/>
      </c>
      <c r="Y211" s="427" t="str">
        <f>IF(AND($A211&gt;=SYear_O,$A211&lt;=EYear_O,Y$3&gt;0),IF($A211=SYear_O,Y$168*(1+Data_All!Y50%),Y210*(1+Data_All!Y50%)),"")</f>
        <v/>
      </c>
      <c r="Z211" s="427" t="str">
        <f>IF(AND($A211&gt;=SYear_O,$A211&lt;=EYear_O,Z$3&gt;0),IF($A211=SYear_O,Z$168*(1+Data_All!Z50%),Z210*(1+Data_All!Z50%)),"")</f>
        <v/>
      </c>
      <c r="AA211" s="427" t="str">
        <f>IF(AND($A211&gt;=SYear_O,$A211&lt;=EYear_O,AA$3&gt;0),IF($A211=SYear_O,AA$168*(1+Data_All!AA50%),AA210*(1+Data_All!AA50%)),"")</f>
        <v/>
      </c>
      <c r="AB211" s="427" t="str">
        <f>IF(AND($A211&gt;=SYear_O,$A211&lt;=EYear_O,AB$3&gt;0),IF($A211=SYear_O,AB$168*(1+Data_All!AB50%),AB210*(1+Data_All!AB50%)),"")</f>
        <v/>
      </c>
      <c r="AC211" s="427" t="str">
        <f>IF(AND($A211&gt;=SYear_O,$A211&lt;=EYear_O,AC$3&gt;0),IF($A211=SYear_O,AC$168*(1+Data_All!AC50%),AC210*(1+Data_All!AC50%)),"")</f>
        <v/>
      </c>
      <c r="AD211" s="427" t="str">
        <f>IF(AND($A211&gt;=SYear_O,$A211&lt;=EYear_O,AD$3&gt;0),IF($A211=SYear_O,AD$168*(1+Data_All!AD50%),AD210*(1+Data_All!AD50%)),"")</f>
        <v/>
      </c>
      <c r="AE211" s="427" t="str">
        <f>IF(AND($A211&gt;=SYear_O,$A211&lt;=EYear_O,AE$3&gt;0),IF($A211=SYear_O,AE$168*(1+Data_All!AE50%),AE210*(1+Data_All!AE50%)),"")</f>
        <v/>
      </c>
      <c r="AF211" s="427" t="str">
        <f>IF(AND($A211&gt;=SYear_O,$A211&lt;=EYear_O,AF$3&gt;0),IF($A211=SYear_O,AF$168*(1+Data_All!AF50%),AF210*(1+Data_All!AF50%)),"")</f>
        <v/>
      </c>
      <c r="AG211" s="427" t="str">
        <f>IF(AND($A211&gt;=SYear_O,$A211&lt;=EYear_O,AG$3&gt;0),IF($A211=SYear_O,AG$168*(1+Data_All!AG50%),AG210*(1+Data_All!AG50%)),"")</f>
        <v/>
      </c>
      <c r="AH211" s="427" t="str">
        <f>IF(AND($A211&gt;=SYear_O,$A211&lt;=EYear_O,AH$3&gt;0),IF($A211=SYear_O,AH$168*(1+Data_All!AH50%),AH210*(1+Data_All!AH50%)),"")</f>
        <v/>
      </c>
      <c r="AI211" s="427" t="str">
        <f>IF(AND($A211&gt;=SYear_O,$A211&lt;=EYear_O,AI$3&gt;0),IF($A211=SYear_O,AI$168*(1+Data_All!AI50%),AI210*(1+Data_All!AI50%)),"")</f>
        <v/>
      </c>
      <c r="AJ211" s="427" t="str">
        <f>IF(AND($A211&gt;=SYear_O,$A211&lt;=EYear_O,AJ$3&gt;0),IF($A211=SYear_O,AJ$168*(1+Data_All!AJ50%),AJ210*(1+Data_All!AJ50%)),"")</f>
        <v/>
      </c>
      <c r="AK211" s="427" t="str">
        <f>IF(AND($A211&gt;=SYear_O,$A211&lt;=EYear_O,AK$3&gt;0),IF($A211=SYear_O,AK$168*(1+Data_All!AK50%),AK210*(1+Data_All!AK50%)),"")</f>
        <v/>
      </c>
      <c r="AL211" s="427" t="str">
        <f>IF(AND($A211&gt;=SYear_O,$A211&lt;=EYear_O,AL$3&gt;0),IF($A211=SYear_O,AL$168*(1+Data_All!AL50%),AL210*(1+Data_All!AL50%)),"")</f>
        <v/>
      </c>
      <c r="AM211" s="427" t="str">
        <f>IF(AND($A211&gt;=SYear_O,$A211&lt;=EYear_O,AM$3&gt;0),IF($A211=SYear_O,AM$168*(1+Data_All!AM50%),AM210*(1+Data_All!AM50%)),"")</f>
        <v/>
      </c>
      <c r="AN211" s="427" t="str">
        <f>IF(AND($A211&gt;=SYear_O,$A211&lt;=EYear_O,AN$3&gt;0),IF($A211=SYear_O,AN$168*(1+Data_All!AN50%),AN210*(1+Data_All!AN50%)),"")</f>
        <v/>
      </c>
      <c r="AO211" s="427" t="str">
        <f>IF(AND($A211&gt;=SYear_O,$A211&lt;=EYear_O,AO$3&gt;0),IF($A211=SYear_O,AO$168*(1+Data_All!AO50%),AO210*(1+Data_All!AO50%)),"")</f>
        <v/>
      </c>
      <c r="AP211" s="427" t="str">
        <f>IF(AND($A211&gt;=SYear_O,$A211&lt;=EYear_O,AP$3&gt;0),IF($A211=SYear_O,AP$168*(1+Data_All!AP50%),AP210*(1+Data_All!AP50%)),"")</f>
        <v/>
      </c>
      <c r="AQ211" s="427" t="str">
        <f>IF(AND($A211&gt;=SYear_O,$A211&lt;=EYear_O,AQ$3&gt;0),IF($A211=SYear_O,AQ$168*(1+Data_All!AQ50%),AQ210*(1+Data_All!AQ50%)),"")</f>
        <v/>
      </c>
      <c r="AR211" s="427" t="str">
        <f>IF(AND($A211&gt;=SYear_O,$A211&lt;=EYear_O,AR$3&gt;0),IF($A211=SYear_O,AR$168*(1+Data_All!AR50%),AR210*(1+Data_All!AR50%)),"")</f>
        <v/>
      </c>
      <c r="AS211" s="427" t="str">
        <f>IF(AND($A211&gt;=SYear_O,$A211&lt;=EYear_O,AS$3&gt;0),IF($A211=SYear_O,AS$168*(1+Data_All!AS50%),AS210*(1+Data_All!AS50%)),"")</f>
        <v/>
      </c>
      <c r="AT211" s="427" t="str">
        <f>IF(AND($A211&gt;=SYear_O,$A211&lt;=EYear_O,AT$3&gt;0),IF($A211=SYear_O,AT$168*(1+Data_All!AT50%),AT210*(1+Data_All!AT50%)),"")</f>
        <v/>
      </c>
      <c r="AU211" s="427" t="str">
        <f>IF(AND($A211&gt;=SYear_O,$A211&lt;=EYear_O,AU$3&gt;0),IF($A211=SYear_O,AU$168*(1+Data_All!AU50%),AU210*(1+Data_All!AU50%)),"")</f>
        <v/>
      </c>
      <c r="AV211" s="427" t="str">
        <f>IF(AND($A211&gt;=SYear_O,$A211&lt;=EYear_O,AV$3&gt;0),IF($A211=SYear_O,AV$168*(1+Data_All!AV50%),AV210*(1+Data_All!AV50%)),"")</f>
        <v/>
      </c>
      <c r="AW211" s="427" t="str">
        <f>IF(AND($A211&gt;=SYear_O,$A211&lt;=EYear_O,AW$3&gt;0),IF($A211=SYear_O,AW$168*(1+Data_All!AW50%),AW210*(1+Data_All!AW50%)),"")</f>
        <v/>
      </c>
      <c r="AX211" s="427" t="str">
        <f>IF(AND($A211&gt;=SYear_O,$A211&lt;=EYear_O,AX$3&gt;0),IF($A211=SYear_O,AX$168*(1+Data_All!AX50%),AX210*(1+Data_All!AX50%)),"")</f>
        <v/>
      </c>
      <c r="AY211" s="427" t="str">
        <f>IF(AND($A211&gt;=SYear_O,$A211&lt;=EYear_O,AY$3&gt;0),IF($A211=SYear_O,AY$168*(1+Data_All!AY50%),AY210*(1+Data_All!AY50%)),"")</f>
        <v/>
      </c>
      <c r="AZ211" s="427" t="str">
        <f>IF(AND($A211&gt;=SYear_O,$A211&lt;=EYear_O,AZ$3&gt;0),IF($A211=SYear_O,AZ$168*(1+Data_All!AZ50%),AZ210*(1+Data_All!AZ50%)),"")</f>
        <v/>
      </c>
      <c r="BA211" s="427" t="str">
        <f>IF(AND($A211&gt;=SYear_O,$A211&lt;=EYear_O,BA$3&gt;0),IF($A211=SYear_O,BA$168*(1+Data_All!BA50%),BA210*(1+Data_All!BA50%)),"")</f>
        <v/>
      </c>
      <c r="BB211" s="427" t="str">
        <f>IF(AND($A211&gt;=SYear_O,$A211&lt;=EYear_O,BB$3&gt;0),IF($A211=SYear_O,BB$168*(1+Data_All!BB50%),BB210*(1+Data_All!BB50%)),"")</f>
        <v/>
      </c>
      <c r="BC211" s="427" t="str">
        <f>IF(AND($A211&gt;=SYear_O,$A211&lt;=EYear_O,BC$3&gt;0),IF($A211=SYear_O,BC$168*(1+Data_All!BC50%),BC210*(1+Data_All!BC50%)),"")</f>
        <v/>
      </c>
      <c r="BD211" s="427" t="str">
        <f>IF(AND($A211&gt;=SYear_O,$A211&lt;=EYear_O,BD$3&gt;0),IF($A211=SYear_O,BD$168*(1+Data_All!BD50%),BD210*(1+Data_All!BD50%)),"")</f>
        <v/>
      </c>
      <c r="BE211" s="427" t="str">
        <f>IF(AND($A211&gt;=SYear_O,$A211&lt;=EYear_O,BE$3&gt;0),IF($A211=SYear_O,BE$168*(1+Data_All!BE50%),BE210*(1+Data_All!BE50%)),"")</f>
        <v/>
      </c>
      <c r="BF211" s="427" t="str">
        <f>IF(AND($A211&gt;=SYear_O,$A211&lt;=EYear_O,BF$3&gt;0),IF($A211=SYear_O,BF$168*(1+Data_All!BF50%),BF210*(1+Data_All!BF50%)),"")</f>
        <v/>
      </c>
      <c r="BG211" s="427" t="str">
        <f>IF(AND($A211&gt;=SYear_O,$A211&lt;=EYear_O,BG$3&gt;0),IF($A211=SYear_O,BG$168*(1+Data_All!BG50%),BG210*(1+Data_All!BG50%)),"")</f>
        <v/>
      </c>
      <c r="BH211" s="427" t="str">
        <f>IF(AND($A211&gt;=SYear_O,$A211&lt;=EYear_O,BH$3&gt;0),IF($A211=SYear_O,BH$168*(1+Data_All!BH50%),BH210*(1+Data_All!BH50%)),"")</f>
        <v/>
      </c>
      <c r="BI211" s="427" t="str">
        <f>IF(AND($A211&gt;=SYear_O,$A211&lt;=EYear_O,BI$3&gt;0),IF($A211=SYear_O,BI$168*(1+Data_All!BI50%),BI210*(1+Data_All!BI50%)),"")</f>
        <v/>
      </c>
      <c r="BJ211" s="427" t="str">
        <f>IF(AND($A211&gt;=SYear_O,$A211&lt;=EYear_O,BJ$3&gt;0),IF($A211=SYear_O,BJ$168*(1+Data_All!BJ50%),BJ210*(1+Data_All!BJ50%)),"")</f>
        <v/>
      </c>
      <c r="BK211" s="427" t="str">
        <f>IF(AND($A211&gt;=SYear_O,$A211&lt;=EYear_O,BK$3&gt;0),IF($A211=SYear_O,BK$168*(1+Data_All!BK50%),BK210*(1+Data_All!BK50%)),"")</f>
        <v/>
      </c>
      <c r="BL211" s="427" t="str">
        <f>IF(AND($A211&gt;=SYear_O,$A211&lt;=EYear_O,BL$3&gt;0),IF($A211=SYear_O,BL$168*(1+Data_All!BL50%),BL210*(1+Data_All!BL50%)),"")</f>
        <v/>
      </c>
      <c r="BM211" s="427" t="str">
        <f>IF(AND($A211&gt;=SYear_O,$A211&lt;=EYear_O,BM$3&gt;0),IF($A211=SYear_O,BM$168*(1+Data_All!BM50%),BM210*(1+Data_All!BM50%)),"")</f>
        <v/>
      </c>
      <c r="BN211" s="427" t="str">
        <f>IF(AND($A211&gt;=SYear_O,$A211&lt;=EYear_O,BN$3&gt;0),IF($A211=SYear_O,BN$168*(1+Data_All!BN50%),BN210*(1+Data_All!BN50%)),"")</f>
        <v/>
      </c>
      <c r="BO211" s="427" t="str">
        <f>IF(AND($A211&gt;=SYear_O,$A211&lt;=EYear_O,BO$3&gt;0),IF($A211=SYear_O,BO$168*(1+Data_All!BO50%),BO210*(1+Data_All!BO50%)),"")</f>
        <v/>
      </c>
      <c r="BP211" s="427" t="str">
        <f>IF(AND($A211&gt;=SYear_O,$A211&lt;=EYear_O,BP$3&gt;0),IF($A211=SYear_O,BP$168*(1+Data_All!BP50%),BP210*(1+Data_All!BP50%)),"")</f>
        <v/>
      </c>
      <c r="BQ211" s="427" t="str">
        <f>IF(AND($A211&gt;=SYear_O,$A211&lt;=EYear_O,BQ$3&gt;0),IF($A211=SYear_O,BQ$168*(1+Data_All!BQ50%),BQ210*(1+Data_All!BQ50%)),"")</f>
        <v/>
      </c>
      <c r="BR211" s="427" t="str">
        <f>IF(AND($A211&gt;=SYear_O,$A211&lt;=EYear_O,BR$3&gt;0),IF($A211=SYear_O,BR$168*(1+Data_All!BR50%),BR210*(1+Data_All!BR50%)),"")</f>
        <v/>
      </c>
      <c r="BS211" s="427" t="str">
        <f>IF(AND($A211&gt;=SYear_O,$A211&lt;=EYear_O,BS$3&gt;0),IF($A211=SYear_O,BS$168*(1+Data_All!BS50%),BS210*(1+Data_All!BS50%)),"")</f>
        <v/>
      </c>
      <c r="BT211" s="427" t="str">
        <f>IF(AND($A211&gt;=SYear_O,$A211&lt;=EYear_O,BT$3&gt;0),IF($A211=SYear_O,BT$168*(1+Data_All!BT50%),BT210*(1+Data_All!BT50%)),"")</f>
        <v/>
      </c>
      <c r="BU211" s="427" t="str">
        <f>IF(AND($A211&gt;=SYear_O,$A211&lt;=EYear_O,BU$3&gt;0),IF($A211=SYear_O,BU$168*(1+Data_All!BU50%),BU210*(1+Data_All!BU50%)),"")</f>
        <v/>
      </c>
      <c r="BV211" s="427" t="str">
        <f>IF(AND($A211&gt;=SYear_O,$A211&lt;=EYear_O,BV$3&gt;0),IF($A211=SYear_O,BV$168*(1+Data_All!BV50%),BV210*(1+Data_All!BV50%)),"")</f>
        <v/>
      </c>
      <c r="BW211" s="427" t="str">
        <f>IF(AND($A211&gt;=SYear_O,$A211&lt;=EYear_O,BW$3&gt;0),IF($A211=SYear_O,BW$168*(1+Data_All!BW50%),BW210*(1+Data_All!BW50%)),"")</f>
        <v/>
      </c>
      <c r="BX211" s="427">
        <f>IF(AND($A211&gt;=SYear_O,$A211&lt;=EYear_O,BX$3&gt;0),IF($A211=SYear_O,BX$168*(1+Data_All!BX50%),BX210*(1+Data_All!BX50%)),"")</f>
        <v>90721.383821698677</v>
      </c>
      <c r="BY211" s="427">
        <f>IF(AND($A211&gt;=SYear_O,$A211&lt;=EYear_O,BY$3&gt;0),IF($A211=SYear_O,BY$168*(1+Data_All!BY50%),BY210*(1+Data_All!BY50%)),"")</f>
        <v>20681.835114673228</v>
      </c>
      <c r="BZ211" s="427" t="str">
        <f>IF(AND($A211&gt;=SYear_O,$A211&lt;=EYear_O,BZ$3&gt;0),IF($A211=SYear_O,BZ$168*(1+Data_All!BZ50%),BZ210*(1+Data_All!BZ50%)),"")</f>
        <v/>
      </c>
      <c r="CA211" s="565">
        <f t="shared" si="108"/>
        <v>-2.846560142495929</v>
      </c>
      <c r="CB211" s="427">
        <f t="shared" si="109"/>
        <v>111403.21893637191</v>
      </c>
      <c r="CC211" s="565">
        <f>IF(AND($A211&gt;=SYear_O,$A211&lt;=EYear_O),(CA211-Data_All!CA50)/(1+Data_All!CA50%),"")</f>
        <v>-4.789628939646013</v>
      </c>
      <c r="CD211" s="436">
        <f t="shared" si="110"/>
        <v>138853.65164192941</v>
      </c>
      <c r="CE211" s="438">
        <f t="shared" si="111"/>
        <v>10.104187153685858</v>
      </c>
      <c r="CF211" s="438">
        <f>IF(AND($A211&gt;=SYear_O,$A211&lt;=EYear_O),MAX($CE$169:CE211),"")</f>
        <v>10.400236130090475</v>
      </c>
      <c r="CG211" s="209">
        <f t="shared" si="112"/>
        <v>2.8465601424959242E-2</v>
      </c>
      <c r="CN211" s="61">
        <f t="shared" si="113"/>
        <v>-2.8465601424959242E-2</v>
      </c>
      <c r="CO211" s="61">
        <f t="shared" si="114"/>
        <v>5.4990837593703823E-2</v>
      </c>
      <c r="CP211" s="61">
        <f t="shared" si="115"/>
        <v>1.5278332734176114E-2</v>
      </c>
      <c r="CQ211" s="61">
        <f t="shared" si="116"/>
        <v>5.6890108321416166E-2</v>
      </c>
      <c r="CR211" s="61">
        <f t="shared" si="117"/>
        <v>9.7833095549870297E-2</v>
      </c>
      <c r="CU211" s="61">
        <f t="shared" si="118"/>
        <v>-4.7896289396460179E-2</v>
      </c>
      <c r="CV211" s="61">
        <f t="shared" si="119"/>
        <v>3.429938554302292E-2</v>
      </c>
      <c r="CW211" s="61">
        <f t="shared" si="120"/>
        <v>-5.4623666676943627E-2</v>
      </c>
      <c r="CX211" s="61">
        <f t="shared" si="121"/>
        <v>1.4321102646686068E-3</v>
      </c>
      <c r="CY211" s="61">
        <f t="shared" si="122"/>
        <v>5.7016217210842823E-2</v>
      </c>
    </row>
    <row r="212" spans="1:103">
      <c r="A212" s="204">
        <f t="shared" si="107"/>
        <v>1914</v>
      </c>
      <c r="B212" s="427" t="str">
        <f>IF(AND($A212&gt;=SYear_O,$A212&lt;=EYear_O,B$3&gt;0),IF($A212=SYear_O,B$168*(1+Data_All!B51%),B211*(1+Data_All!B51%)),"")</f>
        <v/>
      </c>
      <c r="C212" s="427" t="str">
        <f>IF(AND($A212&gt;=SYear_O,$A212&lt;=EYear_O,C$3&gt;0),IF($A212=SYear_O,C$168*(1+Data_All!C51%),C211*(1+Data_All!C51%)),"")</f>
        <v/>
      </c>
      <c r="D212" s="427" t="str">
        <f>IF(AND($A212&gt;=SYear_O,$A212&lt;=EYear_O,D$3&gt;0),IF($A212=SYear_O,D$168*(1+Data_All!D51%),D211*(1+Data_All!D51%)),"")</f>
        <v/>
      </c>
      <c r="E212" s="427" t="str">
        <f>IF(AND($A212&gt;=SYear_O,$A212&lt;=EYear_O,E$3&gt;0),IF($A212=SYear_O,E$168*(1+Data_All!E51%),E211*(1+Data_All!E51%)),"")</f>
        <v/>
      </c>
      <c r="F212" s="427" t="str">
        <f>IF(AND($A212&gt;=SYear_O,$A212&lt;=EYear_O,F$3&gt;0),IF($A212=SYear_O,F$168*(1+Data_All!F51%),F211*(1+Data_All!F51%)),"")</f>
        <v/>
      </c>
      <c r="G212" s="427" t="str">
        <f>IF(AND($A212&gt;=SYear_O,$A212&lt;=EYear_O,G$3&gt;0),IF($A212=SYear_O,G$168*(1+Data_All!G51%),G211*(1+Data_All!G51%)),"")</f>
        <v/>
      </c>
      <c r="H212" s="427" t="str">
        <f>IF(AND($A212&gt;=SYear_O,$A212&lt;=EYear_O,H$3&gt;0),IF($A212=SYear_O,H$168*(1+Data_All!H51%),H211*(1+Data_All!H51%)),"")</f>
        <v/>
      </c>
      <c r="I212" s="427" t="str">
        <f>IF(AND($A212&gt;=SYear_O,$A212&lt;=EYear_O,I$3&gt;0),IF($A212=SYear_O,I$168*(1+Data_All!I51%),I211*(1+Data_All!I51%)),"")</f>
        <v/>
      </c>
      <c r="J212" s="427" t="str">
        <f>IF(AND($A212&gt;=SYear_O,$A212&lt;=EYear_O,J$3&gt;0),IF($A212=SYear_O,J$168*(1+Data_All!J51%),J211*(1+Data_All!J51%)),"")</f>
        <v/>
      </c>
      <c r="K212" s="427" t="str">
        <f>IF(AND($A212&gt;=SYear_O,$A212&lt;=EYear_O,K$3&gt;0),IF($A212=SYear_O,K$168*(1+Data_All!K51%),K211*(1+Data_All!K51%)),"")</f>
        <v/>
      </c>
      <c r="L212" s="427" t="str">
        <f>IF(AND($A212&gt;=SYear_O,$A212&lt;=EYear_O,L$3&gt;0),IF($A212=SYear_O,L$168*(1+Data_All!L51%),L211*(1+Data_All!L51%)),"")</f>
        <v/>
      </c>
      <c r="M212" s="427" t="str">
        <f>IF(AND($A212&gt;=SYear_O,$A212&lt;=EYear_O,M$3&gt;0),IF($A212=SYear_O,M$168*(1+Data_All!M51%),M211*(1+Data_All!M51%)),"")</f>
        <v/>
      </c>
      <c r="N212" s="427" t="str">
        <f>IF(AND($A212&gt;=SYear_O,$A212&lt;=EYear_O,N$3&gt;0),IF($A212=SYear_O,N$168*(1+Data_All!N51%),N211*(1+Data_All!N51%)),"")</f>
        <v/>
      </c>
      <c r="O212" s="427" t="str">
        <f>IF(AND($A212&gt;=SYear_O,$A212&lt;=EYear_O,O$3&gt;0),IF($A212=SYear_O,O$168*(1+Data_All!O51%),O211*(1+Data_All!O51%)),"")</f>
        <v/>
      </c>
      <c r="P212" s="427" t="str">
        <f>IF(AND($A212&gt;=SYear_O,$A212&lt;=EYear_O,P$3&gt;0),IF($A212=SYear_O,P$168*(1+Data_All!P51%),P211*(1+Data_All!P51%)),"")</f>
        <v/>
      </c>
      <c r="Q212" s="427" t="str">
        <f>IF(AND($A212&gt;=SYear_O,$A212&lt;=EYear_O,Q$3&gt;0),IF($A212=SYear_O,Q$168*(1+Data_All!Q51%),Q211*(1+Data_All!Q51%)),"")</f>
        <v/>
      </c>
      <c r="R212" s="427" t="str">
        <f>IF(AND($A212&gt;=SYear_O,$A212&lt;=EYear_O,R$3&gt;0),IF($A212=SYear_O,R$168*(1+Data_All!R51%),R211*(1+Data_All!R51%)),"")</f>
        <v/>
      </c>
      <c r="S212" s="427" t="str">
        <f>IF(AND($A212&gt;=SYear_O,$A212&lt;=EYear_O,S$3&gt;0),IF($A212=SYear_O,S$168*(1+Data_All!S51%),S211*(1+Data_All!S51%)),"")</f>
        <v/>
      </c>
      <c r="T212" s="427" t="str">
        <f>IF(AND($A212&gt;=SYear_O,$A212&lt;=EYear_O,T$3&gt;0),IF($A212=SYear_O,T$168*(1+Data_All!T51%),T211*(1+Data_All!T51%)),"")</f>
        <v/>
      </c>
      <c r="U212" s="427" t="str">
        <f>IF(AND($A212&gt;=SYear_O,$A212&lt;=EYear_O,U$3&gt;0),IF($A212=SYear_O,U$168*(1+Data_All!U51%),U211*(1+Data_All!U51%)),"")</f>
        <v/>
      </c>
      <c r="V212" s="427" t="str">
        <f>IF(AND($A212&gt;=SYear_O,$A212&lt;=EYear_O,V$3&gt;0),IF($A212=SYear_O,V$168*(1+Data_All!V51%),V211*(1+Data_All!V51%)),"")</f>
        <v/>
      </c>
      <c r="W212" s="427" t="str">
        <f>IF(AND($A212&gt;=SYear_O,$A212&lt;=EYear_O,W$3&gt;0),IF($A212=SYear_O,W$168*(1+Data_All!W51%),W211*(1+Data_All!W51%)),"")</f>
        <v/>
      </c>
      <c r="X212" s="427" t="str">
        <f>IF(AND($A212&gt;=SYear_O,$A212&lt;=EYear_O,X$3&gt;0),IF($A212=SYear_O,X$168*(1+Data_All!X51%),X211*(1+Data_All!X51%)),"")</f>
        <v/>
      </c>
      <c r="Y212" s="427" t="str">
        <f>IF(AND($A212&gt;=SYear_O,$A212&lt;=EYear_O,Y$3&gt;0),IF($A212=SYear_O,Y$168*(1+Data_All!Y51%),Y211*(1+Data_All!Y51%)),"")</f>
        <v/>
      </c>
      <c r="Z212" s="427" t="str">
        <f>IF(AND($A212&gt;=SYear_O,$A212&lt;=EYear_O,Z$3&gt;0),IF($A212=SYear_O,Z$168*(1+Data_All!Z51%),Z211*(1+Data_All!Z51%)),"")</f>
        <v/>
      </c>
      <c r="AA212" s="427" t="str">
        <f>IF(AND($A212&gt;=SYear_O,$A212&lt;=EYear_O,AA$3&gt;0),IF($A212=SYear_O,AA$168*(1+Data_All!AA51%),AA211*(1+Data_All!AA51%)),"")</f>
        <v/>
      </c>
      <c r="AB212" s="427" t="str">
        <f>IF(AND($A212&gt;=SYear_O,$A212&lt;=EYear_O,AB$3&gt;0),IF($A212=SYear_O,AB$168*(1+Data_All!AB51%),AB211*(1+Data_All!AB51%)),"")</f>
        <v/>
      </c>
      <c r="AC212" s="427" t="str">
        <f>IF(AND($A212&gt;=SYear_O,$A212&lt;=EYear_O,AC$3&gt;0),IF($A212=SYear_O,AC$168*(1+Data_All!AC51%),AC211*(1+Data_All!AC51%)),"")</f>
        <v/>
      </c>
      <c r="AD212" s="427" t="str">
        <f>IF(AND($A212&gt;=SYear_O,$A212&lt;=EYear_O,AD$3&gt;0),IF($A212=SYear_O,AD$168*(1+Data_All!AD51%),AD211*(1+Data_All!AD51%)),"")</f>
        <v/>
      </c>
      <c r="AE212" s="427" t="str">
        <f>IF(AND($A212&gt;=SYear_O,$A212&lt;=EYear_O,AE$3&gt;0),IF($A212=SYear_O,AE$168*(1+Data_All!AE51%),AE211*(1+Data_All!AE51%)),"")</f>
        <v/>
      </c>
      <c r="AF212" s="427" t="str">
        <f>IF(AND($A212&gt;=SYear_O,$A212&lt;=EYear_O,AF$3&gt;0),IF($A212=SYear_O,AF$168*(1+Data_All!AF51%),AF211*(1+Data_All!AF51%)),"")</f>
        <v/>
      </c>
      <c r="AG212" s="427" t="str">
        <f>IF(AND($A212&gt;=SYear_O,$A212&lt;=EYear_O,AG$3&gt;0),IF($A212=SYear_O,AG$168*(1+Data_All!AG51%),AG211*(1+Data_All!AG51%)),"")</f>
        <v/>
      </c>
      <c r="AH212" s="427" t="str">
        <f>IF(AND($A212&gt;=SYear_O,$A212&lt;=EYear_O,AH$3&gt;0),IF($A212=SYear_O,AH$168*(1+Data_All!AH51%),AH211*(1+Data_All!AH51%)),"")</f>
        <v/>
      </c>
      <c r="AI212" s="427" t="str">
        <f>IF(AND($A212&gt;=SYear_O,$A212&lt;=EYear_O,AI$3&gt;0),IF($A212=SYear_O,AI$168*(1+Data_All!AI51%),AI211*(1+Data_All!AI51%)),"")</f>
        <v/>
      </c>
      <c r="AJ212" s="427" t="str">
        <f>IF(AND($A212&gt;=SYear_O,$A212&lt;=EYear_O,AJ$3&gt;0),IF($A212=SYear_O,AJ$168*(1+Data_All!AJ51%),AJ211*(1+Data_All!AJ51%)),"")</f>
        <v/>
      </c>
      <c r="AK212" s="427" t="str">
        <f>IF(AND($A212&gt;=SYear_O,$A212&lt;=EYear_O,AK$3&gt;0),IF($A212=SYear_O,AK$168*(1+Data_All!AK51%),AK211*(1+Data_All!AK51%)),"")</f>
        <v/>
      </c>
      <c r="AL212" s="427" t="str">
        <f>IF(AND($A212&gt;=SYear_O,$A212&lt;=EYear_O,AL$3&gt;0),IF($A212=SYear_O,AL$168*(1+Data_All!AL51%),AL211*(1+Data_All!AL51%)),"")</f>
        <v/>
      </c>
      <c r="AM212" s="427" t="str">
        <f>IF(AND($A212&gt;=SYear_O,$A212&lt;=EYear_O,AM$3&gt;0),IF($A212=SYear_O,AM$168*(1+Data_All!AM51%),AM211*(1+Data_All!AM51%)),"")</f>
        <v/>
      </c>
      <c r="AN212" s="427" t="str">
        <f>IF(AND($A212&gt;=SYear_O,$A212&lt;=EYear_O,AN$3&gt;0),IF($A212=SYear_O,AN$168*(1+Data_All!AN51%),AN211*(1+Data_All!AN51%)),"")</f>
        <v/>
      </c>
      <c r="AO212" s="427" t="str">
        <f>IF(AND($A212&gt;=SYear_O,$A212&lt;=EYear_O,AO$3&gt;0),IF($A212=SYear_O,AO$168*(1+Data_All!AO51%),AO211*(1+Data_All!AO51%)),"")</f>
        <v/>
      </c>
      <c r="AP212" s="427" t="str">
        <f>IF(AND($A212&gt;=SYear_O,$A212&lt;=EYear_O,AP$3&gt;0),IF($A212=SYear_O,AP$168*(1+Data_All!AP51%),AP211*(1+Data_All!AP51%)),"")</f>
        <v/>
      </c>
      <c r="AQ212" s="427" t="str">
        <f>IF(AND($A212&gt;=SYear_O,$A212&lt;=EYear_O,AQ$3&gt;0),IF($A212=SYear_O,AQ$168*(1+Data_All!AQ51%),AQ211*(1+Data_All!AQ51%)),"")</f>
        <v/>
      </c>
      <c r="AR212" s="427" t="str">
        <f>IF(AND($A212&gt;=SYear_O,$A212&lt;=EYear_O,AR$3&gt;0),IF($A212=SYear_O,AR$168*(1+Data_All!AR51%),AR211*(1+Data_All!AR51%)),"")</f>
        <v/>
      </c>
      <c r="AS212" s="427" t="str">
        <f>IF(AND($A212&gt;=SYear_O,$A212&lt;=EYear_O,AS$3&gt;0),IF($A212=SYear_O,AS$168*(1+Data_All!AS51%),AS211*(1+Data_All!AS51%)),"")</f>
        <v/>
      </c>
      <c r="AT212" s="427" t="str">
        <f>IF(AND($A212&gt;=SYear_O,$A212&lt;=EYear_O,AT$3&gt;0),IF($A212=SYear_O,AT$168*(1+Data_All!AT51%),AT211*(1+Data_All!AT51%)),"")</f>
        <v/>
      </c>
      <c r="AU212" s="427" t="str">
        <f>IF(AND($A212&gt;=SYear_O,$A212&lt;=EYear_O,AU$3&gt;0),IF($A212=SYear_O,AU$168*(1+Data_All!AU51%),AU211*(1+Data_All!AU51%)),"")</f>
        <v/>
      </c>
      <c r="AV212" s="427" t="str">
        <f>IF(AND($A212&gt;=SYear_O,$A212&lt;=EYear_O,AV$3&gt;0),IF($A212=SYear_O,AV$168*(1+Data_All!AV51%),AV211*(1+Data_All!AV51%)),"")</f>
        <v/>
      </c>
      <c r="AW212" s="427" t="str">
        <f>IF(AND($A212&gt;=SYear_O,$A212&lt;=EYear_O,AW$3&gt;0),IF($A212=SYear_O,AW$168*(1+Data_All!AW51%),AW211*(1+Data_All!AW51%)),"")</f>
        <v/>
      </c>
      <c r="AX212" s="427" t="str">
        <f>IF(AND($A212&gt;=SYear_O,$A212&lt;=EYear_O,AX$3&gt;0),IF($A212=SYear_O,AX$168*(1+Data_All!AX51%),AX211*(1+Data_All!AX51%)),"")</f>
        <v/>
      </c>
      <c r="AY212" s="427" t="str">
        <f>IF(AND($A212&gt;=SYear_O,$A212&lt;=EYear_O,AY$3&gt;0),IF($A212=SYear_O,AY$168*(1+Data_All!AY51%),AY211*(1+Data_All!AY51%)),"")</f>
        <v/>
      </c>
      <c r="AZ212" s="427" t="str">
        <f>IF(AND($A212&gt;=SYear_O,$A212&lt;=EYear_O,AZ$3&gt;0),IF($A212=SYear_O,AZ$168*(1+Data_All!AZ51%),AZ211*(1+Data_All!AZ51%)),"")</f>
        <v/>
      </c>
      <c r="BA212" s="427" t="str">
        <f>IF(AND($A212&gt;=SYear_O,$A212&lt;=EYear_O,BA$3&gt;0),IF($A212=SYear_O,BA$168*(1+Data_All!BA51%),BA211*(1+Data_All!BA51%)),"")</f>
        <v/>
      </c>
      <c r="BB212" s="427" t="str">
        <f>IF(AND($A212&gt;=SYear_O,$A212&lt;=EYear_O,BB$3&gt;0),IF($A212=SYear_O,BB$168*(1+Data_All!BB51%),BB211*(1+Data_All!BB51%)),"")</f>
        <v/>
      </c>
      <c r="BC212" s="427" t="str">
        <f>IF(AND($A212&gt;=SYear_O,$A212&lt;=EYear_O,BC$3&gt;0),IF($A212=SYear_O,BC$168*(1+Data_All!BC51%),BC211*(1+Data_All!BC51%)),"")</f>
        <v/>
      </c>
      <c r="BD212" s="427" t="str">
        <f>IF(AND($A212&gt;=SYear_O,$A212&lt;=EYear_O,BD$3&gt;0),IF($A212=SYear_O,BD$168*(1+Data_All!BD51%),BD211*(1+Data_All!BD51%)),"")</f>
        <v/>
      </c>
      <c r="BE212" s="427" t="str">
        <f>IF(AND($A212&gt;=SYear_O,$A212&lt;=EYear_O,BE$3&gt;0),IF($A212=SYear_O,BE$168*(1+Data_All!BE51%),BE211*(1+Data_All!BE51%)),"")</f>
        <v/>
      </c>
      <c r="BF212" s="427" t="str">
        <f>IF(AND($A212&gt;=SYear_O,$A212&lt;=EYear_O,BF$3&gt;0),IF($A212=SYear_O,BF$168*(1+Data_All!BF51%),BF211*(1+Data_All!BF51%)),"")</f>
        <v/>
      </c>
      <c r="BG212" s="427" t="str">
        <f>IF(AND($A212&gt;=SYear_O,$A212&lt;=EYear_O,BG$3&gt;0),IF($A212=SYear_O,BG$168*(1+Data_All!BG51%),BG211*(1+Data_All!BG51%)),"")</f>
        <v/>
      </c>
      <c r="BH212" s="427" t="str">
        <f>IF(AND($A212&gt;=SYear_O,$A212&lt;=EYear_O,BH$3&gt;0),IF($A212=SYear_O,BH$168*(1+Data_All!BH51%),BH211*(1+Data_All!BH51%)),"")</f>
        <v/>
      </c>
      <c r="BI212" s="427" t="str">
        <f>IF(AND($A212&gt;=SYear_O,$A212&lt;=EYear_O,BI$3&gt;0),IF($A212=SYear_O,BI$168*(1+Data_All!BI51%),BI211*(1+Data_All!BI51%)),"")</f>
        <v/>
      </c>
      <c r="BJ212" s="427" t="str">
        <f>IF(AND($A212&gt;=SYear_O,$A212&lt;=EYear_O,BJ$3&gt;0),IF($A212=SYear_O,BJ$168*(1+Data_All!BJ51%),BJ211*(1+Data_All!BJ51%)),"")</f>
        <v/>
      </c>
      <c r="BK212" s="427" t="str">
        <f>IF(AND($A212&gt;=SYear_O,$A212&lt;=EYear_O,BK$3&gt;0),IF($A212=SYear_O,BK$168*(1+Data_All!BK51%),BK211*(1+Data_All!BK51%)),"")</f>
        <v/>
      </c>
      <c r="BL212" s="427" t="str">
        <f>IF(AND($A212&gt;=SYear_O,$A212&lt;=EYear_O,BL$3&gt;0),IF($A212=SYear_O,BL$168*(1+Data_All!BL51%),BL211*(1+Data_All!BL51%)),"")</f>
        <v/>
      </c>
      <c r="BM212" s="427" t="str">
        <f>IF(AND($A212&gt;=SYear_O,$A212&lt;=EYear_O,BM$3&gt;0),IF($A212=SYear_O,BM$168*(1+Data_All!BM51%),BM211*(1+Data_All!BM51%)),"")</f>
        <v/>
      </c>
      <c r="BN212" s="427" t="str">
        <f>IF(AND($A212&gt;=SYear_O,$A212&lt;=EYear_O,BN$3&gt;0),IF($A212=SYear_O,BN$168*(1+Data_All!BN51%),BN211*(1+Data_All!BN51%)),"")</f>
        <v/>
      </c>
      <c r="BO212" s="427" t="str">
        <f>IF(AND($A212&gt;=SYear_O,$A212&lt;=EYear_O,BO$3&gt;0),IF($A212=SYear_O,BO$168*(1+Data_All!BO51%),BO211*(1+Data_All!BO51%)),"")</f>
        <v/>
      </c>
      <c r="BP212" s="427" t="str">
        <f>IF(AND($A212&gt;=SYear_O,$A212&lt;=EYear_O,BP$3&gt;0),IF($A212=SYear_O,BP$168*(1+Data_All!BP51%),BP211*(1+Data_All!BP51%)),"")</f>
        <v/>
      </c>
      <c r="BQ212" s="427" t="str">
        <f>IF(AND($A212&gt;=SYear_O,$A212&lt;=EYear_O,BQ$3&gt;0),IF($A212=SYear_O,BQ$168*(1+Data_All!BQ51%),BQ211*(1+Data_All!BQ51%)),"")</f>
        <v/>
      </c>
      <c r="BR212" s="427" t="str">
        <f>IF(AND($A212&gt;=SYear_O,$A212&lt;=EYear_O,BR$3&gt;0),IF($A212=SYear_O,BR$168*(1+Data_All!BR51%),BR211*(1+Data_All!BR51%)),"")</f>
        <v/>
      </c>
      <c r="BS212" s="427" t="str">
        <f>IF(AND($A212&gt;=SYear_O,$A212&lt;=EYear_O,BS$3&gt;0),IF($A212=SYear_O,BS$168*(1+Data_All!BS51%),BS211*(1+Data_All!BS51%)),"")</f>
        <v/>
      </c>
      <c r="BT212" s="427" t="str">
        <f>IF(AND($A212&gt;=SYear_O,$A212&lt;=EYear_O,BT$3&gt;0),IF($A212=SYear_O,BT$168*(1+Data_All!BT51%),BT211*(1+Data_All!BT51%)),"")</f>
        <v/>
      </c>
      <c r="BU212" s="427" t="str">
        <f>IF(AND($A212&gt;=SYear_O,$A212&lt;=EYear_O,BU$3&gt;0),IF($A212=SYear_O,BU$168*(1+Data_All!BU51%),BU211*(1+Data_All!BU51%)),"")</f>
        <v/>
      </c>
      <c r="BV212" s="427" t="str">
        <f>IF(AND($A212&gt;=SYear_O,$A212&lt;=EYear_O,BV$3&gt;0),IF($A212=SYear_O,BV$168*(1+Data_All!BV51%),BV211*(1+Data_All!BV51%)),"")</f>
        <v/>
      </c>
      <c r="BW212" s="427" t="str">
        <f>IF(AND($A212&gt;=SYear_O,$A212&lt;=EYear_O,BW$3&gt;0),IF($A212=SYear_O,BW$168*(1+Data_All!BW51%),BW211*(1+Data_All!BW51%)),"")</f>
        <v/>
      </c>
      <c r="BX212" s="427">
        <f>IF(AND($A212&gt;=SYear_O,$A212&lt;=EYear_O,BX$3&gt;0),IF($A212=SYear_O,BX$168*(1+Data_All!BX51%),BX211*(1+Data_All!BX51%)),"")</f>
        <v>85627.112567672608</v>
      </c>
      <c r="BY212" s="427">
        <f>IF(AND($A212&gt;=SYear_O,$A212&lt;=EYear_O,BY$3&gt;0),IF($A212=SYear_O,BY$168*(1+Data_All!BY51%),BY211*(1+Data_All!BY51%)),"")</f>
        <v>21858.914324649762</v>
      </c>
      <c r="BZ212" s="427" t="str">
        <f>IF(AND($A212&gt;=SYear_O,$A212&lt;=EYear_O,BZ$3&gt;0),IF($A212=SYear_O,BZ$168*(1+Data_All!BZ51%),BZ211*(1+Data_All!BZ51%)),"")</f>
        <v/>
      </c>
      <c r="CA212" s="565">
        <f t="shared" si="108"/>
        <v>-3.5162287781709787</v>
      </c>
      <c r="CB212" s="427">
        <f t="shared" si="109"/>
        <v>107486.02689232238</v>
      </c>
      <c r="CC212" s="565">
        <f>IF(AND($A212&gt;=SYear_O,$A212&lt;=EYear_O),(CA212-Data_All!CA51)/(1+Data_All!CA51%),"")</f>
        <v>-4.4715136417534458</v>
      </c>
      <c r="CD212" s="436">
        <f t="shared" si="110"/>
        <v>132644.79166668773</v>
      </c>
      <c r="CE212" s="438">
        <f t="shared" si="111"/>
        <v>9.7489008171877014</v>
      </c>
      <c r="CF212" s="438">
        <f>IF(AND($A212&gt;=SYear_O,$A212&lt;=EYear_O),MAX($CE$169:CE212),"")</f>
        <v>10.400236130090475</v>
      </c>
      <c r="CG212" s="209">
        <f t="shared" si="112"/>
        <v>6.2626973537485142E-2</v>
      </c>
      <c r="CN212" s="61">
        <f t="shared" si="113"/>
        <v>-3.5162287781709822E-2</v>
      </c>
      <c r="CO212" s="61">
        <f t="shared" si="114"/>
        <v>9.132704738825681E-2</v>
      </c>
      <c r="CP212" s="61">
        <f t="shared" si="115"/>
        <v>4.939553432576349E-2</v>
      </c>
      <c r="CQ212" s="61">
        <f t="shared" si="116"/>
        <v>6.5466054760172865E-2</v>
      </c>
      <c r="CR212" s="61">
        <f t="shared" si="117"/>
        <v>0.12644116202167588</v>
      </c>
      <c r="CU212" s="61">
        <f t="shared" si="118"/>
        <v>-4.471513641753444E-2</v>
      </c>
      <c r="CV212" s="61">
        <f t="shared" si="119"/>
        <v>3.5681689854419441E-2</v>
      </c>
      <c r="CW212" s="61">
        <f t="shared" si="120"/>
        <v>-5.0614874998106019E-2</v>
      </c>
      <c r="CX212" s="61">
        <f t="shared" si="121"/>
        <v>8.6372604196960356E-3</v>
      </c>
      <c r="CY212" s="61">
        <f t="shared" si="122"/>
        <v>8.6864585520799009E-2</v>
      </c>
    </row>
    <row r="213" spans="1:103">
      <c r="A213" s="204">
        <f t="shared" si="107"/>
        <v>1915</v>
      </c>
      <c r="B213" s="427" t="str">
        <f>IF(AND($A213&gt;=SYear_O,$A213&lt;=EYear_O,B$3&gt;0),IF($A213=SYear_O,B$168*(1+Data_All!B52%),B212*(1+Data_All!B52%)),"")</f>
        <v/>
      </c>
      <c r="C213" s="427" t="str">
        <f>IF(AND($A213&gt;=SYear_O,$A213&lt;=EYear_O,C$3&gt;0),IF($A213=SYear_O,C$168*(1+Data_All!C52%),C212*(1+Data_All!C52%)),"")</f>
        <v/>
      </c>
      <c r="D213" s="427" t="str">
        <f>IF(AND($A213&gt;=SYear_O,$A213&lt;=EYear_O,D$3&gt;0),IF($A213=SYear_O,D$168*(1+Data_All!D52%),D212*(1+Data_All!D52%)),"")</f>
        <v/>
      </c>
      <c r="E213" s="427" t="str">
        <f>IF(AND($A213&gt;=SYear_O,$A213&lt;=EYear_O,E$3&gt;0),IF($A213=SYear_O,E$168*(1+Data_All!E52%),E212*(1+Data_All!E52%)),"")</f>
        <v/>
      </c>
      <c r="F213" s="427" t="str">
        <f>IF(AND($A213&gt;=SYear_O,$A213&lt;=EYear_O,F$3&gt;0),IF($A213=SYear_O,F$168*(1+Data_All!F52%),F212*(1+Data_All!F52%)),"")</f>
        <v/>
      </c>
      <c r="G213" s="427" t="str">
        <f>IF(AND($A213&gt;=SYear_O,$A213&lt;=EYear_O,G$3&gt;0),IF($A213=SYear_O,G$168*(1+Data_All!G52%),G212*(1+Data_All!G52%)),"")</f>
        <v/>
      </c>
      <c r="H213" s="427" t="str">
        <f>IF(AND($A213&gt;=SYear_O,$A213&lt;=EYear_O,H$3&gt;0),IF($A213=SYear_O,H$168*(1+Data_All!H52%),H212*(1+Data_All!H52%)),"")</f>
        <v/>
      </c>
      <c r="I213" s="427" t="str">
        <f>IF(AND($A213&gt;=SYear_O,$A213&lt;=EYear_O,I$3&gt;0),IF($A213=SYear_O,I$168*(1+Data_All!I52%),I212*(1+Data_All!I52%)),"")</f>
        <v/>
      </c>
      <c r="J213" s="427" t="str">
        <f>IF(AND($A213&gt;=SYear_O,$A213&lt;=EYear_O,J$3&gt;0),IF($A213=SYear_O,J$168*(1+Data_All!J52%),J212*(1+Data_All!J52%)),"")</f>
        <v/>
      </c>
      <c r="K213" s="427" t="str">
        <f>IF(AND($A213&gt;=SYear_O,$A213&lt;=EYear_O,K$3&gt;0),IF($A213=SYear_O,K$168*(1+Data_All!K52%),K212*(1+Data_All!K52%)),"")</f>
        <v/>
      </c>
      <c r="L213" s="427" t="str">
        <f>IF(AND($A213&gt;=SYear_O,$A213&lt;=EYear_O,L$3&gt;0),IF($A213=SYear_O,L$168*(1+Data_All!L52%),L212*(1+Data_All!L52%)),"")</f>
        <v/>
      </c>
      <c r="M213" s="427" t="str">
        <f>IF(AND($A213&gt;=SYear_O,$A213&lt;=EYear_O,M$3&gt;0),IF($A213=SYear_O,M$168*(1+Data_All!M52%),M212*(1+Data_All!M52%)),"")</f>
        <v/>
      </c>
      <c r="N213" s="427" t="str">
        <f>IF(AND($A213&gt;=SYear_O,$A213&lt;=EYear_O,N$3&gt;0),IF($A213=SYear_O,N$168*(1+Data_All!N52%),N212*(1+Data_All!N52%)),"")</f>
        <v/>
      </c>
      <c r="O213" s="427" t="str">
        <f>IF(AND($A213&gt;=SYear_O,$A213&lt;=EYear_O,O$3&gt;0),IF($A213=SYear_O,O$168*(1+Data_All!O52%),O212*(1+Data_All!O52%)),"")</f>
        <v/>
      </c>
      <c r="P213" s="427" t="str">
        <f>IF(AND($A213&gt;=SYear_O,$A213&lt;=EYear_O,P$3&gt;0),IF($A213=SYear_O,P$168*(1+Data_All!P52%),P212*(1+Data_All!P52%)),"")</f>
        <v/>
      </c>
      <c r="Q213" s="427" t="str">
        <f>IF(AND($A213&gt;=SYear_O,$A213&lt;=EYear_O,Q$3&gt;0),IF($A213=SYear_O,Q$168*(1+Data_All!Q52%),Q212*(1+Data_All!Q52%)),"")</f>
        <v/>
      </c>
      <c r="R213" s="427" t="str">
        <f>IF(AND($A213&gt;=SYear_O,$A213&lt;=EYear_O,R$3&gt;0),IF($A213=SYear_O,R$168*(1+Data_All!R52%),R212*(1+Data_All!R52%)),"")</f>
        <v/>
      </c>
      <c r="S213" s="427" t="str">
        <f>IF(AND($A213&gt;=SYear_O,$A213&lt;=EYear_O,S$3&gt;0),IF($A213=SYear_O,S$168*(1+Data_All!S52%),S212*(1+Data_All!S52%)),"")</f>
        <v/>
      </c>
      <c r="T213" s="427" t="str">
        <f>IF(AND($A213&gt;=SYear_O,$A213&lt;=EYear_O,T$3&gt;0),IF($A213=SYear_O,T$168*(1+Data_All!T52%),T212*(1+Data_All!T52%)),"")</f>
        <v/>
      </c>
      <c r="U213" s="427" t="str">
        <f>IF(AND($A213&gt;=SYear_O,$A213&lt;=EYear_O,U$3&gt;0),IF($A213=SYear_O,U$168*(1+Data_All!U52%),U212*(1+Data_All!U52%)),"")</f>
        <v/>
      </c>
      <c r="V213" s="427" t="str">
        <f>IF(AND($A213&gt;=SYear_O,$A213&lt;=EYear_O,V$3&gt;0),IF($A213=SYear_O,V$168*(1+Data_All!V52%),V212*(1+Data_All!V52%)),"")</f>
        <v/>
      </c>
      <c r="W213" s="427" t="str">
        <f>IF(AND($A213&gt;=SYear_O,$A213&lt;=EYear_O,W$3&gt;0),IF($A213=SYear_O,W$168*(1+Data_All!W52%),W212*(1+Data_All!W52%)),"")</f>
        <v/>
      </c>
      <c r="X213" s="427" t="str">
        <f>IF(AND($A213&gt;=SYear_O,$A213&lt;=EYear_O,X$3&gt;0),IF($A213=SYear_O,X$168*(1+Data_All!X52%),X212*(1+Data_All!X52%)),"")</f>
        <v/>
      </c>
      <c r="Y213" s="427" t="str">
        <f>IF(AND($A213&gt;=SYear_O,$A213&lt;=EYear_O,Y$3&gt;0),IF($A213=SYear_O,Y$168*(1+Data_All!Y52%),Y212*(1+Data_All!Y52%)),"")</f>
        <v/>
      </c>
      <c r="Z213" s="427" t="str">
        <f>IF(AND($A213&gt;=SYear_O,$A213&lt;=EYear_O,Z$3&gt;0),IF($A213=SYear_O,Z$168*(1+Data_All!Z52%),Z212*(1+Data_All!Z52%)),"")</f>
        <v/>
      </c>
      <c r="AA213" s="427" t="str">
        <f>IF(AND($A213&gt;=SYear_O,$A213&lt;=EYear_O,AA$3&gt;0),IF($A213=SYear_O,AA$168*(1+Data_All!AA52%),AA212*(1+Data_All!AA52%)),"")</f>
        <v/>
      </c>
      <c r="AB213" s="427" t="str">
        <f>IF(AND($A213&gt;=SYear_O,$A213&lt;=EYear_O,AB$3&gt;0),IF($A213=SYear_O,AB$168*(1+Data_All!AB52%),AB212*(1+Data_All!AB52%)),"")</f>
        <v/>
      </c>
      <c r="AC213" s="427" t="str">
        <f>IF(AND($A213&gt;=SYear_O,$A213&lt;=EYear_O,AC$3&gt;0),IF($A213=SYear_O,AC$168*(1+Data_All!AC52%),AC212*(1+Data_All!AC52%)),"")</f>
        <v/>
      </c>
      <c r="AD213" s="427" t="str">
        <f>IF(AND($A213&gt;=SYear_O,$A213&lt;=EYear_O,AD$3&gt;0),IF($A213=SYear_O,AD$168*(1+Data_All!AD52%),AD212*(1+Data_All!AD52%)),"")</f>
        <v/>
      </c>
      <c r="AE213" s="427" t="str">
        <f>IF(AND($A213&gt;=SYear_O,$A213&lt;=EYear_O,AE$3&gt;0),IF($A213=SYear_O,AE$168*(1+Data_All!AE52%),AE212*(1+Data_All!AE52%)),"")</f>
        <v/>
      </c>
      <c r="AF213" s="427" t="str">
        <f>IF(AND($A213&gt;=SYear_O,$A213&lt;=EYear_O,AF$3&gt;0),IF($A213=SYear_O,AF$168*(1+Data_All!AF52%),AF212*(1+Data_All!AF52%)),"")</f>
        <v/>
      </c>
      <c r="AG213" s="427" t="str">
        <f>IF(AND($A213&gt;=SYear_O,$A213&lt;=EYear_O,AG$3&gt;0),IF($A213=SYear_O,AG$168*(1+Data_All!AG52%),AG212*(1+Data_All!AG52%)),"")</f>
        <v/>
      </c>
      <c r="AH213" s="427" t="str">
        <f>IF(AND($A213&gt;=SYear_O,$A213&lt;=EYear_O,AH$3&gt;0),IF($A213=SYear_O,AH$168*(1+Data_All!AH52%),AH212*(1+Data_All!AH52%)),"")</f>
        <v/>
      </c>
      <c r="AI213" s="427" t="str">
        <f>IF(AND($A213&gt;=SYear_O,$A213&lt;=EYear_O,AI$3&gt;0),IF($A213=SYear_O,AI$168*(1+Data_All!AI52%),AI212*(1+Data_All!AI52%)),"")</f>
        <v/>
      </c>
      <c r="AJ213" s="427" t="str">
        <f>IF(AND($A213&gt;=SYear_O,$A213&lt;=EYear_O,AJ$3&gt;0),IF($A213=SYear_O,AJ$168*(1+Data_All!AJ52%),AJ212*(1+Data_All!AJ52%)),"")</f>
        <v/>
      </c>
      <c r="AK213" s="427" t="str">
        <f>IF(AND($A213&gt;=SYear_O,$A213&lt;=EYear_O,AK$3&gt;0),IF($A213=SYear_O,AK$168*(1+Data_All!AK52%),AK212*(1+Data_All!AK52%)),"")</f>
        <v/>
      </c>
      <c r="AL213" s="427" t="str">
        <f>IF(AND($A213&gt;=SYear_O,$A213&lt;=EYear_O,AL$3&gt;0),IF($A213=SYear_O,AL$168*(1+Data_All!AL52%),AL212*(1+Data_All!AL52%)),"")</f>
        <v/>
      </c>
      <c r="AM213" s="427" t="str">
        <f>IF(AND($A213&gt;=SYear_O,$A213&lt;=EYear_O,AM$3&gt;0),IF($A213=SYear_O,AM$168*(1+Data_All!AM52%),AM212*(1+Data_All!AM52%)),"")</f>
        <v/>
      </c>
      <c r="AN213" s="427" t="str">
        <f>IF(AND($A213&gt;=SYear_O,$A213&lt;=EYear_O,AN$3&gt;0),IF($A213=SYear_O,AN$168*(1+Data_All!AN52%),AN212*(1+Data_All!AN52%)),"")</f>
        <v/>
      </c>
      <c r="AO213" s="427" t="str">
        <f>IF(AND($A213&gt;=SYear_O,$A213&lt;=EYear_O,AO$3&gt;0),IF($A213=SYear_O,AO$168*(1+Data_All!AO52%),AO212*(1+Data_All!AO52%)),"")</f>
        <v/>
      </c>
      <c r="AP213" s="427" t="str">
        <f>IF(AND($A213&gt;=SYear_O,$A213&lt;=EYear_O,AP$3&gt;0),IF($A213=SYear_O,AP$168*(1+Data_All!AP52%),AP212*(1+Data_All!AP52%)),"")</f>
        <v/>
      </c>
      <c r="AQ213" s="427" t="str">
        <f>IF(AND($A213&gt;=SYear_O,$A213&lt;=EYear_O,AQ$3&gt;0),IF($A213=SYear_O,AQ$168*(1+Data_All!AQ52%),AQ212*(1+Data_All!AQ52%)),"")</f>
        <v/>
      </c>
      <c r="AR213" s="427" t="str">
        <f>IF(AND($A213&gt;=SYear_O,$A213&lt;=EYear_O,AR$3&gt;0),IF($A213=SYear_O,AR$168*(1+Data_All!AR52%),AR212*(1+Data_All!AR52%)),"")</f>
        <v/>
      </c>
      <c r="AS213" s="427" t="str">
        <f>IF(AND($A213&gt;=SYear_O,$A213&lt;=EYear_O,AS$3&gt;0),IF($A213=SYear_O,AS$168*(1+Data_All!AS52%),AS212*(1+Data_All!AS52%)),"")</f>
        <v/>
      </c>
      <c r="AT213" s="427" t="str">
        <f>IF(AND($A213&gt;=SYear_O,$A213&lt;=EYear_O,AT$3&gt;0),IF($A213=SYear_O,AT$168*(1+Data_All!AT52%),AT212*(1+Data_All!AT52%)),"")</f>
        <v/>
      </c>
      <c r="AU213" s="427" t="str">
        <f>IF(AND($A213&gt;=SYear_O,$A213&lt;=EYear_O,AU$3&gt;0),IF($A213=SYear_O,AU$168*(1+Data_All!AU52%),AU212*(1+Data_All!AU52%)),"")</f>
        <v/>
      </c>
      <c r="AV213" s="427" t="str">
        <f>IF(AND($A213&gt;=SYear_O,$A213&lt;=EYear_O,AV$3&gt;0),IF($A213=SYear_O,AV$168*(1+Data_All!AV52%),AV212*(1+Data_All!AV52%)),"")</f>
        <v/>
      </c>
      <c r="AW213" s="427" t="str">
        <f>IF(AND($A213&gt;=SYear_O,$A213&lt;=EYear_O,AW$3&gt;0),IF($A213=SYear_O,AW$168*(1+Data_All!AW52%),AW212*(1+Data_All!AW52%)),"")</f>
        <v/>
      </c>
      <c r="AX213" s="427" t="str">
        <f>IF(AND($A213&gt;=SYear_O,$A213&lt;=EYear_O,AX$3&gt;0),IF($A213=SYear_O,AX$168*(1+Data_All!AX52%),AX212*(1+Data_All!AX52%)),"")</f>
        <v/>
      </c>
      <c r="AY213" s="427" t="str">
        <f>IF(AND($A213&gt;=SYear_O,$A213&lt;=EYear_O,AY$3&gt;0),IF($A213=SYear_O,AY$168*(1+Data_All!AY52%),AY212*(1+Data_All!AY52%)),"")</f>
        <v/>
      </c>
      <c r="AZ213" s="427" t="str">
        <f>IF(AND($A213&gt;=SYear_O,$A213&lt;=EYear_O,AZ$3&gt;0),IF($A213=SYear_O,AZ$168*(1+Data_All!AZ52%),AZ212*(1+Data_All!AZ52%)),"")</f>
        <v/>
      </c>
      <c r="BA213" s="427" t="str">
        <f>IF(AND($A213&gt;=SYear_O,$A213&lt;=EYear_O,BA$3&gt;0),IF($A213=SYear_O,BA$168*(1+Data_All!BA52%),BA212*(1+Data_All!BA52%)),"")</f>
        <v/>
      </c>
      <c r="BB213" s="427" t="str">
        <f>IF(AND($A213&gt;=SYear_O,$A213&lt;=EYear_O,BB$3&gt;0),IF($A213=SYear_O,BB$168*(1+Data_All!BB52%),BB212*(1+Data_All!BB52%)),"")</f>
        <v/>
      </c>
      <c r="BC213" s="427" t="str">
        <f>IF(AND($A213&gt;=SYear_O,$A213&lt;=EYear_O,BC$3&gt;0),IF($A213=SYear_O,BC$168*(1+Data_All!BC52%),BC212*(1+Data_All!BC52%)),"")</f>
        <v/>
      </c>
      <c r="BD213" s="427" t="str">
        <f>IF(AND($A213&gt;=SYear_O,$A213&lt;=EYear_O,BD$3&gt;0),IF($A213=SYear_O,BD$168*(1+Data_All!BD52%),BD212*(1+Data_All!BD52%)),"")</f>
        <v/>
      </c>
      <c r="BE213" s="427" t="str">
        <f>IF(AND($A213&gt;=SYear_O,$A213&lt;=EYear_O,BE$3&gt;0),IF($A213=SYear_O,BE$168*(1+Data_All!BE52%),BE212*(1+Data_All!BE52%)),"")</f>
        <v/>
      </c>
      <c r="BF213" s="427" t="str">
        <f>IF(AND($A213&gt;=SYear_O,$A213&lt;=EYear_O,BF$3&gt;0),IF($A213=SYear_O,BF$168*(1+Data_All!BF52%),BF212*(1+Data_All!BF52%)),"")</f>
        <v/>
      </c>
      <c r="BG213" s="427" t="str">
        <f>IF(AND($A213&gt;=SYear_O,$A213&lt;=EYear_O,BG$3&gt;0),IF($A213=SYear_O,BG$168*(1+Data_All!BG52%),BG212*(1+Data_All!BG52%)),"")</f>
        <v/>
      </c>
      <c r="BH213" s="427" t="str">
        <f>IF(AND($A213&gt;=SYear_O,$A213&lt;=EYear_O,BH$3&gt;0),IF($A213=SYear_O,BH$168*(1+Data_All!BH52%),BH212*(1+Data_All!BH52%)),"")</f>
        <v/>
      </c>
      <c r="BI213" s="427" t="str">
        <f>IF(AND($A213&gt;=SYear_O,$A213&lt;=EYear_O,BI$3&gt;0),IF($A213=SYear_O,BI$168*(1+Data_All!BI52%),BI212*(1+Data_All!BI52%)),"")</f>
        <v/>
      </c>
      <c r="BJ213" s="427" t="str">
        <f>IF(AND($A213&gt;=SYear_O,$A213&lt;=EYear_O,BJ$3&gt;0),IF($A213=SYear_O,BJ$168*(1+Data_All!BJ52%),BJ212*(1+Data_All!BJ52%)),"")</f>
        <v/>
      </c>
      <c r="BK213" s="427" t="str">
        <f>IF(AND($A213&gt;=SYear_O,$A213&lt;=EYear_O,BK$3&gt;0),IF($A213=SYear_O,BK$168*(1+Data_All!BK52%),BK212*(1+Data_All!BK52%)),"")</f>
        <v/>
      </c>
      <c r="BL213" s="427" t="str">
        <f>IF(AND($A213&gt;=SYear_O,$A213&lt;=EYear_O,BL$3&gt;0),IF($A213=SYear_O,BL$168*(1+Data_All!BL52%),BL212*(1+Data_All!BL52%)),"")</f>
        <v/>
      </c>
      <c r="BM213" s="427" t="str">
        <f>IF(AND($A213&gt;=SYear_O,$A213&lt;=EYear_O,BM$3&gt;0),IF($A213=SYear_O,BM$168*(1+Data_All!BM52%),BM212*(1+Data_All!BM52%)),"")</f>
        <v/>
      </c>
      <c r="BN213" s="427" t="str">
        <f>IF(AND($A213&gt;=SYear_O,$A213&lt;=EYear_O,BN$3&gt;0),IF($A213=SYear_O,BN$168*(1+Data_All!BN52%),BN212*(1+Data_All!BN52%)),"")</f>
        <v/>
      </c>
      <c r="BO213" s="427" t="str">
        <f>IF(AND($A213&gt;=SYear_O,$A213&lt;=EYear_O,BO$3&gt;0),IF($A213=SYear_O,BO$168*(1+Data_All!BO52%),BO212*(1+Data_All!BO52%)),"")</f>
        <v/>
      </c>
      <c r="BP213" s="427" t="str">
        <f>IF(AND($A213&gt;=SYear_O,$A213&lt;=EYear_O,BP$3&gt;0),IF($A213=SYear_O,BP$168*(1+Data_All!BP52%),BP212*(1+Data_All!BP52%)),"")</f>
        <v/>
      </c>
      <c r="BQ213" s="427" t="str">
        <f>IF(AND($A213&gt;=SYear_O,$A213&lt;=EYear_O,BQ$3&gt;0),IF($A213=SYear_O,BQ$168*(1+Data_All!BQ52%),BQ212*(1+Data_All!BQ52%)),"")</f>
        <v/>
      </c>
      <c r="BR213" s="427" t="str">
        <f>IF(AND($A213&gt;=SYear_O,$A213&lt;=EYear_O,BR$3&gt;0),IF($A213=SYear_O,BR$168*(1+Data_All!BR52%),BR212*(1+Data_All!BR52%)),"")</f>
        <v/>
      </c>
      <c r="BS213" s="427" t="str">
        <f>IF(AND($A213&gt;=SYear_O,$A213&lt;=EYear_O,BS$3&gt;0),IF($A213=SYear_O,BS$168*(1+Data_All!BS52%),BS212*(1+Data_All!BS52%)),"")</f>
        <v/>
      </c>
      <c r="BT213" s="427" t="str">
        <f>IF(AND($A213&gt;=SYear_O,$A213&lt;=EYear_O,BT$3&gt;0),IF($A213=SYear_O,BT$168*(1+Data_All!BT52%),BT212*(1+Data_All!BT52%)),"")</f>
        <v/>
      </c>
      <c r="BU213" s="427" t="str">
        <f>IF(AND($A213&gt;=SYear_O,$A213&lt;=EYear_O,BU$3&gt;0),IF($A213=SYear_O,BU$168*(1+Data_All!BU52%),BU212*(1+Data_All!BU52%)),"")</f>
        <v/>
      </c>
      <c r="BV213" s="427" t="str">
        <f>IF(AND($A213&gt;=SYear_O,$A213&lt;=EYear_O,BV$3&gt;0),IF($A213=SYear_O,BV$168*(1+Data_All!BV52%),BV212*(1+Data_All!BV52%)),"")</f>
        <v/>
      </c>
      <c r="BW213" s="427" t="str">
        <f>IF(AND($A213&gt;=SYear_O,$A213&lt;=EYear_O,BW$3&gt;0),IF($A213=SYear_O,BW$168*(1+Data_All!BW52%),BW212*(1+Data_All!BW52%)),"")</f>
        <v/>
      </c>
      <c r="BX213" s="427">
        <f>IF(AND($A213&gt;=SYear_O,$A213&lt;=EYear_O,BX$3&gt;0),IF($A213=SYear_O,BX$168*(1+Data_All!BX52%),BX212*(1+Data_All!BX52%)),"")</f>
        <v>111727.35543589367</v>
      </c>
      <c r="BY213" s="427">
        <f>IF(AND($A213&gt;=SYear_O,$A213&lt;=EYear_O,BY$3&gt;0),IF($A213=SYear_O,BY$168*(1+Data_All!BY52%),BY212*(1+Data_All!BY52%)),"")</f>
        <v>22916.215536897369</v>
      </c>
      <c r="BZ213" s="427" t="str">
        <f>IF(AND($A213&gt;=SYear_O,$A213&lt;=EYear_O,BZ$3&gt;0),IF($A213=SYear_O,BZ$168*(1+Data_All!BZ52%),BZ212*(1+Data_All!BZ52%)),"")</f>
        <v/>
      </c>
      <c r="CA213" s="565">
        <f t="shared" si="108"/>
        <v>25.266115853063024</v>
      </c>
      <c r="CB213" s="427">
        <f t="shared" si="109"/>
        <v>134643.57097279103</v>
      </c>
      <c r="CC213" s="565">
        <f>IF(AND($A213&gt;=SYear_O,$A213&lt;=EYear_O),(CA213-Data_All!CA52)/(1+Data_All!CA52%),"")</f>
        <v>21.652670203455433</v>
      </c>
      <c r="CD213" s="436">
        <f t="shared" si="110"/>
        <v>161365.93094833614</v>
      </c>
      <c r="CE213" s="438">
        <f t="shared" si="111"/>
        <v>12.212069392058554</v>
      </c>
      <c r="CF213" s="438">
        <f>IF(AND($A213&gt;=SYear_O,$A213&lt;=EYear_O),MAX($CE$169:CE213),"")</f>
        <v>12.212069392058554</v>
      </c>
      <c r="CG213" s="209">
        <f t="shared" si="112"/>
        <v>0</v>
      </c>
      <c r="CN213" s="61">
        <f t="shared" si="113"/>
        <v>0.2526611585306302</v>
      </c>
      <c r="CO213" s="61">
        <f t="shared" si="114"/>
        <v>4.7943124060757736E-2</v>
      </c>
      <c r="CP213" s="61">
        <f t="shared" si="115"/>
        <v>8.8588765299619343E-2</v>
      </c>
      <c r="CQ213" s="61">
        <f t="shared" si="116"/>
        <v>9.1571154732632998E-2</v>
      </c>
      <c r="CR213" s="61">
        <f t="shared" si="117"/>
        <v>0.12300327302002745</v>
      </c>
      <c r="CU213" s="61">
        <f t="shared" si="118"/>
        <v>0.21652670203455426</v>
      </c>
      <c r="CV213" s="61">
        <f t="shared" si="119"/>
        <v>-6.0127754281164791E-2</v>
      </c>
      <c r="CW213" s="61">
        <f t="shared" si="120"/>
        <v>-4.3650443385227167E-2</v>
      </c>
      <c r="CX213" s="61">
        <f t="shared" si="121"/>
        <v>3.4378721061689266E-2</v>
      </c>
      <c r="CY213" s="61">
        <f t="shared" si="122"/>
        <v>8.4266499418535368E-2</v>
      </c>
    </row>
    <row r="214" spans="1:103">
      <c r="A214" s="204">
        <f t="shared" si="107"/>
        <v>1916</v>
      </c>
      <c r="B214" s="427" t="str">
        <f>IF(AND($A214&gt;=SYear_O,$A214&lt;=EYear_O,B$3&gt;0),IF($A214=SYear_O,B$168*(1+Data_All!B53%),B213*(1+Data_All!B53%)),"")</f>
        <v/>
      </c>
      <c r="C214" s="427" t="str">
        <f>IF(AND($A214&gt;=SYear_O,$A214&lt;=EYear_O,C$3&gt;0),IF($A214=SYear_O,C$168*(1+Data_All!C53%),C213*(1+Data_All!C53%)),"")</f>
        <v/>
      </c>
      <c r="D214" s="427" t="str">
        <f>IF(AND($A214&gt;=SYear_O,$A214&lt;=EYear_O,D$3&gt;0),IF($A214=SYear_O,D$168*(1+Data_All!D53%),D213*(1+Data_All!D53%)),"")</f>
        <v/>
      </c>
      <c r="E214" s="427" t="str">
        <f>IF(AND($A214&gt;=SYear_O,$A214&lt;=EYear_O,E$3&gt;0),IF($A214=SYear_O,E$168*(1+Data_All!E53%),E213*(1+Data_All!E53%)),"")</f>
        <v/>
      </c>
      <c r="F214" s="427" t="str">
        <f>IF(AND($A214&gt;=SYear_O,$A214&lt;=EYear_O,F$3&gt;0),IF($A214=SYear_O,F$168*(1+Data_All!F53%),F213*(1+Data_All!F53%)),"")</f>
        <v/>
      </c>
      <c r="G214" s="427" t="str">
        <f>IF(AND($A214&gt;=SYear_O,$A214&lt;=EYear_O,G$3&gt;0),IF($A214=SYear_O,G$168*(1+Data_All!G53%),G213*(1+Data_All!G53%)),"")</f>
        <v/>
      </c>
      <c r="H214" s="427" t="str">
        <f>IF(AND($A214&gt;=SYear_O,$A214&lt;=EYear_O,H$3&gt;0),IF($A214=SYear_O,H$168*(1+Data_All!H53%),H213*(1+Data_All!H53%)),"")</f>
        <v/>
      </c>
      <c r="I214" s="427" t="str">
        <f>IF(AND($A214&gt;=SYear_O,$A214&lt;=EYear_O,I$3&gt;0),IF($A214=SYear_O,I$168*(1+Data_All!I53%),I213*(1+Data_All!I53%)),"")</f>
        <v/>
      </c>
      <c r="J214" s="427" t="str">
        <f>IF(AND($A214&gt;=SYear_O,$A214&lt;=EYear_O,J$3&gt;0),IF($A214=SYear_O,J$168*(1+Data_All!J53%),J213*(1+Data_All!J53%)),"")</f>
        <v/>
      </c>
      <c r="K214" s="427" t="str">
        <f>IF(AND($A214&gt;=SYear_O,$A214&lt;=EYear_O,K$3&gt;0),IF($A214=SYear_O,K$168*(1+Data_All!K53%),K213*(1+Data_All!K53%)),"")</f>
        <v/>
      </c>
      <c r="L214" s="427" t="str">
        <f>IF(AND($A214&gt;=SYear_O,$A214&lt;=EYear_O,L$3&gt;0),IF($A214=SYear_O,L$168*(1+Data_All!L53%),L213*(1+Data_All!L53%)),"")</f>
        <v/>
      </c>
      <c r="M214" s="427" t="str">
        <f>IF(AND($A214&gt;=SYear_O,$A214&lt;=EYear_O,M$3&gt;0),IF($A214=SYear_O,M$168*(1+Data_All!M53%),M213*(1+Data_All!M53%)),"")</f>
        <v/>
      </c>
      <c r="N214" s="427" t="str">
        <f>IF(AND($A214&gt;=SYear_O,$A214&lt;=EYear_O,N$3&gt;0),IF($A214=SYear_O,N$168*(1+Data_All!N53%),N213*(1+Data_All!N53%)),"")</f>
        <v/>
      </c>
      <c r="O214" s="427" t="str">
        <f>IF(AND($A214&gt;=SYear_O,$A214&lt;=EYear_O,O$3&gt;0),IF($A214=SYear_O,O$168*(1+Data_All!O53%),O213*(1+Data_All!O53%)),"")</f>
        <v/>
      </c>
      <c r="P214" s="427" t="str">
        <f>IF(AND($A214&gt;=SYear_O,$A214&lt;=EYear_O,P$3&gt;0),IF($A214=SYear_O,P$168*(1+Data_All!P53%),P213*(1+Data_All!P53%)),"")</f>
        <v/>
      </c>
      <c r="Q214" s="427" t="str">
        <f>IF(AND($A214&gt;=SYear_O,$A214&lt;=EYear_O,Q$3&gt;0),IF($A214=SYear_O,Q$168*(1+Data_All!Q53%),Q213*(1+Data_All!Q53%)),"")</f>
        <v/>
      </c>
      <c r="R214" s="427" t="str">
        <f>IF(AND($A214&gt;=SYear_O,$A214&lt;=EYear_O,R$3&gt;0),IF($A214=SYear_O,R$168*(1+Data_All!R53%),R213*(1+Data_All!R53%)),"")</f>
        <v/>
      </c>
      <c r="S214" s="427" t="str">
        <f>IF(AND($A214&gt;=SYear_O,$A214&lt;=EYear_O,S$3&gt;0),IF($A214=SYear_O,S$168*(1+Data_All!S53%),S213*(1+Data_All!S53%)),"")</f>
        <v/>
      </c>
      <c r="T214" s="427" t="str">
        <f>IF(AND($A214&gt;=SYear_O,$A214&lt;=EYear_O,T$3&gt;0),IF($A214=SYear_O,T$168*(1+Data_All!T53%),T213*(1+Data_All!T53%)),"")</f>
        <v/>
      </c>
      <c r="U214" s="427" t="str">
        <f>IF(AND($A214&gt;=SYear_O,$A214&lt;=EYear_O,U$3&gt;0),IF($A214=SYear_O,U$168*(1+Data_All!U53%),U213*(1+Data_All!U53%)),"")</f>
        <v/>
      </c>
      <c r="V214" s="427" t="str">
        <f>IF(AND($A214&gt;=SYear_O,$A214&lt;=EYear_O,V$3&gt;0),IF($A214=SYear_O,V$168*(1+Data_All!V53%),V213*(1+Data_All!V53%)),"")</f>
        <v/>
      </c>
      <c r="W214" s="427" t="str">
        <f>IF(AND($A214&gt;=SYear_O,$A214&lt;=EYear_O,W$3&gt;0),IF($A214=SYear_O,W$168*(1+Data_All!W53%),W213*(1+Data_All!W53%)),"")</f>
        <v/>
      </c>
      <c r="X214" s="427" t="str">
        <f>IF(AND($A214&gt;=SYear_O,$A214&lt;=EYear_O,X$3&gt;0),IF($A214=SYear_O,X$168*(1+Data_All!X53%),X213*(1+Data_All!X53%)),"")</f>
        <v/>
      </c>
      <c r="Y214" s="427" t="str">
        <f>IF(AND($A214&gt;=SYear_O,$A214&lt;=EYear_O,Y$3&gt;0),IF($A214=SYear_O,Y$168*(1+Data_All!Y53%),Y213*(1+Data_All!Y53%)),"")</f>
        <v/>
      </c>
      <c r="Z214" s="427" t="str">
        <f>IF(AND($A214&gt;=SYear_O,$A214&lt;=EYear_O,Z$3&gt;0),IF($A214=SYear_O,Z$168*(1+Data_All!Z53%),Z213*(1+Data_All!Z53%)),"")</f>
        <v/>
      </c>
      <c r="AA214" s="427" t="str">
        <f>IF(AND($A214&gt;=SYear_O,$A214&lt;=EYear_O,AA$3&gt;0),IF($A214=SYear_O,AA$168*(1+Data_All!AA53%),AA213*(1+Data_All!AA53%)),"")</f>
        <v/>
      </c>
      <c r="AB214" s="427" t="str">
        <f>IF(AND($A214&gt;=SYear_O,$A214&lt;=EYear_O,AB$3&gt;0),IF($A214=SYear_O,AB$168*(1+Data_All!AB53%),AB213*(1+Data_All!AB53%)),"")</f>
        <v/>
      </c>
      <c r="AC214" s="427" t="str">
        <f>IF(AND($A214&gt;=SYear_O,$A214&lt;=EYear_O,AC$3&gt;0),IF($A214=SYear_O,AC$168*(1+Data_All!AC53%),AC213*(1+Data_All!AC53%)),"")</f>
        <v/>
      </c>
      <c r="AD214" s="427" t="str">
        <f>IF(AND($A214&gt;=SYear_O,$A214&lt;=EYear_O,AD$3&gt;0),IF($A214=SYear_O,AD$168*(1+Data_All!AD53%),AD213*(1+Data_All!AD53%)),"")</f>
        <v/>
      </c>
      <c r="AE214" s="427" t="str">
        <f>IF(AND($A214&gt;=SYear_O,$A214&lt;=EYear_O,AE$3&gt;0),IF($A214=SYear_O,AE$168*(1+Data_All!AE53%),AE213*(1+Data_All!AE53%)),"")</f>
        <v/>
      </c>
      <c r="AF214" s="427" t="str">
        <f>IF(AND($A214&gt;=SYear_O,$A214&lt;=EYear_O,AF$3&gt;0),IF($A214=SYear_O,AF$168*(1+Data_All!AF53%),AF213*(1+Data_All!AF53%)),"")</f>
        <v/>
      </c>
      <c r="AG214" s="427" t="str">
        <f>IF(AND($A214&gt;=SYear_O,$A214&lt;=EYear_O,AG$3&gt;0),IF($A214=SYear_O,AG$168*(1+Data_All!AG53%),AG213*(1+Data_All!AG53%)),"")</f>
        <v/>
      </c>
      <c r="AH214" s="427" t="str">
        <f>IF(AND($A214&gt;=SYear_O,$A214&lt;=EYear_O,AH$3&gt;0),IF($A214=SYear_O,AH$168*(1+Data_All!AH53%),AH213*(1+Data_All!AH53%)),"")</f>
        <v/>
      </c>
      <c r="AI214" s="427" t="str">
        <f>IF(AND($A214&gt;=SYear_O,$A214&lt;=EYear_O,AI$3&gt;0),IF($A214=SYear_O,AI$168*(1+Data_All!AI53%),AI213*(1+Data_All!AI53%)),"")</f>
        <v/>
      </c>
      <c r="AJ214" s="427" t="str">
        <f>IF(AND($A214&gt;=SYear_O,$A214&lt;=EYear_O,AJ$3&gt;0),IF($A214=SYear_O,AJ$168*(1+Data_All!AJ53%),AJ213*(1+Data_All!AJ53%)),"")</f>
        <v/>
      </c>
      <c r="AK214" s="427" t="str">
        <f>IF(AND($A214&gt;=SYear_O,$A214&lt;=EYear_O,AK$3&gt;0),IF($A214=SYear_O,AK$168*(1+Data_All!AK53%),AK213*(1+Data_All!AK53%)),"")</f>
        <v/>
      </c>
      <c r="AL214" s="427" t="str">
        <f>IF(AND($A214&gt;=SYear_O,$A214&lt;=EYear_O,AL$3&gt;0),IF($A214=SYear_O,AL$168*(1+Data_All!AL53%),AL213*(1+Data_All!AL53%)),"")</f>
        <v/>
      </c>
      <c r="AM214" s="427" t="str">
        <f>IF(AND($A214&gt;=SYear_O,$A214&lt;=EYear_O,AM$3&gt;0),IF($A214=SYear_O,AM$168*(1+Data_All!AM53%),AM213*(1+Data_All!AM53%)),"")</f>
        <v/>
      </c>
      <c r="AN214" s="427" t="str">
        <f>IF(AND($A214&gt;=SYear_O,$A214&lt;=EYear_O,AN$3&gt;0),IF($A214=SYear_O,AN$168*(1+Data_All!AN53%),AN213*(1+Data_All!AN53%)),"")</f>
        <v/>
      </c>
      <c r="AO214" s="427" t="str">
        <f>IF(AND($A214&gt;=SYear_O,$A214&lt;=EYear_O,AO$3&gt;0),IF($A214=SYear_O,AO$168*(1+Data_All!AO53%),AO213*(1+Data_All!AO53%)),"")</f>
        <v/>
      </c>
      <c r="AP214" s="427" t="str">
        <f>IF(AND($A214&gt;=SYear_O,$A214&lt;=EYear_O,AP$3&gt;0),IF($A214=SYear_O,AP$168*(1+Data_All!AP53%),AP213*(1+Data_All!AP53%)),"")</f>
        <v/>
      </c>
      <c r="AQ214" s="427" t="str">
        <f>IF(AND($A214&gt;=SYear_O,$A214&lt;=EYear_O,AQ$3&gt;0),IF($A214=SYear_O,AQ$168*(1+Data_All!AQ53%),AQ213*(1+Data_All!AQ53%)),"")</f>
        <v/>
      </c>
      <c r="AR214" s="427" t="str">
        <f>IF(AND($A214&gt;=SYear_O,$A214&lt;=EYear_O,AR$3&gt;0),IF($A214=SYear_O,AR$168*(1+Data_All!AR53%),AR213*(1+Data_All!AR53%)),"")</f>
        <v/>
      </c>
      <c r="AS214" s="427" t="str">
        <f>IF(AND($A214&gt;=SYear_O,$A214&lt;=EYear_O,AS$3&gt;0),IF($A214=SYear_O,AS$168*(1+Data_All!AS53%),AS213*(1+Data_All!AS53%)),"")</f>
        <v/>
      </c>
      <c r="AT214" s="427" t="str">
        <f>IF(AND($A214&gt;=SYear_O,$A214&lt;=EYear_O,AT$3&gt;0),IF($A214=SYear_O,AT$168*(1+Data_All!AT53%),AT213*(1+Data_All!AT53%)),"")</f>
        <v/>
      </c>
      <c r="AU214" s="427" t="str">
        <f>IF(AND($A214&gt;=SYear_O,$A214&lt;=EYear_O,AU$3&gt;0),IF($A214=SYear_O,AU$168*(1+Data_All!AU53%),AU213*(1+Data_All!AU53%)),"")</f>
        <v/>
      </c>
      <c r="AV214" s="427" t="str">
        <f>IF(AND($A214&gt;=SYear_O,$A214&lt;=EYear_O,AV$3&gt;0),IF($A214=SYear_O,AV$168*(1+Data_All!AV53%),AV213*(1+Data_All!AV53%)),"")</f>
        <v/>
      </c>
      <c r="AW214" s="427" t="str">
        <f>IF(AND($A214&gt;=SYear_O,$A214&lt;=EYear_O,AW$3&gt;0),IF($A214=SYear_O,AW$168*(1+Data_All!AW53%),AW213*(1+Data_All!AW53%)),"")</f>
        <v/>
      </c>
      <c r="AX214" s="427" t="str">
        <f>IF(AND($A214&gt;=SYear_O,$A214&lt;=EYear_O,AX$3&gt;0),IF($A214=SYear_O,AX$168*(1+Data_All!AX53%),AX213*(1+Data_All!AX53%)),"")</f>
        <v/>
      </c>
      <c r="AY214" s="427" t="str">
        <f>IF(AND($A214&gt;=SYear_O,$A214&lt;=EYear_O,AY$3&gt;0),IF($A214=SYear_O,AY$168*(1+Data_All!AY53%),AY213*(1+Data_All!AY53%)),"")</f>
        <v/>
      </c>
      <c r="AZ214" s="427" t="str">
        <f>IF(AND($A214&gt;=SYear_O,$A214&lt;=EYear_O,AZ$3&gt;0),IF($A214=SYear_O,AZ$168*(1+Data_All!AZ53%),AZ213*(1+Data_All!AZ53%)),"")</f>
        <v/>
      </c>
      <c r="BA214" s="427" t="str">
        <f>IF(AND($A214&gt;=SYear_O,$A214&lt;=EYear_O,BA$3&gt;0),IF($A214=SYear_O,BA$168*(1+Data_All!BA53%),BA213*(1+Data_All!BA53%)),"")</f>
        <v/>
      </c>
      <c r="BB214" s="427" t="str">
        <f>IF(AND($A214&gt;=SYear_O,$A214&lt;=EYear_O,BB$3&gt;0),IF($A214=SYear_O,BB$168*(1+Data_All!BB53%),BB213*(1+Data_All!BB53%)),"")</f>
        <v/>
      </c>
      <c r="BC214" s="427" t="str">
        <f>IF(AND($A214&gt;=SYear_O,$A214&lt;=EYear_O,BC$3&gt;0),IF($A214=SYear_O,BC$168*(1+Data_All!BC53%),BC213*(1+Data_All!BC53%)),"")</f>
        <v/>
      </c>
      <c r="BD214" s="427" t="str">
        <f>IF(AND($A214&gt;=SYear_O,$A214&lt;=EYear_O,BD$3&gt;0),IF($A214=SYear_O,BD$168*(1+Data_All!BD53%),BD213*(1+Data_All!BD53%)),"")</f>
        <v/>
      </c>
      <c r="BE214" s="427" t="str">
        <f>IF(AND($A214&gt;=SYear_O,$A214&lt;=EYear_O,BE$3&gt;0),IF($A214=SYear_O,BE$168*(1+Data_All!BE53%),BE213*(1+Data_All!BE53%)),"")</f>
        <v/>
      </c>
      <c r="BF214" s="427" t="str">
        <f>IF(AND($A214&gt;=SYear_O,$A214&lt;=EYear_O,BF$3&gt;0),IF($A214=SYear_O,BF$168*(1+Data_All!BF53%),BF213*(1+Data_All!BF53%)),"")</f>
        <v/>
      </c>
      <c r="BG214" s="427" t="str">
        <f>IF(AND($A214&gt;=SYear_O,$A214&lt;=EYear_O,BG$3&gt;0),IF($A214=SYear_O,BG$168*(1+Data_All!BG53%),BG213*(1+Data_All!BG53%)),"")</f>
        <v/>
      </c>
      <c r="BH214" s="427" t="str">
        <f>IF(AND($A214&gt;=SYear_O,$A214&lt;=EYear_O,BH$3&gt;0),IF($A214=SYear_O,BH$168*(1+Data_All!BH53%),BH213*(1+Data_All!BH53%)),"")</f>
        <v/>
      </c>
      <c r="BI214" s="427" t="str">
        <f>IF(AND($A214&gt;=SYear_O,$A214&lt;=EYear_O,BI$3&gt;0),IF($A214=SYear_O,BI$168*(1+Data_All!BI53%),BI213*(1+Data_All!BI53%)),"")</f>
        <v/>
      </c>
      <c r="BJ214" s="427" t="str">
        <f>IF(AND($A214&gt;=SYear_O,$A214&lt;=EYear_O,BJ$3&gt;0),IF($A214=SYear_O,BJ$168*(1+Data_All!BJ53%),BJ213*(1+Data_All!BJ53%)),"")</f>
        <v/>
      </c>
      <c r="BK214" s="427" t="str">
        <f>IF(AND($A214&gt;=SYear_O,$A214&lt;=EYear_O,BK$3&gt;0),IF($A214=SYear_O,BK$168*(1+Data_All!BK53%),BK213*(1+Data_All!BK53%)),"")</f>
        <v/>
      </c>
      <c r="BL214" s="427" t="str">
        <f>IF(AND($A214&gt;=SYear_O,$A214&lt;=EYear_O,BL$3&gt;0),IF($A214=SYear_O,BL$168*(1+Data_All!BL53%),BL213*(1+Data_All!BL53%)),"")</f>
        <v/>
      </c>
      <c r="BM214" s="427" t="str">
        <f>IF(AND($A214&gt;=SYear_O,$A214&lt;=EYear_O,BM$3&gt;0),IF($A214=SYear_O,BM$168*(1+Data_All!BM53%),BM213*(1+Data_All!BM53%)),"")</f>
        <v/>
      </c>
      <c r="BN214" s="427" t="str">
        <f>IF(AND($A214&gt;=SYear_O,$A214&lt;=EYear_O,BN$3&gt;0),IF($A214=SYear_O,BN$168*(1+Data_All!BN53%),BN213*(1+Data_All!BN53%)),"")</f>
        <v/>
      </c>
      <c r="BO214" s="427" t="str">
        <f>IF(AND($A214&gt;=SYear_O,$A214&lt;=EYear_O,BO$3&gt;0),IF($A214=SYear_O,BO$168*(1+Data_All!BO53%),BO213*(1+Data_All!BO53%)),"")</f>
        <v/>
      </c>
      <c r="BP214" s="427" t="str">
        <f>IF(AND($A214&gt;=SYear_O,$A214&lt;=EYear_O,BP$3&gt;0),IF($A214=SYear_O,BP$168*(1+Data_All!BP53%),BP213*(1+Data_All!BP53%)),"")</f>
        <v/>
      </c>
      <c r="BQ214" s="427" t="str">
        <f>IF(AND($A214&gt;=SYear_O,$A214&lt;=EYear_O,BQ$3&gt;0),IF($A214=SYear_O,BQ$168*(1+Data_All!BQ53%),BQ213*(1+Data_All!BQ53%)),"")</f>
        <v/>
      </c>
      <c r="BR214" s="427" t="str">
        <f>IF(AND($A214&gt;=SYear_O,$A214&lt;=EYear_O,BR$3&gt;0),IF($A214=SYear_O,BR$168*(1+Data_All!BR53%),BR213*(1+Data_All!BR53%)),"")</f>
        <v/>
      </c>
      <c r="BS214" s="427" t="str">
        <f>IF(AND($A214&gt;=SYear_O,$A214&lt;=EYear_O,BS$3&gt;0),IF($A214=SYear_O,BS$168*(1+Data_All!BS53%),BS213*(1+Data_All!BS53%)),"")</f>
        <v/>
      </c>
      <c r="BT214" s="427" t="str">
        <f>IF(AND($A214&gt;=SYear_O,$A214&lt;=EYear_O,BT$3&gt;0),IF($A214=SYear_O,BT$168*(1+Data_All!BT53%),BT213*(1+Data_All!BT53%)),"")</f>
        <v/>
      </c>
      <c r="BU214" s="427" t="str">
        <f>IF(AND($A214&gt;=SYear_O,$A214&lt;=EYear_O,BU$3&gt;0),IF($A214=SYear_O,BU$168*(1+Data_All!BU53%),BU213*(1+Data_All!BU53%)),"")</f>
        <v/>
      </c>
      <c r="BV214" s="427" t="str">
        <f>IF(AND($A214&gt;=SYear_O,$A214&lt;=EYear_O,BV$3&gt;0),IF($A214=SYear_O,BV$168*(1+Data_All!BV53%),BV213*(1+Data_All!BV53%)),"")</f>
        <v/>
      </c>
      <c r="BW214" s="427" t="str">
        <f>IF(AND($A214&gt;=SYear_O,$A214&lt;=EYear_O,BW$3&gt;0),IF($A214=SYear_O,BW$168*(1+Data_All!BW53%),BW213*(1+Data_All!BW53%)),"")</f>
        <v/>
      </c>
      <c r="BX214" s="427">
        <f>IF(AND($A214&gt;=SYear_O,$A214&lt;=EYear_O,BX$3&gt;0),IF($A214=SYear_O,BX$168*(1+Data_All!BX53%),BX213*(1+Data_All!BX53%)),"")</f>
        <v>121307.40734893923</v>
      </c>
      <c r="BY214" s="427">
        <f>IF(AND($A214&gt;=SYear_O,$A214&lt;=EYear_O,BY$3&gt;0),IF($A214=SYear_O,BY$168*(1+Data_All!BY53%),BY213*(1+Data_All!BY53%)),"")</f>
        <v>23490.570328625035</v>
      </c>
      <c r="BZ214" s="427" t="str">
        <f>IF(AND($A214&gt;=SYear_O,$A214&lt;=EYear_O,BZ$3&gt;0),IF($A214=SYear_O,BZ$168*(1+Data_All!BZ53%),BZ213*(1+Data_All!BZ53%)),"")</f>
        <v/>
      </c>
      <c r="CA214" s="565">
        <f t="shared" si="108"/>
        <v>7.5416944391836145</v>
      </c>
      <c r="CB214" s="427">
        <f t="shared" si="109"/>
        <v>144797.97767756425</v>
      </c>
      <c r="CC214" s="565">
        <f>IF(AND($A214&gt;=SYear_O,$A214&lt;=EYear_O),(CA214-Data_All!CA53)/(1+Data_All!CA53%),"")</f>
        <v>-4.4073827207256757</v>
      </c>
      <c r="CD214" s="436">
        <f t="shared" si="110"/>
        <v>154253.91679058105</v>
      </c>
      <c r="CE214" s="438">
        <f t="shared" si="111"/>
        <v>13.133066350308679</v>
      </c>
      <c r="CF214" s="438">
        <f>IF(AND($A214&gt;=SYear_O,$A214&lt;=EYear_O),MAX($CE$169:CE214),"")</f>
        <v>13.133066350308679</v>
      </c>
      <c r="CG214" s="209">
        <f t="shared" si="112"/>
        <v>0</v>
      </c>
      <c r="CN214" s="61">
        <f t="shared" si="113"/>
        <v>7.5416944391836216E-2</v>
      </c>
      <c r="CO214" s="61">
        <f t="shared" si="114"/>
        <v>1.734766435079127E-2</v>
      </c>
      <c r="CP214" s="61">
        <f t="shared" si="115"/>
        <v>1.6681523363375028E-2</v>
      </c>
      <c r="CQ214" s="61">
        <f t="shared" si="116"/>
        <v>8.9058472967368463E-2</v>
      </c>
      <c r="CR214" s="61">
        <f t="shared" si="117"/>
        <v>8.9909153491958049E-2</v>
      </c>
      <c r="CU214" s="61">
        <f t="shared" si="118"/>
        <v>-4.4073827207256833E-2</v>
      </c>
      <c r="CV214" s="61">
        <f t="shared" si="119"/>
        <v>-0.12772681049297674</v>
      </c>
      <c r="CW214" s="61">
        <f t="shared" si="120"/>
        <v>-9.8759128924196915E-2</v>
      </c>
      <c r="CX214" s="61">
        <f t="shared" si="121"/>
        <v>3.1499992258743115E-2</v>
      </c>
      <c r="CY214" s="61">
        <f t="shared" si="122"/>
        <v>5.9496145280360846E-2</v>
      </c>
    </row>
    <row r="215" spans="1:103">
      <c r="A215" s="204">
        <f t="shared" si="107"/>
        <v>1917</v>
      </c>
      <c r="B215" s="427" t="str">
        <f>IF(AND($A215&gt;=SYear_O,$A215&lt;=EYear_O,B$3&gt;0),IF($A215=SYear_O,B$168*(1+Data_All!B54%),B214*(1+Data_All!B54%)),"")</f>
        <v/>
      </c>
      <c r="C215" s="427" t="str">
        <f>IF(AND($A215&gt;=SYear_O,$A215&lt;=EYear_O,C$3&gt;0),IF($A215=SYear_O,C$168*(1+Data_All!C54%),C214*(1+Data_All!C54%)),"")</f>
        <v/>
      </c>
      <c r="D215" s="427" t="str">
        <f>IF(AND($A215&gt;=SYear_O,$A215&lt;=EYear_O,D$3&gt;0),IF($A215=SYear_O,D$168*(1+Data_All!D54%),D214*(1+Data_All!D54%)),"")</f>
        <v/>
      </c>
      <c r="E215" s="427" t="str">
        <f>IF(AND($A215&gt;=SYear_O,$A215&lt;=EYear_O,E$3&gt;0),IF($A215=SYear_O,E$168*(1+Data_All!E54%),E214*(1+Data_All!E54%)),"")</f>
        <v/>
      </c>
      <c r="F215" s="427" t="str">
        <f>IF(AND($A215&gt;=SYear_O,$A215&lt;=EYear_O,F$3&gt;0),IF($A215=SYear_O,F$168*(1+Data_All!F54%),F214*(1+Data_All!F54%)),"")</f>
        <v/>
      </c>
      <c r="G215" s="427" t="str">
        <f>IF(AND($A215&gt;=SYear_O,$A215&lt;=EYear_O,G$3&gt;0),IF($A215=SYear_O,G$168*(1+Data_All!G54%),G214*(1+Data_All!G54%)),"")</f>
        <v/>
      </c>
      <c r="H215" s="427" t="str">
        <f>IF(AND($A215&gt;=SYear_O,$A215&lt;=EYear_O,H$3&gt;0),IF($A215=SYear_O,H$168*(1+Data_All!H54%),H214*(1+Data_All!H54%)),"")</f>
        <v/>
      </c>
      <c r="I215" s="427" t="str">
        <f>IF(AND($A215&gt;=SYear_O,$A215&lt;=EYear_O,I$3&gt;0),IF($A215=SYear_O,I$168*(1+Data_All!I54%),I214*(1+Data_All!I54%)),"")</f>
        <v/>
      </c>
      <c r="J215" s="427" t="str">
        <f>IF(AND($A215&gt;=SYear_O,$A215&lt;=EYear_O,J$3&gt;0),IF($A215=SYear_O,J$168*(1+Data_All!J54%),J214*(1+Data_All!J54%)),"")</f>
        <v/>
      </c>
      <c r="K215" s="427" t="str">
        <f>IF(AND($A215&gt;=SYear_O,$A215&lt;=EYear_O,K$3&gt;0),IF($A215=SYear_O,K$168*(1+Data_All!K54%),K214*(1+Data_All!K54%)),"")</f>
        <v/>
      </c>
      <c r="L215" s="427" t="str">
        <f>IF(AND($A215&gt;=SYear_O,$A215&lt;=EYear_O,L$3&gt;0),IF($A215=SYear_O,L$168*(1+Data_All!L54%),L214*(1+Data_All!L54%)),"")</f>
        <v/>
      </c>
      <c r="M215" s="427" t="str">
        <f>IF(AND($A215&gt;=SYear_O,$A215&lt;=EYear_O,M$3&gt;0),IF($A215=SYear_O,M$168*(1+Data_All!M54%),M214*(1+Data_All!M54%)),"")</f>
        <v/>
      </c>
      <c r="N215" s="427" t="str">
        <f>IF(AND($A215&gt;=SYear_O,$A215&lt;=EYear_O,N$3&gt;0),IF($A215=SYear_O,N$168*(1+Data_All!N54%),N214*(1+Data_All!N54%)),"")</f>
        <v/>
      </c>
      <c r="O215" s="427" t="str">
        <f>IF(AND($A215&gt;=SYear_O,$A215&lt;=EYear_O,O$3&gt;0),IF($A215=SYear_O,O$168*(1+Data_All!O54%),O214*(1+Data_All!O54%)),"")</f>
        <v/>
      </c>
      <c r="P215" s="427" t="str">
        <f>IF(AND($A215&gt;=SYear_O,$A215&lt;=EYear_O,P$3&gt;0),IF($A215=SYear_O,P$168*(1+Data_All!P54%),P214*(1+Data_All!P54%)),"")</f>
        <v/>
      </c>
      <c r="Q215" s="427" t="str">
        <f>IF(AND($A215&gt;=SYear_O,$A215&lt;=EYear_O,Q$3&gt;0),IF($A215=SYear_O,Q$168*(1+Data_All!Q54%),Q214*(1+Data_All!Q54%)),"")</f>
        <v/>
      </c>
      <c r="R215" s="427" t="str">
        <f>IF(AND($A215&gt;=SYear_O,$A215&lt;=EYear_O,R$3&gt;0),IF($A215=SYear_O,R$168*(1+Data_All!R54%),R214*(1+Data_All!R54%)),"")</f>
        <v/>
      </c>
      <c r="S215" s="427" t="str">
        <f>IF(AND($A215&gt;=SYear_O,$A215&lt;=EYear_O,S$3&gt;0),IF($A215=SYear_O,S$168*(1+Data_All!S54%),S214*(1+Data_All!S54%)),"")</f>
        <v/>
      </c>
      <c r="T215" s="427" t="str">
        <f>IF(AND($A215&gt;=SYear_O,$A215&lt;=EYear_O,T$3&gt;0),IF($A215=SYear_O,T$168*(1+Data_All!T54%),T214*(1+Data_All!T54%)),"")</f>
        <v/>
      </c>
      <c r="U215" s="427" t="str">
        <f>IF(AND($A215&gt;=SYear_O,$A215&lt;=EYear_O,U$3&gt;0),IF($A215=SYear_O,U$168*(1+Data_All!U54%),U214*(1+Data_All!U54%)),"")</f>
        <v/>
      </c>
      <c r="V215" s="427" t="str">
        <f>IF(AND($A215&gt;=SYear_O,$A215&lt;=EYear_O,V$3&gt;0),IF($A215=SYear_O,V$168*(1+Data_All!V54%),V214*(1+Data_All!V54%)),"")</f>
        <v/>
      </c>
      <c r="W215" s="427" t="str">
        <f>IF(AND($A215&gt;=SYear_O,$A215&lt;=EYear_O,W$3&gt;0),IF($A215=SYear_O,W$168*(1+Data_All!W54%),W214*(1+Data_All!W54%)),"")</f>
        <v/>
      </c>
      <c r="X215" s="427" t="str">
        <f>IF(AND($A215&gt;=SYear_O,$A215&lt;=EYear_O,X$3&gt;0),IF($A215=SYear_O,X$168*(1+Data_All!X54%),X214*(1+Data_All!X54%)),"")</f>
        <v/>
      </c>
      <c r="Y215" s="427" t="str">
        <f>IF(AND($A215&gt;=SYear_O,$A215&lt;=EYear_O,Y$3&gt;0),IF($A215=SYear_O,Y$168*(1+Data_All!Y54%),Y214*(1+Data_All!Y54%)),"")</f>
        <v/>
      </c>
      <c r="Z215" s="427" t="str">
        <f>IF(AND($A215&gt;=SYear_O,$A215&lt;=EYear_O,Z$3&gt;0),IF($A215=SYear_O,Z$168*(1+Data_All!Z54%),Z214*(1+Data_All!Z54%)),"")</f>
        <v/>
      </c>
      <c r="AA215" s="427" t="str">
        <f>IF(AND($A215&gt;=SYear_O,$A215&lt;=EYear_O,AA$3&gt;0),IF($A215=SYear_O,AA$168*(1+Data_All!AA54%),AA214*(1+Data_All!AA54%)),"")</f>
        <v/>
      </c>
      <c r="AB215" s="427" t="str">
        <f>IF(AND($A215&gt;=SYear_O,$A215&lt;=EYear_O,AB$3&gt;0),IF($A215=SYear_O,AB$168*(1+Data_All!AB54%),AB214*(1+Data_All!AB54%)),"")</f>
        <v/>
      </c>
      <c r="AC215" s="427" t="str">
        <f>IF(AND($A215&gt;=SYear_O,$A215&lt;=EYear_O,AC$3&gt;0),IF($A215=SYear_O,AC$168*(1+Data_All!AC54%),AC214*(1+Data_All!AC54%)),"")</f>
        <v/>
      </c>
      <c r="AD215" s="427" t="str">
        <f>IF(AND($A215&gt;=SYear_O,$A215&lt;=EYear_O,AD$3&gt;0),IF($A215=SYear_O,AD$168*(1+Data_All!AD54%),AD214*(1+Data_All!AD54%)),"")</f>
        <v/>
      </c>
      <c r="AE215" s="427" t="str">
        <f>IF(AND($A215&gt;=SYear_O,$A215&lt;=EYear_O,AE$3&gt;0),IF($A215=SYear_O,AE$168*(1+Data_All!AE54%),AE214*(1+Data_All!AE54%)),"")</f>
        <v/>
      </c>
      <c r="AF215" s="427" t="str">
        <f>IF(AND($A215&gt;=SYear_O,$A215&lt;=EYear_O,AF$3&gt;0),IF($A215=SYear_O,AF$168*(1+Data_All!AF54%),AF214*(1+Data_All!AF54%)),"")</f>
        <v/>
      </c>
      <c r="AG215" s="427" t="str">
        <f>IF(AND($A215&gt;=SYear_O,$A215&lt;=EYear_O,AG$3&gt;0),IF($A215=SYear_O,AG$168*(1+Data_All!AG54%),AG214*(1+Data_All!AG54%)),"")</f>
        <v/>
      </c>
      <c r="AH215" s="427" t="str">
        <f>IF(AND($A215&gt;=SYear_O,$A215&lt;=EYear_O,AH$3&gt;0),IF($A215=SYear_O,AH$168*(1+Data_All!AH54%),AH214*(1+Data_All!AH54%)),"")</f>
        <v/>
      </c>
      <c r="AI215" s="427" t="str">
        <f>IF(AND($A215&gt;=SYear_O,$A215&lt;=EYear_O,AI$3&gt;0),IF($A215=SYear_O,AI$168*(1+Data_All!AI54%),AI214*(1+Data_All!AI54%)),"")</f>
        <v/>
      </c>
      <c r="AJ215" s="427" t="str">
        <f>IF(AND($A215&gt;=SYear_O,$A215&lt;=EYear_O,AJ$3&gt;0),IF($A215=SYear_O,AJ$168*(1+Data_All!AJ54%),AJ214*(1+Data_All!AJ54%)),"")</f>
        <v/>
      </c>
      <c r="AK215" s="427" t="str">
        <f>IF(AND($A215&gt;=SYear_O,$A215&lt;=EYear_O,AK$3&gt;0),IF($A215=SYear_O,AK$168*(1+Data_All!AK54%),AK214*(1+Data_All!AK54%)),"")</f>
        <v/>
      </c>
      <c r="AL215" s="427" t="str">
        <f>IF(AND($A215&gt;=SYear_O,$A215&lt;=EYear_O,AL$3&gt;0),IF($A215=SYear_O,AL$168*(1+Data_All!AL54%),AL214*(1+Data_All!AL54%)),"")</f>
        <v/>
      </c>
      <c r="AM215" s="427" t="str">
        <f>IF(AND($A215&gt;=SYear_O,$A215&lt;=EYear_O,AM$3&gt;0),IF($A215=SYear_O,AM$168*(1+Data_All!AM54%),AM214*(1+Data_All!AM54%)),"")</f>
        <v/>
      </c>
      <c r="AN215" s="427" t="str">
        <f>IF(AND($A215&gt;=SYear_O,$A215&lt;=EYear_O,AN$3&gt;0),IF($A215=SYear_O,AN$168*(1+Data_All!AN54%),AN214*(1+Data_All!AN54%)),"")</f>
        <v/>
      </c>
      <c r="AO215" s="427" t="str">
        <f>IF(AND($A215&gt;=SYear_O,$A215&lt;=EYear_O,AO$3&gt;0),IF($A215=SYear_O,AO$168*(1+Data_All!AO54%),AO214*(1+Data_All!AO54%)),"")</f>
        <v/>
      </c>
      <c r="AP215" s="427" t="str">
        <f>IF(AND($A215&gt;=SYear_O,$A215&lt;=EYear_O,AP$3&gt;0),IF($A215=SYear_O,AP$168*(1+Data_All!AP54%),AP214*(1+Data_All!AP54%)),"")</f>
        <v/>
      </c>
      <c r="AQ215" s="427" t="str">
        <f>IF(AND($A215&gt;=SYear_O,$A215&lt;=EYear_O,AQ$3&gt;0),IF($A215=SYear_O,AQ$168*(1+Data_All!AQ54%),AQ214*(1+Data_All!AQ54%)),"")</f>
        <v/>
      </c>
      <c r="AR215" s="427" t="str">
        <f>IF(AND($A215&gt;=SYear_O,$A215&lt;=EYear_O,AR$3&gt;0),IF($A215=SYear_O,AR$168*(1+Data_All!AR54%),AR214*(1+Data_All!AR54%)),"")</f>
        <v/>
      </c>
      <c r="AS215" s="427" t="str">
        <f>IF(AND($A215&gt;=SYear_O,$A215&lt;=EYear_O,AS$3&gt;0),IF($A215=SYear_O,AS$168*(1+Data_All!AS54%),AS214*(1+Data_All!AS54%)),"")</f>
        <v/>
      </c>
      <c r="AT215" s="427" t="str">
        <f>IF(AND($A215&gt;=SYear_O,$A215&lt;=EYear_O,AT$3&gt;0),IF($A215=SYear_O,AT$168*(1+Data_All!AT54%),AT214*(1+Data_All!AT54%)),"")</f>
        <v/>
      </c>
      <c r="AU215" s="427" t="str">
        <f>IF(AND($A215&gt;=SYear_O,$A215&lt;=EYear_O,AU$3&gt;0),IF($A215=SYear_O,AU$168*(1+Data_All!AU54%),AU214*(1+Data_All!AU54%)),"")</f>
        <v/>
      </c>
      <c r="AV215" s="427" t="str">
        <f>IF(AND($A215&gt;=SYear_O,$A215&lt;=EYear_O,AV$3&gt;0),IF($A215=SYear_O,AV$168*(1+Data_All!AV54%),AV214*(1+Data_All!AV54%)),"")</f>
        <v/>
      </c>
      <c r="AW215" s="427" t="str">
        <f>IF(AND($A215&gt;=SYear_O,$A215&lt;=EYear_O,AW$3&gt;0),IF($A215=SYear_O,AW$168*(1+Data_All!AW54%),AW214*(1+Data_All!AW54%)),"")</f>
        <v/>
      </c>
      <c r="AX215" s="427" t="str">
        <f>IF(AND($A215&gt;=SYear_O,$A215&lt;=EYear_O,AX$3&gt;0),IF($A215=SYear_O,AX$168*(1+Data_All!AX54%),AX214*(1+Data_All!AX54%)),"")</f>
        <v/>
      </c>
      <c r="AY215" s="427" t="str">
        <f>IF(AND($A215&gt;=SYear_O,$A215&lt;=EYear_O,AY$3&gt;0),IF($A215=SYear_O,AY$168*(1+Data_All!AY54%),AY214*(1+Data_All!AY54%)),"")</f>
        <v/>
      </c>
      <c r="AZ215" s="427" t="str">
        <f>IF(AND($A215&gt;=SYear_O,$A215&lt;=EYear_O,AZ$3&gt;0),IF($A215=SYear_O,AZ$168*(1+Data_All!AZ54%),AZ214*(1+Data_All!AZ54%)),"")</f>
        <v/>
      </c>
      <c r="BA215" s="427" t="str">
        <f>IF(AND($A215&gt;=SYear_O,$A215&lt;=EYear_O,BA$3&gt;0),IF($A215=SYear_O,BA$168*(1+Data_All!BA54%),BA214*(1+Data_All!BA54%)),"")</f>
        <v/>
      </c>
      <c r="BB215" s="427" t="str">
        <f>IF(AND($A215&gt;=SYear_O,$A215&lt;=EYear_O,BB$3&gt;0),IF($A215=SYear_O,BB$168*(1+Data_All!BB54%),BB214*(1+Data_All!BB54%)),"")</f>
        <v/>
      </c>
      <c r="BC215" s="427" t="str">
        <f>IF(AND($A215&gt;=SYear_O,$A215&lt;=EYear_O,BC$3&gt;0),IF($A215=SYear_O,BC$168*(1+Data_All!BC54%),BC214*(1+Data_All!BC54%)),"")</f>
        <v/>
      </c>
      <c r="BD215" s="427" t="str">
        <f>IF(AND($A215&gt;=SYear_O,$A215&lt;=EYear_O,BD$3&gt;0),IF($A215=SYear_O,BD$168*(1+Data_All!BD54%),BD214*(1+Data_All!BD54%)),"")</f>
        <v/>
      </c>
      <c r="BE215" s="427" t="str">
        <f>IF(AND($A215&gt;=SYear_O,$A215&lt;=EYear_O,BE$3&gt;0),IF($A215=SYear_O,BE$168*(1+Data_All!BE54%),BE214*(1+Data_All!BE54%)),"")</f>
        <v/>
      </c>
      <c r="BF215" s="427" t="str">
        <f>IF(AND($A215&gt;=SYear_O,$A215&lt;=EYear_O,BF$3&gt;0),IF($A215=SYear_O,BF$168*(1+Data_All!BF54%),BF214*(1+Data_All!BF54%)),"")</f>
        <v/>
      </c>
      <c r="BG215" s="427" t="str">
        <f>IF(AND($A215&gt;=SYear_O,$A215&lt;=EYear_O,BG$3&gt;0),IF($A215=SYear_O,BG$168*(1+Data_All!BG54%),BG214*(1+Data_All!BG54%)),"")</f>
        <v/>
      </c>
      <c r="BH215" s="427" t="str">
        <f>IF(AND($A215&gt;=SYear_O,$A215&lt;=EYear_O,BH$3&gt;0),IF($A215=SYear_O,BH$168*(1+Data_All!BH54%),BH214*(1+Data_All!BH54%)),"")</f>
        <v/>
      </c>
      <c r="BI215" s="427" t="str">
        <f>IF(AND($A215&gt;=SYear_O,$A215&lt;=EYear_O,BI$3&gt;0),IF($A215=SYear_O,BI$168*(1+Data_All!BI54%),BI214*(1+Data_All!BI54%)),"")</f>
        <v/>
      </c>
      <c r="BJ215" s="427" t="str">
        <f>IF(AND($A215&gt;=SYear_O,$A215&lt;=EYear_O,BJ$3&gt;0),IF($A215=SYear_O,BJ$168*(1+Data_All!BJ54%),BJ214*(1+Data_All!BJ54%)),"")</f>
        <v/>
      </c>
      <c r="BK215" s="427" t="str">
        <f>IF(AND($A215&gt;=SYear_O,$A215&lt;=EYear_O,BK$3&gt;0),IF($A215=SYear_O,BK$168*(1+Data_All!BK54%),BK214*(1+Data_All!BK54%)),"")</f>
        <v/>
      </c>
      <c r="BL215" s="427" t="str">
        <f>IF(AND($A215&gt;=SYear_O,$A215&lt;=EYear_O,BL$3&gt;0),IF($A215=SYear_O,BL$168*(1+Data_All!BL54%),BL214*(1+Data_All!BL54%)),"")</f>
        <v/>
      </c>
      <c r="BM215" s="427" t="str">
        <f>IF(AND($A215&gt;=SYear_O,$A215&lt;=EYear_O,BM$3&gt;0),IF($A215=SYear_O,BM$168*(1+Data_All!BM54%),BM214*(1+Data_All!BM54%)),"")</f>
        <v/>
      </c>
      <c r="BN215" s="427" t="str">
        <f>IF(AND($A215&gt;=SYear_O,$A215&lt;=EYear_O,BN$3&gt;0),IF($A215=SYear_O,BN$168*(1+Data_All!BN54%),BN214*(1+Data_All!BN54%)),"")</f>
        <v/>
      </c>
      <c r="BO215" s="427" t="str">
        <f>IF(AND($A215&gt;=SYear_O,$A215&lt;=EYear_O,BO$3&gt;0),IF($A215=SYear_O,BO$168*(1+Data_All!BO54%),BO214*(1+Data_All!BO54%)),"")</f>
        <v/>
      </c>
      <c r="BP215" s="427" t="str">
        <f>IF(AND($A215&gt;=SYear_O,$A215&lt;=EYear_O,BP$3&gt;0),IF($A215=SYear_O,BP$168*(1+Data_All!BP54%),BP214*(1+Data_All!BP54%)),"")</f>
        <v/>
      </c>
      <c r="BQ215" s="427" t="str">
        <f>IF(AND($A215&gt;=SYear_O,$A215&lt;=EYear_O,BQ$3&gt;0),IF($A215=SYear_O,BQ$168*(1+Data_All!BQ54%),BQ214*(1+Data_All!BQ54%)),"")</f>
        <v/>
      </c>
      <c r="BR215" s="427" t="str">
        <f>IF(AND($A215&gt;=SYear_O,$A215&lt;=EYear_O,BR$3&gt;0),IF($A215=SYear_O,BR$168*(1+Data_All!BR54%),BR214*(1+Data_All!BR54%)),"")</f>
        <v/>
      </c>
      <c r="BS215" s="427" t="str">
        <f>IF(AND($A215&gt;=SYear_O,$A215&lt;=EYear_O,BS$3&gt;0),IF($A215=SYear_O,BS$168*(1+Data_All!BS54%),BS214*(1+Data_All!BS54%)),"")</f>
        <v/>
      </c>
      <c r="BT215" s="427" t="str">
        <f>IF(AND($A215&gt;=SYear_O,$A215&lt;=EYear_O,BT$3&gt;0),IF($A215=SYear_O,BT$168*(1+Data_All!BT54%),BT214*(1+Data_All!BT54%)),"")</f>
        <v/>
      </c>
      <c r="BU215" s="427" t="str">
        <f>IF(AND($A215&gt;=SYear_O,$A215&lt;=EYear_O,BU$3&gt;0),IF($A215=SYear_O,BU$168*(1+Data_All!BU54%),BU214*(1+Data_All!BU54%)),"")</f>
        <v/>
      </c>
      <c r="BV215" s="427" t="str">
        <f>IF(AND($A215&gt;=SYear_O,$A215&lt;=EYear_O,BV$3&gt;0),IF($A215=SYear_O,BV$168*(1+Data_All!BV54%),BV214*(1+Data_All!BV54%)),"")</f>
        <v/>
      </c>
      <c r="BW215" s="427" t="str">
        <f>IF(AND($A215&gt;=SYear_O,$A215&lt;=EYear_O,BW$3&gt;0),IF($A215=SYear_O,BW$168*(1+Data_All!BW54%),BW214*(1+Data_All!BW54%)),"")</f>
        <v/>
      </c>
      <c r="BX215" s="427">
        <f>IF(AND($A215&gt;=SYear_O,$A215&lt;=EYear_O,BX$3&gt;0),IF($A215=SYear_O,BX$168*(1+Data_All!BX54%),BX214*(1+Data_All!BX54%)),"")</f>
        <v>100138.82111354441</v>
      </c>
      <c r="BY215" s="427">
        <f>IF(AND($A215&gt;=SYear_O,$A215&lt;=EYear_O,BY$3&gt;0),IF($A215=SYear_O,BY$168*(1+Data_All!BY54%),BY214*(1+Data_All!BY54%)),"")</f>
        <v>23559.882244993387</v>
      </c>
      <c r="BZ215" s="427" t="str">
        <f>IF(AND($A215&gt;=SYear_O,$A215&lt;=EYear_O,BZ$3&gt;0),IF($A215=SYear_O,BZ$168*(1+Data_All!BZ54%),BZ214*(1+Data_All!BZ54%)),"")</f>
        <v/>
      </c>
      <c r="CA215" s="565">
        <f t="shared" si="108"/>
        <v>-14.571525554044857</v>
      </c>
      <c r="CB215" s="427">
        <f t="shared" si="109"/>
        <v>123698.70335853781</v>
      </c>
      <c r="CC215" s="565">
        <f>IF(AND($A215&gt;=SYear_O,$A215&lt;=EYear_O),(CA215-Data_All!CA54)/(1+Data_All!CA54%),"")</f>
        <v>-28.606203498737486</v>
      </c>
      <c r="CD215" s="436">
        <f t="shared" si="110"/>
        <v>110127.72744869425</v>
      </c>
      <c r="CE215" s="438">
        <f t="shared" si="111"/>
        <v>11.219378231043784</v>
      </c>
      <c r="CF215" s="438">
        <f>IF(AND($A215&gt;=SYear_O,$A215&lt;=EYear_O),MAX($CE$169:CE215),"")</f>
        <v>13.133066350308679</v>
      </c>
      <c r="CG215" s="209">
        <f t="shared" si="112"/>
        <v>0.14571525554044851</v>
      </c>
      <c r="CN215" s="61">
        <f t="shared" si="113"/>
        <v>-0.14571525554044862</v>
      </c>
      <c r="CO215" s="61">
        <f t="shared" si="114"/>
        <v>4.3044692934173012E-2</v>
      </c>
      <c r="CP215" s="61">
        <f t="shared" si="115"/>
        <v>2.0732136779515686E-2</v>
      </c>
      <c r="CQ215" s="61">
        <f t="shared" si="116"/>
        <v>9.2150221639765162E-2</v>
      </c>
      <c r="CR215" s="61">
        <f t="shared" si="117"/>
        <v>4.9371294104108232E-2</v>
      </c>
      <c r="CU215" s="61">
        <f t="shared" si="118"/>
        <v>-0.28606203498737481</v>
      </c>
      <c r="CV215" s="61">
        <f t="shared" si="119"/>
        <v>-0.11723365284269249</v>
      </c>
      <c r="CW215" s="61">
        <f t="shared" si="120"/>
        <v>-5.1643511843538992E-2</v>
      </c>
      <c r="CX215" s="61">
        <f t="shared" si="121"/>
        <v>4.9052346551722081E-2</v>
      </c>
      <c r="CY215" s="61">
        <f t="shared" si="122"/>
        <v>3.5426243028963578E-2</v>
      </c>
    </row>
    <row r="216" spans="1:103">
      <c r="A216" s="204">
        <f t="shared" si="107"/>
        <v>1918</v>
      </c>
      <c r="B216" s="427" t="str">
        <f>IF(AND($A216&gt;=SYear_O,$A216&lt;=EYear_O,B$3&gt;0),IF($A216=SYear_O,B$168*(1+Data_All!B55%),B215*(1+Data_All!B55%)),"")</f>
        <v/>
      </c>
      <c r="C216" s="427" t="str">
        <f>IF(AND($A216&gt;=SYear_O,$A216&lt;=EYear_O,C$3&gt;0),IF($A216=SYear_O,C$168*(1+Data_All!C55%),C215*(1+Data_All!C55%)),"")</f>
        <v/>
      </c>
      <c r="D216" s="427" t="str">
        <f>IF(AND($A216&gt;=SYear_O,$A216&lt;=EYear_O,D$3&gt;0),IF($A216=SYear_O,D$168*(1+Data_All!D55%),D215*(1+Data_All!D55%)),"")</f>
        <v/>
      </c>
      <c r="E216" s="427" t="str">
        <f>IF(AND($A216&gt;=SYear_O,$A216&lt;=EYear_O,E$3&gt;0),IF($A216=SYear_O,E$168*(1+Data_All!E55%),E215*(1+Data_All!E55%)),"")</f>
        <v/>
      </c>
      <c r="F216" s="427" t="str">
        <f>IF(AND($A216&gt;=SYear_O,$A216&lt;=EYear_O,F$3&gt;0),IF($A216=SYear_O,F$168*(1+Data_All!F55%),F215*(1+Data_All!F55%)),"")</f>
        <v/>
      </c>
      <c r="G216" s="427" t="str">
        <f>IF(AND($A216&gt;=SYear_O,$A216&lt;=EYear_O,G$3&gt;0),IF($A216=SYear_O,G$168*(1+Data_All!G55%),G215*(1+Data_All!G55%)),"")</f>
        <v/>
      </c>
      <c r="H216" s="427" t="str">
        <f>IF(AND($A216&gt;=SYear_O,$A216&lt;=EYear_O,H$3&gt;0),IF($A216=SYear_O,H$168*(1+Data_All!H55%),H215*(1+Data_All!H55%)),"")</f>
        <v/>
      </c>
      <c r="I216" s="427" t="str">
        <f>IF(AND($A216&gt;=SYear_O,$A216&lt;=EYear_O,I$3&gt;0),IF($A216=SYear_O,I$168*(1+Data_All!I55%),I215*(1+Data_All!I55%)),"")</f>
        <v/>
      </c>
      <c r="J216" s="427" t="str">
        <f>IF(AND($A216&gt;=SYear_O,$A216&lt;=EYear_O,J$3&gt;0),IF($A216=SYear_O,J$168*(1+Data_All!J55%),J215*(1+Data_All!J55%)),"")</f>
        <v/>
      </c>
      <c r="K216" s="427" t="str">
        <f>IF(AND($A216&gt;=SYear_O,$A216&lt;=EYear_O,K$3&gt;0),IF($A216=SYear_O,K$168*(1+Data_All!K55%),K215*(1+Data_All!K55%)),"")</f>
        <v/>
      </c>
      <c r="L216" s="427" t="str">
        <f>IF(AND($A216&gt;=SYear_O,$A216&lt;=EYear_O,L$3&gt;0),IF($A216=SYear_O,L$168*(1+Data_All!L55%),L215*(1+Data_All!L55%)),"")</f>
        <v/>
      </c>
      <c r="M216" s="427" t="str">
        <f>IF(AND($A216&gt;=SYear_O,$A216&lt;=EYear_O,M$3&gt;0),IF($A216=SYear_O,M$168*(1+Data_All!M55%),M215*(1+Data_All!M55%)),"")</f>
        <v/>
      </c>
      <c r="N216" s="427" t="str">
        <f>IF(AND($A216&gt;=SYear_O,$A216&lt;=EYear_O,N$3&gt;0),IF($A216=SYear_O,N$168*(1+Data_All!N55%),N215*(1+Data_All!N55%)),"")</f>
        <v/>
      </c>
      <c r="O216" s="427" t="str">
        <f>IF(AND($A216&gt;=SYear_O,$A216&lt;=EYear_O,O$3&gt;0),IF($A216=SYear_O,O$168*(1+Data_All!O55%),O215*(1+Data_All!O55%)),"")</f>
        <v/>
      </c>
      <c r="P216" s="427" t="str">
        <f>IF(AND($A216&gt;=SYear_O,$A216&lt;=EYear_O,P$3&gt;0),IF($A216=SYear_O,P$168*(1+Data_All!P55%),P215*(1+Data_All!P55%)),"")</f>
        <v/>
      </c>
      <c r="Q216" s="427" t="str">
        <f>IF(AND($A216&gt;=SYear_O,$A216&lt;=EYear_O,Q$3&gt;0),IF($A216=SYear_O,Q$168*(1+Data_All!Q55%),Q215*(1+Data_All!Q55%)),"")</f>
        <v/>
      </c>
      <c r="R216" s="427" t="str">
        <f>IF(AND($A216&gt;=SYear_O,$A216&lt;=EYear_O,R$3&gt;0),IF($A216=SYear_O,R$168*(1+Data_All!R55%),R215*(1+Data_All!R55%)),"")</f>
        <v/>
      </c>
      <c r="S216" s="427" t="str">
        <f>IF(AND($A216&gt;=SYear_O,$A216&lt;=EYear_O,S$3&gt;0),IF($A216=SYear_O,S$168*(1+Data_All!S55%),S215*(1+Data_All!S55%)),"")</f>
        <v/>
      </c>
      <c r="T216" s="427" t="str">
        <f>IF(AND($A216&gt;=SYear_O,$A216&lt;=EYear_O,T$3&gt;0),IF($A216=SYear_O,T$168*(1+Data_All!T55%),T215*(1+Data_All!T55%)),"")</f>
        <v/>
      </c>
      <c r="U216" s="427" t="str">
        <f>IF(AND($A216&gt;=SYear_O,$A216&lt;=EYear_O,U$3&gt;0),IF($A216=SYear_O,U$168*(1+Data_All!U55%),U215*(1+Data_All!U55%)),"")</f>
        <v/>
      </c>
      <c r="V216" s="427" t="str">
        <f>IF(AND($A216&gt;=SYear_O,$A216&lt;=EYear_O,V$3&gt;0),IF($A216=SYear_O,V$168*(1+Data_All!V55%),V215*(1+Data_All!V55%)),"")</f>
        <v/>
      </c>
      <c r="W216" s="427" t="str">
        <f>IF(AND($A216&gt;=SYear_O,$A216&lt;=EYear_O,W$3&gt;0),IF($A216=SYear_O,W$168*(1+Data_All!W55%),W215*(1+Data_All!W55%)),"")</f>
        <v/>
      </c>
      <c r="X216" s="427" t="str">
        <f>IF(AND($A216&gt;=SYear_O,$A216&lt;=EYear_O,X$3&gt;0),IF($A216=SYear_O,X$168*(1+Data_All!X55%),X215*(1+Data_All!X55%)),"")</f>
        <v/>
      </c>
      <c r="Y216" s="427" t="str">
        <f>IF(AND($A216&gt;=SYear_O,$A216&lt;=EYear_O,Y$3&gt;0),IF($A216=SYear_O,Y$168*(1+Data_All!Y55%),Y215*(1+Data_All!Y55%)),"")</f>
        <v/>
      </c>
      <c r="Z216" s="427" t="str">
        <f>IF(AND($A216&gt;=SYear_O,$A216&lt;=EYear_O,Z$3&gt;0),IF($A216=SYear_O,Z$168*(1+Data_All!Z55%),Z215*(1+Data_All!Z55%)),"")</f>
        <v/>
      </c>
      <c r="AA216" s="427" t="str">
        <f>IF(AND($A216&gt;=SYear_O,$A216&lt;=EYear_O,AA$3&gt;0),IF($A216=SYear_O,AA$168*(1+Data_All!AA55%),AA215*(1+Data_All!AA55%)),"")</f>
        <v/>
      </c>
      <c r="AB216" s="427" t="str">
        <f>IF(AND($A216&gt;=SYear_O,$A216&lt;=EYear_O,AB$3&gt;0),IF($A216=SYear_O,AB$168*(1+Data_All!AB55%),AB215*(1+Data_All!AB55%)),"")</f>
        <v/>
      </c>
      <c r="AC216" s="427" t="str">
        <f>IF(AND($A216&gt;=SYear_O,$A216&lt;=EYear_O,AC$3&gt;0),IF($A216=SYear_O,AC$168*(1+Data_All!AC55%),AC215*(1+Data_All!AC55%)),"")</f>
        <v/>
      </c>
      <c r="AD216" s="427" t="str">
        <f>IF(AND($A216&gt;=SYear_O,$A216&lt;=EYear_O,AD$3&gt;0),IF($A216=SYear_O,AD$168*(1+Data_All!AD55%),AD215*(1+Data_All!AD55%)),"")</f>
        <v/>
      </c>
      <c r="AE216" s="427" t="str">
        <f>IF(AND($A216&gt;=SYear_O,$A216&lt;=EYear_O,AE$3&gt;0),IF($A216=SYear_O,AE$168*(1+Data_All!AE55%),AE215*(1+Data_All!AE55%)),"")</f>
        <v/>
      </c>
      <c r="AF216" s="427" t="str">
        <f>IF(AND($A216&gt;=SYear_O,$A216&lt;=EYear_O,AF$3&gt;0),IF($A216=SYear_O,AF$168*(1+Data_All!AF55%),AF215*(1+Data_All!AF55%)),"")</f>
        <v/>
      </c>
      <c r="AG216" s="427" t="str">
        <f>IF(AND($A216&gt;=SYear_O,$A216&lt;=EYear_O,AG$3&gt;0),IF($A216=SYear_O,AG$168*(1+Data_All!AG55%),AG215*(1+Data_All!AG55%)),"")</f>
        <v/>
      </c>
      <c r="AH216" s="427" t="str">
        <f>IF(AND($A216&gt;=SYear_O,$A216&lt;=EYear_O,AH$3&gt;0),IF($A216=SYear_O,AH$168*(1+Data_All!AH55%),AH215*(1+Data_All!AH55%)),"")</f>
        <v/>
      </c>
      <c r="AI216" s="427" t="str">
        <f>IF(AND($A216&gt;=SYear_O,$A216&lt;=EYear_O,AI$3&gt;0),IF($A216=SYear_O,AI$168*(1+Data_All!AI55%),AI215*(1+Data_All!AI55%)),"")</f>
        <v/>
      </c>
      <c r="AJ216" s="427" t="str">
        <f>IF(AND($A216&gt;=SYear_O,$A216&lt;=EYear_O,AJ$3&gt;0),IF($A216=SYear_O,AJ$168*(1+Data_All!AJ55%),AJ215*(1+Data_All!AJ55%)),"")</f>
        <v/>
      </c>
      <c r="AK216" s="427" t="str">
        <f>IF(AND($A216&gt;=SYear_O,$A216&lt;=EYear_O,AK$3&gt;0),IF($A216=SYear_O,AK$168*(1+Data_All!AK55%),AK215*(1+Data_All!AK55%)),"")</f>
        <v/>
      </c>
      <c r="AL216" s="427" t="str">
        <f>IF(AND($A216&gt;=SYear_O,$A216&lt;=EYear_O,AL$3&gt;0),IF($A216=SYear_O,AL$168*(1+Data_All!AL55%),AL215*(1+Data_All!AL55%)),"")</f>
        <v/>
      </c>
      <c r="AM216" s="427" t="str">
        <f>IF(AND($A216&gt;=SYear_O,$A216&lt;=EYear_O,AM$3&gt;0),IF($A216=SYear_O,AM$168*(1+Data_All!AM55%),AM215*(1+Data_All!AM55%)),"")</f>
        <v/>
      </c>
      <c r="AN216" s="427" t="str">
        <f>IF(AND($A216&gt;=SYear_O,$A216&lt;=EYear_O,AN$3&gt;0),IF($A216=SYear_O,AN$168*(1+Data_All!AN55%),AN215*(1+Data_All!AN55%)),"")</f>
        <v/>
      </c>
      <c r="AO216" s="427" t="str">
        <f>IF(AND($A216&gt;=SYear_O,$A216&lt;=EYear_O,AO$3&gt;0),IF($A216=SYear_O,AO$168*(1+Data_All!AO55%),AO215*(1+Data_All!AO55%)),"")</f>
        <v/>
      </c>
      <c r="AP216" s="427" t="str">
        <f>IF(AND($A216&gt;=SYear_O,$A216&lt;=EYear_O,AP$3&gt;0),IF($A216=SYear_O,AP$168*(1+Data_All!AP55%),AP215*(1+Data_All!AP55%)),"")</f>
        <v/>
      </c>
      <c r="AQ216" s="427" t="str">
        <f>IF(AND($A216&gt;=SYear_O,$A216&lt;=EYear_O,AQ$3&gt;0),IF($A216=SYear_O,AQ$168*(1+Data_All!AQ55%),AQ215*(1+Data_All!AQ55%)),"")</f>
        <v/>
      </c>
      <c r="AR216" s="427" t="str">
        <f>IF(AND($A216&gt;=SYear_O,$A216&lt;=EYear_O,AR$3&gt;0),IF($A216=SYear_O,AR$168*(1+Data_All!AR55%),AR215*(1+Data_All!AR55%)),"")</f>
        <v/>
      </c>
      <c r="AS216" s="427" t="str">
        <f>IF(AND($A216&gt;=SYear_O,$A216&lt;=EYear_O,AS$3&gt;0),IF($A216=SYear_O,AS$168*(1+Data_All!AS55%),AS215*(1+Data_All!AS55%)),"")</f>
        <v/>
      </c>
      <c r="AT216" s="427" t="str">
        <f>IF(AND($A216&gt;=SYear_O,$A216&lt;=EYear_O,AT$3&gt;0),IF($A216=SYear_O,AT$168*(1+Data_All!AT55%),AT215*(1+Data_All!AT55%)),"")</f>
        <v/>
      </c>
      <c r="AU216" s="427" t="str">
        <f>IF(AND($A216&gt;=SYear_O,$A216&lt;=EYear_O,AU$3&gt;0),IF($A216=SYear_O,AU$168*(1+Data_All!AU55%),AU215*(1+Data_All!AU55%)),"")</f>
        <v/>
      </c>
      <c r="AV216" s="427" t="str">
        <f>IF(AND($A216&gt;=SYear_O,$A216&lt;=EYear_O,AV$3&gt;0),IF($A216=SYear_O,AV$168*(1+Data_All!AV55%),AV215*(1+Data_All!AV55%)),"")</f>
        <v/>
      </c>
      <c r="AW216" s="427" t="str">
        <f>IF(AND($A216&gt;=SYear_O,$A216&lt;=EYear_O,AW$3&gt;0),IF($A216=SYear_O,AW$168*(1+Data_All!AW55%),AW215*(1+Data_All!AW55%)),"")</f>
        <v/>
      </c>
      <c r="AX216" s="427" t="str">
        <f>IF(AND($A216&gt;=SYear_O,$A216&lt;=EYear_O,AX$3&gt;0),IF($A216=SYear_O,AX$168*(1+Data_All!AX55%),AX215*(1+Data_All!AX55%)),"")</f>
        <v/>
      </c>
      <c r="AY216" s="427" t="str">
        <f>IF(AND($A216&gt;=SYear_O,$A216&lt;=EYear_O,AY$3&gt;0),IF($A216=SYear_O,AY$168*(1+Data_All!AY55%),AY215*(1+Data_All!AY55%)),"")</f>
        <v/>
      </c>
      <c r="AZ216" s="427" t="str">
        <f>IF(AND($A216&gt;=SYear_O,$A216&lt;=EYear_O,AZ$3&gt;0),IF($A216=SYear_O,AZ$168*(1+Data_All!AZ55%),AZ215*(1+Data_All!AZ55%)),"")</f>
        <v/>
      </c>
      <c r="BA216" s="427" t="str">
        <f>IF(AND($A216&gt;=SYear_O,$A216&lt;=EYear_O,BA$3&gt;0),IF($A216=SYear_O,BA$168*(1+Data_All!BA55%),BA215*(1+Data_All!BA55%)),"")</f>
        <v/>
      </c>
      <c r="BB216" s="427" t="str">
        <f>IF(AND($A216&gt;=SYear_O,$A216&lt;=EYear_O,BB$3&gt;0),IF($A216=SYear_O,BB$168*(1+Data_All!BB55%),BB215*(1+Data_All!BB55%)),"")</f>
        <v/>
      </c>
      <c r="BC216" s="427" t="str">
        <f>IF(AND($A216&gt;=SYear_O,$A216&lt;=EYear_O,BC$3&gt;0),IF($A216=SYear_O,BC$168*(1+Data_All!BC55%),BC215*(1+Data_All!BC55%)),"")</f>
        <v/>
      </c>
      <c r="BD216" s="427" t="str">
        <f>IF(AND($A216&gt;=SYear_O,$A216&lt;=EYear_O,BD$3&gt;0),IF($A216=SYear_O,BD$168*(1+Data_All!BD55%),BD215*(1+Data_All!BD55%)),"")</f>
        <v/>
      </c>
      <c r="BE216" s="427" t="str">
        <f>IF(AND($A216&gt;=SYear_O,$A216&lt;=EYear_O,BE$3&gt;0),IF($A216=SYear_O,BE$168*(1+Data_All!BE55%),BE215*(1+Data_All!BE55%)),"")</f>
        <v/>
      </c>
      <c r="BF216" s="427" t="str">
        <f>IF(AND($A216&gt;=SYear_O,$A216&lt;=EYear_O,BF$3&gt;0),IF($A216=SYear_O,BF$168*(1+Data_All!BF55%),BF215*(1+Data_All!BF55%)),"")</f>
        <v/>
      </c>
      <c r="BG216" s="427" t="str">
        <f>IF(AND($A216&gt;=SYear_O,$A216&lt;=EYear_O,BG$3&gt;0),IF($A216=SYear_O,BG$168*(1+Data_All!BG55%),BG215*(1+Data_All!BG55%)),"")</f>
        <v/>
      </c>
      <c r="BH216" s="427" t="str">
        <f>IF(AND($A216&gt;=SYear_O,$A216&lt;=EYear_O,BH$3&gt;0),IF($A216=SYear_O,BH$168*(1+Data_All!BH55%),BH215*(1+Data_All!BH55%)),"")</f>
        <v/>
      </c>
      <c r="BI216" s="427" t="str">
        <f>IF(AND($A216&gt;=SYear_O,$A216&lt;=EYear_O,BI$3&gt;0),IF($A216=SYear_O,BI$168*(1+Data_All!BI55%),BI215*(1+Data_All!BI55%)),"")</f>
        <v/>
      </c>
      <c r="BJ216" s="427" t="str">
        <f>IF(AND($A216&gt;=SYear_O,$A216&lt;=EYear_O,BJ$3&gt;0),IF($A216=SYear_O,BJ$168*(1+Data_All!BJ55%),BJ215*(1+Data_All!BJ55%)),"")</f>
        <v/>
      </c>
      <c r="BK216" s="427" t="str">
        <f>IF(AND($A216&gt;=SYear_O,$A216&lt;=EYear_O,BK$3&gt;0),IF($A216=SYear_O,BK$168*(1+Data_All!BK55%),BK215*(1+Data_All!BK55%)),"")</f>
        <v/>
      </c>
      <c r="BL216" s="427" t="str">
        <f>IF(AND($A216&gt;=SYear_O,$A216&lt;=EYear_O,BL$3&gt;0),IF($A216=SYear_O,BL$168*(1+Data_All!BL55%),BL215*(1+Data_All!BL55%)),"")</f>
        <v/>
      </c>
      <c r="BM216" s="427" t="str">
        <f>IF(AND($A216&gt;=SYear_O,$A216&lt;=EYear_O,BM$3&gt;0),IF($A216=SYear_O,BM$168*(1+Data_All!BM55%),BM215*(1+Data_All!BM55%)),"")</f>
        <v/>
      </c>
      <c r="BN216" s="427" t="str">
        <f>IF(AND($A216&gt;=SYear_O,$A216&lt;=EYear_O,BN$3&gt;0),IF($A216=SYear_O,BN$168*(1+Data_All!BN55%),BN215*(1+Data_All!BN55%)),"")</f>
        <v/>
      </c>
      <c r="BO216" s="427" t="str">
        <f>IF(AND($A216&gt;=SYear_O,$A216&lt;=EYear_O,BO$3&gt;0),IF($A216=SYear_O,BO$168*(1+Data_All!BO55%),BO215*(1+Data_All!BO55%)),"")</f>
        <v/>
      </c>
      <c r="BP216" s="427" t="str">
        <f>IF(AND($A216&gt;=SYear_O,$A216&lt;=EYear_O,BP$3&gt;0),IF($A216=SYear_O,BP$168*(1+Data_All!BP55%),BP215*(1+Data_All!BP55%)),"")</f>
        <v/>
      </c>
      <c r="BQ216" s="427" t="str">
        <f>IF(AND($A216&gt;=SYear_O,$A216&lt;=EYear_O,BQ$3&gt;0),IF($A216=SYear_O,BQ$168*(1+Data_All!BQ55%),BQ215*(1+Data_All!BQ55%)),"")</f>
        <v/>
      </c>
      <c r="BR216" s="427" t="str">
        <f>IF(AND($A216&gt;=SYear_O,$A216&lt;=EYear_O,BR$3&gt;0),IF($A216=SYear_O,BR$168*(1+Data_All!BR55%),BR215*(1+Data_All!BR55%)),"")</f>
        <v/>
      </c>
      <c r="BS216" s="427" t="str">
        <f>IF(AND($A216&gt;=SYear_O,$A216&lt;=EYear_O,BS$3&gt;0),IF($A216=SYear_O,BS$168*(1+Data_All!BS55%),BS215*(1+Data_All!BS55%)),"")</f>
        <v/>
      </c>
      <c r="BT216" s="427" t="str">
        <f>IF(AND($A216&gt;=SYear_O,$A216&lt;=EYear_O,BT$3&gt;0),IF($A216=SYear_O,BT$168*(1+Data_All!BT55%),BT215*(1+Data_All!BT55%)),"")</f>
        <v/>
      </c>
      <c r="BU216" s="427" t="str">
        <f>IF(AND($A216&gt;=SYear_O,$A216&lt;=EYear_O,BU$3&gt;0),IF($A216=SYear_O,BU$168*(1+Data_All!BU55%),BU215*(1+Data_All!BU55%)),"")</f>
        <v/>
      </c>
      <c r="BV216" s="427" t="str">
        <f>IF(AND($A216&gt;=SYear_O,$A216&lt;=EYear_O,BV$3&gt;0),IF($A216=SYear_O,BV$168*(1+Data_All!BV55%),BV215*(1+Data_All!BV55%)),"")</f>
        <v/>
      </c>
      <c r="BW216" s="427" t="str">
        <f>IF(AND($A216&gt;=SYear_O,$A216&lt;=EYear_O,BW$3&gt;0),IF($A216=SYear_O,BW$168*(1+Data_All!BW55%),BW215*(1+Data_All!BW55%)),"")</f>
        <v/>
      </c>
      <c r="BX216" s="427">
        <f>IF(AND($A216&gt;=SYear_O,$A216&lt;=EYear_O,BX$3&gt;0),IF($A216=SYear_O,BX$168*(1+Data_All!BX55%),BX215*(1+Data_All!BX55%)),"")</f>
        <v>116944.36529487433</v>
      </c>
      <c r="BY216" s="427">
        <f>IF(AND($A216&gt;=SYear_O,$A216&lt;=EYear_O,BY$3&gt;0),IF($A216=SYear_O,BY$168*(1+Data_All!BY55%),BY215*(1+Data_All!BY55%)),"")</f>
        <v>24828.722528905673</v>
      </c>
      <c r="BZ216" s="427" t="str">
        <f>IF(AND($A216&gt;=SYear_O,$A216&lt;=EYear_O,BZ$3&gt;0),IF($A216=SYear_O,BZ$168*(1+Data_All!BZ55%),BZ215*(1+Data_All!BZ55%)),"")</f>
        <v/>
      </c>
      <c r="CA216" s="565">
        <f t="shared" si="108"/>
        <v>14.611619988330839</v>
      </c>
      <c r="CB216" s="427">
        <f t="shared" si="109"/>
        <v>141773.08782377999</v>
      </c>
      <c r="CC216" s="565">
        <f>IF(AND($A216&gt;=SYear_O,$A216&lt;=EYear_O),(CA216-Data_All!CA55)/(1+Data_All!CA55%),"")</f>
        <v>-2.7537769795980798</v>
      </c>
      <c r="CD216" s="436">
        <f t="shared" si="110"/>
        <v>107095.05544205759</v>
      </c>
      <c r="CE216" s="438">
        <f t="shared" si="111"/>
        <v>12.858711143217414</v>
      </c>
      <c r="CF216" s="438">
        <f>IF(AND($A216&gt;=SYear_O,$A216&lt;=EYear_O),MAX($CE$169:CE216),"")</f>
        <v>13.133066350308679</v>
      </c>
      <c r="CG216" s="209">
        <f t="shared" si="112"/>
        <v>2.0890415061735834E-2</v>
      </c>
      <c r="CN216" s="61">
        <f t="shared" si="113"/>
        <v>0.14611619988330848</v>
      </c>
      <c r="CO216" s="61">
        <f t="shared" si="114"/>
        <v>5.7422084098720738E-2</v>
      </c>
      <c r="CP216" s="61">
        <f t="shared" si="115"/>
        <v>0.10020736684047438</v>
      </c>
      <c r="CQ216" s="61">
        <f t="shared" si="116"/>
        <v>0.14159463609382117</v>
      </c>
      <c r="CR216" s="61">
        <f t="shared" si="117"/>
        <v>5.6007008134978609E-2</v>
      </c>
      <c r="CU216" s="61">
        <f t="shared" si="118"/>
        <v>-2.7537769795980771E-2</v>
      </c>
      <c r="CV216" s="61">
        <f t="shared" si="119"/>
        <v>-4.4919771662101038E-2</v>
      </c>
      <c r="CW216" s="61">
        <f t="shared" si="120"/>
        <v>6.0811695956054068E-2</v>
      </c>
      <c r="CX216" s="61">
        <f t="shared" si="121"/>
        <v>0.11768677655256088</v>
      </c>
      <c r="CY216" s="61">
        <f t="shared" si="122"/>
        <v>6.178362200562737E-2</v>
      </c>
    </row>
    <row r="217" spans="1:103">
      <c r="A217" s="204">
        <f t="shared" si="107"/>
        <v>1919</v>
      </c>
      <c r="B217" s="427" t="str">
        <f>IF(AND($A217&gt;=SYear_O,$A217&lt;=EYear_O,B$3&gt;0),IF($A217=SYear_O,B$168*(1+Data_All!B56%),B216*(1+Data_All!B56%)),"")</f>
        <v/>
      </c>
      <c r="C217" s="427" t="str">
        <f>IF(AND($A217&gt;=SYear_O,$A217&lt;=EYear_O,C$3&gt;0),IF($A217=SYear_O,C$168*(1+Data_All!C56%),C216*(1+Data_All!C56%)),"")</f>
        <v/>
      </c>
      <c r="D217" s="427" t="str">
        <f>IF(AND($A217&gt;=SYear_O,$A217&lt;=EYear_O,D$3&gt;0),IF($A217=SYear_O,D$168*(1+Data_All!D56%),D216*(1+Data_All!D56%)),"")</f>
        <v/>
      </c>
      <c r="E217" s="427" t="str">
        <f>IF(AND($A217&gt;=SYear_O,$A217&lt;=EYear_O,E$3&gt;0),IF($A217=SYear_O,E$168*(1+Data_All!E56%),E216*(1+Data_All!E56%)),"")</f>
        <v/>
      </c>
      <c r="F217" s="427" t="str">
        <f>IF(AND($A217&gt;=SYear_O,$A217&lt;=EYear_O,F$3&gt;0),IF($A217=SYear_O,F$168*(1+Data_All!F56%),F216*(1+Data_All!F56%)),"")</f>
        <v/>
      </c>
      <c r="G217" s="427" t="str">
        <f>IF(AND($A217&gt;=SYear_O,$A217&lt;=EYear_O,G$3&gt;0),IF($A217=SYear_O,G$168*(1+Data_All!G56%),G216*(1+Data_All!G56%)),"")</f>
        <v/>
      </c>
      <c r="H217" s="427" t="str">
        <f>IF(AND($A217&gt;=SYear_O,$A217&lt;=EYear_O,H$3&gt;0),IF($A217=SYear_O,H$168*(1+Data_All!H56%),H216*(1+Data_All!H56%)),"")</f>
        <v/>
      </c>
      <c r="I217" s="427" t="str">
        <f>IF(AND($A217&gt;=SYear_O,$A217&lt;=EYear_O,I$3&gt;0),IF($A217=SYear_O,I$168*(1+Data_All!I56%),I216*(1+Data_All!I56%)),"")</f>
        <v/>
      </c>
      <c r="J217" s="427" t="str">
        <f>IF(AND($A217&gt;=SYear_O,$A217&lt;=EYear_O,J$3&gt;0),IF($A217=SYear_O,J$168*(1+Data_All!J56%),J216*(1+Data_All!J56%)),"")</f>
        <v/>
      </c>
      <c r="K217" s="427" t="str">
        <f>IF(AND($A217&gt;=SYear_O,$A217&lt;=EYear_O,K$3&gt;0),IF($A217=SYear_O,K$168*(1+Data_All!K56%),K216*(1+Data_All!K56%)),"")</f>
        <v/>
      </c>
      <c r="L217" s="427" t="str">
        <f>IF(AND($A217&gt;=SYear_O,$A217&lt;=EYear_O,L$3&gt;0),IF($A217=SYear_O,L$168*(1+Data_All!L56%),L216*(1+Data_All!L56%)),"")</f>
        <v/>
      </c>
      <c r="M217" s="427" t="str">
        <f>IF(AND($A217&gt;=SYear_O,$A217&lt;=EYear_O,M$3&gt;0),IF($A217=SYear_O,M$168*(1+Data_All!M56%),M216*(1+Data_All!M56%)),"")</f>
        <v/>
      </c>
      <c r="N217" s="427" t="str">
        <f>IF(AND($A217&gt;=SYear_O,$A217&lt;=EYear_O,N$3&gt;0),IF($A217=SYear_O,N$168*(1+Data_All!N56%),N216*(1+Data_All!N56%)),"")</f>
        <v/>
      </c>
      <c r="O217" s="427" t="str">
        <f>IF(AND($A217&gt;=SYear_O,$A217&lt;=EYear_O,O$3&gt;0),IF($A217=SYear_O,O$168*(1+Data_All!O56%),O216*(1+Data_All!O56%)),"")</f>
        <v/>
      </c>
      <c r="P217" s="427" t="str">
        <f>IF(AND($A217&gt;=SYear_O,$A217&lt;=EYear_O,P$3&gt;0),IF($A217=SYear_O,P$168*(1+Data_All!P56%),P216*(1+Data_All!P56%)),"")</f>
        <v/>
      </c>
      <c r="Q217" s="427" t="str">
        <f>IF(AND($A217&gt;=SYear_O,$A217&lt;=EYear_O,Q$3&gt;0),IF($A217=SYear_O,Q$168*(1+Data_All!Q56%),Q216*(1+Data_All!Q56%)),"")</f>
        <v/>
      </c>
      <c r="R217" s="427" t="str">
        <f>IF(AND($A217&gt;=SYear_O,$A217&lt;=EYear_O,R$3&gt;0),IF($A217=SYear_O,R$168*(1+Data_All!R56%),R216*(1+Data_All!R56%)),"")</f>
        <v/>
      </c>
      <c r="S217" s="427" t="str">
        <f>IF(AND($A217&gt;=SYear_O,$A217&lt;=EYear_O,S$3&gt;0),IF($A217=SYear_O,S$168*(1+Data_All!S56%),S216*(1+Data_All!S56%)),"")</f>
        <v/>
      </c>
      <c r="T217" s="427" t="str">
        <f>IF(AND($A217&gt;=SYear_O,$A217&lt;=EYear_O,T$3&gt;0),IF($A217=SYear_O,T$168*(1+Data_All!T56%),T216*(1+Data_All!T56%)),"")</f>
        <v/>
      </c>
      <c r="U217" s="427" t="str">
        <f>IF(AND($A217&gt;=SYear_O,$A217&lt;=EYear_O,U$3&gt;0),IF($A217=SYear_O,U$168*(1+Data_All!U56%),U216*(1+Data_All!U56%)),"")</f>
        <v/>
      </c>
      <c r="V217" s="427" t="str">
        <f>IF(AND($A217&gt;=SYear_O,$A217&lt;=EYear_O,V$3&gt;0),IF($A217=SYear_O,V$168*(1+Data_All!V56%),V216*(1+Data_All!V56%)),"")</f>
        <v/>
      </c>
      <c r="W217" s="427" t="str">
        <f>IF(AND($A217&gt;=SYear_O,$A217&lt;=EYear_O,W$3&gt;0),IF($A217=SYear_O,W$168*(1+Data_All!W56%),W216*(1+Data_All!W56%)),"")</f>
        <v/>
      </c>
      <c r="X217" s="427" t="str">
        <f>IF(AND($A217&gt;=SYear_O,$A217&lt;=EYear_O,X$3&gt;0),IF($A217=SYear_O,X$168*(1+Data_All!X56%),X216*(1+Data_All!X56%)),"")</f>
        <v/>
      </c>
      <c r="Y217" s="427" t="str">
        <f>IF(AND($A217&gt;=SYear_O,$A217&lt;=EYear_O,Y$3&gt;0),IF($A217=SYear_O,Y$168*(1+Data_All!Y56%),Y216*(1+Data_All!Y56%)),"")</f>
        <v/>
      </c>
      <c r="Z217" s="427" t="str">
        <f>IF(AND($A217&gt;=SYear_O,$A217&lt;=EYear_O,Z$3&gt;0),IF($A217=SYear_O,Z$168*(1+Data_All!Z56%),Z216*(1+Data_All!Z56%)),"")</f>
        <v/>
      </c>
      <c r="AA217" s="427" t="str">
        <f>IF(AND($A217&gt;=SYear_O,$A217&lt;=EYear_O,AA$3&gt;0),IF($A217=SYear_O,AA$168*(1+Data_All!AA56%),AA216*(1+Data_All!AA56%)),"")</f>
        <v/>
      </c>
      <c r="AB217" s="427" t="str">
        <f>IF(AND($A217&gt;=SYear_O,$A217&lt;=EYear_O,AB$3&gt;0),IF($A217=SYear_O,AB$168*(1+Data_All!AB56%),AB216*(1+Data_All!AB56%)),"")</f>
        <v/>
      </c>
      <c r="AC217" s="427" t="str">
        <f>IF(AND($A217&gt;=SYear_O,$A217&lt;=EYear_O,AC$3&gt;0),IF($A217=SYear_O,AC$168*(1+Data_All!AC56%),AC216*(1+Data_All!AC56%)),"")</f>
        <v/>
      </c>
      <c r="AD217" s="427" t="str">
        <f>IF(AND($A217&gt;=SYear_O,$A217&lt;=EYear_O,AD$3&gt;0),IF($A217=SYear_O,AD$168*(1+Data_All!AD56%),AD216*(1+Data_All!AD56%)),"")</f>
        <v/>
      </c>
      <c r="AE217" s="427" t="str">
        <f>IF(AND($A217&gt;=SYear_O,$A217&lt;=EYear_O,AE$3&gt;0),IF($A217=SYear_O,AE$168*(1+Data_All!AE56%),AE216*(1+Data_All!AE56%)),"")</f>
        <v/>
      </c>
      <c r="AF217" s="427" t="str">
        <f>IF(AND($A217&gt;=SYear_O,$A217&lt;=EYear_O,AF$3&gt;0),IF($A217=SYear_O,AF$168*(1+Data_All!AF56%),AF216*(1+Data_All!AF56%)),"")</f>
        <v/>
      </c>
      <c r="AG217" s="427" t="str">
        <f>IF(AND($A217&gt;=SYear_O,$A217&lt;=EYear_O,AG$3&gt;0),IF($A217=SYear_O,AG$168*(1+Data_All!AG56%),AG216*(1+Data_All!AG56%)),"")</f>
        <v/>
      </c>
      <c r="AH217" s="427" t="str">
        <f>IF(AND($A217&gt;=SYear_O,$A217&lt;=EYear_O,AH$3&gt;0),IF($A217=SYear_O,AH$168*(1+Data_All!AH56%),AH216*(1+Data_All!AH56%)),"")</f>
        <v/>
      </c>
      <c r="AI217" s="427" t="str">
        <f>IF(AND($A217&gt;=SYear_O,$A217&lt;=EYear_O,AI$3&gt;0),IF($A217=SYear_O,AI$168*(1+Data_All!AI56%),AI216*(1+Data_All!AI56%)),"")</f>
        <v/>
      </c>
      <c r="AJ217" s="427" t="str">
        <f>IF(AND($A217&gt;=SYear_O,$A217&lt;=EYear_O,AJ$3&gt;0),IF($A217=SYear_O,AJ$168*(1+Data_All!AJ56%),AJ216*(1+Data_All!AJ56%)),"")</f>
        <v/>
      </c>
      <c r="AK217" s="427" t="str">
        <f>IF(AND($A217&gt;=SYear_O,$A217&lt;=EYear_O,AK$3&gt;0),IF($A217=SYear_O,AK$168*(1+Data_All!AK56%),AK216*(1+Data_All!AK56%)),"")</f>
        <v/>
      </c>
      <c r="AL217" s="427" t="str">
        <f>IF(AND($A217&gt;=SYear_O,$A217&lt;=EYear_O,AL$3&gt;0),IF($A217=SYear_O,AL$168*(1+Data_All!AL56%),AL216*(1+Data_All!AL56%)),"")</f>
        <v/>
      </c>
      <c r="AM217" s="427" t="str">
        <f>IF(AND($A217&gt;=SYear_O,$A217&lt;=EYear_O,AM$3&gt;0),IF($A217=SYear_O,AM$168*(1+Data_All!AM56%),AM216*(1+Data_All!AM56%)),"")</f>
        <v/>
      </c>
      <c r="AN217" s="427" t="str">
        <f>IF(AND($A217&gt;=SYear_O,$A217&lt;=EYear_O,AN$3&gt;0),IF($A217=SYear_O,AN$168*(1+Data_All!AN56%),AN216*(1+Data_All!AN56%)),"")</f>
        <v/>
      </c>
      <c r="AO217" s="427" t="str">
        <f>IF(AND($A217&gt;=SYear_O,$A217&lt;=EYear_O,AO$3&gt;0),IF($A217=SYear_O,AO$168*(1+Data_All!AO56%),AO216*(1+Data_All!AO56%)),"")</f>
        <v/>
      </c>
      <c r="AP217" s="427" t="str">
        <f>IF(AND($A217&gt;=SYear_O,$A217&lt;=EYear_O,AP$3&gt;0),IF($A217=SYear_O,AP$168*(1+Data_All!AP56%),AP216*(1+Data_All!AP56%)),"")</f>
        <v/>
      </c>
      <c r="AQ217" s="427" t="str">
        <f>IF(AND($A217&gt;=SYear_O,$A217&lt;=EYear_O,AQ$3&gt;0),IF($A217=SYear_O,AQ$168*(1+Data_All!AQ56%),AQ216*(1+Data_All!AQ56%)),"")</f>
        <v/>
      </c>
      <c r="AR217" s="427" t="str">
        <f>IF(AND($A217&gt;=SYear_O,$A217&lt;=EYear_O,AR$3&gt;0),IF($A217=SYear_O,AR$168*(1+Data_All!AR56%),AR216*(1+Data_All!AR56%)),"")</f>
        <v/>
      </c>
      <c r="AS217" s="427" t="str">
        <f>IF(AND($A217&gt;=SYear_O,$A217&lt;=EYear_O,AS$3&gt;0),IF($A217=SYear_O,AS$168*(1+Data_All!AS56%),AS216*(1+Data_All!AS56%)),"")</f>
        <v/>
      </c>
      <c r="AT217" s="427" t="str">
        <f>IF(AND($A217&gt;=SYear_O,$A217&lt;=EYear_O,AT$3&gt;0),IF($A217=SYear_O,AT$168*(1+Data_All!AT56%),AT216*(1+Data_All!AT56%)),"")</f>
        <v/>
      </c>
      <c r="AU217" s="427" t="str">
        <f>IF(AND($A217&gt;=SYear_O,$A217&lt;=EYear_O,AU$3&gt;0),IF($A217=SYear_O,AU$168*(1+Data_All!AU56%),AU216*(1+Data_All!AU56%)),"")</f>
        <v/>
      </c>
      <c r="AV217" s="427" t="str">
        <f>IF(AND($A217&gt;=SYear_O,$A217&lt;=EYear_O,AV$3&gt;0),IF($A217=SYear_O,AV$168*(1+Data_All!AV56%),AV216*(1+Data_All!AV56%)),"")</f>
        <v/>
      </c>
      <c r="AW217" s="427" t="str">
        <f>IF(AND($A217&gt;=SYear_O,$A217&lt;=EYear_O,AW$3&gt;0),IF($A217=SYear_O,AW$168*(1+Data_All!AW56%),AW216*(1+Data_All!AW56%)),"")</f>
        <v/>
      </c>
      <c r="AX217" s="427" t="str">
        <f>IF(AND($A217&gt;=SYear_O,$A217&lt;=EYear_O,AX$3&gt;0),IF($A217=SYear_O,AX$168*(1+Data_All!AX56%),AX216*(1+Data_All!AX56%)),"")</f>
        <v/>
      </c>
      <c r="AY217" s="427" t="str">
        <f>IF(AND($A217&gt;=SYear_O,$A217&lt;=EYear_O,AY$3&gt;0),IF($A217=SYear_O,AY$168*(1+Data_All!AY56%),AY216*(1+Data_All!AY56%)),"")</f>
        <v/>
      </c>
      <c r="AZ217" s="427" t="str">
        <f>IF(AND($A217&gt;=SYear_O,$A217&lt;=EYear_O,AZ$3&gt;0),IF($A217=SYear_O,AZ$168*(1+Data_All!AZ56%),AZ216*(1+Data_All!AZ56%)),"")</f>
        <v/>
      </c>
      <c r="BA217" s="427" t="str">
        <f>IF(AND($A217&gt;=SYear_O,$A217&lt;=EYear_O,BA$3&gt;0),IF($A217=SYear_O,BA$168*(1+Data_All!BA56%),BA216*(1+Data_All!BA56%)),"")</f>
        <v/>
      </c>
      <c r="BB217" s="427" t="str">
        <f>IF(AND($A217&gt;=SYear_O,$A217&lt;=EYear_O,BB$3&gt;0),IF($A217=SYear_O,BB$168*(1+Data_All!BB56%),BB216*(1+Data_All!BB56%)),"")</f>
        <v/>
      </c>
      <c r="BC217" s="427" t="str">
        <f>IF(AND($A217&gt;=SYear_O,$A217&lt;=EYear_O,BC$3&gt;0),IF($A217=SYear_O,BC$168*(1+Data_All!BC56%),BC216*(1+Data_All!BC56%)),"")</f>
        <v/>
      </c>
      <c r="BD217" s="427" t="str">
        <f>IF(AND($A217&gt;=SYear_O,$A217&lt;=EYear_O,BD$3&gt;0),IF($A217=SYear_O,BD$168*(1+Data_All!BD56%),BD216*(1+Data_All!BD56%)),"")</f>
        <v/>
      </c>
      <c r="BE217" s="427" t="str">
        <f>IF(AND($A217&gt;=SYear_O,$A217&lt;=EYear_O,BE$3&gt;0),IF($A217=SYear_O,BE$168*(1+Data_All!BE56%),BE216*(1+Data_All!BE56%)),"")</f>
        <v/>
      </c>
      <c r="BF217" s="427" t="str">
        <f>IF(AND($A217&gt;=SYear_O,$A217&lt;=EYear_O,BF$3&gt;0),IF($A217=SYear_O,BF$168*(1+Data_All!BF56%),BF216*(1+Data_All!BF56%)),"")</f>
        <v/>
      </c>
      <c r="BG217" s="427" t="str">
        <f>IF(AND($A217&gt;=SYear_O,$A217&lt;=EYear_O,BG$3&gt;0),IF($A217=SYear_O,BG$168*(1+Data_All!BG56%),BG216*(1+Data_All!BG56%)),"")</f>
        <v/>
      </c>
      <c r="BH217" s="427" t="str">
        <f>IF(AND($A217&gt;=SYear_O,$A217&lt;=EYear_O,BH$3&gt;0),IF($A217=SYear_O,BH$168*(1+Data_All!BH56%),BH216*(1+Data_All!BH56%)),"")</f>
        <v/>
      </c>
      <c r="BI217" s="427" t="str">
        <f>IF(AND($A217&gt;=SYear_O,$A217&lt;=EYear_O,BI$3&gt;0),IF($A217=SYear_O,BI$168*(1+Data_All!BI56%),BI216*(1+Data_All!BI56%)),"")</f>
        <v/>
      </c>
      <c r="BJ217" s="427" t="str">
        <f>IF(AND($A217&gt;=SYear_O,$A217&lt;=EYear_O,BJ$3&gt;0),IF($A217=SYear_O,BJ$168*(1+Data_All!BJ56%),BJ216*(1+Data_All!BJ56%)),"")</f>
        <v/>
      </c>
      <c r="BK217" s="427" t="str">
        <f>IF(AND($A217&gt;=SYear_O,$A217&lt;=EYear_O,BK$3&gt;0),IF($A217=SYear_O,BK$168*(1+Data_All!BK56%),BK216*(1+Data_All!BK56%)),"")</f>
        <v/>
      </c>
      <c r="BL217" s="427" t="str">
        <f>IF(AND($A217&gt;=SYear_O,$A217&lt;=EYear_O,BL$3&gt;0),IF($A217=SYear_O,BL$168*(1+Data_All!BL56%),BL216*(1+Data_All!BL56%)),"")</f>
        <v/>
      </c>
      <c r="BM217" s="427" t="str">
        <f>IF(AND($A217&gt;=SYear_O,$A217&lt;=EYear_O,BM$3&gt;0),IF($A217=SYear_O,BM$168*(1+Data_All!BM56%),BM216*(1+Data_All!BM56%)),"")</f>
        <v/>
      </c>
      <c r="BN217" s="427" t="str">
        <f>IF(AND($A217&gt;=SYear_O,$A217&lt;=EYear_O,BN$3&gt;0),IF($A217=SYear_O,BN$168*(1+Data_All!BN56%),BN216*(1+Data_All!BN56%)),"")</f>
        <v/>
      </c>
      <c r="BO217" s="427" t="str">
        <f>IF(AND($A217&gt;=SYear_O,$A217&lt;=EYear_O,BO$3&gt;0),IF($A217=SYear_O,BO$168*(1+Data_All!BO56%),BO216*(1+Data_All!BO56%)),"")</f>
        <v/>
      </c>
      <c r="BP217" s="427" t="str">
        <f>IF(AND($A217&gt;=SYear_O,$A217&lt;=EYear_O,BP$3&gt;0),IF($A217=SYear_O,BP$168*(1+Data_All!BP56%),BP216*(1+Data_All!BP56%)),"")</f>
        <v/>
      </c>
      <c r="BQ217" s="427" t="str">
        <f>IF(AND($A217&gt;=SYear_O,$A217&lt;=EYear_O,BQ$3&gt;0),IF($A217=SYear_O,BQ$168*(1+Data_All!BQ56%),BQ216*(1+Data_All!BQ56%)),"")</f>
        <v/>
      </c>
      <c r="BR217" s="427" t="str">
        <f>IF(AND($A217&gt;=SYear_O,$A217&lt;=EYear_O,BR$3&gt;0),IF($A217=SYear_O,BR$168*(1+Data_All!BR56%),BR216*(1+Data_All!BR56%)),"")</f>
        <v/>
      </c>
      <c r="BS217" s="427" t="str">
        <f>IF(AND($A217&gt;=SYear_O,$A217&lt;=EYear_O,BS$3&gt;0),IF($A217=SYear_O,BS$168*(1+Data_All!BS56%),BS216*(1+Data_All!BS56%)),"")</f>
        <v/>
      </c>
      <c r="BT217" s="427" t="str">
        <f>IF(AND($A217&gt;=SYear_O,$A217&lt;=EYear_O,BT$3&gt;0),IF($A217=SYear_O,BT$168*(1+Data_All!BT56%),BT216*(1+Data_All!BT56%)),"")</f>
        <v/>
      </c>
      <c r="BU217" s="427" t="str">
        <f>IF(AND($A217&gt;=SYear_O,$A217&lt;=EYear_O,BU$3&gt;0),IF($A217=SYear_O,BU$168*(1+Data_All!BU56%),BU216*(1+Data_All!BU56%)),"")</f>
        <v/>
      </c>
      <c r="BV217" s="427" t="str">
        <f>IF(AND($A217&gt;=SYear_O,$A217&lt;=EYear_O,BV$3&gt;0),IF($A217=SYear_O,BV$168*(1+Data_All!BV56%),BV216*(1+Data_All!BV56%)),"")</f>
        <v/>
      </c>
      <c r="BW217" s="427" t="str">
        <f>IF(AND($A217&gt;=SYear_O,$A217&lt;=EYear_O,BW$3&gt;0),IF($A217=SYear_O,BW$168*(1+Data_All!BW56%),BW216*(1+Data_All!BW56%)),"")</f>
        <v/>
      </c>
      <c r="BX217" s="427">
        <f>IF(AND($A217&gt;=SYear_O,$A217&lt;=EYear_O,BX$3&gt;0),IF($A217=SYear_O,BX$168*(1+Data_All!BX56%),BX216*(1+Data_All!BX56%)),"")</f>
        <v>139439.3960713406</v>
      </c>
      <c r="BY217" s="427">
        <f>IF(AND($A217&gt;=SYear_O,$A217&lt;=EYear_O,BY$3&gt;0),IF($A217=SYear_O,BY$168*(1+Data_All!BY56%),BY216*(1+Data_All!BY56%)),"")</f>
        <v>24873.348336386087</v>
      </c>
      <c r="BZ217" s="427" t="str">
        <f>IF(AND($A217&gt;=SYear_O,$A217&lt;=EYear_O,BZ$3&gt;0),IF($A217=SYear_O,BZ$168*(1+Data_All!BZ56%),BZ216*(1+Data_All!BZ56%)),"")</f>
        <v/>
      </c>
      <c r="CA217" s="565">
        <f t="shared" si="108"/>
        <v>15.89840281391265</v>
      </c>
      <c r="CB217" s="427">
        <f t="shared" si="109"/>
        <v>164312.74440772668</v>
      </c>
      <c r="CC217" s="565">
        <f>IF(AND($A217&gt;=SYear_O,$A217&lt;=EYear_O),(CA217-Data_All!CA56)/(1+Data_All!CA56%),"")</f>
        <v>-0.91587324199177511</v>
      </c>
      <c r="CD217" s="436">
        <f t="shared" si="110"/>
        <v>106114.20048576753</v>
      </c>
      <c r="CE217" s="438">
        <f t="shared" si="111"/>
        <v>14.903040837443589</v>
      </c>
      <c r="CF217" s="438">
        <f>IF(AND($A217&gt;=SYear_O,$A217&lt;=EYear_O),MAX($CE$169:CE217),"")</f>
        <v>14.903040837443589</v>
      </c>
      <c r="CG217" s="209">
        <f t="shared" si="112"/>
        <v>0</v>
      </c>
      <c r="CN217" s="61">
        <f t="shared" si="113"/>
        <v>0.1589840281391266</v>
      </c>
      <c r="CO217" s="61">
        <f t="shared" si="114"/>
        <v>4.2099561601139257E-2</v>
      </c>
      <c r="CP217" s="61">
        <f t="shared" si="115"/>
        <v>8.1782680327094015E-2</v>
      </c>
      <c r="CQ217" s="61">
        <f t="shared" si="116"/>
        <v>0.16705994029915283</v>
      </c>
      <c r="CR217" s="61">
        <f t="shared" si="117"/>
        <v>7.3427971035888051E-2</v>
      </c>
      <c r="CU217" s="61">
        <f t="shared" si="118"/>
        <v>-9.1587324199177145E-3</v>
      </c>
      <c r="CV217" s="61">
        <f t="shared" si="119"/>
        <v>3.3812136753282651E-2</v>
      </c>
      <c r="CW217" s="61">
        <f t="shared" si="120"/>
        <v>7.1587384629520301E-2</v>
      </c>
      <c r="CX217" s="61">
        <f t="shared" si="121"/>
        <v>0.16289886167558887</v>
      </c>
      <c r="CY217" s="61">
        <f t="shared" si="122"/>
        <v>8.951590695297873E-2</v>
      </c>
    </row>
    <row r="218" spans="1:103">
      <c r="A218" s="204">
        <f t="shared" si="107"/>
        <v>1920</v>
      </c>
      <c r="B218" s="427" t="str">
        <f>IF(AND($A218&gt;=SYear_O,$A218&lt;=EYear_O,B$3&gt;0),IF($A218=SYear_O,B$168*(1+Data_All!B57%),B217*(1+Data_All!B57%)),"")</f>
        <v/>
      </c>
      <c r="C218" s="427" t="str">
        <f>IF(AND($A218&gt;=SYear_O,$A218&lt;=EYear_O,C$3&gt;0),IF($A218=SYear_O,C$168*(1+Data_All!C57%),C217*(1+Data_All!C57%)),"")</f>
        <v/>
      </c>
      <c r="D218" s="427" t="str">
        <f>IF(AND($A218&gt;=SYear_O,$A218&lt;=EYear_O,D$3&gt;0),IF($A218=SYear_O,D$168*(1+Data_All!D57%),D217*(1+Data_All!D57%)),"")</f>
        <v/>
      </c>
      <c r="E218" s="427" t="str">
        <f>IF(AND($A218&gt;=SYear_O,$A218&lt;=EYear_O,E$3&gt;0),IF($A218=SYear_O,E$168*(1+Data_All!E57%),E217*(1+Data_All!E57%)),"")</f>
        <v/>
      </c>
      <c r="F218" s="427" t="str">
        <f>IF(AND($A218&gt;=SYear_O,$A218&lt;=EYear_O,F$3&gt;0),IF($A218=SYear_O,F$168*(1+Data_All!F57%),F217*(1+Data_All!F57%)),"")</f>
        <v/>
      </c>
      <c r="G218" s="427" t="str">
        <f>IF(AND($A218&gt;=SYear_O,$A218&lt;=EYear_O,G$3&gt;0),IF($A218=SYear_O,G$168*(1+Data_All!G57%),G217*(1+Data_All!G57%)),"")</f>
        <v/>
      </c>
      <c r="H218" s="427" t="str">
        <f>IF(AND($A218&gt;=SYear_O,$A218&lt;=EYear_O,H$3&gt;0),IF($A218=SYear_O,H$168*(1+Data_All!H57%),H217*(1+Data_All!H57%)),"")</f>
        <v/>
      </c>
      <c r="I218" s="427" t="str">
        <f>IF(AND($A218&gt;=SYear_O,$A218&lt;=EYear_O,I$3&gt;0),IF($A218=SYear_O,I$168*(1+Data_All!I57%),I217*(1+Data_All!I57%)),"")</f>
        <v/>
      </c>
      <c r="J218" s="427" t="str">
        <f>IF(AND($A218&gt;=SYear_O,$A218&lt;=EYear_O,J$3&gt;0),IF($A218=SYear_O,J$168*(1+Data_All!J57%),J217*(1+Data_All!J57%)),"")</f>
        <v/>
      </c>
      <c r="K218" s="427" t="str">
        <f>IF(AND($A218&gt;=SYear_O,$A218&lt;=EYear_O,K$3&gt;0),IF($A218=SYear_O,K$168*(1+Data_All!K57%),K217*(1+Data_All!K57%)),"")</f>
        <v/>
      </c>
      <c r="L218" s="427" t="str">
        <f>IF(AND($A218&gt;=SYear_O,$A218&lt;=EYear_O,L$3&gt;0),IF($A218=SYear_O,L$168*(1+Data_All!L57%),L217*(1+Data_All!L57%)),"")</f>
        <v/>
      </c>
      <c r="M218" s="427" t="str">
        <f>IF(AND($A218&gt;=SYear_O,$A218&lt;=EYear_O,M$3&gt;0),IF($A218=SYear_O,M$168*(1+Data_All!M57%),M217*(1+Data_All!M57%)),"")</f>
        <v/>
      </c>
      <c r="N218" s="427" t="str">
        <f>IF(AND($A218&gt;=SYear_O,$A218&lt;=EYear_O,N$3&gt;0),IF($A218=SYear_O,N$168*(1+Data_All!N57%),N217*(1+Data_All!N57%)),"")</f>
        <v/>
      </c>
      <c r="O218" s="427" t="str">
        <f>IF(AND($A218&gt;=SYear_O,$A218&lt;=EYear_O,O$3&gt;0),IF($A218=SYear_O,O$168*(1+Data_All!O57%),O217*(1+Data_All!O57%)),"")</f>
        <v/>
      </c>
      <c r="P218" s="427" t="str">
        <f>IF(AND($A218&gt;=SYear_O,$A218&lt;=EYear_O,P$3&gt;0),IF($A218=SYear_O,P$168*(1+Data_All!P57%),P217*(1+Data_All!P57%)),"")</f>
        <v/>
      </c>
      <c r="Q218" s="427" t="str">
        <f>IF(AND($A218&gt;=SYear_O,$A218&lt;=EYear_O,Q$3&gt;0),IF($A218=SYear_O,Q$168*(1+Data_All!Q57%),Q217*(1+Data_All!Q57%)),"")</f>
        <v/>
      </c>
      <c r="R218" s="427" t="str">
        <f>IF(AND($A218&gt;=SYear_O,$A218&lt;=EYear_O,R$3&gt;0),IF($A218=SYear_O,R$168*(1+Data_All!R57%),R217*(1+Data_All!R57%)),"")</f>
        <v/>
      </c>
      <c r="S218" s="427" t="str">
        <f>IF(AND($A218&gt;=SYear_O,$A218&lt;=EYear_O,S$3&gt;0),IF($A218=SYear_O,S$168*(1+Data_All!S57%),S217*(1+Data_All!S57%)),"")</f>
        <v/>
      </c>
      <c r="T218" s="427" t="str">
        <f>IF(AND($A218&gt;=SYear_O,$A218&lt;=EYear_O,T$3&gt;0),IF($A218=SYear_O,T$168*(1+Data_All!T57%),T217*(1+Data_All!T57%)),"")</f>
        <v/>
      </c>
      <c r="U218" s="427" t="str">
        <f>IF(AND($A218&gt;=SYear_O,$A218&lt;=EYear_O,U$3&gt;0),IF($A218=SYear_O,U$168*(1+Data_All!U57%),U217*(1+Data_All!U57%)),"")</f>
        <v/>
      </c>
      <c r="V218" s="427" t="str">
        <f>IF(AND($A218&gt;=SYear_O,$A218&lt;=EYear_O,V$3&gt;0),IF($A218=SYear_O,V$168*(1+Data_All!V57%),V217*(1+Data_All!V57%)),"")</f>
        <v/>
      </c>
      <c r="W218" s="427" t="str">
        <f>IF(AND($A218&gt;=SYear_O,$A218&lt;=EYear_O,W$3&gt;0),IF($A218=SYear_O,W$168*(1+Data_All!W57%),W217*(1+Data_All!W57%)),"")</f>
        <v/>
      </c>
      <c r="X218" s="427" t="str">
        <f>IF(AND($A218&gt;=SYear_O,$A218&lt;=EYear_O,X$3&gt;0),IF($A218=SYear_O,X$168*(1+Data_All!X57%),X217*(1+Data_All!X57%)),"")</f>
        <v/>
      </c>
      <c r="Y218" s="427" t="str">
        <f>IF(AND($A218&gt;=SYear_O,$A218&lt;=EYear_O,Y$3&gt;0),IF($A218=SYear_O,Y$168*(1+Data_All!Y57%),Y217*(1+Data_All!Y57%)),"")</f>
        <v/>
      </c>
      <c r="Z218" s="427" t="str">
        <f>IF(AND($A218&gt;=SYear_O,$A218&lt;=EYear_O,Z$3&gt;0),IF($A218=SYear_O,Z$168*(1+Data_All!Z57%),Z217*(1+Data_All!Z57%)),"")</f>
        <v/>
      </c>
      <c r="AA218" s="427" t="str">
        <f>IF(AND($A218&gt;=SYear_O,$A218&lt;=EYear_O,AA$3&gt;0),IF($A218=SYear_O,AA$168*(1+Data_All!AA57%),AA217*(1+Data_All!AA57%)),"")</f>
        <v/>
      </c>
      <c r="AB218" s="427" t="str">
        <f>IF(AND($A218&gt;=SYear_O,$A218&lt;=EYear_O,AB$3&gt;0),IF($A218=SYear_O,AB$168*(1+Data_All!AB57%),AB217*(1+Data_All!AB57%)),"")</f>
        <v/>
      </c>
      <c r="AC218" s="427" t="str">
        <f>IF(AND($A218&gt;=SYear_O,$A218&lt;=EYear_O,AC$3&gt;0),IF($A218=SYear_O,AC$168*(1+Data_All!AC57%),AC217*(1+Data_All!AC57%)),"")</f>
        <v/>
      </c>
      <c r="AD218" s="427" t="str">
        <f>IF(AND($A218&gt;=SYear_O,$A218&lt;=EYear_O,AD$3&gt;0),IF($A218=SYear_O,AD$168*(1+Data_All!AD57%),AD217*(1+Data_All!AD57%)),"")</f>
        <v/>
      </c>
      <c r="AE218" s="427" t="str">
        <f>IF(AND($A218&gt;=SYear_O,$A218&lt;=EYear_O,AE$3&gt;0),IF($A218=SYear_O,AE$168*(1+Data_All!AE57%),AE217*(1+Data_All!AE57%)),"")</f>
        <v/>
      </c>
      <c r="AF218" s="427" t="str">
        <f>IF(AND($A218&gt;=SYear_O,$A218&lt;=EYear_O,AF$3&gt;0),IF($A218=SYear_O,AF$168*(1+Data_All!AF57%),AF217*(1+Data_All!AF57%)),"")</f>
        <v/>
      </c>
      <c r="AG218" s="427" t="str">
        <f>IF(AND($A218&gt;=SYear_O,$A218&lt;=EYear_O,AG$3&gt;0),IF($A218=SYear_O,AG$168*(1+Data_All!AG57%),AG217*(1+Data_All!AG57%)),"")</f>
        <v/>
      </c>
      <c r="AH218" s="427" t="str">
        <f>IF(AND($A218&gt;=SYear_O,$A218&lt;=EYear_O,AH$3&gt;0),IF($A218=SYear_O,AH$168*(1+Data_All!AH57%),AH217*(1+Data_All!AH57%)),"")</f>
        <v/>
      </c>
      <c r="AI218" s="427" t="str">
        <f>IF(AND($A218&gt;=SYear_O,$A218&lt;=EYear_O,AI$3&gt;0),IF($A218=SYear_O,AI$168*(1+Data_All!AI57%),AI217*(1+Data_All!AI57%)),"")</f>
        <v/>
      </c>
      <c r="AJ218" s="427" t="str">
        <f>IF(AND($A218&gt;=SYear_O,$A218&lt;=EYear_O,AJ$3&gt;0),IF($A218=SYear_O,AJ$168*(1+Data_All!AJ57%),AJ217*(1+Data_All!AJ57%)),"")</f>
        <v/>
      </c>
      <c r="AK218" s="427" t="str">
        <f>IF(AND($A218&gt;=SYear_O,$A218&lt;=EYear_O,AK$3&gt;0),IF($A218=SYear_O,AK$168*(1+Data_All!AK57%),AK217*(1+Data_All!AK57%)),"")</f>
        <v/>
      </c>
      <c r="AL218" s="427" t="str">
        <f>IF(AND($A218&gt;=SYear_O,$A218&lt;=EYear_O,AL$3&gt;0),IF($A218=SYear_O,AL$168*(1+Data_All!AL57%),AL217*(1+Data_All!AL57%)),"")</f>
        <v/>
      </c>
      <c r="AM218" s="427" t="str">
        <f>IF(AND($A218&gt;=SYear_O,$A218&lt;=EYear_O,AM$3&gt;0),IF($A218=SYear_O,AM$168*(1+Data_All!AM57%),AM217*(1+Data_All!AM57%)),"")</f>
        <v/>
      </c>
      <c r="AN218" s="427" t="str">
        <f>IF(AND($A218&gt;=SYear_O,$A218&lt;=EYear_O,AN$3&gt;0),IF($A218=SYear_O,AN$168*(1+Data_All!AN57%),AN217*(1+Data_All!AN57%)),"")</f>
        <v/>
      </c>
      <c r="AO218" s="427" t="str">
        <f>IF(AND($A218&gt;=SYear_O,$A218&lt;=EYear_O,AO$3&gt;0),IF($A218=SYear_O,AO$168*(1+Data_All!AO57%),AO217*(1+Data_All!AO57%)),"")</f>
        <v/>
      </c>
      <c r="AP218" s="427" t="str">
        <f>IF(AND($A218&gt;=SYear_O,$A218&lt;=EYear_O,AP$3&gt;0),IF($A218=SYear_O,AP$168*(1+Data_All!AP57%),AP217*(1+Data_All!AP57%)),"")</f>
        <v/>
      </c>
      <c r="AQ218" s="427" t="str">
        <f>IF(AND($A218&gt;=SYear_O,$A218&lt;=EYear_O,AQ$3&gt;0),IF($A218=SYear_O,AQ$168*(1+Data_All!AQ57%),AQ217*(1+Data_All!AQ57%)),"")</f>
        <v/>
      </c>
      <c r="AR218" s="427" t="str">
        <f>IF(AND($A218&gt;=SYear_O,$A218&lt;=EYear_O,AR$3&gt;0),IF($A218=SYear_O,AR$168*(1+Data_All!AR57%),AR217*(1+Data_All!AR57%)),"")</f>
        <v/>
      </c>
      <c r="AS218" s="427" t="str">
        <f>IF(AND($A218&gt;=SYear_O,$A218&lt;=EYear_O,AS$3&gt;0),IF($A218=SYear_O,AS$168*(1+Data_All!AS57%),AS217*(1+Data_All!AS57%)),"")</f>
        <v/>
      </c>
      <c r="AT218" s="427" t="str">
        <f>IF(AND($A218&gt;=SYear_O,$A218&lt;=EYear_O,AT$3&gt;0),IF($A218=SYear_O,AT$168*(1+Data_All!AT57%),AT217*(1+Data_All!AT57%)),"")</f>
        <v/>
      </c>
      <c r="AU218" s="427" t="str">
        <f>IF(AND($A218&gt;=SYear_O,$A218&lt;=EYear_O,AU$3&gt;0),IF($A218=SYear_O,AU$168*(1+Data_All!AU57%),AU217*(1+Data_All!AU57%)),"")</f>
        <v/>
      </c>
      <c r="AV218" s="427" t="str">
        <f>IF(AND($A218&gt;=SYear_O,$A218&lt;=EYear_O,AV$3&gt;0),IF($A218=SYear_O,AV$168*(1+Data_All!AV57%),AV217*(1+Data_All!AV57%)),"")</f>
        <v/>
      </c>
      <c r="AW218" s="427" t="str">
        <f>IF(AND($A218&gt;=SYear_O,$A218&lt;=EYear_O,AW$3&gt;0),IF($A218=SYear_O,AW$168*(1+Data_All!AW57%),AW217*(1+Data_All!AW57%)),"")</f>
        <v/>
      </c>
      <c r="AX218" s="427" t="str">
        <f>IF(AND($A218&gt;=SYear_O,$A218&lt;=EYear_O,AX$3&gt;0),IF($A218=SYear_O,AX$168*(1+Data_All!AX57%),AX217*(1+Data_All!AX57%)),"")</f>
        <v/>
      </c>
      <c r="AY218" s="427" t="str">
        <f>IF(AND($A218&gt;=SYear_O,$A218&lt;=EYear_O,AY$3&gt;0),IF($A218=SYear_O,AY$168*(1+Data_All!AY57%),AY217*(1+Data_All!AY57%)),"")</f>
        <v/>
      </c>
      <c r="AZ218" s="427" t="str">
        <f>IF(AND($A218&gt;=SYear_O,$A218&lt;=EYear_O,AZ$3&gt;0),IF($A218=SYear_O,AZ$168*(1+Data_All!AZ57%),AZ217*(1+Data_All!AZ57%)),"")</f>
        <v/>
      </c>
      <c r="BA218" s="427" t="str">
        <f>IF(AND($A218&gt;=SYear_O,$A218&lt;=EYear_O,BA$3&gt;0),IF($A218=SYear_O,BA$168*(1+Data_All!BA57%),BA217*(1+Data_All!BA57%)),"")</f>
        <v/>
      </c>
      <c r="BB218" s="427" t="str">
        <f>IF(AND($A218&gt;=SYear_O,$A218&lt;=EYear_O,BB$3&gt;0),IF($A218=SYear_O,BB$168*(1+Data_All!BB57%),BB217*(1+Data_All!BB57%)),"")</f>
        <v/>
      </c>
      <c r="BC218" s="427" t="str">
        <f>IF(AND($A218&gt;=SYear_O,$A218&lt;=EYear_O,BC$3&gt;0),IF($A218=SYear_O,BC$168*(1+Data_All!BC57%),BC217*(1+Data_All!BC57%)),"")</f>
        <v/>
      </c>
      <c r="BD218" s="427" t="str">
        <f>IF(AND($A218&gt;=SYear_O,$A218&lt;=EYear_O,BD$3&gt;0),IF($A218=SYear_O,BD$168*(1+Data_All!BD57%),BD217*(1+Data_All!BD57%)),"")</f>
        <v/>
      </c>
      <c r="BE218" s="427" t="str">
        <f>IF(AND($A218&gt;=SYear_O,$A218&lt;=EYear_O,BE$3&gt;0),IF($A218=SYear_O,BE$168*(1+Data_All!BE57%),BE217*(1+Data_All!BE57%)),"")</f>
        <v/>
      </c>
      <c r="BF218" s="427" t="str">
        <f>IF(AND($A218&gt;=SYear_O,$A218&lt;=EYear_O,BF$3&gt;0),IF($A218=SYear_O,BF$168*(1+Data_All!BF57%),BF217*(1+Data_All!BF57%)),"")</f>
        <v/>
      </c>
      <c r="BG218" s="427" t="str">
        <f>IF(AND($A218&gt;=SYear_O,$A218&lt;=EYear_O,BG$3&gt;0),IF($A218=SYear_O,BG$168*(1+Data_All!BG57%),BG217*(1+Data_All!BG57%)),"")</f>
        <v/>
      </c>
      <c r="BH218" s="427" t="str">
        <f>IF(AND($A218&gt;=SYear_O,$A218&lt;=EYear_O,BH$3&gt;0),IF($A218=SYear_O,BH$168*(1+Data_All!BH57%),BH217*(1+Data_All!BH57%)),"")</f>
        <v/>
      </c>
      <c r="BI218" s="427" t="str">
        <f>IF(AND($A218&gt;=SYear_O,$A218&lt;=EYear_O,BI$3&gt;0),IF($A218=SYear_O,BI$168*(1+Data_All!BI57%),BI217*(1+Data_All!BI57%)),"")</f>
        <v/>
      </c>
      <c r="BJ218" s="427" t="str">
        <f>IF(AND($A218&gt;=SYear_O,$A218&lt;=EYear_O,BJ$3&gt;0),IF($A218=SYear_O,BJ$168*(1+Data_All!BJ57%),BJ217*(1+Data_All!BJ57%)),"")</f>
        <v/>
      </c>
      <c r="BK218" s="427" t="str">
        <f>IF(AND($A218&gt;=SYear_O,$A218&lt;=EYear_O,BK$3&gt;0),IF($A218=SYear_O,BK$168*(1+Data_All!BK57%),BK217*(1+Data_All!BK57%)),"")</f>
        <v/>
      </c>
      <c r="BL218" s="427" t="str">
        <f>IF(AND($A218&gt;=SYear_O,$A218&lt;=EYear_O,BL$3&gt;0),IF($A218=SYear_O,BL$168*(1+Data_All!BL57%),BL217*(1+Data_All!BL57%)),"")</f>
        <v/>
      </c>
      <c r="BM218" s="427" t="str">
        <f>IF(AND($A218&gt;=SYear_O,$A218&lt;=EYear_O,BM$3&gt;0),IF($A218=SYear_O,BM$168*(1+Data_All!BM57%),BM217*(1+Data_All!BM57%)),"")</f>
        <v/>
      </c>
      <c r="BN218" s="427" t="str">
        <f>IF(AND($A218&gt;=SYear_O,$A218&lt;=EYear_O,BN$3&gt;0),IF($A218=SYear_O,BN$168*(1+Data_All!BN57%),BN217*(1+Data_All!BN57%)),"")</f>
        <v/>
      </c>
      <c r="BO218" s="427" t="str">
        <f>IF(AND($A218&gt;=SYear_O,$A218&lt;=EYear_O,BO$3&gt;0),IF($A218=SYear_O,BO$168*(1+Data_All!BO57%),BO217*(1+Data_All!BO57%)),"")</f>
        <v/>
      </c>
      <c r="BP218" s="427" t="str">
        <f>IF(AND($A218&gt;=SYear_O,$A218&lt;=EYear_O,BP$3&gt;0),IF($A218=SYear_O,BP$168*(1+Data_All!BP57%),BP217*(1+Data_All!BP57%)),"")</f>
        <v/>
      </c>
      <c r="BQ218" s="427" t="str">
        <f>IF(AND($A218&gt;=SYear_O,$A218&lt;=EYear_O,BQ$3&gt;0),IF($A218=SYear_O,BQ$168*(1+Data_All!BQ57%),BQ217*(1+Data_All!BQ57%)),"")</f>
        <v/>
      </c>
      <c r="BR218" s="427" t="str">
        <f>IF(AND($A218&gt;=SYear_O,$A218&lt;=EYear_O,BR$3&gt;0),IF($A218=SYear_O,BR$168*(1+Data_All!BR57%),BR217*(1+Data_All!BR57%)),"")</f>
        <v/>
      </c>
      <c r="BS218" s="427" t="str">
        <f>IF(AND($A218&gt;=SYear_O,$A218&lt;=EYear_O,BS$3&gt;0),IF($A218=SYear_O,BS$168*(1+Data_All!BS57%),BS217*(1+Data_All!BS57%)),"")</f>
        <v/>
      </c>
      <c r="BT218" s="427" t="str">
        <f>IF(AND($A218&gt;=SYear_O,$A218&lt;=EYear_O,BT$3&gt;0),IF($A218=SYear_O,BT$168*(1+Data_All!BT57%),BT217*(1+Data_All!BT57%)),"")</f>
        <v/>
      </c>
      <c r="BU218" s="427" t="str">
        <f>IF(AND($A218&gt;=SYear_O,$A218&lt;=EYear_O,BU$3&gt;0),IF($A218=SYear_O,BU$168*(1+Data_All!BU57%),BU217*(1+Data_All!BU57%)),"")</f>
        <v/>
      </c>
      <c r="BV218" s="427" t="str">
        <f>IF(AND($A218&gt;=SYear_O,$A218&lt;=EYear_O,BV$3&gt;0),IF($A218=SYear_O,BV$168*(1+Data_All!BV57%),BV217*(1+Data_All!BV57%)),"")</f>
        <v/>
      </c>
      <c r="BW218" s="427" t="str">
        <f>IF(AND($A218&gt;=SYear_O,$A218&lt;=EYear_O,BW$3&gt;0),IF($A218=SYear_O,BW$168*(1+Data_All!BW57%),BW217*(1+Data_All!BW57%)),"")</f>
        <v/>
      </c>
      <c r="BX218" s="427">
        <f>IF(AND($A218&gt;=SYear_O,$A218&lt;=EYear_O,BX$3&gt;0),IF($A218=SYear_O,BX$168*(1+Data_All!BX57%),BX217*(1+Data_All!BX57%)),"")</f>
        <v>120331.61925975258</v>
      </c>
      <c r="BY218" s="427">
        <f>IF(AND($A218&gt;=SYear_O,$A218&lt;=EYear_O,BY$3&gt;0),IF($A218=SYear_O,BY$168*(1+Data_All!BY57%),BY217*(1+Data_All!BY57%)),"")</f>
        <v>25923.230578771298</v>
      </c>
      <c r="BZ218" s="427" t="str">
        <f>IF(AND($A218&gt;=SYear_O,$A218&lt;=EYear_O,BZ$3&gt;0),IF($A218=SYear_O,BZ$168*(1+Data_All!BZ57%),BZ217*(1+Data_All!BZ57%)),"")</f>
        <v/>
      </c>
      <c r="CA218" s="565">
        <f t="shared" si="108"/>
        <v>-10.989953721662525</v>
      </c>
      <c r="CB218" s="427">
        <f t="shared" si="109"/>
        <v>146254.84983852389</v>
      </c>
      <c r="CC218" s="565">
        <f>IF(AND($A218&gt;=SYear_O,$A218&lt;=EYear_O),(CA218-Data_All!CA57)/(1+Data_All!CA57%),"")</f>
        <v>-9.5845319383203496</v>
      </c>
      <c r="CD218" s="436">
        <f t="shared" si="110"/>
        <v>95943.651049115855</v>
      </c>
      <c r="CE218" s="438">
        <f t="shared" si="111"/>
        <v>13.26520354628807</v>
      </c>
      <c r="CF218" s="438">
        <f>IF(AND($A218&gt;=SYear_O,$A218&lt;=EYear_O),MAX($CE$169:CE218),"")</f>
        <v>14.903040837443589</v>
      </c>
      <c r="CG218" s="209">
        <f t="shared" si="112"/>
        <v>0.10989953721662526</v>
      </c>
      <c r="CN218" s="61">
        <f t="shared" si="113"/>
        <v>-0.10989953721662526</v>
      </c>
      <c r="CO218" s="61">
        <f t="shared" si="114"/>
        <v>6.6650677657414947E-2</v>
      </c>
      <c r="CP218" s="61">
        <f t="shared" si="115"/>
        <v>9.4561714970833766E-2</v>
      </c>
      <c r="CQ218" s="61">
        <f t="shared" si="116"/>
        <v>0.14061639323645214</v>
      </c>
      <c r="CR218" s="61">
        <f t="shared" si="117"/>
        <v>5.8276233143539802E-2</v>
      </c>
      <c r="CU218" s="61">
        <f t="shared" si="118"/>
        <v>-9.5845319383203509E-2</v>
      </c>
      <c r="CV218" s="61">
        <f t="shared" si="119"/>
        <v>0.11713302148175231</v>
      </c>
      <c r="CW218" s="61">
        <f t="shared" si="120"/>
        <v>0.11877433432658369</v>
      </c>
      <c r="CX218" s="61">
        <f t="shared" si="121"/>
        <v>0.15450476293691962</v>
      </c>
      <c r="CY218" s="61">
        <f t="shared" si="122"/>
        <v>8.3262234864205142E-2</v>
      </c>
    </row>
    <row r="219" spans="1:103">
      <c r="A219" s="204">
        <f t="shared" si="107"/>
        <v>1921</v>
      </c>
      <c r="B219" s="427" t="str">
        <f>IF(AND($A219&gt;=SYear_O,$A219&lt;=EYear_O,B$3&gt;0),IF($A219=SYear_O,B$168*(1+Data_All!B58%),B218*(1+Data_All!B58%)),"")</f>
        <v/>
      </c>
      <c r="C219" s="427" t="str">
        <f>IF(AND($A219&gt;=SYear_O,$A219&lt;=EYear_O,C$3&gt;0),IF($A219=SYear_O,C$168*(1+Data_All!C58%),C218*(1+Data_All!C58%)),"")</f>
        <v/>
      </c>
      <c r="D219" s="427" t="str">
        <f>IF(AND($A219&gt;=SYear_O,$A219&lt;=EYear_O,D$3&gt;0),IF($A219=SYear_O,D$168*(1+Data_All!D58%),D218*(1+Data_All!D58%)),"")</f>
        <v/>
      </c>
      <c r="E219" s="427" t="str">
        <f>IF(AND($A219&gt;=SYear_O,$A219&lt;=EYear_O,E$3&gt;0),IF($A219=SYear_O,E$168*(1+Data_All!E58%),E218*(1+Data_All!E58%)),"")</f>
        <v/>
      </c>
      <c r="F219" s="427" t="str">
        <f>IF(AND($A219&gt;=SYear_O,$A219&lt;=EYear_O,F$3&gt;0),IF($A219=SYear_O,F$168*(1+Data_All!F58%),F218*(1+Data_All!F58%)),"")</f>
        <v/>
      </c>
      <c r="G219" s="427" t="str">
        <f>IF(AND($A219&gt;=SYear_O,$A219&lt;=EYear_O,G$3&gt;0),IF($A219=SYear_O,G$168*(1+Data_All!G58%),G218*(1+Data_All!G58%)),"")</f>
        <v/>
      </c>
      <c r="H219" s="427" t="str">
        <f>IF(AND($A219&gt;=SYear_O,$A219&lt;=EYear_O,H$3&gt;0),IF($A219=SYear_O,H$168*(1+Data_All!H58%),H218*(1+Data_All!H58%)),"")</f>
        <v/>
      </c>
      <c r="I219" s="427" t="str">
        <f>IF(AND($A219&gt;=SYear_O,$A219&lt;=EYear_O,I$3&gt;0),IF($A219=SYear_O,I$168*(1+Data_All!I58%),I218*(1+Data_All!I58%)),"")</f>
        <v/>
      </c>
      <c r="J219" s="427" t="str">
        <f>IF(AND($A219&gt;=SYear_O,$A219&lt;=EYear_O,J$3&gt;0),IF($A219=SYear_O,J$168*(1+Data_All!J58%),J218*(1+Data_All!J58%)),"")</f>
        <v/>
      </c>
      <c r="K219" s="427" t="str">
        <f>IF(AND($A219&gt;=SYear_O,$A219&lt;=EYear_O,K$3&gt;0),IF($A219=SYear_O,K$168*(1+Data_All!K58%),K218*(1+Data_All!K58%)),"")</f>
        <v/>
      </c>
      <c r="L219" s="427" t="str">
        <f>IF(AND($A219&gt;=SYear_O,$A219&lt;=EYear_O,L$3&gt;0),IF($A219=SYear_O,L$168*(1+Data_All!L58%),L218*(1+Data_All!L58%)),"")</f>
        <v/>
      </c>
      <c r="M219" s="427" t="str">
        <f>IF(AND($A219&gt;=SYear_O,$A219&lt;=EYear_O,M$3&gt;0),IF($A219=SYear_O,M$168*(1+Data_All!M58%),M218*(1+Data_All!M58%)),"")</f>
        <v/>
      </c>
      <c r="N219" s="427" t="str">
        <f>IF(AND($A219&gt;=SYear_O,$A219&lt;=EYear_O,N$3&gt;0),IF($A219=SYear_O,N$168*(1+Data_All!N58%),N218*(1+Data_All!N58%)),"")</f>
        <v/>
      </c>
      <c r="O219" s="427" t="str">
        <f>IF(AND($A219&gt;=SYear_O,$A219&lt;=EYear_O,O$3&gt;0),IF($A219=SYear_O,O$168*(1+Data_All!O58%),O218*(1+Data_All!O58%)),"")</f>
        <v/>
      </c>
      <c r="P219" s="427" t="str">
        <f>IF(AND($A219&gt;=SYear_O,$A219&lt;=EYear_O,P$3&gt;0),IF($A219=SYear_O,P$168*(1+Data_All!P58%),P218*(1+Data_All!P58%)),"")</f>
        <v/>
      </c>
      <c r="Q219" s="427" t="str">
        <f>IF(AND($A219&gt;=SYear_O,$A219&lt;=EYear_O,Q$3&gt;0),IF($A219=SYear_O,Q$168*(1+Data_All!Q58%),Q218*(1+Data_All!Q58%)),"")</f>
        <v/>
      </c>
      <c r="R219" s="427" t="str">
        <f>IF(AND($A219&gt;=SYear_O,$A219&lt;=EYear_O,R$3&gt;0),IF($A219=SYear_O,R$168*(1+Data_All!R58%),R218*(1+Data_All!R58%)),"")</f>
        <v/>
      </c>
      <c r="S219" s="427" t="str">
        <f>IF(AND($A219&gt;=SYear_O,$A219&lt;=EYear_O,S$3&gt;0),IF($A219=SYear_O,S$168*(1+Data_All!S58%),S218*(1+Data_All!S58%)),"")</f>
        <v/>
      </c>
      <c r="T219" s="427" t="str">
        <f>IF(AND($A219&gt;=SYear_O,$A219&lt;=EYear_O,T$3&gt;0),IF($A219=SYear_O,T$168*(1+Data_All!T58%),T218*(1+Data_All!T58%)),"")</f>
        <v/>
      </c>
      <c r="U219" s="427" t="str">
        <f>IF(AND($A219&gt;=SYear_O,$A219&lt;=EYear_O,U$3&gt;0),IF($A219=SYear_O,U$168*(1+Data_All!U58%),U218*(1+Data_All!U58%)),"")</f>
        <v/>
      </c>
      <c r="V219" s="427" t="str">
        <f>IF(AND($A219&gt;=SYear_O,$A219&lt;=EYear_O,V$3&gt;0),IF($A219=SYear_O,V$168*(1+Data_All!V58%),V218*(1+Data_All!V58%)),"")</f>
        <v/>
      </c>
      <c r="W219" s="427" t="str">
        <f>IF(AND($A219&gt;=SYear_O,$A219&lt;=EYear_O,W$3&gt;0),IF($A219=SYear_O,W$168*(1+Data_All!W58%),W218*(1+Data_All!W58%)),"")</f>
        <v/>
      </c>
      <c r="X219" s="427" t="str">
        <f>IF(AND($A219&gt;=SYear_O,$A219&lt;=EYear_O,X$3&gt;0),IF($A219=SYear_O,X$168*(1+Data_All!X58%),X218*(1+Data_All!X58%)),"")</f>
        <v/>
      </c>
      <c r="Y219" s="427" t="str">
        <f>IF(AND($A219&gt;=SYear_O,$A219&lt;=EYear_O,Y$3&gt;0),IF($A219=SYear_O,Y$168*(1+Data_All!Y58%),Y218*(1+Data_All!Y58%)),"")</f>
        <v/>
      </c>
      <c r="Z219" s="427" t="str">
        <f>IF(AND($A219&gt;=SYear_O,$A219&lt;=EYear_O,Z$3&gt;0),IF($A219=SYear_O,Z$168*(1+Data_All!Z58%),Z218*(1+Data_All!Z58%)),"")</f>
        <v/>
      </c>
      <c r="AA219" s="427" t="str">
        <f>IF(AND($A219&gt;=SYear_O,$A219&lt;=EYear_O,AA$3&gt;0),IF($A219=SYear_O,AA$168*(1+Data_All!AA58%),AA218*(1+Data_All!AA58%)),"")</f>
        <v/>
      </c>
      <c r="AB219" s="427" t="str">
        <f>IF(AND($A219&gt;=SYear_O,$A219&lt;=EYear_O,AB$3&gt;0),IF($A219=SYear_O,AB$168*(1+Data_All!AB58%),AB218*(1+Data_All!AB58%)),"")</f>
        <v/>
      </c>
      <c r="AC219" s="427" t="str">
        <f>IF(AND($A219&gt;=SYear_O,$A219&lt;=EYear_O,AC$3&gt;0),IF($A219=SYear_O,AC$168*(1+Data_All!AC58%),AC218*(1+Data_All!AC58%)),"")</f>
        <v/>
      </c>
      <c r="AD219" s="427" t="str">
        <f>IF(AND($A219&gt;=SYear_O,$A219&lt;=EYear_O,AD$3&gt;0),IF($A219=SYear_O,AD$168*(1+Data_All!AD58%),AD218*(1+Data_All!AD58%)),"")</f>
        <v/>
      </c>
      <c r="AE219" s="427" t="str">
        <f>IF(AND($A219&gt;=SYear_O,$A219&lt;=EYear_O,AE$3&gt;0),IF($A219=SYear_O,AE$168*(1+Data_All!AE58%),AE218*(1+Data_All!AE58%)),"")</f>
        <v/>
      </c>
      <c r="AF219" s="427" t="str">
        <f>IF(AND($A219&gt;=SYear_O,$A219&lt;=EYear_O,AF$3&gt;0),IF($A219=SYear_O,AF$168*(1+Data_All!AF58%),AF218*(1+Data_All!AF58%)),"")</f>
        <v/>
      </c>
      <c r="AG219" s="427" t="str">
        <f>IF(AND($A219&gt;=SYear_O,$A219&lt;=EYear_O,AG$3&gt;0),IF($A219=SYear_O,AG$168*(1+Data_All!AG58%),AG218*(1+Data_All!AG58%)),"")</f>
        <v/>
      </c>
      <c r="AH219" s="427" t="str">
        <f>IF(AND($A219&gt;=SYear_O,$A219&lt;=EYear_O,AH$3&gt;0),IF($A219=SYear_O,AH$168*(1+Data_All!AH58%),AH218*(1+Data_All!AH58%)),"")</f>
        <v/>
      </c>
      <c r="AI219" s="427" t="str">
        <f>IF(AND($A219&gt;=SYear_O,$A219&lt;=EYear_O,AI$3&gt;0),IF($A219=SYear_O,AI$168*(1+Data_All!AI58%),AI218*(1+Data_All!AI58%)),"")</f>
        <v/>
      </c>
      <c r="AJ219" s="427" t="str">
        <f>IF(AND($A219&gt;=SYear_O,$A219&lt;=EYear_O,AJ$3&gt;0),IF($A219=SYear_O,AJ$168*(1+Data_All!AJ58%),AJ218*(1+Data_All!AJ58%)),"")</f>
        <v/>
      </c>
      <c r="AK219" s="427" t="str">
        <f>IF(AND($A219&gt;=SYear_O,$A219&lt;=EYear_O,AK$3&gt;0),IF($A219=SYear_O,AK$168*(1+Data_All!AK58%),AK218*(1+Data_All!AK58%)),"")</f>
        <v/>
      </c>
      <c r="AL219" s="427" t="str">
        <f>IF(AND($A219&gt;=SYear_O,$A219&lt;=EYear_O,AL$3&gt;0),IF($A219=SYear_O,AL$168*(1+Data_All!AL58%),AL218*(1+Data_All!AL58%)),"")</f>
        <v/>
      </c>
      <c r="AM219" s="427" t="str">
        <f>IF(AND($A219&gt;=SYear_O,$A219&lt;=EYear_O,AM$3&gt;0),IF($A219=SYear_O,AM$168*(1+Data_All!AM58%),AM218*(1+Data_All!AM58%)),"")</f>
        <v/>
      </c>
      <c r="AN219" s="427" t="str">
        <f>IF(AND($A219&gt;=SYear_O,$A219&lt;=EYear_O,AN$3&gt;0),IF($A219=SYear_O,AN$168*(1+Data_All!AN58%),AN218*(1+Data_All!AN58%)),"")</f>
        <v/>
      </c>
      <c r="AO219" s="427" t="str">
        <f>IF(AND($A219&gt;=SYear_O,$A219&lt;=EYear_O,AO$3&gt;0),IF($A219=SYear_O,AO$168*(1+Data_All!AO58%),AO218*(1+Data_All!AO58%)),"")</f>
        <v/>
      </c>
      <c r="AP219" s="427" t="str">
        <f>IF(AND($A219&gt;=SYear_O,$A219&lt;=EYear_O,AP$3&gt;0),IF($A219=SYear_O,AP$168*(1+Data_All!AP58%),AP218*(1+Data_All!AP58%)),"")</f>
        <v/>
      </c>
      <c r="AQ219" s="427" t="str">
        <f>IF(AND($A219&gt;=SYear_O,$A219&lt;=EYear_O,AQ$3&gt;0),IF($A219=SYear_O,AQ$168*(1+Data_All!AQ58%),AQ218*(1+Data_All!AQ58%)),"")</f>
        <v/>
      </c>
      <c r="AR219" s="427" t="str">
        <f>IF(AND($A219&gt;=SYear_O,$A219&lt;=EYear_O,AR$3&gt;0),IF($A219=SYear_O,AR$168*(1+Data_All!AR58%),AR218*(1+Data_All!AR58%)),"")</f>
        <v/>
      </c>
      <c r="AS219" s="427" t="str">
        <f>IF(AND($A219&gt;=SYear_O,$A219&lt;=EYear_O,AS$3&gt;0),IF($A219=SYear_O,AS$168*(1+Data_All!AS58%),AS218*(1+Data_All!AS58%)),"")</f>
        <v/>
      </c>
      <c r="AT219" s="427" t="str">
        <f>IF(AND($A219&gt;=SYear_O,$A219&lt;=EYear_O,AT$3&gt;0),IF($A219=SYear_O,AT$168*(1+Data_All!AT58%),AT218*(1+Data_All!AT58%)),"")</f>
        <v/>
      </c>
      <c r="AU219" s="427" t="str">
        <f>IF(AND($A219&gt;=SYear_O,$A219&lt;=EYear_O,AU$3&gt;0),IF($A219=SYear_O,AU$168*(1+Data_All!AU58%),AU218*(1+Data_All!AU58%)),"")</f>
        <v/>
      </c>
      <c r="AV219" s="427" t="str">
        <f>IF(AND($A219&gt;=SYear_O,$A219&lt;=EYear_O,AV$3&gt;0),IF($A219=SYear_O,AV$168*(1+Data_All!AV58%),AV218*(1+Data_All!AV58%)),"")</f>
        <v/>
      </c>
      <c r="AW219" s="427" t="str">
        <f>IF(AND($A219&gt;=SYear_O,$A219&lt;=EYear_O,AW$3&gt;0),IF($A219=SYear_O,AW$168*(1+Data_All!AW58%),AW218*(1+Data_All!AW58%)),"")</f>
        <v/>
      </c>
      <c r="AX219" s="427" t="str">
        <f>IF(AND($A219&gt;=SYear_O,$A219&lt;=EYear_O,AX$3&gt;0),IF($A219=SYear_O,AX$168*(1+Data_All!AX58%),AX218*(1+Data_All!AX58%)),"")</f>
        <v/>
      </c>
      <c r="AY219" s="427" t="str">
        <f>IF(AND($A219&gt;=SYear_O,$A219&lt;=EYear_O,AY$3&gt;0),IF($A219=SYear_O,AY$168*(1+Data_All!AY58%),AY218*(1+Data_All!AY58%)),"")</f>
        <v/>
      </c>
      <c r="AZ219" s="427" t="str">
        <f>IF(AND($A219&gt;=SYear_O,$A219&lt;=EYear_O,AZ$3&gt;0),IF($A219=SYear_O,AZ$168*(1+Data_All!AZ58%),AZ218*(1+Data_All!AZ58%)),"")</f>
        <v/>
      </c>
      <c r="BA219" s="427" t="str">
        <f>IF(AND($A219&gt;=SYear_O,$A219&lt;=EYear_O,BA$3&gt;0),IF($A219=SYear_O,BA$168*(1+Data_All!BA58%),BA218*(1+Data_All!BA58%)),"")</f>
        <v/>
      </c>
      <c r="BB219" s="427" t="str">
        <f>IF(AND($A219&gt;=SYear_O,$A219&lt;=EYear_O,BB$3&gt;0),IF($A219=SYear_O,BB$168*(1+Data_All!BB58%),BB218*(1+Data_All!BB58%)),"")</f>
        <v/>
      </c>
      <c r="BC219" s="427" t="str">
        <f>IF(AND($A219&gt;=SYear_O,$A219&lt;=EYear_O,BC$3&gt;0),IF($A219=SYear_O,BC$168*(1+Data_All!BC58%),BC218*(1+Data_All!BC58%)),"")</f>
        <v/>
      </c>
      <c r="BD219" s="427" t="str">
        <f>IF(AND($A219&gt;=SYear_O,$A219&lt;=EYear_O,BD$3&gt;0),IF($A219=SYear_O,BD$168*(1+Data_All!BD58%),BD218*(1+Data_All!BD58%)),"")</f>
        <v/>
      </c>
      <c r="BE219" s="427" t="str">
        <f>IF(AND($A219&gt;=SYear_O,$A219&lt;=EYear_O,BE$3&gt;0),IF($A219=SYear_O,BE$168*(1+Data_All!BE58%),BE218*(1+Data_All!BE58%)),"")</f>
        <v/>
      </c>
      <c r="BF219" s="427" t="str">
        <f>IF(AND($A219&gt;=SYear_O,$A219&lt;=EYear_O,BF$3&gt;0),IF($A219=SYear_O,BF$168*(1+Data_All!BF58%),BF218*(1+Data_All!BF58%)),"")</f>
        <v/>
      </c>
      <c r="BG219" s="427" t="str">
        <f>IF(AND($A219&gt;=SYear_O,$A219&lt;=EYear_O,BG$3&gt;0),IF($A219=SYear_O,BG$168*(1+Data_All!BG58%),BG218*(1+Data_All!BG58%)),"")</f>
        <v/>
      </c>
      <c r="BH219" s="427" t="str">
        <f>IF(AND($A219&gt;=SYear_O,$A219&lt;=EYear_O,BH$3&gt;0),IF($A219=SYear_O,BH$168*(1+Data_All!BH58%),BH218*(1+Data_All!BH58%)),"")</f>
        <v/>
      </c>
      <c r="BI219" s="427" t="str">
        <f>IF(AND($A219&gt;=SYear_O,$A219&lt;=EYear_O,BI$3&gt;0),IF($A219=SYear_O,BI$168*(1+Data_All!BI58%),BI218*(1+Data_All!BI58%)),"")</f>
        <v/>
      </c>
      <c r="BJ219" s="427" t="str">
        <f>IF(AND($A219&gt;=SYear_O,$A219&lt;=EYear_O,BJ$3&gt;0),IF($A219=SYear_O,BJ$168*(1+Data_All!BJ58%),BJ218*(1+Data_All!BJ58%)),"")</f>
        <v/>
      </c>
      <c r="BK219" s="427" t="str">
        <f>IF(AND($A219&gt;=SYear_O,$A219&lt;=EYear_O,BK$3&gt;0),IF($A219=SYear_O,BK$168*(1+Data_All!BK58%),BK218*(1+Data_All!BK58%)),"")</f>
        <v/>
      </c>
      <c r="BL219" s="427" t="str">
        <f>IF(AND($A219&gt;=SYear_O,$A219&lt;=EYear_O,BL$3&gt;0),IF($A219=SYear_O,BL$168*(1+Data_All!BL58%),BL218*(1+Data_All!BL58%)),"")</f>
        <v/>
      </c>
      <c r="BM219" s="427" t="str">
        <f>IF(AND($A219&gt;=SYear_O,$A219&lt;=EYear_O,BM$3&gt;0),IF($A219=SYear_O,BM$168*(1+Data_All!BM58%),BM218*(1+Data_All!BM58%)),"")</f>
        <v/>
      </c>
      <c r="BN219" s="427" t="str">
        <f>IF(AND($A219&gt;=SYear_O,$A219&lt;=EYear_O,BN$3&gt;0),IF($A219=SYear_O,BN$168*(1+Data_All!BN58%),BN218*(1+Data_All!BN58%)),"")</f>
        <v/>
      </c>
      <c r="BO219" s="427" t="str">
        <f>IF(AND($A219&gt;=SYear_O,$A219&lt;=EYear_O,BO$3&gt;0),IF($A219=SYear_O,BO$168*(1+Data_All!BO58%),BO218*(1+Data_All!BO58%)),"")</f>
        <v/>
      </c>
      <c r="BP219" s="427" t="str">
        <f>IF(AND($A219&gt;=SYear_O,$A219&lt;=EYear_O,BP$3&gt;0),IF($A219=SYear_O,BP$168*(1+Data_All!BP58%),BP218*(1+Data_All!BP58%)),"")</f>
        <v/>
      </c>
      <c r="BQ219" s="427" t="str">
        <f>IF(AND($A219&gt;=SYear_O,$A219&lt;=EYear_O,BQ$3&gt;0),IF($A219=SYear_O,BQ$168*(1+Data_All!BQ58%),BQ218*(1+Data_All!BQ58%)),"")</f>
        <v/>
      </c>
      <c r="BR219" s="427" t="str">
        <f>IF(AND($A219&gt;=SYear_O,$A219&lt;=EYear_O,BR$3&gt;0),IF($A219=SYear_O,BR$168*(1+Data_All!BR58%),BR218*(1+Data_All!BR58%)),"")</f>
        <v/>
      </c>
      <c r="BS219" s="427" t="str">
        <f>IF(AND($A219&gt;=SYear_O,$A219&lt;=EYear_O,BS$3&gt;0),IF($A219=SYear_O,BS$168*(1+Data_All!BS58%),BS218*(1+Data_All!BS58%)),"")</f>
        <v/>
      </c>
      <c r="BT219" s="427" t="str">
        <f>IF(AND($A219&gt;=SYear_O,$A219&lt;=EYear_O,BT$3&gt;0),IF($A219=SYear_O,BT$168*(1+Data_All!BT58%),BT218*(1+Data_All!BT58%)),"")</f>
        <v/>
      </c>
      <c r="BU219" s="427" t="str">
        <f>IF(AND($A219&gt;=SYear_O,$A219&lt;=EYear_O,BU$3&gt;0),IF($A219=SYear_O,BU$168*(1+Data_All!BU58%),BU218*(1+Data_All!BU58%)),"")</f>
        <v/>
      </c>
      <c r="BV219" s="427" t="str">
        <f>IF(AND($A219&gt;=SYear_O,$A219&lt;=EYear_O,BV$3&gt;0),IF($A219=SYear_O,BV$168*(1+Data_All!BV58%),BV218*(1+Data_All!BV58%)),"")</f>
        <v/>
      </c>
      <c r="BW219" s="427" t="str">
        <f>IF(AND($A219&gt;=SYear_O,$A219&lt;=EYear_O,BW$3&gt;0),IF($A219=SYear_O,BW$168*(1+Data_All!BW58%),BW218*(1+Data_All!BW58%)),"")</f>
        <v/>
      </c>
      <c r="BX219" s="427">
        <f>IF(AND($A219&gt;=SYear_O,$A219&lt;=EYear_O,BX$3&gt;0),IF($A219=SYear_O,BX$168*(1+Data_All!BX58%),BX218*(1+Data_All!BX58%)),"")</f>
        <v>131332.40020473697</v>
      </c>
      <c r="BY219" s="427">
        <f>IF(AND($A219&gt;=SYear_O,$A219&lt;=EYear_O,BY$3&gt;0),IF($A219=SYear_O,BY$168*(1+Data_All!BY58%),BY218*(1+Data_All!BY58%)),"")</f>
        <v>29110.845126813969</v>
      </c>
      <c r="BZ219" s="427" t="str">
        <f>IF(AND($A219&gt;=SYear_O,$A219&lt;=EYear_O,BZ$3&gt;0),IF($A219=SYear_O,BZ$168*(1+Data_All!BZ58%),BZ218*(1+Data_All!BZ58%)),"")</f>
        <v/>
      </c>
      <c r="CA219" s="565">
        <f t="shared" si="108"/>
        <v>9.7011453012957087</v>
      </c>
      <c r="CB219" s="427">
        <f t="shared" si="109"/>
        <v>160443.24533155095</v>
      </c>
      <c r="CC219" s="565">
        <f>IF(AND($A219&gt;=SYear_O,$A219&lt;=EYear_O),(CA219-Data_All!CA58)/(1+Data_All!CA58%),"")</f>
        <v>23.332648563586908</v>
      </c>
      <c r="CD219" s="436">
        <f t="shared" si="110"/>
        <v>118329.84596748021</v>
      </c>
      <c r="CE219" s="438">
        <f t="shared" si="111"/>
        <v>14.552080216826107</v>
      </c>
      <c r="CF219" s="438">
        <f>IF(AND($A219&gt;=SYear_O,$A219&lt;=EYear_O),MAX($CE$169:CE219),"")</f>
        <v>14.903040837443589</v>
      </c>
      <c r="CG219" s="209">
        <f t="shared" si="112"/>
        <v>2.3549597994504623E-2</v>
      </c>
      <c r="CN219" s="61">
        <f t="shared" si="113"/>
        <v>9.7011453012957105E-2</v>
      </c>
      <c r="CO219" s="61">
        <f t="shared" si="114"/>
        <v>0.12822195647769141</v>
      </c>
      <c r="CP219" s="61">
        <f t="shared" si="115"/>
        <v>0.16658789432736376</v>
      </c>
      <c r="CQ219" s="61">
        <f t="shared" si="116"/>
        <v>0.12847770811475212</v>
      </c>
      <c r="CR219" s="61">
        <f t="shared" si="117"/>
        <v>9.423396502982162E-2</v>
      </c>
      <c r="CU219" s="61">
        <f t="shared" si="118"/>
        <v>0.233326485635869</v>
      </c>
      <c r="CV219" s="61">
        <f t="shared" si="119"/>
        <v>0.16402876693685164</v>
      </c>
      <c r="CW219" s="61">
        <f t="shared" si="120"/>
        <v>0.18058586575163749</v>
      </c>
      <c r="CX219" s="61">
        <f t="shared" si="121"/>
        <v>0.14875822029257724</v>
      </c>
      <c r="CY219" s="61">
        <f t="shared" si="122"/>
        <v>0.11781129104759724</v>
      </c>
    </row>
    <row r="220" spans="1:103">
      <c r="A220" s="204">
        <f t="shared" si="107"/>
        <v>1922</v>
      </c>
      <c r="B220" s="427" t="str">
        <f>IF(AND($A220&gt;=SYear_O,$A220&lt;=EYear_O,B$3&gt;0),IF($A220=SYear_O,B$168*(1+Data_All!B59%),B219*(1+Data_All!B59%)),"")</f>
        <v/>
      </c>
      <c r="C220" s="427" t="str">
        <f>IF(AND($A220&gt;=SYear_O,$A220&lt;=EYear_O,C$3&gt;0),IF($A220=SYear_O,C$168*(1+Data_All!C59%),C219*(1+Data_All!C59%)),"")</f>
        <v/>
      </c>
      <c r="D220" s="427" t="str">
        <f>IF(AND($A220&gt;=SYear_O,$A220&lt;=EYear_O,D$3&gt;0),IF($A220=SYear_O,D$168*(1+Data_All!D59%),D219*(1+Data_All!D59%)),"")</f>
        <v/>
      </c>
      <c r="E220" s="427" t="str">
        <f>IF(AND($A220&gt;=SYear_O,$A220&lt;=EYear_O,E$3&gt;0),IF($A220=SYear_O,E$168*(1+Data_All!E59%),E219*(1+Data_All!E59%)),"")</f>
        <v/>
      </c>
      <c r="F220" s="427" t="str">
        <f>IF(AND($A220&gt;=SYear_O,$A220&lt;=EYear_O,F$3&gt;0),IF($A220=SYear_O,F$168*(1+Data_All!F59%),F219*(1+Data_All!F59%)),"")</f>
        <v/>
      </c>
      <c r="G220" s="427" t="str">
        <f>IF(AND($A220&gt;=SYear_O,$A220&lt;=EYear_O,G$3&gt;0),IF($A220=SYear_O,G$168*(1+Data_All!G59%),G219*(1+Data_All!G59%)),"")</f>
        <v/>
      </c>
      <c r="H220" s="427" t="str">
        <f>IF(AND($A220&gt;=SYear_O,$A220&lt;=EYear_O,H$3&gt;0),IF($A220=SYear_O,H$168*(1+Data_All!H59%),H219*(1+Data_All!H59%)),"")</f>
        <v/>
      </c>
      <c r="I220" s="427" t="str">
        <f>IF(AND($A220&gt;=SYear_O,$A220&lt;=EYear_O,I$3&gt;0),IF($A220=SYear_O,I$168*(1+Data_All!I59%),I219*(1+Data_All!I59%)),"")</f>
        <v/>
      </c>
      <c r="J220" s="427" t="str">
        <f>IF(AND($A220&gt;=SYear_O,$A220&lt;=EYear_O,J$3&gt;0),IF($A220=SYear_O,J$168*(1+Data_All!J59%),J219*(1+Data_All!J59%)),"")</f>
        <v/>
      </c>
      <c r="K220" s="427" t="str">
        <f>IF(AND($A220&gt;=SYear_O,$A220&lt;=EYear_O,K$3&gt;0),IF($A220=SYear_O,K$168*(1+Data_All!K59%),K219*(1+Data_All!K59%)),"")</f>
        <v/>
      </c>
      <c r="L220" s="427" t="str">
        <f>IF(AND($A220&gt;=SYear_O,$A220&lt;=EYear_O,L$3&gt;0),IF($A220=SYear_O,L$168*(1+Data_All!L59%),L219*(1+Data_All!L59%)),"")</f>
        <v/>
      </c>
      <c r="M220" s="427" t="str">
        <f>IF(AND($A220&gt;=SYear_O,$A220&lt;=EYear_O,M$3&gt;0),IF($A220=SYear_O,M$168*(1+Data_All!M59%),M219*(1+Data_All!M59%)),"")</f>
        <v/>
      </c>
      <c r="N220" s="427" t="str">
        <f>IF(AND($A220&gt;=SYear_O,$A220&lt;=EYear_O,N$3&gt;0),IF($A220=SYear_O,N$168*(1+Data_All!N59%),N219*(1+Data_All!N59%)),"")</f>
        <v/>
      </c>
      <c r="O220" s="427" t="str">
        <f>IF(AND($A220&gt;=SYear_O,$A220&lt;=EYear_O,O$3&gt;0),IF($A220=SYear_O,O$168*(1+Data_All!O59%),O219*(1+Data_All!O59%)),"")</f>
        <v/>
      </c>
      <c r="P220" s="427" t="str">
        <f>IF(AND($A220&gt;=SYear_O,$A220&lt;=EYear_O,P$3&gt;0),IF($A220=SYear_O,P$168*(1+Data_All!P59%),P219*(1+Data_All!P59%)),"")</f>
        <v/>
      </c>
      <c r="Q220" s="427" t="str">
        <f>IF(AND($A220&gt;=SYear_O,$A220&lt;=EYear_O,Q$3&gt;0),IF($A220=SYear_O,Q$168*(1+Data_All!Q59%),Q219*(1+Data_All!Q59%)),"")</f>
        <v/>
      </c>
      <c r="R220" s="427" t="str">
        <f>IF(AND($A220&gt;=SYear_O,$A220&lt;=EYear_O,R$3&gt;0),IF($A220=SYear_O,R$168*(1+Data_All!R59%),R219*(1+Data_All!R59%)),"")</f>
        <v/>
      </c>
      <c r="S220" s="427" t="str">
        <f>IF(AND($A220&gt;=SYear_O,$A220&lt;=EYear_O,S$3&gt;0),IF($A220=SYear_O,S$168*(1+Data_All!S59%),S219*(1+Data_All!S59%)),"")</f>
        <v/>
      </c>
      <c r="T220" s="427" t="str">
        <f>IF(AND($A220&gt;=SYear_O,$A220&lt;=EYear_O,T$3&gt;0),IF($A220=SYear_O,T$168*(1+Data_All!T59%),T219*(1+Data_All!T59%)),"")</f>
        <v/>
      </c>
      <c r="U220" s="427" t="str">
        <f>IF(AND($A220&gt;=SYear_O,$A220&lt;=EYear_O,U$3&gt;0),IF($A220=SYear_O,U$168*(1+Data_All!U59%),U219*(1+Data_All!U59%)),"")</f>
        <v/>
      </c>
      <c r="V220" s="427" t="str">
        <f>IF(AND($A220&gt;=SYear_O,$A220&lt;=EYear_O,V$3&gt;0),IF($A220=SYear_O,V$168*(1+Data_All!V59%),V219*(1+Data_All!V59%)),"")</f>
        <v/>
      </c>
      <c r="W220" s="427" t="str">
        <f>IF(AND($A220&gt;=SYear_O,$A220&lt;=EYear_O,W$3&gt;0),IF($A220=SYear_O,W$168*(1+Data_All!W59%),W219*(1+Data_All!W59%)),"")</f>
        <v/>
      </c>
      <c r="X220" s="427" t="str">
        <f>IF(AND($A220&gt;=SYear_O,$A220&lt;=EYear_O,X$3&gt;0),IF($A220=SYear_O,X$168*(1+Data_All!X59%),X219*(1+Data_All!X59%)),"")</f>
        <v/>
      </c>
      <c r="Y220" s="427" t="str">
        <f>IF(AND($A220&gt;=SYear_O,$A220&lt;=EYear_O,Y$3&gt;0),IF($A220=SYear_O,Y$168*(1+Data_All!Y59%),Y219*(1+Data_All!Y59%)),"")</f>
        <v/>
      </c>
      <c r="Z220" s="427" t="str">
        <f>IF(AND($A220&gt;=SYear_O,$A220&lt;=EYear_O,Z$3&gt;0),IF($A220=SYear_O,Z$168*(1+Data_All!Z59%),Z219*(1+Data_All!Z59%)),"")</f>
        <v/>
      </c>
      <c r="AA220" s="427" t="str">
        <f>IF(AND($A220&gt;=SYear_O,$A220&lt;=EYear_O,AA$3&gt;0),IF($A220=SYear_O,AA$168*(1+Data_All!AA59%),AA219*(1+Data_All!AA59%)),"")</f>
        <v/>
      </c>
      <c r="AB220" s="427" t="str">
        <f>IF(AND($A220&gt;=SYear_O,$A220&lt;=EYear_O,AB$3&gt;0),IF($A220=SYear_O,AB$168*(1+Data_All!AB59%),AB219*(1+Data_All!AB59%)),"")</f>
        <v/>
      </c>
      <c r="AC220" s="427" t="str">
        <f>IF(AND($A220&gt;=SYear_O,$A220&lt;=EYear_O,AC$3&gt;0),IF($A220=SYear_O,AC$168*(1+Data_All!AC59%),AC219*(1+Data_All!AC59%)),"")</f>
        <v/>
      </c>
      <c r="AD220" s="427" t="str">
        <f>IF(AND($A220&gt;=SYear_O,$A220&lt;=EYear_O,AD$3&gt;0),IF($A220=SYear_O,AD$168*(1+Data_All!AD59%),AD219*(1+Data_All!AD59%)),"")</f>
        <v/>
      </c>
      <c r="AE220" s="427" t="str">
        <f>IF(AND($A220&gt;=SYear_O,$A220&lt;=EYear_O,AE$3&gt;0),IF($A220=SYear_O,AE$168*(1+Data_All!AE59%),AE219*(1+Data_All!AE59%)),"")</f>
        <v/>
      </c>
      <c r="AF220" s="427" t="str">
        <f>IF(AND($A220&gt;=SYear_O,$A220&lt;=EYear_O,AF$3&gt;0),IF($A220=SYear_O,AF$168*(1+Data_All!AF59%),AF219*(1+Data_All!AF59%)),"")</f>
        <v/>
      </c>
      <c r="AG220" s="427" t="str">
        <f>IF(AND($A220&gt;=SYear_O,$A220&lt;=EYear_O,AG$3&gt;0),IF($A220=SYear_O,AG$168*(1+Data_All!AG59%),AG219*(1+Data_All!AG59%)),"")</f>
        <v/>
      </c>
      <c r="AH220" s="427" t="str">
        <f>IF(AND($A220&gt;=SYear_O,$A220&lt;=EYear_O,AH$3&gt;0),IF($A220=SYear_O,AH$168*(1+Data_All!AH59%),AH219*(1+Data_All!AH59%)),"")</f>
        <v/>
      </c>
      <c r="AI220" s="427" t="str">
        <f>IF(AND($A220&gt;=SYear_O,$A220&lt;=EYear_O,AI$3&gt;0),IF($A220=SYear_O,AI$168*(1+Data_All!AI59%),AI219*(1+Data_All!AI59%)),"")</f>
        <v/>
      </c>
      <c r="AJ220" s="427" t="str">
        <f>IF(AND($A220&gt;=SYear_O,$A220&lt;=EYear_O,AJ$3&gt;0),IF($A220=SYear_O,AJ$168*(1+Data_All!AJ59%),AJ219*(1+Data_All!AJ59%)),"")</f>
        <v/>
      </c>
      <c r="AK220" s="427" t="str">
        <f>IF(AND($A220&gt;=SYear_O,$A220&lt;=EYear_O,AK$3&gt;0),IF($A220=SYear_O,AK$168*(1+Data_All!AK59%),AK219*(1+Data_All!AK59%)),"")</f>
        <v/>
      </c>
      <c r="AL220" s="427" t="str">
        <f>IF(AND($A220&gt;=SYear_O,$A220&lt;=EYear_O,AL$3&gt;0),IF($A220=SYear_O,AL$168*(1+Data_All!AL59%),AL219*(1+Data_All!AL59%)),"")</f>
        <v/>
      </c>
      <c r="AM220" s="427" t="str">
        <f>IF(AND($A220&gt;=SYear_O,$A220&lt;=EYear_O,AM$3&gt;0),IF($A220=SYear_O,AM$168*(1+Data_All!AM59%),AM219*(1+Data_All!AM59%)),"")</f>
        <v/>
      </c>
      <c r="AN220" s="427" t="str">
        <f>IF(AND($A220&gt;=SYear_O,$A220&lt;=EYear_O,AN$3&gt;0),IF($A220=SYear_O,AN$168*(1+Data_All!AN59%),AN219*(1+Data_All!AN59%)),"")</f>
        <v/>
      </c>
      <c r="AO220" s="427" t="str">
        <f>IF(AND($A220&gt;=SYear_O,$A220&lt;=EYear_O,AO$3&gt;0),IF($A220=SYear_O,AO$168*(1+Data_All!AO59%),AO219*(1+Data_All!AO59%)),"")</f>
        <v/>
      </c>
      <c r="AP220" s="427" t="str">
        <f>IF(AND($A220&gt;=SYear_O,$A220&lt;=EYear_O,AP$3&gt;0),IF($A220=SYear_O,AP$168*(1+Data_All!AP59%),AP219*(1+Data_All!AP59%)),"")</f>
        <v/>
      </c>
      <c r="AQ220" s="427" t="str">
        <f>IF(AND($A220&gt;=SYear_O,$A220&lt;=EYear_O,AQ$3&gt;0),IF($A220=SYear_O,AQ$168*(1+Data_All!AQ59%),AQ219*(1+Data_All!AQ59%)),"")</f>
        <v/>
      </c>
      <c r="AR220" s="427" t="str">
        <f>IF(AND($A220&gt;=SYear_O,$A220&lt;=EYear_O,AR$3&gt;0),IF($A220=SYear_O,AR$168*(1+Data_All!AR59%),AR219*(1+Data_All!AR59%)),"")</f>
        <v/>
      </c>
      <c r="AS220" s="427" t="str">
        <f>IF(AND($A220&gt;=SYear_O,$A220&lt;=EYear_O,AS$3&gt;0),IF($A220=SYear_O,AS$168*(1+Data_All!AS59%),AS219*(1+Data_All!AS59%)),"")</f>
        <v/>
      </c>
      <c r="AT220" s="427" t="str">
        <f>IF(AND($A220&gt;=SYear_O,$A220&lt;=EYear_O,AT$3&gt;0),IF($A220=SYear_O,AT$168*(1+Data_All!AT59%),AT219*(1+Data_All!AT59%)),"")</f>
        <v/>
      </c>
      <c r="AU220" s="427" t="str">
        <f>IF(AND($A220&gt;=SYear_O,$A220&lt;=EYear_O,AU$3&gt;0),IF($A220=SYear_O,AU$168*(1+Data_All!AU59%),AU219*(1+Data_All!AU59%)),"")</f>
        <v/>
      </c>
      <c r="AV220" s="427" t="str">
        <f>IF(AND($A220&gt;=SYear_O,$A220&lt;=EYear_O,AV$3&gt;0),IF($A220=SYear_O,AV$168*(1+Data_All!AV59%),AV219*(1+Data_All!AV59%)),"")</f>
        <v/>
      </c>
      <c r="AW220" s="427" t="str">
        <f>IF(AND($A220&gt;=SYear_O,$A220&lt;=EYear_O,AW$3&gt;0),IF($A220=SYear_O,AW$168*(1+Data_All!AW59%),AW219*(1+Data_All!AW59%)),"")</f>
        <v/>
      </c>
      <c r="AX220" s="427" t="str">
        <f>IF(AND($A220&gt;=SYear_O,$A220&lt;=EYear_O,AX$3&gt;0),IF($A220=SYear_O,AX$168*(1+Data_All!AX59%),AX219*(1+Data_All!AX59%)),"")</f>
        <v/>
      </c>
      <c r="AY220" s="427" t="str">
        <f>IF(AND($A220&gt;=SYear_O,$A220&lt;=EYear_O,AY$3&gt;0),IF($A220=SYear_O,AY$168*(1+Data_All!AY59%),AY219*(1+Data_All!AY59%)),"")</f>
        <v/>
      </c>
      <c r="AZ220" s="427" t="str">
        <f>IF(AND($A220&gt;=SYear_O,$A220&lt;=EYear_O,AZ$3&gt;0),IF($A220=SYear_O,AZ$168*(1+Data_All!AZ59%),AZ219*(1+Data_All!AZ59%)),"")</f>
        <v/>
      </c>
      <c r="BA220" s="427" t="str">
        <f>IF(AND($A220&gt;=SYear_O,$A220&lt;=EYear_O,BA$3&gt;0),IF($A220=SYear_O,BA$168*(1+Data_All!BA59%),BA219*(1+Data_All!BA59%)),"")</f>
        <v/>
      </c>
      <c r="BB220" s="427" t="str">
        <f>IF(AND($A220&gt;=SYear_O,$A220&lt;=EYear_O,BB$3&gt;0),IF($A220=SYear_O,BB$168*(1+Data_All!BB59%),BB219*(1+Data_All!BB59%)),"")</f>
        <v/>
      </c>
      <c r="BC220" s="427" t="str">
        <f>IF(AND($A220&gt;=SYear_O,$A220&lt;=EYear_O,BC$3&gt;0),IF($A220=SYear_O,BC$168*(1+Data_All!BC59%),BC219*(1+Data_All!BC59%)),"")</f>
        <v/>
      </c>
      <c r="BD220" s="427" t="str">
        <f>IF(AND($A220&gt;=SYear_O,$A220&lt;=EYear_O,BD$3&gt;0),IF($A220=SYear_O,BD$168*(1+Data_All!BD59%),BD219*(1+Data_All!BD59%)),"")</f>
        <v/>
      </c>
      <c r="BE220" s="427" t="str">
        <f>IF(AND($A220&gt;=SYear_O,$A220&lt;=EYear_O,BE$3&gt;0),IF($A220=SYear_O,BE$168*(1+Data_All!BE59%),BE219*(1+Data_All!BE59%)),"")</f>
        <v/>
      </c>
      <c r="BF220" s="427" t="str">
        <f>IF(AND($A220&gt;=SYear_O,$A220&lt;=EYear_O,BF$3&gt;0),IF($A220=SYear_O,BF$168*(1+Data_All!BF59%),BF219*(1+Data_All!BF59%)),"")</f>
        <v/>
      </c>
      <c r="BG220" s="427" t="str">
        <f>IF(AND($A220&gt;=SYear_O,$A220&lt;=EYear_O,BG$3&gt;0),IF($A220=SYear_O,BG$168*(1+Data_All!BG59%),BG219*(1+Data_All!BG59%)),"")</f>
        <v/>
      </c>
      <c r="BH220" s="427" t="str">
        <f>IF(AND($A220&gt;=SYear_O,$A220&lt;=EYear_O,BH$3&gt;0),IF($A220=SYear_O,BH$168*(1+Data_All!BH59%),BH219*(1+Data_All!BH59%)),"")</f>
        <v/>
      </c>
      <c r="BI220" s="427" t="str">
        <f>IF(AND($A220&gt;=SYear_O,$A220&lt;=EYear_O,BI$3&gt;0),IF($A220=SYear_O,BI$168*(1+Data_All!BI59%),BI219*(1+Data_All!BI59%)),"")</f>
        <v/>
      </c>
      <c r="BJ220" s="427" t="str">
        <f>IF(AND($A220&gt;=SYear_O,$A220&lt;=EYear_O,BJ$3&gt;0),IF($A220=SYear_O,BJ$168*(1+Data_All!BJ59%),BJ219*(1+Data_All!BJ59%)),"")</f>
        <v/>
      </c>
      <c r="BK220" s="427" t="str">
        <f>IF(AND($A220&gt;=SYear_O,$A220&lt;=EYear_O,BK$3&gt;0),IF($A220=SYear_O,BK$168*(1+Data_All!BK59%),BK219*(1+Data_All!BK59%)),"")</f>
        <v/>
      </c>
      <c r="BL220" s="427" t="str">
        <f>IF(AND($A220&gt;=SYear_O,$A220&lt;=EYear_O,BL$3&gt;0),IF($A220=SYear_O,BL$168*(1+Data_All!BL59%),BL219*(1+Data_All!BL59%)),"")</f>
        <v/>
      </c>
      <c r="BM220" s="427" t="str">
        <f>IF(AND($A220&gt;=SYear_O,$A220&lt;=EYear_O,BM$3&gt;0),IF($A220=SYear_O,BM$168*(1+Data_All!BM59%),BM219*(1+Data_All!BM59%)),"")</f>
        <v/>
      </c>
      <c r="BN220" s="427" t="str">
        <f>IF(AND($A220&gt;=SYear_O,$A220&lt;=EYear_O,BN$3&gt;0),IF($A220=SYear_O,BN$168*(1+Data_All!BN59%),BN219*(1+Data_All!BN59%)),"")</f>
        <v/>
      </c>
      <c r="BO220" s="427" t="str">
        <f>IF(AND($A220&gt;=SYear_O,$A220&lt;=EYear_O,BO$3&gt;0),IF($A220=SYear_O,BO$168*(1+Data_All!BO59%),BO219*(1+Data_All!BO59%)),"")</f>
        <v/>
      </c>
      <c r="BP220" s="427" t="str">
        <f>IF(AND($A220&gt;=SYear_O,$A220&lt;=EYear_O,BP$3&gt;0),IF($A220=SYear_O,BP$168*(1+Data_All!BP59%),BP219*(1+Data_All!BP59%)),"")</f>
        <v/>
      </c>
      <c r="BQ220" s="427" t="str">
        <f>IF(AND($A220&gt;=SYear_O,$A220&lt;=EYear_O,BQ$3&gt;0),IF($A220=SYear_O,BQ$168*(1+Data_All!BQ59%),BQ219*(1+Data_All!BQ59%)),"")</f>
        <v/>
      </c>
      <c r="BR220" s="427" t="str">
        <f>IF(AND($A220&gt;=SYear_O,$A220&lt;=EYear_O,BR$3&gt;0),IF($A220=SYear_O,BR$168*(1+Data_All!BR59%),BR219*(1+Data_All!BR59%)),"")</f>
        <v/>
      </c>
      <c r="BS220" s="427" t="str">
        <f>IF(AND($A220&gt;=SYear_O,$A220&lt;=EYear_O,BS$3&gt;0),IF($A220=SYear_O,BS$168*(1+Data_All!BS59%),BS219*(1+Data_All!BS59%)),"")</f>
        <v/>
      </c>
      <c r="BT220" s="427" t="str">
        <f>IF(AND($A220&gt;=SYear_O,$A220&lt;=EYear_O,BT$3&gt;0),IF($A220=SYear_O,BT$168*(1+Data_All!BT59%),BT219*(1+Data_All!BT59%)),"")</f>
        <v/>
      </c>
      <c r="BU220" s="427" t="str">
        <f>IF(AND($A220&gt;=SYear_O,$A220&lt;=EYear_O,BU$3&gt;0),IF($A220=SYear_O,BU$168*(1+Data_All!BU59%),BU219*(1+Data_All!BU59%)),"")</f>
        <v/>
      </c>
      <c r="BV220" s="427" t="str">
        <f>IF(AND($A220&gt;=SYear_O,$A220&lt;=EYear_O,BV$3&gt;0),IF($A220=SYear_O,BV$168*(1+Data_All!BV59%),BV219*(1+Data_All!BV59%)),"")</f>
        <v/>
      </c>
      <c r="BW220" s="427" t="str">
        <f>IF(AND($A220&gt;=SYear_O,$A220&lt;=EYear_O,BW$3&gt;0),IF($A220=SYear_O,BW$168*(1+Data_All!BW59%),BW219*(1+Data_All!BW59%)),"")</f>
        <v/>
      </c>
      <c r="BX220" s="427">
        <f>IF(AND($A220&gt;=SYear_O,$A220&lt;=EYear_O,BX$3&gt;0),IF($A220=SYear_O,BX$168*(1+Data_All!BX59%),BX219*(1+Data_All!BX59%)),"")</f>
        <v>169292.86108583218</v>
      </c>
      <c r="BY220" s="427">
        <f>IF(AND($A220&gt;=SYear_O,$A220&lt;=EYear_O,BY$3&gt;0),IF($A220=SYear_O,BY$168*(1+Data_All!BY59%),BY219*(1+Data_All!BY59%)),"")</f>
        <v>30112.986685090335</v>
      </c>
      <c r="BZ220" s="427" t="str">
        <f>IF(AND($A220&gt;=SYear_O,$A220&lt;=EYear_O,BZ$3&gt;0),IF($A220=SYear_O,BZ$168*(1+Data_All!BZ59%),BZ219*(1+Data_All!BZ59%)),"")</f>
        <v/>
      </c>
      <c r="CA220" s="565">
        <f t="shared" si="108"/>
        <v>24.284351989301001</v>
      </c>
      <c r="CB220" s="427">
        <f t="shared" si="109"/>
        <v>199405.84777092253</v>
      </c>
      <c r="CC220" s="565">
        <f>IF(AND($A220&gt;=SYear_O,$A220&lt;=EYear_O),(CA220-Data_All!CA59)/(1+Data_All!CA59%),"")</f>
        <v>25.024139798761116</v>
      </c>
      <c r="CD220" s="436">
        <f t="shared" si="110"/>
        <v>147940.87204604116</v>
      </c>
      <c r="CE220" s="438">
        <f t="shared" si="111"/>
        <v>18.085958598445597</v>
      </c>
      <c r="CF220" s="438">
        <f>IF(AND($A220&gt;=SYear_O,$A220&lt;=EYear_O),MAX($CE$169:CE220),"")</f>
        <v>18.085958598445597</v>
      </c>
      <c r="CG220" s="209">
        <f t="shared" si="112"/>
        <v>0</v>
      </c>
      <c r="CN220" s="61">
        <f t="shared" si="113"/>
        <v>0.24284351989301012</v>
      </c>
      <c r="CO220" s="61">
        <f t="shared" si="114"/>
        <v>0.17179154407888264</v>
      </c>
      <c r="CP220" s="61">
        <f t="shared" si="115"/>
        <v>0.16856525198778782</v>
      </c>
      <c r="CQ220" s="61">
        <f t="shared" si="116"/>
        <v>6.3990806622325591E-2</v>
      </c>
      <c r="CR220" s="61">
        <f t="shared" si="117"/>
        <v>0.10679270367662386</v>
      </c>
      <c r="CU220" s="61">
        <f t="shared" si="118"/>
        <v>0.25024139798761125</v>
      </c>
      <c r="CV220" s="61">
        <f t="shared" si="119"/>
        <v>0.16268988304715415</v>
      </c>
      <c r="CW220" s="61">
        <f t="shared" si="120"/>
        <v>0.16044002392495971</v>
      </c>
      <c r="CX220" s="61">
        <f t="shared" si="121"/>
        <v>8.1914502149318613E-2</v>
      </c>
      <c r="CY220" s="61">
        <f t="shared" si="122"/>
        <v>0.12023927208038843</v>
      </c>
    </row>
    <row r="221" spans="1:103">
      <c r="A221" s="204">
        <f t="shared" si="107"/>
        <v>1923</v>
      </c>
      <c r="B221" s="427" t="str">
        <f>IF(AND($A221&gt;=SYear_O,$A221&lt;=EYear_O,B$3&gt;0),IF($A221=SYear_O,B$168*(1+Data_All!B60%),B220*(1+Data_All!B60%)),"")</f>
        <v/>
      </c>
      <c r="C221" s="427" t="str">
        <f>IF(AND($A221&gt;=SYear_O,$A221&lt;=EYear_O,C$3&gt;0),IF($A221=SYear_O,C$168*(1+Data_All!C60%),C220*(1+Data_All!C60%)),"")</f>
        <v/>
      </c>
      <c r="D221" s="427" t="str">
        <f>IF(AND($A221&gt;=SYear_O,$A221&lt;=EYear_O,D$3&gt;0),IF($A221=SYear_O,D$168*(1+Data_All!D60%),D220*(1+Data_All!D60%)),"")</f>
        <v/>
      </c>
      <c r="E221" s="427" t="str">
        <f>IF(AND($A221&gt;=SYear_O,$A221&lt;=EYear_O,E$3&gt;0),IF($A221=SYear_O,E$168*(1+Data_All!E60%),E220*(1+Data_All!E60%)),"")</f>
        <v/>
      </c>
      <c r="F221" s="427" t="str">
        <f>IF(AND($A221&gt;=SYear_O,$A221&lt;=EYear_O,F$3&gt;0),IF($A221=SYear_O,F$168*(1+Data_All!F60%),F220*(1+Data_All!F60%)),"")</f>
        <v/>
      </c>
      <c r="G221" s="427" t="str">
        <f>IF(AND($A221&gt;=SYear_O,$A221&lt;=EYear_O,G$3&gt;0),IF($A221=SYear_O,G$168*(1+Data_All!G60%),G220*(1+Data_All!G60%)),"")</f>
        <v/>
      </c>
      <c r="H221" s="427" t="str">
        <f>IF(AND($A221&gt;=SYear_O,$A221&lt;=EYear_O,H$3&gt;0),IF($A221=SYear_O,H$168*(1+Data_All!H60%),H220*(1+Data_All!H60%)),"")</f>
        <v/>
      </c>
      <c r="I221" s="427" t="str">
        <f>IF(AND($A221&gt;=SYear_O,$A221&lt;=EYear_O,I$3&gt;0),IF($A221=SYear_O,I$168*(1+Data_All!I60%),I220*(1+Data_All!I60%)),"")</f>
        <v/>
      </c>
      <c r="J221" s="427" t="str">
        <f>IF(AND($A221&gt;=SYear_O,$A221&lt;=EYear_O,J$3&gt;0),IF($A221=SYear_O,J$168*(1+Data_All!J60%),J220*(1+Data_All!J60%)),"")</f>
        <v/>
      </c>
      <c r="K221" s="427" t="str">
        <f>IF(AND($A221&gt;=SYear_O,$A221&lt;=EYear_O,K$3&gt;0),IF($A221=SYear_O,K$168*(1+Data_All!K60%),K220*(1+Data_All!K60%)),"")</f>
        <v/>
      </c>
      <c r="L221" s="427" t="str">
        <f>IF(AND($A221&gt;=SYear_O,$A221&lt;=EYear_O,L$3&gt;0),IF($A221=SYear_O,L$168*(1+Data_All!L60%),L220*(1+Data_All!L60%)),"")</f>
        <v/>
      </c>
      <c r="M221" s="427" t="str">
        <f>IF(AND($A221&gt;=SYear_O,$A221&lt;=EYear_O,M$3&gt;0),IF($A221=SYear_O,M$168*(1+Data_All!M60%),M220*(1+Data_All!M60%)),"")</f>
        <v/>
      </c>
      <c r="N221" s="427" t="str">
        <f>IF(AND($A221&gt;=SYear_O,$A221&lt;=EYear_O,N$3&gt;0),IF($A221=SYear_O,N$168*(1+Data_All!N60%),N220*(1+Data_All!N60%)),"")</f>
        <v/>
      </c>
      <c r="O221" s="427" t="str">
        <f>IF(AND($A221&gt;=SYear_O,$A221&lt;=EYear_O,O$3&gt;0),IF($A221=SYear_O,O$168*(1+Data_All!O60%),O220*(1+Data_All!O60%)),"")</f>
        <v/>
      </c>
      <c r="P221" s="427" t="str">
        <f>IF(AND($A221&gt;=SYear_O,$A221&lt;=EYear_O,P$3&gt;0),IF($A221=SYear_O,P$168*(1+Data_All!P60%),P220*(1+Data_All!P60%)),"")</f>
        <v/>
      </c>
      <c r="Q221" s="427" t="str">
        <f>IF(AND($A221&gt;=SYear_O,$A221&lt;=EYear_O,Q$3&gt;0),IF($A221=SYear_O,Q$168*(1+Data_All!Q60%),Q220*(1+Data_All!Q60%)),"")</f>
        <v/>
      </c>
      <c r="R221" s="427" t="str">
        <f>IF(AND($A221&gt;=SYear_O,$A221&lt;=EYear_O,R$3&gt;0),IF($A221=SYear_O,R$168*(1+Data_All!R60%),R220*(1+Data_All!R60%)),"")</f>
        <v/>
      </c>
      <c r="S221" s="427" t="str">
        <f>IF(AND($A221&gt;=SYear_O,$A221&lt;=EYear_O,S$3&gt;0),IF($A221=SYear_O,S$168*(1+Data_All!S60%),S220*(1+Data_All!S60%)),"")</f>
        <v/>
      </c>
      <c r="T221" s="427" t="str">
        <f>IF(AND($A221&gt;=SYear_O,$A221&lt;=EYear_O,T$3&gt;0),IF($A221=SYear_O,T$168*(1+Data_All!T60%),T220*(1+Data_All!T60%)),"")</f>
        <v/>
      </c>
      <c r="U221" s="427" t="str">
        <f>IF(AND($A221&gt;=SYear_O,$A221&lt;=EYear_O,U$3&gt;0),IF($A221=SYear_O,U$168*(1+Data_All!U60%),U220*(1+Data_All!U60%)),"")</f>
        <v/>
      </c>
      <c r="V221" s="427" t="str">
        <f>IF(AND($A221&gt;=SYear_O,$A221&lt;=EYear_O,V$3&gt;0),IF($A221=SYear_O,V$168*(1+Data_All!V60%),V220*(1+Data_All!V60%)),"")</f>
        <v/>
      </c>
      <c r="W221" s="427" t="str">
        <f>IF(AND($A221&gt;=SYear_O,$A221&lt;=EYear_O,W$3&gt;0),IF($A221=SYear_O,W$168*(1+Data_All!W60%),W220*(1+Data_All!W60%)),"")</f>
        <v/>
      </c>
      <c r="X221" s="427" t="str">
        <f>IF(AND($A221&gt;=SYear_O,$A221&lt;=EYear_O,X$3&gt;0),IF($A221=SYear_O,X$168*(1+Data_All!X60%),X220*(1+Data_All!X60%)),"")</f>
        <v/>
      </c>
      <c r="Y221" s="427" t="str">
        <f>IF(AND($A221&gt;=SYear_O,$A221&lt;=EYear_O,Y$3&gt;0),IF($A221=SYear_O,Y$168*(1+Data_All!Y60%),Y220*(1+Data_All!Y60%)),"")</f>
        <v/>
      </c>
      <c r="Z221" s="427" t="str">
        <f>IF(AND($A221&gt;=SYear_O,$A221&lt;=EYear_O,Z$3&gt;0),IF($A221=SYear_O,Z$168*(1+Data_All!Z60%),Z220*(1+Data_All!Z60%)),"")</f>
        <v/>
      </c>
      <c r="AA221" s="427" t="str">
        <f>IF(AND($A221&gt;=SYear_O,$A221&lt;=EYear_O,AA$3&gt;0),IF($A221=SYear_O,AA$168*(1+Data_All!AA60%),AA220*(1+Data_All!AA60%)),"")</f>
        <v/>
      </c>
      <c r="AB221" s="427" t="str">
        <f>IF(AND($A221&gt;=SYear_O,$A221&lt;=EYear_O,AB$3&gt;0),IF($A221=SYear_O,AB$168*(1+Data_All!AB60%),AB220*(1+Data_All!AB60%)),"")</f>
        <v/>
      </c>
      <c r="AC221" s="427" t="str">
        <f>IF(AND($A221&gt;=SYear_O,$A221&lt;=EYear_O,AC$3&gt;0),IF($A221=SYear_O,AC$168*(1+Data_All!AC60%),AC220*(1+Data_All!AC60%)),"")</f>
        <v/>
      </c>
      <c r="AD221" s="427" t="str">
        <f>IF(AND($A221&gt;=SYear_O,$A221&lt;=EYear_O,AD$3&gt;0),IF($A221=SYear_O,AD$168*(1+Data_All!AD60%),AD220*(1+Data_All!AD60%)),"")</f>
        <v/>
      </c>
      <c r="AE221" s="427" t="str">
        <f>IF(AND($A221&gt;=SYear_O,$A221&lt;=EYear_O,AE$3&gt;0),IF($A221=SYear_O,AE$168*(1+Data_All!AE60%),AE220*(1+Data_All!AE60%)),"")</f>
        <v/>
      </c>
      <c r="AF221" s="427" t="str">
        <f>IF(AND($A221&gt;=SYear_O,$A221&lt;=EYear_O,AF$3&gt;0),IF($A221=SYear_O,AF$168*(1+Data_All!AF60%),AF220*(1+Data_All!AF60%)),"")</f>
        <v/>
      </c>
      <c r="AG221" s="427" t="str">
        <f>IF(AND($A221&gt;=SYear_O,$A221&lt;=EYear_O,AG$3&gt;0),IF($A221=SYear_O,AG$168*(1+Data_All!AG60%),AG220*(1+Data_All!AG60%)),"")</f>
        <v/>
      </c>
      <c r="AH221" s="427" t="str">
        <f>IF(AND($A221&gt;=SYear_O,$A221&lt;=EYear_O,AH$3&gt;0),IF($A221=SYear_O,AH$168*(1+Data_All!AH60%),AH220*(1+Data_All!AH60%)),"")</f>
        <v/>
      </c>
      <c r="AI221" s="427" t="str">
        <f>IF(AND($A221&gt;=SYear_O,$A221&lt;=EYear_O,AI$3&gt;0),IF($A221=SYear_O,AI$168*(1+Data_All!AI60%),AI220*(1+Data_All!AI60%)),"")</f>
        <v/>
      </c>
      <c r="AJ221" s="427" t="str">
        <f>IF(AND($A221&gt;=SYear_O,$A221&lt;=EYear_O,AJ$3&gt;0),IF($A221=SYear_O,AJ$168*(1+Data_All!AJ60%),AJ220*(1+Data_All!AJ60%)),"")</f>
        <v/>
      </c>
      <c r="AK221" s="427" t="str">
        <f>IF(AND($A221&gt;=SYear_O,$A221&lt;=EYear_O,AK$3&gt;0),IF($A221=SYear_O,AK$168*(1+Data_All!AK60%),AK220*(1+Data_All!AK60%)),"")</f>
        <v/>
      </c>
      <c r="AL221" s="427" t="str">
        <f>IF(AND($A221&gt;=SYear_O,$A221&lt;=EYear_O,AL$3&gt;0),IF($A221=SYear_O,AL$168*(1+Data_All!AL60%),AL220*(1+Data_All!AL60%)),"")</f>
        <v/>
      </c>
      <c r="AM221" s="427" t="str">
        <f>IF(AND($A221&gt;=SYear_O,$A221&lt;=EYear_O,AM$3&gt;0),IF($A221=SYear_O,AM$168*(1+Data_All!AM60%),AM220*(1+Data_All!AM60%)),"")</f>
        <v/>
      </c>
      <c r="AN221" s="427" t="str">
        <f>IF(AND($A221&gt;=SYear_O,$A221&lt;=EYear_O,AN$3&gt;0),IF($A221=SYear_O,AN$168*(1+Data_All!AN60%),AN220*(1+Data_All!AN60%)),"")</f>
        <v/>
      </c>
      <c r="AO221" s="427" t="str">
        <f>IF(AND($A221&gt;=SYear_O,$A221&lt;=EYear_O,AO$3&gt;0),IF($A221=SYear_O,AO$168*(1+Data_All!AO60%),AO220*(1+Data_All!AO60%)),"")</f>
        <v/>
      </c>
      <c r="AP221" s="427" t="str">
        <f>IF(AND($A221&gt;=SYear_O,$A221&lt;=EYear_O,AP$3&gt;0),IF($A221=SYear_O,AP$168*(1+Data_All!AP60%),AP220*(1+Data_All!AP60%)),"")</f>
        <v/>
      </c>
      <c r="AQ221" s="427" t="str">
        <f>IF(AND($A221&gt;=SYear_O,$A221&lt;=EYear_O,AQ$3&gt;0),IF($A221=SYear_O,AQ$168*(1+Data_All!AQ60%),AQ220*(1+Data_All!AQ60%)),"")</f>
        <v/>
      </c>
      <c r="AR221" s="427" t="str">
        <f>IF(AND($A221&gt;=SYear_O,$A221&lt;=EYear_O,AR$3&gt;0),IF($A221=SYear_O,AR$168*(1+Data_All!AR60%),AR220*(1+Data_All!AR60%)),"")</f>
        <v/>
      </c>
      <c r="AS221" s="427" t="str">
        <f>IF(AND($A221&gt;=SYear_O,$A221&lt;=EYear_O,AS$3&gt;0),IF($A221=SYear_O,AS$168*(1+Data_All!AS60%),AS220*(1+Data_All!AS60%)),"")</f>
        <v/>
      </c>
      <c r="AT221" s="427" t="str">
        <f>IF(AND($A221&gt;=SYear_O,$A221&lt;=EYear_O,AT$3&gt;0),IF($A221=SYear_O,AT$168*(1+Data_All!AT60%),AT220*(1+Data_All!AT60%)),"")</f>
        <v/>
      </c>
      <c r="AU221" s="427" t="str">
        <f>IF(AND($A221&gt;=SYear_O,$A221&lt;=EYear_O,AU$3&gt;0),IF($A221=SYear_O,AU$168*(1+Data_All!AU60%),AU220*(1+Data_All!AU60%)),"")</f>
        <v/>
      </c>
      <c r="AV221" s="427" t="str">
        <f>IF(AND($A221&gt;=SYear_O,$A221&lt;=EYear_O,AV$3&gt;0),IF($A221=SYear_O,AV$168*(1+Data_All!AV60%),AV220*(1+Data_All!AV60%)),"")</f>
        <v/>
      </c>
      <c r="AW221" s="427" t="str">
        <f>IF(AND($A221&gt;=SYear_O,$A221&lt;=EYear_O,AW$3&gt;0),IF($A221=SYear_O,AW$168*(1+Data_All!AW60%),AW220*(1+Data_All!AW60%)),"")</f>
        <v/>
      </c>
      <c r="AX221" s="427" t="str">
        <f>IF(AND($A221&gt;=SYear_O,$A221&lt;=EYear_O,AX$3&gt;0),IF($A221=SYear_O,AX$168*(1+Data_All!AX60%),AX220*(1+Data_All!AX60%)),"")</f>
        <v/>
      </c>
      <c r="AY221" s="427" t="str">
        <f>IF(AND($A221&gt;=SYear_O,$A221&lt;=EYear_O,AY$3&gt;0),IF($A221=SYear_O,AY$168*(1+Data_All!AY60%),AY220*(1+Data_All!AY60%)),"")</f>
        <v/>
      </c>
      <c r="AZ221" s="427" t="str">
        <f>IF(AND($A221&gt;=SYear_O,$A221&lt;=EYear_O,AZ$3&gt;0),IF($A221=SYear_O,AZ$168*(1+Data_All!AZ60%),AZ220*(1+Data_All!AZ60%)),"")</f>
        <v/>
      </c>
      <c r="BA221" s="427" t="str">
        <f>IF(AND($A221&gt;=SYear_O,$A221&lt;=EYear_O,BA$3&gt;0),IF($A221=SYear_O,BA$168*(1+Data_All!BA60%),BA220*(1+Data_All!BA60%)),"")</f>
        <v/>
      </c>
      <c r="BB221" s="427" t="str">
        <f>IF(AND($A221&gt;=SYear_O,$A221&lt;=EYear_O,BB$3&gt;0),IF($A221=SYear_O,BB$168*(1+Data_All!BB60%),BB220*(1+Data_All!BB60%)),"")</f>
        <v/>
      </c>
      <c r="BC221" s="427" t="str">
        <f>IF(AND($A221&gt;=SYear_O,$A221&lt;=EYear_O,BC$3&gt;0),IF($A221=SYear_O,BC$168*(1+Data_All!BC60%),BC220*(1+Data_All!BC60%)),"")</f>
        <v/>
      </c>
      <c r="BD221" s="427" t="str">
        <f>IF(AND($A221&gt;=SYear_O,$A221&lt;=EYear_O,BD$3&gt;0),IF($A221=SYear_O,BD$168*(1+Data_All!BD60%),BD220*(1+Data_All!BD60%)),"")</f>
        <v/>
      </c>
      <c r="BE221" s="427" t="str">
        <f>IF(AND($A221&gt;=SYear_O,$A221&lt;=EYear_O,BE$3&gt;0),IF($A221=SYear_O,BE$168*(1+Data_All!BE60%),BE220*(1+Data_All!BE60%)),"")</f>
        <v/>
      </c>
      <c r="BF221" s="427" t="str">
        <f>IF(AND($A221&gt;=SYear_O,$A221&lt;=EYear_O,BF$3&gt;0),IF($A221=SYear_O,BF$168*(1+Data_All!BF60%),BF220*(1+Data_All!BF60%)),"")</f>
        <v/>
      </c>
      <c r="BG221" s="427" t="str">
        <f>IF(AND($A221&gt;=SYear_O,$A221&lt;=EYear_O,BG$3&gt;0),IF($A221=SYear_O,BG$168*(1+Data_All!BG60%),BG220*(1+Data_All!BG60%)),"")</f>
        <v/>
      </c>
      <c r="BH221" s="427" t="str">
        <f>IF(AND($A221&gt;=SYear_O,$A221&lt;=EYear_O,BH$3&gt;0),IF($A221=SYear_O,BH$168*(1+Data_All!BH60%),BH220*(1+Data_All!BH60%)),"")</f>
        <v/>
      </c>
      <c r="BI221" s="427" t="str">
        <f>IF(AND($A221&gt;=SYear_O,$A221&lt;=EYear_O,BI$3&gt;0),IF($A221=SYear_O,BI$168*(1+Data_All!BI60%),BI220*(1+Data_All!BI60%)),"")</f>
        <v/>
      </c>
      <c r="BJ221" s="427" t="str">
        <f>IF(AND($A221&gt;=SYear_O,$A221&lt;=EYear_O,BJ$3&gt;0),IF($A221=SYear_O,BJ$168*(1+Data_All!BJ60%),BJ220*(1+Data_All!BJ60%)),"")</f>
        <v/>
      </c>
      <c r="BK221" s="427" t="str">
        <f>IF(AND($A221&gt;=SYear_O,$A221&lt;=EYear_O,BK$3&gt;0),IF($A221=SYear_O,BK$168*(1+Data_All!BK60%),BK220*(1+Data_All!BK60%)),"")</f>
        <v/>
      </c>
      <c r="BL221" s="427" t="str">
        <f>IF(AND($A221&gt;=SYear_O,$A221&lt;=EYear_O,BL$3&gt;0),IF($A221=SYear_O,BL$168*(1+Data_All!BL60%),BL220*(1+Data_All!BL60%)),"")</f>
        <v/>
      </c>
      <c r="BM221" s="427" t="str">
        <f>IF(AND($A221&gt;=SYear_O,$A221&lt;=EYear_O,BM$3&gt;0),IF($A221=SYear_O,BM$168*(1+Data_All!BM60%),BM220*(1+Data_All!BM60%)),"")</f>
        <v/>
      </c>
      <c r="BN221" s="427" t="str">
        <f>IF(AND($A221&gt;=SYear_O,$A221&lt;=EYear_O,BN$3&gt;0),IF($A221=SYear_O,BN$168*(1+Data_All!BN60%),BN220*(1+Data_All!BN60%)),"")</f>
        <v/>
      </c>
      <c r="BO221" s="427" t="str">
        <f>IF(AND($A221&gt;=SYear_O,$A221&lt;=EYear_O,BO$3&gt;0),IF($A221=SYear_O,BO$168*(1+Data_All!BO60%),BO220*(1+Data_All!BO60%)),"")</f>
        <v/>
      </c>
      <c r="BP221" s="427" t="str">
        <f>IF(AND($A221&gt;=SYear_O,$A221&lt;=EYear_O,BP$3&gt;0),IF($A221=SYear_O,BP$168*(1+Data_All!BP60%),BP220*(1+Data_All!BP60%)),"")</f>
        <v/>
      </c>
      <c r="BQ221" s="427" t="str">
        <f>IF(AND($A221&gt;=SYear_O,$A221&lt;=EYear_O,BQ$3&gt;0),IF($A221=SYear_O,BQ$168*(1+Data_All!BQ60%),BQ220*(1+Data_All!BQ60%)),"")</f>
        <v/>
      </c>
      <c r="BR221" s="427" t="str">
        <f>IF(AND($A221&gt;=SYear_O,$A221&lt;=EYear_O,BR$3&gt;0),IF($A221=SYear_O,BR$168*(1+Data_All!BR60%),BR220*(1+Data_All!BR60%)),"")</f>
        <v/>
      </c>
      <c r="BS221" s="427" t="str">
        <f>IF(AND($A221&gt;=SYear_O,$A221&lt;=EYear_O,BS$3&gt;0),IF($A221=SYear_O,BS$168*(1+Data_All!BS60%),BS220*(1+Data_All!BS60%)),"")</f>
        <v/>
      </c>
      <c r="BT221" s="427" t="str">
        <f>IF(AND($A221&gt;=SYear_O,$A221&lt;=EYear_O,BT$3&gt;0),IF($A221=SYear_O,BT$168*(1+Data_All!BT60%),BT220*(1+Data_All!BT60%)),"")</f>
        <v/>
      </c>
      <c r="BU221" s="427" t="str">
        <f>IF(AND($A221&gt;=SYear_O,$A221&lt;=EYear_O,BU$3&gt;0),IF($A221=SYear_O,BU$168*(1+Data_All!BU60%),BU220*(1+Data_All!BU60%)),"")</f>
        <v/>
      </c>
      <c r="BV221" s="427" t="str">
        <f>IF(AND($A221&gt;=SYear_O,$A221&lt;=EYear_O,BV$3&gt;0),IF($A221=SYear_O,BV$168*(1+Data_All!BV60%),BV220*(1+Data_All!BV60%)),"")</f>
        <v/>
      </c>
      <c r="BW221" s="427" t="str">
        <f>IF(AND($A221&gt;=SYear_O,$A221&lt;=EYear_O,BW$3&gt;0),IF($A221=SYear_O,BW$168*(1+Data_All!BW60%),BW220*(1+Data_All!BW60%)),"")</f>
        <v/>
      </c>
      <c r="BX221" s="427">
        <f>IF(AND($A221&gt;=SYear_O,$A221&lt;=EYear_O,BX$3&gt;0),IF($A221=SYear_O,BX$168*(1+Data_All!BX60%),BX220*(1+Data_All!BX60%)),"")</f>
        <v>178042.82918689764</v>
      </c>
      <c r="BY221" s="427">
        <f>IF(AND($A221&gt;=SYear_O,$A221&lt;=EYear_O,BY$3&gt;0),IF($A221=SYear_O,BY$168*(1+Data_All!BY60%),BY220*(1+Data_All!BY60%)),"")</f>
        <v>31993.257598567881</v>
      </c>
      <c r="BZ221" s="427" t="str">
        <f>IF(AND($A221&gt;=SYear_O,$A221&lt;=EYear_O,BZ$3&gt;0),IF($A221=SYear_O,BZ$168*(1+Data_All!BZ60%),BZ220*(1+Data_All!BZ60%)),"")</f>
        <v/>
      </c>
      <c r="CA221" s="565">
        <f t="shared" si="108"/>
        <v>5.3309565057264532</v>
      </c>
      <c r="CB221" s="427">
        <f t="shared" si="109"/>
        <v>210036.08678546551</v>
      </c>
      <c r="CC221" s="565">
        <f>IF(AND($A221&gt;=SYear_O,$A221&lt;=EYear_O),(CA221-Data_All!CA60)/(1+Data_All!CA60%),"")</f>
        <v>2.2867092078730979</v>
      </c>
      <c r="CD221" s="436">
        <f t="shared" si="110"/>
        <v>151323.84958932575</v>
      </c>
      <c r="CE221" s="438">
        <f t="shared" si="111"/>
        <v>19.050113184972425</v>
      </c>
      <c r="CF221" s="438">
        <f>IF(AND($A221&gt;=SYear_O,$A221&lt;=EYear_O),MAX($CE$169:CE221),"")</f>
        <v>19.050113184972425</v>
      </c>
      <c r="CG221" s="209">
        <f t="shared" si="112"/>
        <v>0</v>
      </c>
      <c r="CN221" s="61">
        <f t="shared" si="113"/>
        <v>5.3309565057264585E-2</v>
      </c>
      <c r="CO221" s="61">
        <f t="shared" si="114"/>
        <v>0.16587835023309938</v>
      </c>
      <c r="CP221" s="61">
        <f t="shared" si="115"/>
        <v>0.18453879917270921</v>
      </c>
      <c r="CQ221" s="61">
        <f t="shared" si="116"/>
        <v>3.4577254951250413E-2</v>
      </c>
      <c r="CR221" s="61">
        <f t="shared" si="117"/>
        <v>6.6641729001458039E-2</v>
      </c>
      <c r="CU221" s="61">
        <f t="shared" si="118"/>
        <v>2.2867092078731055E-2</v>
      </c>
      <c r="CV221" s="61">
        <f t="shared" si="119"/>
        <v>0.14148967613673169</v>
      </c>
      <c r="CW221" s="61">
        <f t="shared" si="120"/>
        <v>0.17761119644763523</v>
      </c>
      <c r="CX221" s="61">
        <f t="shared" si="121"/>
        <v>6.2269918912496003E-2</v>
      </c>
      <c r="CY221" s="61">
        <f t="shared" si="122"/>
        <v>7.8665112735345044E-2</v>
      </c>
    </row>
    <row r="222" spans="1:103">
      <c r="A222" s="204">
        <f t="shared" si="107"/>
        <v>1924</v>
      </c>
      <c r="B222" s="427" t="str">
        <f>IF(AND($A222&gt;=SYear_O,$A222&lt;=EYear_O,B$3&gt;0),IF($A222=SYear_O,B$168*(1+Data_All!B61%),B221*(1+Data_All!B61%)),"")</f>
        <v/>
      </c>
      <c r="C222" s="427" t="str">
        <f>IF(AND($A222&gt;=SYear_O,$A222&lt;=EYear_O,C$3&gt;0),IF($A222=SYear_O,C$168*(1+Data_All!C61%),C221*(1+Data_All!C61%)),"")</f>
        <v/>
      </c>
      <c r="D222" s="427" t="str">
        <f>IF(AND($A222&gt;=SYear_O,$A222&lt;=EYear_O,D$3&gt;0),IF($A222=SYear_O,D$168*(1+Data_All!D61%),D221*(1+Data_All!D61%)),"")</f>
        <v/>
      </c>
      <c r="E222" s="427" t="str">
        <f>IF(AND($A222&gt;=SYear_O,$A222&lt;=EYear_O,E$3&gt;0),IF($A222=SYear_O,E$168*(1+Data_All!E61%),E221*(1+Data_All!E61%)),"")</f>
        <v/>
      </c>
      <c r="F222" s="427" t="str">
        <f>IF(AND($A222&gt;=SYear_O,$A222&lt;=EYear_O,F$3&gt;0),IF($A222=SYear_O,F$168*(1+Data_All!F61%),F221*(1+Data_All!F61%)),"")</f>
        <v/>
      </c>
      <c r="G222" s="427" t="str">
        <f>IF(AND($A222&gt;=SYear_O,$A222&lt;=EYear_O,G$3&gt;0),IF($A222=SYear_O,G$168*(1+Data_All!G61%),G221*(1+Data_All!G61%)),"")</f>
        <v/>
      </c>
      <c r="H222" s="427" t="str">
        <f>IF(AND($A222&gt;=SYear_O,$A222&lt;=EYear_O,H$3&gt;0),IF($A222=SYear_O,H$168*(1+Data_All!H61%),H221*(1+Data_All!H61%)),"")</f>
        <v/>
      </c>
      <c r="I222" s="427" t="str">
        <f>IF(AND($A222&gt;=SYear_O,$A222&lt;=EYear_O,I$3&gt;0),IF($A222=SYear_O,I$168*(1+Data_All!I61%),I221*(1+Data_All!I61%)),"")</f>
        <v/>
      </c>
      <c r="J222" s="427" t="str">
        <f>IF(AND($A222&gt;=SYear_O,$A222&lt;=EYear_O,J$3&gt;0),IF($A222=SYear_O,J$168*(1+Data_All!J61%),J221*(1+Data_All!J61%)),"")</f>
        <v/>
      </c>
      <c r="K222" s="427" t="str">
        <f>IF(AND($A222&gt;=SYear_O,$A222&lt;=EYear_O,K$3&gt;0),IF($A222=SYear_O,K$168*(1+Data_All!K61%),K221*(1+Data_All!K61%)),"")</f>
        <v/>
      </c>
      <c r="L222" s="427" t="str">
        <f>IF(AND($A222&gt;=SYear_O,$A222&lt;=EYear_O,L$3&gt;0),IF($A222=SYear_O,L$168*(1+Data_All!L61%),L221*(1+Data_All!L61%)),"")</f>
        <v/>
      </c>
      <c r="M222" s="427" t="str">
        <f>IF(AND($A222&gt;=SYear_O,$A222&lt;=EYear_O,M$3&gt;0),IF($A222=SYear_O,M$168*(1+Data_All!M61%),M221*(1+Data_All!M61%)),"")</f>
        <v/>
      </c>
      <c r="N222" s="427" t="str">
        <f>IF(AND($A222&gt;=SYear_O,$A222&lt;=EYear_O,N$3&gt;0),IF($A222=SYear_O,N$168*(1+Data_All!N61%),N221*(1+Data_All!N61%)),"")</f>
        <v/>
      </c>
      <c r="O222" s="427" t="str">
        <f>IF(AND($A222&gt;=SYear_O,$A222&lt;=EYear_O,O$3&gt;0),IF($A222=SYear_O,O$168*(1+Data_All!O61%),O221*(1+Data_All!O61%)),"")</f>
        <v/>
      </c>
      <c r="P222" s="427" t="str">
        <f>IF(AND($A222&gt;=SYear_O,$A222&lt;=EYear_O,P$3&gt;0),IF($A222=SYear_O,P$168*(1+Data_All!P61%),P221*(1+Data_All!P61%)),"")</f>
        <v/>
      </c>
      <c r="Q222" s="427" t="str">
        <f>IF(AND($A222&gt;=SYear_O,$A222&lt;=EYear_O,Q$3&gt;0),IF($A222=SYear_O,Q$168*(1+Data_All!Q61%),Q221*(1+Data_All!Q61%)),"")</f>
        <v/>
      </c>
      <c r="R222" s="427" t="str">
        <f>IF(AND($A222&gt;=SYear_O,$A222&lt;=EYear_O,R$3&gt;0),IF($A222=SYear_O,R$168*(1+Data_All!R61%),R221*(1+Data_All!R61%)),"")</f>
        <v/>
      </c>
      <c r="S222" s="427" t="str">
        <f>IF(AND($A222&gt;=SYear_O,$A222&lt;=EYear_O,S$3&gt;0),IF($A222=SYear_O,S$168*(1+Data_All!S61%),S221*(1+Data_All!S61%)),"")</f>
        <v/>
      </c>
      <c r="T222" s="427" t="str">
        <f>IF(AND($A222&gt;=SYear_O,$A222&lt;=EYear_O,T$3&gt;0),IF($A222=SYear_O,T$168*(1+Data_All!T61%),T221*(1+Data_All!T61%)),"")</f>
        <v/>
      </c>
      <c r="U222" s="427" t="str">
        <f>IF(AND($A222&gt;=SYear_O,$A222&lt;=EYear_O,U$3&gt;0),IF($A222=SYear_O,U$168*(1+Data_All!U61%),U221*(1+Data_All!U61%)),"")</f>
        <v/>
      </c>
      <c r="V222" s="427" t="str">
        <f>IF(AND($A222&gt;=SYear_O,$A222&lt;=EYear_O,V$3&gt;0),IF($A222=SYear_O,V$168*(1+Data_All!V61%),V221*(1+Data_All!V61%)),"")</f>
        <v/>
      </c>
      <c r="W222" s="427" t="str">
        <f>IF(AND($A222&gt;=SYear_O,$A222&lt;=EYear_O,W$3&gt;0),IF($A222=SYear_O,W$168*(1+Data_All!W61%),W221*(1+Data_All!W61%)),"")</f>
        <v/>
      </c>
      <c r="X222" s="427" t="str">
        <f>IF(AND($A222&gt;=SYear_O,$A222&lt;=EYear_O,X$3&gt;0),IF($A222=SYear_O,X$168*(1+Data_All!X61%),X221*(1+Data_All!X61%)),"")</f>
        <v/>
      </c>
      <c r="Y222" s="427" t="str">
        <f>IF(AND($A222&gt;=SYear_O,$A222&lt;=EYear_O,Y$3&gt;0),IF($A222=SYear_O,Y$168*(1+Data_All!Y61%),Y221*(1+Data_All!Y61%)),"")</f>
        <v/>
      </c>
      <c r="Z222" s="427" t="str">
        <f>IF(AND($A222&gt;=SYear_O,$A222&lt;=EYear_O,Z$3&gt;0),IF($A222=SYear_O,Z$168*(1+Data_All!Z61%),Z221*(1+Data_All!Z61%)),"")</f>
        <v/>
      </c>
      <c r="AA222" s="427" t="str">
        <f>IF(AND($A222&gt;=SYear_O,$A222&lt;=EYear_O,AA$3&gt;0),IF($A222=SYear_O,AA$168*(1+Data_All!AA61%),AA221*(1+Data_All!AA61%)),"")</f>
        <v/>
      </c>
      <c r="AB222" s="427" t="str">
        <f>IF(AND($A222&gt;=SYear_O,$A222&lt;=EYear_O,AB$3&gt;0),IF($A222=SYear_O,AB$168*(1+Data_All!AB61%),AB221*(1+Data_All!AB61%)),"")</f>
        <v/>
      </c>
      <c r="AC222" s="427" t="str">
        <f>IF(AND($A222&gt;=SYear_O,$A222&lt;=EYear_O,AC$3&gt;0),IF($A222=SYear_O,AC$168*(1+Data_All!AC61%),AC221*(1+Data_All!AC61%)),"")</f>
        <v/>
      </c>
      <c r="AD222" s="427" t="str">
        <f>IF(AND($A222&gt;=SYear_O,$A222&lt;=EYear_O,AD$3&gt;0),IF($A222=SYear_O,AD$168*(1+Data_All!AD61%),AD221*(1+Data_All!AD61%)),"")</f>
        <v/>
      </c>
      <c r="AE222" s="427" t="str">
        <f>IF(AND($A222&gt;=SYear_O,$A222&lt;=EYear_O,AE$3&gt;0),IF($A222=SYear_O,AE$168*(1+Data_All!AE61%),AE221*(1+Data_All!AE61%)),"")</f>
        <v/>
      </c>
      <c r="AF222" s="427" t="str">
        <f>IF(AND($A222&gt;=SYear_O,$A222&lt;=EYear_O,AF$3&gt;0),IF($A222=SYear_O,AF$168*(1+Data_All!AF61%),AF221*(1+Data_All!AF61%)),"")</f>
        <v/>
      </c>
      <c r="AG222" s="427" t="str">
        <f>IF(AND($A222&gt;=SYear_O,$A222&lt;=EYear_O,AG$3&gt;0),IF($A222=SYear_O,AG$168*(1+Data_All!AG61%),AG221*(1+Data_All!AG61%)),"")</f>
        <v/>
      </c>
      <c r="AH222" s="427" t="str">
        <f>IF(AND($A222&gt;=SYear_O,$A222&lt;=EYear_O,AH$3&gt;0),IF($A222=SYear_O,AH$168*(1+Data_All!AH61%),AH221*(1+Data_All!AH61%)),"")</f>
        <v/>
      </c>
      <c r="AI222" s="427" t="str">
        <f>IF(AND($A222&gt;=SYear_O,$A222&lt;=EYear_O,AI$3&gt;0),IF($A222=SYear_O,AI$168*(1+Data_All!AI61%),AI221*(1+Data_All!AI61%)),"")</f>
        <v/>
      </c>
      <c r="AJ222" s="427" t="str">
        <f>IF(AND($A222&gt;=SYear_O,$A222&lt;=EYear_O,AJ$3&gt;0),IF($A222=SYear_O,AJ$168*(1+Data_All!AJ61%),AJ221*(1+Data_All!AJ61%)),"")</f>
        <v/>
      </c>
      <c r="AK222" s="427" t="str">
        <f>IF(AND($A222&gt;=SYear_O,$A222&lt;=EYear_O,AK$3&gt;0),IF($A222=SYear_O,AK$168*(1+Data_All!AK61%),AK221*(1+Data_All!AK61%)),"")</f>
        <v/>
      </c>
      <c r="AL222" s="427" t="str">
        <f>IF(AND($A222&gt;=SYear_O,$A222&lt;=EYear_O,AL$3&gt;0),IF($A222=SYear_O,AL$168*(1+Data_All!AL61%),AL221*(1+Data_All!AL61%)),"")</f>
        <v/>
      </c>
      <c r="AM222" s="427" t="str">
        <f>IF(AND($A222&gt;=SYear_O,$A222&lt;=EYear_O,AM$3&gt;0),IF($A222=SYear_O,AM$168*(1+Data_All!AM61%),AM221*(1+Data_All!AM61%)),"")</f>
        <v/>
      </c>
      <c r="AN222" s="427" t="str">
        <f>IF(AND($A222&gt;=SYear_O,$A222&lt;=EYear_O,AN$3&gt;0),IF($A222=SYear_O,AN$168*(1+Data_All!AN61%),AN221*(1+Data_All!AN61%)),"")</f>
        <v/>
      </c>
      <c r="AO222" s="427" t="str">
        <f>IF(AND($A222&gt;=SYear_O,$A222&lt;=EYear_O,AO$3&gt;0),IF($A222=SYear_O,AO$168*(1+Data_All!AO61%),AO221*(1+Data_All!AO61%)),"")</f>
        <v/>
      </c>
      <c r="AP222" s="427" t="str">
        <f>IF(AND($A222&gt;=SYear_O,$A222&lt;=EYear_O,AP$3&gt;0),IF($A222=SYear_O,AP$168*(1+Data_All!AP61%),AP221*(1+Data_All!AP61%)),"")</f>
        <v/>
      </c>
      <c r="AQ222" s="427" t="str">
        <f>IF(AND($A222&gt;=SYear_O,$A222&lt;=EYear_O,AQ$3&gt;0),IF($A222=SYear_O,AQ$168*(1+Data_All!AQ61%),AQ221*(1+Data_All!AQ61%)),"")</f>
        <v/>
      </c>
      <c r="AR222" s="427" t="str">
        <f>IF(AND($A222&gt;=SYear_O,$A222&lt;=EYear_O,AR$3&gt;0),IF($A222=SYear_O,AR$168*(1+Data_All!AR61%),AR221*(1+Data_All!AR61%)),"")</f>
        <v/>
      </c>
      <c r="AS222" s="427" t="str">
        <f>IF(AND($A222&gt;=SYear_O,$A222&lt;=EYear_O,AS$3&gt;0),IF($A222=SYear_O,AS$168*(1+Data_All!AS61%),AS221*(1+Data_All!AS61%)),"")</f>
        <v/>
      </c>
      <c r="AT222" s="427" t="str">
        <f>IF(AND($A222&gt;=SYear_O,$A222&lt;=EYear_O,AT$3&gt;0),IF($A222=SYear_O,AT$168*(1+Data_All!AT61%),AT221*(1+Data_All!AT61%)),"")</f>
        <v/>
      </c>
      <c r="AU222" s="427" t="str">
        <f>IF(AND($A222&gt;=SYear_O,$A222&lt;=EYear_O,AU$3&gt;0),IF($A222=SYear_O,AU$168*(1+Data_All!AU61%),AU221*(1+Data_All!AU61%)),"")</f>
        <v/>
      </c>
      <c r="AV222" s="427" t="str">
        <f>IF(AND($A222&gt;=SYear_O,$A222&lt;=EYear_O,AV$3&gt;0),IF($A222=SYear_O,AV$168*(1+Data_All!AV61%),AV221*(1+Data_All!AV61%)),"")</f>
        <v/>
      </c>
      <c r="AW222" s="427" t="str">
        <f>IF(AND($A222&gt;=SYear_O,$A222&lt;=EYear_O,AW$3&gt;0),IF($A222=SYear_O,AW$168*(1+Data_All!AW61%),AW221*(1+Data_All!AW61%)),"")</f>
        <v/>
      </c>
      <c r="AX222" s="427" t="str">
        <f>IF(AND($A222&gt;=SYear_O,$A222&lt;=EYear_O,AX$3&gt;0),IF($A222=SYear_O,AX$168*(1+Data_All!AX61%),AX221*(1+Data_All!AX61%)),"")</f>
        <v/>
      </c>
      <c r="AY222" s="427" t="str">
        <f>IF(AND($A222&gt;=SYear_O,$A222&lt;=EYear_O,AY$3&gt;0),IF($A222=SYear_O,AY$168*(1+Data_All!AY61%),AY221*(1+Data_All!AY61%)),"")</f>
        <v/>
      </c>
      <c r="AZ222" s="427" t="str">
        <f>IF(AND($A222&gt;=SYear_O,$A222&lt;=EYear_O,AZ$3&gt;0),IF($A222=SYear_O,AZ$168*(1+Data_All!AZ61%),AZ221*(1+Data_All!AZ61%)),"")</f>
        <v/>
      </c>
      <c r="BA222" s="427" t="str">
        <f>IF(AND($A222&gt;=SYear_O,$A222&lt;=EYear_O,BA$3&gt;0),IF($A222=SYear_O,BA$168*(1+Data_All!BA61%),BA221*(1+Data_All!BA61%)),"")</f>
        <v/>
      </c>
      <c r="BB222" s="427" t="str">
        <f>IF(AND($A222&gt;=SYear_O,$A222&lt;=EYear_O,BB$3&gt;0),IF($A222=SYear_O,BB$168*(1+Data_All!BB61%),BB221*(1+Data_All!BB61%)),"")</f>
        <v/>
      </c>
      <c r="BC222" s="427" t="str">
        <f>IF(AND($A222&gt;=SYear_O,$A222&lt;=EYear_O,BC$3&gt;0),IF($A222=SYear_O,BC$168*(1+Data_All!BC61%),BC221*(1+Data_All!BC61%)),"")</f>
        <v/>
      </c>
      <c r="BD222" s="427" t="str">
        <f>IF(AND($A222&gt;=SYear_O,$A222&lt;=EYear_O,BD$3&gt;0),IF($A222=SYear_O,BD$168*(1+Data_All!BD61%),BD221*(1+Data_All!BD61%)),"")</f>
        <v/>
      </c>
      <c r="BE222" s="427" t="str">
        <f>IF(AND($A222&gt;=SYear_O,$A222&lt;=EYear_O,BE$3&gt;0),IF($A222=SYear_O,BE$168*(1+Data_All!BE61%),BE221*(1+Data_All!BE61%)),"")</f>
        <v/>
      </c>
      <c r="BF222" s="427" t="str">
        <f>IF(AND($A222&gt;=SYear_O,$A222&lt;=EYear_O,BF$3&gt;0),IF($A222=SYear_O,BF$168*(1+Data_All!BF61%),BF221*(1+Data_All!BF61%)),"")</f>
        <v/>
      </c>
      <c r="BG222" s="427" t="str">
        <f>IF(AND($A222&gt;=SYear_O,$A222&lt;=EYear_O,BG$3&gt;0),IF($A222=SYear_O,BG$168*(1+Data_All!BG61%),BG221*(1+Data_All!BG61%)),"")</f>
        <v/>
      </c>
      <c r="BH222" s="427" t="str">
        <f>IF(AND($A222&gt;=SYear_O,$A222&lt;=EYear_O,BH$3&gt;0),IF($A222=SYear_O,BH$168*(1+Data_All!BH61%),BH221*(1+Data_All!BH61%)),"")</f>
        <v/>
      </c>
      <c r="BI222" s="427" t="str">
        <f>IF(AND($A222&gt;=SYear_O,$A222&lt;=EYear_O,BI$3&gt;0),IF($A222=SYear_O,BI$168*(1+Data_All!BI61%),BI221*(1+Data_All!BI61%)),"")</f>
        <v/>
      </c>
      <c r="BJ222" s="427" t="str">
        <f>IF(AND($A222&gt;=SYear_O,$A222&lt;=EYear_O,BJ$3&gt;0),IF($A222=SYear_O,BJ$168*(1+Data_All!BJ61%),BJ221*(1+Data_All!BJ61%)),"")</f>
        <v/>
      </c>
      <c r="BK222" s="427" t="str">
        <f>IF(AND($A222&gt;=SYear_O,$A222&lt;=EYear_O,BK$3&gt;0),IF($A222=SYear_O,BK$168*(1+Data_All!BK61%),BK221*(1+Data_All!BK61%)),"")</f>
        <v/>
      </c>
      <c r="BL222" s="427" t="str">
        <f>IF(AND($A222&gt;=SYear_O,$A222&lt;=EYear_O,BL$3&gt;0),IF($A222=SYear_O,BL$168*(1+Data_All!BL61%),BL221*(1+Data_All!BL61%)),"")</f>
        <v/>
      </c>
      <c r="BM222" s="427" t="str">
        <f>IF(AND($A222&gt;=SYear_O,$A222&lt;=EYear_O,BM$3&gt;0),IF($A222=SYear_O,BM$168*(1+Data_All!BM61%),BM221*(1+Data_All!BM61%)),"")</f>
        <v/>
      </c>
      <c r="BN222" s="427" t="str">
        <f>IF(AND($A222&gt;=SYear_O,$A222&lt;=EYear_O,BN$3&gt;0),IF($A222=SYear_O,BN$168*(1+Data_All!BN61%),BN221*(1+Data_All!BN61%)),"")</f>
        <v/>
      </c>
      <c r="BO222" s="427" t="str">
        <f>IF(AND($A222&gt;=SYear_O,$A222&lt;=EYear_O,BO$3&gt;0),IF($A222=SYear_O,BO$168*(1+Data_All!BO61%),BO221*(1+Data_All!BO61%)),"")</f>
        <v/>
      </c>
      <c r="BP222" s="427" t="str">
        <f>IF(AND($A222&gt;=SYear_O,$A222&lt;=EYear_O,BP$3&gt;0),IF($A222=SYear_O,BP$168*(1+Data_All!BP61%),BP221*(1+Data_All!BP61%)),"")</f>
        <v/>
      </c>
      <c r="BQ222" s="427" t="str">
        <f>IF(AND($A222&gt;=SYear_O,$A222&lt;=EYear_O,BQ$3&gt;0),IF($A222=SYear_O,BQ$168*(1+Data_All!BQ61%),BQ221*(1+Data_All!BQ61%)),"")</f>
        <v/>
      </c>
      <c r="BR222" s="427" t="str">
        <f>IF(AND($A222&gt;=SYear_O,$A222&lt;=EYear_O,BR$3&gt;0),IF($A222=SYear_O,BR$168*(1+Data_All!BR61%),BR221*(1+Data_All!BR61%)),"")</f>
        <v/>
      </c>
      <c r="BS222" s="427" t="str">
        <f>IF(AND($A222&gt;=SYear_O,$A222&lt;=EYear_O,BS$3&gt;0),IF($A222=SYear_O,BS$168*(1+Data_All!BS61%),BS221*(1+Data_All!BS61%)),"")</f>
        <v/>
      </c>
      <c r="BT222" s="427" t="str">
        <f>IF(AND($A222&gt;=SYear_O,$A222&lt;=EYear_O,BT$3&gt;0),IF($A222=SYear_O,BT$168*(1+Data_All!BT61%),BT221*(1+Data_All!BT61%)),"")</f>
        <v/>
      </c>
      <c r="BU222" s="427" t="str">
        <f>IF(AND($A222&gt;=SYear_O,$A222&lt;=EYear_O,BU$3&gt;0),IF($A222=SYear_O,BU$168*(1+Data_All!BU61%),BU221*(1+Data_All!BU61%)),"")</f>
        <v/>
      </c>
      <c r="BV222" s="427" t="str">
        <f>IF(AND($A222&gt;=SYear_O,$A222&lt;=EYear_O,BV$3&gt;0),IF($A222=SYear_O,BV$168*(1+Data_All!BV61%),BV221*(1+Data_All!BV61%)),"")</f>
        <v/>
      </c>
      <c r="BW222" s="427" t="str">
        <f>IF(AND($A222&gt;=SYear_O,$A222&lt;=EYear_O,BW$3&gt;0),IF($A222=SYear_O,BW$168*(1+Data_All!BW61%),BW221*(1+Data_All!BW61%)),"")</f>
        <v/>
      </c>
      <c r="BX222" s="427">
        <f>IF(AND($A222&gt;=SYear_O,$A222&lt;=EYear_O,BX$3&gt;0),IF($A222=SYear_O,BX$168*(1+Data_All!BX61%),BX221*(1+Data_All!BX61%)),"")</f>
        <v>224418.65105890948</v>
      </c>
      <c r="BY222" s="427">
        <f>IF(AND($A222&gt;=SYear_O,$A222&lt;=EYear_O,BY$3&gt;0),IF($A222=SYear_O,BY$168*(1+Data_All!BY61%),BY221*(1+Data_All!BY61%)),"")</f>
        <v>33731.579425676769</v>
      </c>
      <c r="BZ222" s="427" t="str">
        <f>IF(AND($A222&gt;=SYear_O,$A222&lt;=EYear_O,BZ$3&gt;0),IF($A222=SYear_O,BZ$168*(1+Data_All!BZ61%),BZ221*(1+Data_All!BZ61%)),"")</f>
        <v/>
      </c>
      <c r="CA222" s="565">
        <f t="shared" si="108"/>
        <v>22.907560522333181</v>
      </c>
      <c r="CB222" s="427">
        <f t="shared" si="109"/>
        <v>258150.23048458627</v>
      </c>
      <c r="CC222" s="565">
        <f>IF(AND($A222&gt;=SYear_O,$A222&lt;=EYear_O),(CA222-Data_All!CA61)/(1+Data_All!CA61%),"")</f>
        <v>22.907560522333181</v>
      </c>
      <c r="CD222" s="436">
        <f t="shared" si="110"/>
        <v>185988.45201872499</v>
      </c>
      <c r="CE222" s="438">
        <f t="shared" si="111"/>
        <v>23.414029392392955</v>
      </c>
      <c r="CF222" s="438">
        <f>IF(AND($A222&gt;=SYear_O,$A222&lt;=EYear_O),MAX($CE$169:CE222),"")</f>
        <v>23.414029392392955</v>
      </c>
      <c r="CG222" s="209">
        <f t="shared" si="112"/>
        <v>0</v>
      </c>
      <c r="CN222" s="61">
        <f t="shared" si="113"/>
        <v>0.22907560522333181</v>
      </c>
      <c r="CO222" s="61">
        <f t="shared" si="114"/>
        <v>0.18512489240535013</v>
      </c>
      <c r="CP222" s="61">
        <f t="shared" si="115"/>
        <v>0.25905963278986044</v>
      </c>
      <c r="CQ222" s="61">
        <f t="shared" si="116"/>
        <v>6.9274844203086827E-2</v>
      </c>
      <c r="CR222" s="61">
        <f t="shared" si="117"/>
        <v>7.2177804975669835E-2</v>
      </c>
      <c r="CU222" s="61">
        <f t="shared" si="118"/>
        <v>0.22907560522333181</v>
      </c>
      <c r="CV222" s="61">
        <f t="shared" si="119"/>
        <v>0.18059282177944325</v>
      </c>
      <c r="CW222" s="61">
        <f t="shared" si="120"/>
        <v>0.26199111886140991</v>
      </c>
      <c r="CX222" s="61">
        <f t="shared" si="121"/>
        <v>9.8592340903267628E-2</v>
      </c>
      <c r="CY222" s="61">
        <f t="shared" si="122"/>
        <v>8.7413408603515208E-2</v>
      </c>
    </row>
    <row r="223" spans="1:103">
      <c r="A223" s="204">
        <f t="shared" si="107"/>
        <v>1925</v>
      </c>
      <c r="B223" s="427" t="str">
        <f>IF(AND($A223&gt;=SYear_O,$A223&lt;=EYear_O,B$3&gt;0),IF($A223=SYear_O,B$168*(1+Data_All!B62%),B222*(1+Data_All!B62%)),"")</f>
        <v/>
      </c>
      <c r="C223" s="427" t="str">
        <f>IF(AND($A223&gt;=SYear_O,$A223&lt;=EYear_O,C$3&gt;0),IF($A223=SYear_O,C$168*(1+Data_All!C62%),C222*(1+Data_All!C62%)),"")</f>
        <v/>
      </c>
      <c r="D223" s="427" t="str">
        <f>IF(AND($A223&gt;=SYear_O,$A223&lt;=EYear_O,D$3&gt;0),IF($A223=SYear_O,D$168*(1+Data_All!D62%),D222*(1+Data_All!D62%)),"")</f>
        <v/>
      </c>
      <c r="E223" s="427" t="str">
        <f>IF(AND($A223&gt;=SYear_O,$A223&lt;=EYear_O,E$3&gt;0),IF($A223=SYear_O,E$168*(1+Data_All!E62%),E222*(1+Data_All!E62%)),"")</f>
        <v/>
      </c>
      <c r="F223" s="427" t="str">
        <f>IF(AND($A223&gt;=SYear_O,$A223&lt;=EYear_O,F$3&gt;0),IF($A223=SYear_O,F$168*(1+Data_All!F62%),F222*(1+Data_All!F62%)),"")</f>
        <v/>
      </c>
      <c r="G223" s="427" t="str">
        <f>IF(AND($A223&gt;=SYear_O,$A223&lt;=EYear_O,G$3&gt;0),IF($A223=SYear_O,G$168*(1+Data_All!G62%),G222*(1+Data_All!G62%)),"")</f>
        <v/>
      </c>
      <c r="H223" s="427" t="str">
        <f>IF(AND($A223&gt;=SYear_O,$A223&lt;=EYear_O,H$3&gt;0),IF($A223=SYear_O,H$168*(1+Data_All!H62%),H222*(1+Data_All!H62%)),"")</f>
        <v/>
      </c>
      <c r="I223" s="427" t="str">
        <f>IF(AND($A223&gt;=SYear_O,$A223&lt;=EYear_O,I$3&gt;0),IF($A223=SYear_O,I$168*(1+Data_All!I62%),I222*(1+Data_All!I62%)),"")</f>
        <v/>
      </c>
      <c r="J223" s="427" t="str">
        <f>IF(AND($A223&gt;=SYear_O,$A223&lt;=EYear_O,J$3&gt;0),IF($A223=SYear_O,J$168*(1+Data_All!J62%),J222*(1+Data_All!J62%)),"")</f>
        <v/>
      </c>
      <c r="K223" s="427" t="str">
        <f>IF(AND($A223&gt;=SYear_O,$A223&lt;=EYear_O,K$3&gt;0),IF($A223=SYear_O,K$168*(1+Data_All!K62%),K222*(1+Data_All!K62%)),"")</f>
        <v/>
      </c>
      <c r="L223" s="427" t="str">
        <f>IF(AND($A223&gt;=SYear_O,$A223&lt;=EYear_O,L$3&gt;0),IF($A223=SYear_O,L$168*(1+Data_All!L62%),L222*(1+Data_All!L62%)),"")</f>
        <v/>
      </c>
      <c r="M223" s="427" t="str">
        <f>IF(AND($A223&gt;=SYear_O,$A223&lt;=EYear_O,M$3&gt;0),IF($A223=SYear_O,M$168*(1+Data_All!M62%),M222*(1+Data_All!M62%)),"")</f>
        <v/>
      </c>
      <c r="N223" s="427" t="str">
        <f>IF(AND($A223&gt;=SYear_O,$A223&lt;=EYear_O,N$3&gt;0),IF($A223=SYear_O,N$168*(1+Data_All!N62%),N222*(1+Data_All!N62%)),"")</f>
        <v/>
      </c>
      <c r="O223" s="427" t="str">
        <f>IF(AND($A223&gt;=SYear_O,$A223&lt;=EYear_O,O$3&gt;0),IF($A223=SYear_O,O$168*(1+Data_All!O62%),O222*(1+Data_All!O62%)),"")</f>
        <v/>
      </c>
      <c r="P223" s="427" t="str">
        <f>IF(AND($A223&gt;=SYear_O,$A223&lt;=EYear_O,P$3&gt;0),IF($A223=SYear_O,P$168*(1+Data_All!P62%),P222*(1+Data_All!P62%)),"")</f>
        <v/>
      </c>
      <c r="Q223" s="427" t="str">
        <f>IF(AND($A223&gt;=SYear_O,$A223&lt;=EYear_O,Q$3&gt;0),IF($A223=SYear_O,Q$168*(1+Data_All!Q62%),Q222*(1+Data_All!Q62%)),"")</f>
        <v/>
      </c>
      <c r="R223" s="427" t="str">
        <f>IF(AND($A223&gt;=SYear_O,$A223&lt;=EYear_O,R$3&gt;0),IF($A223=SYear_O,R$168*(1+Data_All!R62%),R222*(1+Data_All!R62%)),"")</f>
        <v/>
      </c>
      <c r="S223" s="427" t="str">
        <f>IF(AND($A223&gt;=SYear_O,$A223&lt;=EYear_O,S$3&gt;0),IF($A223=SYear_O,S$168*(1+Data_All!S62%),S222*(1+Data_All!S62%)),"")</f>
        <v/>
      </c>
      <c r="T223" s="427" t="str">
        <f>IF(AND($A223&gt;=SYear_O,$A223&lt;=EYear_O,T$3&gt;0),IF($A223=SYear_O,T$168*(1+Data_All!T62%),T222*(1+Data_All!T62%)),"")</f>
        <v/>
      </c>
      <c r="U223" s="427" t="str">
        <f>IF(AND($A223&gt;=SYear_O,$A223&lt;=EYear_O,U$3&gt;0),IF($A223=SYear_O,U$168*(1+Data_All!U62%),U222*(1+Data_All!U62%)),"")</f>
        <v/>
      </c>
      <c r="V223" s="427" t="str">
        <f>IF(AND($A223&gt;=SYear_O,$A223&lt;=EYear_O,V$3&gt;0),IF($A223=SYear_O,V$168*(1+Data_All!V62%),V222*(1+Data_All!V62%)),"")</f>
        <v/>
      </c>
      <c r="W223" s="427" t="str">
        <f>IF(AND($A223&gt;=SYear_O,$A223&lt;=EYear_O,W$3&gt;0),IF($A223=SYear_O,W$168*(1+Data_All!W62%),W222*(1+Data_All!W62%)),"")</f>
        <v/>
      </c>
      <c r="X223" s="427" t="str">
        <f>IF(AND($A223&gt;=SYear_O,$A223&lt;=EYear_O,X$3&gt;0),IF($A223=SYear_O,X$168*(1+Data_All!X62%),X222*(1+Data_All!X62%)),"")</f>
        <v/>
      </c>
      <c r="Y223" s="427" t="str">
        <f>IF(AND($A223&gt;=SYear_O,$A223&lt;=EYear_O,Y$3&gt;0),IF($A223=SYear_O,Y$168*(1+Data_All!Y62%),Y222*(1+Data_All!Y62%)),"")</f>
        <v/>
      </c>
      <c r="Z223" s="427" t="str">
        <f>IF(AND($A223&gt;=SYear_O,$A223&lt;=EYear_O,Z$3&gt;0),IF($A223=SYear_O,Z$168*(1+Data_All!Z62%),Z222*(1+Data_All!Z62%)),"")</f>
        <v/>
      </c>
      <c r="AA223" s="427" t="str">
        <f>IF(AND($A223&gt;=SYear_O,$A223&lt;=EYear_O,AA$3&gt;0),IF($A223=SYear_O,AA$168*(1+Data_All!AA62%),AA222*(1+Data_All!AA62%)),"")</f>
        <v/>
      </c>
      <c r="AB223" s="427" t="str">
        <f>IF(AND($A223&gt;=SYear_O,$A223&lt;=EYear_O,AB$3&gt;0),IF($A223=SYear_O,AB$168*(1+Data_All!AB62%),AB222*(1+Data_All!AB62%)),"")</f>
        <v/>
      </c>
      <c r="AC223" s="427" t="str">
        <f>IF(AND($A223&gt;=SYear_O,$A223&lt;=EYear_O,AC$3&gt;0),IF($A223=SYear_O,AC$168*(1+Data_All!AC62%),AC222*(1+Data_All!AC62%)),"")</f>
        <v/>
      </c>
      <c r="AD223" s="427" t="str">
        <f>IF(AND($A223&gt;=SYear_O,$A223&lt;=EYear_O,AD$3&gt;0),IF($A223=SYear_O,AD$168*(1+Data_All!AD62%),AD222*(1+Data_All!AD62%)),"")</f>
        <v/>
      </c>
      <c r="AE223" s="427" t="str">
        <f>IF(AND($A223&gt;=SYear_O,$A223&lt;=EYear_O,AE$3&gt;0),IF($A223=SYear_O,AE$168*(1+Data_All!AE62%),AE222*(1+Data_All!AE62%)),"")</f>
        <v/>
      </c>
      <c r="AF223" s="427" t="str">
        <f>IF(AND($A223&gt;=SYear_O,$A223&lt;=EYear_O,AF$3&gt;0),IF($A223=SYear_O,AF$168*(1+Data_All!AF62%),AF222*(1+Data_All!AF62%)),"")</f>
        <v/>
      </c>
      <c r="AG223" s="427" t="str">
        <f>IF(AND($A223&gt;=SYear_O,$A223&lt;=EYear_O,AG$3&gt;0),IF($A223=SYear_O,AG$168*(1+Data_All!AG62%),AG222*(1+Data_All!AG62%)),"")</f>
        <v/>
      </c>
      <c r="AH223" s="427" t="str">
        <f>IF(AND($A223&gt;=SYear_O,$A223&lt;=EYear_O,AH$3&gt;0),IF($A223=SYear_O,AH$168*(1+Data_All!AH62%),AH222*(1+Data_All!AH62%)),"")</f>
        <v/>
      </c>
      <c r="AI223" s="427" t="str">
        <f>IF(AND($A223&gt;=SYear_O,$A223&lt;=EYear_O,AI$3&gt;0),IF($A223=SYear_O,AI$168*(1+Data_All!AI62%),AI222*(1+Data_All!AI62%)),"")</f>
        <v/>
      </c>
      <c r="AJ223" s="427" t="str">
        <f>IF(AND($A223&gt;=SYear_O,$A223&lt;=EYear_O,AJ$3&gt;0),IF($A223=SYear_O,AJ$168*(1+Data_All!AJ62%),AJ222*(1+Data_All!AJ62%)),"")</f>
        <v/>
      </c>
      <c r="AK223" s="427" t="str">
        <f>IF(AND($A223&gt;=SYear_O,$A223&lt;=EYear_O,AK$3&gt;0),IF($A223=SYear_O,AK$168*(1+Data_All!AK62%),AK222*(1+Data_All!AK62%)),"")</f>
        <v/>
      </c>
      <c r="AL223" s="427" t="str">
        <f>IF(AND($A223&gt;=SYear_O,$A223&lt;=EYear_O,AL$3&gt;0),IF($A223=SYear_O,AL$168*(1+Data_All!AL62%),AL222*(1+Data_All!AL62%)),"")</f>
        <v/>
      </c>
      <c r="AM223" s="427" t="str">
        <f>IF(AND($A223&gt;=SYear_O,$A223&lt;=EYear_O,AM$3&gt;0),IF($A223=SYear_O,AM$168*(1+Data_All!AM62%),AM222*(1+Data_All!AM62%)),"")</f>
        <v/>
      </c>
      <c r="AN223" s="427" t="str">
        <f>IF(AND($A223&gt;=SYear_O,$A223&lt;=EYear_O,AN$3&gt;0),IF($A223=SYear_O,AN$168*(1+Data_All!AN62%),AN222*(1+Data_All!AN62%)),"")</f>
        <v/>
      </c>
      <c r="AO223" s="427" t="str">
        <f>IF(AND($A223&gt;=SYear_O,$A223&lt;=EYear_O,AO$3&gt;0),IF($A223=SYear_O,AO$168*(1+Data_All!AO62%),AO222*(1+Data_All!AO62%)),"")</f>
        <v/>
      </c>
      <c r="AP223" s="427" t="str">
        <f>IF(AND($A223&gt;=SYear_O,$A223&lt;=EYear_O,AP$3&gt;0),IF($A223=SYear_O,AP$168*(1+Data_All!AP62%),AP222*(1+Data_All!AP62%)),"")</f>
        <v/>
      </c>
      <c r="AQ223" s="427" t="str">
        <f>IF(AND($A223&gt;=SYear_O,$A223&lt;=EYear_O,AQ$3&gt;0),IF($A223=SYear_O,AQ$168*(1+Data_All!AQ62%),AQ222*(1+Data_All!AQ62%)),"")</f>
        <v/>
      </c>
      <c r="AR223" s="427" t="str">
        <f>IF(AND($A223&gt;=SYear_O,$A223&lt;=EYear_O,AR$3&gt;0),IF($A223=SYear_O,AR$168*(1+Data_All!AR62%),AR222*(1+Data_All!AR62%)),"")</f>
        <v/>
      </c>
      <c r="AS223" s="427" t="str">
        <f>IF(AND($A223&gt;=SYear_O,$A223&lt;=EYear_O,AS$3&gt;0),IF($A223=SYear_O,AS$168*(1+Data_All!AS62%),AS222*(1+Data_All!AS62%)),"")</f>
        <v/>
      </c>
      <c r="AT223" s="427" t="str">
        <f>IF(AND($A223&gt;=SYear_O,$A223&lt;=EYear_O,AT$3&gt;0),IF($A223=SYear_O,AT$168*(1+Data_All!AT62%),AT222*(1+Data_All!AT62%)),"")</f>
        <v/>
      </c>
      <c r="AU223" s="427" t="str">
        <f>IF(AND($A223&gt;=SYear_O,$A223&lt;=EYear_O,AU$3&gt;0),IF($A223=SYear_O,AU$168*(1+Data_All!AU62%),AU222*(1+Data_All!AU62%)),"")</f>
        <v/>
      </c>
      <c r="AV223" s="427" t="str">
        <f>IF(AND($A223&gt;=SYear_O,$A223&lt;=EYear_O,AV$3&gt;0),IF($A223=SYear_O,AV$168*(1+Data_All!AV62%),AV222*(1+Data_All!AV62%)),"")</f>
        <v/>
      </c>
      <c r="AW223" s="427" t="str">
        <f>IF(AND($A223&gt;=SYear_O,$A223&lt;=EYear_O,AW$3&gt;0),IF($A223=SYear_O,AW$168*(1+Data_All!AW62%),AW222*(1+Data_All!AW62%)),"")</f>
        <v/>
      </c>
      <c r="AX223" s="427" t="str">
        <f>IF(AND($A223&gt;=SYear_O,$A223&lt;=EYear_O,AX$3&gt;0),IF($A223=SYear_O,AX$168*(1+Data_All!AX62%),AX222*(1+Data_All!AX62%)),"")</f>
        <v/>
      </c>
      <c r="AY223" s="427" t="str">
        <f>IF(AND($A223&gt;=SYear_O,$A223&lt;=EYear_O,AY$3&gt;0),IF($A223=SYear_O,AY$168*(1+Data_All!AY62%),AY222*(1+Data_All!AY62%)),"")</f>
        <v/>
      </c>
      <c r="AZ223" s="427" t="str">
        <f>IF(AND($A223&gt;=SYear_O,$A223&lt;=EYear_O,AZ$3&gt;0),IF($A223=SYear_O,AZ$168*(1+Data_All!AZ62%),AZ222*(1+Data_All!AZ62%)),"")</f>
        <v/>
      </c>
      <c r="BA223" s="427" t="str">
        <f>IF(AND($A223&gt;=SYear_O,$A223&lt;=EYear_O,BA$3&gt;0),IF($A223=SYear_O,BA$168*(1+Data_All!BA62%),BA222*(1+Data_All!BA62%)),"")</f>
        <v/>
      </c>
      <c r="BB223" s="427" t="str">
        <f>IF(AND($A223&gt;=SYear_O,$A223&lt;=EYear_O,BB$3&gt;0),IF($A223=SYear_O,BB$168*(1+Data_All!BB62%),BB222*(1+Data_All!BB62%)),"")</f>
        <v/>
      </c>
      <c r="BC223" s="427" t="str">
        <f>IF(AND($A223&gt;=SYear_O,$A223&lt;=EYear_O,BC$3&gt;0),IF($A223=SYear_O,BC$168*(1+Data_All!BC62%),BC222*(1+Data_All!BC62%)),"")</f>
        <v/>
      </c>
      <c r="BD223" s="427" t="str">
        <f>IF(AND($A223&gt;=SYear_O,$A223&lt;=EYear_O,BD$3&gt;0),IF($A223=SYear_O,BD$168*(1+Data_All!BD62%),BD222*(1+Data_All!BD62%)),"")</f>
        <v/>
      </c>
      <c r="BE223" s="427" t="str">
        <f>IF(AND($A223&gt;=SYear_O,$A223&lt;=EYear_O,BE$3&gt;0),IF($A223=SYear_O,BE$168*(1+Data_All!BE62%),BE222*(1+Data_All!BE62%)),"")</f>
        <v/>
      </c>
      <c r="BF223" s="427" t="str">
        <f>IF(AND($A223&gt;=SYear_O,$A223&lt;=EYear_O,BF$3&gt;0),IF($A223=SYear_O,BF$168*(1+Data_All!BF62%),BF222*(1+Data_All!BF62%)),"")</f>
        <v/>
      </c>
      <c r="BG223" s="427" t="str">
        <f>IF(AND($A223&gt;=SYear_O,$A223&lt;=EYear_O,BG$3&gt;0),IF($A223=SYear_O,BG$168*(1+Data_All!BG62%),BG222*(1+Data_All!BG62%)),"")</f>
        <v/>
      </c>
      <c r="BH223" s="427" t="str">
        <f>IF(AND($A223&gt;=SYear_O,$A223&lt;=EYear_O,BH$3&gt;0),IF($A223=SYear_O,BH$168*(1+Data_All!BH62%),BH222*(1+Data_All!BH62%)),"")</f>
        <v/>
      </c>
      <c r="BI223" s="427" t="str">
        <f>IF(AND($A223&gt;=SYear_O,$A223&lt;=EYear_O,BI$3&gt;0),IF($A223=SYear_O,BI$168*(1+Data_All!BI62%),BI222*(1+Data_All!BI62%)),"")</f>
        <v/>
      </c>
      <c r="BJ223" s="427" t="str">
        <f>IF(AND($A223&gt;=SYear_O,$A223&lt;=EYear_O,BJ$3&gt;0),IF($A223=SYear_O,BJ$168*(1+Data_All!BJ62%),BJ222*(1+Data_All!BJ62%)),"")</f>
        <v/>
      </c>
      <c r="BK223" s="427" t="str">
        <f>IF(AND($A223&gt;=SYear_O,$A223&lt;=EYear_O,BK$3&gt;0),IF($A223=SYear_O,BK$168*(1+Data_All!BK62%),BK222*(1+Data_All!BK62%)),"")</f>
        <v/>
      </c>
      <c r="BL223" s="427" t="str">
        <f>IF(AND($A223&gt;=SYear_O,$A223&lt;=EYear_O,BL$3&gt;0),IF($A223=SYear_O,BL$168*(1+Data_All!BL62%),BL222*(1+Data_All!BL62%)),"")</f>
        <v/>
      </c>
      <c r="BM223" s="427" t="str">
        <f>IF(AND($A223&gt;=SYear_O,$A223&lt;=EYear_O,BM$3&gt;0),IF($A223=SYear_O,BM$168*(1+Data_All!BM62%),BM222*(1+Data_All!BM62%)),"")</f>
        <v/>
      </c>
      <c r="BN223" s="427" t="str">
        <f>IF(AND($A223&gt;=SYear_O,$A223&lt;=EYear_O,BN$3&gt;0),IF($A223=SYear_O,BN$168*(1+Data_All!BN62%),BN222*(1+Data_All!BN62%)),"")</f>
        <v/>
      </c>
      <c r="BO223" s="427" t="str">
        <f>IF(AND($A223&gt;=SYear_O,$A223&lt;=EYear_O,BO$3&gt;0),IF($A223=SYear_O,BO$168*(1+Data_All!BO62%),BO222*(1+Data_All!BO62%)),"")</f>
        <v/>
      </c>
      <c r="BP223" s="427" t="str">
        <f>IF(AND($A223&gt;=SYear_O,$A223&lt;=EYear_O,BP$3&gt;0),IF($A223=SYear_O,BP$168*(1+Data_All!BP62%),BP222*(1+Data_All!BP62%)),"")</f>
        <v/>
      </c>
      <c r="BQ223" s="427" t="str">
        <f>IF(AND($A223&gt;=SYear_O,$A223&lt;=EYear_O,BQ$3&gt;0),IF($A223=SYear_O,BQ$168*(1+Data_All!BQ62%),BQ222*(1+Data_All!BQ62%)),"")</f>
        <v/>
      </c>
      <c r="BR223" s="427" t="str">
        <f>IF(AND($A223&gt;=SYear_O,$A223&lt;=EYear_O,BR$3&gt;0),IF($A223=SYear_O,BR$168*(1+Data_All!BR62%),BR222*(1+Data_All!BR62%)),"")</f>
        <v/>
      </c>
      <c r="BS223" s="427" t="str">
        <f>IF(AND($A223&gt;=SYear_O,$A223&lt;=EYear_O,BS$3&gt;0),IF($A223=SYear_O,BS$168*(1+Data_All!BS62%),BS222*(1+Data_All!BS62%)),"")</f>
        <v/>
      </c>
      <c r="BT223" s="427" t="str">
        <f>IF(AND($A223&gt;=SYear_O,$A223&lt;=EYear_O,BT$3&gt;0),IF($A223=SYear_O,BT$168*(1+Data_All!BT62%),BT222*(1+Data_All!BT62%)),"")</f>
        <v/>
      </c>
      <c r="BU223" s="427" t="str">
        <f>IF(AND($A223&gt;=SYear_O,$A223&lt;=EYear_O,BU$3&gt;0),IF($A223=SYear_O,BU$168*(1+Data_All!BU62%),BU222*(1+Data_All!BU62%)),"")</f>
        <v/>
      </c>
      <c r="BV223" s="427" t="str">
        <f>IF(AND($A223&gt;=SYear_O,$A223&lt;=EYear_O,BV$3&gt;0),IF($A223=SYear_O,BV$168*(1+Data_All!BV62%),BV222*(1+Data_All!BV62%)),"")</f>
        <v/>
      </c>
      <c r="BW223" s="427" t="str">
        <f>IF(AND($A223&gt;=SYear_O,$A223&lt;=EYear_O,BW$3&gt;0),IF($A223=SYear_O,BW$168*(1+Data_All!BW62%),BW222*(1+Data_All!BW62%)),"")</f>
        <v/>
      </c>
      <c r="BX223" s="427">
        <f>IF(AND($A223&gt;=SYear_O,$A223&lt;=EYear_O,BX$3&gt;0),IF($A223=SYear_O,BX$168*(1+Data_All!BX62%),BX222*(1+Data_All!BX62%)),"")</f>
        <v>281053.60364182899</v>
      </c>
      <c r="BY223" s="427">
        <f>IF(AND($A223&gt;=SYear_O,$A223&lt;=EYear_O,BY$3&gt;0),IF($A223=SYear_O,BY$168*(1+Data_All!BY62%),BY222*(1+Data_All!BY62%)),"")</f>
        <v>34954.051634036819</v>
      </c>
      <c r="BZ223" s="427" t="str">
        <f>IF(AND($A223&gt;=SYear_O,$A223&lt;=EYear_O,BZ$3&gt;0),IF($A223=SYear_O,BZ$168*(1+Data_All!BZ62%),BZ222*(1+Data_All!BZ62%)),"")</f>
        <v/>
      </c>
      <c r="CA223" s="565">
        <f t="shared" si="108"/>
        <v>22.41230801253695</v>
      </c>
      <c r="CB223" s="427">
        <f t="shared" si="109"/>
        <v>316007.65527586581</v>
      </c>
      <c r="CC223" s="565">
        <f>IF(AND($A223&gt;=SYear_O,$A223&lt;=EYear_O),(CA223-Data_All!CA62)/(1+Data_All!CA62%),"")</f>
        <v>18.30910215736813</v>
      </c>
      <c r="CD223" s="436">
        <f t="shared" si="110"/>
        <v>220041.26769974094</v>
      </c>
      <c r="CE223" s="438">
        <f t="shared" si="111"/>
        <v>28.661653777961998</v>
      </c>
      <c r="CF223" s="438">
        <f>IF(AND($A223&gt;=SYear_O,$A223&lt;=EYear_O),MAX($CE$169:CE223),"")</f>
        <v>28.661653777961998</v>
      </c>
      <c r="CG223" s="209">
        <f t="shared" si="112"/>
        <v>0</v>
      </c>
      <c r="CN223" s="61">
        <f t="shared" si="113"/>
        <v>0.22412308012536952</v>
      </c>
      <c r="CO223" s="61">
        <f t="shared" si="114"/>
        <v>0.21675724766471816</v>
      </c>
      <c r="CP223" s="61">
        <f t="shared" si="115"/>
        <v>0.18860886391810272</v>
      </c>
      <c r="CQ223" s="61">
        <f t="shared" si="116"/>
        <v>4.0587099380352543E-2</v>
      </c>
      <c r="CR223" s="61">
        <f t="shared" si="117"/>
        <v>5.9841302731116874E-2</v>
      </c>
      <c r="CU223" s="61">
        <f t="shared" si="118"/>
        <v>0.18309102157368118</v>
      </c>
      <c r="CV223" s="61">
        <f t="shared" si="119"/>
        <v>0.21675724766471816</v>
      </c>
      <c r="CW223" s="61">
        <f t="shared" si="120"/>
        <v>0.19137631848367809</v>
      </c>
      <c r="CX223" s="61">
        <f t="shared" si="121"/>
        <v>6.5931157427328024E-2</v>
      </c>
      <c r="CY223" s="61">
        <f t="shared" si="122"/>
        <v>7.5415422646476493E-2</v>
      </c>
    </row>
    <row r="224" spans="1:103">
      <c r="A224" s="204">
        <f t="shared" si="107"/>
        <v>1926</v>
      </c>
      <c r="B224" s="427" t="str">
        <f>IF(AND($A224&gt;=SYear_O,$A224&lt;=EYear_O,B$3&gt;0),IF($A224=SYear_O,B$168*(1+Data_All!B63%),B223*(1+Data_All!B63%)),"")</f>
        <v/>
      </c>
      <c r="C224" s="427" t="str">
        <f>IF(AND($A224&gt;=SYear_O,$A224&lt;=EYear_O,C$3&gt;0),IF($A224=SYear_O,C$168*(1+Data_All!C63%),C223*(1+Data_All!C63%)),"")</f>
        <v/>
      </c>
      <c r="D224" s="427" t="str">
        <f>IF(AND($A224&gt;=SYear_O,$A224&lt;=EYear_O,D$3&gt;0),IF($A224=SYear_O,D$168*(1+Data_All!D63%),D223*(1+Data_All!D63%)),"")</f>
        <v/>
      </c>
      <c r="E224" s="427" t="str">
        <f>IF(AND($A224&gt;=SYear_O,$A224&lt;=EYear_O,E$3&gt;0),IF($A224=SYear_O,E$168*(1+Data_All!E63%),E223*(1+Data_All!E63%)),"")</f>
        <v/>
      </c>
      <c r="F224" s="427" t="str">
        <f>IF(AND($A224&gt;=SYear_O,$A224&lt;=EYear_O,F$3&gt;0),IF($A224=SYear_O,F$168*(1+Data_All!F63%),F223*(1+Data_All!F63%)),"")</f>
        <v/>
      </c>
      <c r="G224" s="427" t="str">
        <f>IF(AND($A224&gt;=SYear_O,$A224&lt;=EYear_O,G$3&gt;0),IF($A224=SYear_O,G$168*(1+Data_All!G63%),G223*(1+Data_All!G63%)),"")</f>
        <v/>
      </c>
      <c r="H224" s="427" t="str">
        <f>IF(AND($A224&gt;=SYear_O,$A224&lt;=EYear_O,H$3&gt;0),IF($A224=SYear_O,H$168*(1+Data_All!H63%),H223*(1+Data_All!H63%)),"")</f>
        <v/>
      </c>
      <c r="I224" s="427" t="str">
        <f>IF(AND($A224&gt;=SYear_O,$A224&lt;=EYear_O,I$3&gt;0),IF($A224=SYear_O,I$168*(1+Data_All!I63%),I223*(1+Data_All!I63%)),"")</f>
        <v/>
      </c>
      <c r="J224" s="427" t="str">
        <f>IF(AND($A224&gt;=SYear_O,$A224&lt;=EYear_O,J$3&gt;0),IF($A224=SYear_O,J$168*(1+Data_All!J63%),J223*(1+Data_All!J63%)),"")</f>
        <v/>
      </c>
      <c r="K224" s="427" t="str">
        <f>IF(AND($A224&gt;=SYear_O,$A224&lt;=EYear_O,K$3&gt;0),IF($A224=SYear_O,K$168*(1+Data_All!K63%),K223*(1+Data_All!K63%)),"")</f>
        <v/>
      </c>
      <c r="L224" s="427" t="str">
        <f>IF(AND($A224&gt;=SYear_O,$A224&lt;=EYear_O,L$3&gt;0),IF($A224=SYear_O,L$168*(1+Data_All!L63%),L223*(1+Data_All!L63%)),"")</f>
        <v/>
      </c>
      <c r="M224" s="427" t="str">
        <f>IF(AND($A224&gt;=SYear_O,$A224&lt;=EYear_O,M$3&gt;0),IF($A224=SYear_O,M$168*(1+Data_All!M63%),M223*(1+Data_All!M63%)),"")</f>
        <v/>
      </c>
      <c r="N224" s="427" t="str">
        <f>IF(AND($A224&gt;=SYear_O,$A224&lt;=EYear_O,N$3&gt;0),IF($A224=SYear_O,N$168*(1+Data_All!N63%),N223*(1+Data_All!N63%)),"")</f>
        <v/>
      </c>
      <c r="O224" s="427" t="str">
        <f>IF(AND($A224&gt;=SYear_O,$A224&lt;=EYear_O,O$3&gt;0),IF($A224=SYear_O,O$168*(1+Data_All!O63%),O223*(1+Data_All!O63%)),"")</f>
        <v/>
      </c>
      <c r="P224" s="427" t="str">
        <f>IF(AND($A224&gt;=SYear_O,$A224&lt;=EYear_O,P$3&gt;0),IF($A224=SYear_O,P$168*(1+Data_All!P63%),P223*(1+Data_All!P63%)),"")</f>
        <v/>
      </c>
      <c r="Q224" s="427" t="str">
        <f>IF(AND($A224&gt;=SYear_O,$A224&lt;=EYear_O,Q$3&gt;0),IF($A224=SYear_O,Q$168*(1+Data_All!Q63%),Q223*(1+Data_All!Q63%)),"")</f>
        <v/>
      </c>
      <c r="R224" s="427" t="str">
        <f>IF(AND($A224&gt;=SYear_O,$A224&lt;=EYear_O,R$3&gt;0),IF($A224=SYear_O,R$168*(1+Data_All!R63%),R223*(1+Data_All!R63%)),"")</f>
        <v/>
      </c>
      <c r="S224" s="427" t="str">
        <f>IF(AND($A224&gt;=SYear_O,$A224&lt;=EYear_O,S$3&gt;0),IF($A224=SYear_O,S$168*(1+Data_All!S63%),S223*(1+Data_All!S63%)),"")</f>
        <v/>
      </c>
      <c r="T224" s="427" t="str">
        <f>IF(AND($A224&gt;=SYear_O,$A224&lt;=EYear_O,T$3&gt;0),IF($A224=SYear_O,T$168*(1+Data_All!T63%),T223*(1+Data_All!T63%)),"")</f>
        <v/>
      </c>
      <c r="U224" s="427" t="str">
        <f>IF(AND($A224&gt;=SYear_O,$A224&lt;=EYear_O,U$3&gt;0),IF($A224=SYear_O,U$168*(1+Data_All!U63%),U223*(1+Data_All!U63%)),"")</f>
        <v/>
      </c>
      <c r="V224" s="427" t="str">
        <f>IF(AND($A224&gt;=SYear_O,$A224&lt;=EYear_O,V$3&gt;0),IF($A224=SYear_O,V$168*(1+Data_All!V63%),V223*(1+Data_All!V63%)),"")</f>
        <v/>
      </c>
      <c r="W224" s="427" t="str">
        <f>IF(AND($A224&gt;=SYear_O,$A224&lt;=EYear_O,W$3&gt;0),IF($A224=SYear_O,W$168*(1+Data_All!W63%),W223*(1+Data_All!W63%)),"")</f>
        <v/>
      </c>
      <c r="X224" s="427" t="str">
        <f>IF(AND($A224&gt;=SYear_O,$A224&lt;=EYear_O,X$3&gt;0),IF($A224=SYear_O,X$168*(1+Data_All!X63%),X223*(1+Data_All!X63%)),"")</f>
        <v/>
      </c>
      <c r="Y224" s="427" t="str">
        <f>IF(AND($A224&gt;=SYear_O,$A224&lt;=EYear_O,Y$3&gt;0),IF($A224=SYear_O,Y$168*(1+Data_All!Y63%),Y223*(1+Data_All!Y63%)),"")</f>
        <v/>
      </c>
      <c r="Z224" s="427" t="str">
        <f>IF(AND($A224&gt;=SYear_O,$A224&lt;=EYear_O,Z$3&gt;0),IF($A224=SYear_O,Z$168*(1+Data_All!Z63%),Z223*(1+Data_All!Z63%)),"")</f>
        <v/>
      </c>
      <c r="AA224" s="427" t="str">
        <f>IF(AND($A224&gt;=SYear_O,$A224&lt;=EYear_O,AA$3&gt;0),IF($A224=SYear_O,AA$168*(1+Data_All!AA63%),AA223*(1+Data_All!AA63%)),"")</f>
        <v/>
      </c>
      <c r="AB224" s="427" t="str">
        <f>IF(AND($A224&gt;=SYear_O,$A224&lt;=EYear_O,AB$3&gt;0),IF($A224=SYear_O,AB$168*(1+Data_All!AB63%),AB223*(1+Data_All!AB63%)),"")</f>
        <v/>
      </c>
      <c r="AC224" s="427" t="str">
        <f>IF(AND($A224&gt;=SYear_O,$A224&lt;=EYear_O,AC$3&gt;0),IF($A224=SYear_O,AC$168*(1+Data_All!AC63%),AC223*(1+Data_All!AC63%)),"")</f>
        <v/>
      </c>
      <c r="AD224" s="427" t="str">
        <f>IF(AND($A224&gt;=SYear_O,$A224&lt;=EYear_O,AD$3&gt;0),IF($A224=SYear_O,AD$168*(1+Data_All!AD63%),AD223*(1+Data_All!AD63%)),"")</f>
        <v/>
      </c>
      <c r="AE224" s="427" t="str">
        <f>IF(AND($A224&gt;=SYear_O,$A224&lt;=EYear_O,AE$3&gt;0),IF($A224=SYear_O,AE$168*(1+Data_All!AE63%),AE223*(1+Data_All!AE63%)),"")</f>
        <v/>
      </c>
      <c r="AF224" s="427" t="str">
        <f>IF(AND($A224&gt;=SYear_O,$A224&lt;=EYear_O,AF$3&gt;0),IF($A224=SYear_O,AF$168*(1+Data_All!AF63%),AF223*(1+Data_All!AF63%)),"")</f>
        <v/>
      </c>
      <c r="AG224" s="427" t="str">
        <f>IF(AND($A224&gt;=SYear_O,$A224&lt;=EYear_O,AG$3&gt;0),IF($A224=SYear_O,AG$168*(1+Data_All!AG63%),AG223*(1+Data_All!AG63%)),"")</f>
        <v/>
      </c>
      <c r="AH224" s="427" t="str">
        <f>IF(AND($A224&gt;=SYear_O,$A224&lt;=EYear_O,AH$3&gt;0),IF($A224=SYear_O,AH$168*(1+Data_All!AH63%),AH223*(1+Data_All!AH63%)),"")</f>
        <v/>
      </c>
      <c r="AI224" s="427" t="str">
        <f>IF(AND($A224&gt;=SYear_O,$A224&lt;=EYear_O,AI$3&gt;0),IF($A224=SYear_O,AI$168*(1+Data_All!AI63%),AI223*(1+Data_All!AI63%)),"")</f>
        <v/>
      </c>
      <c r="AJ224" s="427" t="str">
        <f>IF(AND($A224&gt;=SYear_O,$A224&lt;=EYear_O,AJ$3&gt;0),IF($A224=SYear_O,AJ$168*(1+Data_All!AJ63%),AJ223*(1+Data_All!AJ63%)),"")</f>
        <v/>
      </c>
      <c r="AK224" s="427" t="str">
        <f>IF(AND($A224&gt;=SYear_O,$A224&lt;=EYear_O,AK$3&gt;0),IF($A224=SYear_O,AK$168*(1+Data_All!AK63%),AK223*(1+Data_All!AK63%)),"")</f>
        <v/>
      </c>
      <c r="AL224" s="427" t="str">
        <f>IF(AND($A224&gt;=SYear_O,$A224&lt;=EYear_O,AL$3&gt;0),IF($A224=SYear_O,AL$168*(1+Data_All!AL63%),AL223*(1+Data_All!AL63%)),"")</f>
        <v/>
      </c>
      <c r="AM224" s="427" t="str">
        <f>IF(AND($A224&gt;=SYear_O,$A224&lt;=EYear_O,AM$3&gt;0),IF($A224=SYear_O,AM$168*(1+Data_All!AM63%),AM223*(1+Data_All!AM63%)),"")</f>
        <v/>
      </c>
      <c r="AN224" s="427" t="str">
        <f>IF(AND($A224&gt;=SYear_O,$A224&lt;=EYear_O,AN$3&gt;0),IF($A224=SYear_O,AN$168*(1+Data_All!AN63%),AN223*(1+Data_All!AN63%)),"")</f>
        <v/>
      </c>
      <c r="AO224" s="427" t="str">
        <f>IF(AND($A224&gt;=SYear_O,$A224&lt;=EYear_O,AO$3&gt;0),IF($A224=SYear_O,AO$168*(1+Data_All!AO63%),AO223*(1+Data_All!AO63%)),"")</f>
        <v/>
      </c>
      <c r="AP224" s="427" t="str">
        <f>IF(AND($A224&gt;=SYear_O,$A224&lt;=EYear_O,AP$3&gt;0),IF($A224=SYear_O,AP$168*(1+Data_All!AP63%),AP223*(1+Data_All!AP63%)),"")</f>
        <v/>
      </c>
      <c r="AQ224" s="427" t="str">
        <f>IF(AND($A224&gt;=SYear_O,$A224&lt;=EYear_O,AQ$3&gt;0),IF($A224=SYear_O,AQ$168*(1+Data_All!AQ63%),AQ223*(1+Data_All!AQ63%)),"")</f>
        <v/>
      </c>
      <c r="AR224" s="427" t="str">
        <f>IF(AND($A224&gt;=SYear_O,$A224&lt;=EYear_O,AR$3&gt;0),IF($A224=SYear_O,AR$168*(1+Data_All!AR63%),AR223*(1+Data_All!AR63%)),"")</f>
        <v/>
      </c>
      <c r="AS224" s="427" t="str">
        <f>IF(AND($A224&gt;=SYear_O,$A224&lt;=EYear_O,AS$3&gt;0),IF($A224=SYear_O,AS$168*(1+Data_All!AS63%),AS223*(1+Data_All!AS63%)),"")</f>
        <v/>
      </c>
      <c r="AT224" s="427" t="str">
        <f>IF(AND($A224&gt;=SYear_O,$A224&lt;=EYear_O,AT$3&gt;0),IF($A224=SYear_O,AT$168*(1+Data_All!AT63%),AT223*(1+Data_All!AT63%)),"")</f>
        <v/>
      </c>
      <c r="AU224" s="427" t="str">
        <f>IF(AND($A224&gt;=SYear_O,$A224&lt;=EYear_O,AU$3&gt;0),IF($A224=SYear_O,AU$168*(1+Data_All!AU63%),AU223*(1+Data_All!AU63%)),"")</f>
        <v/>
      </c>
      <c r="AV224" s="427" t="str">
        <f>IF(AND($A224&gt;=SYear_O,$A224&lt;=EYear_O,AV$3&gt;0),IF($A224=SYear_O,AV$168*(1+Data_All!AV63%),AV223*(1+Data_All!AV63%)),"")</f>
        <v/>
      </c>
      <c r="AW224" s="427" t="str">
        <f>IF(AND($A224&gt;=SYear_O,$A224&lt;=EYear_O,AW$3&gt;0),IF($A224=SYear_O,AW$168*(1+Data_All!AW63%),AW223*(1+Data_All!AW63%)),"")</f>
        <v/>
      </c>
      <c r="AX224" s="427" t="str">
        <f>IF(AND($A224&gt;=SYear_O,$A224&lt;=EYear_O,AX$3&gt;0),IF($A224=SYear_O,AX$168*(1+Data_All!AX63%),AX223*(1+Data_All!AX63%)),"")</f>
        <v/>
      </c>
      <c r="AY224" s="427" t="str">
        <f>IF(AND($A224&gt;=SYear_O,$A224&lt;=EYear_O,AY$3&gt;0),IF($A224=SYear_O,AY$168*(1+Data_All!AY63%),AY223*(1+Data_All!AY63%)),"")</f>
        <v/>
      </c>
      <c r="AZ224" s="427" t="str">
        <f>IF(AND($A224&gt;=SYear_O,$A224&lt;=EYear_O,AZ$3&gt;0),IF($A224=SYear_O,AZ$168*(1+Data_All!AZ63%),AZ223*(1+Data_All!AZ63%)),"")</f>
        <v/>
      </c>
      <c r="BA224" s="427" t="str">
        <f>IF(AND($A224&gt;=SYear_O,$A224&lt;=EYear_O,BA$3&gt;0),IF($A224=SYear_O,BA$168*(1+Data_All!BA63%),BA223*(1+Data_All!BA63%)),"")</f>
        <v/>
      </c>
      <c r="BB224" s="427" t="str">
        <f>IF(AND($A224&gt;=SYear_O,$A224&lt;=EYear_O,BB$3&gt;0),IF($A224=SYear_O,BB$168*(1+Data_All!BB63%),BB223*(1+Data_All!BB63%)),"")</f>
        <v/>
      </c>
      <c r="BC224" s="427" t="str">
        <f>IF(AND($A224&gt;=SYear_O,$A224&lt;=EYear_O,BC$3&gt;0),IF($A224=SYear_O,BC$168*(1+Data_All!BC63%),BC223*(1+Data_All!BC63%)),"")</f>
        <v/>
      </c>
      <c r="BD224" s="427" t="str">
        <f>IF(AND($A224&gt;=SYear_O,$A224&lt;=EYear_O,BD$3&gt;0),IF($A224=SYear_O,BD$168*(1+Data_All!BD63%),BD223*(1+Data_All!BD63%)),"")</f>
        <v/>
      </c>
      <c r="BE224" s="427" t="str">
        <f>IF(AND($A224&gt;=SYear_O,$A224&lt;=EYear_O,BE$3&gt;0),IF($A224=SYear_O,BE$168*(1+Data_All!BE63%),BE223*(1+Data_All!BE63%)),"")</f>
        <v/>
      </c>
      <c r="BF224" s="427" t="str">
        <f>IF(AND($A224&gt;=SYear_O,$A224&lt;=EYear_O,BF$3&gt;0),IF($A224=SYear_O,BF$168*(1+Data_All!BF63%),BF223*(1+Data_All!BF63%)),"")</f>
        <v/>
      </c>
      <c r="BG224" s="427" t="str">
        <f>IF(AND($A224&gt;=SYear_O,$A224&lt;=EYear_O,BG$3&gt;0),IF($A224=SYear_O,BG$168*(1+Data_All!BG63%),BG223*(1+Data_All!BG63%)),"")</f>
        <v/>
      </c>
      <c r="BH224" s="427" t="str">
        <f>IF(AND($A224&gt;=SYear_O,$A224&lt;=EYear_O,BH$3&gt;0),IF($A224=SYear_O,BH$168*(1+Data_All!BH63%),BH223*(1+Data_All!BH63%)),"")</f>
        <v/>
      </c>
      <c r="BI224" s="427" t="str">
        <f>IF(AND($A224&gt;=SYear_O,$A224&lt;=EYear_O,BI$3&gt;0),IF($A224=SYear_O,BI$168*(1+Data_All!BI63%),BI223*(1+Data_All!BI63%)),"")</f>
        <v/>
      </c>
      <c r="BJ224" s="427" t="str">
        <f>IF(AND($A224&gt;=SYear_O,$A224&lt;=EYear_O,BJ$3&gt;0),IF($A224=SYear_O,BJ$168*(1+Data_All!BJ63%),BJ223*(1+Data_All!BJ63%)),"")</f>
        <v/>
      </c>
      <c r="BK224" s="427" t="str">
        <f>IF(AND($A224&gt;=SYear_O,$A224&lt;=EYear_O,BK$3&gt;0),IF($A224=SYear_O,BK$168*(1+Data_All!BK63%),BK223*(1+Data_All!BK63%)),"")</f>
        <v/>
      </c>
      <c r="BL224" s="427" t="str">
        <f>IF(AND($A224&gt;=SYear_O,$A224&lt;=EYear_O,BL$3&gt;0),IF($A224=SYear_O,BL$168*(1+Data_All!BL63%),BL223*(1+Data_All!BL63%)),"")</f>
        <v/>
      </c>
      <c r="BM224" s="427" t="str">
        <f>IF(AND($A224&gt;=SYear_O,$A224&lt;=EYear_O,BM$3&gt;0),IF($A224=SYear_O,BM$168*(1+Data_All!BM63%),BM223*(1+Data_All!BM63%)),"")</f>
        <v/>
      </c>
      <c r="BN224" s="427" t="str">
        <f>IF(AND($A224&gt;=SYear_O,$A224&lt;=EYear_O,BN$3&gt;0),IF($A224=SYear_O,BN$168*(1+Data_All!BN63%),BN223*(1+Data_All!BN63%)),"")</f>
        <v/>
      </c>
      <c r="BO224" s="427" t="str">
        <f>IF(AND($A224&gt;=SYear_O,$A224&lt;=EYear_O,BO$3&gt;0),IF($A224=SYear_O,BO$168*(1+Data_All!BO63%),BO223*(1+Data_All!BO63%)),"")</f>
        <v/>
      </c>
      <c r="BP224" s="427" t="str">
        <f>IF(AND($A224&gt;=SYear_O,$A224&lt;=EYear_O,BP$3&gt;0),IF($A224=SYear_O,BP$168*(1+Data_All!BP63%),BP223*(1+Data_All!BP63%)),"")</f>
        <v/>
      </c>
      <c r="BQ224" s="427" t="str">
        <f>IF(AND($A224&gt;=SYear_O,$A224&lt;=EYear_O,BQ$3&gt;0),IF($A224=SYear_O,BQ$168*(1+Data_All!BQ63%),BQ223*(1+Data_All!BQ63%)),"")</f>
        <v/>
      </c>
      <c r="BR224" s="427" t="str">
        <f>IF(AND($A224&gt;=SYear_O,$A224&lt;=EYear_O,BR$3&gt;0),IF($A224=SYear_O,BR$168*(1+Data_All!BR63%),BR223*(1+Data_All!BR63%)),"")</f>
        <v/>
      </c>
      <c r="BS224" s="427" t="str">
        <f>IF(AND($A224&gt;=SYear_O,$A224&lt;=EYear_O,BS$3&gt;0),IF($A224=SYear_O,BS$168*(1+Data_All!BS63%),BS223*(1+Data_All!BS63%)),"")</f>
        <v/>
      </c>
      <c r="BT224" s="427" t="str">
        <f>IF(AND($A224&gt;=SYear_O,$A224&lt;=EYear_O,BT$3&gt;0),IF($A224=SYear_O,BT$168*(1+Data_All!BT63%),BT223*(1+Data_All!BT63%)),"")</f>
        <v/>
      </c>
      <c r="BU224" s="427" t="str">
        <f>IF(AND($A224&gt;=SYear_O,$A224&lt;=EYear_O,BU$3&gt;0),IF($A224=SYear_O,BU$168*(1+Data_All!BU63%),BU223*(1+Data_All!BU63%)),"")</f>
        <v/>
      </c>
      <c r="BV224" s="427" t="str">
        <f>IF(AND($A224&gt;=SYear_O,$A224&lt;=EYear_O,BV$3&gt;0),IF($A224=SYear_O,BV$168*(1+Data_All!BV63%),BV223*(1+Data_All!BV63%)),"")</f>
        <v/>
      </c>
      <c r="BW224" s="427" t="str">
        <f>IF(AND($A224&gt;=SYear_O,$A224&lt;=EYear_O,BW$3&gt;0),IF($A224=SYear_O,BW$168*(1+Data_All!BW63%),BW223*(1+Data_All!BW63%)),"")</f>
        <v/>
      </c>
      <c r="BX224" s="427">
        <f>IF(AND($A224&gt;=SYear_O,$A224&lt;=EYear_O,BX$3&gt;0),IF($A224=SYear_O,BX$168*(1+Data_All!BX63%),BX223*(1+Data_All!BX63%)),"")</f>
        <v>313047.05733702536</v>
      </c>
      <c r="BY224" s="427">
        <f>IF(AND($A224&gt;=SYear_O,$A224&lt;=EYear_O,BY$3&gt;0),IF($A224=SYear_O,BY$168*(1+Data_All!BY63%),BY223*(1+Data_All!BY63%)),"")</f>
        <v>36564.900730504974</v>
      </c>
      <c r="BZ224" s="427" t="str">
        <f>IF(AND($A224&gt;=SYear_O,$A224&lt;=EYear_O,BZ$3&gt;0),IF($A224=SYear_O,BZ$168*(1+Data_All!BZ63%),BZ223*(1+Data_All!BZ63%)),"")</f>
        <v/>
      </c>
      <c r="CA224" s="565">
        <f t="shared" si="108"/>
        <v>10.634015420395079</v>
      </c>
      <c r="CB224" s="427">
        <f t="shared" si="109"/>
        <v>349611.9580675303</v>
      </c>
      <c r="CC224" s="565">
        <f>IF(AND($A224&gt;=SYear_O,$A224&lt;=EYear_O),(CA224-Data_All!CA63)/(1+Data_All!CA63%),"")</f>
        <v>13.162792915718391</v>
      </c>
      <c r="CD224" s="436">
        <f t="shared" si="110"/>
        <v>249004.84409617941</v>
      </c>
      <c r="CE224" s="438">
        <f t="shared" si="111"/>
        <v>31.709538460450727</v>
      </c>
      <c r="CF224" s="438">
        <f>IF(AND($A224&gt;=SYear_O,$A224&lt;=EYear_O),MAX($CE$169:CE224),"")</f>
        <v>31.709538460450727</v>
      </c>
      <c r="CG224" s="209">
        <f t="shared" si="112"/>
        <v>0</v>
      </c>
      <c r="CN224" s="61">
        <f t="shared" si="113"/>
        <v>0.10634015420395082</v>
      </c>
      <c r="CO224" s="61">
        <f t="shared" si="114"/>
        <v>0.28117740768751975</v>
      </c>
      <c r="CP224" s="61">
        <f t="shared" si="115"/>
        <v>9.1612508499569145E-2</v>
      </c>
      <c r="CQ224" s="61">
        <f t="shared" si="116"/>
        <v>5.9757634735532861E-2</v>
      </c>
      <c r="CR224" s="61">
        <f t="shared" si="117"/>
        <v>4.0144814560690412E-2</v>
      </c>
      <c r="CU224" s="61">
        <f t="shared" si="118"/>
        <v>0.13162792915718402</v>
      </c>
      <c r="CV224" s="61">
        <f t="shared" si="119"/>
        <v>0.30085306702698023</v>
      </c>
      <c r="CW224" s="61">
        <f t="shared" si="120"/>
        <v>0.11778862255783262</v>
      </c>
      <c r="CX224" s="61">
        <f t="shared" si="121"/>
        <v>8.7687026486849229E-2</v>
      </c>
      <c r="CY224" s="61">
        <f t="shared" si="122"/>
        <v>5.6824167567338435E-2</v>
      </c>
    </row>
    <row r="225" spans="1:103">
      <c r="A225" s="204">
        <f t="shared" si="107"/>
        <v>1927</v>
      </c>
      <c r="B225" s="427" t="str">
        <f>IF(AND($A225&gt;=SYear_O,$A225&lt;=EYear_O,B$3&gt;0),IF($A225=SYear_O,B$168*(1+Data_All!B64%),B224*(1+Data_All!B64%)),"")</f>
        <v/>
      </c>
      <c r="C225" s="427" t="str">
        <f>IF(AND($A225&gt;=SYear_O,$A225&lt;=EYear_O,C$3&gt;0),IF($A225=SYear_O,C$168*(1+Data_All!C64%),C224*(1+Data_All!C64%)),"")</f>
        <v/>
      </c>
      <c r="D225" s="427" t="str">
        <f>IF(AND($A225&gt;=SYear_O,$A225&lt;=EYear_O,D$3&gt;0),IF($A225=SYear_O,D$168*(1+Data_All!D64%),D224*(1+Data_All!D64%)),"")</f>
        <v/>
      </c>
      <c r="E225" s="427" t="str">
        <f>IF(AND($A225&gt;=SYear_O,$A225&lt;=EYear_O,E$3&gt;0),IF($A225=SYear_O,E$168*(1+Data_All!E64%),E224*(1+Data_All!E64%)),"")</f>
        <v/>
      </c>
      <c r="F225" s="427" t="str">
        <f>IF(AND($A225&gt;=SYear_O,$A225&lt;=EYear_O,F$3&gt;0),IF($A225=SYear_O,F$168*(1+Data_All!F64%),F224*(1+Data_All!F64%)),"")</f>
        <v/>
      </c>
      <c r="G225" s="427" t="str">
        <f>IF(AND($A225&gt;=SYear_O,$A225&lt;=EYear_O,G$3&gt;0),IF($A225=SYear_O,G$168*(1+Data_All!G64%),G224*(1+Data_All!G64%)),"")</f>
        <v/>
      </c>
      <c r="H225" s="427" t="str">
        <f>IF(AND($A225&gt;=SYear_O,$A225&lt;=EYear_O,H$3&gt;0),IF($A225=SYear_O,H$168*(1+Data_All!H64%),H224*(1+Data_All!H64%)),"")</f>
        <v/>
      </c>
      <c r="I225" s="427" t="str">
        <f>IF(AND($A225&gt;=SYear_O,$A225&lt;=EYear_O,I$3&gt;0),IF($A225=SYear_O,I$168*(1+Data_All!I64%),I224*(1+Data_All!I64%)),"")</f>
        <v/>
      </c>
      <c r="J225" s="427" t="str">
        <f>IF(AND($A225&gt;=SYear_O,$A225&lt;=EYear_O,J$3&gt;0),IF($A225=SYear_O,J$168*(1+Data_All!J64%),J224*(1+Data_All!J64%)),"")</f>
        <v/>
      </c>
      <c r="K225" s="427" t="str">
        <f>IF(AND($A225&gt;=SYear_O,$A225&lt;=EYear_O,K$3&gt;0),IF($A225=SYear_O,K$168*(1+Data_All!K64%),K224*(1+Data_All!K64%)),"")</f>
        <v/>
      </c>
      <c r="L225" s="427" t="str">
        <f>IF(AND($A225&gt;=SYear_O,$A225&lt;=EYear_O,L$3&gt;0),IF($A225=SYear_O,L$168*(1+Data_All!L64%),L224*(1+Data_All!L64%)),"")</f>
        <v/>
      </c>
      <c r="M225" s="427" t="str">
        <f>IF(AND($A225&gt;=SYear_O,$A225&lt;=EYear_O,M$3&gt;0),IF($A225=SYear_O,M$168*(1+Data_All!M64%),M224*(1+Data_All!M64%)),"")</f>
        <v/>
      </c>
      <c r="N225" s="427" t="str">
        <f>IF(AND($A225&gt;=SYear_O,$A225&lt;=EYear_O,N$3&gt;0),IF($A225=SYear_O,N$168*(1+Data_All!N64%),N224*(1+Data_All!N64%)),"")</f>
        <v/>
      </c>
      <c r="O225" s="427" t="str">
        <f>IF(AND($A225&gt;=SYear_O,$A225&lt;=EYear_O,O$3&gt;0),IF($A225=SYear_O,O$168*(1+Data_All!O64%),O224*(1+Data_All!O64%)),"")</f>
        <v/>
      </c>
      <c r="P225" s="427" t="str">
        <f>IF(AND($A225&gt;=SYear_O,$A225&lt;=EYear_O,P$3&gt;0),IF($A225=SYear_O,P$168*(1+Data_All!P64%),P224*(1+Data_All!P64%)),"")</f>
        <v/>
      </c>
      <c r="Q225" s="427" t="str">
        <f>IF(AND($A225&gt;=SYear_O,$A225&lt;=EYear_O,Q$3&gt;0),IF($A225=SYear_O,Q$168*(1+Data_All!Q64%),Q224*(1+Data_All!Q64%)),"")</f>
        <v/>
      </c>
      <c r="R225" s="427" t="str">
        <f>IF(AND($A225&gt;=SYear_O,$A225&lt;=EYear_O,R$3&gt;0),IF($A225=SYear_O,R$168*(1+Data_All!R64%),R224*(1+Data_All!R64%)),"")</f>
        <v/>
      </c>
      <c r="S225" s="427" t="str">
        <f>IF(AND($A225&gt;=SYear_O,$A225&lt;=EYear_O,S$3&gt;0),IF($A225=SYear_O,S$168*(1+Data_All!S64%),S224*(1+Data_All!S64%)),"")</f>
        <v/>
      </c>
      <c r="T225" s="427" t="str">
        <f>IF(AND($A225&gt;=SYear_O,$A225&lt;=EYear_O,T$3&gt;0),IF($A225=SYear_O,T$168*(1+Data_All!T64%),T224*(1+Data_All!T64%)),"")</f>
        <v/>
      </c>
      <c r="U225" s="427" t="str">
        <f>IF(AND($A225&gt;=SYear_O,$A225&lt;=EYear_O,U$3&gt;0),IF($A225=SYear_O,U$168*(1+Data_All!U64%),U224*(1+Data_All!U64%)),"")</f>
        <v/>
      </c>
      <c r="V225" s="427" t="str">
        <f>IF(AND($A225&gt;=SYear_O,$A225&lt;=EYear_O,V$3&gt;0),IF($A225=SYear_O,V$168*(1+Data_All!V64%),V224*(1+Data_All!V64%)),"")</f>
        <v/>
      </c>
      <c r="W225" s="427" t="str">
        <f>IF(AND($A225&gt;=SYear_O,$A225&lt;=EYear_O,W$3&gt;0),IF($A225=SYear_O,W$168*(1+Data_All!W64%),W224*(1+Data_All!W64%)),"")</f>
        <v/>
      </c>
      <c r="X225" s="427" t="str">
        <f>IF(AND($A225&gt;=SYear_O,$A225&lt;=EYear_O,X$3&gt;0),IF($A225=SYear_O,X$168*(1+Data_All!X64%),X224*(1+Data_All!X64%)),"")</f>
        <v/>
      </c>
      <c r="Y225" s="427" t="str">
        <f>IF(AND($A225&gt;=SYear_O,$A225&lt;=EYear_O,Y$3&gt;0),IF($A225=SYear_O,Y$168*(1+Data_All!Y64%),Y224*(1+Data_All!Y64%)),"")</f>
        <v/>
      </c>
      <c r="Z225" s="427" t="str">
        <f>IF(AND($A225&gt;=SYear_O,$A225&lt;=EYear_O,Z$3&gt;0),IF($A225=SYear_O,Z$168*(1+Data_All!Z64%),Z224*(1+Data_All!Z64%)),"")</f>
        <v/>
      </c>
      <c r="AA225" s="427" t="str">
        <f>IF(AND($A225&gt;=SYear_O,$A225&lt;=EYear_O,AA$3&gt;0),IF($A225=SYear_O,AA$168*(1+Data_All!AA64%),AA224*(1+Data_All!AA64%)),"")</f>
        <v/>
      </c>
      <c r="AB225" s="427" t="str">
        <f>IF(AND($A225&gt;=SYear_O,$A225&lt;=EYear_O,AB$3&gt;0),IF($A225=SYear_O,AB$168*(1+Data_All!AB64%),AB224*(1+Data_All!AB64%)),"")</f>
        <v/>
      </c>
      <c r="AC225" s="427" t="str">
        <f>IF(AND($A225&gt;=SYear_O,$A225&lt;=EYear_O,AC$3&gt;0),IF($A225=SYear_O,AC$168*(1+Data_All!AC64%),AC224*(1+Data_All!AC64%)),"")</f>
        <v/>
      </c>
      <c r="AD225" s="427" t="str">
        <f>IF(AND($A225&gt;=SYear_O,$A225&lt;=EYear_O,AD$3&gt;0),IF($A225=SYear_O,AD$168*(1+Data_All!AD64%),AD224*(1+Data_All!AD64%)),"")</f>
        <v/>
      </c>
      <c r="AE225" s="427" t="str">
        <f>IF(AND($A225&gt;=SYear_O,$A225&lt;=EYear_O,AE$3&gt;0),IF($A225=SYear_O,AE$168*(1+Data_All!AE64%),AE224*(1+Data_All!AE64%)),"")</f>
        <v/>
      </c>
      <c r="AF225" s="427" t="str">
        <f>IF(AND($A225&gt;=SYear_O,$A225&lt;=EYear_O,AF$3&gt;0),IF($A225=SYear_O,AF$168*(1+Data_All!AF64%),AF224*(1+Data_All!AF64%)),"")</f>
        <v/>
      </c>
      <c r="AG225" s="427" t="str">
        <f>IF(AND($A225&gt;=SYear_O,$A225&lt;=EYear_O,AG$3&gt;0),IF($A225=SYear_O,AG$168*(1+Data_All!AG64%),AG224*(1+Data_All!AG64%)),"")</f>
        <v/>
      </c>
      <c r="AH225" s="427" t="str">
        <f>IF(AND($A225&gt;=SYear_O,$A225&lt;=EYear_O,AH$3&gt;0),IF($A225=SYear_O,AH$168*(1+Data_All!AH64%),AH224*(1+Data_All!AH64%)),"")</f>
        <v/>
      </c>
      <c r="AI225" s="427" t="str">
        <f>IF(AND($A225&gt;=SYear_O,$A225&lt;=EYear_O,AI$3&gt;0),IF($A225=SYear_O,AI$168*(1+Data_All!AI64%),AI224*(1+Data_All!AI64%)),"")</f>
        <v/>
      </c>
      <c r="AJ225" s="427" t="str">
        <f>IF(AND($A225&gt;=SYear_O,$A225&lt;=EYear_O,AJ$3&gt;0),IF($A225=SYear_O,AJ$168*(1+Data_All!AJ64%),AJ224*(1+Data_All!AJ64%)),"")</f>
        <v/>
      </c>
      <c r="AK225" s="427" t="str">
        <f>IF(AND($A225&gt;=SYear_O,$A225&lt;=EYear_O,AK$3&gt;0),IF($A225=SYear_O,AK$168*(1+Data_All!AK64%),AK224*(1+Data_All!AK64%)),"")</f>
        <v/>
      </c>
      <c r="AL225" s="427" t="str">
        <f>IF(AND($A225&gt;=SYear_O,$A225&lt;=EYear_O,AL$3&gt;0),IF($A225=SYear_O,AL$168*(1+Data_All!AL64%),AL224*(1+Data_All!AL64%)),"")</f>
        <v/>
      </c>
      <c r="AM225" s="427" t="str">
        <f>IF(AND($A225&gt;=SYear_O,$A225&lt;=EYear_O,AM$3&gt;0),IF($A225=SYear_O,AM$168*(1+Data_All!AM64%),AM224*(1+Data_All!AM64%)),"")</f>
        <v/>
      </c>
      <c r="AN225" s="427" t="str">
        <f>IF(AND($A225&gt;=SYear_O,$A225&lt;=EYear_O,AN$3&gt;0),IF($A225=SYear_O,AN$168*(1+Data_All!AN64%),AN224*(1+Data_All!AN64%)),"")</f>
        <v/>
      </c>
      <c r="AO225" s="427" t="str">
        <f>IF(AND($A225&gt;=SYear_O,$A225&lt;=EYear_O,AO$3&gt;0),IF($A225=SYear_O,AO$168*(1+Data_All!AO64%),AO224*(1+Data_All!AO64%)),"")</f>
        <v/>
      </c>
      <c r="AP225" s="427" t="str">
        <f>IF(AND($A225&gt;=SYear_O,$A225&lt;=EYear_O,AP$3&gt;0),IF($A225=SYear_O,AP$168*(1+Data_All!AP64%),AP224*(1+Data_All!AP64%)),"")</f>
        <v/>
      </c>
      <c r="AQ225" s="427" t="str">
        <f>IF(AND($A225&gt;=SYear_O,$A225&lt;=EYear_O,AQ$3&gt;0),IF($A225=SYear_O,AQ$168*(1+Data_All!AQ64%),AQ224*(1+Data_All!AQ64%)),"")</f>
        <v/>
      </c>
      <c r="AR225" s="427" t="str">
        <f>IF(AND($A225&gt;=SYear_O,$A225&lt;=EYear_O,AR$3&gt;0),IF($A225=SYear_O,AR$168*(1+Data_All!AR64%),AR224*(1+Data_All!AR64%)),"")</f>
        <v/>
      </c>
      <c r="AS225" s="427" t="str">
        <f>IF(AND($A225&gt;=SYear_O,$A225&lt;=EYear_O,AS$3&gt;0),IF($A225=SYear_O,AS$168*(1+Data_All!AS64%),AS224*(1+Data_All!AS64%)),"")</f>
        <v/>
      </c>
      <c r="AT225" s="427" t="str">
        <f>IF(AND($A225&gt;=SYear_O,$A225&lt;=EYear_O,AT$3&gt;0),IF($A225=SYear_O,AT$168*(1+Data_All!AT64%),AT224*(1+Data_All!AT64%)),"")</f>
        <v/>
      </c>
      <c r="AU225" s="427" t="str">
        <f>IF(AND($A225&gt;=SYear_O,$A225&lt;=EYear_O,AU$3&gt;0),IF($A225=SYear_O,AU$168*(1+Data_All!AU64%),AU224*(1+Data_All!AU64%)),"")</f>
        <v/>
      </c>
      <c r="AV225" s="427" t="str">
        <f>IF(AND($A225&gt;=SYear_O,$A225&lt;=EYear_O,AV$3&gt;0),IF($A225=SYear_O,AV$168*(1+Data_All!AV64%),AV224*(1+Data_All!AV64%)),"")</f>
        <v/>
      </c>
      <c r="AW225" s="427" t="str">
        <f>IF(AND($A225&gt;=SYear_O,$A225&lt;=EYear_O,AW$3&gt;0),IF($A225=SYear_O,AW$168*(1+Data_All!AW64%),AW224*(1+Data_All!AW64%)),"")</f>
        <v/>
      </c>
      <c r="AX225" s="427" t="str">
        <f>IF(AND($A225&gt;=SYear_O,$A225&lt;=EYear_O,AX$3&gt;0),IF($A225=SYear_O,AX$168*(1+Data_All!AX64%),AX224*(1+Data_All!AX64%)),"")</f>
        <v/>
      </c>
      <c r="AY225" s="427" t="str">
        <f>IF(AND($A225&gt;=SYear_O,$A225&lt;=EYear_O,AY$3&gt;0),IF($A225=SYear_O,AY$168*(1+Data_All!AY64%),AY224*(1+Data_All!AY64%)),"")</f>
        <v/>
      </c>
      <c r="AZ225" s="427" t="str">
        <f>IF(AND($A225&gt;=SYear_O,$A225&lt;=EYear_O,AZ$3&gt;0),IF($A225=SYear_O,AZ$168*(1+Data_All!AZ64%),AZ224*(1+Data_All!AZ64%)),"")</f>
        <v/>
      </c>
      <c r="BA225" s="427" t="str">
        <f>IF(AND($A225&gt;=SYear_O,$A225&lt;=EYear_O,BA$3&gt;0),IF($A225=SYear_O,BA$168*(1+Data_All!BA64%),BA224*(1+Data_All!BA64%)),"")</f>
        <v/>
      </c>
      <c r="BB225" s="427" t="str">
        <f>IF(AND($A225&gt;=SYear_O,$A225&lt;=EYear_O,BB$3&gt;0),IF($A225=SYear_O,BB$168*(1+Data_All!BB64%),BB224*(1+Data_All!BB64%)),"")</f>
        <v/>
      </c>
      <c r="BC225" s="427" t="str">
        <f>IF(AND($A225&gt;=SYear_O,$A225&lt;=EYear_O,BC$3&gt;0),IF($A225=SYear_O,BC$168*(1+Data_All!BC64%),BC224*(1+Data_All!BC64%)),"")</f>
        <v/>
      </c>
      <c r="BD225" s="427" t="str">
        <f>IF(AND($A225&gt;=SYear_O,$A225&lt;=EYear_O,BD$3&gt;0),IF($A225=SYear_O,BD$168*(1+Data_All!BD64%),BD224*(1+Data_All!BD64%)),"")</f>
        <v/>
      </c>
      <c r="BE225" s="427" t="str">
        <f>IF(AND($A225&gt;=SYear_O,$A225&lt;=EYear_O,BE$3&gt;0),IF($A225=SYear_O,BE$168*(1+Data_All!BE64%),BE224*(1+Data_All!BE64%)),"")</f>
        <v/>
      </c>
      <c r="BF225" s="427" t="str">
        <f>IF(AND($A225&gt;=SYear_O,$A225&lt;=EYear_O,BF$3&gt;0),IF($A225=SYear_O,BF$168*(1+Data_All!BF64%),BF224*(1+Data_All!BF64%)),"")</f>
        <v/>
      </c>
      <c r="BG225" s="427" t="str">
        <f>IF(AND($A225&gt;=SYear_O,$A225&lt;=EYear_O,BG$3&gt;0),IF($A225=SYear_O,BG$168*(1+Data_All!BG64%),BG224*(1+Data_All!BG64%)),"")</f>
        <v/>
      </c>
      <c r="BH225" s="427" t="str">
        <f>IF(AND($A225&gt;=SYear_O,$A225&lt;=EYear_O,BH$3&gt;0),IF($A225=SYear_O,BH$168*(1+Data_All!BH64%),BH224*(1+Data_All!BH64%)),"")</f>
        <v/>
      </c>
      <c r="BI225" s="427" t="str">
        <f>IF(AND($A225&gt;=SYear_O,$A225&lt;=EYear_O,BI$3&gt;0),IF($A225=SYear_O,BI$168*(1+Data_All!BI64%),BI224*(1+Data_All!BI64%)),"")</f>
        <v/>
      </c>
      <c r="BJ225" s="427" t="str">
        <f>IF(AND($A225&gt;=SYear_O,$A225&lt;=EYear_O,BJ$3&gt;0),IF($A225=SYear_O,BJ$168*(1+Data_All!BJ64%),BJ224*(1+Data_All!BJ64%)),"")</f>
        <v/>
      </c>
      <c r="BK225" s="427" t="str">
        <f>IF(AND($A225&gt;=SYear_O,$A225&lt;=EYear_O,BK$3&gt;0),IF($A225=SYear_O,BK$168*(1+Data_All!BK64%),BK224*(1+Data_All!BK64%)),"")</f>
        <v/>
      </c>
      <c r="BL225" s="427" t="str">
        <f>IF(AND($A225&gt;=SYear_O,$A225&lt;=EYear_O,BL$3&gt;0),IF($A225=SYear_O,BL$168*(1+Data_All!BL64%),BL224*(1+Data_All!BL64%)),"")</f>
        <v/>
      </c>
      <c r="BM225" s="427" t="str">
        <f>IF(AND($A225&gt;=SYear_O,$A225&lt;=EYear_O,BM$3&gt;0),IF($A225=SYear_O,BM$168*(1+Data_All!BM64%),BM224*(1+Data_All!BM64%)),"")</f>
        <v/>
      </c>
      <c r="BN225" s="427" t="str">
        <f>IF(AND($A225&gt;=SYear_O,$A225&lt;=EYear_O,BN$3&gt;0),IF($A225=SYear_O,BN$168*(1+Data_All!BN64%),BN224*(1+Data_All!BN64%)),"")</f>
        <v/>
      </c>
      <c r="BO225" s="427" t="str">
        <f>IF(AND($A225&gt;=SYear_O,$A225&lt;=EYear_O,BO$3&gt;0),IF($A225=SYear_O,BO$168*(1+Data_All!BO64%),BO224*(1+Data_All!BO64%)),"")</f>
        <v/>
      </c>
      <c r="BP225" s="427" t="str">
        <f>IF(AND($A225&gt;=SYear_O,$A225&lt;=EYear_O,BP$3&gt;0),IF($A225=SYear_O,BP$168*(1+Data_All!BP64%),BP224*(1+Data_All!BP64%)),"")</f>
        <v/>
      </c>
      <c r="BQ225" s="427" t="str">
        <f>IF(AND($A225&gt;=SYear_O,$A225&lt;=EYear_O,BQ$3&gt;0),IF($A225=SYear_O,BQ$168*(1+Data_All!BQ64%),BQ224*(1+Data_All!BQ64%)),"")</f>
        <v/>
      </c>
      <c r="BR225" s="427" t="str">
        <f>IF(AND($A225&gt;=SYear_O,$A225&lt;=EYear_O,BR$3&gt;0),IF($A225=SYear_O,BR$168*(1+Data_All!BR64%),BR224*(1+Data_All!BR64%)),"")</f>
        <v/>
      </c>
      <c r="BS225" s="427" t="str">
        <f>IF(AND($A225&gt;=SYear_O,$A225&lt;=EYear_O,BS$3&gt;0),IF($A225=SYear_O,BS$168*(1+Data_All!BS64%),BS224*(1+Data_All!BS64%)),"")</f>
        <v/>
      </c>
      <c r="BT225" s="427" t="str">
        <f>IF(AND($A225&gt;=SYear_O,$A225&lt;=EYear_O,BT$3&gt;0),IF($A225=SYear_O,BT$168*(1+Data_All!BT64%),BT224*(1+Data_All!BT64%)),"")</f>
        <v/>
      </c>
      <c r="BU225" s="427" t="str">
        <f>IF(AND($A225&gt;=SYear_O,$A225&lt;=EYear_O,BU$3&gt;0),IF($A225=SYear_O,BU$168*(1+Data_All!BU64%),BU224*(1+Data_All!BU64%)),"")</f>
        <v/>
      </c>
      <c r="BV225" s="427" t="str">
        <f>IF(AND($A225&gt;=SYear_O,$A225&lt;=EYear_O,BV$3&gt;0),IF($A225=SYear_O,BV$168*(1+Data_All!BV64%),BV224*(1+Data_All!BV64%)),"")</f>
        <v/>
      </c>
      <c r="BW225" s="427" t="str">
        <f>IF(AND($A225&gt;=SYear_O,$A225&lt;=EYear_O,BW$3&gt;0),IF($A225=SYear_O,BW$168*(1+Data_All!BW64%),BW224*(1+Data_All!BW64%)),"")</f>
        <v/>
      </c>
      <c r="BX225" s="427">
        <f>IF(AND($A225&gt;=SYear_O,$A225&lt;=EYear_O,BX$3&gt;0),IF($A225=SYear_O,BX$168*(1+Data_All!BX64%),BX224*(1+Data_All!BX64%)),"")</f>
        <v>427519.48875131074</v>
      </c>
      <c r="BY225" s="427">
        <f>IF(AND($A225&gt;=SYear_O,$A225&lt;=EYear_O,BY$3&gt;0),IF($A225=SYear_O,BY$168*(1+Data_All!BY64%),BY224*(1+Data_All!BY64%)),"")</f>
        <v>37514.121473430023</v>
      </c>
      <c r="BZ225" s="427" t="str">
        <f>IF(AND($A225&gt;=SYear_O,$A225&lt;=EYear_O,BZ$3&gt;0),IF($A225=SYear_O,BZ$168*(1+Data_All!BZ64%),BZ224*(1+Data_All!BZ64%)),"")</f>
        <v/>
      </c>
      <c r="CA225" s="565">
        <f t="shared" si="108"/>
        <v>33.014217475626459</v>
      </c>
      <c r="CB225" s="427">
        <f t="shared" si="109"/>
        <v>465033.61022474075</v>
      </c>
      <c r="CC225" s="565">
        <f>IF(AND($A225&gt;=SYear_O,$A225&lt;=EYear_O),(CA225-Data_All!CA64)/(1+Data_All!CA64%),"")</f>
        <v>34.551954093841779</v>
      </c>
      <c r="CD225" s="436">
        <f t="shared" si="110"/>
        <v>335040.88351973362</v>
      </c>
      <c r="CE225" s="438">
        <f t="shared" si="111"/>
        <v>42.17819444830134</v>
      </c>
      <c r="CF225" s="438">
        <f>IF(AND($A225&gt;=SYear_O,$A225&lt;=EYear_O),MAX($CE$169:CE225),"")</f>
        <v>42.17819444830134</v>
      </c>
      <c r="CG225" s="209">
        <f t="shared" si="112"/>
        <v>0</v>
      </c>
      <c r="CN225" s="61">
        <f t="shared" si="113"/>
        <v>0.33014217475626473</v>
      </c>
      <c r="CO225" s="61">
        <f t="shared" si="114"/>
        <v>0.20548095601452876</v>
      </c>
      <c r="CP225" s="61">
        <f t="shared" si="115"/>
        <v>-3.1225312706236519E-2</v>
      </c>
      <c r="CQ225" s="61">
        <f t="shared" si="116"/>
        <v>7.7141967439453341E-2</v>
      </c>
      <c r="CR225" s="61">
        <f t="shared" si="117"/>
        <v>2.7705918285614084E-2</v>
      </c>
      <c r="CU225" s="61">
        <f t="shared" si="118"/>
        <v>0.34551954093841775</v>
      </c>
      <c r="CV225" s="61">
        <f t="shared" si="119"/>
        <v>0.21480806534656471</v>
      </c>
      <c r="CW225" s="61">
        <f t="shared" si="120"/>
        <v>8.702703998342054E-3</v>
      </c>
      <c r="CX225" s="61">
        <f t="shared" si="121"/>
        <v>0.10066419952985961</v>
      </c>
      <c r="CY225" s="61">
        <f t="shared" si="122"/>
        <v>3.5169380141522266E-2</v>
      </c>
    </row>
    <row r="226" spans="1:103">
      <c r="A226" s="204">
        <f t="shared" si="107"/>
        <v>1928</v>
      </c>
      <c r="B226" s="427" t="str">
        <f>IF(AND($A226&gt;=SYear_O,$A226&lt;=EYear_O,B$3&gt;0),IF($A226=SYear_O,B$168*(1+Data_All!B65%),B225*(1+Data_All!B65%)),"")</f>
        <v/>
      </c>
      <c r="C226" s="427" t="str">
        <f>IF(AND($A226&gt;=SYear_O,$A226&lt;=EYear_O,C$3&gt;0),IF($A226=SYear_O,C$168*(1+Data_All!C65%),C225*(1+Data_All!C65%)),"")</f>
        <v/>
      </c>
      <c r="D226" s="427" t="str">
        <f>IF(AND($A226&gt;=SYear_O,$A226&lt;=EYear_O,D$3&gt;0),IF($A226=SYear_O,D$168*(1+Data_All!D65%),D225*(1+Data_All!D65%)),"")</f>
        <v/>
      </c>
      <c r="E226" s="427" t="str">
        <f>IF(AND($A226&gt;=SYear_O,$A226&lt;=EYear_O,E$3&gt;0),IF($A226=SYear_O,E$168*(1+Data_All!E65%),E225*(1+Data_All!E65%)),"")</f>
        <v/>
      </c>
      <c r="F226" s="427" t="str">
        <f>IF(AND($A226&gt;=SYear_O,$A226&lt;=EYear_O,F$3&gt;0),IF($A226=SYear_O,F$168*(1+Data_All!F65%),F225*(1+Data_All!F65%)),"")</f>
        <v/>
      </c>
      <c r="G226" s="427" t="str">
        <f>IF(AND($A226&gt;=SYear_O,$A226&lt;=EYear_O,G$3&gt;0),IF($A226=SYear_O,G$168*(1+Data_All!G65%),G225*(1+Data_All!G65%)),"")</f>
        <v/>
      </c>
      <c r="H226" s="427" t="str">
        <f>IF(AND($A226&gt;=SYear_O,$A226&lt;=EYear_O,H$3&gt;0),IF($A226=SYear_O,H$168*(1+Data_All!H65%),H225*(1+Data_All!H65%)),"")</f>
        <v/>
      </c>
      <c r="I226" s="427" t="str">
        <f>IF(AND($A226&gt;=SYear_O,$A226&lt;=EYear_O,I$3&gt;0),IF($A226=SYear_O,I$168*(1+Data_All!I65%),I225*(1+Data_All!I65%)),"")</f>
        <v/>
      </c>
      <c r="J226" s="427" t="str">
        <f>IF(AND($A226&gt;=SYear_O,$A226&lt;=EYear_O,J$3&gt;0),IF($A226=SYear_O,J$168*(1+Data_All!J65%),J225*(1+Data_All!J65%)),"")</f>
        <v/>
      </c>
      <c r="K226" s="427" t="str">
        <f>IF(AND($A226&gt;=SYear_O,$A226&lt;=EYear_O,K$3&gt;0),IF($A226=SYear_O,K$168*(1+Data_All!K65%),K225*(1+Data_All!K65%)),"")</f>
        <v/>
      </c>
      <c r="L226" s="427" t="str">
        <f>IF(AND($A226&gt;=SYear_O,$A226&lt;=EYear_O,L$3&gt;0),IF($A226=SYear_O,L$168*(1+Data_All!L65%),L225*(1+Data_All!L65%)),"")</f>
        <v/>
      </c>
      <c r="M226" s="427" t="str">
        <f>IF(AND($A226&gt;=SYear_O,$A226&lt;=EYear_O,M$3&gt;0),IF($A226=SYear_O,M$168*(1+Data_All!M65%),M225*(1+Data_All!M65%)),"")</f>
        <v/>
      </c>
      <c r="N226" s="427" t="str">
        <f>IF(AND($A226&gt;=SYear_O,$A226&lt;=EYear_O,N$3&gt;0),IF($A226=SYear_O,N$168*(1+Data_All!N65%),N225*(1+Data_All!N65%)),"")</f>
        <v/>
      </c>
      <c r="O226" s="427" t="str">
        <f>IF(AND($A226&gt;=SYear_O,$A226&lt;=EYear_O,O$3&gt;0),IF($A226=SYear_O,O$168*(1+Data_All!O65%),O225*(1+Data_All!O65%)),"")</f>
        <v/>
      </c>
      <c r="P226" s="427" t="str">
        <f>IF(AND($A226&gt;=SYear_O,$A226&lt;=EYear_O,P$3&gt;0),IF($A226=SYear_O,P$168*(1+Data_All!P65%),P225*(1+Data_All!P65%)),"")</f>
        <v/>
      </c>
      <c r="Q226" s="427" t="str">
        <f>IF(AND($A226&gt;=SYear_O,$A226&lt;=EYear_O,Q$3&gt;0),IF($A226=SYear_O,Q$168*(1+Data_All!Q65%),Q225*(1+Data_All!Q65%)),"")</f>
        <v/>
      </c>
      <c r="R226" s="427" t="str">
        <f>IF(AND($A226&gt;=SYear_O,$A226&lt;=EYear_O,R$3&gt;0),IF($A226=SYear_O,R$168*(1+Data_All!R65%),R225*(1+Data_All!R65%)),"")</f>
        <v/>
      </c>
      <c r="S226" s="427" t="str">
        <f>IF(AND($A226&gt;=SYear_O,$A226&lt;=EYear_O,S$3&gt;0),IF($A226=SYear_O,S$168*(1+Data_All!S65%),S225*(1+Data_All!S65%)),"")</f>
        <v/>
      </c>
      <c r="T226" s="427" t="str">
        <f>IF(AND($A226&gt;=SYear_O,$A226&lt;=EYear_O,T$3&gt;0),IF($A226=SYear_O,T$168*(1+Data_All!T65%),T225*(1+Data_All!T65%)),"")</f>
        <v/>
      </c>
      <c r="U226" s="427" t="str">
        <f>IF(AND($A226&gt;=SYear_O,$A226&lt;=EYear_O,U$3&gt;0),IF($A226=SYear_O,U$168*(1+Data_All!U65%),U225*(1+Data_All!U65%)),"")</f>
        <v/>
      </c>
      <c r="V226" s="427" t="str">
        <f>IF(AND($A226&gt;=SYear_O,$A226&lt;=EYear_O,V$3&gt;0),IF($A226=SYear_O,V$168*(1+Data_All!V65%),V225*(1+Data_All!V65%)),"")</f>
        <v/>
      </c>
      <c r="W226" s="427" t="str">
        <f>IF(AND($A226&gt;=SYear_O,$A226&lt;=EYear_O,W$3&gt;0),IF($A226=SYear_O,W$168*(1+Data_All!W65%),W225*(1+Data_All!W65%)),"")</f>
        <v/>
      </c>
      <c r="X226" s="427" t="str">
        <f>IF(AND($A226&gt;=SYear_O,$A226&lt;=EYear_O,X$3&gt;0),IF($A226=SYear_O,X$168*(1+Data_All!X65%),X225*(1+Data_All!X65%)),"")</f>
        <v/>
      </c>
      <c r="Y226" s="427" t="str">
        <f>IF(AND($A226&gt;=SYear_O,$A226&lt;=EYear_O,Y$3&gt;0),IF($A226=SYear_O,Y$168*(1+Data_All!Y65%),Y225*(1+Data_All!Y65%)),"")</f>
        <v/>
      </c>
      <c r="Z226" s="427" t="str">
        <f>IF(AND($A226&gt;=SYear_O,$A226&lt;=EYear_O,Z$3&gt;0),IF($A226=SYear_O,Z$168*(1+Data_All!Z65%),Z225*(1+Data_All!Z65%)),"")</f>
        <v/>
      </c>
      <c r="AA226" s="427" t="str">
        <f>IF(AND($A226&gt;=SYear_O,$A226&lt;=EYear_O,AA$3&gt;0),IF($A226=SYear_O,AA$168*(1+Data_All!AA65%),AA225*(1+Data_All!AA65%)),"")</f>
        <v/>
      </c>
      <c r="AB226" s="427" t="str">
        <f>IF(AND($A226&gt;=SYear_O,$A226&lt;=EYear_O,AB$3&gt;0),IF($A226=SYear_O,AB$168*(1+Data_All!AB65%),AB225*(1+Data_All!AB65%)),"")</f>
        <v/>
      </c>
      <c r="AC226" s="427" t="str">
        <f>IF(AND($A226&gt;=SYear_O,$A226&lt;=EYear_O,AC$3&gt;0),IF($A226=SYear_O,AC$168*(1+Data_All!AC65%),AC225*(1+Data_All!AC65%)),"")</f>
        <v/>
      </c>
      <c r="AD226" s="427" t="str">
        <f>IF(AND($A226&gt;=SYear_O,$A226&lt;=EYear_O,AD$3&gt;0),IF($A226=SYear_O,AD$168*(1+Data_All!AD65%),AD225*(1+Data_All!AD65%)),"")</f>
        <v/>
      </c>
      <c r="AE226" s="427" t="str">
        <f>IF(AND($A226&gt;=SYear_O,$A226&lt;=EYear_O,AE$3&gt;0),IF($A226=SYear_O,AE$168*(1+Data_All!AE65%),AE225*(1+Data_All!AE65%)),"")</f>
        <v/>
      </c>
      <c r="AF226" s="427" t="str">
        <f>IF(AND($A226&gt;=SYear_O,$A226&lt;=EYear_O,AF$3&gt;0),IF($A226=SYear_O,AF$168*(1+Data_All!AF65%),AF225*(1+Data_All!AF65%)),"")</f>
        <v/>
      </c>
      <c r="AG226" s="427" t="str">
        <f>IF(AND($A226&gt;=SYear_O,$A226&lt;=EYear_O,AG$3&gt;0),IF($A226=SYear_O,AG$168*(1+Data_All!AG65%),AG225*(1+Data_All!AG65%)),"")</f>
        <v/>
      </c>
      <c r="AH226" s="427" t="str">
        <f>IF(AND($A226&gt;=SYear_O,$A226&lt;=EYear_O,AH$3&gt;0),IF($A226=SYear_O,AH$168*(1+Data_All!AH65%),AH225*(1+Data_All!AH65%)),"")</f>
        <v/>
      </c>
      <c r="AI226" s="427" t="str">
        <f>IF(AND($A226&gt;=SYear_O,$A226&lt;=EYear_O,AI$3&gt;0),IF($A226=SYear_O,AI$168*(1+Data_All!AI65%),AI225*(1+Data_All!AI65%)),"")</f>
        <v/>
      </c>
      <c r="AJ226" s="427" t="str">
        <f>IF(AND($A226&gt;=SYear_O,$A226&lt;=EYear_O,AJ$3&gt;0),IF($A226=SYear_O,AJ$168*(1+Data_All!AJ65%),AJ225*(1+Data_All!AJ65%)),"")</f>
        <v/>
      </c>
      <c r="AK226" s="427" t="str">
        <f>IF(AND($A226&gt;=SYear_O,$A226&lt;=EYear_O,AK$3&gt;0),IF($A226=SYear_O,AK$168*(1+Data_All!AK65%),AK225*(1+Data_All!AK65%)),"")</f>
        <v/>
      </c>
      <c r="AL226" s="427" t="str">
        <f>IF(AND($A226&gt;=SYear_O,$A226&lt;=EYear_O,AL$3&gt;0),IF($A226=SYear_O,AL$168*(1+Data_All!AL65%),AL225*(1+Data_All!AL65%)),"")</f>
        <v/>
      </c>
      <c r="AM226" s="427" t="str">
        <f>IF(AND($A226&gt;=SYear_O,$A226&lt;=EYear_O,AM$3&gt;0),IF($A226=SYear_O,AM$168*(1+Data_All!AM65%),AM225*(1+Data_All!AM65%)),"")</f>
        <v/>
      </c>
      <c r="AN226" s="427" t="str">
        <f>IF(AND($A226&gt;=SYear_O,$A226&lt;=EYear_O,AN$3&gt;0),IF($A226=SYear_O,AN$168*(1+Data_All!AN65%),AN225*(1+Data_All!AN65%)),"")</f>
        <v/>
      </c>
      <c r="AO226" s="427" t="str">
        <f>IF(AND($A226&gt;=SYear_O,$A226&lt;=EYear_O,AO$3&gt;0),IF($A226=SYear_O,AO$168*(1+Data_All!AO65%),AO225*(1+Data_All!AO65%)),"")</f>
        <v/>
      </c>
      <c r="AP226" s="427" t="str">
        <f>IF(AND($A226&gt;=SYear_O,$A226&lt;=EYear_O,AP$3&gt;0),IF($A226=SYear_O,AP$168*(1+Data_All!AP65%),AP225*(1+Data_All!AP65%)),"")</f>
        <v/>
      </c>
      <c r="AQ226" s="427" t="str">
        <f>IF(AND($A226&gt;=SYear_O,$A226&lt;=EYear_O,AQ$3&gt;0),IF($A226=SYear_O,AQ$168*(1+Data_All!AQ65%),AQ225*(1+Data_All!AQ65%)),"")</f>
        <v/>
      </c>
      <c r="AR226" s="427" t="str">
        <f>IF(AND($A226&gt;=SYear_O,$A226&lt;=EYear_O,AR$3&gt;0),IF($A226=SYear_O,AR$168*(1+Data_All!AR65%),AR225*(1+Data_All!AR65%)),"")</f>
        <v/>
      </c>
      <c r="AS226" s="427" t="str">
        <f>IF(AND($A226&gt;=SYear_O,$A226&lt;=EYear_O,AS$3&gt;0),IF($A226=SYear_O,AS$168*(1+Data_All!AS65%),AS225*(1+Data_All!AS65%)),"")</f>
        <v/>
      </c>
      <c r="AT226" s="427" t="str">
        <f>IF(AND($A226&gt;=SYear_O,$A226&lt;=EYear_O,AT$3&gt;0),IF($A226=SYear_O,AT$168*(1+Data_All!AT65%),AT225*(1+Data_All!AT65%)),"")</f>
        <v/>
      </c>
      <c r="AU226" s="427" t="str">
        <f>IF(AND($A226&gt;=SYear_O,$A226&lt;=EYear_O,AU$3&gt;0),IF($A226=SYear_O,AU$168*(1+Data_All!AU65%),AU225*(1+Data_All!AU65%)),"")</f>
        <v/>
      </c>
      <c r="AV226" s="427" t="str">
        <f>IF(AND($A226&gt;=SYear_O,$A226&lt;=EYear_O,AV$3&gt;0),IF($A226=SYear_O,AV$168*(1+Data_All!AV65%),AV225*(1+Data_All!AV65%)),"")</f>
        <v/>
      </c>
      <c r="AW226" s="427" t="str">
        <f>IF(AND($A226&gt;=SYear_O,$A226&lt;=EYear_O,AW$3&gt;0),IF($A226=SYear_O,AW$168*(1+Data_All!AW65%),AW225*(1+Data_All!AW65%)),"")</f>
        <v/>
      </c>
      <c r="AX226" s="427" t="str">
        <f>IF(AND($A226&gt;=SYear_O,$A226&lt;=EYear_O,AX$3&gt;0),IF($A226=SYear_O,AX$168*(1+Data_All!AX65%),AX225*(1+Data_All!AX65%)),"")</f>
        <v/>
      </c>
      <c r="AY226" s="427" t="str">
        <f>IF(AND($A226&gt;=SYear_O,$A226&lt;=EYear_O,AY$3&gt;0),IF($A226=SYear_O,AY$168*(1+Data_All!AY65%),AY225*(1+Data_All!AY65%)),"")</f>
        <v/>
      </c>
      <c r="AZ226" s="427" t="str">
        <f>IF(AND($A226&gt;=SYear_O,$A226&lt;=EYear_O,AZ$3&gt;0),IF($A226=SYear_O,AZ$168*(1+Data_All!AZ65%),AZ225*(1+Data_All!AZ65%)),"")</f>
        <v/>
      </c>
      <c r="BA226" s="427" t="str">
        <f>IF(AND($A226&gt;=SYear_O,$A226&lt;=EYear_O,BA$3&gt;0),IF($A226=SYear_O,BA$168*(1+Data_All!BA65%),BA225*(1+Data_All!BA65%)),"")</f>
        <v/>
      </c>
      <c r="BB226" s="427" t="str">
        <f>IF(AND($A226&gt;=SYear_O,$A226&lt;=EYear_O,BB$3&gt;0),IF($A226=SYear_O,BB$168*(1+Data_All!BB65%),BB225*(1+Data_All!BB65%)),"")</f>
        <v/>
      </c>
      <c r="BC226" s="427" t="str">
        <f>IF(AND($A226&gt;=SYear_O,$A226&lt;=EYear_O,BC$3&gt;0),IF($A226=SYear_O,BC$168*(1+Data_All!BC65%),BC225*(1+Data_All!BC65%)),"")</f>
        <v/>
      </c>
      <c r="BD226" s="427" t="str">
        <f>IF(AND($A226&gt;=SYear_O,$A226&lt;=EYear_O,BD$3&gt;0),IF($A226=SYear_O,BD$168*(1+Data_All!BD65%),BD225*(1+Data_All!BD65%)),"")</f>
        <v/>
      </c>
      <c r="BE226" s="427" t="str">
        <f>IF(AND($A226&gt;=SYear_O,$A226&lt;=EYear_O,BE$3&gt;0),IF($A226=SYear_O,BE$168*(1+Data_All!BE65%),BE225*(1+Data_All!BE65%)),"")</f>
        <v/>
      </c>
      <c r="BF226" s="427" t="str">
        <f>IF(AND($A226&gt;=SYear_O,$A226&lt;=EYear_O,BF$3&gt;0),IF($A226=SYear_O,BF$168*(1+Data_All!BF65%),BF225*(1+Data_All!BF65%)),"")</f>
        <v/>
      </c>
      <c r="BG226" s="427" t="str">
        <f>IF(AND($A226&gt;=SYear_O,$A226&lt;=EYear_O,BG$3&gt;0),IF($A226=SYear_O,BG$168*(1+Data_All!BG65%),BG225*(1+Data_All!BG65%)),"")</f>
        <v/>
      </c>
      <c r="BH226" s="427" t="str">
        <f>IF(AND($A226&gt;=SYear_O,$A226&lt;=EYear_O,BH$3&gt;0),IF($A226=SYear_O,BH$168*(1+Data_All!BH65%),BH225*(1+Data_All!BH65%)),"")</f>
        <v/>
      </c>
      <c r="BI226" s="427" t="str">
        <f>IF(AND($A226&gt;=SYear_O,$A226&lt;=EYear_O,BI$3&gt;0),IF($A226=SYear_O,BI$168*(1+Data_All!BI65%),BI225*(1+Data_All!BI65%)),"")</f>
        <v/>
      </c>
      <c r="BJ226" s="427" t="str">
        <f>IF(AND($A226&gt;=SYear_O,$A226&lt;=EYear_O,BJ$3&gt;0),IF($A226=SYear_O,BJ$168*(1+Data_All!BJ65%),BJ225*(1+Data_All!BJ65%)),"")</f>
        <v/>
      </c>
      <c r="BK226" s="427" t="str">
        <f>IF(AND($A226&gt;=SYear_O,$A226&lt;=EYear_O,BK$3&gt;0),IF($A226=SYear_O,BK$168*(1+Data_All!BK65%),BK225*(1+Data_All!BK65%)),"")</f>
        <v/>
      </c>
      <c r="BL226" s="427" t="str">
        <f>IF(AND($A226&gt;=SYear_O,$A226&lt;=EYear_O,BL$3&gt;0),IF($A226=SYear_O,BL$168*(1+Data_All!BL65%),BL225*(1+Data_All!BL65%)),"")</f>
        <v/>
      </c>
      <c r="BM226" s="427" t="str">
        <f>IF(AND($A226&gt;=SYear_O,$A226&lt;=EYear_O,BM$3&gt;0),IF($A226=SYear_O,BM$168*(1+Data_All!BM65%),BM225*(1+Data_All!BM65%)),"")</f>
        <v/>
      </c>
      <c r="BN226" s="427" t="str">
        <f>IF(AND($A226&gt;=SYear_O,$A226&lt;=EYear_O,BN$3&gt;0),IF($A226=SYear_O,BN$168*(1+Data_All!BN65%),BN225*(1+Data_All!BN65%)),"")</f>
        <v/>
      </c>
      <c r="BO226" s="427" t="str">
        <f>IF(AND($A226&gt;=SYear_O,$A226&lt;=EYear_O,BO$3&gt;0),IF($A226=SYear_O,BO$168*(1+Data_All!BO65%),BO225*(1+Data_All!BO65%)),"")</f>
        <v/>
      </c>
      <c r="BP226" s="427" t="str">
        <f>IF(AND($A226&gt;=SYear_O,$A226&lt;=EYear_O,BP$3&gt;0),IF($A226=SYear_O,BP$168*(1+Data_All!BP65%),BP225*(1+Data_All!BP65%)),"")</f>
        <v/>
      </c>
      <c r="BQ226" s="427" t="str">
        <f>IF(AND($A226&gt;=SYear_O,$A226&lt;=EYear_O,BQ$3&gt;0),IF($A226=SYear_O,BQ$168*(1+Data_All!BQ65%),BQ225*(1+Data_All!BQ65%)),"")</f>
        <v/>
      </c>
      <c r="BR226" s="427" t="str">
        <f>IF(AND($A226&gt;=SYear_O,$A226&lt;=EYear_O,BR$3&gt;0),IF($A226=SYear_O,BR$168*(1+Data_All!BR65%),BR225*(1+Data_All!BR65%)),"")</f>
        <v/>
      </c>
      <c r="BS226" s="427" t="str">
        <f>IF(AND($A226&gt;=SYear_O,$A226&lt;=EYear_O,BS$3&gt;0),IF($A226=SYear_O,BS$168*(1+Data_All!BS65%),BS225*(1+Data_All!BS65%)),"")</f>
        <v/>
      </c>
      <c r="BT226" s="427" t="str">
        <f>IF(AND($A226&gt;=SYear_O,$A226&lt;=EYear_O,BT$3&gt;0),IF($A226=SYear_O,BT$168*(1+Data_All!BT65%),BT225*(1+Data_All!BT65%)),"")</f>
        <v/>
      </c>
      <c r="BU226" s="427" t="str">
        <f>IF(AND($A226&gt;=SYear_O,$A226&lt;=EYear_O,BU$3&gt;0),IF($A226=SYear_O,BU$168*(1+Data_All!BU65%),BU225*(1+Data_All!BU65%)),"")</f>
        <v/>
      </c>
      <c r="BV226" s="427" t="str">
        <f>IF(AND($A226&gt;=SYear_O,$A226&lt;=EYear_O,BV$3&gt;0),IF($A226=SYear_O,BV$168*(1+Data_All!BV65%),BV225*(1+Data_All!BV65%)),"")</f>
        <v/>
      </c>
      <c r="BW226" s="427" t="str">
        <f>IF(AND($A226&gt;=SYear_O,$A226&lt;=EYear_O,BW$3&gt;0),IF($A226=SYear_O,BW$168*(1+Data_All!BW65%),BW225*(1+Data_All!BW65%)),"")</f>
        <v/>
      </c>
      <c r="BX226" s="427">
        <f>IF(AND($A226&gt;=SYear_O,$A226&lt;=EYear_O,BX$3&gt;0),IF($A226=SYear_O,BX$168*(1+Data_All!BX65%),BX225*(1+Data_All!BX65%)),"")</f>
        <v>627012.32491706777</v>
      </c>
      <c r="BY226" s="427">
        <f>IF(AND($A226&gt;=SYear_O,$A226&lt;=EYear_O,BY$3&gt;0),IF($A226=SYear_O,BY$168*(1+Data_All!BY65%),BY225*(1+Data_All!BY65%)),"")</f>
        <v>37534.241785459271</v>
      </c>
      <c r="BZ226" s="427" t="str">
        <f>IF(AND($A226&gt;=SYear_O,$A226&lt;=EYear_O,BZ$3&gt;0),IF($A226=SYear_O,BZ$168*(1+Data_All!BZ65%),BZ225*(1+Data_All!BZ65%)),"")</f>
        <v/>
      </c>
      <c r="CA226" s="565">
        <f t="shared" si="108"/>
        <v>42.902911121061962</v>
      </c>
      <c r="CB226" s="427">
        <f t="shared" si="109"/>
        <v>664546.56670252699</v>
      </c>
      <c r="CC226" s="565">
        <f>IF(AND($A226&gt;=SYear_O,$A226&lt;=EYear_O),(CA226-Data_All!CA65)/(1+Data_All!CA65%),"")</f>
        <v>44.574290198501288</v>
      </c>
      <c r="CD226" s="436">
        <f t="shared" si="110"/>
        <v>484382.97922344238</v>
      </c>
      <c r="CE226" s="438">
        <f t="shared" si="111"/>
        <v>60.273867724924756</v>
      </c>
      <c r="CF226" s="438">
        <f>IF(AND($A226&gt;=SYear_O,$A226&lt;=EYear_O),MAX($CE$169:CE226),"")</f>
        <v>60.273867724924756</v>
      </c>
      <c r="CG226" s="209">
        <f t="shared" si="112"/>
        <v>0</v>
      </c>
      <c r="CN226" s="61">
        <f t="shared" si="113"/>
        <v>0.42902911121061971</v>
      </c>
      <c r="CO226" s="61">
        <f t="shared" si="114"/>
        <v>1.7462924361424825E-2</v>
      </c>
      <c r="CP226" s="61">
        <f t="shared" si="115"/>
        <v>-9.6399292948441184E-2</v>
      </c>
      <c r="CQ226" s="61">
        <f t="shared" si="116"/>
        <v>1.2169414811975532E-2</v>
      </c>
      <c r="CR226" s="61">
        <f t="shared" si="117"/>
        <v>1.9282209885400636E-2</v>
      </c>
      <c r="CU226" s="61">
        <f t="shared" si="118"/>
        <v>0.44574290198501298</v>
      </c>
      <c r="CV226" s="61">
        <f t="shared" si="119"/>
        <v>4.6489605744756135E-2</v>
      </c>
      <c r="CW226" s="61">
        <f t="shared" si="120"/>
        <v>-4.1774242610525092E-2</v>
      </c>
      <c r="CX226" s="61">
        <f t="shared" si="121"/>
        <v>3.2354810386484356E-2</v>
      </c>
      <c r="CY226" s="61">
        <f t="shared" si="122"/>
        <v>2.0873046437137166E-2</v>
      </c>
    </row>
    <row r="227" spans="1:103">
      <c r="A227" s="204">
        <f t="shared" si="107"/>
        <v>1929</v>
      </c>
      <c r="B227" s="427" t="str">
        <f>IF(AND($A227&gt;=SYear_O,$A227&lt;=EYear_O,B$3&gt;0),IF($A227=SYear_O,B$168*(1+Data_All!B66%),B226*(1+Data_All!B66%)),"")</f>
        <v/>
      </c>
      <c r="C227" s="427" t="str">
        <f>IF(AND($A227&gt;=SYear_O,$A227&lt;=EYear_O,C$3&gt;0),IF($A227=SYear_O,C$168*(1+Data_All!C66%),C226*(1+Data_All!C66%)),"")</f>
        <v/>
      </c>
      <c r="D227" s="427" t="str">
        <f>IF(AND($A227&gt;=SYear_O,$A227&lt;=EYear_O,D$3&gt;0),IF($A227=SYear_O,D$168*(1+Data_All!D66%),D226*(1+Data_All!D66%)),"")</f>
        <v/>
      </c>
      <c r="E227" s="427" t="str">
        <f>IF(AND($A227&gt;=SYear_O,$A227&lt;=EYear_O,E$3&gt;0),IF($A227=SYear_O,E$168*(1+Data_All!E66%),E226*(1+Data_All!E66%)),"")</f>
        <v/>
      </c>
      <c r="F227" s="427" t="str">
        <f>IF(AND($A227&gt;=SYear_O,$A227&lt;=EYear_O,F$3&gt;0),IF($A227=SYear_O,F$168*(1+Data_All!F66%),F226*(1+Data_All!F66%)),"")</f>
        <v/>
      </c>
      <c r="G227" s="427" t="str">
        <f>IF(AND($A227&gt;=SYear_O,$A227&lt;=EYear_O,G$3&gt;0),IF($A227=SYear_O,G$168*(1+Data_All!G66%),G226*(1+Data_All!G66%)),"")</f>
        <v/>
      </c>
      <c r="H227" s="427" t="str">
        <f>IF(AND($A227&gt;=SYear_O,$A227&lt;=EYear_O,H$3&gt;0),IF($A227=SYear_O,H$168*(1+Data_All!H66%),H226*(1+Data_All!H66%)),"")</f>
        <v/>
      </c>
      <c r="I227" s="427" t="str">
        <f>IF(AND($A227&gt;=SYear_O,$A227&lt;=EYear_O,I$3&gt;0),IF($A227=SYear_O,I$168*(1+Data_All!I66%),I226*(1+Data_All!I66%)),"")</f>
        <v/>
      </c>
      <c r="J227" s="427" t="str">
        <f>IF(AND($A227&gt;=SYear_O,$A227&lt;=EYear_O,J$3&gt;0),IF($A227=SYear_O,J$168*(1+Data_All!J66%),J226*(1+Data_All!J66%)),"")</f>
        <v/>
      </c>
      <c r="K227" s="427" t="str">
        <f>IF(AND($A227&gt;=SYear_O,$A227&lt;=EYear_O,K$3&gt;0),IF($A227=SYear_O,K$168*(1+Data_All!K66%),K226*(1+Data_All!K66%)),"")</f>
        <v/>
      </c>
      <c r="L227" s="427" t="str">
        <f>IF(AND($A227&gt;=SYear_O,$A227&lt;=EYear_O,L$3&gt;0),IF($A227=SYear_O,L$168*(1+Data_All!L66%),L226*(1+Data_All!L66%)),"")</f>
        <v/>
      </c>
      <c r="M227" s="427" t="str">
        <f>IF(AND($A227&gt;=SYear_O,$A227&lt;=EYear_O,M$3&gt;0),IF($A227=SYear_O,M$168*(1+Data_All!M66%),M226*(1+Data_All!M66%)),"")</f>
        <v/>
      </c>
      <c r="N227" s="427" t="str">
        <f>IF(AND($A227&gt;=SYear_O,$A227&lt;=EYear_O,N$3&gt;0),IF($A227=SYear_O,N$168*(1+Data_All!N66%),N226*(1+Data_All!N66%)),"")</f>
        <v/>
      </c>
      <c r="O227" s="427" t="str">
        <f>IF(AND($A227&gt;=SYear_O,$A227&lt;=EYear_O,O$3&gt;0),IF($A227=SYear_O,O$168*(1+Data_All!O66%),O226*(1+Data_All!O66%)),"")</f>
        <v/>
      </c>
      <c r="P227" s="427" t="str">
        <f>IF(AND($A227&gt;=SYear_O,$A227&lt;=EYear_O,P$3&gt;0),IF($A227=SYear_O,P$168*(1+Data_All!P66%),P226*(1+Data_All!P66%)),"")</f>
        <v/>
      </c>
      <c r="Q227" s="427" t="str">
        <f>IF(AND($A227&gt;=SYear_O,$A227&lt;=EYear_O,Q$3&gt;0),IF($A227=SYear_O,Q$168*(1+Data_All!Q66%),Q226*(1+Data_All!Q66%)),"")</f>
        <v/>
      </c>
      <c r="R227" s="427" t="str">
        <f>IF(AND($A227&gt;=SYear_O,$A227&lt;=EYear_O,R$3&gt;0),IF($A227=SYear_O,R$168*(1+Data_All!R66%),R226*(1+Data_All!R66%)),"")</f>
        <v/>
      </c>
      <c r="S227" s="427" t="str">
        <f>IF(AND($A227&gt;=SYear_O,$A227&lt;=EYear_O,S$3&gt;0),IF($A227=SYear_O,S$168*(1+Data_All!S66%),S226*(1+Data_All!S66%)),"")</f>
        <v/>
      </c>
      <c r="T227" s="427" t="str">
        <f>IF(AND($A227&gt;=SYear_O,$A227&lt;=EYear_O,T$3&gt;0),IF($A227=SYear_O,T$168*(1+Data_All!T66%),T226*(1+Data_All!T66%)),"")</f>
        <v/>
      </c>
      <c r="U227" s="427" t="str">
        <f>IF(AND($A227&gt;=SYear_O,$A227&lt;=EYear_O,U$3&gt;0),IF($A227=SYear_O,U$168*(1+Data_All!U66%),U226*(1+Data_All!U66%)),"")</f>
        <v/>
      </c>
      <c r="V227" s="427" t="str">
        <f>IF(AND($A227&gt;=SYear_O,$A227&lt;=EYear_O,V$3&gt;0),IF($A227=SYear_O,V$168*(1+Data_All!V66%),V226*(1+Data_All!V66%)),"")</f>
        <v/>
      </c>
      <c r="W227" s="427" t="str">
        <f>IF(AND($A227&gt;=SYear_O,$A227&lt;=EYear_O,W$3&gt;0),IF($A227=SYear_O,W$168*(1+Data_All!W66%),W226*(1+Data_All!W66%)),"")</f>
        <v/>
      </c>
      <c r="X227" s="427" t="str">
        <f>IF(AND($A227&gt;=SYear_O,$A227&lt;=EYear_O,X$3&gt;0),IF($A227=SYear_O,X$168*(1+Data_All!X66%),X226*(1+Data_All!X66%)),"")</f>
        <v/>
      </c>
      <c r="Y227" s="427" t="str">
        <f>IF(AND($A227&gt;=SYear_O,$A227&lt;=EYear_O,Y$3&gt;0),IF($A227=SYear_O,Y$168*(1+Data_All!Y66%),Y226*(1+Data_All!Y66%)),"")</f>
        <v/>
      </c>
      <c r="Z227" s="427" t="str">
        <f>IF(AND($A227&gt;=SYear_O,$A227&lt;=EYear_O,Z$3&gt;0),IF($A227=SYear_O,Z$168*(1+Data_All!Z66%),Z226*(1+Data_All!Z66%)),"")</f>
        <v/>
      </c>
      <c r="AA227" s="427" t="str">
        <f>IF(AND($A227&gt;=SYear_O,$A227&lt;=EYear_O,AA$3&gt;0),IF($A227=SYear_O,AA$168*(1+Data_All!AA66%),AA226*(1+Data_All!AA66%)),"")</f>
        <v/>
      </c>
      <c r="AB227" s="427" t="str">
        <f>IF(AND($A227&gt;=SYear_O,$A227&lt;=EYear_O,AB$3&gt;0),IF($A227=SYear_O,AB$168*(1+Data_All!AB66%),AB226*(1+Data_All!AB66%)),"")</f>
        <v/>
      </c>
      <c r="AC227" s="427" t="str">
        <f>IF(AND($A227&gt;=SYear_O,$A227&lt;=EYear_O,AC$3&gt;0),IF($A227=SYear_O,AC$168*(1+Data_All!AC66%),AC226*(1+Data_All!AC66%)),"")</f>
        <v/>
      </c>
      <c r="AD227" s="427" t="str">
        <f>IF(AND($A227&gt;=SYear_O,$A227&lt;=EYear_O,AD$3&gt;0),IF($A227=SYear_O,AD$168*(1+Data_All!AD66%),AD226*(1+Data_All!AD66%)),"")</f>
        <v/>
      </c>
      <c r="AE227" s="427" t="str">
        <f>IF(AND($A227&gt;=SYear_O,$A227&lt;=EYear_O,AE$3&gt;0),IF($A227=SYear_O,AE$168*(1+Data_All!AE66%),AE226*(1+Data_All!AE66%)),"")</f>
        <v/>
      </c>
      <c r="AF227" s="427" t="str">
        <f>IF(AND($A227&gt;=SYear_O,$A227&lt;=EYear_O,AF$3&gt;0),IF($A227=SYear_O,AF$168*(1+Data_All!AF66%),AF226*(1+Data_All!AF66%)),"")</f>
        <v/>
      </c>
      <c r="AG227" s="427" t="str">
        <f>IF(AND($A227&gt;=SYear_O,$A227&lt;=EYear_O,AG$3&gt;0),IF($A227=SYear_O,AG$168*(1+Data_All!AG66%),AG226*(1+Data_All!AG66%)),"")</f>
        <v/>
      </c>
      <c r="AH227" s="427" t="str">
        <f>IF(AND($A227&gt;=SYear_O,$A227&lt;=EYear_O,AH$3&gt;0),IF($A227=SYear_O,AH$168*(1+Data_All!AH66%),AH226*(1+Data_All!AH66%)),"")</f>
        <v/>
      </c>
      <c r="AI227" s="427" t="str">
        <f>IF(AND($A227&gt;=SYear_O,$A227&lt;=EYear_O,AI$3&gt;0),IF($A227=SYear_O,AI$168*(1+Data_All!AI66%),AI226*(1+Data_All!AI66%)),"")</f>
        <v/>
      </c>
      <c r="AJ227" s="427" t="str">
        <f>IF(AND($A227&gt;=SYear_O,$A227&lt;=EYear_O,AJ$3&gt;0),IF($A227=SYear_O,AJ$168*(1+Data_All!AJ66%),AJ226*(1+Data_All!AJ66%)),"")</f>
        <v/>
      </c>
      <c r="AK227" s="427" t="str">
        <f>IF(AND($A227&gt;=SYear_O,$A227&lt;=EYear_O,AK$3&gt;0),IF($A227=SYear_O,AK$168*(1+Data_All!AK66%),AK226*(1+Data_All!AK66%)),"")</f>
        <v/>
      </c>
      <c r="AL227" s="427" t="str">
        <f>IF(AND($A227&gt;=SYear_O,$A227&lt;=EYear_O,AL$3&gt;0),IF($A227=SYear_O,AL$168*(1+Data_All!AL66%),AL226*(1+Data_All!AL66%)),"")</f>
        <v/>
      </c>
      <c r="AM227" s="427" t="str">
        <f>IF(AND($A227&gt;=SYear_O,$A227&lt;=EYear_O,AM$3&gt;0),IF($A227=SYear_O,AM$168*(1+Data_All!AM66%),AM226*(1+Data_All!AM66%)),"")</f>
        <v/>
      </c>
      <c r="AN227" s="427" t="str">
        <f>IF(AND($A227&gt;=SYear_O,$A227&lt;=EYear_O,AN$3&gt;0),IF($A227=SYear_O,AN$168*(1+Data_All!AN66%),AN226*(1+Data_All!AN66%)),"")</f>
        <v/>
      </c>
      <c r="AO227" s="427" t="str">
        <f>IF(AND($A227&gt;=SYear_O,$A227&lt;=EYear_O,AO$3&gt;0),IF($A227=SYear_O,AO$168*(1+Data_All!AO66%),AO226*(1+Data_All!AO66%)),"")</f>
        <v/>
      </c>
      <c r="AP227" s="427" t="str">
        <f>IF(AND($A227&gt;=SYear_O,$A227&lt;=EYear_O,AP$3&gt;0),IF($A227=SYear_O,AP$168*(1+Data_All!AP66%),AP226*(1+Data_All!AP66%)),"")</f>
        <v/>
      </c>
      <c r="AQ227" s="427" t="str">
        <f>IF(AND($A227&gt;=SYear_O,$A227&lt;=EYear_O,AQ$3&gt;0),IF($A227=SYear_O,AQ$168*(1+Data_All!AQ66%),AQ226*(1+Data_All!AQ66%)),"")</f>
        <v/>
      </c>
      <c r="AR227" s="427" t="str">
        <f>IF(AND($A227&gt;=SYear_O,$A227&lt;=EYear_O,AR$3&gt;0),IF($A227=SYear_O,AR$168*(1+Data_All!AR66%),AR226*(1+Data_All!AR66%)),"")</f>
        <v/>
      </c>
      <c r="AS227" s="427" t="str">
        <f>IF(AND($A227&gt;=SYear_O,$A227&lt;=EYear_O,AS$3&gt;0),IF($A227=SYear_O,AS$168*(1+Data_All!AS66%),AS226*(1+Data_All!AS66%)),"")</f>
        <v/>
      </c>
      <c r="AT227" s="427" t="str">
        <f>IF(AND($A227&gt;=SYear_O,$A227&lt;=EYear_O,AT$3&gt;0),IF($A227=SYear_O,AT$168*(1+Data_All!AT66%),AT226*(1+Data_All!AT66%)),"")</f>
        <v/>
      </c>
      <c r="AU227" s="427" t="str">
        <f>IF(AND($A227&gt;=SYear_O,$A227&lt;=EYear_O,AU$3&gt;0),IF($A227=SYear_O,AU$168*(1+Data_All!AU66%),AU226*(1+Data_All!AU66%)),"")</f>
        <v/>
      </c>
      <c r="AV227" s="427" t="str">
        <f>IF(AND($A227&gt;=SYear_O,$A227&lt;=EYear_O,AV$3&gt;0),IF($A227=SYear_O,AV$168*(1+Data_All!AV66%),AV226*(1+Data_All!AV66%)),"")</f>
        <v/>
      </c>
      <c r="AW227" s="427" t="str">
        <f>IF(AND($A227&gt;=SYear_O,$A227&lt;=EYear_O,AW$3&gt;0),IF($A227=SYear_O,AW$168*(1+Data_All!AW66%),AW226*(1+Data_All!AW66%)),"")</f>
        <v/>
      </c>
      <c r="AX227" s="427" t="str">
        <f>IF(AND($A227&gt;=SYear_O,$A227&lt;=EYear_O,AX$3&gt;0),IF($A227=SYear_O,AX$168*(1+Data_All!AX66%),AX226*(1+Data_All!AX66%)),"")</f>
        <v/>
      </c>
      <c r="AY227" s="427" t="str">
        <f>IF(AND($A227&gt;=SYear_O,$A227&lt;=EYear_O,AY$3&gt;0),IF($A227=SYear_O,AY$168*(1+Data_All!AY66%),AY226*(1+Data_All!AY66%)),"")</f>
        <v/>
      </c>
      <c r="AZ227" s="427" t="str">
        <f>IF(AND($A227&gt;=SYear_O,$A227&lt;=EYear_O,AZ$3&gt;0),IF($A227=SYear_O,AZ$168*(1+Data_All!AZ66%),AZ226*(1+Data_All!AZ66%)),"")</f>
        <v/>
      </c>
      <c r="BA227" s="427" t="str">
        <f>IF(AND($A227&gt;=SYear_O,$A227&lt;=EYear_O,BA$3&gt;0),IF($A227=SYear_O,BA$168*(1+Data_All!BA66%),BA226*(1+Data_All!BA66%)),"")</f>
        <v/>
      </c>
      <c r="BB227" s="427" t="str">
        <f>IF(AND($A227&gt;=SYear_O,$A227&lt;=EYear_O,BB$3&gt;0),IF($A227=SYear_O,BB$168*(1+Data_All!BB66%),BB226*(1+Data_All!BB66%)),"")</f>
        <v/>
      </c>
      <c r="BC227" s="427" t="str">
        <f>IF(AND($A227&gt;=SYear_O,$A227&lt;=EYear_O,BC$3&gt;0),IF($A227=SYear_O,BC$168*(1+Data_All!BC66%),BC226*(1+Data_All!BC66%)),"")</f>
        <v/>
      </c>
      <c r="BD227" s="427" t="str">
        <f>IF(AND($A227&gt;=SYear_O,$A227&lt;=EYear_O,BD$3&gt;0),IF($A227=SYear_O,BD$168*(1+Data_All!BD66%),BD226*(1+Data_All!BD66%)),"")</f>
        <v/>
      </c>
      <c r="BE227" s="427" t="str">
        <f>IF(AND($A227&gt;=SYear_O,$A227&lt;=EYear_O,BE$3&gt;0),IF($A227=SYear_O,BE$168*(1+Data_All!BE66%),BE226*(1+Data_All!BE66%)),"")</f>
        <v/>
      </c>
      <c r="BF227" s="427" t="str">
        <f>IF(AND($A227&gt;=SYear_O,$A227&lt;=EYear_O,BF$3&gt;0),IF($A227=SYear_O,BF$168*(1+Data_All!BF66%),BF226*(1+Data_All!BF66%)),"")</f>
        <v/>
      </c>
      <c r="BG227" s="427" t="str">
        <f>IF(AND($A227&gt;=SYear_O,$A227&lt;=EYear_O,BG$3&gt;0),IF($A227=SYear_O,BG$168*(1+Data_All!BG66%),BG226*(1+Data_All!BG66%)),"")</f>
        <v/>
      </c>
      <c r="BH227" s="427" t="str">
        <f>IF(AND($A227&gt;=SYear_O,$A227&lt;=EYear_O,BH$3&gt;0),IF($A227=SYear_O,BH$168*(1+Data_All!BH66%),BH226*(1+Data_All!BH66%)),"")</f>
        <v/>
      </c>
      <c r="BI227" s="427" t="str">
        <f>IF(AND($A227&gt;=SYear_O,$A227&lt;=EYear_O,BI$3&gt;0),IF($A227=SYear_O,BI$168*(1+Data_All!BI66%),BI226*(1+Data_All!BI66%)),"")</f>
        <v/>
      </c>
      <c r="BJ227" s="427" t="str">
        <f>IF(AND($A227&gt;=SYear_O,$A227&lt;=EYear_O,BJ$3&gt;0),IF($A227=SYear_O,BJ$168*(1+Data_All!BJ66%),BJ226*(1+Data_All!BJ66%)),"")</f>
        <v/>
      </c>
      <c r="BK227" s="427" t="str">
        <f>IF(AND($A227&gt;=SYear_O,$A227&lt;=EYear_O,BK$3&gt;0),IF($A227=SYear_O,BK$168*(1+Data_All!BK66%),BK226*(1+Data_All!BK66%)),"")</f>
        <v/>
      </c>
      <c r="BL227" s="427" t="str">
        <f>IF(AND($A227&gt;=SYear_O,$A227&lt;=EYear_O,BL$3&gt;0),IF($A227=SYear_O,BL$168*(1+Data_All!BL66%),BL226*(1+Data_All!BL66%)),"")</f>
        <v/>
      </c>
      <c r="BM227" s="427" t="str">
        <f>IF(AND($A227&gt;=SYear_O,$A227&lt;=EYear_O,BM$3&gt;0),IF($A227=SYear_O,BM$168*(1+Data_All!BM66%),BM226*(1+Data_All!BM66%)),"")</f>
        <v/>
      </c>
      <c r="BN227" s="427" t="str">
        <f>IF(AND($A227&gt;=SYear_O,$A227&lt;=EYear_O,BN$3&gt;0),IF($A227=SYear_O,BN$168*(1+Data_All!BN66%),BN226*(1+Data_All!BN66%)),"")</f>
        <v/>
      </c>
      <c r="BO227" s="427" t="str">
        <f>IF(AND($A227&gt;=SYear_O,$A227&lt;=EYear_O,BO$3&gt;0),IF($A227=SYear_O,BO$168*(1+Data_All!BO66%),BO226*(1+Data_All!BO66%)),"")</f>
        <v/>
      </c>
      <c r="BP227" s="427" t="str">
        <f>IF(AND($A227&gt;=SYear_O,$A227&lt;=EYear_O,BP$3&gt;0),IF($A227=SYear_O,BP$168*(1+Data_All!BP66%),BP226*(1+Data_All!BP66%)),"")</f>
        <v/>
      </c>
      <c r="BQ227" s="427" t="str">
        <f>IF(AND($A227&gt;=SYear_O,$A227&lt;=EYear_O,BQ$3&gt;0),IF($A227=SYear_O,BQ$168*(1+Data_All!BQ66%),BQ226*(1+Data_All!BQ66%)),"")</f>
        <v/>
      </c>
      <c r="BR227" s="427" t="str">
        <f>IF(AND($A227&gt;=SYear_O,$A227&lt;=EYear_O,BR$3&gt;0),IF($A227=SYear_O,BR$168*(1+Data_All!BR66%),BR226*(1+Data_All!BR66%)),"")</f>
        <v/>
      </c>
      <c r="BS227" s="427" t="str">
        <f>IF(AND($A227&gt;=SYear_O,$A227&lt;=EYear_O,BS$3&gt;0),IF($A227=SYear_O,BS$168*(1+Data_All!BS66%),BS226*(1+Data_All!BS66%)),"")</f>
        <v/>
      </c>
      <c r="BT227" s="427" t="str">
        <f>IF(AND($A227&gt;=SYear_O,$A227&lt;=EYear_O,BT$3&gt;0),IF($A227=SYear_O,BT$168*(1+Data_All!BT66%),BT226*(1+Data_All!BT66%)),"")</f>
        <v/>
      </c>
      <c r="BU227" s="427" t="str">
        <f>IF(AND($A227&gt;=SYear_O,$A227&lt;=EYear_O,BU$3&gt;0),IF($A227=SYear_O,BU$168*(1+Data_All!BU66%),BU226*(1+Data_All!BU66%)),"")</f>
        <v/>
      </c>
      <c r="BV227" s="427" t="str">
        <f>IF(AND($A227&gt;=SYear_O,$A227&lt;=EYear_O,BV$3&gt;0),IF($A227=SYear_O,BV$168*(1+Data_All!BV66%),BV226*(1+Data_All!BV66%)),"")</f>
        <v/>
      </c>
      <c r="BW227" s="427" t="str">
        <f>IF(AND($A227&gt;=SYear_O,$A227&lt;=EYear_O,BW$3&gt;0),IF($A227=SYear_O,BW$168*(1+Data_All!BW66%),BW226*(1+Data_All!BW66%)),"")</f>
        <v/>
      </c>
      <c r="BX227" s="427">
        <f>IF(AND($A227&gt;=SYear_O,$A227&lt;=EYear_O,BX$3&gt;0),IF($A227=SYear_O,BX$168*(1+Data_All!BX66%),BX226*(1+Data_All!BX66%)),"")</f>
        <v>572028.94324694679</v>
      </c>
      <c r="BY227" s="427">
        <f>IF(AND($A227&gt;=SYear_O,$A227&lt;=EYear_O,BY$3&gt;0),IF($A227=SYear_O,BY$168*(1+Data_All!BY66%),BY226*(1+Data_All!BY66%)),"")</f>
        <v>40416.40494187468</v>
      </c>
      <c r="BZ227" s="427" t="str">
        <f>IF(AND($A227&gt;=SYear_O,$A227&lt;=EYear_O,BZ$3&gt;0),IF($A227=SYear_O,BZ$168*(1+Data_All!BZ66%),BZ226*(1+Data_All!BZ66%)),"")</f>
        <v/>
      </c>
      <c r="CA227" s="565">
        <f t="shared" si="108"/>
        <v>-7.8401155200050505</v>
      </c>
      <c r="CB227" s="427">
        <f t="shared" si="109"/>
        <v>612445.34818882146</v>
      </c>
      <c r="CC227" s="565">
        <f>IF(AND($A227&gt;=SYear_O,$A227&lt;=EYear_O),(CA227-Data_All!CA66)/(1+Data_All!CA66%),"")</f>
        <v>-7.8401155200050505</v>
      </c>
      <c r="CD227" s="436">
        <f t="shared" si="110"/>
        <v>446406.79409308243</v>
      </c>
      <c r="CE227" s="438">
        <f t="shared" si="111"/>
        <v>55.548326866915616</v>
      </c>
      <c r="CF227" s="438">
        <f>IF(AND($A227&gt;=SYear_O,$A227&lt;=EYear_O),MAX($CE$169:CE227),"")</f>
        <v>60.273867724924756</v>
      </c>
      <c r="CG227" s="209">
        <f t="shared" si="112"/>
        <v>7.8401155200050532E-2</v>
      </c>
      <c r="CN227" s="61">
        <f t="shared" si="113"/>
        <v>-7.8401155200050532E-2</v>
      </c>
      <c r="CO227" s="61">
        <f t="shared" si="114"/>
        <v>-0.23430068597154119</v>
      </c>
      <c r="CP227" s="61">
        <f t="shared" si="115"/>
        <v>-9.1902668730573955E-2</v>
      </c>
      <c r="CQ227" s="61">
        <f t="shared" si="116"/>
        <v>-1.0588237710328685E-2</v>
      </c>
      <c r="CR227" s="61">
        <f t="shared" si="117"/>
        <v>8.2179027676339E-3</v>
      </c>
      <c r="CU227" s="61">
        <f t="shared" si="118"/>
        <v>-7.8401155200050532E-2</v>
      </c>
      <c r="CV227" s="61">
        <f t="shared" si="119"/>
        <v>-0.18727251139445389</v>
      </c>
      <c r="CW227" s="61">
        <f t="shared" si="120"/>
        <v>-4.3650059455083934E-2</v>
      </c>
      <c r="CX227" s="61">
        <f t="shared" si="121"/>
        <v>9.4013389819276316E-3</v>
      </c>
      <c r="CY227" s="61">
        <f t="shared" si="122"/>
        <v>7.0496024336468288E-3</v>
      </c>
    </row>
    <row r="228" spans="1:103">
      <c r="A228" s="204">
        <f t="shared" si="107"/>
        <v>1930</v>
      </c>
      <c r="B228" s="427" t="str">
        <f>IF(AND($A228&gt;=SYear_O,$A228&lt;=EYear_O,B$3&gt;0),IF($A228=SYear_O,B$168*(1+Data_All!B67%),B227*(1+Data_All!B67%)),"")</f>
        <v/>
      </c>
      <c r="C228" s="427" t="str">
        <f>IF(AND($A228&gt;=SYear_O,$A228&lt;=EYear_O,C$3&gt;0),IF($A228=SYear_O,C$168*(1+Data_All!C67%),C227*(1+Data_All!C67%)),"")</f>
        <v/>
      </c>
      <c r="D228" s="427" t="str">
        <f>IF(AND($A228&gt;=SYear_O,$A228&lt;=EYear_O,D$3&gt;0),IF($A228=SYear_O,D$168*(1+Data_All!D67%),D227*(1+Data_All!D67%)),"")</f>
        <v/>
      </c>
      <c r="E228" s="427" t="str">
        <f>IF(AND($A228&gt;=SYear_O,$A228&lt;=EYear_O,E$3&gt;0),IF($A228=SYear_O,E$168*(1+Data_All!E67%),E227*(1+Data_All!E67%)),"")</f>
        <v/>
      </c>
      <c r="F228" s="427" t="str">
        <f>IF(AND($A228&gt;=SYear_O,$A228&lt;=EYear_O,F$3&gt;0),IF($A228=SYear_O,F$168*(1+Data_All!F67%),F227*(1+Data_All!F67%)),"")</f>
        <v/>
      </c>
      <c r="G228" s="427" t="str">
        <f>IF(AND($A228&gt;=SYear_O,$A228&lt;=EYear_O,G$3&gt;0),IF($A228=SYear_O,G$168*(1+Data_All!G67%),G227*(1+Data_All!G67%)),"")</f>
        <v/>
      </c>
      <c r="H228" s="427" t="str">
        <f>IF(AND($A228&gt;=SYear_O,$A228&lt;=EYear_O,H$3&gt;0),IF($A228=SYear_O,H$168*(1+Data_All!H67%),H227*(1+Data_All!H67%)),"")</f>
        <v/>
      </c>
      <c r="I228" s="427" t="str">
        <f>IF(AND($A228&gt;=SYear_O,$A228&lt;=EYear_O,I$3&gt;0),IF($A228=SYear_O,I$168*(1+Data_All!I67%),I227*(1+Data_All!I67%)),"")</f>
        <v/>
      </c>
      <c r="J228" s="427" t="str">
        <f>IF(AND($A228&gt;=SYear_O,$A228&lt;=EYear_O,J$3&gt;0),IF($A228=SYear_O,J$168*(1+Data_All!J67%),J227*(1+Data_All!J67%)),"")</f>
        <v/>
      </c>
      <c r="K228" s="427" t="str">
        <f>IF(AND($A228&gt;=SYear_O,$A228&lt;=EYear_O,K$3&gt;0),IF($A228=SYear_O,K$168*(1+Data_All!K67%),K227*(1+Data_All!K67%)),"")</f>
        <v/>
      </c>
      <c r="L228" s="427" t="str">
        <f>IF(AND($A228&gt;=SYear_O,$A228&lt;=EYear_O,L$3&gt;0),IF($A228=SYear_O,L$168*(1+Data_All!L67%),L227*(1+Data_All!L67%)),"")</f>
        <v/>
      </c>
      <c r="M228" s="427" t="str">
        <f>IF(AND($A228&gt;=SYear_O,$A228&lt;=EYear_O,M$3&gt;0),IF($A228=SYear_O,M$168*(1+Data_All!M67%),M227*(1+Data_All!M67%)),"")</f>
        <v/>
      </c>
      <c r="N228" s="427" t="str">
        <f>IF(AND($A228&gt;=SYear_O,$A228&lt;=EYear_O,N$3&gt;0),IF($A228=SYear_O,N$168*(1+Data_All!N67%),N227*(1+Data_All!N67%)),"")</f>
        <v/>
      </c>
      <c r="O228" s="427" t="str">
        <f>IF(AND($A228&gt;=SYear_O,$A228&lt;=EYear_O,O$3&gt;0),IF($A228=SYear_O,O$168*(1+Data_All!O67%),O227*(1+Data_All!O67%)),"")</f>
        <v/>
      </c>
      <c r="P228" s="427" t="str">
        <f>IF(AND($A228&gt;=SYear_O,$A228&lt;=EYear_O,P$3&gt;0),IF($A228=SYear_O,P$168*(1+Data_All!P67%),P227*(1+Data_All!P67%)),"")</f>
        <v/>
      </c>
      <c r="Q228" s="427" t="str">
        <f>IF(AND($A228&gt;=SYear_O,$A228&lt;=EYear_O,Q$3&gt;0),IF($A228=SYear_O,Q$168*(1+Data_All!Q67%),Q227*(1+Data_All!Q67%)),"")</f>
        <v/>
      </c>
      <c r="R228" s="427" t="str">
        <f>IF(AND($A228&gt;=SYear_O,$A228&lt;=EYear_O,R$3&gt;0),IF($A228=SYear_O,R$168*(1+Data_All!R67%),R227*(1+Data_All!R67%)),"")</f>
        <v/>
      </c>
      <c r="S228" s="427" t="str">
        <f>IF(AND($A228&gt;=SYear_O,$A228&lt;=EYear_O,S$3&gt;0),IF($A228=SYear_O,S$168*(1+Data_All!S67%),S227*(1+Data_All!S67%)),"")</f>
        <v/>
      </c>
      <c r="T228" s="427" t="str">
        <f>IF(AND($A228&gt;=SYear_O,$A228&lt;=EYear_O,T$3&gt;0),IF($A228=SYear_O,T$168*(1+Data_All!T67%),T227*(1+Data_All!T67%)),"")</f>
        <v/>
      </c>
      <c r="U228" s="427" t="str">
        <f>IF(AND($A228&gt;=SYear_O,$A228&lt;=EYear_O,U$3&gt;0),IF($A228=SYear_O,U$168*(1+Data_All!U67%),U227*(1+Data_All!U67%)),"")</f>
        <v/>
      </c>
      <c r="V228" s="427" t="str">
        <f>IF(AND($A228&gt;=SYear_O,$A228&lt;=EYear_O,V$3&gt;0),IF($A228=SYear_O,V$168*(1+Data_All!V67%),V227*(1+Data_All!V67%)),"")</f>
        <v/>
      </c>
      <c r="W228" s="427" t="str">
        <f>IF(AND($A228&gt;=SYear_O,$A228&lt;=EYear_O,W$3&gt;0),IF($A228=SYear_O,W$168*(1+Data_All!W67%),W227*(1+Data_All!W67%)),"")</f>
        <v/>
      </c>
      <c r="X228" s="427" t="str">
        <f>IF(AND($A228&gt;=SYear_O,$A228&lt;=EYear_O,X$3&gt;0),IF($A228=SYear_O,X$168*(1+Data_All!X67%),X227*(1+Data_All!X67%)),"")</f>
        <v/>
      </c>
      <c r="Y228" s="427" t="str">
        <f>IF(AND($A228&gt;=SYear_O,$A228&lt;=EYear_O,Y$3&gt;0),IF($A228=SYear_O,Y$168*(1+Data_All!Y67%),Y227*(1+Data_All!Y67%)),"")</f>
        <v/>
      </c>
      <c r="Z228" s="427" t="str">
        <f>IF(AND($A228&gt;=SYear_O,$A228&lt;=EYear_O,Z$3&gt;0),IF($A228=SYear_O,Z$168*(1+Data_All!Z67%),Z227*(1+Data_All!Z67%)),"")</f>
        <v/>
      </c>
      <c r="AA228" s="427" t="str">
        <f>IF(AND($A228&gt;=SYear_O,$A228&lt;=EYear_O,AA$3&gt;0),IF($A228=SYear_O,AA$168*(1+Data_All!AA67%),AA227*(1+Data_All!AA67%)),"")</f>
        <v/>
      </c>
      <c r="AB228" s="427" t="str">
        <f>IF(AND($A228&gt;=SYear_O,$A228&lt;=EYear_O,AB$3&gt;0),IF($A228=SYear_O,AB$168*(1+Data_All!AB67%),AB227*(1+Data_All!AB67%)),"")</f>
        <v/>
      </c>
      <c r="AC228" s="427" t="str">
        <f>IF(AND($A228&gt;=SYear_O,$A228&lt;=EYear_O,AC$3&gt;0),IF($A228=SYear_O,AC$168*(1+Data_All!AC67%),AC227*(1+Data_All!AC67%)),"")</f>
        <v/>
      </c>
      <c r="AD228" s="427" t="str">
        <f>IF(AND($A228&gt;=SYear_O,$A228&lt;=EYear_O,AD$3&gt;0),IF($A228=SYear_O,AD$168*(1+Data_All!AD67%),AD227*(1+Data_All!AD67%)),"")</f>
        <v/>
      </c>
      <c r="AE228" s="427" t="str">
        <f>IF(AND($A228&gt;=SYear_O,$A228&lt;=EYear_O,AE$3&gt;0),IF($A228=SYear_O,AE$168*(1+Data_All!AE67%),AE227*(1+Data_All!AE67%)),"")</f>
        <v/>
      </c>
      <c r="AF228" s="427" t="str">
        <f>IF(AND($A228&gt;=SYear_O,$A228&lt;=EYear_O,AF$3&gt;0),IF($A228=SYear_O,AF$168*(1+Data_All!AF67%),AF227*(1+Data_All!AF67%)),"")</f>
        <v/>
      </c>
      <c r="AG228" s="427" t="str">
        <f>IF(AND($A228&gt;=SYear_O,$A228&lt;=EYear_O,AG$3&gt;0),IF($A228=SYear_O,AG$168*(1+Data_All!AG67%),AG227*(1+Data_All!AG67%)),"")</f>
        <v/>
      </c>
      <c r="AH228" s="427" t="str">
        <f>IF(AND($A228&gt;=SYear_O,$A228&lt;=EYear_O,AH$3&gt;0),IF($A228=SYear_O,AH$168*(1+Data_All!AH67%),AH227*(1+Data_All!AH67%)),"")</f>
        <v/>
      </c>
      <c r="AI228" s="427" t="str">
        <f>IF(AND($A228&gt;=SYear_O,$A228&lt;=EYear_O,AI$3&gt;0),IF($A228=SYear_O,AI$168*(1+Data_All!AI67%),AI227*(1+Data_All!AI67%)),"")</f>
        <v/>
      </c>
      <c r="AJ228" s="427" t="str">
        <f>IF(AND($A228&gt;=SYear_O,$A228&lt;=EYear_O,AJ$3&gt;0),IF($A228=SYear_O,AJ$168*(1+Data_All!AJ67%),AJ227*(1+Data_All!AJ67%)),"")</f>
        <v/>
      </c>
      <c r="AK228" s="427" t="str">
        <f>IF(AND($A228&gt;=SYear_O,$A228&lt;=EYear_O,AK$3&gt;0),IF($A228=SYear_O,AK$168*(1+Data_All!AK67%),AK227*(1+Data_All!AK67%)),"")</f>
        <v/>
      </c>
      <c r="AL228" s="427" t="str">
        <f>IF(AND($A228&gt;=SYear_O,$A228&lt;=EYear_O,AL$3&gt;0),IF($A228=SYear_O,AL$168*(1+Data_All!AL67%),AL227*(1+Data_All!AL67%)),"")</f>
        <v/>
      </c>
      <c r="AM228" s="427" t="str">
        <f>IF(AND($A228&gt;=SYear_O,$A228&lt;=EYear_O,AM$3&gt;0),IF($A228=SYear_O,AM$168*(1+Data_All!AM67%),AM227*(1+Data_All!AM67%)),"")</f>
        <v/>
      </c>
      <c r="AN228" s="427" t="str">
        <f>IF(AND($A228&gt;=SYear_O,$A228&lt;=EYear_O,AN$3&gt;0),IF($A228=SYear_O,AN$168*(1+Data_All!AN67%),AN227*(1+Data_All!AN67%)),"")</f>
        <v/>
      </c>
      <c r="AO228" s="427" t="str">
        <f>IF(AND($A228&gt;=SYear_O,$A228&lt;=EYear_O,AO$3&gt;0),IF($A228=SYear_O,AO$168*(1+Data_All!AO67%),AO227*(1+Data_All!AO67%)),"")</f>
        <v/>
      </c>
      <c r="AP228" s="427" t="str">
        <f>IF(AND($A228&gt;=SYear_O,$A228&lt;=EYear_O,AP$3&gt;0),IF($A228=SYear_O,AP$168*(1+Data_All!AP67%),AP227*(1+Data_All!AP67%)),"")</f>
        <v/>
      </c>
      <c r="AQ228" s="427" t="str">
        <f>IF(AND($A228&gt;=SYear_O,$A228&lt;=EYear_O,AQ$3&gt;0),IF($A228=SYear_O,AQ$168*(1+Data_All!AQ67%),AQ227*(1+Data_All!AQ67%)),"")</f>
        <v/>
      </c>
      <c r="AR228" s="427" t="str">
        <f>IF(AND($A228&gt;=SYear_O,$A228&lt;=EYear_O,AR$3&gt;0),IF($A228=SYear_O,AR$168*(1+Data_All!AR67%),AR227*(1+Data_All!AR67%)),"")</f>
        <v/>
      </c>
      <c r="AS228" s="427" t="str">
        <f>IF(AND($A228&gt;=SYear_O,$A228&lt;=EYear_O,AS$3&gt;0),IF($A228=SYear_O,AS$168*(1+Data_All!AS67%),AS227*(1+Data_All!AS67%)),"")</f>
        <v/>
      </c>
      <c r="AT228" s="427" t="str">
        <f>IF(AND($A228&gt;=SYear_O,$A228&lt;=EYear_O,AT$3&gt;0),IF($A228=SYear_O,AT$168*(1+Data_All!AT67%),AT227*(1+Data_All!AT67%)),"")</f>
        <v/>
      </c>
      <c r="AU228" s="427" t="str">
        <f>IF(AND($A228&gt;=SYear_O,$A228&lt;=EYear_O,AU$3&gt;0),IF($A228=SYear_O,AU$168*(1+Data_All!AU67%),AU227*(1+Data_All!AU67%)),"")</f>
        <v/>
      </c>
      <c r="AV228" s="427" t="str">
        <f>IF(AND($A228&gt;=SYear_O,$A228&lt;=EYear_O,AV$3&gt;0),IF($A228=SYear_O,AV$168*(1+Data_All!AV67%),AV227*(1+Data_All!AV67%)),"")</f>
        <v/>
      </c>
      <c r="AW228" s="427" t="str">
        <f>IF(AND($A228&gt;=SYear_O,$A228&lt;=EYear_O,AW$3&gt;0),IF($A228=SYear_O,AW$168*(1+Data_All!AW67%),AW227*(1+Data_All!AW67%)),"")</f>
        <v/>
      </c>
      <c r="AX228" s="427" t="str">
        <f>IF(AND($A228&gt;=SYear_O,$A228&lt;=EYear_O,AX$3&gt;0),IF($A228=SYear_O,AX$168*(1+Data_All!AX67%),AX227*(1+Data_All!AX67%)),"")</f>
        <v/>
      </c>
      <c r="AY228" s="427" t="str">
        <f>IF(AND($A228&gt;=SYear_O,$A228&lt;=EYear_O,AY$3&gt;0),IF($A228=SYear_O,AY$168*(1+Data_All!AY67%),AY227*(1+Data_All!AY67%)),"")</f>
        <v/>
      </c>
      <c r="AZ228" s="427" t="str">
        <f>IF(AND($A228&gt;=SYear_O,$A228&lt;=EYear_O,AZ$3&gt;0),IF($A228=SYear_O,AZ$168*(1+Data_All!AZ67%),AZ227*(1+Data_All!AZ67%)),"")</f>
        <v/>
      </c>
      <c r="BA228" s="427" t="str">
        <f>IF(AND($A228&gt;=SYear_O,$A228&lt;=EYear_O,BA$3&gt;0),IF($A228=SYear_O,BA$168*(1+Data_All!BA67%),BA227*(1+Data_All!BA67%)),"")</f>
        <v/>
      </c>
      <c r="BB228" s="427" t="str">
        <f>IF(AND($A228&gt;=SYear_O,$A228&lt;=EYear_O,BB$3&gt;0),IF($A228=SYear_O,BB$168*(1+Data_All!BB67%),BB227*(1+Data_All!BB67%)),"")</f>
        <v/>
      </c>
      <c r="BC228" s="427" t="str">
        <f>IF(AND($A228&gt;=SYear_O,$A228&lt;=EYear_O,BC$3&gt;0),IF($A228=SYear_O,BC$168*(1+Data_All!BC67%),BC227*(1+Data_All!BC67%)),"")</f>
        <v/>
      </c>
      <c r="BD228" s="427" t="str">
        <f>IF(AND($A228&gt;=SYear_O,$A228&lt;=EYear_O,BD$3&gt;0),IF($A228=SYear_O,BD$168*(1+Data_All!BD67%),BD227*(1+Data_All!BD67%)),"")</f>
        <v/>
      </c>
      <c r="BE228" s="427" t="str">
        <f>IF(AND($A228&gt;=SYear_O,$A228&lt;=EYear_O,BE$3&gt;0),IF($A228=SYear_O,BE$168*(1+Data_All!BE67%),BE227*(1+Data_All!BE67%)),"")</f>
        <v/>
      </c>
      <c r="BF228" s="427" t="str">
        <f>IF(AND($A228&gt;=SYear_O,$A228&lt;=EYear_O,BF$3&gt;0),IF($A228=SYear_O,BF$168*(1+Data_All!BF67%),BF227*(1+Data_All!BF67%)),"")</f>
        <v/>
      </c>
      <c r="BG228" s="427" t="str">
        <f>IF(AND($A228&gt;=SYear_O,$A228&lt;=EYear_O,BG$3&gt;0),IF($A228=SYear_O,BG$168*(1+Data_All!BG67%),BG227*(1+Data_All!BG67%)),"")</f>
        <v/>
      </c>
      <c r="BH228" s="427" t="str">
        <f>IF(AND($A228&gt;=SYear_O,$A228&lt;=EYear_O,BH$3&gt;0),IF($A228=SYear_O,BH$168*(1+Data_All!BH67%),BH227*(1+Data_All!BH67%)),"")</f>
        <v/>
      </c>
      <c r="BI228" s="427" t="str">
        <f>IF(AND($A228&gt;=SYear_O,$A228&lt;=EYear_O,BI$3&gt;0),IF($A228=SYear_O,BI$168*(1+Data_All!BI67%),BI227*(1+Data_All!BI67%)),"")</f>
        <v/>
      </c>
      <c r="BJ228" s="427" t="str">
        <f>IF(AND($A228&gt;=SYear_O,$A228&lt;=EYear_O,BJ$3&gt;0),IF($A228=SYear_O,BJ$168*(1+Data_All!BJ67%),BJ227*(1+Data_All!BJ67%)),"")</f>
        <v/>
      </c>
      <c r="BK228" s="427" t="str">
        <f>IF(AND($A228&gt;=SYear_O,$A228&lt;=EYear_O,BK$3&gt;0),IF($A228=SYear_O,BK$168*(1+Data_All!BK67%),BK227*(1+Data_All!BK67%)),"")</f>
        <v/>
      </c>
      <c r="BL228" s="427" t="str">
        <f>IF(AND($A228&gt;=SYear_O,$A228&lt;=EYear_O,BL$3&gt;0),IF($A228=SYear_O,BL$168*(1+Data_All!BL67%),BL227*(1+Data_All!BL67%)),"")</f>
        <v/>
      </c>
      <c r="BM228" s="427" t="str">
        <f>IF(AND($A228&gt;=SYear_O,$A228&lt;=EYear_O,BM$3&gt;0),IF($A228=SYear_O,BM$168*(1+Data_All!BM67%),BM227*(1+Data_All!BM67%)),"")</f>
        <v/>
      </c>
      <c r="BN228" s="427" t="str">
        <f>IF(AND($A228&gt;=SYear_O,$A228&lt;=EYear_O,BN$3&gt;0),IF($A228=SYear_O,BN$168*(1+Data_All!BN67%),BN227*(1+Data_All!BN67%)),"")</f>
        <v/>
      </c>
      <c r="BO228" s="427" t="str">
        <f>IF(AND($A228&gt;=SYear_O,$A228&lt;=EYear_O,BO$3&gt;0),IF($A228=SYear_O,BO$168*(1+Data_All!BO67%),BO227*(1+Data_All!BO67%)),"")</f>
        <v/>
      </c>
      <c r="BP228" s="427" t="str">
        <f>IF(AND($A228&gt;=SYear_O,$A228&lt;=EYear_O,BP$3&gt;0),IF($A228=SYear_O,BP$168*(1+Data_All!BP67%),BP227*(1+Data_All!BP67%)),"")</f>
        <v/>
      </c>
      <c r="BQ228" s="427" t="str">
        <f>IF(AND($A228&gt;=SYear_O,$A228&lt;=EYear_O,BQ$3&gt;0),IF($A228=SYear_O,BQ$168*(1+Data_All!BQ67%),BQ227*(1+Data_All!BQ67%)),"")</f>
        <v/>
      </c>
      <c r="BR228" s="427" t="str">
        <f>IF(AND($A228&gt;=SYear_O,$A228&lt;=EYear_O,BR$3&gt;0),IF($A228=SYear_O,BR$168*(1+Data_All!BR67%),BR227*(1+Data_All!BR67%)),"")</f>
        <v/>
      </c>
      <c r="BS228" s="427" t="str">
        <f>IF(AND($A228&gt;=SYear_O,$A228&lt;=EYear_O,BS$3&gt;0),IF($A228=SYear_O,BS$168*(1+Data_All!BS67%),BS227*(1+Data_All!BS67%)),"")</f>
        <v/>
      </c>
      <c r="BT228" s="427" t="str">
        <f>IF(AND($A228&gt;=SYear_O,$A228&lt;=EYear_O,BT$3&gt;0),IF($A228=SYear_O,BT$168*(1+Data_All!BT67%),BT227*(1+Data_All!BT67%)),"")</f>
        <v/>
      </c>
      <c r="BU228" s="427" t="str">
        <f>IF(AND($A228&gt;=SYear_O,$A228&lt;=EYear_O,BU$3&gt;0),IF($A228=SYear_O,BU$168*(1+Data_All!BU67%),BU227*(1+Data_All!BU67%)),"")</f>
        <v/>
      </c>
      <c r="BV228" s="427" t="str">
        <f>IF(AND($A228&gt;=SYear_O,$A228&lt;=EYear_O,BV$3&gt;0),IF($A228=SYear_O,BV$168*(1+Data_All!BV67%),BV227*(1+Data_All!BV67%)),"")</f>
        <v/>
      </c>
      <c r="BW228" s="427" t="str">
        <f>IF(AND($A228&gt;=SYear_O,$A228&lt;=EYear_O,BW$3&gt;0),IF($A228=SYear_O,BW$168*(1+Data_All!BW67%),BW227*(1+Data_All!BW67%)),"")</f>
        <v/>
      </c>
      <c r="BX228" s="427">
        <f>IF(AND($A228&gt;=SYear_O,$A228&lt;=EYear_O,BX$3&gt;0),IF($A228=SYear_O,BX$168*(1+Data_All!BX67%),BX227*(1+Data_All!BX67%)),"")</f>
        <v>446872.91006302246</v>
      </c>
      <c r="BY228" s="427">
        <f>IF(AND($A228&gt;=SYear_O,$A228&lt;=EYear_O,BY$3&gt;0),IF($A228=SYear_O,BY$168*(1+Data_All!BY67%),BY227*(1+Data_All!BY67%)),"")</f>
        <v>42951.158125038819</v>
      </c>
      <c r="BZ228" s="427" t="str">
        <f>IF(AND($A228&gt;=SYear_O,$A228&lt;=EYear_O,BZ$3&gt;0),IF($A228=SYear_O,BZ$168*(1+Data_All!BZ67%),BZ227*(1+Data_All!BZ67%)),"")</f>
        <v/>
      </c>
      <c r="CA228" s="565">
        <f t="shared" si="108"/>
        <v>-20.021587291565993</v>
      </c>
      <c r="CB228" s="427">
        <f t="shared" si="109"/>
        <v>489824.0681880613</v>
      </c>
      <c r="CC228" s="565">
        <f>IF(AND($A228&gt;=SYear_O,$A228&lt;=EYear_O),(CA228-Data_All!CA67)/(1+Data_All!CA67%),"")</f>
        <v>-13.985480672061529</v>
      </c>
      <c r="CD228" s="436">
        <f t="shared" si="110"/>
        <v>383974.65818642487</v>
      </c>
      <c r="CE228" s="438">
        <f t="shared" si="111"/>
        <v>44.426670114251699</v>
      </c>
      <c r="CF228" s="438">
        <f>IF(AND($A228&gt;=SYear_O,$A228&lt;=EYear_O),MAX($CE$169:CE228),"")</f>
        <v>60.273867724924756</v>
      </c>
      <c r="CG228" s="209">
        <f t="shared" si="112"/>
        <v>0.26291987238973624</v>
      </c>
      <c r="CN228" s="61">
        <f t="shared" si="113"/>
        <v>-0.2002158729156599</v>
      </c>
      <c r="CO228" s="61">
        <f t="shared" si="114"/>
        <v>-0.22951071368308984</v>
      </c>
      <c r="CP228" s="61">
        <f t="shared" si="115"/>
        <v>-8.9000978986957802E-2</v>
      </c>
      <c r="CQ228" s="61">
        <f t="shared" si="116"/>
        <v>7.8728282776108216E-4</v>
      </c>
      <c r="CR228" s="61">
        <f t="shared" si="117"/>
        <v>2.4859326871692344E-2</v>
      </c>
      <c r="CU228" s="61">
        <f t="shared" si="118"/>
        <v>-0.13985480672061534</v>
      </c>
      <c r="CV228" s="61">
        <f t="shared" si="119"/>
        <v>-0.15361348070736525</v>
      </c>
      <c r="CW228" s="61">
        <f t="shared" si="120"/>
        <v>-4.6305340515353288E-2</v>
      </c>
      <c r="CX228" s="61">
        <f t="shared" si="121"/>
        <v>2.1738854769019378E-2</v>
      </c>
      <c r="CY228" s="61">
        <f t="shared" si="122"/>
        <v>2.2121832789901763E-2</v>
      </c>
    </row>
    <row r="229" spans="1:103">
      <c r="A229" s="204">
        <f t="shared" si="107"/>
        <v>1931</v>
      </c>
      <c r="B229" s="427" t="str">
        <f>IF(AND($A229&gt;=SYear_O,$A229&lt;=EYear_O,B$3&gt;0),IF($A229=SYear_O,B$168*(1+Data_All!B68%),B228*(1+Data_All!B68%)),"")</f>
        <v/>
      </c>
      <c r="C229" s="427" t="str">
        <f>IF(AND($A229&gt;=SYear_O,$A229&lt;=EYear_O,C$3&gt;0),IF($A229=SYear_O,C$168*(1+Data_All!C68%),C228*(1+Data_All!C68%)),"")</f>
        <v/>
      </c>
      <c r="D229" s="427" t="str">
        <f>IF(AND($A229&gt;=SYear_O,$A229&lt;=EYear_O,D$3&gt;0),IF($A229=SYear_O,D$168*(1+Data_All!D68%),D228*(1+Data_All!D68%)),"")</f>
        <v/>
      </c>
      <c r="E229" s="427" t="str">
        <f>IF(AND($A229&gt;=SYear_O,$A229&lt;=EYear_O,E$3&gt;0),IF($A229=SYear_O,E$168*(1+Data_All!E68%),E228*(1+Data_All!E68%)),"")</f>
        <v/>
      </c>
      <c r="F229" s="427" t="str">
        <f>IF(AND($A229&gt;=SYear_O,$A229&lt;=EYear_O,F$3&gt;0),IF($A229=SYear_O,F$168*(1+Data_All!F68%),F228*(1+Data_All!F68%)),"")</f>
        <v/>
      </c>
      <c r="G229" s="427" t="str">
        <f>IF(AND($A229&gt;=SYear_O,$A229&lt;=EYear_O,G$3&gt;0),IF($A229=SYear_O,G$168*(1+Data_All!G68%),G228*(1+Data_All!G68%)),"")</f>
        <v/>
      </c>
      <c r="H229" s="427" t="str">
        <f>IF(AND($A229&gt;=SYear_O,$A229&lt;=EYear_O,H$3&gt;0),IF($A229=SYear_O,H$168*(1+Data_All!H68%),H228*(1+Data_All!H68%)),"")</f>
        <v/>
      </c>
      <c r="I229" s="427" t="str">
        <f>IF(AND($A229&gt;=SYear_O,$A229&lt;=EYear_O,I$3&gt;0),IF($A229=SYear_O,I$168*(1+Data_All!I68%),I228*(1+Data_All!I68%)),"")</f>
        <v/>
      </c>
      <c r="J229" s="427" t="str">
        <f>IF(AND($A229&gt;=SYear_O,$A229&lt;=EYear_O,J$3&gt;0),IF($A229=SYear_O,J$168*(1+Data_All!J68%),J228*(1+Data_All!J68%)),"")</f>
        <v/>
      </c>
      <c r="K229" s="427" t="str">
        <f>IF(AND($A229&gt;=SYear_O,$A229&lt;=EYear_O,K$3&gt;0),IF($A229=SYear_O,K$168*(1+Data_All!K68%),K228*(1+Data_All!K68%)),"")</f>
        <v/>
      </c>
      <c r="L229" s="427" t="str">
        <f>IF(AND($A229&gt;=SYear_O,$A229&lt;=EYear_O,L$3&gt;0),IF($A229=SYear_O,L$168*(1+Data_All!L68%),L228*(1+Data_All!L68%)),"")</f>
        <v/>
      </c>
      <c r="M229" s="427" t="str">
        <f>IF(AND($A229&gt;=SYear_O,$A229&lt;=EYear_O,M$3&gt;0),IF($A229=SYear_O,M$168*(1+Data_All!M68%),M228*(1+Data_All!M68%)),"")</f>
        <v/>
      </c>
      <c r="N229" s="427" t="str">
        <f>IF(AND($A229&gt;=SYear_O,$A229&lt;=EYear_O,N$3&gt;0),IF($A229=SYear_O,N$168*(1+Data_All!N68%),N228*(1+Data_All!N68%)),"")</f>
        <v/>
      </c>
      <c r="O229" s="427" t="str">
        <f>IF(AND($A229&gt;=SYear_O,$A229&lt;=EYear_O,O$3&gt;0),IF($A229=SYear_O,O$168*(1+Data_All!O68%),O228*(1+Data_All!O68%)),"")</f>
        <v/>
      </c>
      <c r="P229" s="427" t="str">
        <f>IF(AND($A229&gt;=SYear_O,$A229&lt;=EYear_O,P$3&gt;0),IF($A229=SYear_O,P$168*(1+Data_All!P68%),P228*(1+Data_All!P68%)),"")</f>
        <v/>
      </c>
      <c r="Q229" s="427" t="str">
        <f>IF(AND($A229&gt;=SYear_O,$A229&lt;=EYear_O,Q$3&gt;0),IF($A229=SYear_O,Q$168*(1+Data_All!Q68%),Q228*(1+Data_All!Q68%)),"")</f>
        <v/>
      </c>
      <c r="R229" s="427" t="str">
        <f>IF(AND($A229&gt;=SYear_O,$A229&lt;=EYear_O,R$3&gt;0),IF($A229=SYear_O,R$168*(1+Data_All!R68%),R228*(1+Data_All!R68%)),"")</f>
        <v/>
      </c>
      <c r="S229" s="427" t="str">
        <f>IF(AND($A229&gt;=SYear_O,$A229&lt;=EYear_O,S$3&gt;0),IF($A229=SYear_O,S$168*(1+Data_All!S68%),S228*(1+Data_All!S68%)),"")</f>
        <v/>
      </c>
      <c r="T229" s="427" t="str">
        <f>IF(AND($A229&gt;=SYear_O,$A229&lt;=EYear_O,T$3&gt;0),IF($A229=SYear_O,T$168*(1+Data_All!T68%),T228*(1+Data_All!T68%)),"")</f>
        <v/>
      </c>
      <c r="U229" s="427" t="str">
        <f>IF(AND($A229&gt;=SYear_O,$A229&lt;=EYear_O,U$3&gt;0),IF($A229=SYear_O,U$168*(1+Data_All!U68%),U228*(1+Data_All!U68%)),"")</f>
        <v/>
      </c>
      <c r="V229" s="427" t="str">
        <f>IF(AND($A229&gt;=SYear_O,$A229&lt;=EYear_O,V$3&gt;0),IF($A229=SYear_O,V$168*(1+Data_All!V68%),V228*(1+Data_All!V68%)),"")</f>
        <v/>
      </c>
      <c r="W229" s="427" t="str">
        <f>IF(AND($A229&gt;=SYear_O,$A229&lt;=EYear_O,W$3&gt;0),IF($A229=SYear_O,W$168*(1+Data_All!W68%),W228*(1+Data_All!W68%)),"")</f>
        <v/>
      </c>
      <c r="X229" s="427" t="str">
        <f>IF(AND($A229&gt;=SYear_O,$A229&lt;=EYear_O,X$3&gt;0),IF($A229=SYear_O,X$168*(1+Data_All!X68%),X228*(1+Data_All!X68%)),"")</f>
        <v/>
      </c>
      <c r="Y229" s="427" t="str">
        <f>IF(AND($A229&gt;=SYear_O,$A229&lt;=EYear_O,Y$3&gt;0),IF($A229=SYear_O,Y$168*(1+Data_All!Y68%),Y228*(1+Data_All!Y68%)),"")</f>
        <v/>
      </c>
      <c r="Z229" s="427" t="str">
        <f>IF(AND($A229&gt;=SYear_O,$A229&lt;=EYear_O,Z$3&gt;0),IF($A229=SYear_O,Z$168*(1+Data_All!Z68%),Z228*(1+Data_All!Z68%)),"")</f>
        <v/>
      </c>
      <c r="AA229" s="427" t="str">
        <f>IF(AND($A229&gt;=SYear_O,$A229&lt;=EYear_O,AA$3&gt;0),IF($A229=SYear_O,AA$168*(1+Data_All!AA68%),AA228*(1+Data_All!AA68%)),"")</f>
        <v/>
      </c>
      <c r="AB229" s="427" t="str">
        <f>IF(AND($A229&gt;=SYear_O,$A229&lt;=EYear_O,AB$3&gt;0),IF($A229=SYear_O,AB$168*(1+Data_All!AB68%),AB228*(1+Data_All!AB68%)),"")</f>
        <v/>
      </c>
      <c r="AC229" s="427" t="str">
        <f>IF(AND($A229&gt;=SYear_O,$A229&lt;=EYear_O,AC$3&gt;0),IF($A229=SYear_O,AC$168*(1+Data_All!AC68%),AC228*(1+Data_All!AC68%)),"")</f>
        <v/>
      </c>
      <c r="AD229" s="427" t="str">
        <f>IF(AND($A229&gt;=SYear_O,$A229&lt;=EYear_O,AD$3&gt;0),IF($A229=SYear_O,AD$168*(1+Data_All!AD68%),AD228*(1+Data_All!AD68%)),"")</f>
        <v/>
      </c>
      <c r="AE229" s="427" t="str">
        <f>IF(AND($A229&gt;=SYear_O,$A229&lt;=EYear_O,AE$3&gt;0),IF($A229=SYear_O,AE$168*(1+Data_All!AE68%),AE228*(1+Data_All!AE68%)),"")</f>
        <v/>
      </c>
      <c r="AF229" s="427" t="str">
        <f>IF(AND($A229&gt;=SYear_O,$A229&lt;=EYear_O,AF$3&gt;0),IF($A229=SYear_O,AF$168*(1+Data_All!AF68%),AF228*(1+Data_All!AF68%)),"")</f>
        <v/>
      </c>
      <c r="AG229" s="427" t="str">
        <f>IF(AND($A229&gt;=SYear_O,$A229&lt;=EYear_O,AG$3&gt;0),IF($A229=SYear_O,AG$168*(1+Data_All!AG68%),AG228*(1+Data_All!AG68%)),"")</f>
        <v/>
      </c>
      <c r="AH229" s="427" t="str">
        <f>IF(AND($A229&gt;=SYear_O,$A229&lt;=EYear_O,AH$3&gt;0),IF($A229=SYear_O,AH$168*(1+Data_All!AH68%),AH228*(1+Data_All!AH68%)),"")</f>
        <v/>
      </c>
      <c r="AI229" s="427" t="str">
        <f>IF(AND($A229&gt;=SYear_O,$A229&lt;=EYear_O,AI$3&gt;0),IF($A229=SYear_O,AI$168*(1+Data_All!AI68%),AI228*(1+Data_All!AI68%)),"")</f>
        <v/>
      </c>
      <c r="AJ229" s="427" t="str">
        <f>IF(AND($A229&gt;=SYear_O,$A229&lt;=EYear_O,AJ$3&gt;0),IF($A229=SYear_O,AJ$168*(1+Data_All!AJ68%),AJ228*(1+Data_All!AJ68%)),"")</f>
        <v/>
      </c>
      <c r="AK229" s="427" t="str">
        <f>IF(AND($A229&gt;=SYear_O,$A229&lt;=EYear_O,AK$3&gt;0),IF($A229=SYear_O,AK$168*(1+Data_All!AK68%),AK228*(1+Data_All!AK68%)),"")</f>
        <v/>
      </c>
      <c r="AL229" s="427" t="str">
        <f>IF(AND($A229&gt;=SYear_O,$A229&lt;=EYear_O,AL$3&gt;0),IF($A229=SYear_O,AL$168*(1+Data_All!AL68%),AL228*(1+Data_All!AL68%)),"")</f>
        <v/>
      </c>
      <c r="AM229" s="427" t="str">
        <f>IF(AND($A229&gt;=SYear_O,$A229&lt;=EYear_O,AM$3&gt;0),IF($A229=SYear_O,AM$168*(1+Data_All!AM68%),AM228*(1+Data_All!AM68%)),"")</f>
        <v/>
      </c>
      <c r="AN229" s="427" t="str">
        <f>IF(AND($A229&gt;=SYear_O,$A229&lt;=EYear_O,AN$3&gt;0),IF($A229=SYear_O,AN$168*(1+Data_All!AN68%),AN228*(1+Data_All!AN68%)),"")</f>
        <v/>
      </c>
      <c r="AO229" s="427" t="str">
        <f>IF(AND($A229&gt;=SYear_O,$A229&lt;=EYear_O,AO$3&gt;0),IF($A229=SYear_O,AO$168*(1+Data_All!AO68%),AO228*(1+Data_All!AO68%)),"")</f>
        <v/>
      </c>
      <c r="AP229" s="427" t="str">
        <f>IF(AND($A229&gt;=SYear_O,$A229&lt;=EYear_O,AP$3&gt;0),IF($A229=SYear_O,AP$168*(1+Data_All!AP68%),AP228*(1+Data_All!AP68%)),"")</f>
        <v/>
      </c>
      <c r="AQ229" s="427" t="str">
        <f>IF(AND($A229&gt;=SYear_O,$A229&lt;=EYear_O,AQ$3&gt;0),IF($A229=SYear_O,AQ$168*(1+Data_All!AQ68%),AQ228*(1+Data_All!AQ68%)),"")</f>
        <v/>
      </c>
      <c r="AR229" s="427" t="str">
        <f>IF(AND($A229&gt;=SYear_O,$A229&lt;=EYear_O,AR$3&gt;0),IF($A229=SYear_O,AR$168*(1+Data_All!AR68%),AR228*(1+Data_All!AR68%)),"")</f>
        <v/>
      </c>
      <c r="AS229" s="427" t="str">
        <f>IF(AND($A229&gt;=SYear_O,$A229&lt;=EYear_O,AS$3&gt;0),IF($A229=SYear_O,AS$168*(1+Data_All!AS68%),AS228*(1+Data_All!AS68%)),"")</f>
        <v/>
      </c>
      <c r="AT229" s="427" t="str">
        <f>IF(AND($A229&gt;=SYear_O,$A229&lt;=EYear_O,AT$3&gt;0),IF($A229=SYear_O,AT$168*(1+Data_All!AT68%),AT228*(1+Data_All!AT68%)),"")</f>
        <v/>
      </c>
      <c r="AU229" s="427" t="str">
        <f>IF(AND($A229&gt;=SYear_O,$A229&lt;=EYear_O,AU$3&gt;0),IF($A229=SYear_O,AU$168*(1+Data_All!AU68%),AU228*(1+Data_All!AU68%)),"")</f>
        <v/>
      </c>
      <c r="AV229" s="427" t="str">
        <f>IF(AND($A229&gt;=SYear_O,$A229&lt;=EYear_O,AV$3&gt;0),IF($A229=SYear_O,AV$168*(1+Data_All!AV68%),AV228*(1+Data_All!AV68%)),"")</f>
        <v/>
      </c>
      <c r="AW229" s="427" t="str">
        <f>IF(AND($A229&gt;=SYear_O,$A229&lt;=EYear_O,AW$3&gt;0),IF($A229=SYear_O,AW$168*(1+Data_All!AW68%),AW228*(1+Data_All!AW68%)),"")</f>
        <v/>
      </c>
      <c r="AX229" s="427" t="str">
        <f>IF(AND($A229&gt;=SYear_O,$A229&lt;=EYear_O,AX$3&gt;0),IF($A229=SYear_O,AX$168*(1+Data_All!AX68%),AX228*(1+Data_All!AX68%)),"")</f>
        <v/>
      </c>
      <c r="AY229" s="427" t="str">
        <f>IF(AND($A229&gt;=SYear_O,$A229&lt;=EYear_O,AY$3&gt;0),IF($A229=SYear_O,AY$168*(1+Data_All!AY68%),AY228*(1+Data_All!AY68%)),"")</f>
        <v/>
      </c>
      <c r="AZ229" s="427" t="str">
        <f>IF(AND($A229&gt;=SYear_O,$A229&lt;=EYear_O,AZ$3&gt;0),IF($A229=SYear_O,AZ$168*(1+Data_All!AZ68%),AZ228*(1+Data_All!AZ68%)),"")</f>
        <v/>
      </c>
      <c r="BA229" s="427" t="str">
        <f>IF(AND($A229&gt;=SYear_O,$A229&lt;=EYear_O,BA$3&gt;0),IF($A229=SYear_O,BA$168*(1+Data_All!BA68%),BA228*(1+Data_All!BA68%)),"")</f>
        <v/>
      </c>
      <c r="BB229" s="427" t="str">
        <f>IF(AND($A229&gt;=SYear_O,$A229&lt;=EYear_O,BB$3&gt;0),IF($A229=SYear_O,BB$168*(1+Data_All!BB68%),BB228*(1+Data_All!BB68%)),"")</f>
        <v/>
      </c>
      <c r="BC229" s="427" t="str">
        <f>IF(AND($A229&gt;=SYear_O,$A229&lt;=EYear_O,BC$3&gt;0),IF($A229=SYear_O,BC$168*(1+Data_All!BC68%),BC228*(1+Data_All!BC68%)),"")</f>
        <v/>
      </c>
      <c r="BD229" s="427" t="str">
        <f>IF(AND($A229&gt;=SYear_O,$A229&lt;=EYear_O,BD$3&gt;0),IF($A229=SYear_O,BD$168*(1+Data_All!BD68%),BD228*(1+Data_All!BD68%)),"")</f>
        <v/>
      </c>
      <c r="BE229" s="427" t="str">
        <f>IF(AND($A229&gt;=SYear_O,$A229&lt;=EYear_O,BE$3&gt;0),IF($A229=SYear_O,BE$168*(1+Data_All!BE68%),BE228*(1+Data_All!BE68%)),"")</f>
        <v/>
      </c>
      <c r="BF229" s="427" t="str">
        <f>IF(AND($A229&gt;=SYear_O,$A229&lt;=EYear_O,BF$3&gt;0),IF($A229=SYear_O,BF$168*(1+Data_All!BF68%),BF228*(1+Data_All!BF68%)),"")</f>
        <v/>
      </c>
      <c r="BG229" s="427" t="str">
        <f>IF(AND($A229&gt;=SYear_O,$A229&lt;=EYear_O,BG$3&gt;0),IF($A229=SYear_O,BG$168*(1+Data_All!BG68%),BG228*(1+Data_All!BG68%)),"")</f>
        <v/>
      </c>
      <c r="BH229" s="427" t="str">
        <f>IF(AND($A229&gt;=SYear_O,$A229&lt;=EYear_O,BH$3&gt;0),IF($A229=SYear_O,BH$168*(1+Data_All!BH68%),BH228*(1+Data_All!BH68%)),"")</f>
        <v/>
      </c>
      <c r="BI229" s="427" t="str">
        <f>IF(AND($A229&gt;=SYear_O,$A229&lt;=EYear_O,BI$3&gt;0),IF($A229=SYear_O,BI$168*(1+Data_All!BI68%),BI228*(1+Data_All!BI68%)),"")</f>
        <v/>
      </c>
      <c r="BJ229" s="427" t="str">
        <f>IF(AND($A229&gt;=SYear_O,$A229&lt;=EYear_O,BJ$3&gt;0),IF($A229=SYear_O,BJ$168*(1+Data_All!BJ68%),BJ228*(1+Data_All!BJ68%)),"")</f>
        <v/>
      </c>
      <c r="BK229" s="427" t="str">
        <f>IF(AND($A229&gt;=SYear_O,$A229&lt;=EYear_O,BK$3&gt;0),IF($A229=SYear_O,BK$168*(1+Data_All!BK68%),BK228*(1+Data_All!BK68%)),"")</f>
        <v/>
      </c>
      <c r="BL229" s="427" t="str">
        <f>IF(AND($A229&gt;=SYear_O,$A229&lt;=EYear_O,BL$3&gt;0),IF($A229=SYear_O,BL$168*(1+Data_All!BL68%),BL228*(1+Data_All!BL68%)),"")</f>
        <v/>
      </c>
      <c r="BM229" s="427" t="str">
        <f>IF(AND($A229&gt;=SYear_O,$A229&lt;=EYear_O,BM$3&gt;0),IF($A229=SYear_O,BM$168*(1+Data_All!BM68%),BM228*(1+Data_All!BM68%)),"")</f>
        <v/>
      </c>
      <c r="BN229" s="427" t="str">
        <f>IF(AND($A229&gt;=SYear_O,$A229&lt;=EYear_O,BN$3&gt;0),IF($A229=SYear_O,BN$168*(1+Data_All!BN68%),BN228*(1+Data_All!BN68%)),"")</f>
        <v/>
      </c>
      <c r="BO229" s="427" t="str">
        <f>IF(AND($A229&gt;=SYear_O,$A229&lt;=EYear_O,BO$3&gt;0),IF($A229=SYear_O,BO$168*(1+Data_All!BO68%),BO228*(1+Data_All!BO68%)),"")</f>
        <v/>
      </c>
      <c r="BP229" s="427" t="str">
        <f>IF(AND($A229&gt;=SYear_O,$A229&lt;=EYear_O,BP$3&gt;0),IF($A229=SYear_O,BP$168*(1+Data_All!BP68%),BP228*(1+Data_All!BP68%)),"")</f>
        <v/>
      </c>
      <c r="BQ229" s="427" t="str">
        <f>IF(AND($A229&gt;=SYear_O,$A229&lt;=EYear_O,BQ$3&gt;0),IF($A229=SYear_O,BQ$168*(1+Data_All!BQ68%),BQ228*(1+Data_All!BQ68%)),"")</f>
        <v/>
      </c>
      <c r="BR229" s="427" t="str">
        <f>IF(AND($A229&gt;=SYear_O,$A229&lt;=EYear_O,BR$3&gt;0),IF($A229=SYear_O,BR$168*(1+Data_All!BR68%),BR228*(1+Data_All!BR68%)),"")</f>
        <v/>
      </c>
      <c r="BS229" s="427" t="str">
        <f>IF(AND($A229&gt;=SYear_O,$A229&lt;=EYear_O,BS$3&gt;0),IF($A229=SYear_O,BS$168*(1+Data_All!BS68%),BS228*(1+Data_All!BS68%)),"")</f>
        <v/>
      </c>
      <c r="BT229" s="427" t="str">
        <f>IF(AND($A229&gt;=SYear_O,$A229&lt;=EYear_O,BT$3&gt;0),IF($A229=SYear_O,BT$168*(1+Data_All!BT68%),BT228*(1+Data_All!BT68%)),"")</f>
        <v/>
      </c>
      <c r="BU229" s="427" t="str">
        <f>IF(AND($A229&gt;=SYear_O,$A229&lt;=EYear_O,BU$3&gt;0),IF($A229=SYear_O,BU$168*(1+Data_All!BU68%),BU228*(1+Data_All!BU68%)),"")</f>
        <v/>
      </c>
      <c r="BV229" s="427" t="str">
        <f>IF(AND($A229&gt;=SYear_O,$A229&lt;=EYear_O,BV$3&gt;0),IF($A229=SYear_O,BV$168*(1+Data_All!BV68%),BV228*(1+Data_All!BV68%)),"")</f>
        <v/>
      </c>
      <c r="BW229" s="427" t="str">
        <f>IF(AND($A229&gt;=SYear_O,$A229&lt;=EYear_O,BW$3&gt;0),IF($A229=SYear_O,BW$168*(1+Data_All!BW68%),BW228*(1+Data_All!BW68%)),"")</f>
        <v/>
      </c>
      <c r="BX229" s="427">
        <f>IF(AND($A229&gt;=SYear_O,$A229&lt;=EYear_O,BX$3&gt;0),IF($A229=SYear_O,BX$168*(1+Data_All!BX68%),BX228*(1+Data_All!BX68%)),"")</f>
        <v>255036.35417864611</v>
      </c>
      <c r="BY229" s="427">
        <f>IF(AND($A229&gt;=SYear_O,$A229&lt;=EYear_O,BY$3&gt;0),IF($A229=SYear_O,BY$168*(1+Data_All!BY68%),BY228*(1+Data_All!BY68%)),"")</f>
        <v>43295.888355231124</v>
      </c>
      <c r="BZ229" s="427" t="str">
        <f>IF(AND($A229&gt;=SYear_O,$A229&lt;=EYear_O,BZ$3&gt;0),IF($A229=SYear_O,BZ$168*(1+Data_All!BZ68%),BZ228*(1+Data_All!BZ68%)),"")</f>
        <v/>
      </c>
      <c r="CA229" s="565">
        <f t="shared" si="108"/>
        <v>-39.094000905783041</v>
      </c>
      <c r="CB229" s="427">
        <f t="shared" si="109"/>
        <v>298332.24253387726</v>
      </c>
      <c r="CC229" s="565">
        <f>IF(AND($A229&gt;=SYear_O,$A229&lt;=EYear_O),(CA229-Data_All!CA68)/(1+Data_All!CA68%),"")</f>
        <v>-32.279343664472052</v>
      </c>
      <c r="CD229" s="436">
        <f t="shared" si="110"/>
        <v>260030.15868594692</v>
      </c>
      <c r="CE229" s="438">
        <f t="shared" si="111"/>
        <v>27.058507297376899</v>
      </c>
      <c r="CF229" s="438">
        <f>IF(AND($A229&gt;=SYear_O,$A229&lt;=EYear_O),MAX($CE$169:CE229),"")</f>
        <v>60.273867724924756</v>
      </c>
      <c r="CG229" s="209">
        <f t="shared" si="112"/>
        <v>0.55107398415403952</v>
      </c>
      <c r="CN229" s="61">
        <f t="shared" si="113"/>
        <v>-0.39094000905783044</v>
      </c>
      <c r="CO229" s="61">
        <f t="shared" si="114"/>
        <v>-5.7280628058146488E-2</v>
      </c>
      <c r="CP229" s="61">
        <f t="shared" si="115"/>
        <v>2.8832333484290373E-2</v>
      </c>
      <c r="CQ229" s="61">
        <f t="shared" si="116"/>
        <v>1.5328228465991467E-2</v>
      </c>
      <c r="CR229" s="61">
        <f t="shared" si="117"/>
        <v>6.1658946119329983E-2</v>
      </c>
      <c r="CU229" s="61">
        <f t="shared" si="118"/>
        <v>-0.32279343664472049</v>
      </c>
      <c r="CV229" s="61">
        <f t="shared" si="119"/>
        <v>3.0521100763736264E-3</v>
      </c>
      <c r="CW229" s="61">
        <f t="shared" si="120"/>
        <v>5.8396054238415651E-2</v>
      </c>
      <c r="CX229" s="61">
        <f t="shared" si="121"/>
        <v>2.7600393517482225E-2</v>
      </c>
      <c r="CY229" s="61">
        <f t="shared" si="122"/>
        <v>5.2139695506111972E-2</v>
      </c>
    </row>
    <row r="230" spans="1:103">
      <c r="A230" s="204">
        <f t="shared" si="107"/>
        <v>1932</v>
      </c>
      <c r="B230" s="427" t="str">
        <f>IF(AND($A230&gt;=SYear_O,$A230&lt;=EYear_O,B$3&gt;0),IF($A230=SYear_O,B$168*(1+Data_All!B69%),B229*(1+Data_All!B69%)),"")</f>
        <v/>
      </c>
      <c r="C230" s="427" t="str">
        <f>IF(AND($A230&gt;=SYear_O,$A230&lt;=EYear_O,C$3&gt;0),IF($A230=SYear_O,C$168*(1+Data_All!C69%),C229*(1+Data_All!C69%)),"")</f>
        <v/>
      </c>
      <c r="D230" s="427" t="str">
        <f>IF(AND($A230&gt;=SYear_O,$A230&lt;=EYear_O,D$3&gt;0),IF($A230=SYear_O,D$168*(1+Data_All!D69%),D229*(1+Data_All!D69%)),"")</f>
        <v/>
      </c>
      <c r="E230" s="427" t="str">
        <f>IF(AND($A230&gt;=SYear_O,$A230&lt;=EYear_O,E$3&gt;0),IF($A230=SYear_O,E$168*(1+Data_All!E69%),E229*(1+Data_All!E69%)),"")</f>
        <v/>
      </c>
      <c r="F230" s="427" t="str">
        <f>IF(AND($A230&gt;=SYear_O,$A230&lt;=EYear_O,F$3&gt;0),IF($A230=SYear_O,F$168*(1+Data_All!F69%),F229*(1+Data_All!F69%)),"")</f>
        <v/>
      </c>
      <c r="G230" s="427" t="str">
        <f>IF(AND($A230&gt;=SYear_O,$A230&lt;=EYear_O,G$3&gt;0),IF($A230=SYear_O,G$168*(1+Data_All!G69%),G229*(1+Data_All!G69%)),"")</f>
        <v/>
      </c>
      <c r="H230" s="427" t="str">
        <f>IF(AND($A230&gt;=SYear_O,$A230&lt;=EYear_O,H$3&gt;0),IF($A230=SYear_O,H$168*(1+Data_All!H69%),H229*(1+Data_All!H69%)),"")</f>
        <v/>
      </c>
      <c r="I230" s="427" t="str">
        <f>IF(AND($A230&gt;=SYear_O,$A230&lt;=EYear_O,I$3&gt;0),IF($A230=SYear_O,I$168*(1+Data_All!I69%),I229*(1+Data_All!I69%)),"")</f>
        <v/>
      </c>
      <c r="J230" s="427" t="str">
        <f>IF(AND($A230&gt;=SYear_O,$A230&lt;=EYear_O,J$3&gt;0),IF($A230=SYear_O,J$168*(1+Data_All!J69%),J229*(1+Data_All!J69%)),"")</f>
        <v/>
      </c>
      <c r="K230" s="427" t="str">
        <f>IF(AND($A230&gt;=SYear_O,$A230&lt;=EYear_O,K$3&gt;0),IF($A230=SYear_O,K$168*(1+Data_All!K69%),K229*(1+Data_All!K69%)),"")</f>
        <v/>
      </c>
      <c r="L230" s="427" t="str">
        <f>IF(AND($A230&gt;=SYear_O,$A230&lt;=EYear_O,L$3&gt;0),IF($A230=SYear_O,L$168*(1+Data_All!L69%),L229*(1+Data_All!L69%)),"")</f>
        <v/>
      </c>
      <c r="M230" s="427" t="str">
        <f>IF(AND($A230&gt;=SYear_O,$A230&lt;=EYear_O,M$3&gt;0),IF($A230=SYear_O,M$168*(1+Data_All!M69%),M229*(1+Data_All!M69%)),"")</f>
        <v/>
      </c>
      <c r="N230" s="427" t="str">
        <f>IF(AND($A230&gt;=SYear_O,$A230&lt;=EYear_O,N$3&gt;0),IF($A230=SYear_O,N$168*(1+Data_All!N69%),N229*(1+Data_All!N69%)),"")</f>
        <v/>
      </c>
      <c r="O230" s="427" t="str">
        <f>IF(AND($A230&gt;=SYear_O,$A230&lt;=EYear_O,O$3&gt;0),IF($A230=SYear_O,O$168*(1+Data_All!O69%),O229*(1+Data_All!O69%)),"")</f>
        <v/>
      </c>
      <c r="P230" s="427" t="str">
        <f>IF(AND($A230&gt;=SYear_O,$A230&lt;=EYear_O,P$3&gt;0),IF($A230=SYear_O,P$168*(1+Data_All!P69%),P229*(1+Data_All!P69%)),"")</f>
        <v/>
      </c>
      <c r="Q230" s="427" t="str">
        <f>IF(AND($A230&gt;=SYear_O,$A230&lt;=EYear_O,Q$3&gt;0),IF($A230=SYear_O,Q$168*(1+Data_All!Q69%),Q229*(1+Data_All!Q69%)),"")</f>
        <v/>
      </c>
      <c r="R230" s="427" t="str">
        <f>IF(AND($A230&gt;=SYear_O,$A230&lt;=EYear_O,R$3&gt;0),IF($A230=SYear_O,R$168*(1+Data_All!R69%),R229*(1+Data_All!R69%)),"")</f>
        <v/>
      </c>
      <c r="S230" s="427" t="str">
        <f>IF(AND($A230&gt;=SYear_O,$A230&lt;=EYear_O,S$3&gt;0),IF($A230=SYear_O,S$168*(1+Data_All!S69%),S229*(1+Data_All!S69%)),"")</f>
        <v/>
      </c>
      <c r="T230" s="427" t="str">
        <f>IF(AND($A230&gt;=SYear_O,$A230&lt;=EYear_O,T$3&gt;0),IF($A230=SYear_O,T$168*(1+Data_All!T69%),T229*(1+Data_All!T69%)),"")</f>
        <v/>
      </c>
      <c r="U230" s="427" t="str">
        <f>IF(AND($A230&gt;=SYear_O,$A230&lt;=EYear_O,U$3&gt;0),IF($A230=SYear_O,U$168*(1+Data_All!U69%),U229*(1+Data_All!U69%)),"")</f>
        <v/>
      </c>
      <c r="V230" s="427" t="str">
        <f>IF(AND($A230&gt;=SYear_O,$A230&lt;=EYear_O,V$3&gt;0),IF($A230=SYear_O,V$168*(1+Data_All!V69%),V229*(1+Data_All!V69%)),"")</f>
        <v/>
      </c>
      <c r="W230" s="427" t="str">
        <f>IF(AND($A230&gt;=SYear_O,$A230&lt;=EYear_O,W$3&gt;0),IF($A230=SYear_O,W$168*(1+Data_All!W69%),W229*(1+Data_All!W69%)),"")</f>
        <v/>
      </c>
      <c r="X230" s="427" t="str">
        <f>IF(AND($A230&gt;=SYear_O,$A230&lt;=EYear_O,X$3&gt;0),IF($A230=SYear_O,X$168*(1+Data_All!X69%),X229*(1+Data_All!X69%)),"")</f>
        <v/>
      </c>
      <c r="Y230" s="427" t="str">
        <f>IF(AND($A230&gt;=SYear_O,$A230&lt;=EYear_O,Y$3&gt;0),IF($A230=SYear_O,Y$168*(1+Data_All!Y69%),Y229*(1+Data_All!Y69%)),"")</f>
        <v/>
      </c>
      <c r="Z230" s="427" t="str">
        <f>IF(AND($A230&gt;=SYear_O,$A230&lt;=EYear_O,Z$3&gt;0),IF($A230=SYear_O,Z$168*(1+Data_All!Z69%),Z229*(1+Data_All!Z69%)),"")</f>
        <v/>
      </c>
      <c r="AA230" s="427" t="str">
        <f>IF(AND($A230&gt;=SYear_O,$A230&lt;=EYear_O,AA$3&gt;0),IF($A230=SYear_O,AA$168*(1+Data_All!AA69%),AA229*(1+Data_All!AA69%)),"")</f>
        <v/>
      </c>
      <c r="AB230" s="427" t="str">
        <f>IF(AND($A230&gt;=SYear_O,$A230&lt;=EYear_O,AB$3&gt;0),IF($A230=SYear_O,AB$168*(1+Data_All!AB69%),AB229*(1+Data_All!AB69%)),"")</f>
        <v/>
      </c>
      <c r="AC230" s="427" t="str">
        <f>IF(AND($A230&gt;=SYear_O,$A230&lt;=EYear_O,AC$3&gt;0),IF($A230=SYear_O,AC$168*(1+Data_All!AC69%),AC229*(1+Data_All!AC69%)),"")</f>
        <v/>
      </c>
      <c r="AD230" s="427" t="str">
        <f>IF(AND($A230&gt;=SYear_O,$A230&lt;=EYear_O,AD$3&gt;0),IF($A230=SYear_O,AD$168*(1+Data_All!AD69%),AD229*(1+Data_All!AD69%)),"")</f>
        <v/>
      </c>
      <c r="AE230" s="427" t="str">
        <f>IF(AND($A230&gt;=SYear_O,$A230&lt;=EYear_O,AE$3&gt;0),IF($A230=SYear_O,AE$168*(1+Data_All!AE69%),AE229*(1+Data_All!AE69%)),"")</f>
        <v/>
      </c>
      <c r="AF230" s="427" t="str">
        <f>IF(AND($A230&gt;=SYear_O,$A230&lt;=EYear_O,AF$3&gt;0),IF($A230=SYear_O,AF$168*(1+Data_All!AF69%),AF229*(1+Data_All!AF69%)),"")</f>
        <v/>
      </c>
      <c r="AG230" s="427" t="str">
        <f>IF(AND($A230&gt;=SYear_O,$A230&lt;=EYear_O,AG$3&gt;0),IF($A230=SYear_O,AG$168*(1+Data_All!AG69%),AG229*(1+Data_All!AG69%)),"")</f>
        <v/>
      </c>
      <c r="AH230" s="427" t="str">
        <f>IF(AND($A230&gt;=SYear_O,$A230&lt;=EYear_O,AH$3&gt;0),IF($A230=SYear_O,AH$168*(1+Data_All!AH69%),AH229*(1+Data_All!AH69%)),"")</f>
        <v/>
      </c>
      <c r="AI230" s="427" t="str">
        <f>IF(AND($A230&gt;=SYear_O,$A230&lt;=EYear_O,AI$3&gt;0),IF($A230=SYear_O,AI$168*(1+Data_All!AI69%),AI229*(1+Data_All!AI69%)),"")</f>
        <v/>
      </c>
      <c r="AJ230" s="427" t="str">
        <f>IF(AND($A230&gt;=SYear_O,$A230&lt;=EYear_O,AJ$3&gt;0),IF($A230=SYear_O,AJ$168*(1+Data_All!AJ69%),AJ229*(1+Data_All!AJ69%)),"")</f>
        <v/>
      </c>
      <c r="AK230" s="427" t="str">
        <f>IF(AND($A230&gt;=SYear_O,$A230&lt;=EYear_O,AK$3&gt;0),IF($A230=SYear_O,AK$168*(1+Data_All!AK69%),AK229*(1+Data_All!AK69%)),"")</f>
        <v/>
      </c>
      <c r="AL230" s="427" t="str">
        <f>IF(AND($A230&gt;=SYear_O,$A230&lt;=EYear_O,AL$3&gt;0),IF($A230=SYear_O,AL$168*(1+Data_All!AL69%),AL229*(1+Data_All!AL69%)),"")</f>
        <v/>
      </c>
      <c r="AM230" s="427" t="str">
        <f>IF(AND($A230&gt;=SYear_O,$A230&lt;=EYear_O,AM$3&gt;0),IF($A230=SYear_O,AM$168*(1+Data_All!AM69%),AM229*(1+Data_All!AM69%)),"")</f>
        <v/>
      </c>
      <c r="AN230" s="427" t="str">
        <f>IF(AND($A230&gt;=SYear_O,$A230&lt;=EYear_O,AN$3&gt;0),IF($A230=SYear_O,AN$168*(1+Data_All!AN69%),AN229*(1+Data_All!AN69%)),"")</f>
        <v/>
      </c>
      <c r="AO230" s="427" t="str">
        <f>IF(AND($A230&gt;=SYear_O,$A230&lt;=EYear_O,AO$3&gt;0),IF($A230=SYear_O,AO$168*(1+Data_All!AO69%),AO229*(1+Data_All!AO69%)),"")</f>
        <v/>
      </c>
      <c r="AP230" s="427" t="str">
        <f>IF(AND($A230&gt;=SYear_O,$A230&lt;=EYear_O,AP$3&gt;0),IF($A230=SYear_O,AP$168*(1+Data_All!AP69%),AP229*(1+Data_All!AP69%)),"")</f>
        <v/>
      </c>
      <c r="AQ230" s="427" t="str">
        <f>IF(AND($A230&gt;=SYear_O,$A230&lt;=EYear_O,AQ$3&gt;0),IF($A230=SYear_O,AQ$168*(1+Data_All!AQ69%),AQ229*(1+Data_All!AQ69%)),"")</f>
        <v/>
      </c>
      <c r="AR230" s="427" t="str">
        <f>IF(AND($A230&gt;=SYear_O,$A230&lt;=EYear_O,AR$3&gt;0),IF($A230=SYear_O,AR$168*(1+Data_All!AR69%),AR229*(1+Data_All!AR69%)),"")</f>
        <v/>
      </c>
      <c r="AS230" s="427" t="str">
        <f>IF(AND($A230&gt;=SYear_O,$A230&lt;=EYear_O,AS$3&gt;0),IF($A230=SYear_O,AS$168*(1+Data_All!AS69%),AS229*(1+Data_All!AS69%)),"")</f>
        <v/>
      </c>
      <c r="AT230" s="427" t="str">
        <f>IF(AND($A230&gt;=SYear_O,$A230&lt;=EYear_O,AT$3&gt;0),IF($A230=SYear_O,AT$168*(1+Data_All!AT69%),AT229*(1+Data_All!AT69%)),"")</f>
        <v/>
      </c>
      <c r="AU230" s="427" t="str">
        <f>IF(AND($A230&gt;=SYear_O,$A230&lt;=EYear_O,AU$3&gt;0),IF($A230=SYear_O,AU$168*(1+Data_All!AU69%),AU229*(1+Data_All!AU69%)),"")</f>
        <v/>
      </c>
      <c r="AV230" s="427" t="str">
        <f>IF(AND($A230&gt;=SYear_O,$A230&lt;=EYear_O,AV$3&gt;0),IF($A230=SYear_O,AV$168*(1+Data_All!AV69%),AV229*(1+Data_All!AV69%)),"")</f>
        <v/>
      </c>
      <c r="AW230" s="427" t="str">
        <f>IF(AND($A230&gt;=SYear_O,$A230&lt;=EYear_O,AW$3&gt;0),IF($A230=SYear_O,AW$168*(1+Data_All!AW69%),AW229*(1+Data_All!AW69%)),"")</f>
        <v/>
      </c>
      <c r="AX230" s="427" t="str">
        <f>IF(AND($A230&gt;=SYear_O,$A230&lt;=EYear_O,AX$3&gt;0),IF($A230=SYear_O,AX$168*(1+Data_All!AX69%),AX229*(1+Data_All!AX69%)),"")</f>
        <v/>
      </c>
      <c r="AY230" s="427" t="str">
        <f>IF(AND($A230&gt;=SYear_O,$A230&lt;=EYear_O,AY$3&gt;0),IF($A230=SYear_O,AY$168*(1+Data_All!AY69%),AY229*(1+Data_All!AY69%)),"")</f>
        <v/>
      </c>
      <c r="AZ230" s="427" t="str">
        <f>IF(AND($A230&gt;=SYear_O,$A230&lt;=EYear_O,AZ$3&gt;0),IF($A230=SYear_O,AZ$168*(1+Data_All!AZ69%),AZ229*(1+Data_All!AZ69%)),"")</f>
        <v/>
      </c>
      <c r="BA230" s="427" t="str">
        <f>IF(AND($A230&gt;=SYear_O,$A230&lt;=EYear_O,BA$3&gt;0),IF($A230=SYear_O,BA$168*(1+Data_All!BA69%),BA229*(1+Data_All!BA69%)),"")</f>
        <v/>
      </c>
      <c r="BB230" s="427" t="str">
        <f>IF(AND($A230&gt;=SYear_O,$A230&lt;=EYear_O,BB$3&gt;0),IF($A230=SYear_O,BB$168*(1+Data_All!BB69%),BB229*(1+Data_All!BB69%)),"")</f>
        <v/>
      </c>
      <c r="BC230" s="427" t="str">
        <f>IF(AND($A230&gt;=SYear_O,$A230&lt;=EYear_O,BC$3&gt;0),IF($A230=SYear_O,BC$168*(1+Data_All!BC69%),BC229*(1+Data_All!BC69%)),"")</f>
        <v/>
      </c>
      <c r="BD230" s="427" t="str">
        <f>IF(AND($A230&gt;=SYear_O,$A230&lt;=EYear_O,BD$3&gt;0),IF($A230=SYear_O,BD$168*(1+Data_All!BD69%),BD229*(1+Data_All!BD69%)),"")</f>
        <v/>
      </c>
      <c r="BE230" s="427" t="str">
        <f>IF(AND($A230&gt;=SYear_O,$A230&lt;=EYear_O,BE$3&gt;0),IF($A230=SYear_O,BE$168*(1+Data_All!BE69%),BE229*(1+Data_All!BE69%)),"")</f>
        <v/>
      </c>
      <c r="BF230" s="427" t="str">
        <f>IF(AND($A230&gt;=SYear_O,$A230&lt;=EYear_O,BF$3&gt;0),IF($A230=SYear_O,BF$168*(1+Data_All!BF69%),BF229*(1+Data_All!BF69%)),"")</f>
        <v/>
      </c>
      <c r="BG230" s="427" t="str">
        <f>IF(AND($A230&gt;=SYear_O,$A230&lt;=EYear_O,BG$3&gt;0),IF($A230=SYear_O,BG$168*(1+Data_All!BG69%),BG229*(1+Data_All!BG69%)),"")</f>
        <v/>
      </c>
      <c r="BH230" s="427" t="str">
        <f>IF(AND($A230&gt;=SYear_O,$A230&lt;=EYear_O,BH$3&gt;0),IF($A230=SYear_O,BH$168*(1+Data_All!BH69%),BH229*(1+Data_All!BH69%)),"")</f>
        <v/>
      </c>
      <c r="BI230" s="427" t="str">
        <f>IF(AND($A230&gt;=SYear_O,$A230&lt;=EYear_O,BI$3&gt;0),IF($A230=SYear_O,BI$168*(1+Data_All!BI69%),BI229*(1+Data_All!BI69%)),"")</f>
        <v/>
      </c>
      <c r="BJ230" s="427" t="str">
        <f>IF(AND($A230&gt;=SYear_O,$A230&lt;=EYear_O,BJ$3&gt;0),IF($A230=SYear_O,BJ$168*(1+Data_All!BJ69%),BJ229*(1+Data_All!BJ69%)),"")</f>
        <v/>
      </c>
      <c r="BK230" s="427" t="str">
        <f>IF(AND($A230&gt;=SYear_O,$A230&lt;=EYear_O,BK$3&gt;0),IF($A230=SYear_O,BK$168*(1+Data_All!BK69%),BK229*(1+Data_All!BK69%)),"")</f>
        <v/>
      </c>
      <c r="BL230" s="427" t="str">
        <f>IF(AND($A230&gt;=SYear_O,$A230&lt;=EYear_O,BL$3&gt;0),IF($A230=SYear_O,BL$168*(1+Data_All!BL69%),BL229*(1+Data_All!BL69%)),"")</f>
        <v/>
      </c>
      <c r="BM230" s="427" t="str">
        <f>IF(AND($A230&gt;=SYear_O,$A230&lt;=EYear_O,BM$3&gt;0),IF($A230=SYear_O,BM$168*(1+Data_All!BM69%),BM229*(1+Data_All!BM69%)),"")</f>
        <v/>
      </c>
      <c r="BN230" s="427" t="str">
        <f>IF(AND($A230&gt;=SYear_O,$A230&lt;=EYear_O,BN$3&gt;0),IF($A230=SYear_O,BN$168*(1+Data_All!BN69%),BN229*(1+Data_All!BN69%)),"")</f>
        <v/>
      </c>
      <c r="BO230" s="427" t="str">
        <f>IF(AND($A230&gt;=SYear_O,$A230&lt;=EYear_O,BO$3&gt;0),IF($A230=SYear_O,BO$168*(1+Data_All!BO69%),BO229*(1+Data_All!BO69%)),"")</f>
        <v/>
      </c>
      <c r="BP230" s="427" t="str">
        <f>IF(AND($A230&gt;=SYear_O,$A230&lt;=EYear_O,BP$3&gt;0),IF($A230=SYear_O,BP$168*(1+Data_All!BP69%),BP229*(1+Data_All!BP69%)),"")</f>
        <v/>
      </c>
      <c r="BQ230" s="427" t="str">
        <f>IF(AND($A230&gt;=SYear_O,$A230&lt;=EYear_O,BQ$3&gt;0),IF($A230=SYear_O,BQ$168*(1+Data_All!BQ69%),BQ229*(1+Data_All!BQ69%)),"")</f>
        <v/>
      </c>
      <c r="BR230" s="427" t="str">
        <f>IF(AND($A230&gt;=SYear_O,$A230&lt;=EYear_O,BR$3&gt;0),IF($A230=SYear_O,BR$168*(1+Data_All!BR69%),BR229*(1+Data_All!BR69%)),"")</f>
        <v/>
      </c>
      <c r="BS230" s="427" t="str">
        <f>IF(AND($A230&gt;=SYear_O,$A230&lt;=EYear_O,BS$3&gt;0),IF($A230=SYear_O,BS$168*(1+Data_All!BS69%),BS229*(1+Data_All!BS69%)),"")</f>
        <v/>
      </c>
      <c r="BT230" s="427" t="str">
        <f>IF(AND($A230&gt;=SYear_O,$A230&lt;=EYear_O,BT$3&gt;0),IF($A230=SYear_O,BT$168*(1+Data_All!BT69%),BT229*(1+Data_All!BT69%)),"")</f>
        <v/>
      </c>
      <c r="BU230" s="427" t="str">
        <f>IF(AND($A230&gt;=SYear_O,$A230&lt;=EYear_O,BU$3&gt;0),IF($A230=SYear_O,BU$168*(1+Data_All!BU69%),BU229*(1+Data_All!BU69%)),"")</f>
        <v/>
      </c>
      <c r="BV230" s="427" t="str">
        <f>IF(AND($A230&gt;=SYear_O,$A230&lt;=EYear_O,BV$3&gt;0),IF($A230=SYear_O,BV$168*(1+Data_All!BV69%),BV229*(1+Data_All!BV69%)),"")</f>
        <v/>
      </c>
      <c r="BW230" s="427" t="str">
        <f>IF(AND($A230&gt;=SYear_O,$A230&lt;=EYear_O,BW$3&gt;0),IF($A230=SYear_O,BW$168*(1+Data_All!BW69%),BW229*(1+Data_All!BW69%)),"")</f>
        <v/>
      </c>
      <c r="BX230" s="427">
        <f>IF(AND($A230&gt;=SYear_O,$A230&lt;=EYear_O,BX$3&gt;0),IF($A230=SYear_O,BX$168*(1+Data_All!BX69%),BX229*(1+Data_All!BX69%)),"")</f>
        <v>233219.99135131613</v>
      </c>
      <c r="BY230" s="427">
        <f>IF(AND($A230&gt;=SYear_O,$A230&lt;=EYear_O,BY$3&gt;0),IF($A230=SYear_O,BY$168*(1+Data_All!BY69%),BY229*(1+Data_All!BY69%)),"")</f>
        <v>46914.866807179729</v>
      </c>
      <c r="BZ230" s="427" t="str">
        <f>IF(AND($A230&gt;=SYear_O,$A230&lt;=EYear_O,BZ$3&gt;0),IF($A230=SYear_O,BZ$168*(1+Data_All!BZ69%),BZ229*(1+Data_All!BZ69%)),"")</f>
        <v/>
      </c>
      <c r="CA230" s="565">
        <f t="shared" si="108"/>
        <v>-6.0997042159514443</v>
      </c>
      <c r="CB230" s="427">
        <f t="shared" si="109"/>
        <v>280134.85815849586</v>
      </c>
      <c r="CC230" s="565">
        <f>IF(AND($A230&gt;=SYear_O,$A230&lt;=EYear_O),(CA230-Data_All!CA69)/(1+Data_All!CA69%),"")</f>
        <v>4.0910255590615794</v>
      </c>
      <c r="CD230" s="436">
        <f t="shared" si="110"/>
        <v>270668.0589390574</v>
      </c>
      <c r="CE230" s="438">
        <f t="shared" si="111"/>
        <v>25.408018386985272</v>
      </c>
      <c r="CF230" s="438">
        <f>IF(AND($A230&gt;=SYear_O,$A230&lt;=EYear_O),MAX($CE$169:CE230),"")</f>
        <v>60.273867724924756</v>
      </c>
      <c r="CG230" s="209">
        <f t="shared" si="112"/>
        <v>0.57845714326909836</v>
      </c>
      <c r="CN230" s="61">
        <f t="shared" si="113"/>
        <v>-6.0997042159514403E-2</v>
      </c>
      <c r="CO230" s="61">
        <f t="shared" si="114"/>
        <v>8.8058467297192911E-2</v>
      </c>
      <c r="CP230" s="61">
        <f t="shared" si="115"/>
        <v>0.19763122760815466</v>
      </c>
      <c r="CQ230" s="61">
        <f t="shared" si="116"/>
        <v>5.8502516584522768E-2</v>
      </c>
      <c r="CR230" s="61">
        <f t="shared" si="117"/>
        <v>8.8945418695700162E-2</v>
      </c>
      <c r="CU230" s="61">
        <f t="shared" si="118"/>
        <v>4.0910255590615785E-2</v>
      </c>
      <c r="CV230" s="61">
        <f t="shared" si="119"/>
        <v>0.10641471387621571</v>
      </c>
      <c r="CW230" s="61">
        <f t="shared" si="120"/>
        <v>0.20100964865530679</v>
      </c>
      <c r="CX230" s="61">
        <f t="shared" si="121"/>
        <v>4.866200599743542E-2</v>
      </c>
      <c r="CY230" s="61">
        <f t="shared" si="122"/>
        <v>5.9739894639215585E-2</v>
      </c>
    </row>
    <row r="231" spans="1:103">
      <c r="A231" s="204">
        <f t="shared" si="107"/>
        <v>1933</v>
      </c>
      <c r="B231" s="427" t="str">
        <f>IF(AND($A231&gt;=SYear_O,$A231&lt;=EYear_O,B$3&gt;0),IF($A231=SYear_O,B$168*(1+Data_All!B70%),B230*(1+Data_All!B70%)),"")</f>
        <v/>
      </c>
      <c r="C231" s="427" t="str">
        <f>IF(AND($A231&gt;=SYear_O,$A231&lt;=EYear_O,C$3&gt;0),IF($A231=SYear_O,C$168*(1+Data_All!C70%),C230*(1+Data_All!C70%)),"")</f>
        <v/>
      </c>
      <c r="D231" s="427" t="str">
        <f>IF(AND($A231&gt;=SYear_O,$A231&lt;=EYear_O,D$3&gt;0),IF($A231=SYear_O,D$168*(1+Data_All!D70%),D230*(1+Data_All!D70%)),"")</f>
        <v/>
      </c>
      <c r="E231" s="427" t="str">
        <f>IF(AND($A231&gt;=SYear_O,$A231&lt;=EYear_O,E$3&gt;0),IF($A231=SYear_O,E$168*(1+Data_All!E70%),E230*(1+Data_All!E70%)),"")</f>
        <v/>
      </c>
      <c r="F231" s="427" t="str">
        <f>IF(AND($A231&gt;=SYear_O,$A231&lt;=EYear_O,F$3&gt;0),IF($A231=SYear_O,F$168*(1+Data_All!F70%),F230*(1+Data_All!F70%)),"")</f>
        <v/>
      </c>
      <c r="G231" s="427" t="str">
        <f>IF(AND($A231&gt;=SYear_O,$A231&lt;=EYear_O,G$3&gt;0),IF($A231=SYear_O,G$168*(1+Data_All!G70%),G230*(1+Data_All!G70%)),"")</f>
        <v/>
      </c>
      <c r="H231" s="427" t="str">
        <f>IF(AND($A231&gt;=SYear_O,$A231&lt;=EYear_O,H$3&gt;0),IF($A231=SYear_O,H$168*(1+Data_All!H70%),H230*(1+Data_All!H70%)),"")</f>
        <v/>
      </c>
      <c r="I231" s="427" t="str">
        <f>IF(AND($A231&gt;=SYear_O,$A231&lt;=EYear_O,I$3&gt;0),IF($A231=SYear_O,I$168*(1+Data_All!I70%),I230*(1+Data_All!I70%)),"")</f>
        <v/>
      </c>
      <c r="J231" s="427" t="str">
        <f>IF(AND($A231&gt;=SYear_O,$A231&lt;=EYear_O,J$3&gt;0),IF($A231=SYear_O,J$168*(1+Data_All!J70%),J230*(1+Data_All!J70%)),"")</f>
        <v/>
      </c>
      <c r="K231" s="427" t="str">
        <f>IF(AND($A231&gt;=SYear_O,$A231&lt;=EYear_O,K$3&gt;0),IF($A231=SYear_O,K$168*(1+Data_All!K70%),K230*(1+Data_All!K70%)),"")</f>
        <v/>
      </c>
      <c r="L231" s="427" t="str">
        <f>IF(AND($A231&gt;=SYear_O,$A231&lt;=EYear_O,L$3&gt;0),IF($A231=SYear_O,L$168*(1+Data_All!L70%),L230*(1+Data_All!L70%)),"")</f>
        <v/>
      </c>
      <c r="M231" s="427" t="str">
        <f>IF(AND($A231&gt;=SYear_O,$A231&lt;=EYear_O,M$3&gt;0),IF($A231=SYear_O,M$168*(1+Data_All!M70%),M230*(1+Data_All!M70%)),"")</f>
        <v/>
      </c>
      <c r="N231" s="427" t="str">
        <f>IF(AND($A231&gt;=SYear_O,$A231&lt;=EYear_O,N$3&gt;0),IF($A231=SYear_O,N$168*(1+Data_All!N70%),N230*(1+Data_All!N70%)),"")</f>
        <v/>
      </c>
      <c r="O231" s="427" t="str">
        <f>IF(AND($A231&gt;=SYear_O,$A231&lt;=EYear_O,O$3&gt;0),IF($A231=SYear_O,O$168*(1+Data_All!O70%),O230*(1+Data_All!O70%)),"")</f>
        <v/>
      </c>
      <c r="P231" s="427" t="str">
        <f>IF(AND($A231&gt;=SYear_O,$A231&lt;=EYear_O,P$3&gt;0),IF($A231=SYear_O,P$168*(1+Data_All!P70%),P230*(1+Data_All!P70%)),"")</f>
        <v/>
      </c>
      <c r="Q231" s="427" t="str">
        <f>IF(AND($A231&gt;=SYear_O,$A231&lt;=EYear_O,Q$3&gt;0),IF($A231=SYear_O,Q$168*(1+Data_All!Q70%),Q230*(1+Data_All!Q70%)),"")</f>
        <v/>
      </c>
      <c r="R231" s="427" t="str">
        <f>IF(AND($A231&gt;=SYear_O,$A231&lt;=EYear_O,R$3&gt;0),IF($A231=SYear_O,R$168*(1+Data_All!R70%),R230*(1+Data_All!R70%)),"")</f>
        <v/>
      </c>
      <c r="S231" s="427" t="str">
        <f>IF(AND($A231&gt;=SYear_O,$A231&lt;=EYear_O,S$3&gt;0),IF($A231=SYear_O,S$168*(1+Data_All!S70%),S230*(1+Data_All!S70%)),"")</f>
        <v/>
      </c>
      <c r="T231" s="427" t="str">
        <f>IF(AND($A231&gt;=SYear_O,$A231&lt;=EYear_O,T$3&gt;0),IF($A231=SYear_O,T$168*(1+Data_All!T70%),T230*(1+Data_All!T70%)),"")</f>
        <v/>
      </c>
      <c r="U231" s="427" t="str">
        <f>IF(AND($A231&gt;=SYear_O,$A231&lt;=EYear_O,U$3&gt;0),IF($A231=SYear_O,U$168*(1+Data_All!U70%),U230*(1+Data_All!U70%)),"")</f>
        <v/>
      </c>
      <c r="V231" s="427" t="str">
        <f>IF(AND($A231&gt;=SYear_O,$A231&lt;=EYear_O,V$3&gt;0),IF($A231=SYear_O,V$168*(1+Data_All!V70%),V230*(1+Data_All!V70%)),"")</f>
        <v/>
      </c>
      <c r="W231" s="427" t="str">
        <f>IF(AND($A231&gt;=SYear_O,$A231&lt;=EYear_O,W$3&gt;0),IF($A231=SYear_O,W$168*(1+Data_All!W70%),W230*(1+Data_All!W70%)),"")</f>
        <v/>
      </c>
      <c r="X231" s="427" t="str">
        <f>IF(AND($A231&gt;=SYear_O,$A231&lt;=EYear_O,X$3&gt;0),IF($A231=SYear_O,X$168*(1+Data_All!X70%),X230*(1+Data_All!X70%)),"")</f>
        <v/>
      </c>
      <c r="Y231" s="427" t="str">
        <f>IF(AND($A231&gt;=SYear_O,$A231&lt;=EYear_O,Y$3&gt;0),IF($A231=SYear_O,Y$168*(1+Data_All!Y70%),Y230*(1+Data_All!Y70%)),"")</f>
        <v/>
      </c>
      <c r="Z231" s="427" t="str">
        <f>IF(AND($A231&gt;=SYear_O,$A231&lt;=EYear_O,Z$3&gt;0),IF($A231=SYear_O,Z$168*(1+Data_All!Z70%),Z230*(1+Data_All!Z70%)),"")</f>
        <v/>
      </c>
      <c r="AA231" s="427" t="str">
        <f>IF(AND($A231&gt;=SYear_O,$A231&lt;=EYear_O,AA$3&gt;0),IF($A231=SYear_O,AA$168*(1+Data_All!AA70%),AA230*(1+Data_All!AA70%)),"")</f>
        <v/>
      </c>
      <c r="AB231" s="427" t="str">
        <f>IF(AND($A231&gt;=SYear_O,$A231&lt;=EYear_O,AB$3&gt;0),IF($A231=SYear_O,AB$168*(1+Data_All!AB70%),AB230*(1+Data_All!AB70%)),"")</f>
        <v/>
      </c>
      <c r="AC231" s="427" t="str">
        <f>IF(AND($A231&gt;=SYear_O,$A231&lt;=EYear_O,AC$3&gt;0),IF($A231=SYear_O,AC$168*(1+Data_All!AC70%),AC230*(1+Data_All!AC70%)),"")</f>
        <v/>
      </c>
      <c r="AD231" s="427" t="str">
        <f>IF(AND($A231&gt;=SYear_O,$A231&lt;=EYear_O,AD$3&gt;0),IF($A231=SYear_O,AD$168*(1+Data_All!AD70%),AD230*(1+Data_All!AD70%)),"")</f>
        <v/>
      </c>
      <c r="AE231" s="427" t="str">
        <f>IF(AND($A231&gt;=SYear_O,$A231&lt;=EYear_O,AE$3&gt;0),IF($A231=SYear_O,AE$168*(1+Data_All!AE70%),AE230*(1+Data_All!AE70%)),"")</f>
        <v/>
      </c>
      <c r="AF231" s="427" t="str">
        <f>IF(AND($A231&gt;=SYear_O,$A231&lt;=EYear_O,AF$3&gt;0),IF($A231=SYear_O,AF$168*(1+Data_All!AF70%),AF230*(1+Data_All!AF70%)),"")</f>
        <v/>
      </c>
      <c r="AG231" s="427" t="str">
        <f>IF(AND($A231&gt;=SYear_O,$A231&lt;=EYear_O,AG$3&gt;0),IF($A231=SYear_O,AG$168*(1+Data_All!AG70%),AG230*(1+Data_All!AG70%)),"")</f>
        <v/>
      </c>
      <c r="AH231" s="427" t="str">
        <f>IF(AND($A231&gt;=SYear_O,$A231&lt;=EYear_O,AH$3&gt;0),IF($A231=SYear_O,AH$168*(1+Data_All!AH70%),AH230*(1+Data_All!AH70%)),"")</f>
        <v/>
      </c>
      <c r="AI231" s="427" t="str">
        <f>IF(AND($A231&gt;=SYear_O,$A231&lt;=EYear_O,AI$3&gt;0),IF($A231=SYear_O,AI$168*(1+Data_All!AI70%),AI230*(1+Data_All!AI70%)),"")</f>
        <v/>
      </c>
      <c r="AJ231" s="427" t="str">
        <f>IF(AND($A231&gt;=SYear_O,$A231&lt;=EYear_O,AJ$3&gt;0),IF($A231=SYear_O,AJ$168*(1+Data_All!AJ70%),AJ230*(1+Data_All!AJ70%)),"")</f>
        <v/>
      </c>
      <c r="AK231" s="427" t="str">
        <f>IF(AND($A231&gt;=SYear_O,$A231&lt;=EYear_O,AK$3&gt;0),IF($A231=SYear_O,AK$168*(1+Data_All!AK70%),AK230*(1+Data_All!AK70%)),"")</f>
        <v/>
      </c>
      <c r="AL231" s="427" t="str">
        <f>IF(AND($A231&gt;=SYear_O,$A231&lt;=EYear_O,AL$3&gt;0),IF($A231=SYear_O,AL$168*(1+Data_All!AL70%),AL230*(1+Data_All!AL70%)),"")</f>
        <v/>
      </c>
      <c r="AM231" s="427" t="str">
        <f>IF(AND($A231&gt;=SYear_O,$A231&lt;=EYear_O,AM$3&gt;0),IF($A231=SYear_O,AM$168*(1+Data_All!AM70%),AM230*(1+Data_All!AM70%)),"")</f>
        <v/>
      </c>
      <c r="AN231" s="427" t="str">
        <f>IF(AND($A231&gt;=SYear_O,$A231&lt;=EYear_O,AN$3&gt;0),IF($A231=SYear_O,AN$168*(1+Data_All!AN70%),AN230*(1+Data_All!AN70%)),"")</f>
        <v/>
      </c>
      <c r="AO231" s="427" t="str">
        <f>IF(AND($A231&gt;=SYear_O,$A231&lt;=EYear_O,AO$3&gt;0),IF($A231=SYear_O,AO$168*(1+Data_All!AO70%),AO230*(1+Data_All!AO70%)),"")</f>
        <v/>
      </c>
      <c r="AP231" s="427" t="str">
        <f>IF(AND($A231&gt;=SYear_O,$A231&lt;=EYear_O,AP$3&gt;0),IF($A231=SYear_O,AP$168*(1+Data_All!AP70%),AP230*(1+Data_All!AP70%)),"")</f>
        <v/>
      </c>
      <c r="AQ231" s="427" t="str">
        <f>IF(AND($A231&gt;=SYear_O,$A231&lt;=EYear_O,AQ$3&gt;0),IF($A231=SYear_O,AQ$168*(1+Data_All!AQ70%),AQ230*(1+Data_All!AQ70%)),"")</f>
        <v/>
      </c>
      <c r="AR231" s="427" t="str">
        <f>IF(AND($A231&gt;=SYear_O,$A231&lt;=EYear_O,AR$3&gt;0),IF($A231=SYear_O,AR$168*(1+Data_All!AR70%),AR230*(1+Data_All!AR70%)),"")</f>
        <v/>
      </c>
      <c r="AS231" s="427" t="str">
        <f>IF(AND($A231&gt;=SYear_O,$A231&lt;=EYear_O,AS$3&gt;0),IF($A231=SYear_O,AS$168*(1+Data_All!AS70%),AS230*(1+Data_All!AS70%)),"")</f>
        <v/>
      </c>
      <c r="AT231" s="427" t="str">
        <f>IF(AND($A231&gt;=SYear_O,$A231&lt;=EYear_O,AT$3&gt;0),IF($A231=SYear_O,AT$168*(1+Data_All!AT70%),AT230*(1+Data_All!AT70%)),"")</f>
        <v/>
      </c>
      <c r="AU231" s="427" t="str">
        <f>IF(AND($A231&gt;=SYear_O,$A231&lt;=EYear_O,AU$3&gt;0),IF($A231=SYear_O,AU$168*(1+Data_All!AU70%),AU230*(1+Data_All!AU70%)),"")</f>
        <v/>
      </c>
      <c r="AV231" s="427" t="str">
        <f>IF(AND($A231&gt;=SYear_O,$A231&lt;=EYear_O,AV$3&gt;0),IF($A231=SYear_O,AV$168*(1+Data_All!AV70%),AV230*(1+Data_All!AV70%)),"")</f>
        <v/>
      </c>
      <c r="AW231" s="427" t="str">
        <f>IF(AND($A231&gt;=SYear_O,$A231&lt;=EYear_O,AW$3&gt;0),IF($A231=SYear_O,AW$168*(1+Data_All!AW70%),AW230*(1+Data_All!AW70%)),"")</f>
        <v/>
      </c>
      <c r="AX231" s="427" t="str">
        <f>IF(AND($A231&gt;=SYear_O,$A231&lt;=EYear_O,AX$3&gt;0),IF($A231=SYear_O,AX$168*(1+Data_All!AX70%),AX230*(1+Data_All!AX70%)),"")</f>
        <v/>
      </c>
      <c r="AY231" s="427" t="str">
        <f>IF(AND($A231&gt;=SYear_O,$A231&lt;=EYear_O,AY$3&gt;0),IF($A231=SYear_O,AY$168*(1+Data_All!AY70%),AY230*(1+Data_All!AY70%)),"")</f>
        <v/>
      </c>
      <c r="AZ231" s="427" t="str">
        <f>IF(AND($A231&gt;=SYear_O,$A231&lt;=EYear_O,AZ$3&gt;0),IF($A231=SYear_O,AZ$168*(1+Data_All!AZ70%),AZ230*(1+Data_All!AZ70%)),"")</f>
        <v/>
      </c>
      <c r="BA231" s="427" t="str">
        <f>IF(AND($A231&gt;=SYear_O,$A231&lt;=EYear_O,BA$3&gt;0),IF($A231=SYear_O,BA$168*(1+Data_All!BA70%),BA230*(1+Data_All!BA70%)),"")</f>
        <v/>
      </c>
      <c r="BB231" s="427" t="str">
        <f>IF(AND($A231&gt;=SYear_O,$A231&lt;=EYear_O,BB$3&gt;0),IF($A231=SYear_O,BB$168*(1+Data_All!BB70%),BB230*(1+Data_All!BB70%)),"")</f>
        <v/>
      </c>
      <c r="BC231" s="427" t="str">
        <f>IF(AND($A231&gt;=SYear_O,$A231&lt;=EYear_O,BC$3&gt;0),IF($A231=SYear_O,BC$168*(1+Data_All!BC70%),BC230*(1+Data_All!BC70%)),"")</f>
        <v/>
      </c>
      <c r="BD231" s="427" t="str">
        <f>IF(AND($A231&gt;=SYear_O,$A231&lt;=EYear_O,BD$3&gt;0),IF($A231=SYear_O,BD$168*(1+Data_All!BD70%),BD230*(1+Data_All!BD70%)),"")</f>
        <v/>
      </c>
      <c r="BE231" s="427" t="str">
        <f>IF(AND($A231&gt;=SYear_O,$A231&lt;=EYear_O,BE$3&gt;0),IF($A231=SYear_O,BE$168*(1+Data_All!BE70%),BE230*(1+Data_All!BE70%)),"")</f>
        <v/>
      </c>
      <c r="BF231" s="427" t="str">
        <f>IF(AND($A231&gt;=SYear_O,$A231&lt;=EYear_O,BF$3&gt;0),IF($A231=SYear_O,BF$168*(1+Data_All!BF70%),BF230*(1+Data_All!BF70%)),"")</f>
        <v/>
      </c>
      <c r="BG231" s="427" t="str">
        <f>IF(AND($A231&gt;=SYear_O,$A231&lt;=EYear_O,BG$3&gt;0),IF($A231=SYear_O,BG$168*(1+Data_All!BG70%),BG230*(1+Data_All!BG70%)),"")</f>
        <v/>
      </c>
      <c r="BH231" s="427" t="str">
        <f>IF(AND($A231&gt;=SYear_O,$A231&lt;=EYear_O,BH$3&gt;0),IF($A231=SYear_O,BH$168*(1+Data_All!BH70%),BH230*(1+Data_All!BH70%)),"")</f>
        <v/>
      </c>
      <c r="BI231" s="427" t="str">
        <f>IF(AND($A231&gt;=SYear_O,$A231&lt;=EYear_O,BI$3&gt;0),IF($A231=SYear_O,BI$168*(1+Data_All!BI70%),BI230*(1+Data_All!BI70%)),"")</f>
        <v/>
      </c>
      <c r="BJ231" s="427" t="str">
        <f>IF(AND($A231&gt;=SYear_O,$A231&lt;=EYear_O,BJ$3&gt;0),IF($A231=SYear_O,BJ$168*(1+Data_All!BJ70%),BJ230*(1+Data_All!BJ70%)),"")</f>
        <v/>
      </c>
      <c r="BK231" s="427" t="str">
        <f>IF(AND($A231&gt;=SYear_O,$A231&lt;=EYear_O,BK$3&gt;0),IF($A231=SYear_O,BK$168*(1+Data_All!BK70%),BK230*(1+Data_All!BK70%)),"")</f>
        <v/>
      </c>
      <c r="BL231" s="427" t="str">
        <f>IF(AND($A231&gt;=SYear_O,$A231&lt;=EYear_O,BL$3&gt;0),IF($A231=SYear_O,BL$168*(1+Data_All!BL70%),BL230*(1+Data_All!BL70%)),"")</f>
        <v/>
      </c>
      <c r="BM231" s="427" t="str">
        <f>IF(AND($A231&gt;=SYear_O,$A231&lt;=EYear_O,BM$3&gt;0),IF($A231=SYear_O,BM$168*(1+Data_All!BM70%),BM230*(1+Data_All!BM70%)),"")</f>
        <v/>
      </c>
      <c r="BN231" s="427" t="str">
        <f>IF(AND($A231&gt;=SYear_O,$A231&lt;=EYear_O,BN$3&gt;0),IF($A231=SYear_O,BN$168*(1+Data_All!BN70%),BN230*(1+Data_All!BN70%)),"")</f>
        <v/>
      </c>
      <c r="BO231" s="427" t="str">
        <f>IF(AND($A231&gt;=SYear_O,$A231&lt;=EYear_O,BO$3&gt;0),IF($A231=SYear_O,BO$168*(1+Data_All!BO70%),BO230*(1+Data_All!BO70%)),"")</f>
        <v/>
      </c>
      <c r="BP231" s="427" t="str">
        <f>IF(AND($A231&gt;=SYear_O,$A231&lt;=EYear_O,BP$3&gt;0),IF($A231=SYear_O,BP$168*(1+Data_All!BP70%),BP230*(1+Data_All!BP70%)),"")</f>
        <v/>
      </c>
      <c r="BQ231" s="427" t="str">
        <f>IF(AND($A231&gt;=SYear_O,$A231&lt;=EYear_O,BQ$3&gt;0),IF($A231=SYear_O,BQ$168*(1+Data_All!BQ70%),BQ230*(1+Data_All!BQ70%)),"")</f>
        <v/>
      </c>
      <c r="BR231" s="427" t="str">
        <f>IF(AND($A231&gt;=SYear_O,$A231&lt;=EYear_O,BR$3&gt;0),IF($A231=SYear_O,BR$168*(1+Data_All!BR70%),BR230*(1+Data_All!BR70%)),"")</f>
        <v/>
      </c>
      <c r="BS231" s="427" t="str">
        <f>IF(AND($A231&gt;=SYear_O,$A231&lt;=EYear_O,BS$3&gt;0),IF($A231=SYear_O,BS$168*(1+Data_All!BS70%),BS230*(1+Data_All!BS70%)),"")</f>
        <v/>
      </c>
      <c r="BT231" s="427" t="str">
        <f>IF(AND($A231&gt;=SYear_O,$A231&lt;=EYear_O,BT$3&gt;0),IF($A231=SYear_O,BT$168*(1+Data_All!BT70%),BT230*(1+Data_All!BT70%)),"")</f>
        <v/>
      </c>
      <c r="BU231" s="427" t="str">
        <f>IF(AND($A231&gt;=SYear_O,$A231&lt;=EYear_O,BU$3&gt;0),IF($A231=SYear_O,BU$168*(1+Data_All!BU70%),BU230*(1+Data_All!BU70%)),"")</f>
        <v/>
      </c>
      <c r="BV231" s="427" t="str">
        <f>IF(AND($A231&gt;=SYear_O,$A231&lt;=EYear_O,BV$3&gt;0),IF($A231=SYear_O,BV$168*(1+Data_All!BV70%),BV230*(1+Data_All!BV70%)),"")</f>
        <v/>
      </c>
      <c r="BW231" s="427" t="str">
        <f>IF(AND($A231&gt;=SYear_O,$A231&lt;=EYear_O,BW$3&gt;0),IF($A231=SYear_O,BW$168*(1+Data_All!BW70%),BW230*(1+Data_All!BW70%)),"")</f>
        <v/>
      </c>
      <c r="BX231" s="427">
        <f>IF(AND($A231&gt;=SYear_O,$A231&lt;=EYear_O,BX$3&gt;0),IF($A231=SYear_O,BX$168*(1+Data_All!BX70%),BX230*(1+Data_All!BX70%)),"")</f>
        <v>361178.49154265877</v>
      </c>
      <c r="BY231" s="427">
        <f>IF(AND($A231&gt;=SYear_O,$A231&lt;=EYear_O,BY$3&gt;0),IF($A231=SYear_O,BY$168*(1+Data_All!BY70%),BY230*(1+Data_All!BY70%)),"")</f>
        <v>49202.669133046431</v>
      </c>
      <c r="BZ231" s="427" t="str">
        <f>IF(AND($A231&gt;=SYear_O,$A231&lt;=EYear_O,BZ$3&gt;0),IF($A231=SYear_O,BZ$168*(1+Data_All!BZ70%),BZ230*(1+Data_All!BZ70%)),"")</f>
        <v/>
      </c>
      <c r="CA231" s="565">
        <f t="shared" si="108"/>
        <v>46.49414334702967</v>
      </c>
      <c r="CB231" s="427">
        <f t="shared" si="109"/>
        <v>410381.16067570518</v>
      </c>
      <c r="CC231" s="565">
        <f>IF(AND($A231&gt;=SYear_O,$A231&lt;=EYear_O),(CA231-Data_All!CA70)/(1+Data_All!CA70%),"")</f>
        <v>43.164730998233566</v>
      </c>
      <c r="CD231" s="436">
        <f t="shared" si="110"/>
        <v>387501.1984782418</v>
      </c>
      <c r="CE231" s="438">
        <f t="shared" si="111"/>
        <v>37.221258877469857</v>
      </c>
      <c r="CF231" s="438">
        <f>IF(AND($A231&gt;=SYear_O,$A231&lt;=EYear_O),MAX($CE$169:CE231),"")</f>
        <v>60.273867724924756</v>
      </c>
      <c r="CG231" s="209">
        <f t="shared" si="112"/>
        <v>0.38246440319146913</v>
      </c>
      <c r="CN231" s="61">
        <f t="shared" si="113"/>
        <v>0.46494143347029682</v>
      </c>
      <c r="CO231" s="61">
        <f t="shared" si="114"/>
        <v>0.26318025992437755</v>
      </c>
      <c r="CP231" s="61">
        <f t="shared" si="115"/>
        <v>0.1337827829105056</v>
      </c>
      <c r="CQ231" s="61">
        <f t="shared" si="116"/>
        <v>8.2563512915803994E-2</v>
      </c>
      <c r="CR231" s="61">
        <f t="shared" si="117"/>
        <v>9.5611899061399885E-2</v>
      </c>
      <c r="CU231" s="61">
        <f t="shared" si="118"/>
        <v>0.43164730998233569</v>
      </c>
      <c r="CV231" s="61">
        <f t="shared" si="119"/>
        <v>0.23510023640378197</v>
      </c>
      <c r="CW231" s="61">
        <f t="shared" si="120"/>
        <v>0.11221854172610479</v>
      </c>
      <c r="CX231" s="61">
        <f t="shared" si="121"/>
        <v>5.3716270237141872E-2</v>
      </c>
      <c r="CY231" s="61">
        <f t="shared" si="122"/>
        <v>5.2073701162909991E-2</v>
      </c>
    </row>
    <row r="232" spans="1:103">
      <c r="A232" s="204">
        <f t="shared" si="107"/>
        <v>1934</v>
      </c>
      <c r="B232" s="427" t="str">
        <f>IF(AND($A232&gt;=SYear_O,$A232&lt;=EYear_O,B$3&gt;0),IF($A232=SYear_O,B$168*(1+Data_All!B71%),B231*(1+Data_All!B71%)),"")</f>
        <v/>
      </c>
      <c r="C232" s="427" t="str">
        <f>IF(AND($A232&gt;=SYear_O,$A232&lt;=EYear_O,C$3&gt;0),IF($A232=SYear_O,C$168*(1+Data_All!C71%),C231*(1+Data_All!C71%)),"")</f>
        <v/>
      </c>
      <c r="D232" s="427" t="str">
        <f>IF(AND($A232&gt;=SYear_O,$A232&lt;=EYear_O,D$3&gt;0),IF($A232=SYear_O,D$168*(1+Data_All!D71%),D231*(1+Data_All!D71%)),"")</f>
        <v/>
      </c>
      <c r="E232" s="427" t="str">
        <f>IF(AND($A232&gt;=SYear_O,$A232&lt;=EYear_O,E$3&gt;0),IF($A232=SYear_O,E$168*(1+Data_All!E71%),E231*(1+Data_All!E71%)),"")</f>
        <v/>
      </c>
      <c r="F232" s="427" t="str">
        <f>IF(AND($A232&gt;=SYear_O,$A232&lt;=EYear_O,F$3&gt;0),IF($A232=SYear_O,F$168*(1+Data_All!F71%),F231*(1+Data_All!F71%)),"")</f>
        <v/>
      </c>
      <c r="G232" s="427" t="str">
        <f>IF(AND($A232&gt;=SYear_O,$A232&lt;=EYear_O,G$3&gt;0),IF($A232=SYear_O,G$168*(1+Data_All!G71%),G231*(1+Data_All!G71%)),"")</f>
        <v/>
      </c>
      <c r="H232" s="427" t="str">
        <f>IF(AND($A232&gt;=SYear_O,$A232&lt;=EYear_O,H$3&gt;0),IF($A232=SYear_O,H$168*(1+Data_All!H71%),H231*(1+Data_All!H71%)),"")</f>
        <v/>
      </c>
      <c r="I232" s="427" t="str">
        <f>IF(AND($A232&gt;=SYear_O,$A232&lt;=EYear_O,I$3&gt;0),IF($A232=SYear_O,I$168*(1+Data_All!I71%),I231*(1+Data_All!I71%)),"")</f>
        <v/>
      </c>
      <c r="J232" s="427" t="str">
        <f>IF(AND($A232&gt;=SYear_O,$A232&lt;=EYear_O,J$3&gt;0),IF($A232=SYear_O,J$168*(1+Data_All!J71%),J231*(1+Data_All!J71%)),"")</f>
        <v/>
      </c>
      <c r="K232" s="427" t="str">
        <f>IF(AND($A232&gt;=SYear_O,$A232&lt;=EYear_O,K$3&gt;0),IF($A232=SYear_O,K$168*(1+Data_All!K71%),K231*(1+Data_All!K71%)),"")</f>
        <v/>
      </c>
      <c r="L232" s="427" t="str">
        <f>IF(AND($A232&gt;=SYear_O,$A232&lt;=EYear_O,L$3&gt;0),IF($A232=SYear_O,L$168*(1+Data_All!L71%),L231*(1+Data_All!L71%)),"")</f>
        <v/>
      </c>
      <c r="M232" s="427" t="str">
        <f>IF(AND($A232&gt;=SYear_O,$A232&lt;=EYear_O,M$3&gt;0),IF($A232=SYear_O,M$168*(1+Data_All!M71%),M231*(1+Data_All!M71%)),"")</f>
        <v/>
      </c>
      <c r="N232" s="427" t="str">
        <f>IF(AND($A232&gt;=SYear_O,$A232&lt;=EYear_O,N$3&gt;0),IF($A232=SYear_O,N$168*(1+Data_All!N71%),N231*(1+Data_All!N71%)),"")</f>
        <v/>
      </c>
      <c r="O232" s="427" t="str">
        <f>IF(AND($A232&gt;=SYear_O,$A232&lt;=EYear_O,O$3&gt;0),IF($A232=SYear_O,O$168*(1+Data_All!O71%),O231*(1+Data_All!O71%)),"")</f>
        <v/>
      </c>
      <c r="P232" s="427" t="str">
        <f>IF(AND($A232&gt;=SYear_O,$A232&lt;=EYear_O,P$3&gt;0),IF($A232=SYear_O,P$168*(1+Data_All!P71%),P231*(1+Data_All!P71%)),"")</f>
        <v/>
      </c>
      <c r="Q232" s="427" t="str">
        <f>IF(AND($A232&gt;=SYear_O,$A232&lt;=EYear_O,Q$3&gt;0),IF($A232=SYear_O,Q$168*(1+Data_All!Q71%),Q231*(1+Data_All!Q71%)),"")</f>
        <v/>
      </c>
      <c r="R232" s="427" t="str">
        <f>IF(AND($A232&gt;=SYear_O,$A232&lt;=EYear_O,R$3&gt;0),IF($A232=SYear_O,R$168*(1+Data_All!R71%),R231*(1+Data_All!R71%)),"")</f>
        <v/>
      </c>
      <c r="S232" s="427" t="str">
        <f>IF(AND($A232&gt;=SYear_O,$A232&lt;=EYear_O,S$3&gt;0),IF($A232=SYear_O,S$168*(1+Data_All!S71%),S231*(1+Data_All!S71%)),"")</f>
        <v/>
      </c>
      <c r="T232" s="427" t="str">
        <f>IF(AND($A232&gt;=SYear_O,$A232&lt;=EYear_O,T$3&gt;0),IF($A232=SYear_O,T$168*(1+Data_All!T71%),T231*(1+Data_All!T71%)),"")</f>
        <v/>
      </c>
      <c r="U232" s="427" t="str">
        <f>IF(AND($A232&gt;=SYear_O,$A232&lt;=EYear_O,U$3&gt;0),IF($A232=SYear_O,U$168*(1+Data_All!U71%),U231*(1+Data_All!U71%)),"")</f>
        <v/>
      </c>
      <c r="V232" s="427" t="str">
        <f>IF(AND($A232&gt;=SYear_O,$A232&lt;=EYear_O,V$3&gt;0),IF($A232=SYear_O,V$168*(1+Data_All!V71%),V231*(1+Data_All!V71%)),"")</f>
        <v/>
      </c>
      <c r="W232" s="427" t="str">
        <f>IF(AND($A232&gt;=SYear_O,$A232&lt;=EYear_O,W$3&gt;0),IF($A232=SYear_O,W$168*(1+Data_All!W71%),W231*(1+Data_All!W71%)),"")</f>
        <v/>
      </c>
      <c r="X232" s="427" t="str">
        <f>IF(AND($A232&gt;=SYear_O,$A232&lt;=EYear_O,X$3&gt;0),IF($A232=SYear_O,X$168*(1+Data_All!X71%),X231*(1+Data_All!X71%)),"")</f>
        <v/>
      </c>
      <c r="Y232" s="427" t="str">
        <f>IF(AND($A232&gt;=SYear_O,$A232&lt;=EYear_O,Y$3&gt;0),IF($A232=SYear_O,Y$168*(1+Data_All!Y71%),Y231*(1+Data_All!Y71%)),"")</f>
        <v/>
      </c>
      <c r="Z232" s="427" t="str">
        <f>IF(AND($A232&gt;=SYear_O,$A232&lt;=EYear_O,Z$3&gt;0),IF($A232=SYear_O,Z$168*(1+Data_All!Z71%),Z231*(1+Data_All!Z71%)),"")</f>
        <v/>
      </c>
      <c r="AA232" s="427" t="str">
        <f>IF(AND($A232&gt;=SYear_O,$A232&lt;=EYear_O,AA$3&gt;0),IF($A232=SYear_O,AA$168*(1+Data_All!AA71%),AA231*(1+Data_All!AA71%)),"")</f>
        <v/>
      </c>
      <c r="AB232" s="427" t="str">
        <f>IF(AND($A232&gt;=SYear_O,$A232&lt;=EYear_O,AB$3&gt;0),IF($A232=SYear_O,AB$168*(1+Data_All!AB71%),AB231*(1+Data_All!AB71%)),"")</f>
        <v/>
      </c>
      <c r="AC232" s="427" t="str">
        <f>IF(AND($A232&gt;=SYear_O,$A232&lt;=EYear_O,AC$3&gt;0),IF($A232=SYear_O,AC$168*(1+Data_All!AC71%),AC231*(1+Data_All!AC71%)),"")</f>
        <v/>
      </c>
      <c r="AD232" s="427" t="str">
        <f>IF(AND($A232&gt;=SYear_O,$A232&lt;=EYear_O,AD$3&gt;0),IF($A232=SYear_O,AD$168*(1+Data_All!AD71%),AD231*(1+Data_All!AD71%)),"")</f>
        <v/>
      </c>
      <c r="AE232" s="427" t="str">
        <f>IF(AND($A232&gt;=SYear_O,$A232&lt;=EYear_O,AE$3&gt;0),IF($A232=SYear_O,AE$168*(1+Data_All!AE71%),AE231*(1+Data_All!AE71%)),"")</f>
        <v/>
      </c>
      <c r="AF232" s="427" t="str">
        <f>IF(AND($A232&gt;=SYear_O,$A232&lt;=EYear_O,AF$3&gt;0),IF($A232=SYear_O,AF$168*(1+Data_All!AF71%),AF231*(1+Data_All!AF71%)),"")</f>
        <v/>
      </c>
      <c r="AG232" s="427" t="str">
        <f>IF(AND($A232&gt;=SYear_O,$A232&lt;=EYear_O,AG$3&gt;0),IF($A232=SYear_O,AG$168*(1+Data_All!AG71%),AG231*(1+Data_All!AG71%)),"")</f>
        <v/>
      </c>
      <c r="AH232" s="427" t="str">
        <f>IF(AND($A232&gt;=SYear_O,$A232&lt;=EYear_O,AH$3&gt;0),IF($A232=SYear_O,AH$168*(1+Data_All!AH71%),AH231*(1+Data_All!AH71%)),"")</f>
        <v/>
      </c>
      <c r="AI232" s="427" t="str">
        <f>IF(AND($A232&gt;=SYear_O,$A232&lt;=EYear_O,AI$3&gt;0),IF($A232=SYear_O,AI$168*(1+Data_All!AI71%),AI231*(1+Data_All!AI71%)),"")</f>
        <v/>
      </c>
      <c r="AJ232" s="427" t="str">
        <f>IF(AND($A232&gt;=SYear_O,$A232&lt;=EYear_O,AJ$3&gt;0),IF($A232=SYear_O,AJ$168*(1+Data_All!AJ71%),AJ231*(1+Data_All!AJ71%)),"")</f>
        <v/>
      </c>
      <c r="AK232" s="427" t="str">
        <f>IF(AND($A232&gt;=SYear_O,$A232&lt;=EYear_O,AK$3&gt;0),IF($A232=SYear_O,AK$168*(1+Data_All!AK71%),AK231*(1+Data_All!AK71%)),"")</f>
        <v/>
      </c>
      <c r="AL232" s="427" t="str">
        <f>IF(AND($A232&gt;=SYear_O,$A232&lt;=EYear_O,AL$3&gt;0),IF($A232=SYear_O,AL$168*(1+Data_All!AL71%),AL231*(1+Data_All!AL71%)),"")</f>
        <v/>
      </c>
      <c r="AM232" s="427" t="str">
        <f>IF(AND($A232&gt;=SYear_O,$A232&lt;=EYear_O,AM$3&gt;0),IF($A232=SYear_O,AM$168*(1+Data_All!AM71%),AM231*(1+Data_All!AM71%)),"")</f>
        <v/>
      </c>
      <c r="AN232" s="427" t="str">
        <f>IF(AND($A232&gt;=SYear_O,$A232&lt;=EYear_O,AN$3&gt;0),IF($A232=SYear_O,AN$168*(1+Data_All!AN71%),AN231*(1+Data_All!AN71%)),"")</f>
        <v/>
      </c>
      <c r="AO232" s="427" t="str">
        <f>IF(AND($A232&gt;=SYear_O,$A232&lt;=EYear_O,AO$3&gt;0),IF($A232=SYear_O,AO$168*(1+Data_All!AO71%),AO231*(1+Data_All!AO71%)),"")</f>
        <v/>
      </c>
      <c r="AP232" s="427" t="str">
        <f>IF(AND($A232&gt;=SYear_O,$A232&lt;=EYear_O,AP$3&gt;0),IF($A232=SYear_O,AP$168*(1+Data_All!AP71%),AP231*(1+Data_All!AP71%)),"")</f>
        <v/>
      </c>
      <c r="AQ232" s="427" t="str">
        <f>IF(AND($A232&gt;=SYear_O,$A232&lt;=EYear_O,AQ$3&gt;0),IF($A232=SYear_O,AQ$168*(1+Data_All!AQ71%),AQ231*(1+Data_All!AQ71%)),"")</f>
        <v/>
      </c>
      <c r="AR232" s="427" t="str">
        <f>IF(AND($A232&gt;=SYear_O,$A232&lt;=EYear_O,AR$3&gt;0),IF($A232=SYear_O,AR$168*(1+Data_All!AR71%),AR231*(1+Data_All!AR71%)),"")</f>
        <v/>
      </c>
      <c r="AS232" s="427" t="str">
        <f>IF(AND($A232&gt;=SYear_O,$A232&lt;=EYear_O,AS$3&gt;0),IF($A232=SYear_O,AS$168*(1+Data_All!AS71%),AS231*(1+Data_All!AS71%)),"")</f>
        <v/>
      </c>
      <c r="AT232" s="427" t="str">
        <f>IF(AND($A232&gt;=SYear_O,$A232&lt;=EYear_O,AT$3&gt;0),IF($A232=SYear_O,AT$168*(1+Data_All!AT71%),AT231*(1+Data_All!AT71%)),"")</f>
        <v/>
      </c>
      <c r="AU232" s="427" t="str">
        <f>IF(AND($A232&gt;=SYear_O,$A232&lt;=EYear_O,AU$3&gt;0),IF($A232=SYear_O,AU$168*(1+Data_All!AU71%),AU231*(1+Data_All!AU71%)),"")</f>
        <v/>
      </c>
      <c r="AV232" s="427" t="str">
        <f>IF(AND($A232&gt;=SYear_O,$A232&lt;=EYear_O,AV$3&gt;0),IF($A232=SYear_O,AV$168*(1+Data_All!AV71%),AV231*(1+Data_All!AV71%)),"")</f>
        <v/>
      </c>
      <c r="AW232" s="427" t="str">
        <f>IF(AND($A232&gt;=SYear_O,$A232&lt;=EYear_O,AW$3&gt;0),IF($A232=SYear_O,AW$168*(1+Data_All!AW71%),AW231*(1+Data_All!AW71%)),"")</f>
        <v/>
      </c>
      <c r="AX232" s="427" t="str">
        <f>IF(AND($A232&gt;=SYear_O,$A232&lt;=EYear_O,AX$3&gt;0),IF($A232=SYear_O,AX$168*(1+Data_All!AX71%),AX231*(1+Data_All!AX71%)),"")</f>
        <v/>
      </c>
      <c r="AY232" s="427" t="str">
        <f>IF(AND($A232&gt;=SYear_O,$A232&lt;=EYear_O,AY$3&gt;0),IF($A232=SYear_O,AY$168*(1+Data_All!AY71%),AY231*(1+Data_All!AY71%)),"")</f>
        <v/>
      </c>
      <c r="AZ232" s="427" t="str">
        <f>IF(AND($A232&gt;=SYear_O,$A232&lt;=EYear_O,AZ$3&gt;0),IF($A232=SYear_O,AZ$168*(1+Data_All!AZ71%),AZ231*(1+Data_All!AZ71%)),"")</f>
        <v/>
      </c>
      <c r="BA232" s="427" t="str">
        <f>IF(AND($A232&gt;=SYear_O,$A232&lt;=EYear_O,BA$3&gt;0),IF($A232=SYear_O,BA$168*(1+Data_All!BA71%),BA231*(1+Data_All!BA71%)),"")</f>
        <v/>
      </c>
      <c r="BB232" s="427" t="str">
        <f>IF(AND($A232&gt;=SYear_O,$A232&lt;=EYear_O,BB$3&gt;0),IF($A232=SYear_O,BB$168*(1+Data_All!BB71%),BB231*(1+Data_All!BB71%)),"")</f>
        <v/>
      </c>
      <c r="BC232" s="427" t="str">
        <f>IF(AND($A232&gt;=SYear_O,$A232&lt;=EYear_O,BC$3&gt;0),IF($A232=SYear_O,BC$168*(1+Data_All!BC71%),BC231*(1+Data_All!BC71%)),"")</f>
        <v/>
      </c>
      <c r="BD232" s="427" t="str">
        <f>IF(AND($A232&gt;=SYear_O,$A232&lt;=EYear_O,BD$3&gt;0),IF($A232=SYear_O,BD$168*(1+Data_All!BD71%),BD231*(1+Data_All!BD71%)),"")</f>
        <v/>
      </c>
      <c r="BE232" s="427" t="str">
        <f>IF(AND($A232&gt;=SYear_O,$A232&lt;=EYear_O,BE$3&gt;0),IF($A232=SYear_O,BE$168*(1+Data_All!BE71%),BE231*(1+Data_All!BE71%)),"")</f>
        <v/>
      </c>
      <c r="BF232" s="427" t="str">
        <f>IF(AND($A232&gt;=SYear_O,$A232&lt;=EYear_O,BF$3&gt;0),IF($A232=SYear_O,BF$168*(1+Data_All!BF71%),BF231*(1+Data_All!BF71%)),"")</f>
        <v/>
      </c>
      <c r="BG232" s="427" t="str">
        <f>IF(AND($A232&gt;=SYear_O,$A232&lt;=EYear_O,BG$3&gt;0),IF($A232=SYear_O,BG$168*(1+Data_All!BG71%),BG231*(1+Data_All!BG71%)),"")</f>
        <v/>
      </c>
      <c r="BH232" s="427" t="str">
        <f>IF(AND($A232&gt;=SYear_O,$A232&lt;=EYear_O,BH$3&gt;0),IF($A232=SYear_O,BH$168*(1+Data_All!BH71%),BH231*(1+Data_All!BH71%)),"")</f>
        <v/>
      </c>
      <c r="BI232" s="427" t="str">
        <f>IF(AND($A232&gt;=SYear_O,$A232&lt;=EYear_O,BI$3&gt;0),IF($A232=SYear_O,BI$168*(1+Data_All!BI71%),BI231*(1+Data_All!BI71%)),"")</f>
        <v/>
      </c>
      <c r="BJ232" s="427" t="str">
        <f>IF(AND($A232&gt;=SYear_O,$A232&lt;=EYear_O,BJ$3&gt;0),IF($A232=SYear_O,BJ$168*(1+Data_All!BJ71%),BJ231*(1+Data_All!BJ71%)),"")</f>
        <v/>
      </c>
      <c r="BK232" s="427" t="str">
        <f>IF(AND($A232&gt;=SYear_O,$A232&lt;=EYear_O,BK$3&gt;0),IF($A232=SYear_O,BK$168*(1+Data_All!BK71%),BK231*(1+Data_All!BK71%)),"")</f>
        <v/>
      </c>
      <c r="BL232" s="427" t="str">
        <f>IF(AND($A232&gt;=SYear_O,$A232&lt;=EYear_O,BL$3&gt;0),IF($A232=SYear_O,BL$168*(1+Data_All!BL71%),BL231*(1+Data_All!BL71%)),"")</f>
        <v/>
      </c>
      <c r="BM232" s="427" t="str">
        <f>IF(AND($A232&gt;=SYear_O,$A232&lt;=EYear_O,BM$3&gt;0),IF($A232=SYear_O,BM$168*(1+Data_All!BM71%),BM231*(1+Data_All!BM71%)),"")</f>
        <v/>
      </c>
      <c r="BN232" s="427" t="str">
        <f>IF(AND($A232&gt;=SYear_O,$A232&lt;=EYear_O,BN$3&gt;0),IF($A232=SYear_O,BN$168*(1+Data_All!BN71%),BN231*(1+Data_All!BN71%)),"")</f>
        <v/>
      </c>
      <c r="BO232" s="427" t="str">
        <f>IF(AND($A232&gt;=SYear_O,$A232&lt;=EYear_O,BO$3&gt;0),IF($A232=SYear_O,BO$168*(1+Data_All!BO71%),BO231*(1+Data_All!BO71%)),"")</f>
        <v/>
      </c>
      <c r="BP232" s="427" t="str">
        <f>IF(AND($A232&gt;=SYear_O,$A232&lt;=EYear_O,BP$3&gt;0),IF($A232=SYear_O,BP$168*(1+Data_All!BP71%),BP231*(1+Data_All!BP71%)),"")</f>
        <v/>
      </c>
      <c r="BQ232" s="427" t="str">
        <f>IF(AND($A232&gt;=SYear_O,$A232&lt;=EYear_O,BQ$3&gt;0),IF($A232=SYear_O,BQ$168*(1+Data_All!BQ71%),BQ231*(1+Data_All!BQ71%)),"")</f>
        <v/>
      </c>
      <c r="BR232" s="427" t="str">
        <f>IF(AND($A232&gt;=SYear_O,$A232&lt;=EYear_O,BR$3&gt;0),IF($A232=SYear_O,BR$168*(1+Data_All!BR71%),BR231*(1+Data_All!BR71%)),"")</f>
        <v/>
      </c>
      <c r="BS232" s="427" t="str">
        <f>IF(AND($A232&gt;=SYear_O,$A232&lt;=EYear_O,BS$3&gt;0),IF($A232=SYear_O,BS$168*(1+Data_All!BS71%),BS231*(1+Data_All!BS71%)),"")</f>
        <v/>
      </c>
      <c r="BT232" s="427" t="str">
        <f>IF(AND($A232&gt;=SYear_O,$A232&lt;=EYear_O,BT$3&gt;0),IF($A232=SYear_O,BT$168*(1+Data_All!BT71%),BT231*(1+Data_All!BT71%)),"")</f>
        <v/>
      </c>
      <c r="BU232" s="427" t="str">
        <f>IF(AND($A232&gt;=SYear_O,$A232&lt;=EYear_O,BU$3&gt;0),IF($A232=SYear_O,BU$168*(1+Data_All!BU71%),BU231*(1+Data_All!BU71%)),"")</f>
        <v/>
      </c>
      <c r="BV232" s="427" t="str">
        <f>IF(AND($A232&gt;=SYear_O,$A232&lt;=EYear_O,BV$3&gt;0),IF($A232=SYear_O,BV$168*(1+Data_All!BV71%),BV231*(1+Data_All!BV71%)),"")</f>
        <v/>
      </c>
      <c r="BW232" s="427" t="str">
        <f>IF(AND($A232&gt;=SYear_O,$A232&lt;=EYear_O,BW$3&gt;0),IF($A232=SYear_O,BW$168*(1+Data_All!BW71%),BW231*(1+Data_All!BW71%)),"")</f>
        <v/>
      </c>
      <c r="BX232" s="427">
        <f>IF(AND($A232&gt;=SYear_O,$A232&lt;=EYear_O,BX$3&gt;0),IF($A232=SYear_O,BX$168*(1+Data_All!BX71%),BX231*(1+Data_All!BX71%)),"")</f>
        <v>332736.54201890103</v>
      </c>
      <c r="BY232" s="427">
        <f>IF(AND($A232&gt;=SYear_O,$A232&lt;=EYear_O,BY$3&gt;0),IF($A232=SYear_O,BY$168*(1+Data_All!BY71%),BY231*(1+Data_All!BY71%)),"")</f>
        <v>51551.518604202283</v>
      </c>
      <c r="BZ232" s="427" t="str">
        <f>IF(AND($A232&gt;=SYear_O,$A232&lt;=EYear_O,BZ$3&gt;0),IF($A232=SYear_O,BZ$168*(1+Data_All!BZ71%),BZ231*(1+Data_All!BZ71%)),"")</f>
        <v/>
      </c>
      <c r="CA232" s="565">
        <f t="shared" si="108"/>
        <v>-6.358259723628346</v>
      </c>
      <c r="CB232" s="427">
        <f t="shared" si="109"/>
        <v>384288.06062310329</v>
      </c>
      <c r="CC232" s="565">
        <f>IF(AND($A232&gt;=SYear_O,$A232&lt;=EYear_O),(CA232-Data_All!CA71)/(1+Data_All!CA71%),"")</f>
        <v>-9.1124285552863338</v>
      </c>
      <c r="CD232" s="436">
        <f t="shared" si="110"/>
        <v>352190.42861603375</v>
      </c>
      <c r="CE232" s="438">
        <f t="shared" si="111"/>
        <v>34.854634565636253</v>
      </c>
      <c r="CF232" s="438">
        <f>IF(AND($A232&gt;=SYear_O,$A232&lt;=EYear_O),MAX($CE$169:CE232),"")</f>
        <v>60.273867724924756</v>
      </c>
      <c r="CG232" s="209">
        <f t="shared" si="112"/>
        <v>0.42172892032241382</v>
      </c>
      <c r="CN232" s="61">
        <f t="shared" si="113"/>
        <v>-6.3582597236283456E-2</v>
      </c>
      <c r="CO232" s="61">
        <f t="shared" si="114"/>
        <v>0.21444013536757556</v>
      </c>
      <c r="CP232" s="61">
        <f t="shared" si="115"/>
        <v>7.8007391552073369E-2</v>
      </c>
      <c r="CQ232" s="61">
        <f t="shared" si="116"/>
        <v>6.2344582741428844E-2</v>
      </c>
      <c r="CR232" s="61">
        <f t="shared" si="117"/>
        <v>7.4469075696777409E-2</v>
      </c>
      <c r="CU232" s="61">
        <f t="shared" si="118"/>
        <v>-9.1124285552863227E-2</v>
      </c>
      <c r="CV232" s="61">
        <f t="shared" si="119"/>
        <v>0.18803084854765451</v>
      </c>
      <c r="CW232" s="61">
        <f t="shared" si="120"/>
        <v>6.5395646449203593E-2</v>
      </c>
      <c r="CX232" s="61">
        <f t="shared" si="121"/>
        <v>3.3398616812118531E-2</v>
      </c>
      <c r="CY232" s="61">
        <f t="shared" si="122"/>
        <v>3.24874145243228E-2</v>
      </c>
    </row>
    <row r="233" spans="1:103">
      <c r="A233" s="204">
        <f t="shared" si="107"/>
        <v>1935</v>
      </c>
      <c r="B233" s="427" t="str">
        <f>IF(AND($A233&gt;=SYear_O,$A233&lt;=EYear_O,B$3&gt;0),IF($A233=SYear_O,B$168*(1+Data_All!B72%),B232*(1+Data_All!B72%)),"")</f>
        <v/>
      </c>
      <c r="C233" s="427" t="str">
        <f>IF(AND($A233&gt;=SYear_O,$A233&lt;=EYear_O,C$3&gt;0),IF($A233=SYear_O,C$168*(1+Data_All!C72%),C232*(1+Data_All!C72%)),"")</f>
        <v/>
      </c>
      <c r="D233" s="427" t="str">
        <f>IF(AND($A233&gt;=SYear_O,$A233&lt;=EYear_O,D$3&gt;0),IF($A233=SYear_O,D$168*(1+Data_All!D72%),D232*(1+Data_All!D72%)),"")</f>
        <v/>
      </c>
      <c r="E233" s="427" t="str">
        <f>IF(AND($A233&gt;=SYear_O,$A233&lt;=EYear_O,E$3&gt;0),IF($A233=SYear_O,E$168*(1+Data_All!E72%),E232*(1+Data_All!E72%)),"")</f>
        <v/>
      </c>
      <c r="F233" s="427" t="str">
        <f>IF(AND($A233&gt;=SYear_O,$A233&lt;=EYear_O,F$3&gt;0),IF($A233=SYear_O,F$168*(1+Data_All!F72%),F232*(1+Data_All!F72%)),"")</f>
        <v/>
      </c>
      <c r="G233" s="427" t="str">
        <f>IF(AND($A233&gt;=SYear_O,$A233&lt;=EYear_O,G$3&gt;0),IF($A233=SYear_O,G$168*(1+Data_All!G72%),G232*(1+Data_All!G72%)),"")</f>
        <v/>
      </c>
      <c r="H233" s="427" t="str">
        <f>IF(AND($A233&gt;=SYear_O,$A233&lt;=EYear_O,H$3&gt;0),IF($A233=SYear_O,H$168*(1+Data_All!H72%),H232*(1+Data_All!H72%)),"")</f>
        <v/>
      </c>
      <c r="I233" s="427" t="str">
        <f>IF(AND($A233&gt;=SYear_O,$A233&lt;=EYear_O,I$3&gt;0),IF($A233=SYear_O,I$168*(1+Data_All!I72%),I232*(1+Data_All!I72%)),"")</f>
        <v/>
      </c>
      <c r="J233" s="427" t="str">
        <f>IF(AND($A233&gt;=SYear_O,$A233&lt;=EYear_O,J$3&gt;0),IF($A233=SYear_O,J$168*(1+Data_All!J72%),J232*(1+Data_All!J72%)),"")</f>
        <v/>
      </c>
      <c r="K233" s="427" t="str">
        <f>IF(AND($A233&gt;=SYear_O,$A233&lt;=EYear_O,K$3&gt;0),IF($A233=SYear_O,K$168*(1+Data_All!K72%),K232*(1+Data_All!K72%)),"")</f>
        <v/>
      </c>
      <c r="L233" s="427" t="str">
        <f>IF(AND($A233&gt;=SYear_O,$A233&lt;=EYear_O,L$3&gt;0),IF($A233=SYear_O,L$168*(1+Data_All!L72%),L232*(1+Data_All!L72%)),"")</f>
        <v/>
      </c>
      <c r="M233" s="427" t="str">
        <f>IF(AND($A233&gt;=SYear_O,$A233&lt;=EYear_O,M$3&gt;0),IF($A233=SYear_O,M$168*(1+Data_All!M72%),M232*(1+Data_All!M72%)),"")</f>
        <v/>
      </c>
      <c r="N233" s="427" t="str">
        <f>IF(AND($A233&gt;=SYear_O,$A233&lt;=EYear_O,N$3&gt;0),IF($A233=SYear_O,N$168*(1+Data_All!N72%),N232*(1+Data_All!N72%)),"")</f>
        <v/>
      </c>
      <c r="O233" s="427" t="str">
        <f>IF(AND($A233&gt;=SYear_O,$A233&lt;=EYear_O,O$3&gt;0),IF($A233=SYear_O,O$168*(1+Data_All!O72%),O232*(1+Data_All!O72%)),"")</f>
        <v/>
      </c>
      <c r="P233" s="427" t="str">
        <f>IF(AND($A233&gt;=SYear_O,$A233&lt;=EYear_O,P$3&gt;0),IF($A233=SYear_O,P$168*(1+Data_All!P72%),P232*(1+Data_All!P72%)),"")</f>
        <v/>
      </c>
      <c r="Q233" s="427" t="str">
        <f>IF(AND($A233&gt;=SYear_O,$A233&lt;=EYear_O,Q$3&gt;0),IF($A233=SYear_O,Q$168*(1+Data_All!Q72%),Q232*(1+Data_All!Q72%)),"")</f>
        <v/>
      </c>
      <c r="R233" s="427" t="str">
        <f>IF(AND($A233&gt;=SYear_O,$A233&lt;=EYear_O,R$3&gt;0),IF($A233=SYear_O,R$168*(1+Data_All!R72%),R232*(1+Data_All!R72%)),"")</f>
        <v/>
      </c>
      <c r="S233" s="427" t="str">
        <f>IF(AND($A233&gt;=SYear_O,$A233&lt;=EYear_O,S$3&gt;0),IF($A233=SYear_O,S$168*(1+Data_All!S72%),S232*(1+Data_All!S72%)),"")</f>
        <v/>
      </c>
      <c r="T233" s="427" t="str">
        <f>IF(AND($A233&gt;=SYear_O,$A233&lt;=EYear_O,T$3&gt;0),IF($A233=SYear_O,T$168*(1+Data_All!T72%),T232*(1+Data_All!T72%)),"")</f>
        <v/>
      </c>
      <c r="U233" s="427" t="str">
        <f>IF(AND($A233&gt;=SYear_O,$A233&lt;=EYear_O,U$3&gt;0),IF($A233=SYear_O,U$168*(1+Data_All!U72%),U232*(1+Data_All!U72%)),"")</f>
        <v/>
      </c>
      <c r="V233" s="427" t="str">
        <f>IF(AND($A233&gt;=SYear_O,$A233&lt;=EYear_O,V$3&gt;0),IF($A233=SYear_O,V$168*(1+Data_All!V72%),V232*(1+Data_All!V72%)),"")</f>
        <v/>
      </c>
      <c r="W233" s="427" t="str">
        <f>IF(AND($A233&gt;=SYear_O,$A233&lt;=EYear_O,W$3&gt;0),IF($A233=SYear_O,W$168*(1+Data_All!W72%),W232*(1+Data_All!W72%)),"")</f>
        <v/>
      </c>
      <c r="X233" s="427" t="str">
        <f>IF(AND($A233&gt;=SYear_O,$A233&lt;=EYear_O,X$3&gt;0),IF($A233=SYear_O,X$168*(1+Data_All!X72%),X232*(1+Data_All!X72%)),"")</f>
        <v/>
      </c>
      <c r="Y233" s="427" t="str">
        <f>IF(AND($A233&gt;=SYear_O,$A233&lt;=EYear_O,Y$3&gt;0),IF($A233=SYear_O,Y$168*(1+Data_All!Y72%),Y232*(1+Data_All!Y72%)),"")</f>
        <v/>
      </c>
      <c r="Z233" s="427" t="str">
        <f>IF(AND($A233&gt;=SYear_O,$A233&lt;=EYear_O,Z$3&gt;0),IF($A233=SYear_O,Z$168*(1+Data_All!Z72%),Z232*(1+Data_All!Z72%)),"")</f>
        <v/>
      </c>
      <c r="AA233" s="427" t="str">
        <f>IF(AND($A233&gt;=SYear_O,$A233&lt;=EYear_O,AA$3&gt;0),IF($A233=SYear_O,AA$168*(1+Data_All!AA72%),AA232*(1+Data_All!AA72%)),"")</f>
        <v/>
      </c>
      <c r="AB233" s="427" t="str">
        <f>IF(AND($A233&gt;=SYear_O,$A233&lt;=EYear_O,AB$3&gt;0),IF($A233=SYear_O,AB$168*(1+Data_All!AB72%),AB232*(1+Data_All!AB72%)),"")</f>
        <v/>
      </c>
      <c r="AC233" s="427" t="str">
        <f>IF(AND($A233&gt;=SYear_O,$A233&lt;=EYear_O,AC$3&gt;0),IF($A233=SYear_O,AC$168*(1+Data_All!AC72%),AC232*(1+Data_All!AC72%)),"")</f>
        <v/>
      </c>
      <c r="AD233" s="427" t="str">
        <f>IF(AND($A233&gt;=SYear_O,$A233&lt;=EYear_O,AD$3&gt;0),IF($A233=SYear_O,AD$168*(1+Data_All!AD72%),AD232*(1+Data_All!AD72%)),"")</f>
        <v/>
      </c>
      <c r="AE233" s="427" t="str">
        <f>IF(AND($A233&gt;=SYear_O,$A233&lt;=EYear_O,AE$3&gt;0),IF($A233=SYear_O,AE$168*(1+Data_All!AE72%),AE232*(1+Data_All!AE72%)),"")</f>
        <v/>
      </c>
      <c r="AF233" s="427" t="str">
        <f>IF(AND($A233&gt;=SYear_O,$A233&lt;=EYear_O,AF$3&gt;0),IF($A233=SYear_O,AF$168*(1+Data_All!AF72%),AF232*(1+Data_All!AF72%)),"")</f>
        <v/>
      </c>
      <c r="AG233" s="427" t="str">
        <f>IF(AND($A233&gt;=SYear_O,$A233&lt;=EYear_O,AG$3&gt;0),IF($A233=SYear_O,AG$168*(1+Data_All!AG72%),AG232*(1+Data_All!AG72%)),"")</f>
        <v/>
      </c>
      <c r="AH233" s="427" t="str">
        <f>IF(AND($A233&gt;=SYear_O,$A233&lt;=EYear_O,AH$3&gt;0),IF($A233=SYear_O,AH$168*(1+Data_All!AH72%),AH232*(1+Data_All!AH72%)),"")</f>
        <v/>
      </c>
      <c r="AI233" s="427" t="str">
        <f>IF(AND($A233&gt;=SYear_O,$A233&lt;=EYear_O,AI$3&gt;0),IF($A233=SYear_O,AI$168*(1+Data_All!AI72%),AI232*(1+Data_All!AI72%)),"")</f>
        <v/>
      </c>
      <c r="AJ233" s="427" t="str">
        <f>IF(AND($A233&gt;=SYear_O,$A233&lt;=EYear_O,AJ$3&gt;0),IF($A233=SYear_O,AJ$168*(1+Data_All!AJ72%),AJ232*(1+Data_All!AJ72%)),"")</f>
        <v/>
      </c>
      <c r="AK233" s="427" t="str">
        <f>IF(AND($A233&gt;=SYear_O,$A233&lt;=EYear_O,AK$3&gt;0),IF($A233=SYear_O,AK$168*(1+Data_All!AK72%),AK232*(1+Data_All!AK72%)),"")</f>
        <v/>
      </c>
      <c r="AL233" s="427" t="str">
        <f>IF(AND($A233&gt;=SYear_O,$A233&lt;=EYear_O,AL$3&gt;0),IF($A233=SYear_O,AL$168*(1+Data_All!AL72%),AL232*(1+Data_All!AL72%)),"")</f>
        <v/>
      </c>
      <c r="AM233" s="427" t="str">
        <f>IF(AND($A233&gt;=SYear_O,$A233&lt;=EYear_O,AM$3&gt;0),IF($A233=SYear_O,AM$168*(1+Data_All!AM72%),AM232*(1+Data_All!AM72%)),"")</f>
        <v/>
      </c>
      <c r="AN233" s="427" t="str">
        <f>IF(AND($A233&gt;=SYear_O,$A233&lt;=EYear_O,AN$3&gt;0),IF($A233=SYear_O,AN$168*(1+Data_All!AN72%),AN232*(1+Data_All!AN72%)),"")</f>
        <v/>
      </c>
      <c r="AO233" s="427" t="str">
        <f>IF(AND($A233&gt;=SYear_O,$A233&lt;=EYear_O,AO$3&gt;0),IF($A233=SYear_O,AO$168*(1+Data_All!AO72%),AO232*(1+Data_All!AO72%)),"")</f>
        <v/>
      </c>
      <c r="AP233" s="427" t="str">
        <f>IF(AND($A233&gt;=SYear_O,$A233&lt;=EYear_O,AP$3&gt;0),IF($A233=SYear_O,AP$168*(1+Data_All!AP72%),AP232*(1+Data_All!AP72%)),"")</f>
        <v/>
      </c>
      <c r="AQ233" s="427" t="str">
        <f>IF(AND($A233&gt;=SYear_O,$A233&lt;=EYear_O,AQ$3&gt;0),IF($A233=SYear_O,AQ$168*(1+Data_All!AQ72%),AQ232*(1+Data_All!AQ72%)),"")</f>
        <v/>
      </c>
      <c r="AR233" s="427" t="str">
        <f>IF(AND($A233&gt;=SYear_O,$A233&lt;=EYear_O,AR$3&gt;0),IF($A233=SYear_O,AR$168*(1+Data_All!AR72%),AR232*(1+Data_All!AR72%)),"")</f>
        <v/>
      </c>
      <c r="AS233" s="427" t="str">
        <f>IF(AND($A233&gt;=SYear_O,$A233&lt;=EYear_O,AS$3&gt;0),IF($A233=SYear_O,AS$168*(1+Data_All!AS72%),AS232*(1+Data_All!AS72%)),"")</f>
        <v/>
      </c>
      <c r="AT233" s="427" t="str">
        <f>IF(AND($A233&gt;=SYear_O,$A233&lt;=EYear_O,AT$3&gt;0),IF($A233=SYear_O,AT$168*(1+Data_All!AT72%),AT232*(1+Data_All!AT72%)),"")</f>
        <v/>
      </c>
      <c r="AU233" s="427" t="str">
        <f>IF(AND($A233&gt;=SYear_O,$A233&lt;=EYear_O,AU$3&gt;0),IF($A233=SYear_O,AU$168*(1+Data_All!AU72%),AU232*(1+Data_All!AU72%)),"")</f>
        <v/>
      </c>
      <c r="AV233" s="427" t="str">
        <f>IF(AND($A233&gt;=SYear_O,$A233&lt;=EYear_O,AV$3&gt;0),IF($A233=SYear_O,AV$168*(1+Data_All!AV72%),AV232*(1+Data_All!AV72%)),"")</f>
        <v/>
      </c>
      <c r="AW233" s="427" t="str">
        <f>IF(AND($A233&gt;=SYear_O,$A233&lt;=EYear_O,AW$3&gt;0),IF($A233=SYear_O,AW$168*(1+Data_All!AW72%),AW232*(1+Data_All!AW72%)),"")</f>
        <v/>
      </c>
      <c r="AX233" s="427" t="str">
        <f>IF(AND($A233&gt;=SYear_O,$A233&lt;=EYear_O,AX$3&gt;0),IF($A233=SYear_O,AX$168*(1+Data_All!AX72%),AX232*(1+Data_All!AX72%)),"")</f>
        <v/>
      </c>
      <c r="AY233" s="427" t="str">
        <f>IF(AND($A233&gt;=SYear_O,$A233&lt;=EYear_O,AY$3&gt;0),IF($A233=SYear_O,AY$168*(1+Data_All!AY72%),AY232*(1+Data_All!AY72%)),"")</f>
        <v/>
      </c>
      <c r="AZ233" s="427" t="str">
        <f>IF(AND($A233&gt;=SYear_O,$A233&lt;=EYear_O,AZ$3&gt;0),IF($A233=SYear_O,AZ$168*(1+Data_All!AZ72%),AZ232*(1+Data_All!AZ72%)),"")</f>
        <v/>
      </c>
      <c r="BA233" s="427" t="str">
        <f>IF(AND($A233&gt;=SYear_O,$A233&lt;=EYear_O,BA$3&gt;0),IF($A233=SYear_O,BA$168*(1+Data_All!BA72%),BA232*(1+Data_All!BA72%)),"")</f>
        <v/>
      </c>
      <c r="BB233" s="427" t="str">
        <f>IF(AND($A233&gt;=SYear_O,$A233&lt;=EYear_O,BB$3&gt;0),IF($A233=SYear_O,BB$168*(1+Data_All!BB72%),BB232*(1+Data_All!BB72%)),"")</f>
        <v/>
      </c>
      <c r="BC233" s="427" t="str">
        <f>IF(AND($A233&gt;=SYear_O,$A233&lt;=EYear_O,BC$3&gt;0),IF($A233=SYear_O,BC$168*(1+Data_All!BC72%),BC232*(1+Data_All!BC72%)),"")</f>
        <v/>
      </c>
      <c r="BD233" s="427" t="str">
        <f>IF(AND($A233&gt;=SYear_O,$A233&lt;=EYear_O,BD$3&gt;0),IF($A233=SYear_O,BD$168*(1+Data_All!BD72%),BD232*(1+Data_All!BD72%)),"")</f>
        <v/>
      </c>
      <c r="BE233" s="427" t="str">
        <f>IF(AND($A233&gt;=SYear_O,$A233&lt;=EYear_O,BE$3&gt;0),IF($A233=SYear_O,BE$168*(1+Data_All!BE72%),BE232*(1+Data_All!BE72%)),"")</f>
        <v/>
      </c>
      <c r="BF233" s="427" t="str">
        <f>IF(AND($A233&gt;=SYear_O,$A233&lt;=EYear_O,BF$3&gt;0),IF($A233=SYear_O,BF$168*(1+Data_All!BF72%),BF232*(1+Data_All!BF72%)),"")</f>
        <v/>
      </c>
      <c r="BG233" s="427" t="str">
        <f>IF(AND($A233&gt;=SYear_O,$A233&lt;=EYear_O,BG$3&gt;0),IF($A233=SYear_O,BG$168*(1+Data_All!BG72%),BG232*(1+Data_All!BG72%)),"")</f>
        <v/>
      </c>
      <c r="BH233" s="427" t="str">
        <f>IF(AND($A233&gt;=SYear_O,$A233&lt;=EYear_O,BH$3&gt;0),IF($A233=SYear_O,BH$168*(1+Data_All!BH72%),BH232*(1+Data_All!BH72%)),"")</f>
        <v/>
      </c>
      <c r="BI233" s="427" t="str">
        <f>IF(AND($A233&gt;=SYear_O,$A233&lt;=EYear_O,BI$3&gt;0),IF($A233=SYear_O,BI$168*(1+Data_All!BI72%),BI232*(1+Data_All!BI72%)),"")</f>
        <v/>
      </c>
      <c r="BJ233" s="427" t="str">
        <f>IF(AND($A233&gt;=SYear_O,$A233&lt;=EYear_O,BJ$3&gt;0),IF($A233=SYear_O,BJ$168*(1+Data_All!BJ72%),BJ232*(1+Data_All!BJ72%)),"")</f>
        <v/>
      </c>
      <c r="BK233" s="427" t="str">
        <f>IF(AND($A233&gt;=SYear_O,$A233&lt;=EYear_O,BK$3&gt;0),IF($A233=SYear_O,BK$168*(1+Data_All!BK72%),BK232*(1+Data_All!BK72%)),"")</f>
        <v/>
      </c>
      <c r="BL233" s="427" t="str">
        <f>IF(AND($A233&gt;=SYear_O,$A233&lt;=EYear_O,BL$3&gt;0),IF($A233=SYear_O,BL$168*(1+Data_All!BL72%),BL232*(1+Data_All!BL72%)),"")</f>
        <v/>
      </c>
      <c r="BM233" s="427" t="str">
        <f>IF(AND($A233&gt;=SYear_O,$A233&lt;=EYear_O,BM$3&gt;0),IF($A233=SYear_O,BM$168*(1+Data_All!BM72%),BM232*(1+Data_All!BM72%)),"")</f>
        <v/>
      </c>
      <c r="BN233" s="427" t="str">
        <f>IF(AND($A233&gt;=SYear_O,$A233&lt;=EYear_O,BN$3&gt;0),IF($A233=SYear_O,BN$168*(1+Data_All!BN72%),BN232*(1+Data_All!BN72%)),"")</f>
        <v/>
      </c>
      <c r="BO233" s="427" t="str">
        <f>IF(AND($A233&gt;=SYear_O,$A233&lt;=EYear_O,BO$3&gt;0),IF($A233=SYear_O,BO$168*(1+Data_All!BO72%),BO232*(1+Data_All!BO72%)),"")</f>
        <v/>
      </c>
      <c r="BP233" s="427" t="str">
        <f>IF(AND($A233&gt;=SYear_O,$A233&lt;=EYear_O,BP$3&gt;0),IF($A233=SYear_O,BP$168*(1+Data_All!BP72%),BP232*(1+Data_All!BP72%)),"")</f>
        <v/>
      </c>
      <c r="BQ233" s="427" t="str">
        <f>IF(AND($A233&gt;=SYear_O,$A233&lt;=EYear_O,BQ$3&gt;0),IF($A233=SYear_O,BQ$168*(1+Data_All!BQ72%),BQ232*(1+Data_All!BQ72%)),"")</f>
        <v/>
      </c>
      <c r="BR233" s="427" t="str">
        <f>IF(AND($A233&gt;=SYear_O,$A233&lt;=EYear_O,BR$3&gt;0),IF($A233=SYear_O,BR$168*(1+Data_All!BR72%),BR232*(1+Data_All!BR72%)),"")</f>
        <v/>
      </c>
      <c r="BS233" s="427" t="str">
        <f>IF(AND($A233&gt;=SYear_O,$A233&lt;=EYear_O,BS$3&gt;0),IF($A233=SYear_O,BS$168*(1+Data_All!BS72%),BS232*(1+Data_All!BS72%)),"")</f>
        <v/>
      </c>
      <c r="BT233" s="427" t="str">
        <f>IF(AND($A233&gt;=SYear_O,$A233&lt;=EYear_O,BT$3&gt;0),IF($A233=SYear_O,BT$168*(1+Data_All!BT72%),BT232*(1+Data_All!BT72%)),"")</f>
        <v/>
      </c>
      <c r="BU233" s="427" t="str">
        <f>IF(AND($A233&gt;=SYear_O,$A233&lt;=EYear_O,BU$3&gt;0),IF($A233=SYear_O,BU$168*(1+Data_All!BU72%),BU232*(1+Data_All!BU72%)),"")</f>
        <v/>
      </c>
      <c r="BV233" s="427" t="str">
        <f>IF(AND($A233&gt;=SYear_O,$A233&lt;=EYear_O,BV$3&gt;0),IF($A233=SYear_O,BV$168*(1+Data_All!BV72%),BV232*(1+Data_All!BV72%)),"")</f>
        <v/>
      </c>
      <c r="BW233" s="427" t="str">
        <f>IF(AND($A233&gt;=SYear_O,$A233&lt;=EYear_O,BW$3&gt;0),IF($A233=SYear_O,BW$168*(1+Data_All!BW72%),BW232*(1+Data_All!BW72%)),"")</f>
        <v/>
      </c>
      <c r="BX233" s="427">
        <f>IF(AND($A233&gt;=SYear_O,$A233&lt;=EYear_O,BX$3&gt;0),IF($A233=SYear_O,BX$168*(1+Data_All!BX72%),BX232*(1+Data_All!BX72%)),"")</f>
        <v>511321.92148260929</v>
      </c>
      <c r="BY233" s="427">
        <f>IF(AND($A233&gt;=SYear_O,$A233&lt;=EYear_O,BY$3&gt;0),IF($A233=SYear_O,BY$168*(1+Data_All!BY72%),BY232*(1+Data_All!BY72%)),"")</f>
        <v>53307.030861039886</v>
      </c>
      <c r="BZ233" s="427" t="str">
        <f>IF(AND($A233&gt;=SYear_O,$A233&lt;=EYear_O,BZ$3&gt;0),IF($A233=SYear_O,BZ$168*(1+Data_All!BZ72%),BZ232*(1+Data_All!BZ72%)),"")</f>
        <v/>
      </c>
      <c r="CA233" s="565">
        <f t="shared" ref="CA233:CA264" si="123">IF(AND($A233&gt;=SYear_O,$A233&lt;=EYear_O),IF($A233=SYear_O,100*(CB233-$CB$168)/$CB$168,100*(CB233-CB232)/CB232),"")</f>
        <v>46.928570049283472</v>
      </c>
      <c r="CB233" s="427">
        <f t="shared" ref="CB233:CB264" si="124">IF(AND($A233&gt;=SYear_O,$A233&lt;=EYear_O),SUM(B233:BZ233),"")</f>
        <v>564628.95234364923</v>
      </c>
      <c r="CC233" s="565">
        <f>IF(AND($A233&gt;=SYear_O,$A233&lt;=EYear_O),(CA233-Data_All!CA72)/(1+Data_All!CA72%),"")</f>
        <v>44.799170483351801</v>
      </c>
      <c r="CD233" s="436">
        <f t="shared" ref="CD233:CD264" si="125">IF(AND($A233&gt;=SYear_O,$A233&lt;=EYear_O),IF($A233=SYear_O,$CD$4*(1+CC233%),$CD232*(1+CC233%)),"")</f>
        <v>509968.81915777817</v>
      </c>
      <c r="CE233" s="438">
        <f t="shared" ref="CE233:CE264" si="126">IF(AND($A233&gt;=SYear_O,$A233&lt;=EYear_O),IF($A233=SYear_O,$CE$166,$CE232*(1+CA233%)),"")</f>
        <v>51.211416163192638</v>
      </c>
      <c r="CF233" s="438">
        <f>IF(AND($A233&gt;=SYear_O,$A233&lt;=EYear_O),MAX($CE$169:CE233),"")</f>
        <v>60.273867724924756</v>
      </c>
      <c r="CG233" s="209">
        <f t="shared" ref="CG233:CG264" si="127">IF(AND($A233&gt;=SYear_O,$A233&lt;=EYear_O),1-(CE233/CF233),"")</f>
        <v>0.15035457162116983</v>
      </c>
      <c r="CN233" s="61">
        <f t="shared" ref="CN233:CN264" si="128">IF(AND($A233&gt;=SYear_O,$A233&lt;=EYear_O),IF($A233=SYear_O,($CB233/CB$168)-1,($CB233/$CB232)-1),"")</f>
        <v>0.46928570049283458</v>
      </c>
      <c r="CO233" s="61">
        <f t="shared" ref="CO233:CO264" si="129">IF(AND($A233&gt;=SYear_O,$A233&lt;=EYear_O),IF($A233=SYear_O,(($CB235/$CB$168)^(1/(1+($A235-$A233)))-1),(($CB235/$CB232)^(1/(1+($A235-$A233)))-1)),"")</f>
        <v>0.10948095063133345</v>
      </c>
      <c r="CP233" s="61">
        <f t="shared" ref="CP233:CP264" si="130">IF(AND($A233&gt;=SYear_O,$A233&lt;=EYear_O),IF($A233=SYear_O,(($CB237/$CB$168)^(1/(1+($A237-$A233)))-1),(($CB237/$CB232)^(1/(1+($A237-$A233)))-1)),"")</f>
        <v>9.9425095271791886E-2</v>
      </c>
      <c r="CQ233" s="61">
        <f t="shared" ref="CQ233:CQ264" si="131">IF(AND($A233&gt;=SYear_O,$A233&lt;=EYear_O),IF($A233=SYear_O,(($CB242/$CB$168)^(1/(1+($A242-$A233)))-1),(($CB242/$CB232)^(1/(1+($A242-$A233)))-1)),"")</f>
        <v>8.7019741925323357E-2</v>
      </c>
      <c r="CR233" s="61">
        <f t="shared" ref="CR233:CR264" si="132">IF(AND($A233&gt;=SYear_O,$A233&lt;=EYear_O),IF($A233=SYear_O,(($CB247/$CB$168)^(1/(1+($A247-$A233)))-1),(($CB247/$CB232)^(1/(1+($A247-$A233)))-1)),"")</f>
        <v>9.0188570712044003E-2</v>
      </c>
      <c r="CU233" s="61">
        <f t="shared" ref="CU233:CU264" si="133">IF(AND($A233&gt;=SYear_O,$A233&lt;=EYear_O),IF($A233=SYear_O,($CD233/$CD$168)-1,($CD233/$CD232)-1),"")</f>
        <v>0.44799170483351802</v>
      </c>
      <c r="CV233" s="61">
        <f t="shared" ref="CV233:CV264" si="134">IF(AND($A233&gt;=SYear_O,$A233&lt;=EYear_O),IF($A233=SYear_O,(($CD235/$CD$168)^(1/(1+($A235-$A233)))-1),(($CD235/$CD232)^(1/(1+($A235-$A233)))-1)),"")</f>
        <v>9.3629050265657376E-2</v>
      </c>
      <c r="CW233" s="61">
        <f t="shared" ref="CW233:CW264" si="135">IF(AND($A233&gt;=SYear_O,$A233&lt;=EYear_O),IF($A233=SYear_O,(($CD237/$CD$168)^(1/(1+($A237-$A233)))-1),(($CD237/$CD232)^(1/(1+($A237-$A233)))-1)),"")</f>
        <v>9.4637866493697542E-2</v>
      </c>
      <c r="CX233" s="61">
        <f t="shared" ref="CX233:CX264" si="136">IF(AND($A233&gt;=SYear_O,$A233&lt;=EYear_O),IF($A233=SYear_O,(($CD242/$CD$168)^(1/(1+($A242-$A233)))-1),(($CD242/$CD232)^(1/(1+($A242-$A233)))-1)),"")</f>
        <v>5.8155082347968623E-2</v>
      </c>
      <c r="CY233" s="61">
        <f t="shared" ref="CY233:CY264" si="137">IF(AND($A233&gt;=SYear_O,$A233&lt;=EYear_O),IF($A233=SYear_O,(($CD247/$CD$168)^(1/(1+($A247-$A233)))-1),(($CD247/$CD232)^(1/(1+($A247-$A233)))-1)),"")</f>
        <v>5.1154033384385178E-2</v>
      </c>
    </row>
    <row r="234" spans="1:103">
      <c r="A234" s="204">
        <f t="shared" si="107"/>
        <v>1936</v>
      </c>
      <c r="B234" s="427" t="str">
        <f>IF(AND($A234&gt;=SYear_O,$A234&lt;=EYear_O,B$3&gt;0),IF($A234=SYear_O,B$168*(1+Data_All!B73%),B233*(1+Data_All!B73%)),"")</f>
        <v/>
      </c>
      <c r="C234" s="427" t="str">
        <f>IF(AND($A234&gt;=SYear_O,$A234&lt;=EYear_O,C$3&gt;0),IF($A234=SYear_O,C$168*(1+Data_All!C73%),C233*(1+Data_All!C73%)),"")</f>
        <v/>
      </c>
      <c r="D234" s="427" t="str">
        <f>IF(AND($A234&gt;=SYear_O,$A234&lt;=EYear_O,D$3&gt;0),IF($A234=SYear_O,D$168*(1+Data_All!D73%),D233*(1+Data_All!D73%)),"")</f>
        <v/>
      </c>
      <c r="E234" s="427" t="str">
        <f>IF(AND($A234&gt;=SYear_O,$A234&lt;=EYear_O,E$3&gt;0),IF($A234=SYear_O,E$168*(1+Data_All!E73%),E233*(1+Data_All!E73%)),"")</f>
        <v/>
      </c>
      <c r="F234" s="427" t="str">
        <f>IF(AND($A234&gt;=SYear_O,$A234&lt;=EYear_O,F$3&gt;0),IF($A234=SYear_O,F$168*(1+Data_All!F73%),F233*(1+Data_All!F73%)),"")</f>
        <v/>
      </c>
      <c r="G234" s="427" t="str">
        <f>IF(AND($A234&gt;=SYear_O,$A234&lt;=EYear_O,G$3&gt;0),IF($A234=SYear_O,G$168*(1+Data_All!G73%),G233*(1+Data_All!G73%)),"")</f>
        <v/>
      </c>
      <c r="H234" s="427" t="str">
        <f>IF(AND($A234&gt;=SYear_O,$A234&lt;=EYear_O,H$3&gt;0),IF($A234=SYear_O,H$168*(1+Data_All!H73%),H233*(1+Data_All!H73%)),"")</f>
        <v/>
      </c>
      <c r="I234" s="427" t="str">
        <f>IF(AND($A234&gt;=SYear_O,$A234&lt;=EYear_O,I$3&gt;0),IF($A234=SYear_O,I$168*(1+Data_All!I73%),I233*(1+Data_All!I73%)),"")</f>
        <v/>
      </c>
      <c r="J234" s="427" t="str">
        <f>IF(AND($A234&gt;=SYear_O,$A234&lt;=EYear_O,J$3&gt;0),IF($A234=SYear_O,J$168*(1+Data_All!J73%),J233*(1+Data_All!J73%)),"")</f>
        <v/>
      </c>
      <c r="K234" s="427" t="str">
        <f>IF(AND($A234&gt;=SYear_O,$A234&lt;=EYear_O,K$3&gt;0),IF($A234=SYear_O,K$168*(1+Data_All!K73%),K233*(1+Data_All!K73%)),"")</f>
        <v/>
      </c>
      <c r="L234" s="427" t="str">
        <f>IF(AND($A234&gt;=SYear_O,$A234&lt;=EYear_O,L$3&gt;0),IF($A234=SYear_O,L$168*(1+Data_All!L73%),L233*(1+Data_All!L73%)),"")</f>
        <v/>
      </c>
      <c r="M234" s="427" t="str">
        <f>IF(AND($A234&gt;=SYear_O,$A234&lt;=EYear_O,M$3&gt;0),IF($A234=SYear_O,M$168*(1+Data_All!M73%),M233*(1+Data_All!M73%)),"")</f>
        <v/>
      </c>
      <c r="N234" s="427" t="str">
        <f>IF(AND($A234&gt;=SYear_O,$A234&lt;=EYear_O,N$3&gt;0),IF($A234=SYear_O,N$168*(1+Data_All!N73%),N233*(1+Data_All!N73%)),"")</f>
        <v/>
      </c>
      <c r="O234" s="427" t="str">
        <f>IF(AND($A234&gt;=SYear_O,$A234&lt;=EYear_O,O$3&gt;0),IF($A234=SYear_O,O$168*(1+Data_All!O73%),O233*(1+Data_All!O73%)),"")</f>
        <v/>
      </c>
      <c r="P234" s="427" t="str">
        <f>IF(AND($A234&gt;=SYear_O,$A234&lt;=EYear_O,P$3&gt;0),IF($A234=SYear_O,P$168*(1+Data_All!P73%),P233*(1+Data_All!P73%)),"")</f>
        <v/>
      </c>
      <c r="Q234" s="427" t="str">
        <f>IF(AND($A234&gt;=SYear_O,$A234&lt;=EYear_O,Q$3&gt;0),IF($A234=SYear_O,Q$168*(1+Data_All!Q73%),Q233*(1+Data_All!Q73%)),"")</f>
        <v/>
      </c>
      <c r="R234" s="427" t="str">
        <f>IF(AND($A234&gt;=SYear_O,$A234&lt;=EYear_O,R$3&gt;0),IF($A234=SYear_O,R$168*(1+Data_All!R73%),R233*(1+Data_All!R73%)),"")</f>
        <v/>
      </c>
      <c r="S234" s="427" t="str">
        <f>IF(AND($A234&gt;=SYear_O,$A234&lt;=EYear_O,S$3&gt;0),IF($A234=SYear_O,S$168*(1+Data_All!S73%),S233*(1+Data_All!S73%)),"")</f>
        <v/>
      </c>
      <c r="T234" s="427" t="str">
        <f>IF(AND($A234&gt;=SYear_O,$A234&lt;=EYear_O,T$3&gt;0),IF($A234=SYear_O,T$168*(1+Data_All!T73%),T233*(1+Data_All!T73%)),"")</f>
        <v/>
      </c>
      <c r="U234" s="427" t="str">
        <f>IF(AND($A234&gt;=SYear_O,$A234&lt;=EYear_O,U$3&gt;0),IF($A234=SYear_O,U$168*(1+Data_All!U73%),U233*(1+Data_All!U73%)),"")</f>
        <v/>
      </c>
      <c r="V234" s="427" t="str">
        <f>IF(AND($A234&gt;=SYear_O,$A234&lt;=EYear_O,V$3&gt;0),IF($A234=SYear_O,V$168*(1+Data_All!V73%),V233*(1+Data_All!V73%)),"")</f>
        <v/>
      </c>
      <c r="W234" s="427" t="str">
        <f>IF(AND($A234&gt;=SYear_O,$A234&lt;=EYear_O,W$3&gt;0),IF($A234=SYear_O,W$168*(1+Data_All!W73%),W233*(1+Data_All!W73%)),"")</f>
        <v/>
      </c>
      <c r="X234" s="427" t="str">
        <f>IF(AND($A234&gt;=SYear_O,$A234&lt;=EYear_O,X$3&gt;0),IF($A234=SYear_O,X$168*(1+Data_All!X73%),X233*(1+Data_All!X73%)),"")</f>
        <v/>
      </c>
      <c r="Y234" s="427" t="str">
        <f>IF(AND($A234&gt;=SYear_O,$A234&lt;=EYear_O,Y$3&gt;0),IF($A234=SYear_O,Y$168*(1+Data_All!Y73%),Y233*(1+Data_All!Y73%)),"")</f>
        <v/>
      </c>
      <c r="Z234" s="427" t="str">
        <f>IF(AND($A234&gt;=SYear_O,$A234&lt;=EYear_O,Z$3&gt;0),IF($A234=SYear_O,Z$168*(1+Data_All!Z73%),Z233*(1+Data_All!Z73%)),"")</f>
        <v/>
      </c>
      <c r="AA234" s="427" t="str">
        <f>IF(AND($A234&gt;=SYear_O,$A234&lt;=EYear_O,AA$3&gt;0),IF($A234=SYear_O,AA$168*(1+Data_All!AA73%),AA233*(1+Data_All!AA73%)),"")</f>
        <v/>
      </c>
      <c r="AB234" s="427" t="str">
        <f>IF(AND($A234&gt;=SYear_O,$A234&lt;=EYear_O,AB$3&gt;0),IF($A234=SYear_O,AB$168*(1+Data_All!AB73%),AB233*(1+Data_All!AB73%)),"")</f>
        <v/>
      </c>
      <c r="AC234" s="427" t="str">
        <f>IF(AND($A234&gt;=SYear_O,$A234&lt;=EYear_O,AC$3&gt;0),IF($A234=SYear_O,AC$168*(1+Data_All!AC73%),AC233*(1+Data_All!AC73%)),"")</f>
        <v/>
      </c>
      <c r="AD234" s="427" t="str">
        <f>IF(AND($A234&gt;=SYear_O,$A234&lt;=EYear_O,AD$3&gt;0),IF($A234=SYear_O,AD$168*(1+Data_All!AD73%),AD233*(1+Data_All!AD73%)),"")</f>
        <v/>
      </c>
      <c r="AE234" s="427" t="str">
        <f>IF(AND($A234&gt;=SYear_O,$A234&lt;=EYear_O,AE$3&gt;0),IF($A234=SYear_O,AE$168*(1+Data_All!AE73%),AE233*(1+Data_All!AE73%)),"")</f>
        <v/>
      </c>
      <c r="AF234" s="427" t="str">
        <f>IF(AND($A234&gt;=SYear_O,$A234&lt;=EYear_O,AF$3&gt;0),IF($A234=SYear_O,AF$168*(1+Data_All!AF73%),AF233*(1+Data_All!AF73%)),"")</f>
        <v/>
      </c>
      <c r="AG234" s="427" t="str">
        <f>IF(AND($A234&gt;=SYear_O,$A234&lt;=EYear_O,AG$3&gt;0),IF($A234=SYear_O,AG$168*(1+Data_All!AG73%),AG233*(1+Data_All!AG73%)),"")</f>
        <v/>
      </c>
      <c r="AH234" s="427" t="str">
        <f>IF(AND($A234&gt;=SYear_O,$A234&lt;=EYear_O,AH$3&gt;0),IF($A234=SYear_O,AH$168*(1+Data_All!AH73%),AH233*(1+Data_All!AH73%)),"")</f>
        <v/>
      </c>
      <c r="AI234" s="427" t="str">
        <f>IF(AND($A234&gt;=SYear_O,$A234&lt;=EYear_O,AI$3&gt;0),IF($A234=SYear_O,AI$168*(1+Data_All!AI73%),AI233*(1+Data_All!AI73%)),"")</f>
        <v/>
      </c>
      <c r="AJ234" s="427" t="str">
        <f>IF(AND($A234&gt;=SYear_O,$A234&lt;=EYear_O,AJ$3&gt;0),IF($A234=SYear_O,AJ$168*(1+Data_All!AJ73%),AJ233*(1+Data_All!AJ73%)),"")</f>
        <v/>
      </c>
      <c r="AK234" s="427" t="str">
        <f>IF(AND($A234&gt;=SYear_O,$A234&lt;=EYear_O,AK$3&gt;0),IF($A234=SYear_O,AK$168*(1+Data_All!AK73%),AK233*(1+Data_All!AK73%)),"")</f>
        <v/>
      </c>
      <c r="AL234" s="427" t="str">
        <f>IF(AND($A234&gt;=SYear_O,$A234&lt;=EYear_O,AL$3&gt;0),IF($A234=SYear_O,AL$168*(1+Data_All!AL73%),AL233*(1+Data_All!AL73%)),"")</f>
        <v/>
      </c>
      <c r="AM234" s="427" t="str">
        <f>IF(AND($A234&gt;=SYear_O,$A234&lt;=EYear_O,AM$3&gt;0),IF($A234=SYear_O,AM$168*(1+Data_All!AM73%),AM233*(1+Data_All!AM73%)),"")</f>
        <v/>
      </c>
      <c r="AN234" s="427" t="str">
        <f>IF(AND($A234&gt;=SYear_O,$A234&lt;=EYear_O,AN$3&gt;0),IF($A234=SYear_O,AN$168*(1+Data_All!AN73%),AN233*(1+Data_All!AN73%)),"")</f>
        <v/>
      </c>
      <c r="AO234" s="427" t="str">
        <f>IF(AND($A234&gt;=SYear_O,$A234&lt;=EYear_O,AO$3&gt;0),IF($A234=SYear_O,AO$168*(1+Data_All!AO73%),AO233*(1+Data_All!AO73%)),"")</f>
        <v/>
      </c>
      <c r="AP234" s="427" t="str">
        <f>IF(AND($A234&gt;=SYear_O,$A234&lt;=EYear_O,AP$3&gt;0),IF($A234=SYear_O,AP$168*(1+Data_All!AP73%),AP233*(1+Data_All!AP73%)),"")</f>
        <v/>
      </c>
      <c r="AQ234" s="427" t="str">
        <f>IF(AND($A234&gt;=SYear_O,$A234&lt;=EYear_O,AQ$3&gt;0),IF($A234=SYear_O,AQ$168*(1+Data_All!AQ73%),AQ233*(1+Data_All!AQ73%)),"")</f>
        <v/>
      </c>
      <c r="AR234" s="427" t="str">
        <f>IF(AND($A234&gt;=SYear_O,$A234&lt;=EYear_O,AR$3&gt;0),IF($A234=SYear_O,AR$168*(1+Data_All!AR73%),AR233*(1+Data_All!AR73%)),"")</f>
        <v/>
      </c>
      <c r="AS234" s="427" t="str">
        <f>IF(AND($A234&gt;=SYear_O,$A234&lt;=EYear_O,AS$3&gt;0),IF($A234=SYear_O,AS$168*(1+Data_All!AS73%),AS233*(1+Data_All!AS73%)),"")</f>
        <v/>
      </c>
      <c r="AT234" s="427" t="str">
        <f>IF(AND($A234&gt;=SYear_O,$A234&lt;=EYear_O,AT$3&gt;0),IF($A234=SYear_O,AT$168*(1+Data_All!AT73%),AT233*(1+Data_All!AT73%)),"")</f>
        <v/>
      </c>
      <c r="AU234" s="427" t="str">
        <f>IF(AND($A234&gt;=SYear_O,$A234&lt;=EYear_O,AU$3&gt;0),IF($A234=SYear_O,AU$168*(1+Data_All!AU73%),AU233*(1+Data_All!AU73%)),"")</f>
        <v/>
      </c>
      <c r="AV234" s="427" t="str">
        <f>IF(AND($A234&gt;=SYear_O,$A234&lt;=EYear_O,AV$3&gt;0),IF($A234=SYear_O,AV$168*(1+Data_All!AV73%),AV233*(1+Data_All!AV73%)),"")</f>
        <v/>
      </c>
      <c r="AW234" s="427" t="str">
        <f>IF(AND($A234&gt;=SYear_O,$A234&lt;=EYear_O,AW$3&gt;0),IF($A234=SYear_O,AW$168*(1+Data_All!AW73%),AW233*(1+Data_All!AW73%)),"")</f>
        <v/>
      </c>
      <c r="AX234" s="427" t="str">
        <f>IF(AND($A234&gt;=SYear_O,$A234&lt;=EYear_O,AX$3&gt;0),IF($A234=SYear_O,AX$168*(1+Data_All!AX73%),AX233*(1+Data_All!AX73%)),"")</f>
        <v/>
      </c>
      <c r="AY234" s="427" t="str">
        <f>IF(AND($A234&gt;=SYear_O,$A234&lt;=EYear_O,AY$3&gt;0),IF($A234=SYear_O,AY$168*(1+Data_All!AY73%),AY233*(1+Data_All!AY73%)),"")</f>
        <v/>
      </c>
      <c r="AZ234" s="427" t="str">
        <f>IF(AND($A234&gt;=SYear_O,$A234&lt;=EYear_O,AZ$3&gt;0),IF($A234=SYear_O,AZ$168*(1+Data_All!AZ73%),AZ233*(1+Data_All!AZ73%)),"")</f>
        <v/>
      </c>
      <c r="BA234" s="427" t="str">
        <f>IF(AND($A234&gt;=SYear_O,$A234&lt;=EYear_O,BA$3&gt;0),IF($A234=SYear_O,BA$168*(1+Data_All!BA73%),BA233*(1+Data_All!BA73%)),"")</f>
        <v/>
      </c>
      <c r="BB234" s="427" t="str">
        <f>IF(AND($A234&gt;=SYear_O,$A234&lt;=EYear_O,BB$3&gt;0),IF($A234=SYear_O,BB$168*(1+Data_All!BB73%),BB233*(1+Data_All!BB73%)),"")</f>
        <v/>
      </c>
      <c r="BC234" s="427" t="str">
        <f>IF(AND($A234&gt;=SYear_O,$A234&lt;=EYear_O,BC$3&gt;0),IF($A234=SYear_O,BC$168*(1+Data_All!BC73%),BC233*(1+Data_All!BC73%)),"")</f>
        <v/>
      </c>
      <c r="BD234" s="427" t="str">
        <f>IF(AND($A234&gt;=SYear_O,$A234&lt;=EYear_O,BD$3&gt;0),IF($A234=SYear_O,BD$168*(1+Data_All!BD73%),BD233*(1+Data_All!BD73%)),"")</f>
        <v/>
      </c>
      <c r="BE234" s="427" t="str">
        <f>IF(AND($A234&gt;=SYear_O,$A234&lt;=EYear_O,BE$3&gt;0),IF($A234=SYear_O,BE$168*(1+Data_All!BE73%),BE233*(1+Data_All!BE73%)),"")</f>
        <v/>
      </c>
      <c r="BF234" s="427" t="str">
        <f>IF(AND($A234&gt;=SYear_O,$A234&lt;=EYear_O,BF$3&gt;0),IF($A234=SYear_O,BF$168*(1+Data_All!BF73%),BF233*(1+Data_All!BF73%)),"")</f>
        <v/>
      </c>
      <c r="BG234" s="427" t="str">
        <f>IF(AND($A234&gt;=SYear_O,$A234&lt;=EYear_O,BG$3&gt;0),IF($A234=SYear_O,BG$168*(1+Data_All!BG73%),BG233*(1+Data_All!BG73%)),"")</f>
        <v/>
      </c>
      <c r="BH234" s="427" t="str">
        <f>IF(AND($A234&gt;=SYear_O,$A234&lt;=EYear_O,BH$3&gt;0),IF($A234=SYear_O,BH$168*(1+Data_All!BH73%),BH233*(1+Data_All!BH73%)),"")</f>
        <v/>
      </c>
      <c r="BI234" s="427" t="str">
        <f>IF(AND($A234&gt;=SYear_O,$A234&lt;=EYear_O,BI$3&gt;0),IF($A234=SYear_O,BI$168*(1+Data_All!BI73%),BI233*(1+Data_All!BI73%)),"")</f>
        <v/>
      </c>
      <c r="BJ234" s="427" t="str">
        <f>IF(AND($A234&gt;=SYear_O,$A234&lt;=EYear_O,BJ$3&gt;0),IF($A234=SYear_O,BJ$168*(1+Data_All!BJ73%),BJ233*(1+Data_All!BJ73%)),"")</f>
        <v/>
      </c>
      <c r="BK234" s="427" t="str">
        <f>IF(AND($A234&gt;=SYear_O,$A234&lt;=EYear_O,BK$3&gt;0),IF($A234=SYear_O,BK$168*(1+Data_All!BK73%),BK233*(1+Data_All!BK73%)),"")</f>
        <v/>
      </c>
      <c r="BL234" s="427" t="str">
        <f>IF(AND($A234&gt;=SYear_O,$A234&lt;=EYear_O,BL$3&gt;0),IF($A234=SYear_O,BL$168*(1+Data_All!BL73%),BL233*(1+Data_All!BL73%)),"")</f>
        <v/>
      </c>
      <c r="BM234" s="427" t="str">
        <f>IF(AND($A234&gt;=SYear_O,$A234&lt;=EYear_O,BM$3&gt;0),IF($A234=SYear_O,BM$168*(1+Data_All!BM73%),BM233*(1+Data_All!BM73%)),"")</f>
        <v/>
      </c>
      <c r="BN234" s="427" t="str">
        <f>IF(AND($A234&gt;=SYear_O,$A234&lt;=EYear_O,BN$3&gt;0),IF($A234=SYear_O,BN$168*(1+Data_All!BN73%),BN233*(1+Data_All!BN73%)),"")</f>
        <v/>
      </c>
      <c r="BO234" s="427" t="str">
        <f>IF(AND($A234&gt;=SYear_O,$A234&lt;=EYear_O,BO$3&gt;0),IF($A234=SYear_O,BO$168*(1+Data_All!BO73%),BO233*(1+Data_All!BO73%)),"")</f>
        <v/>
      </c>
      <c r="BP234" s="427" t="str">
        <f>IF(AND($A234&gt;=SYear_O,$A234&lt;=EYear_O,BP$3&gt;0),IF($A234=SYear_O,BP$168*(1+Data_All!BP73%),BP233*(1+Data_All!BP73%)),"")</f>
        <v/>
      </c>
      <c r="BQ234" s="427" t="str">
        <f>IF(AND($A234&gt;=SYear_O,$A234&lt;=EYear_O,BQ$3&gt;0),IF($A234=SYear_O,BQ$168*(1+Data_All!BQ73%),BQ233*(1+Data_All!BQ73%)),"")</f>
        <v/>
      </c>
      <c r="BR234" s="427" t="str">
        <f>IF(AND($A234&gt;=SYear_O,$A234&lt;=EYear_O,BR$3&gt;0),IF($A234=SYear_O,BR$168*(1+Data_All!BR73%),BR233*(1+Data_All!BR73%)),"")</f>
        <v/>
      </c>
      <c r="BS234" s="427" t="str">
        <f>IF(AND($A234&gt;=SYear_O,$A234&lt;=EYear_O,BS$3&gt;0),IF($A234=SYear_O,BS$168*(1+Data_All!BS73%),BS233*(1+Data_All!BS73%)),"")</f>
        <v/>
      </c>
      <c r="BT234" s="427" t="str">
        <f>IF(AND($A234&gt;=SYear_O,$A234&lt;=EYear_O,BT$3&gt;0),IF($A234=SYear_O,BT$168*(1+Data_All!BT73%),BT233*(1+Data_All!BT73%)),"")</f>
        <v/>
      </c>
      <c r="BU234" s="427" t="str">
        <f>IF(AND($A234&gt;=SYear_O,$A234&lt;=EYear_O,BU$3&gt;0),IF($A234=SYear_O,BU$168*(1+Data_All!BU73%),BU233*(1+Data_All!BU73%)),"")</f>
        <v/>
      </c>
      <c r="BV234" s="427" t="str">
        <f>IF(AND($A234&gt;=SYear_O,$A234&lt;=EYear_O,BV$3&gt;0),IF($A234=SYear_O,BV$168*(1+Data_All!BV73%),BV233*(1+Data_All!BV73%)),"")</f>
        <v/>
      </c>
      <c r="BW234" s="427" t="str">
        <f>IF(AND($A234&gt;=SYear_O,$A234&lt;=EYear_O,BW$3&gt;0),IF($A234=SYear_O,BW$168*(1+Data_All!BW73%),BW233*(1+Data_All!BW73%)),"")</f>
        <v/>
      </c>
      <c r="BX234" s="427">
        <f>IF(AND($A234&gt;=SYear_O,$A234&lt;=EYear_O,BX$3&gt;0),IF($A234=SYear_O,BX$168*(1+Data_All!BX73%),BX233*(1+Data_All!BX73%)),"")</f>
        <v>680400.02778681507</v>
      </c>
      <c r="BY234" s="427">
        <f>IF(AND($A234&gt;=SYear_O,$A234&lt;=EYear_O,BY$3&gt;0),IF($A234=SYear_O,BY$168*(1+Data_All!BY73%),BY233*(1+Data_All!BY73%)),"")</f>
        <v>54648.056588102809</v>
      </c>
      <c r="BZ234" s="427" t="str">
        <f>IF(AND($A234&gt;=SYear_O,$A234&lt;=EYear_O,BZ$3&gt;0),IF($A234=SYear_O,BZ$168*(1+Data_All!BZ73%),BZ233*(1+Data_All!BZ73%)),"")</f>
        <v/>
      </c>
      <c r="CA234" s="565">
        <f t="shared" si="123"/>
        <v>30.182499732593723</v>
      </c>
      <c r="CB234" s="427">
        <f t="shared" si="124"/>
        <v>735048.0843749179</v>
      </c>
      <c r="CC234" s="565">
        <f>IF(AND($A234&gt;=SYear_O,$A234&lt;=EYear_O),(CA234-Data_All!CA73)/(1+Data_All!CA73%),"")</f>
        <v>27.41265931275132</v>
      </c>
      <c r="CD234" s="436">
        <f t="shared" si="125"/>
        <v>649764.83415476081</v>
      </c>
      <c r="CE234" s="438">
        <f t="shared" si="126"/>
        <v>66.668301709705716</v>
      </c>
      <c r="CF234" s="438">
        <f>IF(AND($A234&gt;=SYear_O,$A234&lt;=EYear_O),MAX($CE$169:CE234),"")</f>
        <v>66.668301709705716</v>
      </c>
      <c r="CG234" s="209">
        <f t="shared" si="127"/>
        <v>0</v>
      </c>
      <c r="CN234" s="61">
        <f t="shared" si="128"/>
        <v>0.30182499732593726</v>
      </c>
      <c r="CO234" s="61">
        <f t="shared" si="129"/>
        <v>1.900814434021636E-2</v>
      </c>
      <c r="CP234" s="61">
        <f t="shared" si="130"/>
        <v>2.0013737599253734E-3</v>
      </c>
      <c r="CQ234" s="61">
        <f t="shared" si="131"/>
        <v>7.8462958818091622E-2</v>
      </c>
      <c r="CR234" s="61">
        <f t="shared" si="132"/>
        <v>8.2712972030243526E-2</v>
      </c>
      <c r="CU234" s="61">
        <f t="shared" si="133"/>
        <v>0.2741265931275132</v>
      </c>
      <c r="CV234" s="61">
        <f t="shared" si="134"/>
        <v>1.4132432692585573E-2</v>
      </c>
      <c r="CW234" s="61">
        <f t="shared" si="135"/>
        <v>-2.299220099495014E-3</v>
      </c>
      <c r="CX234" s="61">
        <f t="shared" si="136"/>
        <v>4.9025398232829698E-2</v>
      </c>
      <c r="CY234" s="61">
        <f t="shared" si="137"/>
        <v>3.9560329489034096E-2</v>
      </c>
    </row>
    <row r="235" spans="1:103">
      <c r="A235" s="204">
        <f t="shared" si="107"/>
        <v>1937</v>
      </c>
      <c r="B235" s="427" t="str">
        <f>IF(AND($A235&gt;=SYear_O,$A235&lt;=EYear_O,B$3&gt;0),IF($A235=SYear_O,B$168*(1+Data_All!B74%),B234*(1+Data_All!B74%)),"")</f>
        <v/>
      </c>
      <c r="C235" s="427" t="str">
        <f>IF(AND($A235&gt;=SYear_O,$A235&lt;=EYear_O,C$3&gt;0),IF($A235=SYear_O,C$168*(1+Data_All!C74%),C234*(1+Data_All!C74%)),"")</f>
        <v/>
      </c>
      <c r="D235" s="427" t="str">
        <f>IF(AND($A235&gt;=SYear_O,$A235&lt;=EYear_O,D$3&gt;0),IF($A235=SYear_O,D$168*(1+Data_All!D74%),D234*(1+Data_All!D74%)),"")</f>
        <v/>
      </c>
      <c r="E235" s="427" t="str">
        <f>IF(AND($A235&gt;=SYear_O,$A235&lt;=EYear_O,E$3&gt;0),IF($A235=SYear_O,E$168*(1+Data_All!E74%),E234*(1+Data_All!E74%)),"")</f>
        <v/>
      </c>
      <c r="F235" s="427" t="str">
        <f>IF(AND($A235&gt;=SYear_O,$A235&lt;=EYear_O,F$3&gt;0),IF($A235=SYear_O,F$168*(1+Data_All!F74%),F234*(1+Data_All!F74%)),"")</f>
        <v/>
      </c>
      <c r="G235" s="427" t="str">
        <f>IF(AND($A235&gt;=SYear_O,$A235&lt;=EYear_O,G$3&gt;0),IF($A235=SYear_O,G$168*(1+Data_All!G74%),G234*(1+Data_All!G74%)),"")</f>
        <v/>
      </c>
      <c r="H235" s="427" t="str">
        <f>IF(AND($A235&gt;=SYear_O,$A235&lt;=EYear_O,H$3&gt;0),IF($A235=SYear_O,H$168*(1+Data_All!H74%),H234*(1+Data_All!H74%)),"")</f>
        <v/>
      </c>
      <c r="I235" s="427" t="str">
        <f>IF(AND($A235&gt;=SYear_O,$A235&lt;=EYear_O,I$3&gt;0),IF($A235=SYear_O,I$168*(1+Data_All!I74%),I234*(1+Data_All!I74%)),"")</f>
        <v/>
      </c>
      <c r="J235" s="427" t="str">
        <f>IF(AND($A235&gt;=SYear_O,$A235&lt;=EYear_O,J$3&gt;0),IF($A235=SYear_O,J$168*(1+Data_All!J74%),J234*(1+Data_All!J74%)),"")</f>
        <v/>
      </c>
      <c r="K235" s="427" t="str">
        <f>IF(AND($A235&gt;=SYear_O,$A235&lt;=EYear_O,K$3&gt;0),IF($A235=SYear_O,K$168*(1+Data_All!K74%),K234*(1+Data_All!K74%)),"")</f>
        <v/>
      </c>
      <c r="L235" s="427" t="str">
        <f>IF(AND($A235&gt;=SYear_O,$A235&lt;=EYear_O,L$3&gt;0),IF($A235=SYear_O,L$168*(1+Data_All!L74%),L234*(1+Data_All!L74%)),"")</f>
        <v/>
      </c>
      <c r="M235" s="427" t="str">
        <f>IF(AND($A235&gt;=SYear_O,$A235&lt;=EYear_O,M$3&gt;0),IF($A235=SYear_O,M$168*(1+Data_All!M74%),M234*(1+Data_All!M74%)),"")</f>
        <v/>
      </c>
      <c r="N235" s="427" t="str">
        <f>IF(AND($A235&gt;=SYear_O,$A235&lt;=EYear_O,N$3&gt;0),IF($A235=SYear_O,N$168*(1+Data_All!N74%),N234*(1+Data_All!N74%)),"")</f>
        <v/>
      </c>
      <c r="O235" s="427" t="str">
        <f>IF(AND($A235&gt;=SYear_O,$A235&lt;=EYear_O,O$3&gt;0),IF($A235=SYear_O,O$168*(1+Data_All!O74%),O234*(1+Data_All!O74%)),"")</f>
        <v/>
      </c>
      <c r="P235" s="427" t="str">
        <f>IF(AND($A235&gt;=SYear_O,$A235&lt;=EYear_O,P$3&gt;0),IF($A235=SYear_O,P$168*(1+Data_All!P74%),P234*(1+Data_All!P74%)),"")</f>
        <v/>
      </c>
      <c r="Q235" s="427" t="str">
        <f>IF(AND($A235&gt;=SYear_O,$A235&lt;=EYear_O,Q$3&gt;0),IF($A235=SYear_O,Q$168*(1+Data_All!Q74%),Q234*(1+Data_All!Q74%)),"")</f>
        <v/>
      </c>
      <c r="R235" s="427" t="str">
        <f>IF(AND($A235&gt;=SYear_O,$A235&lt;=EYear_O,R$3&gt;0),IF($A235=SYear_O,R$168*(1+Data_All!R74%),R234*(1+Data_All!R74%)),"")</f>
        <v/>
      </c>
      <c r="S235" s="427" t="str">
        <f>IF(AND($A235&gt;=SYear_O,$A235&lt;=EYear_O,S$3&gt;0),IF($A235=SYear_O,S$168*(1+Data_All!S74%),S234*(1+Data_All!S74%)),"")</f>
        <v/>
      </c>
      <c r="T235" s="427" t="str">
        <f>IF(AND($A235&gt;=SYear_O,$A235&lt;=EYear_O,T$3&gt;0),IF($A235=SYear_O,T$168*(1+Data_All!T74%),T234*(1+Data_All!T74%)),"")</f>
        <v/>
      </c>
      <c r="U235" s="427" t="str">
        <f>IF(AND($A235&gt;=SYear_O,$A235&lt;=EYear_O,U$3&gt;0),IF($A235=SYear_O,U$168*(1+Data_All!U74%),U234*(1+Data_All!U74%)),"")</f>
        <v/>
      </c>
      <c r="V235" s="427" t="str">
        <f>IF(AND($A235&gt;=SYear_O,$A235&lt;=EYear_O,V$3&gt;0),IF($A235=SYear_O,V$168*(1+Data_All!V74%),V234*(1+Data_All!V74%)),"")</f>
        <v/>
      </c>
      <c r="W235" s="427" t="str">
        <f>IF(AND($A235&gt;=SYear_O,$A235&lt;=EYear_O,W$3&gt;0),IF($A235=SYear_O,W$168*(1+Data_All!W74%),W234*(1+Data_All!W74%)),"")</f>
        <v/>
      </c>
      <c r="X235" s="427" t="str">
        <f>IF(AND($A235&gt;=SYear_O,$A235&lt;=EYear_O,X$3&gt;0),IF($A235=SYear_O,X$168*(1+Data_All!X74%),X234*(1+Data_All!X74%)),"")</f>
        <v/>
      </c>
      <c r="Y235" s="427" t="str">
        <f>IF(AND($A235&gt;=SYear_O,$A235&lt;=EYear_O,Y$3&gt;0),IF($A235=SYear_O,Y$168*(1+Data_All!Y74%),Y234*(1+Data_All!Y74%)),"")</f>
        <v/>
      </c>
      <c r="Z235" s="427" t="str">
        <f>IF(AND($A235&gt;=SYear_O,$A235&lt;=EYear_O,Z$3&gt;0),IF($A235=SYear_O,Z$168*(1+Data_All!Z74%),Z234*(1+Data_All!Z74%)),"")</f>
        <v/>
      </c>
      <c r="AA235" s="427" t="str">
        <f>IF(AND($A235&gt;=SYear_O,$A235&lt;=EYear_O,AA$3&gt;0),IF($A235=SYear_O,AA$168*(1+Data_All!AA74%),AA234*(1+Data_All!AA74%)),"")</f>
        <v/>
      </c>
      <c r="AB235" s="427" t="str">
        <f>IF(AND($A235&gt;=SYear_O,$A235&lt;=EYear_O,AB$3&gt;0),IF($A235=SYear_O,AB$168*(1+Data_All!AB74%),AB234*(1+Data_All!AB74%)),"")</f>
        <v/>
      </c>
      <c r="AC235" s="427" t="str">
        <f>IF(AND($A235&gt;=SYear_O,$A235&lt;=EYear_O,AC$3&gt;0),IF($A235=SYear_O,AC$168*(1+Data_All!AC74%),AC234*(1+Data_All!AC74%)),"")</f>
        <v/>
      </c>
      <c r="AD235" s="427" t="str">
        <f>IF(AND($A235&gt;=SYear_O,$A235&lt;=EYear_O,AD$3&gt;0),IF($A235=SYear_O,AD$168*(1+Data_All!AD74%),AD234*(1+Data_All!AD74%)),"")</f>
        <v/>
      </c>
      <c r="AE235" s="427" t="str">
        <f>IF(AND($A235&gt;=SYear_O,$A235&lt;=EYear_O,AE$3&gt;0),IF($A235=SYear_O,AE$168*(1+Data_All!AE74%),AE234*(1+Data_All!AE74%)),"")</f>
        <v/>
      </c>
      <c r="AF235" s="427" t="str">
        <f>IF(AND($A235&gt;=SYear_O,$A235&lt;=EYear_O,AF$3&gt;0),IF($A235=SYear_O,AF$168*(1+Data_All!AF74%),AF234*(1+Data_All!AF74%)),"")</f>
        <v/>
      </c>
      <c r="AG235" s="427" t="str">
        <f>IF(AND($A235&gt;=SYear_O,$A235&lt;=EYear_O,AG$3&gt;0),IF($A235=SYear_O,AG$168*(1+Data_All!AG74%),AG234*(1+Data_All!AG74%)),"")</f>
        <v/>
      </c>
      <c r="AH235" s="427" t="str">
        <f>IF(AND($A235&gt;=SYear_O,$A235&lt;=EYear_O,AH$3&gt;0),IF($A235=SYear_O,AH$168*(1+Data_All!AH74%),AH234*(1+Data_All!AH74%)),"")</f>
        <v/>
      </c>
      <c r="AI235" s="427" t="str">
        <f>IF(AND($A235&gt;=SYear_O,$A235&lt;=EYear_O,AI$3&gt;0),IF($A235=SYear_O,AI$168*(1+Data_All!AI74%),AI234*(1+Data_All!AI74%)),"")</f>
        <v/>
      </c>
      <c r="AJ235" s="427" t="str">
        <f>IF(AND($A235&gt;=SYear_O,$A235&lt;=EYear_O,AJ$3&gt;0),IF($A235=SYear_O,AJ$168*(1+Data_All!AJ74%),AJ234*(1+Data_All!AJ74%)),"")</f>
        <v/>
      </c>
      <c r="AK235" s="427" t="str">
        <f>IF(AND($A235&gt;=SYear_O,$A235&lt;=EYear_O,AK$3&gt;0),IF($A235=SYear_O,AK$168*(1+Data_All!AK74%),AK234*(1+Data_All!AK74%)),"")</f>
        <v/>
      </c>
      <c r="AL235" s="427" t="str">
        <f>IF(AND($A235&gt;=SYear_O,$A235&lt;=EYear_O,AL$3&gt;0),IF($A235=SYear_O,AL$168*(1+Data_All!AL74%),AL234*(1+Data_All!AL74%)),"")</f>
        <v/>
      </c>
      <c r="AM235" s="427" t="str">
        <f>IF(AND($A235&gt;=SYear_O,$A235&lt;=EYear_O,AM$3&gt;0),IF($A235=SYear_O,AM$168*(1+Data_All!AM74%),AM234*(1+Data_All!AM74%)),"")</f>
        <v/>
      </c>
      <c r="AN235" s="427" t="str">
        <f>IF(AND($A235&gt;=SYear_O,$A235&lt;=EYear_O,AN$3&gt;0),IF($A235=SYear_O,AN$168*(1+Data_All!AN74%),AN234*(1+Data_All!AN74%)),"")</f>
        <v/>
      </c>
      <c r="AO235" s="427" t="str">
        <f>IF(AND($A235&gt;=SYear_O,$A235&lt;=EYear_O,AO$3&gt;0),IF($A235=SYear_O,AO$168*(1+Data_All!AO74%),AO234*(1+Data_All!AO74%)),"")</f>
        <v/>
      </c>
      <c r="AP235" s="427" t="str">
        <f>IF(AND($A235&gt;=SYear_O,$A235&lt;=EYear_O,AP$3&gt;0),IF($A235=SYear_O,AP$168*(1+Data_All!AP74%),AP234*(1+Data_All!AP74%)),"")</f>
        <v/>
      </c>
      <c r="AQ235" s="427" t="str">
        <f>IF(AND($A235&gt;=SYear_O,$A235&lt;=EYear_O,AQ$3&gt;0),IF($A235=SYear_O,AQ$168*(1+Data_All!AQ74%),AQ234*(1+Data_All!AQ74%)),"")</f>
        <v/>
      </c>
      <c r="AR235" s="427" t="str">
        <f>IF(AND($A235&gt;=SYear_O,$A235&lt;=EYear_O,AR$3&gt;0),IF($A235=SYear_O,AR$168*(1+Data_All!AR74%),AR234*(1+Data_All!AR74%)),"")</f>
        <v/>
      </c>
      <c r="AS235" s="427" t="str">
        <f>IF(AND($A235&gt;=SYear_O,$A235&lt;=EYear_O,AS$3&gt;0),IF($A235=SYear_O,AS$168*(1+Data_All!AS74%),AS234*(1+Data_All!AS74%)),"")</f>
        <v/>
      </c>
      <c r="AT235" s="427" t="str">
        <f>IF(AND($A235&gt;=SYear_O,$A235&lt;=EYear_O,AT$3&gt;0),IF($A235=SYear_O,AT$168*(1+Data_All!AT74%),AT234*(1+Data_All!AT74%)),"")</f>
        <v/>
      </c>
      <c r="AU235" s="427" t="str">
        <f>IF(AND($A235&gt;=SYear_O,$A235&lt;=EYear_O,AU$3&gt;0),IF($A235=SYear_O,AU$168*(1+Data_All!AU74%),AU234*(1+Data_All!AU74%)),"")</f>
        <v/>
      </c>
      <c r="AV235" s="427" t="str">
        <f>IF(AND($A235&gt;=SYear_O,$A235&lt;=EYear_O,AV$3&gt;0),IF($A235=SYear_O,AV$168*(1+Data_All!AV74%),AV234*(1+Data_All!AV74%)),"")</f>
        <v/>
      </c>
      <c r="AW235" s="427" t="str">
        <f>IF(AND($A235&gt;=SYear_O,$A235&lt;=EYear_O,AW$3&gt;0),IF($A235=SYear_O,AW$168*(1+Data_All!AW74%),AW234*(1+Data_All!AW74%)),"")</f>
        <v/>
      </c>
      <c r="AX235" s="427" t="str">
        <f>IF(AND($A235&gt;=SYear_O,$A235&lt;=EYear_O,AX$3&gt;0),IF($A235=SYear_O,AX$168*(1+Data_All!AX74%),AX234*(1+Data_All!AX74%)),"")</f>
        <v/>
      </c>
      <c r="AY235" s="427" t="str">
        <f>IF(AND($A235&gt;=SYear_O,$A235&lt;=EYear_O,AY$3&gt;0),IF($A235=SYear_O,AY$168*(1+Data_All!AY74%),AY234*(1+Data_All!AY74%)),"")</f>
        <v/>
      </c>
      <c r="AZ235" s="427" t="str">
        <f>IF(AND($A235&gt;=SYear_O,$A235&lt;=EYear_O,AZ$3&gt;0),IF($A235=SYear_O,AZ$168*(1+Data_All!AZ74%),AZ234*(1+Data_All!AZ74%)),"")</f>
        <v/>
      </c>
      <c r="BA235" s="427" t="str">
        <f>IF(AND($A235&gt;=SYear_O,$A235&lt;=EYear_O,BA$3&gt;0),IF($A235=SYear_O,BA$168*(1+Data_All!BA74%),BA234*(1+Data_All!BA74%)),"")</f>
        <v/>
      </c>
      <c r="BB235" s="427" t="str">
        <f>IF(AND($A235&gt;=SYear_O,$A235&lt;=EYear_O,BB$3&gt;0),IF($A235=SYear_O,BB$168*(1+Data_All!BB74%),BB234*(1+Data_All!BB74%)),"")</f>
        <v/>
      </c>
      <c r="BC235" s="427" t="str">
        <f>IF(AND($A235&gt;=SYear_O,$A235&lt;=EYear_O,BC$3&gt;0),IF($A235=SYear_O,BC$168*(1+Data_All!BC74%),BC234*(1+Data_All!BC74%)),"")</f>
        <v/>
      </c>
      <c r="BD235" s="427" t="str">
        <f>IF(AND($A235&gt;=SYear_O,$A235&lt;=EYear_O,BD$3&gt;0),IF($A235=SYear_O,BD$168*(1+Data_All!BD74%),BD234*(1+Data_All!BD74%)),"")</f>
        <v/>
      </c>
      <c r="BE235" s="427" t="str">
        <f>IF(AND($A235&gt;=SYear_O,$A235&lt;=EYear_O,BE$3&gt;0),IF($A235=SYear_O,BE$168*(1+Data_All!BE74%),BE234*(1+Data_All!BE74%)),"")</f>
        <v/>
      </c>
      <c r="BF235" s="427" t="str">
        <f>IF(AND($A235&gt;=SYear_O,$A235&lt;=EYear_O,BF$3&gt;0),IF($A235=SYear_O,BF$168*(1+Data_All!BF74%),BF234*(1+Data_All!BF74%)),"")</f>
        <v/>
      </c>
      <c r="BG235" s="427" t="str">
        <f>IF(AND($A235&gt;=SYear_O,$A235&lt;=EYear_O,BG$3&gt;0),IF($A235=SYear_O,BG$168*(1+Data_All!BG74%),BG234*(1+Data_All!BG74%)),"")</f>
        <v/>
      </c>
      <c r="BH235" s="427" t="str">
        <f>IF(AND($A235&gt;=SYear_O,$A235&lt;=EYear_O,BH$3&gt;0),IF($A235=SYear_O,BH$168*(1+Data_All!BH74%),BH234*(1+Data_All!BH74%)),"")</f>
        <v/>
      </c>
      <c r="BI235" s="427" t="str">
        <f>IF(AND($A235&gt;=SYear_O,$A235&lt;=EYear_O,BI$3&gt;0),IF($A235=SYear_O,BI$168*(1+Data_All!BI74%),BI234*(1+Data_All!BI74%)),"")</f>
        <v/>
      </c>
      <c r="BJ235" s="427" t="str">
        <f>IF(AND($A235&gt;=SYear_O,$A235&lt;=EYear_O,BJ$3&gt;0),IF($A235=SYear_O,BJ$168*(1+Data_All!BJ74%),BJ234*(1+Data_All!BJ74%)),"")</f>
        <v/>
      </c>
      <c r="BK235" s="427" t="str">
        <f>IF(AND($A235&gt;=SYear_O,$A235&lt;=EYear_O,BK$3&gt;0),IF($A235=SYear_O,BK$168*(1+Data_All!BK74%),BK234*(1+Data_All!BK74%)),"")</f>
        <v/>
      </c>
      <c r="BL235" s="427" t="str">
        <f>IF(AND($A235&gt;=SYear_O,$A235&lt;=EYear_O,BL$3&gt;0),IF($A235=SYear_O,BL$168*(1+Data_All!BL74%),BL234*(1+Data_All!BL74%)),"")</f>
        <v/>
      </c>
      <c r="BM235" s="427" t="str">
        <f>IF(AND($A235&gt;=SYear_O,$A235&lt;=EYear_O,BM$3&gt;0),IF($A235=SYear_O,BM$168*(1+Data_All!BM74%),BM234*(1+Data_All!BM74%)),"")</f>
        <v/>
      </c>
      <c r="BN235" s="427" t="str">
        <f>IF(AND($A235&gt;=SYear_O,$A235&lt;=EYear_O,BN$3&gt;0),IF($A235=SYear_O,BN$168*(1+Data_All!BN74%),BN234*(1+Data_All!BN74%)),"")</f>
        <v/>
      </c>
      <c r="BO235" s="427" t="str">
        <f>IF(AND($A235&gt;=SYear_O,$A235&lt;=EYear_O,BO$3&gt;0),IF($A235=SYear_O,BO$168*(1+Data_All!BO74%),BO234*(1+Data_All!BO74%)),"")</f>
        <v/>
      </c>
      <c r="BP235" s="427" t="str">
        <f>IF(AND($A235&gt;=SYear_O,$A235&lt;=EYear_O,BP$3&gt;0),IF($A235=SYear_O,BP$168*(1+Data_All!BP74%),BP234*(1+Data_All!BP74%)),"")</f>
        <v/>
      </c>
      <c r="BQ235" s="427" t="str">
        <f>IF(AND($A235&gt;=SYear_O,$A235&lt;=EYear_O,BQ$3&gt;0),IF($A235=SYear_O,BQ$168*(1+Data_All!BQ74%),BQ234*(1+Data_All!BQ74%)),"")</f>
        <v/>
      </c>
      <c r="BR235" s="427" t="str">
        <f>IF(AND($A235&gt;=SYear_O,$A235&lt;=EYear_O,BR$3&gt;0),IF($A235=SYear_O,BR$168*(1+Data_All!BR74%),BR234*(1+Data_All!BR74%)),"")</f>
        <v/>
      </c>
      <c r="BS235" s="427" t="str">
        <f>IF(AND($A235&gt;=SYear_O,$A235&lt;=EYear_O,BS$3&gt;0),IF($A235=SYear_O,BS$168*(1+Data_All!BS74%),BS234*(1+Data_All!BS74%)),"")</f>
        <v/>
      </c>
      <c r="BT235" s="427" t="str">
        <f>IF(AND($A235&gt;=SYear_O,$A235&lt;=EYear_O,BT$3&gt;0),IF($A235=SYear_O,BT$168*(1+Data_All!BT74%),BT234*(1+Data_All!BT74%)),"")</f>
        <v/>
      </c>
      <c r="BU235" s="427" t="str">
        <f>IF(AND($A235&gt;=SYear_O,$A235&lt;=EYear_O,BU$3&gt;0),IF($A235=SYear_O,BU$168*(1+Data_All!BU74%),BU234*(1+Data_All!BU74%)),"")</f>
        <v/>
      </c>
      <c r="BV235" s="427" t="str">
        <f>IF(AND($A235&gt;=SYear_O,$A235&lt;=EYear_O,BV$3&gt;0),IF($A235=SYear_O,BV$168*(1+Data_All!BV74%),BV234*(1+Data_All!BV74%)),"")</f>
        <v/>
      </c>
      <c r="BW235" s="427" t="str">
        <f>IF(AND($A235&gt;=SYear_O,$A235&lt;=EYear_O,BW$3&gt;0),IF($A235=SYear_O,BW$168*(1+Data_All!BW74%),BW234*(1+Data_All!BW74%)),"")</f>
        <v/>
      </c>
      <c r="BX235" s="427">
        <f>IF(AND($A235&gt;=SYear_O,$A235&lt;=EYear_O,BX$3&gt;0),IF($A235=SYear_O,BX$168*(1+Data_All!BX74%),BX234*(1+Data_All!BX74%)),"")</f>
        <v>468427.76216590853</v>
      </c>
      <c r="BY235" s="427">
        <f>IF(AND($A235&gt;=SYear_O,$A235&lt;=EYear_O,BY$3&gt;0),IF($A235=SYear_O,BY$168*(1+Data_All!BY74%),BY234*(1+Data_All!BY74%)),"")</f>
        <v>56399.566639773053</v>
      </c>
      <c r="BZ235" s="427" t="str">
        <f>IF(AND($A235&gt;=SYear_O,$A235&lt;=EYear_O,BZ$3&gt;0),IF($A235=SYear_O,BZ$168*(1+Data_All!BZ74%),BZ234*(1+Data_All!BZ74%)),"")</f>
        <v/>
      </c>
      <c r="CA235" s="565">
        <f t="shared" si="123"/>
        <v>-28.599592331161205</v>
      </c>
      <c r="CB235" s="427">
        <f t="shared" si="124"/>
        <v>524827.32880568155</v>
      </c>
      <c r="CC235" s="565">
        <f>IF(AND($A235&gt;=SYear_O,$A235&lt;=EYear_O),(CA235-Data_All!CA74)/(1+Data_All!CA74%),"")</f>
        <v>-29.102412103476965</v>
      </c>
      <c r="CD235" s="436">
        <f t="shared" si="125"/>
        <v>460667.59441556863</v>
      </c>
      <c r="CE235" s="438">
        <f t="shared" si="126"/>
        <v>47.601439206621308</v>
      </c>
      <c r="CF235" s="438">
        <f>IF(AND($A235&gt;=SYear_O,$A235&lt;=EYear_O),MAX($CE$169:CE235),"")</f>
        <v>66.668301709705716</v>
      </c>
      <c r="CG235" s="209">
        <f t="shared" si="127"/>
        <v>0.28599592331161205</v>
      </c>
      <c r="CN235" s="61">
        <f t="shared" si="128"/>
        <v>-0.28599592331161205</v>
      </c>
      <c r="CO235" s="61">
        <f t="shared" si="129"/>
        <v>-5.6540800349975773E-2</v>
      </c>
      <c r="CP235" s="61">
        <f t="shared" si="130"/>
        <v>-6.4463624705723421E-2</v>
      </c>
      <c r="CQ235" s="61">
        <f t="shared" si="131"/>
        <v>3.8359193493090915E-2</v>
      </c>
      <c r="CR235" s="61">
        <f t="shared" si="132"/>
        <v>7.6806785698121383E-2</v>
      </c>
      <c r="CU235" s="61">
        <f t="shared" si="133"/>
        <v>-0.29102412103476971</v>
      </c>
      <c r="CV235" s="61">
        <f t="shared" si="134"/>
        <v>-5.2037346905981718E-2</v>
      </c>
      <c r="CW235" s="61">
        <f t="shared" si="135"/>
        <v>-8.4360392896243863E-2</v>
      </c>
      <c r="CX235" s="61">
        <f t="shared" si="136"/>
        <v>-4.5357274408240889E-3</v>
      </c>
      <c r="CY235" s="61">
        <f t="shared" si="137"/>
        <v>3.2450723448138152E-2</v>
      </c>
    </row>
    <row r="236" spans="1:103">
      <c r="A236" s="204">
        <f t="shared" si="107"/>
        <v>1938</v>
      </c>
      <c r="B236" s="427" t="str">
        <f>IF(AND($A236&gt;=SYear_O,$A236&lt;=EYear_O,B$3&gt;0),IF($A236=SYear_O,B$168*(1+Data_All!B75%),B235*(1+Data_All!B75%)),"")</f>
        <v/>
      </c>
      <c r="C236" s="427" t="str">
        <f>IF(AND($A236&gt;=SYear_O,$A236&lt;=EYear_O,C$3&gt;0),IF($A236=SYear_O,C$168*(1+Data_All!C75%),C235*(1+Data_All!C75%)),"")</f>
        <v/>
      </c>
      <c r="D236" s="427" t="str">
        <f>IF(AND($A236&gt;=SYear_O,$A236&lt;=EYear_O,D$3&gt;0),IF($A236=SYear_O,D$168*(1+Data_All!D75%),D235*(1+Data_All!D75%)),"")</f>
        <v/>
      </c>
      <c r="E236" s="427" t="str">
        <f>IF(AND($A236&gt;=SYear_O,$A236&lt;=EYear_O,E$3&gt;0),IF($A236=SYear_O,E$168*(1+Data_All!E75%),E235*(1+Data_All!E75%)),"")</f>
        <v/>
      </c>
      <c r="F236" s="427" t="str">
        <f>IF(AND($A236&gt;=SYear_O,$A236&lt;=EYear_O,F$3&gt;0),IF($A236=SYear_O,F$168*(1+Data_All!F75%),F235*(1+Data_All!F75%)),"")</f>
        <v/>
      </c>
      <c r="G236" s="427" t="str">
        <f>IF(AND($A236&gt;=SYear_O,$A236&lt;=EYear_O,G$3&gt;0),IF($A236=SYear_O,G$168*(1+Data_All!G75%),G235*(1+Data_All!G75%)),"")</f>
        <v/>
      </c>
      <c r="H236" s="427" t="str">
        <f>IF(AND($A236&gt;=SYear_O,$A236&lt;=EYear_O,H$3&gt;0),IF($A236=SYear_O,H$168*(1+Data_All!H75%),H235*(1+Data_All!H75%)),"")</f>
        <v/>
      </c>
      <c r="I236" s="427" t="str">
        <f>IF(AND($A236&gt;=SYear_O,$A236&lt;=EYear_O,I$3&gt;0),IF($A236=SYear_O,I$168*(1+Data_All!I75%),I235*(1+Data_All!I75%)),"")</f>
        <v/>
      </c>
      <c r="J236" s="427" t="str">
        <f>IF(AND($A236&gt;=SYear_O,$A236&lt;=EYear_O,J$3&gt;0),IF($A236=SYear_O,J$168*(1+Data_All!J75%),J235*(1+Data_All!J75%)),"")</f>
        <v/>
      </c>
      <c r="K236" s="427" t="str">
        <f>IF(AND($A236&gt;=SYear_O,$A236&lt;=EYear_O,K$3&gt;0),IF($A236=SYear_O,K$168*(1+Data_All!K75%),K235*(1+Data_All!K75%)),"")</f>
        <v/>
      </c>
      <c r="L236" s="427" t="str">
        <f>IF(AND($A236&gt;=SYear_O,$A236&lt;=EYear_O,L$3&gt;0),IF($A236=SYear_O,L$168*(1+Data_All!L75%),L235*(1+Data_All!L75%)),"")</f>
        <v/>
      </c>
      <c r="M236" s="427" t="str">
        <f>IF(AND($A236&gt;=SYear_O,$A236&lt;=EYear_O,M$3&gt;0),IF($A236=SYear_O,M$168*(1+Data_All!M75%),M235*(1+Data_All!M75%)),"")</f>
        <v/>
      </c>
      <c r="N236" s="427" t="str">
        <f>IF(AND($A236&gt;=SYear_O,$A236&lt;=EYear_O,N$3&gt;0),IF($A236=SYear_O,N$168*(1+Data_All!N75%),N235*(1+Data_All!N75%)),"")</f>
        <v/>
      </c>
      <c r="O236" s="427" t="str">
        <f>IF(AND($A236&gt;=SYear_O,$A236&lt;=EYear_O,O$3&gt;0),IF($A236=SYear_O,O$168*(1+Data_All!O75%),O235*(1+Data_All!O75%)),"")</f>
        <v/>
      </c>
      <c r="P236" s="427" t="str">
        <f>IF(AND($A236&gt;=SYear_O,$A236&lt;=EYear_O,P$3&gt;0),IF($A236=SYear_O,P$168*(1+Data_All!P75%),P235*(1+Data_All!P75%)),"")</f>
        <v/>
      </c>
      <c r="Q236" s="427" t="str">
        <f>IF(AND($A236&gt;=SYear_O,$A236&lt;=EYear_O,Q$3&gt;0),IF($A236=SYear_O,Q$168*(1+Data_All!Q75%),Q235*(1+Data_All!Q75%)),"")</f>
        <v/>
      </c>
      <c r="R236" s="427" t="str">
        <f>IF(AND($A236&gt;=SYear_O,$A236&lt;=EYear_O,R$3&gt;0),IF($A236=SYear_O,R$168*(1+Data_All!R75%),R235*(1+Data_All!R75%)),"")</f>
        <v/>
      </c>
      <c r="S236" s="427" t="str">
        <f>IF(AND($A236&gt;=SYear_O,$A236&lt;=EYear_O,S$3&gt;0),IF($A236=SYear_O,S$168*(1+Data_All!S75%),S235*(1+Data_All!S75%)),"")</f>
        <v/>
      </c>
      <c r="T236" s="427" t="str">
        <f>IF(AND($A236&gt;=SYear_O,$A236&lt;=EYear_O,T$3&gt;0),IF($A236=SYear_O,T$168*(1+Data_All!T75%),T235*(1+Data_All!T75%)),"")</f>
        <v/>
      </c>
      <c r="U236" s="427" t="str">
        <f>IF(AND($A236&gt;=SYear_O,$A236&lt;=EYear_O,U$3&gt;0),IF($A236=SYear_O,U$168*(1+Data_All!U75%),U235*(1+Data_All!U75%)),"")</f>
        <v/>
      </c>
      <c r="V236" s="427" t="str">
        <f>IF(AND($A236&gt;=SYear_O,$A236&lt;=EYear_O,V$3&gt;0),IF($A236=SYear_O,V$168*(1+Data_All!V75%),V235*(1+Data_All!V75%)),"")</f>
        <v/>
      </c>
      <c r="W236" s="427" t="str">
        <f>IF(AND($A236&gt;=SYear_O,$A236&lt;=EYear_O,W$3&gt;0),IF($A236=SYear_O,W$168*(1+Data_All!W75%),W235*(1+Data_All!W75%)),"")</f>
        <v/>
      </c>
      <c r="X236" s="427" t="str">
        <f>IF(AND($A236&gt;=SYear_O,$A236&lt;=EYear_O,X$3&gt;0),IF($A236=SYear_O,X$168*(1+Data_All!X75%),X235*(1+Data_All!X75%)),"")</f>
        <v/>
      </c>
      <c r="Y236" s="427" t="str">
        <f>IF(AND($A236&gt;=SYear_O,$A236&lt;=EYear_O,Y$3&gt;0),IF($A236=SYear_O,Y$168*(1+Data_All!Y75%),Y235*(1+Data_All!Y75%)),"")</f>
        <v/>
      </c>
      <c r="Z236" s="427" t="str">
        <f>IF(AND($A236&gt;=SYear_O,$A236&lt;=EYear_O,Z$3&gt;0),IF($A236=SYear_O,Z$168*(1+Data_All!Z75%),Z235*(1+Data_All!Z75%)),"")</f>
        <v/>
      </c>
      <c r="AA236" s="427" t="str">
        <f>IF(AND($A236&gt;=SYear_O,$A236&lt;=EYear_O,AA$3&gt;0),IF($A236=SYear_O,AA$168*(1+Data_All!AA75%),AA235*(1+Data_All!AA75%)),"")</f>
        <v/>
      </c>
      <c r="AB236" s="427" t="str">
        <f>IF(AND($A236&gt;=SYear_O,$A236&lt;=EYear_O,AB$3&gt;0),IF($A236=SYear_O,AB$168*(1+Data_All!AB75%),AB235*(1+Data_All!AB75%)),"")</f>
        <v/>
      </c>
      <c r="AC236" s="427" t="str">
        <f>IF(AND($A236&gt;=SYear_O,$A236&lt;=EYear_O,AC$3&gt;0),IF($A236=SYear_O,AC$168*(1+Data_All!AC75%),AC235*(1+Data_All!AC75%)),"")</f>
        <v/>
      </c>
      <c r="AD236" s="427" t="str">
        <f>IF(AND($A236&gt;=SYear_O,$A236&lt;=EYear_O,AD$3&gt;0),IF($A236=SYear_O,AD$168*(1+Data_All!AD75%),AD235*(1+Data_All!AD75%)),"")</f>
        <v/>
      </c>
      <c r="AE236" s="427" t="str">
        <f>IF(AND($A236&gt;=SYear_O,$A236&lt;=EYear_O,AE$3&gt;0),IF($A236=SYear_O,AE$168*(1+Data_All!AE75%),AE235*(1+Data_All!AE75%)),"")</f>
        <v/>
      </c>
      <c r="AF236" s="427" t="str">
        <f>IF(AND($A236&gt;=SYear_O,$A236&lt;=EYear_O,AF$3&gt;0),IF($A236=SYear_O,AF$168*(1+Data_All!AF75%),AF235*(1+Data_All!AF75%)),"")</f>
        <v/>
      </c>
      <c r="AG236" s="427" t="str">
        <f>IF(AND($A236&gt;=SYear_O,$A236&lt;=EYear_O,AG$3&gt;0),IF($A236=SYear_O,AG$168*(1+Data_All!AG75%),AG235*(1+Data_All!AG75%)),"")</f>
        <v/>
      </c>
      <c r="AH236" s="427" t="str">
        <f>IF(AND($A236&gt;=SYear_O,$A236&lt;=EYear_O,AH$3&gt;0),IF($A236=SYear_O,AH$168*(1+Data_All!AH75%),AH235*(1+Data_All!AH75%)),"")</f>
        <v/>
      </c>
      <c r="AI236" s="427" t="str">
        <f>IF(AND($A236&gt;=SYear_O,$A236&lt;=EYear_O,AI$3&gt;0),IF($A236=SYear_O,AI$168*(1+Data_All!AI75%),AI235*(1+Data_All!AI75%)),"")</f>
        <v/>
      </c>
      <c r="AJ236" s="427" t="str">
        <f>IF(AND($A236&gt;=SYear_O,$A236&lt;=EYear_O,AJ$3&gt;0),IF($A236=SYear_O,AJ$168*(1+Data_All!AJ75%),AJ235*(1+Data_All!AJ75%)),"")</f>
        <v/>
      </c>
      <c r="AK236" s="427" t="str">
        <f>IF(AND($A236&gt;=SYear_O,$A236&lt;=EYear_O,AK$3&gt;0),IF($A236=SYear_O,AK$168*(1+Data_All!AK75%),AK235*(1+Data_All!AK75%)),"")</f>
        <v/>
      </c>
      <c r="AL236" s="427" t="str">
        <f>IF(AND($A236&gt;=SYear_O,$A236&lt;=EYear_O,AL$3&gt;0),IF($A236=SYear_O,AL$168*(1+Data_All!AL75%),AL235*(1+Data_All!AL75%)),"")</f>
        <v/>
      </c>
      <c r="AM236" s="427" t="str">
        <f>IF(AND($A236&gt;=SYear_O,$A236&lt;=EYear_O,AM$3&gt;0),IF($A236=SYear_O,AM$168*(1+Data_All!AM75%),AM235*(1+Data_All!AM75%)),"")</f>
        <v/>
      </c>
      <c r="AN236" s="427" t="str">
        <f>IF(AND($A236&gt;=SYear_O,$A236&lt;=EYear_O,AN$3&gt;0),IF($A236=SYear_O,AN$168*(1+Data_All!AN75%),AN235*(1+Data_All!AN75%)),"")</f>
        <v/>
      </c>
      <c r="AO236" s="427" t="str">
        <f>IF(AND($A236&gt;=SYear_O,$A236&lt;=EYear_O,AO$3&gt;0),IF($A236=SYear_O,AO$168*(1+Data_All!AO75%),AO235*(1+Data_All!AO75%)),"")</f>
        <v/>
      </c>
      <c r="AP236" s="427" t="str">
        <f>IF(AND($A236&gt;=SYear_O,$A236&lt;=EYear_O,AP$3&gt;0),IF($A236=SYear_O,AP$168*(1+Data_All!AP75%),AP235*(1+Data_All!AP75%)),"")</f>
        <v/>
      </c>
      <c r="AQ236" s="427" t="str">
        <f>IF(AND($A236&gt;=SYear_O,$A236&lt;=EYear_O,AQ$3&gt;0),IF($A236=SYear_O,AQ$168*(1+Data_All!AQ75%),AQ235*(1+Data_All!AQ75%)),"")</f>
        <v/>
      </c>
      <c r="AR236" s="427" t="str">
        <f>IF(AND($A236&gt;=SYear_O,$A236&lt;=EYear_O,AR$3&gt;0),IF($A236=SYear_O,AR$168*(1+Data_All!AR75%),AR235*(1+Data_All!AR75%)),"")</f>
        <v/>
      </c>
      <c r="AS236" s="427" t="str">
        <f>IF(AND($A236&gt;=SYear_O,$A236&lt;=EYear_O,AS$3&gt;0),IF($A236=SYear_O,AS$168*(1+Data_All!AS75%),AS235*(1+Data_All!AS75%)),"")</f>
        <v/>
      </c>
      <c r="AT236" s="427" t="str">
        <f>IF(AND($A236&gt;=SYear_O,$A236&lt;=EYear_O,AT$3&gt;0),IF($A236=SYear_O,AT$168*(1+Data_All!AT75%),AT235*(1+Data_All!AT75%)),"")</f>
        <v/>
      </c>
      <c r="AU236" s="427" t="str">
        <f>IF(AND($A236&gt;=SYear_O,$A236&lt;=EYear_O,AU$3&gt;0),IF($A236=SYear_O,AU$168*(1+Data_All!AU75%),AU235*(1+Data_All!AU75%)),"")</f>
        <v/>
      </c>
      <c r="AV236" s="427" t="str">
        <f>IF(AND($A236&gt;=SYear_O,$A236&lt;=EYear_O,AV$3&gt;0),IF($A236=SYear_O,AV$168*(1+Data_All!AV75%),AV235*(1+Data_All!AV75%)),"")</f>
        <v/>
      </c>
      <c r="AW236" s="427" t="str">
        <f>IF(AND($A236&gt;=SYear_O,$A236&lt;=EYear_O,AW$3&gt;0),IF($A236=SYear_O,AW$168*(1+Data_All!AW75%),AW235*(1+Data_All!AW75%)),"")</f>
        <v/>
      </c>
      <c r="AX236" s="427" t="str">
        <f>IF(AND($A236&gt;=SYear_O,$A236&lt;=EYear_O,AX$3&gt;0),IF($A236=SYear_O,AX$168*(1+Data_All!AX75%),AX235*(1+Data_All!AX75%)),"")</f>
        <v/>
      </c>
      <c r="AY236" s="427" t="str">
        <f>IF(AND($A236&gt;=SYear_O,$A236&lt;=EYear_O,AY$3&gt;0),IF($A236=SYear_O,AY$168*(1+Data_All!AY75%),AY235*(1+Data_All!AY75%)),"")</f>
        <v/>
      </c>
      <c r="AZ236" s="427" t="str">
        <f>IF(AND($A236&gt;=SYear_O,$A236&lt;=EYear_O,AZ$3&gt;0),IF($A236=SYear_O,AZ$168*(1+Data_All!AZ75%),AZ235*(1+Data_All!AZ75%)),"")</f>
        <v/>
      </c>
      <c r="BA236" s="427" t="str">
        <f>IF(AND($A236&gt;=SYear_O,$A236&lt;=EYear_O,BA$3&gt;0),IF($A236=SYear_O,BA$168*(1+Data_All!BA75%),BA235*(1+Data_All!BA75%)),"")</f>
        <v/>
      </c>
      <c r="BB236" s="427" t="str">
        <f>IF(AND($A236&gt;=SYear_O,$A236&lt;=EYear_O,BB$3&gt;0),IF($A236=SYear_O,BB$168*(1+Data_All!BB75%),BB235*(1+Data_All!BB75%)),"")</f>
        <v/>
      </c>
      <c r="BC236" s="427" t="str">
        <f>IF(AND($A236&gt;=SYear_O,$A236&lt;=EYear_O,BC$3&gt;0),IF($A236=SYear_O,BC$168*(1+Data_All!BC75%),BC235*(1+Data_All!BC75%)),"")</f>
        <v/>
      </c>
      <c r="BD236" s="427" t="str">
        <f>IF(AND($A236&gt;=SYear_O,$A236&lt;=EYear_O,BD$3&gt;0),IF($A236=SYear_O,BD$168*(1+Data_All!BD75%),BD235*(1+Data_All!BD75%)),"")</f>
        <v/>
      </c>
      <c r="BE236" s="427" t="str">
        <f>IF(AND($A236&gt;=SYear_O,$A236&lt;=EYear_O,BE$3&gt;0),IF($A236=SYear_O,BE$168*(1+Data_All!BE75%),BE235*(1+Data_All!BE75%)),"")</f>
        <v/>
      </c>
      <c r="BF236" s="427" t="str">
        <f>IF(AND($A236&gt;=SYear_O,$A236&lt;=EYear_O,BF$3&gt;0),IF($A236=SYear_O,BF$168*(1+Data_All!BF75%),BF235*(1+Data_All!BF75%)),"")</f>
        <v/>
      </c>
      <c r="BG236" s="427" t="str">
        <f>IF(AND($A236&gt;=SYear_O,$A236&lt;=EYear_O,BG$3&gt;0),IF($A236=SYear_O,BG$168*(1+Data_All!BG75%),BG235*(1+Data_All!BG75%)),"")</f>
        <v/>
      </c>
      <c r="BH236" s="427" t="str">
        <f>IF(AND($A236&gt;=SYear_O,$A236&lt;=EYear_O,BH$3&gt;0),IF($A236=SYear_O,BH$168*(1+Data_All!BH75%),BH235*(1+Data_All!BH75%)),"")</f>
        <v/>
      </c>
      <c r="BI236" s="427" t="str">
        <f>IF(AND($A236&gt;=SYear_O,$A236&lt;=EYear_O,BI$3&gt;0),IF($A236=SYear_O,BI$168*(1+Data_All!BI75%),BI235*(1+Data_All!BI75%)),"")</f>
        <v/>
      </c>
      <c r="BJ236" s="427" t="str">
        <f>IF(AND($A236&gt;=SYear_O,$A236&lt;=EYear_O,BJ$3&gt;0),IF($A236=SYear_O,BJ$168*(1+Data_All!BJ75%),BJ235*(1+Data_All!BJ75%)),"")</f>
        <v/>
      </c>
      <c r="BK236" s="427" t="str">
        <f>IF(AND($A236&gt;=SYear_O,$A236&lt;=EYear_O,BK$3&gt;0),IF($A236=SYear_O,BK$168*(1+Data_All!BK75%),BK235*(1+Data_All!BK75%)),"")</f>
        <v/>
      </c>
      <c r="BL236" s="427" t="str">
        <f>IF(AND($A236&gt;=SYear_O,$A236&lt;=EYear_O,BL$3&gt;0),IF($A236=SYear_O,BL$168*(1+Data_All!BL75%),BL235*(1+Data_All!BL75%)),"")</f>
        <v/>
      </c>
      <c r="BM236" s="427" t="str">
        <f>IF(AND($A236&gt;=SYear_O,$A236&lt;=EYear_O,BM$3&gt;0),IF($A236=SYear_O,BM$168*(1+Data_All!BM75%),BM235*(1+Data_All!BM75%)),"")</f>
        <v/>
      </c>
      <c r="BN236" s="427" t="str">
        <f>IF(AND($A236&gt;=SYear_O,$A236&lt;=EYear_O,BN$3&gt;0),IF($A236=SYear_O,BN$168*(1+Data_All!BN75%),BN235*(1+Data_All!BN75%)),"")</f>
        <v/>
      </c>
      <c r="BO236" s="427" t="str">
        <f>IF(AND($A236&gt;=SYear_O,$A236&lt;=EYear_O,BO$3&gt;0),IF($A236=SYear_O,BO$168*(1+Data_All!BO75%),BO235*(1+Data_All!BO75%)),"")</f>
        <v/>
      </c>
      <c r="BP236" s="427" t="str">
        <f>IF(AND($A236&gt;=SYear_O,$A236&lt;=EYear_O,BP$3&gt;0),IF($A236=SYear_O,BP$168*(1+Data_All!BP75%),BP235*(1+Data_All!BP75%)),"")</f>
        <v/>
      </c>
      <c r="BQ236" s="427" t="str">
        <f>IF(AND($A236&gt;=SYear_O,$A236&lt;=EYear_O,BQ$3&gt;0),IF($A236=SYear_O,BQ$168*(1+Data_All!BQ75%),BQ235*(1+Data_All!BQ75%)),"")</f>
        <v/>
      </c>
      <c r="BR236" s="427" t="str">
        <f>IF(AND($A236&gt;=SYear_O,$A236&lt;=EYear_O,BR$3&gt;0),IF($A236=SYear_O,BR$168*(1+Data_All!BR75%),BR235*(1+Data_All!BR75%)),"")</f>
        <v/>
      </c>
      <c r="BS236" s="427" t="str">
        <f>IF(AND($A236&gt;=SYear_O,$A236&lt;=EYear_O,BS$3&gt;0),IF($A236=SYear_O,BS$168*(1+Data_All!BS75%),BS235*(1+Data_All!BS75%)),"")</f>
        <v/>
      </c>
      <c r="BT236" s="427" t="str">
        <f>IF(AND($A236&gt;=SYear_O,$A236&lt;=EYear_O,BT$3&gt;0),IF($A236=SYear_O,BT$168*(1+Data_All!BT75%),BT235*(1+Data_All!BT75%)),"")</f>
        <v/>
      </c>
      <c r="BU236" s="427" t="str">
        <f>IF(AND($A236&gt;=SYear_O,$A236&lt;=EYear_O,BU$3&gt;0),IF($A236=SYear_O,BU$168*(1+Data_All!BU75%),BU235*(1+Data_All!BU75%)),"")</f>
        <v/>
      </c>
      <c r="BV236" s="427" t="str">
        <f>IF(AND($A236&gt;=SYear_O,$A236&lt;=EYear_O,BV$3&gt;0),IF($A236=SYear_O,BV$168*(1+Data_All!BV75%),BV235*(1+Data_All!BV75%)),"")</f>
        <v/>
      </c>
      <c r="BW236" s="427" t="str">
        <f>IF(AND($A236&gt;=SYear_O,$A236&lt;=EYear_O,BW$3&gt;0),IF($A236=SYear_O,BW$168*(1+Data_All!BW75%),BW235*(1+Data_All!BW75%)),"")</f>
        <v/>
      </c>
      <c r="BX236" s="427">
        <f>IF(AND($A236&gt;=SYear_O,$A236&lt;=EYear_O,BX$3&gt;0),IF($A236=SYear_O,BX$168*(1+Data_All!BX75%),BX235*(1+Data_All!BX75%)),"")</f>
        <v>538836.88645256136</v>
      </c>
      <c r="BY236" s="427">
        <f>IF(AND($A236&gt;=SYear_O,$A236&lt;=EYear_O,BY$3&gt;0),IF($A236=SYear_O,BY$168*(1+Data_All!BY75%),BY235*(1+Data_All!BY75%)),"")</f>
        <v>58605.607038051676</v>
      </c>
      <c r="BZ236" s="427" t="str">
        <f>IF(AND($A236&gt;=SYear_O,$A236&lt;=EYear_O,BZ$3&gt;0),IF($A236=SYear_O,BZ$168*(1+Data_All!BZ75%),BZ235*(1+Data_All!BZ75%)),"")</f>
        <v/>
      </c>
      <c r="CA236" s="565">
        <f t="shared" si="123"/>
        <v>13.836010569452917</v>
      </c>
      <c r="CB236" s="427">
        <f t="shared" si="124"/>
        <v>597442.49349061307</v>
      </c>
      <c r="CC236" s="565">
        <f>IF(AND($A236&gt;=SYear_O,$A236&lt;=EYear_O),(CA236-Data_All!CA75)/(1+Data_All!CA75%),"")</f>
        <v>15.46223929187367</v>
      </c>
      <c r="CD236" s="436">
        <f t="shared" si="125"/>
        <v>531897.12020422192</v>
      </c>
      <c r="CE236" s="438">
        <f t="shared" si="126"/>
        <v>54.187579366461136</v>
      </c>
      <c r="CF236" s="438">
        <f>IF(AND($A236&gt;=SYear_O,$A236&lt;=EYear_O),MAX($CE$169:CE236),"")</f>
        <v>66.668301709705716</v>
      </c>
      <c r="CG236" s="209">
        <f t="shared" si="127"/>
        <v>0.18720624379468198</v>
      </c>
      <c r="CN236" s="61">
        <f t="shared" si="128"/>
        <v>0.13836010569452917</v>
      </c>
      <c r="CO236" s="61">
        <f t="shared" si="129"/>
        <v>2.8085961600511355E-2</v>
      </c>
      <c r="CP236" s="61">
        <f t="shared" si="130"/>
        <v>3.3658102029154646E-2</v>
      </c>
      <c r="CQ236" s="61">
        <f t="shared" si="131"/>
        <v>7.701110581945958E-2</v>
      </c>
      <c r="CR236" s="61">
        <f t="shared" si="132"/>
        <v>0.11068816949231786</v>
      </c>
      <c r="CU236" s="61">
        <f t="shared" si="133"/>
        <v>0.1546223929187367</v>
      </c>
      <c r="CV236" s="61">
        <f t="shared" si="134"/>
        <v>3.051070162316849E-2</v>
      </c>
      <c r="CW236" s="61">
        <f t="shared" si="135"/>
        <v>-1.7088040635266921E-3</v>
      </c>
      <c r="CX236" s="61">
        <f t="shared" si="136"/>
        <v>2.3232159983532341E-2</v>
      </c>
      <c r="CY236" s="61">
        <f t="shared" si="137"/>
        <v>6.5170818215980031E-2</v>
      </c>
    </row>
    <row r="237" spans="1:103">
      <c r="A237" s="204">
        <f t="shared" si="107"/>
        <v>1939</v>
      </c>
      <c r="B237" s="427" t="str">
        <f>IF(AND($A237&gt;=SYear_O,$A237&lt;=EYear_O,B$3&gt;0),IF($A237=SYear_O,B$168*(1+Data_All!B76%),B236*(1+Data_All!B76%)),"")</f>
        <v/>
      </c>
      <c r="C237" s="427" t="str">
        <f>IF(AND($A237&gt;=SYear_O,$A237&lt;=EYear_O,C$3&gt;0),IF($A237=SYear_O,C$168*(1+Data_All!C76%),C236*(1+Data_All!C76%)),"")</f>
        <v/>
      </c>
      <c r="D237" s="427" t="str">
        <f>IF(AND($A237&gt;=SYear_O,$A237&lt;=EYear_O,D$3&gt;0),IF($A237=SYear_O,D$168*(1+Data_All!D76%),D236*(1+Data_All!D76%)),"")</f>
        <v/>
      </c>
      <c r="E237" s="427" t="str">
        <f>IF(AND($A237&gt;=SYear_O,$A237&lt;=EYear_O,E$3&gt;0),IF($A237=SYear_O,E$168*(1+Data_All!E76%),E236*(1+Data_All!E76%)),"")</f>
        <v/>
      </c>
      <c r="F237" s="427" t="str">
        <f>IF(AND($A237&gt;=SYear_O,$A237&lt;=EYear_O,F$3&gt;0),IF($A237=SYear_O,F$168*(1+Data_All!F76%),F236*(1+Data_All!F76%)),"")</f>
        <v/>
      </c>
      <c r="G237" s="427" t="str">
        <f>IF(AND($A237&gt;=SYear_O,$A237&lt;=EYear_O,G$3&gt;0),IF($A237=SYear_O,G$168*(1+Data_All!G76%),G236*(1+Data_All!G76%)),"")</f>
        <v/>
      </c>
      <c r="H237" s="427" t="str">
        <f>IF(AND($A237&gt;=SYear_O,$A237&lt;=EYear_O,H$3&gt;0),IF($A237=SYear_O,H$168*(1+Data_All!H76%),H236*(1+Data_All!H76%)),"")</f>
        <v/>
      </c>
      <c r="I237" s="427" t="str">
        <f>IF(AND($A237&gt;=SYear_O,$A237&lt;=EYear_O,I$3&gt;0),IF($A237=SYear_O,I$168*(1+Data_All!I76%),I236*(1+Data_All!I76%)),"")</f>
        <v/>
      </c>
      <c r="J237" s="427" t="str">
        <f>IF(AND($A237&gt;=SYear_O,$A237&lt;=EYear_O,J$3&gt;0),IF($A237=SYear_O,J$168*(1+Data_All!J76%),J236*(1+Data_All!J76%)),"")</f>
        <v/>
      </c>
      <c r="K237" s="427" t="str">
        <f>IF(AND($A237&gt;=SYear_O,$A237&lt;=EYear_O,K$3&gt;0),IF($A237=SYear_O,K$168*(1+Data_All!K76%),K236*(1+Data_All!K76%)),"")</f>
        <v/>
      </c>
      <c r="L237" s="427" t="str">
        <f>IF(AND($A237&gt;=SYear_O,$A237&lt;=EYear_O,L$3&gt;0),IF($A237=SYear_O,L$168*(1+Data_All!L76%),L236*(1+Data_All!L76%)),"")</f>
        <v/>
      </c>
      <c r="M237" s="427" t="str">
        <f>IF(AND($A237&gt;=SYear_O,$A237&lt;=EYear_O,M$3&gt;0),IF($A237=SYear_O,M$168*(1+Data_All!M76%),M236*(1+Data_All!M76%)),"")</f>
        <v/>
      </c>
      <c r="N237" s="427" t="str">
        <f>IF(AND($A237&gt;=SYear_O,$A237&lt;=EYear_O,N$3&gt;0),IF($A237=SYear_O,N$168*(1+Data_All!N76%),N236*(1+Data_All!N76%)),"")</f>
        <v/>
      </c>
      <c r="O237" s="427" t="str">
        <f>IF(AND($A237&gt;=SYear_O,$A237&lt;=EYear_O,O$3&gt;0),IF($A237=SYear_O,O$168*(1+Data_All!O76%),O236*(1+Data_All!O76%)),"")</f>
        <v/>
      </c>
      <c r="P237" s="427" t="str">
        <f>IF(AND($A237&gt;=SYear_O,$A237&lt;=EYear_O,P$3&gt;0),IF($A237=SYear_O,P$168*(1+Data_All!P76%),P236*(1+Data_All!P76%)),"")</f>
        <v/>
      </c>
      <c r="Q237" s="427" t="str">
        <f>IF(AND($A237&gt;=SYear_O,$A237&lt;=EYear_O,Q$3&gt;0),IF($A237=SYear_O,Q$168*(1+Data_All!Q76%),Q236*(1+Data_All!Q76%)),"")</f>
        <v/>
      </c>
      <c r="R237" s="427" t="str">
        <f>IF(AND($A237&gt;=SYear_O,$A237&lt;=EYear_O,R$3&gt;0),IF($A237=SYear_O,R$168*(1+Data_All!R76%),R236*(1+Data_All!R76%)),"")</f>
        <v/>
      </c>
      <c r="S237" s="427" t="str">
        <f>IF(AND($A237&gt;=SYear_O,$A237&lt;=EYear_O,S$3&gt;0),IF($A237=SYear_O,S$168*(1+Data_All!S76%),S236*(1+Data_All!S76%)),"")</f>
        <v/>
      </c>
      <c r="T237" s="427" t="str">
        <f>IF(AND($A237&gt;=SYear_O,$A237&lt;=EYear_O,T$3&gt;0),IF($A237=SYear_O,T$168*(1+Data_All!T76%),T236*(1+Data_All!T76%)),"")</f>
        <v/>
      </c>
      <c r="U237" s="427" t="str">
        <f>IF(AND($A237&gt;=SYear_O,$A237&lt;=EYear_O,U$3&gt;0),IF($A237=SYear_O,U$168*(1+Data_All!U76%),U236*(1+Data_All!U76%)),"")</f>
        <v/>
      </c>
      <c r="V237" s="427" t="str">
        <f>IF(AND($A237&gt;=SYear_O,$A237&lt;=EYear_O,V$3&gt;0),IF($A237=SYear_O,V$168*(1+Data_All!V76%),V236*(1+Data_All!V76%)),"")</f>
        <v/>
      </c>
      <c r="W237" s="427" t="str">
        <f>IF(AND($A237&gt;=SYear_O,$A237&lt;=EYear_O,W$3&gt;0),IF($A237=SYear_O,W$168*(1+Data_All!W76%),W236*(1+Data_All!W76%)),"")</f>
        <v/>
      </c>
      <c r="X237" s="427" t="str">
        <f>IF(AND($A237&gt;=SYear_O,$A237&lt;=EYear_O,X$3&gt;0),IF($A237=SYear_O,X$168*(1+Data_All!X76%),X236*(1+Data_All!X76%)),"")</f>
        <v/>
      </c>
      <c r="Y237" s="427" t="str">
        <f>IF(AND($A237&gt;=SYear_O,$A237&lt;=EYear_O,Y$3&gt;0),IF($A237=SYear_O,Y$168*(1+Data_All!Y76%),Y236*(1+Data_All!Y76%)),"")</f>
        <v/>
      </c>
      <c r="Z237" s="427" t="str">
        <f>IF(AND($A237&gt;=SYear_O,$A237&lt;=EYear_O,Z$3&gt;0),IF($A237=SYear_O,Z$168*(1+Data_All!Z76%),Z236*(1+Data_All!Z76%)),"")</f>
        <v/>
      </c>
      <c r="AA237" s="427" t="str">
        <f>IF(AND($A237&gt;=SYear_O,$A237&lt;=EYear_O,AA$3&gt;0),IF($A237=SYear_O,AA$168*(1+Data_All!AA76%),AA236*(1+Data_All!AA76%)),"")</f>
        <v/>
      </c>
      <c r="AB237" s="427" t="str">
        <f>IF(AND($A237&gt;=SYear_O,$A237&lt;=EYear_O,AB$3&gt;0),IF($A237=SYear_O,AB$168*(1+Data_All!AB76%),AB236*(1+Data_All!AB76%)),"")</f>
        <v/>
      </c>
      <c r="AC237" s="427" t="str">
        <f>IF(AND($A237&gt;=SYear_O,$A237&lt;=EYear_O,AC$3&gt;0),IF($A237=SYear_O,AC$168*(1+Data_All!AC76%),AC236*(1+Data_All!AC76%)),"")</f>
        <v/>
      </c>
      <c r="AD237" s="427" t="str">
        <f>IF(AND($A237&gt;=SYear_O,$A237&lt;=EYear_O,AD$3&gt;0),IF($A237=SYear_O,AD$168*(1+Data_All!AD76%),AD236*(1+Data_All!AD76%)),"")</f>
        <v/>
      </c>
      <c r="AE237" s="427" t="str">
        <f>IF(AND($A237&gt;=SYear_O,$A237&lt;=EYear_O,AE$3&gt;0),IF($A237=SYear_O,AE$168*(1+Data_All!AE76%),AE236*(1+Data_All!AE76%)),"")</f>
        <v/>
      </c>
      <c r="AF237" s="427" t="str">
        <f>IF(AND($A237&gt;=SYear_O,$A237&lt;=EYear_O,AF$3&gt;0),IF($A237=SYear_O,AF$168*(1+Data_All!AF76%),AF236*(1+Data_All!AF76%)),"")</f>
        <v/>
      </c>
      <c r="AG237" s="427" t="str">
        <f>IF(AND($A237&gt;=SYear_O,$A237&lt;=EYear_O,AG$3&gt;0),IF($A237=SYear_O,AG$168*(1+Data_All!AG76%),AG236*(1+Data_All!AG76%)),"")</f>
        <v/>
      </c>
      <c r="AH237" s="427" t="str">
        <f>IF(AND($A237&gt;=SYear_O,$A237&lt;=EYear_O,AH$3&gt;0),IF($A237=SYear_O,AH$168*(1+Data_All!AH76%),AH236*(1+Data_All!AH76%)),"")</f>
        <v/>
      </c>
      <c r="AI237" s="427" t="str">
        <f>IF(AND($A237&gt;=SYear_O,$A237&lt;=EYear_O,AI$3&gt;0),IF($A237=SYear_O,AI$168*(1+Data_All!AI76%),AI236*(1+Data_All!AI76%)),"")</f>
        <v/>
      </c>
      <c r="AJ237" s="427" t="str">
        <f>IF(AND($A237&gt;=SYear_O,$A237&lt;=EYear_O,AJ$3&gt;0),IF($A237=SYear_O,AJ$168*(1+Data_All!AJ76%),AJ236*(1+Data_All!AJ76%)),"")</f>
        <v/>
      </c>
      <c r="AK237" s="427" t="str">
        <f>IF(AND($A237&gt;=SYear_O,$A237&lt;=EYear_O,AK$3&gt;0),IF($A237=SYear_O,AK$168*(1+Data_All!AK76%),AK236*(1+Data_All!AK76%)),"")</f>
        <v/>
      </c>
      <c r="AL237" s="427" t="str">
        <f>IF(AND($A237&gt;=SYear_O,$A237&lt;=EYear_O,AL$3&gt;0),IF($A237=SYear_O,AL$168*(1+Data_All!AL76%),AL236*(1+Data_All!AL76%)),"")</f>
        <v/>
      </c>
      <c r="AM237" s="427" t="str">
        <f>IF(AND($A237&gt;=SYear_O,$A237&lt;=EYear_O,AM$3&gt;0),IF($A237=SYear_O,AM$168*(1+Data_All!AM76%),AM236*(1+Data_All!AM76%)),"")</f>
        <v/>
      </c>
      <c r="AN237" s="427" t="str">
        <f>IF(AND($A237&gt;=SYear_O,$A237&lt;=EYear_O,AN$3&gt;0),IF($A237=SYear_O,AN$168*(1+Data_All!AN76%),AN236*(1+Data_All!AN76%)),"")</f>
        <v/>
      </c>
      <c r="AO237" s="427" t="str">
        <f>IF(AND($A237&gt;=SYear_O,$A237&lt;=EYear_O,AO$3&gt;0),IF($A237=SYear_O,AO$168*(1+Data_All!AO76%),AO236*(1+Data_All!AO76%)),"")</f>
        <v/>
      </c>
      <c r="AP237" s="427" t="str">
        <f>IF(AND($A237&gt;=SYear_O,$A237&lt;=EYear_O,AP$3&gt;0),IF($A237=SYear_O,AP$168*(1+Data_All!AP76%),AP236*(1+Data_All!AP76%)),"")</f>
        <v/>
      </c>
      <c r="AQ237" s="427" t="str">
        <f>IF(AND($A237&gt;=SYear_O,$A237&lt;=EYear_O,AQ$3&gt;0),IF($A237=SYear_O,AQ$168*(1+Data_All!AQ76%),AQ236*(1+Data_All!AQ76%)),"")</f>
        <v/>
      </c>
      <c r="AR237" s="427" t="str">
        <f>IF(AND($A237&gt;=SYear_O,$A237&lt;=EYear_O,AR$3&gt;0),IF($A237=SYear_O,AR$168*(1+Data_All!AR76%),AR236*(1+Data_All!AR76%)),"")</f>
        <v/>
      </c>
      <c r="AS237" s="427" t="str">
        <f>IF(AND($A237&gt;=SYear_O,$A237&lt;=EYear_O,AS$3&gt;0),IF($A237=SYear_O,AS$168*(1+Data_All!AS76%),AS236*(1+Data_All!AS76%)),"")</f>
        <v/>
      </c>
      <c r="AT237" s="427" t="str">
        <f>IF(AND($A237&gt;=SYear_O,$A237&lt;=EYear_O,AT$3&gt;0),IF($A237=SYear_O,AT$168*(1+Data_All!AT76%),AT236*(1+Data_All!AT76%)),"")</f>
        <v/>
      </c>
      <c r="AU237" s="427" t="str">
        <f>IF(AND($A237&gt;=SYear_O,$A237&lt;=EYear_O,AU$3&gt;0),IF($A237=SYear_O,AU$168*(1+Data_All!AU76%),AU236*(1+Data_All!AU76%)),"")</f>
        <v/>
      </c>
      <c r="AV237" s="427" t="str">
        <f>IF(AND($A237&gt;=SYear_O,$A237&lt;=EYear_O,AV$3&gt;0),IF($A237=SYear_O,AV$168*(1+Data_All!AV76%),AV236*(1+Data_All!AV76%)),"")</f>
        <v/>
      </c>
      <c r="AW237" s="427" t="str">
        <f>IF(AND($A237&gt;=SYear_O,$A237&lt;=EYear_O,AW$3&gt;0),IF($A237=SYear_O,AW$168*(1+Data_All!AW76%),AW236*(1+Data_All!AW76%)),"")</f>
        <v/>
      </c>
      <c r="AX237" s="427" t="str">
        <f>IF(AND($A237&gt;=SYear_O,$A237&lt;=EYear_O,AX$3&gt;0),IF($A237=SYear_O,AX$168*(1+Data_All!AX76%),AX236*(1+Data_All!AX76%)),"")</f>
        <v/>
      </c>
      <c r="AY237" s="427" t="str">
        <f>IF(AND($A237&gt;=SYear_O,$A237&lt;=EYear_O,AY$3&gt;0),IF($A237=SYear_O,AY$168*(1+Data_All!AY76%),AY236*(1+Data_All!AY76%)),"")</f>
        <v/>
      </c>
      <c r="AZ237" s="427" t="str">
        <f>IF(AND($A237&gt;=SYear_O,$A237&lt;=EYear_O,AZ$3&gt;0),IF($A237=SYear_O,AZ$168*(1+Data_All!AZ76%),AZ236*(1+Data_All!AZ76%)),"")</f>
        <v/>
      </c>
      <c r="BA237" s="427" t="str">
        <f>IF(AND($A237&gt;=SYear_O,$A237&lt;=EYear_O,BA$3&gt;0),IF($A237=SYear_O,BA$168*(1+Data_All!BA76%),BA236*(1+Data_All!BA76%)),"")</f>
        <v/>
      </c>
      <c r="BB237" s="427" t="str">
        <f>IF(AND($A237&gt;=SYear_O,$A237&lt;=EYear_O,BB$3&gt;0),IF($A237=SYear_O,BB$168*(1+Data_All!BB76%),BB236*(1+Data_All!BB76%)),"")</f>
        <v/>
      </c>
      <c r="BC237" s="427" t="str">
        <f>IF(AND($A237&gt;=SYear_O,$A237&lt;=EYear_O,BC$3&gt;0),IF($A237=SYear_O,BC$168*(1+Data_All!BC76%),BC236*(1+Data_All!BC76%)),"")</f>
        <v/>
      </c>
      <c r="BD237" s="427" t="str">
        <f>IF(AND($A237&gt;=SYear_O,$A237&lt;=EYear_O,BD$3&gt;0),IF($A237=SYear_O,BD$168*(1+Data_All!BD76%),BD236*(1+Data_All!BD76%)),"")</f>
        <v/>
      </c>
      <c r="BE237" s="427" t="str">
        <f>IF(AND($A237&gt;=SYear_O,$A237&lt;=EYear_O,BE$3&gt;0),IF($A237=SYear_O,BE$168*(1+Data_All!BE76%),BE236*(1+Data_All!BE76%)),"")</f>
        <v/>
      </c>
      <c r="BF237" s="427" t="str">
        <f>IF(AND($A237&gt;=SYear_O,$A237&lt;=EYear_O,BF$3&gt;0),IF($A237=SYear_O,BF$168*(1+Data_All!BF76%),BF236*(1+Data_All!BF76%)),"")</f>
        <v/>
      </c>
      <c r="BG237" s="427" t="str">
        <f>IF(AND($A237&gt;=SYear_O,$A237&lt;=EYear_O,BG$3&gt;0),IF($A237=SYear_O,BG$168*(1+Data_All!BG76%),BG236*(1+Data_All!BG76%)),"")</f>
        <v/>
      </c>
      <c r="BH237" s="427" t="str">
        <f>IF(AND($A237&gt;=SYear_O,$A237&lt;=EYear_O,BH$3&gt;0),IF($A237=SYear_O,BH$168*(1+Data_All!BH76%),BH236*(1+Data_All!BH76%)),"")</f>
        <v/>
      </c>
      <c r="BI237" s="427" t="str">
        <f>IF(AND($A237&gt;=SYear_O,$A237&lt;=EYear_O,BI$3&gt;0),IF($A237=SYear_O,BI$168*(1+Data_All!BI76%),BI236*(1+Data_All!BI76%)),"")</f>
        <v/>
      </c>
      <c r="BJ237" s="427" t="str">
        <f>IF(AND($A237&gt;=SYear_O,$A237&lt;=EYear_O,BJ$3&gt;0),IF($A237=SYear_O,BJ$168*(1+Data_All!BJ76%),BJ236*(1+Data_All!BJ76%)),"")</f>
        <v/>
      </c>
      <c r="BK237" s="427" t="str">
        <f>IF(AND($A237&gt;=SYear_O,$A237&lt;=EYear_O,BK$3&gt;0),IF($A237=SYear_O,BK$168*(1+Data_All!BK76%),BK236*(1+Data_All!BK76%)),"")</f>
        <v/>
      </c>
      <c r="BL237" s="427" t="str">
        <f>IF(AND($A237&gt;=SYear_O,$A237&lt;=EYear_O,BL$3&gt;0),IF($A237=SYear_O,BL$168*(1+Data_All!BL76%),BL236*(1+Data_All!BL76%)),"")</f>
        <v/>
      </c>
      <c r="BM237" s="427" t="str">
        <f>IF(AND($A237&gt;=SYear_O,$A237&lt;=EYear_O,BM$3&gt;0),IF($A237=SYear_O,BM$168*(1+Data_All!BM76%),BM236*(1+Data_All!BM76%)),"")</f>
        <v/>
      </c>
      <c r="BN237" s="427" t="str">
        <f>IF(AND($A237&gt;=SYear_O,$A237&lt;=EYear_O,BN$3&gt;0),IF($A237=SYear_O,BN$168*(1+Data_All!BN76%),BN236*(1+Data_All!BN76%)),"")</f>
        <v/>
      </c>
      <c r="BO237" s="427" t="str">
        <f>IF(AND($A237&gt;=SYear_O,$A237&lt;=EYear_O,BO$3&gt;0),IF($A237=SYear_O,BO$168*(1+Data_All!BO76%),BO236*(1+Data_All!BO76%)),"")</f>
        <v/>
      </c>
      <c r="BP237" s="427" t="str">
        <f>IF(AND($A237&gt;=SYear_O,$A237&lt;=EYear_O,BP$3&gt;0),IF($A237=SYear_O,BP$168*(1+Data_All!BP76%),BP236*(1+Data_All!BP76%)),"")</f>
        <v/>
      </c>
      <c r="BQ237" s="427" t="str">
        <f>IF(AND($A237&gt;=SYear_O,$A237&lt;=EYear_O,BQ$3&gt;0),IF($A237=SYear_O,BQ$168*(1+Data_All!BQ76%),BQ236*(1+Data_All!BQ76%)),"")</f>
        <v/>
      </c>
      <c r="BR237" s="427" t="str">
        <f>IF(AND($A237&gt;=SYear_O,$A237&lt;=EYear_O,BR$3&gt;0),IF($A237=SYear_O,BR$168*(1+Data_All!BR76%),BR236*(1+Data_All!BR76%)),"")</f>
        <v/>
      </c>
      <c r="BS237" s="427" t="str">
        <f>IF(AND($A237&gt;=SYear_O,$A237&lt;=EYear_O,BS$3&gt;0),IF($A237=SYear_O,BS$168*(1+Data_All!BS76%),BS236*(1+Data_All!BS76%)),"")</f>
        <v/>
      </c>
      <c r="BT237" s="427" t="str">
        <f>IF(AND($A237&gt;=SYear_O,$A237&lt;=EYear_O,BT$3&gt;0),IF($A237=SYear_O,BT$168*(1+Data_All!BT76%),BT236*(1+Data_All!BT76%)),"")</f>
        <v/>
      </c>
      <c r="BU237" s="427" t="str">
        <f>IF(AND($A237&gt;=SYear_O,$A237&lt;=EYear_O,BU$3&gt;0),IF($A237=SYear_O,BU$168*(1+Data_All!BU76%),BU236*(1+Data_All!BU76%)),"")</f>
        <v/>
      </c>
      <c r="BV237" s="427" t="str">
        <f>IF(AND($A237&gt;=SYear_O,$A237&lt;=EYear_O,BV$3&gt;0),IF($A237=SYear_O,BV$168*(1+Data_All!BV76%),BV236*(1+Data_All!BV76%)),"")</f>
        <v/>
      </c>
      <c r="BW237" s="427" t="str">
        <f>IF(AND($A237&gt;=SYear_O,$A237&lt;=EYear_O,BW$3&gt;0),IF($A237=SYear_O,BW$168*(1+Data_All!BW76%),BW236*(1+Data_All!BW76%)),"")</f>
        <v/>
      </c>
      <c r="BX237" s="427">
        <f>IF(AND($A237&gt;=SYear_O,$A237&lt;=EYear_O,BX$3&gt;0),IF($A237=SYear_O,BX$168*(1+Data_All!BX76%),BX236*(1+Data_All!BX76%)),"")</f>
        <v>556941.80583736743</v>
      </c>
      <c r="BY237" s="427">
        <f>IF(AND($A237&gt;=SYear_O,$A237&lt;=EYear_O,BY$3&gt;0),IF($A237=SYear_O,BY$168*(1+Data_All!BY76%),BY236*(1+Data_All!BY76%)),"")</f>
        <v>60342.337425113299</v>
      </c>
      <c r="BZ237" s="427" t="str">
        <f>IF(AND($A237&gt;=SYear_O,$A237&lt;=EYear_O,BZ$3&gt;0),IF($A237=SYear_O,BZ$168*(1+Data_All!BZ76%),BZ236*(1+Data_All!BZ76%)),"")</f>
        <v/>
      </c>
      <c r="CA237" s="565">
        <f t="shared" si="123"/>
        <v>3.3210978442361863</v>
      </c>
      <c r="CB237" s="427">
        <f t="shared" si="124"/>
        <v>617284.14326248073</v>
      </c>
      <c r="CC237" s="565">
        <f>IF(AND($A237&gt;=SYear_O,$A237&lt;=EYear_O),(CA237-Data_All!CA76)/(1+Data_All!CA76%),"")</f>
        <v>4.0644150949141427</v>
      </c>
      <c r="CD237" s="436">
        <f t="shared" si="125"/>
        <v>553515.62704721605</v>
      </c>
      <c r="CE237" s="438">
        <f t="shared" si="126"/>
        <v>55.987201896644443</v>
      </c>
      <c r="CF237" s="438">
        <f>IF(AND($A237&gt;=SYear_O,$A237&lt;=EYear_O),MAX($CE$169:CE237),"")</f>
        <v>66.668301709705716</v>
      </c>
      <c r="CG237" s="209">
        <f t="shared" si="127"/>
        <v>0.16021256787926086</v>
      </c>
      <c r="CN237" s="61">
        <f t="shared" si="128"/>
        <v>3.321097844236176E-2</v>
      </c>
      <c r="CO237" s="61">
        <f t="shared" si="129"/>
        <v>-4.1097735493094478E-2</v>
      </c>
      <c r="CP237" s="61">
        <f t="shared" si="130"/>
        <v>4.6909345264488644E-2</v>
      </c>
      <c r="CQ237" s="61">
        <f t="shared" si="131"/>
        <v>7.2704275300605081E-2</v>
      </c>
      <c r="CR237" s="61">
        <f t="shared" si="132"/>
        <v>0.10321093278296245</v>
      </c>
      <c r="CU237" s="61">
        <f t="shared" si="133"/>
        <v>4.0644150949141533E-2</v>
      </c>
      <c r="CV237" s="61">
        <f t="shared" si="134"/>
        <v>-7.7038032685157853E-2</v>
      </c>
      <c r="CW237" s="61">
        <f t="shared" si="135"/>
        <v>2.3625540318144012E-3</v>
      </c>
      <c r="CX237" s="61">
        <f t="shared" si="136"/>
        <v>1.6416463401627723E-2</v>
      </c>
      <c r="CY237" s="61">
        <f t="shared" si="137"/>
        <v>5.6209997778076781E-2</v>
      </c>
    </row>
    <row r="238" spans="1:103">
      <c r="A238" s="204">
        <f t="shared" si="107"/>
        <v>1940</v>
      </c>
      <c r="B238" s="427" t="str">
        <f>IF(AND($A238&gt;=SYear_O,$A238&lt;=EYear_O,B$3&gt;0),IF($A238=SYear_O,B$168*(1+Data_All!B77%),B237*(1+Data_All!B77%)),"")</f>
        <v/>
      </c>
      <c r="C238" s="427" t="str">
        <f>IF(AND($A238&gt;=SYear_O,$A238&lt;=EYear_O,C$3&gt;0),IF($A238=SYear_O,C$168*(1+Data_All!C77%),C237*(1+Data_All!C77%)),"")</f>
        <v/>
      </c>
      <c r="D238" s="427" t="str">
        <f>IF(AND($A238&gt;=SYear_O,$A238&lt;=EYear_O,D$3&gt;0),IF($A238=SYear_O,D$168*(1+Data_All!D77%),D237*(1+Data_All!D77%)),"")</f>
        <v/>
      </c>
      <c r="E238" s="427" t="str">
        <f>IF(AND($A238&gt;=SYear_O,$A238&lt;=EYear_O,E$3&gt;0),IF($A238=SYear_O,E$168*(1+Data_All!E77%),E237*(1+Data_All!E77%)),"")</f>
        <v/>
      </c>
      <c r="F238" s="427" t="str">
        <f>IF(AND($A238&gt;=SYear_O,$A238&lt;=EYear_O,F$3&gt;0),IF($A238=SYear_O,F$168*(1+Data_All!F77%),F237*(1+Data_All!F77%)),"")</f>
        <v/>
      </c>
      <c r="G238" s="427" t="str">
        <f>IF(AND($A238&gt;=SYear_O,$A238&lt;=EYear_O,G$3&gt;0),IF($A238=SYear_O,G$168*(1+Data_All!G77%),G237*(1+Data_All!G77%)),"")</f>
        <v/>
      </c>
      <c r="H238" s="427" t="str">
        <f>IF(AND($A238&gt;=SYear_O,$A238&lt;=EYear_O,H$3&gt;0),IF($A238=SYear_O,H$168*(1+Data_All!H77%),H237*(1+Data_All!H77%)),"")</f>
        <v/>
      </c>
      <c r="I238" s="427" t="str">
        <f>IF(AND($A238&gt;=SYear_O,$A238&lt;=EYear_O,I$3&gt;0),IF($A238=SYear_O,I$168*(1+Data_All!I77%),I237*(1+Data_All!I77%)),"")</f>
        <v/>
      </c>
      <c r="J238" s="427" t="str">
        <f>IF(AND($A238&gt;=SYear_O,$A238&lt;=EYear_O,J$3&gt;0),IF($A238=SYear_O,J$168*(1+Data_All!J77%),J237*(1+Data_All!J77%)),"")</f>
        <v/>
      </c>
      <c r="K238" s="427" t="str">
        <f>IF(AND($A238&gt;=SYear_O,$A238&lt;=EYear_O,K$3&gt;0),IF($A238=SYear_O,K$168*(1+Data_All!K77%),K237*(1+Data_All!K77%)),"")</f>
        <v/>
      </c>
      <c r="L238" s="427" t="str">
        <f>IF(AND($A238&gt;=SYear_O,$A238&lt;=EYear_O,L$3&gt;0),IF($A238=SYear_O,L$168*(1+Data_All!L77%),L237*(1+Data_All!L77%)),"")</f>
        <v/>
      </c>
      <c r="M238" s="427" t="str">
        <f>IF(AND($A238&gt;=SYear_O,$A238&lt;=EYear_O,M$3&gt;0),IF($A238=SYear_O,M$168*(1+Data_All!M77%),M237*(1+Data_All!M77%)),"")</f>
        <v/>
      </c>
      <c r="N238" s="427" t="str">
        <f>IF(AND($A238&gt;=SYear_O,$A238&lt;=EYear_O,N$3&gt;0),IF($A238=SYear_O,N$168*(1+Data_All!N77%),N237*(1+Data_All!N77%)),"")</f>
        <v/>
      </c>
      <c r="O238" s="427" t="str">
        <f>IF(AND($A238&gt;=SYear_O,$A238&lt;=EYear_O,O$3&gt;0),IF($A238=SYear_O,O$168*(1+Data_All!O77%),O237*(1+Data_All!O77%)),"")</f>
        <v/>
      </c>
      <c r="P238" s="427" t="str">
        <f>IF(AND($A238&gt;=SYear_O,$A238&lt;=EYear_O,P$3&gt;0),IF($A238=SYear_O,P$168*(1+Data_All!P77%),P237*(1+Data_All!P77%)),"")</f>
        <v/>
      </c>
      <c r="Q238" s="427" t="str">
        <f>IF(AND($A238&gt;=SYear_O,$A238&lt;=EYear_O,Q$3&gt;0),IF($A238=SYear_O,Q$168*(1+Data_All!Q77%),Q237*(1+Data_All!Q77%)),"")</f>
        <v/>
      </c>
      <c r="R238" s="427" t="str">
        <f>IF(AND($A238&gt;=SYear_O,$A238&lt;=EYear_O,R$3&gt;0),IF($A238=SYear_O,R$168*(1+Data_All!R77%),R237*(1+Data_All!R77%)),"")</f>
        <v/>
      </c>
      <c r="S238" s="427" t="str">
        <f>IF(AND($A238&gt;=SYear_O,$A238&lt;=EYear_O,S$3&gt;0),IF($A238=SYear_O,S$168*(1+Data_All!S77%),S237*(1+Data_All!S77%)),"")</f>
        <v/>
      </c>
      <c r="T238" s="427" t="str">
        <f>IF(AND($A238&gt;=SYear_O,$A238&lt;=EYear_O,T$3&gt;0),IF($A238=SYear_O,T$168*(1+Data_All!T77%),T237*(1+Data_All!T77%)),"")</f>
        <v/>
      </c>
      <c r="U238" s="427" t="str">
        <f>IF(AND($A238&gt;=SYear_O,$A238&lt;=EYear_O,U$3&gt;0),IF($A238=SYear_O,U$168*(1+Data_All!U77%),U237*(1+Data_All!U77%)),"")</f>
        <v/>
      </c>
      <c r="V238" s="427" t="str">
        <f>IF(AND($A238&gt;=SYear_O,$A238&lt;=EYear_O,V$3&gt;0),IF($A238=SYear_O,V$168*(1+Data_All!V77%),V237*(1+Data_All!V77%)),"")</f>
        <v/>
      </c>
      <c r="W238" s="427" t="str">
        <f>IF(AND($A238&gt;=SYear_O,$A238&lt;=EYear_O,W$3&gt;0),IF($A238=SYear_O,W$168*(1+Data_All!W77%),W237*(1+Data_All!W77%)),"")</f>
        <v/>
      </c>
      <c r="X238" s="427" t="str">
        <f>IF(AND($A238&gt;=SYear_O,$A238&lt;=EYear_O,X$3&gt;0),IF($A238=SYear_O,X$168*(1+Data_All!X77%),X237*(1+Data_All!X77%)),"")</f>
        <v/>
      </c>
      <c r="Y238" s="427" t="str">
        <f>IF(AND($A238&gt;=SYear_O,$A238&lt;=EYear_O,Y$3&gt;0),IF($A238=SYear_O,Y$168*(1+Data_All!Y77%),Y237*(1+Data_All!Y77%)),"")</f>
        <v/>
      </c>
      <c r="Z238" s="427" t="str">
        <f>IF(AND($A238&gt;=SYear_O,$A238&lt;=EYear_O,Z$3&gt;0),IF($A238=SYear_O,Z$168*(1+Data_All!Z77%),Z237*(1+Data_All!Z77%)),"")</f>
        <v/>
      </c>
      <c r="AA238" s="427" t="str">
        <f>IF(AND($A238&gt;=SYear_O,$A238&lt;=EYear_O,AA$3&gt;0),IF($A238=SYear_O,AA$168*(1+Data_All!AA77%),AA237*(1+Data_All!AA77%)),"")</f>
        <v/>
      </c>
      <c r="AB238" s="427" t="str">
        <f>IF(AND($A238&gt;=SYear_O,$A238&lt;=EYear_O,AB$3&gt;0),IF($A238=SYear_O,AB$168*(1+Data_All!AB77%),AB237*(1+Data_All!AB77%)),"")</f>
        <v/>
      </c>
      <c r="AC238" s="427" t="str">
        <f>IF(AND($A238&gt;=SYear_O,$A238&lt;=EYear_O,AC$3&gt;0),IF($A238=SYear_O,AC$168*(1+Data_All!AC77%),AC237*(1+Data_All!AC77%)),"")</f>
        <v/>
      </c>
      <c r="AD238" s="427" t="str">
        <f>IF(AND($A238&gt;=SYear_O,$A238&lt;=EYear_O,AD$3&gt;0),IF($A238=SYear_O,AD$168*(1+Data_All!AD77%),AD237*(1+Data_All!AD77%)),"")</f>
        <v/>
      </c>
      <c r="AE238" s="427" t="str">
        <f>IF(AND($A238&gt;=SYear_O,$A238&lt;=EYear_O,AE$3&gt;0),IF($A238=SYear_O,AE$168*(1+Data_All!AE77%),AE237*(1+Data_All!AE77%)),"")</f>
        <v/>
      </c>
      <c r="AF238" s="427" t="str">
        <f>IF(AND($A238&gt;=SYear_O,$A238&lt;=EYear_O,AF$3&gt;0),IF($A238=SYear_O,AF$168*(1+Data_All!AF77%),AF237*(1+Data_All!AF77%)),"")</f>
        <v/>
      </c>
      <c r="AG238" s="427" t="str">
        <f>IF(AND($A238&gt;=SYear_O,$A238&lt;=EYear_O,AG$3&gt;0),IF($A238=SYear_O,AG$168*(1+Data_All!AG77%),AG237*(1+Data_All!AG77%)),"")</f>
        <v/>
      </c>
      <c r="AH238" s="427" t="str">
        <f>IF(AND($A238&gt;=SYear_O,$A238&lt;=EYear_O,AH$3&gt;0),IF($A238=SYear_O,AH$168*(1+Data_All!AH77%),AH237*(1+Data_All!AH77%)),"")</f>
        <v/>
      </c>
      <c r="AI238" s="427" t="str">
        <f>IF(AND($A238&gt;=SYear_O,$A238&lt;=EYear_O,AI$3&gt;0),IF($A238=SYear_O,AI$168*(1+Data_All!AI77%),AI237*(1+Data_All!AI77%)),"")</f>
        <v/>
      </c>
      <c r="AJ238" s="427" t="str">
        <f>IF(AND($A238&gt;=SYear_O,$A238&lt;=EYear_O,AJ$3&gt;0),IF($A238=SYear_O,AJ$168*(1+Data_All!AJ77%),AJ237*(1+Data_All!AJ77%)),"")</f>
        <v/>
      </c>
      <c r="AK238" s="427" t="str">
        <f>IF(AND($A238&gt;=SYear_O,$A238&lt;=EYear_O,AK$3&gt;0),IF($A238=SYear_O,AK$168*(1+Data_All!AK77%),AK237*(1+Data_All!AK77%)),"")</f>
        <v/>
      </c>
      <c r="AL238" s="427" t="str">
        <f>IF(AND($A238&gt;=SYear_O,$A238&lt;=EYear_O,AL$3&gt;0),IF($A238=SYear_O,AL$168*(1+Data_All!AL77%),AL237*(1+Data_All!AL77%)),"")</f>
        <v/>
      </c>
      <c r="AM238" s="427" t="str">
        <f>IF(AND($A238&gt;=SYear_O,$A238&lt;=EYear_O,AM$3&gt;0),IF($A238=SYear_O,AM$168*(1+Data_All!AM77%),AM237*(1+Data_All!AM77%)),"")</f>
        <v/>
      </c>
      <c r="AN238" s="427" t="str">
        <f>IF(AND($A238&gt;=SYear_O,$A238&lt;=EYear_O,AN$3&gt;0),IF($A238=SYear_O,AN$168*(1+Data_All!AN77%),AN237*(1+Data_All!AN77%)),"")</f>
        <v/>
      </c>
      <c r="AO238" s="427" t="str">
        <f>IF(AND($A238&gt;=SYear_O,$A238&lt;=EYear_O,AO$3&gt;0),IF($A238=SYear_O,AO$168*(1+Data_All!AO77%),AO237*(1+Data_All!AO77%)),"")</f>
        <v/>
      </c>
      <c r="AP238" s="427" t="str">
        <f>IF(AND($A238&gt;=SYear_O,$A238&lt;=EYear_O,AP$3&gt;0),IF($A238=SYear_O,AP$168*(1+Data_All!AP77%),AP237*(1+Data_All!AP77%)),"")</f>
        <v/>
      </c>
      <c r="AQ238" s="427" t="str">
        <f>IF(AND($A238&gt;=SYear_O,$A238&lt;=EYear_O,AQ$3&gt;0),IF($A238=SYear_O,AQ$168*(1+Data_All!AQ77%),AQ237*(1+Data_All!AQ77%)),"")</f>
        <v/>
      </c>
      <c r="AR238" s="427" t="str">
        <f>IF(AND($A238&gt;=SYear_O,$A238&lt;=EYear_O,AR$3&gt;0),IF($A238=SYear_O,AR$168*(1+Data_All!AR77%),AR237*(1+Data_All!AR77%)),"")</f>
        <v/>
      </c>
      <c r="AS238" s="427" t="str">
        <f>IF(AND($A238&gt;=SYear_O,$A238&lt;=EYear_O,AS$3&gt;0),IF($A238=SYear_O,AS$168*(1+Data_All!AS77%),AS237*(1+Data_All!AS77%)),"")</f>
        <v/>
      </c>
      <c r="AT238" s="427" t="str">
        <f>IF(AND($A238&gt;=SYear_O,$A238&lt;=EYear_O,AT$3&gt;0),IF($A238=SYear_O,AT$168*(1+Data_All!AT77%),AT237*(1+Data_All!AT77%)),"")</f>
        <v/>
      </c>
      <c r="AU238" s="427" t="str">
        <f>IF(AND($A238&gt;=SYear_O,$A238&lt;=EYear_O,AU$3&gt;0),IF($A238=SYear_O,AU$168*(1+Data_All!AU77%),AU237*(1+Data_All!AU77%)),"")</f>
        <v/>
      </c>
      <c r="AV238" s="427" t="str">
        <f>IF(AND($A238&gt;=SYear_O,$A238&lt;=EYear_O,AV$3&gt;0),IF($A238=SYear_O,AV$168*(1+Data_All!AV77%),AV237*(1+Data_All!AV77%)),"")</f>
        <v/>
      </c>
      <c r="AW238" s="427" t="str">
        <f>IF(AND($A238&gt;=SYear_O,$A238&lt;=EYear_O,AW$3&gt;0),IF($A238=SYear_O,AW$168*(1+Data_All!AW77%),AW237*(1+Data_All!AW77%)),"")</f>
        <v/>
      </c>
      <c r="AX238" s="427" t="str">
        <f>IF(AND($A238&gt;=SYear_O,$A238&lt;=EYear_O,AX$3&gt;0),IF($A238=SYear_O,AX$168*(1+Data_All!AX77%),AX237*(1+Data_All!AX77%)),"")</f>
        <v/>
      </c>
      <c r="AY238" s="427" t="str">
        <f>IF(AND($A238&gt;=SYear_O,$A238&lt;=EYear_O,AY$3&gt;0),IF($A238=SYear_O,AY$168*(1+Data_All!AY77%),AY237*(1+Data_All!AY77%)),"")</f>
        <v/>
      </c>
      <c r="AZ238" s="427" t="str">
        <f>IF(AND($A238&gt;=SYear_O,$A238&lt;=EYear_O,AZ$3&gt;0),IF($A238=SYear_O,AZ$168*(1+Data_All!AZ77%),AZ237*(1+Data_All!AZ77%)),"")</f>
        <v/>
      </c>
      <c r="BA238" s="427" t="str">
        <f>IF(AND($A238&gt;=SYear_O,$A238&lt;=EYear_O,BA$3&gt;0),IF($A238=SYear_O,BA$168*(1+Data_All!BA77%),BA237*(1+Data_All!BA77%)),"")</f>
        <v/>
      </c>
      <c r="BB238" s="427" t="str">
        <f>IF(AND($A238&gt;=SYear_O,$A238&lt;=EYear_O,BB$3&gt;0),IF($A238=SYear_O,BB$168*(1+Data_All!BB77%),BB237*(1+Data_All!BB77%)),"")</f>
        <v/>
      </c>
      <c r="BC238" s="427" t="str">
        <f>IF(AND($A238&gt;=SYear_O,$A238&lt;=EYear_O,BC$3&gt;0),IF($A238=SYear_O,BC$168*(1+Data_All!BC77%),BC237*(1+Data_All!BC77%)),"")</f>
        <v/>
      </c>
      <c r="BD238" s="427" t="str">
        <f>IF(AND($A238&gt;=SYear_O,$A238&lt;=EYear_O,BD$3&gt;0),IF($A238=SYear_O,BD$168*(1+Data_All!BD77%),BD237*(1+Data_All!BD77%)),"")</f>
        <v/>
      </c>
      <c r="BE238" s="427" t="str">
        <f>IF(AND($A238&gt;=SYear_O,$A238&lt;=EYear_O,BE$3&gt;0),IF($A238=SYear_O,BE$168*(1+Data_All!BE77%),BE237*(1+Data_All!BE77%)),"")</f>
        <v/>
      </c>
      <c r="BF238" s="427" t="str">
        <f>IF(AND($A238&gt;=SYear_O,$A238&lt;=EYear_O,BF$3&gt;0),IF($A238=SYear_O,BF$168*(1+Data_All!BF77%),BF237*(1+Data_All!BF77%)),"")</f>
        <v/>
      </c>
      <c r="BG238" s="427" t="str">
        <f>IF(AND($A238&gt;=SYear_O,$A238&lt;=EYear_O,BG$3&gt;0),IF($A238=SYear_O,BG$168*(1+Data_All!BG77%),BG237*(1+Data_All!BG77%)),"")</f>
        <v/>
      </c>
      <c r="BH238" s="427" t="str">
        <f>IF(AND($A238&gt;=SYear_O,$A238&lt;=EYear_O,BH$3&gt;0),IF($A238=SYear_O,BH$168*(1+Data_All!BH77%),BH237*(1+Data_All!BH77%)),"")</f>
        <v/>
      </c>
      <c r="BI238" s="427" t="str">
        <f>IF(AND($A238&gt;=SYear_O,$A238&lt;=EYear_O,BI$3&gt;0),IF($A238=SYear_O,BI$168*(1+Data_All!BI77%),BI237*(1+Data_All!BI77%)),"")</f>
        <v/>
      </c>
      <c r="BJ238" s="427" t="str">
        <f>IF(AND($A238&gt;=SYear_O,$A238&lt;=EYear_O,BJ$3&gt;0),IF($A238=SYear_O,BJ$168*(1+Data_All!BJ77%),BJ237*(1+Data_All!BJ77%)),"")</f>
        <v/>
      </c>
      <c r="BK238" s="427" t="str">
        <f>IF(AND($A238&gt;=SYear_O,$A238&lt;=EYear_O,BK$3&gt;0),IF($A238=SYear_O,BK$168*(1+Data_All!BK77%),BK237*(1+Data_All!BK77%)),"")</f>
        <v/>
      </c>
      <c r="BL238" s="427" t="str">
        <f>IF(AND($A238&gt;=SYear_O,$A238&lt;=EYear_O,BL$3&gt;0),IF($A238=SYear_O,BL$168*(1+Data_All!BL77%),BL237*(1+Data_All!BL77%)),"")</f>
        <v/>
      </c>
      <c r="BM238" s="427" t="str">
        <f>IF(AND($A238&gt;=SYear_O,$A238&lt;=EYear_O,BM$3&gt;0),IF($A238=SYear_O,BM$168*(1+Data_All!BM77%),BM237*(1+Data_All!BM77%)),"")</f>
        <v/>
      </c>
      <c r="BN238" s="427" t="str">
        <f>IF(AND($A238&gt;=SYear_O,$A238&lt;=EYear_O,BN$3&gt;0),IF($A238=SYear_O,BN$168*(1+Data_All!BN77%),BN237*(1+Data_All!BN77%)),"")</f>
        <v/>
      </c>
      <c r="BO238" s="427" t="str">
        <f>IF(AND($A238&gt;=SYear_O,$A238&lt;=EYear_O,BO$3&gt;0),IF($A238=SYear_O,BO$168*(1+Data_All!BO77%),BO237*(1+Data_All!BO77%)),"")</f>
        <v/>
      </c>
      <c r="BP238" s="427" t="str">
        <f>IF(AND($A238&gt;=SYear_O,$A238&lt;=EYear_O,BP$3&gt;0),IF($A238=SYear_O,BP$168*(1+Data_All!BP77%),BP237*(1+Data_All!BP77%)),"")</f>
        <v/>
      </c>
      <c r="BQ238" s="427" t="str">
        <f>IF(AND($A238&gt;=SYear_O,$A238&lt;=EYear_O,BQ$3&gt;0),IF($A238=SYear_O,BQ$168*(1+Data_All!BQ77%),BQ237*(1+Data_All!BQ77%)),"")</f>
        <v/>
      </c>
      <c r="BR238" s="427" t="str">
        <f>IF(AND($A238&gt;=SYear_O,$A238&lt;=EYear_O,BR$3&gt;0),IF($A238=SYear_O,BR$168*(1+Data_All!BR77%),BR237*(1+Data_All!BR77%)),"")</f>
        <v/>
      </c>
      <c r="BS238" s="427" t="str">
        <f>IF(AND($A238&gt;=SYear_O,$A238&lt;=EYear_O,BS$3&gt;0),IF($A238=SYear_O,BS$168*(1+Data_All!BS77%),BS237*(1+Data_All!BS77%)),"")</f>
        <v/>
      </c>
      <c r="BT238" s="427" t="str">
        <f>IF(AND($A238&gt;=SYear_O,$A238&lt;=EYear_O,BT$3&gt;0),IF($A238=SYear_O,BT$168*(1+Data_All!BT77%),BT237*(1+Data_All!BT77%)),"")</f>
        <v/>
      </c>
      <c r="BU238" s="427" t="str">
        <f>IF(AND($A238&gt;=SYear_O,$A238&lt;=EYear_O,BU$3&gt;0),IF($A238=SYear_O,BU$168*(1+Data_All!BU77%),BU237*(1+Data_All!BU77%)),"")</f>
        <v/>
      </c>
      <c r="BV238" s="427" t="str">
        <f>IF(AND($A238&gt;=SYear_O,$A238&lt;=EYear_O,BV$3&gt;0),IF($A238=SYear_O,BV$168*(1+Data_All!BV77%),BV237*(1+Data_All!BV77%)),"")</f>
        <v/>
      </c>
      <c r="BW238" s="427" t="str">
        <f>IF(AND($A238&gt;=SYear_O,$A238&lt;=EYear_O,BW$3&gt;0),IF($A238=SYear_O,BW$168*(1+Data_All!BW77%),BW237*(1+Data_All!BW77%)),"")</f>
        <v/>
      </c>
      <c r="BX238" s="427">
        <f>IF(AND($A238&gt;=SYear_O,$A238&lt;=EYear_O,BX$3&gt;0),IF($A238=SYear_O,BX$168*(1+Data_All!BX77%),BX237*(1+Data_All!BX77%)),"")</f>
        <v>508039.59849554981</v>
      </c>
      <c r="BY238" s="427">
        <f>IF(AND($A238&gt;=SYear_O,$A238&lt;=EYear_O,BY$3&gt;0),IF($A238=SYear_O,BY$168*(1+Data_All!BY77%),BY237*(1+Data_All!BY77%)),"")</f>
        <v>62262.183198780258</v>
      </c>
      <c r="BZ238" s="427" t="str">
        <f>IF(AND($A238&gt;=SYear_O,$A238&lt;=EYear_O,BZ$3&gt;0),IF($A238=SYear_O,BZ$168*(1+Data_All!BZ77%),BZ237*(1+Data_All!BZ77%)),"")</f>
        <v/>
      </c>
      <c r="CA238" s="565">
        <f t="shared" si="123"/>
        <v>-7.6111401987160576</v>
      </c>
      <c r="CB238" s="427">
        <f t="shared" si="124"/>
        <v>570301.78169433004</v>
      </c>
      <c r="CC238" s="565">
        <f>IF(AND($A238&gt;=SYear_O,$A238&lt;=EYear_O),(CA238-Data_All!CA77)/(1+Data_All!CA77%),"")</f>
        <v>-8.9216204795853251</v>
      </c>
      <c r="CD238" s="436">
        <f t="shared" si="125"/>
        <v>504133.06350686651</v>
      </c>
      <c r="CE238" s="438">
        <f t="shared" si="126"/>
        <v>51.725937466952615</v>
      </c>
      <c r="CF238" s="438">
        <f>IF(AND($A238&gt;=SYear_O,$A238&lt;=EYear_O),MAX($CE$169:CE238),"")</f>
        <v>66.668301709705716</v>
      </c>
      <c r="CG238" s="209">
        <f t="shared" si="127"/>
        <v>0.22412996670916785</v>
      </c>
      <c r="CN238" s="61">
        <f t="shared" si="128"/>
        <v>-7.6111401987160598E-2</v>
      </c>
      <c r="CO238" s="61">
        <f t="shared" si="129"/>
        <v>1.0873233098176449E-3</v>
      </c>
      <c r="CP238" s="61">
        <f t="shared" si="130"/>
        <v>7.4754364273709184E-2</v>
      </c>
      <c r="CQ238" s="61">
        <f t="shared" si="131"/>
        <v>8.5599448623424168E-2</v>
      </c>
      <c r="CR238" s="61">
        <f t="shared" si="132"/>
        <v>0.12814994967818549</v>
      </c>
      <c r="CU238" s="61">
        <f t="shared" si="133"/>
        <v>-8.9216204795853238E-2</v>
      </c>
      <c r="CV238" s="61">
        <f t="shared" si="134"/>
        <v>-6.2046459258414677E-2</v>
      </c>
      <c r="CW238" s="61">
        <f t="shared" si="135"/>
        <v>2.2888219540030841E-2</v>
      </c>
      <c r="CX238" s="61">
        <f t="shared" si="136"/>
        <v>3.0064234136889967E-2</v>
      </c>
      <c r="CY238" s="61">
        <f t="shared" si="137"/>
        <v>8.0107705344790725E-2</v>
      </c>
    </row>
    <row r="239" spans="1:103">
      <c r="A239" s="204">
        <f t="shared" si="107"/>
        <v>1941</v>
      </c>
      <c r="B239" s="427" t="str">
        <f>IF(AND($A239&gt;=SYear_O,$A239&lt;=EYear_O,B$3&gt;0),IF($A239=SYear_O,B$168*(1+Data_All!B78%),B238*(1+Data_All!B78%)),"")</f>
        <v/>
      </c>
      <c r="C239" s="427" t="str">
        <f>IF(AND($A239&gt;=SYear_O,$A239&lt;=EYear_O,C$3&gt;0),IF($A239=SYear_O,C$168*(1+Data_All!C78%),C238*(1+Data_All!C78%)),"")</f>
        <v/>
      </c>
      <c r="D239" s="427" t="str">
        <f>IF(AND($A239&gt;=SYear_O,$A239&lt;=EYear_O,D$3&gt;0),IF($A239=SYear_O,D$168*(1+Data_All!D78%),D238*(1+Data_All!D78%)),"")</f>
        <v/>
      </c>
      <c r="E239" s="427" t="str">
        <f>IF(AND($A239&gt;=SYear_O,$A239&lt;=EYear_O,E$3&gt;0),IF($A239=SYear_O,E$168*(1+Data_All!E78%),E238*(1+Data_All!E78%)),"")</f>
        <v/>
      </c>
      <c r="F239" s="427" t="str">
        <f>IF(AND($A239&gt;=SYear_O,$A239&lt;=EYear_O,F$3&gt;0),IF($A239=SYear_O,F$168*(1+Data_All!F78%),F238*(1+Data_All!F78%)),"")</f>
        <v/>
      </c>
      <c r="G239" s="427" t="str">
        <f>IF(AND($A239&gt;=SYear_O,$A239&lt;=EYear_O,G$3&gt;0),IF($A239=SYear_O,G$168*(1+Data_All!G78%),G238*(1+Data_All!G78%)),"")</f>
        <v/>
      </c>
      <c r="H239" s="427" t="str">
        <f>IF(AND($A239&gt;=SYear_O,$A239&lt;=EYear_O,H$3&gt;0),IF($A239=SYear_O,H$168*(1+Data_All!H78%),H238*(1+Data_All!H78%)),"")</f>
        <v/>
      </c>
      <c r="I239" s="427" t="str">
        <f>IF(AND($A239&gt;=SYear_O,$A239&lt;=EYear_O,I$3&gt;0),IF($A239=SYear_O,I$168*(1+Data_All!I78%),I238*(1+Data_All!I78%)),"")</f>
        <v/>
      </c>
      <c r="J239" s="427" t="str">
        <f>IF(AND($A239&gt;=SYear_O,$A239&lt;=EYear_O,J$3&gt;0),IF($A239=SYear_O,J$168*(1+Data_All!J78%),J238*(1+Data_All!J78%)),"")</f>
        <v/>
      </c>
      <c r="K239" s="427" t="str">
        <f>IF(AND($A239&gt;=SYear_O,$A239&lt;=EYear_O,K$3&gt;0),IF($A239=SYear_O,K$168*(1+Data_All!K78%),K238*(1+Data_All!K78%)),"")</f>
        <v/>
      </c>
      <c r="L239" s="427" t="str">
        <f>IF(AND($A239&gt;=SYear_O,$A239&lt;=EYear_O,L$3&gt;0),IF($A239=SYear_O,L$168*(1+Data_All!L78%),L238*(1+Data_All!L78%)),"")</f>
        <v/>
      </c>
      <c r="M239" s="427" t="str">
        <f>IF(AND($A239&gt;=SYear_O,$A239&lt;=EYear_O,M$3&gt;0),IF($A239=SYear_O,M$168*(1+Data_All!M78%),M238*(1+Data_All!M78%)),"")</f>
        <v/>
      </c>
      <c r="N239" s="427" t="str">
        <f>IF(AND($A239&gt;=SYear_O,$A239&lt;=EYear_O,N$3&gt;0),IF($A239=SYear_O,N$168*(1+Data_All!N78%),N238*(1+Data_All!N78%)),"")</f>
        <v/>
      </c>
      <c r="O239" s="427" t="str">
        <f>IF(AND($A239&gt;=SYear_O,$A239&lt;=EYear_O,O$3&gt;0),IF($A239=SYear_O,O$168*(1+Data_All!O78%),O238*(1+Data_All!O78%)),"")</f>
        <v/>
      </c>
      <c r="P239" s="427" t="str">
        <f>IF(AND($A239&gt;=SYear_O,$A239&lt;=EYear_O,P$3&gt;0),IF($A239=SYear_O,P$168*(1+Data_All!P78%),P238*(1+Data_All!P78%)),"")</f>
        <v/>
      </c>
      <c r="Q239" s="427" t="str">
        <f>IF(AND($A239&gt;=SYear_O,$A239&lt;=EYear_O,Q$3&gt;0),IF($A239=SYear_O,Q$168*(1+Data_All!Q78%),Q238*(1+Data_All!Q78%)),"")</f>
        <v/>
      </c>
      <c r="R239" s="427" t="str">
        <f>IF(AND($A239&gt;=SYear_O,$A239&lt;=EYear_O,R$3&gt;0),IF($A239=SYear_O,R$168*(1+Data_All!R78%),R238*(1+Data_All!R78%)),"")</f>
        <v/>
      </c>
      <c r="S239" s="427" t="str">
        <f>IF(AND($A239&gt;=SYear_O,$A239&lt;=EYear_O,S$3&gt;0),IF($A239=SYear_O,S$168*(1+Data_All!S78%),S238*(1+Data_All!S78%)),"")</f>
        <v/>
      </c>
      <c r="T239" s="427" t="str">
        <f>IF(AND($A239&gt;=SYear_O,$A239&lt;=EYear_O,T$3&gt;0),IF($A239=SYear_O,T$168*(1+Data_All!T78%),T238*(1+Data_All!T78%)),"")</f>
        <v/>
      </c>
      <c r="U239" s="427" t="str">
        <f>IF(AND($A239&gt;=SYear_O,$A239&lt;=EYear_O,U$3&gt;0),IF($A239=SYear_O,U$168*(1+Data_All!U78%),U238*(1+Data_All!U78%)),"")</f>
        <v/>
      </c>
      <c r="V239" s="427" t="str">
        <f>IF(AND($A239&gt;=SYear_O,$A239&lt;=EYear_O,V$3&gt;0),IF($A239=SYear_O,V$168*(1+Data_All!V78%),V238*(1+Data_All!V78%)),"")</f>
        <v/>
      </c>
      <c r="W239" s="427" t="str">
        <f>IF(AND($A239&gt;=SYear_O,$A239&lt;=EYear_O,W$3&gt;0),IF($A239=SYear_O,W$168*(1+Data_All!W78%),W238*(1+Data_All!W78%)),"")</f>
        <v/>
      </c>
      <c r="X239" s="427" t="str">
        <f>IF(AND($A239&gt;=SYear_O,$A239&lt;=EYear_O,X$3&gt;0),IF($A239=SYear_O,X$168*(1+Data_All!X78%),X238*(1+Data_All!X78%)),"")</f>
        <v/>
      </c>
      <c r="Y239" s="427" t="str">
        <f>IF(AND($A239&gt;=SYear_O,$A239&lt;=EYear_O,Y$3&gt;0),IF($A239=SYear_O,Y$168*(1+Data_All!Y78%),Y238*(1+Data_All!Y78%)),"")</f>
        <v/>
      </c>
      <c r="Z239" s="427" t="str">
        <f>IF(AND($A239&gt;=SYear_O,$A239&lt;=EYear_O,Z$3&gt;0),IF($A239=SYear_O,Z$168*(1+Data_All!Z78%),Z238*(1+Data_All!Z78%)),"")</f>
        <v/>
      </c>
      <c r="AA239" s="427" t="str">
        <f>IF(AND($A239&gt;=SYear_O,$A239&lt;=EYear_O,AA$3&gt;0),IF($A239=SYear_O,AA$168*(1+Data_All!AA78%),AA238*(1+Data_All!AA78%)),"")</f>
        <v/>
      </c>
      <c r="AB239" s="427" t="str">
        <f>IF(AND($A239&gt;=SYear_O,$A239&lt;=EYear_O,AB$3&gt;0),IF($A239=SYear_O,AB$168*(1+Data_All!AB78%),AB238*(1+Data_All!AB78%)),"")</f>
        <v/>
      </c>
      <c r="AC239" s="427" t="str">
        <f>IF(AND($A239&gt;=SYear_O,$A239&lt;=EYear_O,AC$3&gt;0),IF($A239=SYear_O,AC$168*(1+Data_All!AC78%),AC238*(1+Data_All!AC78%)),"")</f>
        <v/>
      </c>
      <c r="AD239" s="427" t="str">
        <f>IF(AND($A239&gt;=SYear_O,$A239&lt;=EYear_O,AD$3&gt;0),IF($A239=SYear_O,AD$168*(1+Data_All!AD78%),AD238*(1+Data_All!AD78%)),"")</f>
        <v/>
      </c>
      <c r="AE239" s="427" t="str">
        <f>IF(AND($A239&gt;=SYear_O,$A239&lt;=EYear_O,AE$3&gt;0),IF($A239=SYear_O,AE$168*(1+Data_All!AE78%),AE238*(1+Data_All!AE78%)),"")</f>
        <v/>
      </c>
      <c r="AF239" s="427" t="str">
        <f>IF(AND($A239&gt;=SYear_O,$A239&lt;=EYear_O,AF$3&gt;0),IF($A239=SYear_O,AF$168*(1+Data_All!AF78%),AF238*(1+Data_All!AF78%)),"")</f>
        <v/>
      </c>
      <c r="AG239" s="427" t="str">
        <f>IF(AND($A239&gt;=SYear_O,$A239&lt;=EYear_O,AG$3&gt;0),IF($A239=SYear_O,AG$168*(1+Data_All!AG78%),AG238*(1+Data_All!AG78%)),"")</f>
        <v/>
      </c>
      <c r="AH239" s="427" t="str">
        <f>IF(AND($A239&gt;=SYear_O,$A239&lt;=EYear_O,AH$3&gt;0),IF($A239=SYear_O,AH$168*(1+Data_All!AH78%),AH238*(1+Data_All!AH78%)),"")</f>
        <v/>
      </c>
      <c r="AI239" s="427" t="str">
        <f>IF(AND($A239&gt;=SYear_O,$A239&lt;=EYear_O,AI$3&gt;0),IF($A239=SYear_O,AI$168*(1+Data_All!AI78%),AI238*(1+Data_All!AI78%)),"")</f>
        <v/>
      </c>
      <c r="AJ239" s="427" t="str">
        <f>IF(AND($A239&gt;=SYear_O,$A239&lt;=EYear_O,AJ$3&gt;0),IF($A239=SYear_O,AJ$168*(1+Data_All!AJ78%),AJ238*(1+Data_All!AJ78%)),"")</f>
        <v/>
      </c>
      <c r="AK239" s="427" t="str">
        <f>IF(AND($A239&gt;=SYear_O,$A239&lt;=EYear_O,AK$3&gt;0),IF($A239=SYear_O,AK$168*(1+Data_All!AK78%),AK238*(1+Data_All!AK78%)),"")</f>
        <v/>
      </c>
      <c r="AL239" s="427" t="str">
        <f>IF(AND($A239&gt;=SYear_O,$A239&lt;=EYear_O,AL$3&gt;0),IF($A239=SYear_O,AL$168*(1+Data_All!AL78%),AL238*(1+Data_All!AL78%)),"")</f>
        <v/>
      </c>
      <c r="AM239" s="427" t="str">
        <f>IF(AND($A239&gt;=SYear_O,$A239&lt;=EYear_O,AM$3&gt;0),IF($A239=SYear_O,AM$168*(1+Data_All!AM78%),AM238*(1+Data_All!AM78%)),"")</f>
        <v/>
      </c>
      <c r="AN239" s="427" t="str">
        <f>IF(AND($A239&gt;=SYear_O,$A239&lt;=EYear_O,AN$3&gt;0),IF($A239=SYear_O,AN$168*(1+Data_All!AN78%),AN238*(1+Data_All!AN78%)),"")</f>
        <v/>
      </c>
      <c r="AO239" s="427" t="str">
        <f>IF(AND($A239&gt;=SYear_O,$A239&lt;=EYear_O,AO$3&gt;0),IF($A239=SYear_O,AO$168*(1+Data_All!AO78%),AO238*(1+Data_All!AO78%)),"")</f>
        <v/>
      </c>
      <c r="AP239" s="427" t="str">
        <f>IF(AND($A239&gt;=SYear_O,$A239&lt;=EYear_O,AP$3&gt;0),IF($A239=SYear_O,AP$168*(1+Data_All!AP78%),AP238*(1+Data_All!AP78%)),"")</f>
        <v/>
      </c>
      <c r="AQ239" s="427" t="str">
        <f>IF(AND($A239&gt;=SYear_O,$A239&lt;=EYear_O,AQ$3&gt;0),IF($A239=SYear_O,AQ$168*(1+Data_All!AQ78%),AQ238*(1+Data_All!AQ78%)),"")</f>
        <v/>
      </c>
      <c r="AR239" s="427" t="str">
        <f>IF(AND($A239&gt;=SYear_O,$A239&lt;=EYear_O,AR$3&gt;0),IF($A239=SYear_O,AR$168*(1+Data_All!AR78%),AR238*(1+Data_All!AR78%)),"")</f>
        <v/>
      </c>
      <c r="AS239" s="427" t="str">
        <f>IF(AND($A239&gt;=SYear_O,$A239&lt;=EYear_O,AS$3&gt;0),IF($A239=SYear_O,AS$168*(1+Data_All!AS78%),AS238*(1+Data_All!AS78%)),"")</f>
        <v/>
      </c>
      <c r="AT239" s="427" t="str">
        <f>IF(AND($A239&gt;=SYear_O,$A239&lt;=EYear_O,AT$3&gt;0),IF($A239=SYear_O,AT$168*(1+Data_All!AT78%),AT238*(1+Data_All!AT78%)),"")</f>
        <v/>
      </c>
      <c r="AU239" s="427" t="str">
        <f>IF(AND($A239&gt;=SYear_O,$A239&lt;=EYear_O,AU$3&gt;0),IF($A239=SYear_O,AU$168*(1+Data_All!AU78%),AU238*(1+Data_All!AU78%)),"")</f>
        <v/>
      </c>
      <c r="AV239" s="427" t="str">
        <f>IF(AND($A239&gt;=SYear_O,$A239&lt;=EYear_O,AV$3&gt;0),IF($A239=SYear_O,AV$168*(1+Data_All!AV78%),AV238*(1+Data_All!AV78%)),"")</f>
        <v/>
      </c>
      <c r="AW239" s="427" t="str">
        <f>IF(AND($A239&gt;=SYear_O,$A239&lt;=EYear_O,AW$3&gt;0),IF($A239=SYear_O,AW$168*(1+Data_All!AW78%),AW238*(1+Data_All!AW78%)),"")</f>
        <v/>
      </c>
      <c r="AX239" s="427" t="str">
        <f>IF(AND($A239&gt;=SYear_O,$A239&lt;=EYear_O,AX$3&gt;0),IF($A239=SYear_O,AX$168*(1+Data_All!AX78%),AX238*(1+Data_All!AX78%)),"")</f>
        <v/>
      </c>
      <c r="AY239" s="427" t="str">
        <f>IF(AND($A239&gt;=SYear_O,$A239&lt;=EYear_O,AY$3&gt;0),IF($A239=SYear_O,AY$168*(1+Data_All!AY78%),AY238*(1+Data_All!AY78%)),"")</f>
        <v/>
      </c>
      <c r="AZ239" s="427" t="str">
        <f>IF(AND($A239&gt;=SYear_O,$A239&lt;=EYear_O,AZ$3&gt;0),IF($A239=SYear_O,AZ$168*(1+Data_All!AZ78%),AZ238*(1+Data_All!AZ78%)),"")</f>
        <v/>
      </c>
      <c r="BA239" s="427" t="str">
        <f>IF(AND($A239&gt;=SYear_O,$A239&lt;=EYear_O,BA$3&gt;0),IF($A239=SYear_O,BA$168*(1+Data_All!BA78%),BA238*(1+Data_All!BA78%)),"")</f>
        <v/>
      </c>
      <c r="BB239" s="427" t="str">
        <f>IF(AND($A239&gt;=SYear_O,$A239&lt;=EYear_O,BB$3&gt;0),IF($A239=SYear_O,BB$168*(1+Data_All!BB78%),BB238*(1+Data_All!BB78%)),"")</f>
        <v/>
      </c>
      <c r="BC239" s="427" t="str">
        <f>IF(AND($A239&gt;=SYear_O,$A239&lt;=EYear_O,BC$3&gt;0),IF($A239=SYear_O,BC$168*(1+Data_All!BC78%),BC238*(1+Data_All!BC78%)),"")</f>
        <v/>
      </c>
      <c r="BD239" s="427" t="str">
        <f>IF(AND($A239&gt;=SYear_O,$A239&lt;=EYear_O,BD$3&gt;0),IF($A239=SYear_O,BD$168*(1+Data_All!BD78%),BD238*(1+Data_All!BD78%)),"")</f>
        <v/>
      </c>
      <c r="BE239" s="427" t="str">
        <f>IF(AND($A239&gt;=SYear_O,$A239&lt;=EYear_O,BE$3&gt;0),IF($A239=SYear_O,BE$168*(1+Data_All!BE78%),BE238*(1+Data_All!BE78%)),"")</f>
        <v/>
      </c>
      <c r="BF239" s="427" t="str">
        <f>IF(AND($A239&gt;=SYear_O,$A239&lt;=EYear_O,BF$3&gt;0),IF($A239=SYear_O,BF$168*(1+Data_All!BF78%),BF238*(1+Data_All!BF78%)),"")</f>
        <v/>
      </c>
      <c r="BG239" s="427" t="str">
        <f>IF(AND($A239&gt;=SYear_O,$A239&lt;=EYear_O,BG$3&gt;0),IF($A239=SYear_O,BG$168*(1+Data_All!BG78%),BG238*(1+Data_All!BG78%)),"")</f>
        <v/>
      </c>
      <c r="BH239" s="427" t="str">
        <f>IF(AND($A239&gt;=SYear_O,$A239&lt;=EYear_O,BH$3&gt;0),IF($A239=SYear_O,BH$168*(1+Data_All!BH78%),BH238*(1+Data_All!BH78%)),"")</f>
        <v/>
      </c>
      <c r="BI239" s="427" t="str">
        <f>IF(AND($A239&gt;=SYear_O,$A239&lt;=EYear_O,BI$3&gt;0),IF($A239=SYear_O,BI$168*(1+Data_All!BI78%),BI238*(1+Data_All!BI78%)),"")</f>
        <v/>
      </c>
      <c r="BJ239" s="427" t="str">
        <f>IF(AND($A239&gt;=SYear_O,$A239&lt;=EYear_O,BJ$3&gt;0),IF($A239=SYear_O,BJ$168*(1+Data_All!BJ78%),BJ238*(1+Data_All!BJ78%)),"")</f>
        <v/>
      </c>
      <c r="BK239" s="427" t="str">
        <f>IF(AND($A239&gt;=SYear_O,$A239&lt;=EYear_O,BK$3&gt;0),IF($A239=SYear_O,BK$168*(1+Data_All!BK78%),BK238*(1+Data_All!BK78%)),"")</f>
        <v/>
      </c>
      <c r="BL239" s="427" t="str">
        <f>IF(AND($A239&gt;=SYear_O,$A239&lt;=EYear_O,BL$3&gt;0),IF($A239=SYear_O,BL$168*(1+Data_All!BL78%),BL238*(1+Data_All!BL78%)),"")</f>
        <v/>
      </c>
      <c r="BM239" s="427" t="str">
        <f>IF(AND($A239&gt;=SYear_O,$A239&lt;=EYear_O,BM$3&gt;0),IF($A239=SYear_O,BM$168*(1+Data_All!BM78%),BM238*(1+Data_All!BM78%)),"")</f>
        <v/>
      </c>
      <c r="BN239" s="427" t="str">
        <f>IF(AND($A239&gt;=SYear_O,$A239&lt;=EYear_O,BN$3&gt;0),IF($A239=SYear_O,BN$168*(1+Data_All!BN78%),BN238*(1+Data_All!BN78%)),"")</f>
        <v/>
      </c>
      <c r="BO239" s="427" t="str">
        <f>IF(AND($A239&gt;=SYear_O,$A239&lt;=EYear_O,BO$3&gt;0),IF($A239=SYear_O,BO$168*(1+Data_All!BO78%),BO238*(1+Data_All!BO78%)),"")</f>
        <v/>
      </c>
      <c r="BP239" s="427" t="str">
        <f>IF(AND($A239&gt;=SYear_O,$A239&lt;=EYear_O,BP$3&gt;0),IF($A239=SYear_O,BP$168*(1+Data_All!BP78%),BP238*(1+Data_All!BP78%)),"")</f>
        <v/>
      </c>
      <c r="BQ239" s="427" t="str">
        <f>IF(AND($A239&gt;=SYear_O,$A239&lt;=EYear_O,BQ$3&gt;0),IF($A239=SYear_O,BQ$168*(1+Data_All!BQ78%),BQ238*(1+Data_All!BQ78%)),"")</f>
        <v/>
      </c>
      <c r="BR239" s="427" t="str">
        <f>IF(AND($A239&gt;=SYear_O,$A239&lt;=EYear_O,BR$3&gt;0),IF($A239=SYear_O,BR$168*(1+Data_All!BR78%),BR238*(1+Data_All!BR78%)),"")</f>
        <v/>
      </c>
      <c r="BS239" s="427" t="str">
        <f>IF(AND($A239&gt;=SYear_O,$A239&lt;=EYear_O,BS$3&gt;0),IF($A239=SYear_O,BS$168*(1+Data_All!BS78%),BS238*(1+Data_All!BS78%)),"")</f>
        <v/>
      </c>
      <c r="BT239" s="427" t="str">
        <f>IF(AND($A239&gt;=SYear_O,$A239&lt;=EYear_O,BT$3&gt;0),IF($A239=SYear_O,BT$168*(1+Data_All!BT78%),BT238*(1+Data_All!BT78%)),"")</f>
        <v/>
      </c>
      <c r="BU239" s="427" t="str">
        <f>IF(AND($A239&gt;=SYear_O,$A239&lt;=EYear_O,BU$3&gt;0),IF($A239=SYear_O,BU$168*(1+Data_All!BU78%),BU238*(1+Data_All!BU78%)),"")</f>
        <v/>
      </c>
      <c r="BV239" s="427" t="str">
        <f>IF(AND($A239&gt;=SYear_O,$A239&lt;=EYear_O,BV$3&gt;0),IF($A239=SYear_O,BV$168*(1+Data_All!BV78%),BV238*(1+Data_All!BV78%)),"")</f>
        <v/>
      </c>
      <c r="BW239" s="427" t="str">
        <f>IF(AND($A239&gt;=SYear_O,$A239&lt;=EYear_O,BW$3&gt;0),IF($A239=SYear_O,BW$168*(1+Data_All!BW78%),BW238*(1+Data_All!BW78%)),"")</f>
        <v/>
      </c>
      <c r="BX239" s="427">
        <f>IF(AND($A239&gt;=SYear_O,$A239&lt;=EYear_O,BX$3&gt;0),IF($A239=SYear_O,BX$168*(1+Data_All!BX78%),BX238*(1+Data_All!BX78%)),"")</f>
        <v>464218.17341204738</v>
      </c>
      <c r="BY239" s="427">
        <f>IF(AND($A239&gt;=SYear_O,$A239&lt;=EYear_O,BY$3&gt;0),IF($A239=SYear_O,BY$168*(1+Data_All!BY78%),BY238*(1+Data_All!BY78%)),"")</f>
        <v>62549.531749236288</v>
      </c>
      <c r="BZ239" s="427" t="str">
        <f>IF(AND($A239&gt;=SYear_O,$A239&lt;=EYear_O,BZ$3&gt;0),IF($A239=SYear_O,BZ$168*(1+Data_All!BZ78%),BZ238*(1+Data_All!BZ78%)),"")</f>
        <v/>
      </c>
      <c r="CA239" s="565">
        <f t="shared" si="123"/>
        <v>-7.6335157859246676</v>
      </c>
      <c r="CB239" s="427">
        <f t="shared" si="124"/>
        <v>526767.70516128372</v>
      </c>
      <c r="CC239" s="565">
        <f>IF(AND($A239&gt;=SYear_O,$A239&lt;=EYear_O),(CA239-Data_All!CA78)/(1+Data_All!CA78%),"")</f>
        <v>-17.046660673983297</v>
      </c>
      <c r="CD239" s="436">
        <f t="shared" si="125"/>
        <v>418195.21082549426</v>
      </c>
      <c r="CE239" s="438">
        <f t="shared" si="126"/>
        <v>47.777429864995263</v>
      </c>
      <c r="CF239" s="438">
        <f>IF(AND($A239&gt;=SYear_O,$A239&lt;=EYear_O),MAX($CE$169:CE239),"")</f>
        <v>66.668301709705716</v>
      </c>
      <c r="CG239" s="209">
        <f t="shared" si="127"/>
        <v>0.2833561281786825</v>
      </c>
      <c r="CN239" s="61">
        <f t="shared" si="128"/>
        <v>-7.6335157859246716E-2</v>
      </c>
      <c r="CO239" s="61">
        <f t="shared" si="129"/>
        <v>9.6256684263708703E-2</v>
      </c>
      <c r="CP239" s="61">
        <f t="shared" si="130"/>
        <v>0.16075924045723067</v>
      </c>
      <c r="CQ239" s="61">
        <f t="shared" si="131"/>
        <v>0.12547499782326321</v>
      </c>
      <c r="CR239" s="61">
        <f t="shared" si="132"/>
        <v>0.15293324328444191</v>
      </c>
      <c r="CU239" s="61">
        <f t="shared" si="133"/>
        <v>-0.17046660673983294</v>
      </c>
      <c r="CV239" s="61">
        <f t="shared" si="134"/>
        <v>2.204231237283949E-2</v>
      </c>
      <c r="CW239" s="61">
        <f t="shared" si="135"/>
        <v>0.10299030361316275</v>
      </c>
      <c r="CX239" s="61">
        <f t="shared" si="136"/>
        <v>6.1144167373511804E-2</v>
      </c>
      <c r="CY239" s="61">
        <f t="shared" si="137"/>
        <v>0.10461206616923202</v>
      </c>
    </row>
    <row r="240" spans="1:103">
      <c r="A240" s="204">
        <f t="shared" si="107"/>
        <v>1942</v>
      </c>
      <c r="B240" s="427" t="str">
        <f>IF(AND($A240&gt;=SYear_O,$A240&lt;=EYear_O,B$3&gt;0),IF($A240=SYear_O,B$168*(1+Data_All!B79%),B239*(1+Data_All!B79%)),"")</f>
        <v/>
      </c>
      <c r="C240" s="427" t="str">
        <f>IF(AND($A240&gt;=SYear_O,$A240&lt;=EYear_O,C$3&gt;0),IF($A240=SYear_O,C$168*(1+Data_All!C79%),C239*(1+Data_All!C79%)),"")</f>
        <v/>
      </c>
      <c r="D240" s="427" t="str">
        <f>IF(AND($A240&gt;=SYear_O,$A240&lt;=EYear_O,D$3&gt;0),IF($A240=SYear_O,D$168*(1+Data_All!D79%),D239*(1+Data_All!D79%)),"")</f>
        <v/>
      </c>
      <c r="E240" s="427" t="str">
        <f>IF(AND($A240&gt;=SYear_O,$A240&lt;=EYear_O,E$3&gt;0),IF($A240=SYear_O,E$168*(1+Data_All!E79%),E239*(1+Data_All!E79%)),"")</f>
        <v/>
      </c>
      <c r="F240" s="427" t="str">
        <f>IF(AND($A240&gt;=SYear_O,$A240&lt;=EYear_O,F$3&gt;0),IF($A240=SYear_O,F$168*(1+Data_All!F79%),F239*(1+Data_All!F79%)),"")</f>
        <v/>
      </c>
      <c r="G240" s="427" t="str">
        <f>IF(AND($A240&gt;=SYear_O,$A240&lt;=EYear_O,G$3&gt;0),IF($A240=SYear_O,G$168*(1+Data_All!G79%),G239*(1+Data_All!G79%)),"")</f>
        <v/>
      </c>
      <c r="H240" s="427" t="str">
        <f>IF(AND($A240&gt;=SYear_O,$A240&lt;=EYear_O,H$3&gt;0),IF($A240=SYear_O,H$168*(1+Data_All!H79%),H239*(1+Data_All!H79%)),"")</f>
        <v/>
      </c>
      <c r="I240" s="427" t="str">
        <f>IF(AND($A240&gt;=SYear_O,$A240&lt;=EYear_O,I$3&gt;0),IF($A240=SYear_O,I$168*(1+Data_All!I79%),I239*(1+Data_All!I79%)),"")</f>
        <v/>
      </c>
      <c r="J240" s="427" t="str">
        <f>IF(AND($A240&gt;=SYear_O,$A240&lt;=EYear_O,J$3&gt;0),IF($A240=SYear_O,J$168*(1+Data_All!J79%),J239*(1+Data_All!J79%)),"")</f>
        <v/>
      </c>
      <c r="K240" s="427" t="str">
        <f>IF(AND($A240&gt;=SYear_O,$A240&lt;=EYear_O,K$3&gt;0),IF($A240=SYear_O,K$168*(1+Data_All!K79%),K239*(1+Data_All!K79%)),"")</f>
        <v/>
      </c>
      <c r="L240" s="427" t="str">
        <f>IF(AND($A240&gt;=SYear_O,$A240&lt;=EYear_O,L$3&gt;0),IF($A240=SYear_O,L$168*(1+Data_All!L79%),L239*(1+Data_All!L79%)),"")</f>
        <v/>
      </c>
      <c r="M240" s="427" t="str">
        <f>IF(AND($A240&gt;=SYear_O,$A240&lt;=EYear_O,M$3&gt;0),IF($A240=SYear_O,M$168*(1+Data_All!M79%),M239*(1+Data_All!M79%)),"")</f>
        <v/>
      </c>
      <c r="N240" s="427" t="str">
        <f>IF(AND($A240&gt;=SYear_O,$A240&lt;=EYear_O,N$3&gt;0),IF($A240=SYear_O,N$168*(1+Data_All!N79%),N239*(1+Data_All!N79%)),"")</f>
        <v/>
      </c>
      <c r="O240" s="427" t="str">
        <f>IF(AND($A240&gt;=SYear_O,$A240&lt;=EYear_O,O$3&gt;0),IF($A240=SYear_O,O$168*(1+Data_All!O79%),O239*(1+Data_All!O79%)),"")</f>
        <v/>
      </c>
      <c r="P240" s="427" t="str">
        <f>IF(AND($A240&gt;=SYear_O,$A240&lt;=EYear_O,P$3&gt;0),IF($A240=SYear_O,P$168*(1+Data_All!P79%),P239*(1+Data_All!P79%)),"")</f>
        <v/>
      </c>
      <c r="Q240" s="427" t="str">
        <f>IF(AND($A240&gt;=SYear_O,$A240&lt;=EYear_O,Q$3&gt;0),IF($A240=SYear_O,Q$168*(1+Data_All!Q79%),Q239*(1+Data_All!Q79%)),"")</f>
        <v/>
      </c>
      <c r="R240" s="427" t="str">
        <f>IF(AND($A240&gt;=SYear_O,$A240&lt;=EYear_O,R$3&gt;0),IF($A240=SYear_O,R$168*(1+Data_All!R79%),R239*(1+Data_All!R79%)),"")</f>
        <v/>
      </c>
      <c r="S240" s="427" t="str">
        <f>IF(AND($A240&gt;=SYear_O,$A240&lt;=EYear_O,S$3&gt;0),IF($A240=SYear_O,S$168*(1+Data_All!S79%),S239*(1+Data_All!S79%)),"")</f>
        <v/>
      </c>
      <c r="T240" s="427" t="str">
        <f>IF(AND($A240&gt;=SYear_O,$A240&lt;=EYear_O,T$3&gt;0),IF($A240=SYear_O,T$168*(1+Data_All!T79%),T239*(1+Data_All!T79%)),"")</f>
        <v/>
      </c>
      <c r="U240" s="427" t="str">
        <f>IF(AND($A240&gt;=SYear_O,$A240&lt;=EYear_O,U$3&gt;0),IF($A240=SYear_O,U$168*(1+Data_All!U79%),U239*(1+Data_All!U79%)),"")</f>
        <v/>
      </c>
      <c r="V240" s="427" t="str">
        <f>IF(AND($A240&gt;=SYear_O,$A240&lt;=EYear_O,V$3&gt;0),IF($A240=SYear_O,V$168*(1+Data_All!V79%),V239*(1+Data_All!V79%)),"")</f>
        <v/>
      </c>
      <c r="W240" s="427" t="str">
        <f>IF(AND($A240&gt;=SYear_O,$A240&lt;=EYear_O,W$3&gt;0),IF($A240=SYear_O,W$168*(1+Data_All!W79%),W239*(1+Data_All!W79%)),"")</f>
        <v/>
      </c>
      <c r="X240" s="427" t="str">
        <f>IF(AND($A240&gt;=SYear_O,$A240&lt;=EYear_O,X$3&gt;0),IF($A240=SYear_O,X$168*(1+Data_All!X79%),X239*(1+Data_All!X79%)),"")</f>
        <v/>
      </c>
      <c r="Y240" s="427" t="str">
        <f>IF(AND($A240&gt;=SYear_O,$A240&lt;=EYear_O,Y$3&gt;0),IF($A240=SYear_O,Y$168*(1+Data_All!Y79%),Y239*(1+Data_All!Y79%)),"")</f>
        <v/>
      </c>
      <c r="Z240" s="427" t="str">
        <f>IF(AND($A240&gt;=SYear_O,$A240&lt;=EYear_O,Z$3&gt;0),IF($A240=SYear_O,Z$168*(1+Data_All!Z79%),Z239*(1+Data_All!Z79%)),"")</f>
        <v/>
      </c>
      <c r="AA240" s="427" t="str">
        <f>IF(AND($A240&gt;=SYear_O,$A240&lt;=EYear_O,AA$3&gt;0),IF($A240=SYear_O,AA$168*(1+Data_All!AA79%),AA239*(1+Data_All!AA79%)),"")</f>
        <v/>
      </c>
      <c r="AB240" s="427" t="str">
        <f>IF(AND($A240&gt;=SYear_O,$A240&lt;=EYear_O,AB$3&gt;0),IF($A240=SYear_O,AB$168*(1+Data_All!AB79%),AB239*(1+Data_All!AB79%)),"")</f>
        <v/>
      </c>
      <c r="AC240" s="427" t="str">
        <f>IF(AND($A240&gt;=SYear_O,$A240&lt;=EYear_O,AC$3&gt;0),IF($A240=SYear_O,AC$168*(1+Data_All!AC79%),AC239*(1+Data_All!AC79%)),"")</f>
        <v/>
      </c>
      <c r="AD240" s="427" t="str">
        <f>IF(AND($A240&gt;=SYear_O,$A240&lt;=EYear_O,AD$3&gt;0),IF($A240=SYear_O,AD$168*(1+Data_All!AD79%),AD239*(1+Data_All!AD79%)),"")</f>
        <v/>
      </c>
      <c r="AE240" s="427" t="str">
        <f>IF(AND($A240&gt;=SYear_O,$A240&lt;=EYear_O,AE$3&gt;0),IF($A240=SYear_O,AE$168*(1+Data_All!AE79%),AE239*(1+Data_All!AE79%)),"")</f>
        <v/>
      </c>
      <c r="AF240" s="427" t="str">
        <f>IF(AND($A240&gt;=SYear_O,$A240&lt;=EYear_O,AF$3&gt;0),IF($A240=SYear_O,AF$168*(1+Data_All!AF79%),AF239*(1+Data_All!AF79%)),"")</f>
        <v/>
      </c>
      <c r="AG240" s="427" t="str">
        <f>IF(AND($A240&gt;=SYear_O,$A240&lt;=EYear_O,AG$3&gt;0),IF($A240=SYear_O,AG$168*(1+Data_All!AG79%),AG239*(1+Data_All!AG79%)),"")</f>
        <v/>
      </c>
      <c r="AH240" s="427" t="str">
        <f>IF(AND($A240&gt;=SYear_O,$A240&lt;=EYear_O,AH$3&gt;0),IF($A240=SYear_O,AH$168*(1+Data_All!AH79%),AH239*(1+Data_All!AH79%)),"")</f>
        <v/>
      </c>
      <c r="AI240" s="427" t="str">
        <f>IF(AND($A240&gt;=SYear_O,$A240&lt;=EYear_O,AI$3&gt;0),IF($A240=SYear_O,AI$168*(1+Data_All!AI79%),AI239*(1+Data_All!AI79%)),"")</f>
        <v/>
      </c>
      <c r="AJ240" s="427" t="str">
        <f>IF(AND($A240&gt;=SYear_O,$A240&lt;=EYear_O,AJ$3&gt;0),IF($A240=SYear_O,AJ$168*(1+Data_All!AJ79%),AJ239*(1+Data_All!AJ79%)),"")</f>
        <v/>
      </c>
      <c r="AK240" s="427" t="str">
        <f>IF(AND($A240&gt;=SYear_O,$A240&lt;=EYear_O,AK$3&gt;0),IF($A240=SYear_O,AK$168*(1+Data_All!AK79%),AK239*(1+Data_All!AK79%)),"")</f>
        <v/>
      </c>
      <c r="AL240" s="427" t="str">
        <f>IF(AND($A240&gt;=SYear_O,$A240&lt;=EYear_O,AL$3&gt;0),IF($A240=SYear_O,AL$168*(1+Data_All!AL79%),AL239*(1+Data_All!AL79%)),"")</f>
        <v/>
      </c>
      <c r="AM240" s="427" t="str">
        <f>IF(AND($A240&gt;=SYear_O,$A240&lt;=EYear_O,AM$3&gt;0),IF($A240=SYear_O,AM$168*(1+Data_All!AM79%),AM239*(1+Data_All!AM79%)),"")</f>
        <v/>
      </c>
      <c r="AN240" s="427" t="str">
        <f>IF(AND($A240&gt;=SYear_O,$A240&lt;=EYear_O,AN$3&gt;0),IF($A240=SYear_O,AN$168*(1+Data_All!AN79%),AN239*(1+Data_All!AN79%)),"")</f>
        <v/>
      </c>
      <c r="AO240" s="427" t="str">
        <f>IF(AND($A240&gt;=SYear_O,$A240&lt;=EYear_O,AO$3&gt;0),IF($A240=SYear_O,AO$168*(1+Data_All!AO79%),AO239*(1+Data_All!AO79%)),"")</f>
        <v/>
      </c>
      <c r="AP240" s="427" t="str">
        <f>IF(AND($A240&gt;=SYear_O,$A240&lt;=EYear_O,AP$3&gt;0),IF($A240=SYear_O,AP$168*(1+Data_All!AP79%),AP239*(1+Data_All!AP79%)),"")</f>
        <v/>
      </c>
      <c r="AQ240" s="427" t="str">
        <f>IF(AND($A240&gt;=SYear_O,$A240&lt;=EYear_O,AQ$3&gt;0),IF($A240=SYear_O,AQ$168*(1+Data_All!AQ79%),AQ239*(1+Data_All!AQ79%)),"")</f>
        <v/>
      </c>
      <c r="AR240" s="427" t="str">
        <f>IF(AND($A240&gt;=SYear_O,$A240&lt;=EYear_O,AR$3&gt;0),IF($A240=SYear_O,AR$168*(1+Data_All!AR79%),AR239*(1+Data_All!AR79%)),"")</f>
        <v/>
      </c>
      <c r="AS240" s="427" t="str">
        <f>IF(AND($A240&gt;=SYear_O,$A240&lt;=EYear_O,AS$3&gt;0),IF($A240=SYear_O,AS$168*(1+Data_All!AS79%),AS239*(1+Data_All!AS79%)),"")</f>
        <v/>
      </c>
      <c r="AT240" s="427" t="str">
        <f>IF(AND($A240&gt;=SYear_O,$A240&lt;=EYear_O,AT$3&gt;0),IF($A240=SYear_O,AT$168*(1+Data_All!AT79%),AT239*(1+Data_All!AT79%)),"")</f>
        <v/>
      </c>
      <c r="AU240" s="427" t="str">
        <f>IF(AND($A240&gt;=SYear_O,$A240&lt;=EYear_O,AU$3&gt;0),IF($A240=SYear_O,AU$168*(1+Data_All!AU79%),AU239*(1+Data_All!AU79%)),"")</f>
        <v/>
      </c>
      <c r="AV240" s="427" t="str">
        <f>IF(AND($A240&gt;=SYear_O,$A240&lt;=EYear_O,AV$3&gt;0),IF($A240=SYear_O,AV$168*(1+Data_All!AV79%),AV239*(1+Data_All!AV79%)),"")</f>
        <v/>
      </c>
      <c r="AW240" s="427" t="str">
        <f>IF(AND($A240&gt;=SYear_O,$A240&lt;=EYear_O,AW$3&gt;0),IF($A240=SYear_O,AW$168*(1+Data_All!AW79%),AW239*(1+Data_All!AW79%)),"")</f>
        <v/>
      </c>
      <c r="AX240" s="427" t="str">
        <f>IF(AND($A240&gt;=SYear_O,$A240&lt;=EYear_O,AX$3&gt;0),IF($A240=SYear_O,AX$168*(1+Data_All!AX79%),AX239*(1+Data_All!AX79%)),"")</f>
        <v/>
      </c>
      <c r="AY240" s="427" t="str">
        <f>IF(AND($A240&gt;=SYear_O,$A240&lt;=EYear_O,AY$3&gt;0),IF($A240=SYear_O,AY$168*(1+Data_All!AY79%),AY239*(1+Data_All!AY79%)),"")</f>
        <v/>
      </c>
      <c r="AZ240" s="427" t="str">
        <f>IF(AND($A240&gt;=SYear_O,$A240&lt;=EYear_O,AZ$3&gt;0),IF($A240=SYear_O,AZ$168*(1+Data_All!AZ79%),AZ239*(1+Data_All!AZ79%)),"")</f>
        <v/>
      </c>
      <c r="BA240" s="427" t="str">
        <f>IF(AND($A240&gt;=SYear_O,$A240&lt;=EYear_O,BA$3&gt;0),IF($A240=SYear_O,BA$168*(1+Data_All!BA79%),BA239*(1+Data_All!BA79%)),"")</f>
        <v/>
      </c>
      <c r="BB240" s="427" t="str">
        <f>IF(AND($A240&gt;=SYear_O,$A240&lt;=EYear_O,BB$3&gt;0),IF($A240=SYear_O,BB$168*(1+Data_All!BB79%),BB239*(1+Data_All!BB79%)),"")</f>
        <v/>
      </c>
      <c r="BC240" s="427" t="str">
        <f>IF(AND($A240&gt;=SYear_O,$A240&lt;=EYear_O,BC$3&gt;0),IF($A240=SYear_O,BC$168*(1+Data_All!BC79%),BC239*(1+Data_All!BC79%)),"")</f>
        <v/>
      </c>
      <c r="BD240" s="427" t="str">
        <f>IF(AND($A240&gt;=SYear_O,$A240&lt;=EYear_O,BD$3&gt;0),IF($A240=SYear_O,BD$168*(1+Data_All!BD79%),BD239*(1+Data_All!BD79%)),"")</f>
        <v/>
      </c>
      <c r="BE240" s="427" t="str">
        <f>IF(AND($A240&gt;=SYear_O,$A240&lt;=EYear_O,BE$3&gt;0),IF($A240=SYear_O,BE$168*(1+Data_All!BE79%),BE239*(1+Data_All!BE79%)),"")</f>
        <v/>
      </c>
      <c r="BF240" s="427" t="str">
        <f>IF(AND($A240&gt;=SYear_O,$A240&lt;=EYear_O,BF$3&gt;0),IF($A240=SYear_O,BF$168*(1+Data_All!BF79%),BF239*(1+Data_All!BF79%)),"")</f>
        <v/>
      </c>
      <c r="BG240" s="427" t="str">
        <f>IF(AND($A240&gt;=SYear_O,$A240&lt;=EYear_O,BG$3&gt;0),IF($A240=SYear_O,BG$168*(1+Data_All!BG79%),BG239*(1+Data_All!BG79%)),"")</f>
        <v/>
      </c>
      <c r="BH240" s="427" t="str">
        <f>IF(AND($A240&gt;=SYear_O,$A240&lt;=EYear_O,BH$3&gt;0),IF($A240=SYear_O,BH$168*(1+Data_All!BH79%),BH239*(1+Data_All!BH79%)),"")</f>
        <v/>
      </c>
      <c r="BI240" s="427" t="str">
        <f>IF(AND($A240&gt;=SYear_O,$A240&lt;=EYear_O,BI$3&gt;0),IF($A240=SYear_O,BI$168*(1+Data_All!BI79%),BI239*(1+Data_All!BI79%)),"")</f>
        <v/>
      </c>
      <c r="BJ240" s="427" t="str">
        <f>IF(AND($A240&gt;=SYear_O,$A240&lt;=EYear_O,BJ$3&gt;0),IF($A240=SYear_O,BJ$168*(1+Data_All!BJ79%),BJ239*(1+Data_All!BJ79%)),"")</f>
        <v/>
      </c>
      <c r="BK240" s="427" t="str">
        <f>IF(AND($A240&gt;=SYear_O,$A240&lt;=EYear_O,BK$3&gt;0),IF($A240=SYear_O,BK$168*(1+Data_All!BK79%),BK239*(1+Data_All!BK79%)),"")</f>
        <v/>
      </c>
      <c r="BL240" s="427" t="str">
        <f>IF(AND($A240&gt;=SYear_O,$A240&lt;=EYear_O,BL$3&gt;0),IF($A240=SYear_O,BL$168*(1+Data_All!BL79%),BL239*(1+Data_All!BL79%)),"")</f>
        <v/>
      </c>
      <c r="BM240" s="427" t="str">
        <f>IF(AND($A240&gt;=SYear_O,$A240&lt;=EYear_O,BM$3&gt;0),IF($A240=SYear_O,BM$168*(1+Data_All!BM79%),BM239*(1+Data_All!BM79%)),"")</f>
        <v/>
      </c>
      <c r="BN240" s="427" t="str">
        <f>IF(AND($A240&gt;=SYear_O,$A240&lt;=EYear_O,BN$3&gt;0),IF($A240=SYear_O,BN$168*(1+Data_All!BN79%),BN239*(1+Data_All!BN79%)),"")</f>
        <v/>
      </c>
      <c r="BO240" s="427" t="str">
        <f>IF(AND($A240&gt;=SYear_O,$A240&lt;=EYear_O,BO$3&gt;0),IF($A240=SYear_O,BO$168*(1+Data_All!BO79%),BO239*(1+Data_All!BO79%)),"")</f>
        <v/>
      </c>
      <c r="BP240" s="427" t="str">
        <f>IF(AND($A240&gt;=SYear_O,$A240&lt;=EYear_O,BP$3&gt;0),IF($A240=SYear_O,BP$168*(1+Data_All!BP79%),BP239*(1+Data_All!BP79%)),"")</f>
        <v/>
      </c>
      <c r="BQ240" s="427" t="str">
        <f>IF(AND($A240&gt;=SYear_O,$A240&lt;=EYear_O,BQ$3&gt;0),IF($A240=SYear_O,BQ$168*(1+Data_All!BQ79%),BQ239*(1+Data_All!BQ79%)),"")</f>
        <v/>
      </c>
      <c r="BR240" s="427" t="str">
        <f>IF(AND($A240&gt;=SYear_O,$A240&lt;=EYear_O,BR$3&gt;0),IF($A240=SYear_O,BR$168*(1+Data_All!BR79%),BR239*(1+Data_All!BR79%)),"")</f>
        <v/>
      </c>
      <c r="BS240" s="427" t="str">
        <f>IF(AND($A240&gt;=SYear_O,$A240&lt;=EYear_O,BS$3&gt;0),IF($A240=SYear_O,BS$168*(1+Data_All!BS79%),BS239*(1+Data_All!BS79%)),"")</f>
        <v/>
      </c>
      <c r="BT240" s="427" t="str">
        <f>IF(AND($A240&gt;=SYear_O,$A240&lt;=EYear_O,BT$3&gt;0),IF($A240=SYear_O,BT$168*(1+Data_All!BT79%),BT239*(1+Data_All!BT79%)),"")</f>
        <v/>
      </c>
      <c r="BU240" s="427" t="str">
        <f>IF(AND($A240&gt;=SYear_O,$A240&lt;=EYear_O,BU$3&gt;0),IF($A240=SYear_O,BU$168*(1+Data_All!BU79%),BU239*(1+Data_All!BU79%)),"")</f>
        <v/>
      </c>
      <c r="BV240" s="427" t="str">
        <f>IF(AND($A240&gt;=SYear_O,$A240&lt;=EYear_O,BV$3&gt;0),IF($A240=SYear_O,BV$168*(1+Data_All!BV79%),BV239*(1+Data_All!BV79%)),"")</f>
        <v/>
      </c>
      <c r="BW240" s="427" t="str">
        <f>IF(AND($A240&gt;=SYear_O,$A240&lt;=EYear_O,BW$3&gt;0),IF($A240=SYear_O,BW$168*(1+Data_All!BW79%),BW239*(1+Data_All!BW79%)),"")</f>
        <v/>
      </c>
      <c r="BX240" s="427">
        <f>IF(AND($A240&gt;=SYear_O,$A240&lt;=EYear_O,BX$3&gt;0),IF($A240=SYear_O,BX$168*(1+Data_All!BX79%),BX239*(1+Data_All!BX79%)),"")</f>
        <v>555190.37984777894</v>
      </c>
      <c r="BY240" s="427">
        <f>IF(AND($A240&gt;=SYear_O,$A240&lt;=EYear_O,BY$3&gt;0),IF($A240=SYear_O,BY$168*(1+Data_All!BY79%),BY239*(1+Data_All!BY79%)),"")</f>
        <v>64109.515914717427</v>
      </c>
      <c r="BZ240" s="427" t="str">
        <f>IF(AND($A240&gt;=SYear_O,$A240&lt;=EYear_O,BZ$3&gt;0),IF($A240=SYear_O,BZ$168*(1+Data_All!BZ79%),BZ239*(1+Data_All!BZ79%)),"")</f>
        <v/>
      </c>
      <c r="CA240" s="565">
        <f t="shared" si="123"/>
        <v>17.566033318781667</v>
      </c>
      <c r="CB240" s="427">
        <f t="shared" si="124"/>
        <v>619299.8957624964</v>
      </c>
      <c r="CC240" s="565">
        <f>IF(AND($A240&gt;=SYear_O,$A240&lt;=EYear_O),(CA240-Data_All!CA79)/(1+Data_All!CA79%),"")</f>
        <v>9.2181492961462848</v>
      </c>
      <c r="CD240" s="436">
        <f t="shared" si="125"/>
        <v>456745.069708722</v>
      </c>
      <c r="CE240" s="438">
        <f t="shared" si="126"/>
        <v>56.170029113937872</v>
      </c>
      <c r="CF240" s="438">
        <f>IF(AND($A240&gt;=SYear_O,$A240&lt;=EYear_O),MAX($CE$169:CE240),"")</f>
        <v>66.668301709705716</v>
      </c>
      <c r="CG240" s="209">
        <f t="shared" si="127"/>
        <v>0.15747022687754297</v>
      </c>
      <c r="CN240" s="61">
        <f t="shared" si="128"/>
        <v>0.1756603331878166</v>
      </c>
      <c r="CO240" s="61">
        <f t="shared" si="129"/>
        <v>0.18887817737777568</v>
      </c>
      <c r="CP240" s="61">
        <f t="shared" si="130"/>
        <v>0.1524830494939049</v>
      </c>
      <c r="CQ240" s="61">
        <f t="shared" si="131"/>
        <v>0.15525095542956846</v>
      </c>
      <c r="CR240" s="61">
        <f t="shared" si="132"/>
        <v>0.16409041681347403</v>
      </c>
      <c r="CU240" s="61">
        <f t="shared" si="133"/>
        <v>9.218149296146283E-2</v>
      </c>
      <c r="CV240" s="61">
        <f t="shared" si="134"/>
        <v>0.1401550243437415</v>
      </c>
      <c r="CW240" s="61">
        <f t="shared" si="135"/>
        <v>8.2247982998707725E-2</v>
      </c>
      <c r="CX240" s="61">
        <f t="shared" si="136"/>
        <v>9.6331049890486353E-2</v>
      </c>
      <c r="CY240" s="61">
        <f t="shared" si="137"/>
        <v>0.12112168276795132</v>
      </c>
    </row>
    <row r="241" spans="1:103">
      <c r="A241" s="204">
        <f t="shared" si="107"/>
        <v>1943</v>
      </c>
      <c r="B241" s="427" t="str">
        <f>IF(AND($A241&gt;=SYear_O,$A241&lt;=EYear_O,B$3&gt;0),IF($A241=SYear_O,B$168*(1+Data_All!B80%),B240*(1+Data_All!B80%)),"")</f>
        <v/>
      </c>
      <c r="C241" s="427" t="str">
        <f>IF(AND($A241&gt;=SYear_O,$A241&lt;=EYear_O,C$3&gt;0),IF($A241=SYear_O,C$168*(1+Data_All!C80%),C240*(1+Data_All!C80%)),"")</f>
        <v/>
      </c>
      <c r="D241" s="427" t="str">
        <f>IF(AND($A241&gt;=SYear_O,$A241&lt;=EYear_O,D$3&gt;0),IF($A241=SYear_O,D$168*(1+Data_All!D80%),D240*(1+Data_All!D80%)),"")</f>
        <v/>
      </c>
      <c r="E241" s="427" t="str">
        <f>IF(AND($A241&gt;=SYear_O,$A241&lt;=EYear_O,E$3&gt;0),IF($A241=SYear_O,E$168*(1+Data_All!E80%),E240*(1+Data_All!E80%)),"")</f>
        <v/>
      </c>
      <c r="F241" s="427" t="str">
        <f>IF(AND($A241&gt;=SYear_O,$A241&lt;=EYear_O,F$3&gt;0),IF($A241=SYear_O,F$168*(1+Data_All!F80%),F240*(1+Data_All!F80%)),"")</f>
        <v/>
      </c>
      <c r="G241" s="427" t="str">
        <f>IF(AND($A241&gt;=SYear_O,$A241&lt;=EYear_O,G$3&gt;0),IF($A241=SYear_O,G$168*(1+Data_All!G80%),G240*(1+Data_All!G80%)),"")</f>
        <v/>
      </c>
      <c r="H241" s="427" t="str">
        <f>IF(AND($A241&gt;=SYear_O,$A241&lt;=EYear_O,H$3&gt;0),IF($A241=SYear_O,H$168*(1+Data_All!H80%),H240*(1+Data_All!H80%)),"")</f>
        <v/>
      </c>
      <c r="I241" s="427" t="str">
        <f>IF(AND($A241&gt;=SYear_O,$A241&lt;=EYear_O,I$3&gt;0),IF($A241=SYear_O,I$168*(1+Data_All!I80%),I240*(1+Data_All!I80%)),"")</f>
        <v/>
      </c>
      <c r="J241" s="427" t="str">
        <f>IF(AND($A241&gt;=SYear_O,$A241&lt;=EYear_O,J$3&gt;0),IF($A241=SYear_O,J$168*(1+Data_All!J80%),J240*(1+Data_All!J80%)),"")</f>
        <v/>
      </c>
      <c r="K241" s="427" t="str">
        <f>IF(AND($A241&gt;=SYear_O,$A241&lt;=EYear_O,K$3&gt;0),IF($A241=SYear_O,K$168*(1+Data_All!K80%),K240*(1+Data_All!K80%)),"")</f>
        <v/>
      </c>
      <c r="L241" s="427" t="str">
        <f>IF(AND($A241&gt;=SYear_O,$A241&lt;=EYear_O,L$3&gt;0),IF($A241=SYear_O,L$168*(1+Data_All!L80%),L240*(1+Data_All!L80%)),"")</f>
        <v/>
      </c>
      <c r="M241" s="427" t="str">
        <f>IF(AND($A241&gt;=SYear_O,$A241&lt;=EYear_O,M$3&gt;0),IF($A241=SYear_O,M$168*(1+Data_All!M80%),M240*(1+Data_All!M80%)),"")</f>
        <v/>
      </c>
      <c r="N241" s="427" t="str">
        <f>IF(AND($A241&gt;=SYear_O,$A241&lt;=EYear_O,N$3&gt;0),IF($A241=SYear_O,N$168*(1+Data_All!N80%),N240*(1+Data_All!N80%)),"")</f>
        <v/>
      </c>
      <c r="O241" s="427" t="str">
        <f>IF(AND($A241&gt;=SYear_O,$A241&lt;=EYear_O,O$3&gt;0),IF($A241=SYear_O,O$168*(1+Data_All!O80%),O240*(1+Data_All!O80%)),"")</f>
        <v/>
      </c>
      <c r="P241" s="427" t="str">
        <f>IF(AND($A241&gt;=SYear_O,$A241&lt;=EYear_O,P$3&gt;0),IF($A241=SYear_O,P$168*(1+Data_All!P80%),P240*(1+Data_All!P80%)),"")</f>
        <v/>
      </c>
      <c r="Q241" s="427" t="str">
        <f>IF(AND($A241&gt;=SYear_O,$A241&lt;=EYear_O,Q$3&gt;0),IF($A241=SYear_O,Q$168*(1+Data_All!Q80%),Q240*(1+Data_All!Q80%)),"")</f>
        <v/>
      </c>
      <c r="R241" s="427" t="str">
        <f>IF(AND($A241&gt;=SYear_O,$A241&lt;=EYear_O,R$3&gt;0),IF($A241=SYear_O,R$168*(1+Data_All!R80%),R240*(1+Data_All!R80%)),"")</f>
        <v/>
      </c>
      <c r="S241" s="427" t="str">
        <f>IF(AND($A241&gt;=SYear_O,$A241&lt;=EYear_O,S$3&gt;0),IF($A241=SYear_O,S$168*(1+Data_All!S80%),S240*(1+Data_All!S80%)),"")</f>
        <v/>
      </c>
      <c r="T241" s="427" t="str">
        <f>IF(AND($A241&gt;=SYear_O,$A241&lt;=EYear_O,T$3&gt;0),IF($A241=SYear_O,T$168*(1+Data_All!T80%),T240*(1+Data_All!T80%)),"")</f>
        <v/>
      </c>
      <c r="U241" s="427" t="str">
        <f>IF(AND($A241&gt;=SYear_O,$A241&lt;=EYear_O,U$3&gt;0),IF($A241=SYear_O,U$168*(1+Data_All!U80%),U240*(1+Data_All!U80%)),"")</f>
        <v/>
      </c>
      <c r="V241" s="427" t="str">
        <f>IF(AND($A241&gt;=SYear_O,$A241&lt;=EYear_O,V$3&gt;0),IF($A241=SYear_O,V$168*(1+Data_All!V80%),V240*(1+Data_All!V80%)),"")</f>
        <v/>
      </c>
      <c r="W241" s="427" t="str">
        <f>IF(AND($A241&gt;=SYear_O,$A241&lt;=EYear_O,W$3&gt;0),IF($A241=SYear_O,W$168*(1+Data_All!W80%),W240*(1+Data_All!W80%)),"")</f>
        <v/>
      </c>
      <c r="X241" s="427" t="str">
        <f>IF(AND($A241&gt;=SYear_O,$A241&lt;=EYear_O,X$3&gt;0),IF($A241=SYear_O,X$168*(1+Data_All!X80%),X240*(1+Data_All!X80%)),"")</f>
        <v/>
      </c>
      <c r="Y241" s="427" t="str">
        <f>IF(AND($A241&gt;=SYear_O,$A241&lt;=EYear_O,Y$3&gt;0),IF($A241=SYear_O,Y$168*(1+Data_All!Y80%),Y240*(1+Data_All!Y80%)),"")</f>
        <v/>
      </c>
      <c r="Z241" s="427" t="str">
        <f>IF(AND($A241&gt;=SYear_O,$A241&lt;=EYear_O,Z$3&gt;0),IF($A241=SYear_O,Z$168*(1+Data_All!Z80%),Z240*(1+Data_All!Z80%)),"")</f>
        <v/>
      </c>
      <c r="AA241" s="427" t="str">
        <f>IF(AND($A241&gt;=SYear_O,$A241&lt;=EYear_O,AA$3&gt;0),IF($A241=SYear_O,AA$168*(1+Data_All!AA80%),AA240*(1+Data_All!AA80%)),"")</f>
        <v/>
      </c>
      <c r="AB241" s="427" t="str">
        <f>IF(AND($A241&gt;=SYear_O,$A241&lt;=EYear_O,AB$3&gt;0),IF($A241=SYear_O,AB$168*(1+Data_All!AB80%),AB240*(1+Data_All!AB80%)),"")</f>
        <v/>
      </c>
      <c r="AC241" s="427" t="str">
        <f>IF(AND($A241&gt;=SYear_O,$A241&lt;=EYear_O,AC$3&gt;0),IF($A241=SYear_O,AC$168*(1+Data_All!AC80%),AC240*(1+Data_All!AC80%)),"")</f>
        <v/>
      </c>
      <c r="AD241" s="427" t="str">
        <f>IF(AND($A241&gt;=SYear_O,$A241&lt;=EYear_O,AD$3&gt;0),IF($A241=SYear_O,AD$168*(1+Data_All!AD80%),AD240*(1+Data_All!AD80%)),"")</f>
        <v/>
      </c>
      <c r="AE241" s="427" t="str">
        <f>IF(AND($A241&gt;=SYear_O,$A241&lt;=EYear_O,AE$3&gt;0),IF($A241=SYear_O,AE$168*(1+Data_All!AE80%),AE240*(1+Data_All!AE80%)),"")</f>
        <v/>
      </c>
      <c r="AF241" s="427" t="str">
        <f>IF(AND($A241&gt;=SYear_O,$A241&lt;=EYear_O,AF$3&gt;0),IF($A241=SYear_O,AF$168*(1+Data_All!AF80%),AF240*(1+Data_All!AF80%)),"")</f>
        <v/>
      </c>
      <c r="AG241" s="427" t="str">
        <f>IF(AND($A241&gt;=SYear_O,$A241&lt;=EYear_O,AG$3&gt;0),IF($A241=SYear_O,AG$168*(1+Data_All!AG80%),AG240*(1+Data_All!AG80%)),"")</f>
        <v/>
      </c>
      <c r="AH241" s="427" t="str">
        <f>IF(AND($A241&gt;=SYear_O,$A241&lt;=EYear_O,AH$3&gt;0),IF($A241=SYear_O,AH$168*(1+Data_All!AH80%),AH240*(1+Data_All!AH80%)),"")</f>
        <v/>
      </c>
      <c r="AI241" s="427" t="str">
        <f>IF(AND($A241&gt;=SYear_O,$A241&lt;=EYear_O,AI$3&gt;0),IF($A241=SYear_O,AI$168*(1+Data_All!AI80%),AI240*(1+Data_All!AI80%)),"")</f>
        <v/>
      </c>
      <c r="AJ241" s="427" t="str">
        <f>IF(AND($A241&gt;=SYear_O,$A241&lt;=EYear_O,AJ$3&gt;0),IF($A241=SYear_O,AJ$168*(1+Data_All!AJ80%),AJ240*(1+Data_All!AJ80%)),"")</f>
        <v/>
      </c>
      <c r="AK241" s="427" t="str">
        <f>IF(AND($A241&gt;=SYear_O,$A241&lt;=EYear_O,AK$3&gt;0),IF($A241=SYear_O,AK$168*(1+Data_All!AK80%),AK240*(1+Data_All!AK80%)),"")</f>
        <v/>
      </c>
      <c r="AL241" s="427" t="str">
        <f>IF(AND($A241&gt;=SYear_O,$A241&lt;=EYear_O,AL$3&gt;0),IF($A241=SYear_O,AL$168*(1+Data_All!AL80%),AL240*(1+Data_All!AL80%)),"")</f>
        <v/>
      </c>
      <c r="AM241" s="427" t="str">
        <f>IF(AND($A241&gt;=SYear_O,$A241&lt;=EYear_O,AM$3&gt;0),IF($A241=SYear_O,AM$168*(1+Data_All!AM80%),AM240*(1+Data_All!AM80%)),"")</f>
        <v/>
      </c>
      <c r="AN241" s="427" t="str">
        <f>IF(AND($A241&gt;=SYear_O,$A241&lt;=EYear_O,AN$3&gt;0),IF($A241=SYear_O,AN$168*(1+Data_All!AN80%),AN240*(1+Data_All!AN80%)),"")</f>
        <v/>
      </c>
      <c r="AO241" s="427" t="str">
        <f>IF(AND($A241&gt;=SYear_O,$A241&lt;=EYear_O,AO$3&gt;0),IF($A241=SYear_O,AO$168*(1+Data_All!AO80%),AO240*(1+Data_All!AO80%)),"")</f>
        <v/>
      </c>
      <c r="AP241" s="427" t="str">
        <f>IF(AND($A241&gt;=SYear_O,$A241&lt;=EYear_O,AP$3&gt;0),IF($A241=SYear_O,AP$168*(1+Data_All!AP80%),AP240*(1+Data_All!AP80%)),"")</f>
        <v/>
      </c>
      <c r="AQ241" s="427" t="str">
        <f>IF(AND($A241&gt;=SYear_O,$A241&lt;=EYear_O,AQ$3&gt;0),IF($A241=SYear_O,AQ$168*(1+Data_All!AQ80%),AQ240*(1+Data_All!AQ80%)),"")</f>
        <v/>
      </c>
      <c r="AR241" s="427" t="str">
        <f>IF(AND($A241&gt;=SYear_O,$A241&lt;=EYear_O,AR$3&gt;0),IF($A241=SYear_O,AR$168*(1+Data_All!AR80%),AR240*(1+Data_All!AR80%)),"")</f>
        <v/>
      </c>
      <c r="AS241" s="427" t="str">
        <f>IF(AND($A241&gt;=SYear_O,$A241&lt;=EYear_O,AS$3&gt;0),IF($A241=SYear_O,AS$168*(1+Data_All!AS80%),AS240*(1+Data_All!AS80%)),"")</f>
        <v/>
      </c>
      <c r="AT241" s="427" t="str">
        <f>IF(AND($A241&gt;=SYear_O,$A241&lt;=EYear_O,AT$3&gt;0),IF($A241=SYear_O,AT$168*(1+Data_All!AT80%),AT240*(1+Data_All!AT80%)),"")</f>
        <v/>
      </c>
      <c r="AU241" s="427" t="str">
        <f>IF(AND($A241&gt;=SYear_O,$A241&lt;=EYear_O,AU$3&gt;0),IF($A241=SYear_O,AU$168*(1+Data_All!AU80%),AU240*(1+Data_All!AU80%)),"")</f>
        <v/>
      </c>
      <c r="AV241" s="427" t="str">
        <f>IF(AND($A241&gt;=SYear_O,$A241&lt;=EYear_O,AV$3&gt;0),IF($A241=SYear_O,AV$168*(1+Data_All!AV80%),AV240*(1+Data_All!AV80%)),"")</f>
        <v/>
      </c>
      <c r="AW241" s="427" t="str">
        <f>IF(AND($A241&gt;=SYear_O,$A241&lt;=EYear_O,AW$3&gt;0),IF($A241=SYear_O,AW$168*(1+Data_All!AW80%),AW240*(1+Data_All!AW80%)),"")</f>
        <v/>
      </c>
      <c r="AX241" s="427" t="str">
        <f>IF(AND($A241&gt;=SYear_O,$A241&lt;=EYear_O,AX$3&gt;0),IF($A241=SYear_O,AX$168*(1+Data_All!AX80%),AX240*(1+Data_All!AX80%)),"")</f>
        <v/>
      </c>
      <c r="AY241" s="427" t="str">
        <f>IF(AND($A241&gt;=SYear_O,$A241&lt;=EYear_O,AY$3&gt;0),IF($A241=SYear_O,AY$168*(1+Data_All!AY80%),AY240*(1+Data_All!AY80%)),"")</f>
        <v/>
      </c>
      <c r="AZ241" s="427" t="str">
        <f>IF(AND($A241&gt;=SYear_O,$A241&lt;=EYear_O,AZ$3&gt;0),IF($A241=SYear_O,AZ$168*(1+Data_All!AZ80%),AZ240*(1+Data_All!AZ80%)),"")</f>
        <v/>
      </c>
      <c r="BA241" s="427" t="str">
        <f>IF(AND($A241&gt;=SYear_O,$A241&lt;=EYear_O,BA$3&gt;0),IF($A241=SYear_O,BA$168*(1+Data_All!BA80%),BA240*(1+Data_All!BA80%)),"")</f>
        <v/>
      </c>
      <c r="BB241" s="427" t="str">
        <f>IF(AND($A241&gt;=SYear_O,$A241&lt;=EYear_O,BB$3&gt;0),IF($A241=SYear_O,BB$168*(1+Data_All!BB80%),BB240*(1+Data_All!BB80%)),"")</f>
        <v/>
      </c>
      <c r="BC241" s="427" t="str">
        <f>IF(AND($A241&gt;=SYear_O,$A241&lt;=EYear_O,BC$3&gt;0),IF($A241=SYear_O,BC$168*(1+Data_All!BC80%),BC240*(1+Data_All!BC80%)),"")</f>
        <v/>
      </c>
      <c r="BD241" s="427" t="str">
        <f>IF(AND($A241&gt;=SYear_O,$A241&lt;=EYear_O,BD$3&gt;0),IF($A241=SYear_O,BD$168*(1+Data_All!BD80%),BD240*(1+Data_All!BD80%)),"")</f>
        <v/>
      </c>
      <c r="BE241" s="427" t="str">
        <f>IF(AND($A241&gt;=SYear_O,$A241&lt;=EYear_O,BE$3&gt;0),IF($A241=SYear_O,BE$168*(1+Data_All!BE80%),BE240*(1+Data_All!BE80%)),"")</f>
        <v/>
      </c>
      <c r="BF241" s="427" t="str">
        <f>IF(AND($A241&gt;=SYear_O,$A241&lt;=EYear_O,BF$3&gt;0),IF($A241=SYear_O,BF$168*(1+Data_All!BF80%),BF240*(1+Data_All!BF80%)),"")</f>
        <v/>
      </c>
      <c r="BG241" s="427" t="str">
        <f>IF(AND($A241&gt;=SYear_O,$A241&lt;=EYear_O,BG$3&gt;0),IF($A241=SYear_O,BG$168*(1+Data_All!BG80%),BG240*(1+Data_All!BG80%)),"")</f>
        <v/>
      </c>
      <c r="BH241" s="427" t="str">
        <f>IF(AND($A241&gt;=SYear_O,$A241&lt;=EYear_O,BH$3&gt;0),IF($A241=SYear_O,BH$168*(1+Data_All!BH80%),BH240*(1+Data_All!BH80%)),"")</f>
        <v/>
      </c>
      <c r="BI241" s="427" t="str">
        <f>IF(AND($A241&gt;=SYear_O,$A241&lt;=EYear_O,BI$3&gt;0),IF($A241=SYear_O,BI$168*(1+Data_All!BI80%),BI240*(1+Data_All!BI80%)),"")</f>
        <v/>
      </c>
      <c r="BJ241" s="427" t="str">
        <f>IF(AND($A241&gt;=SYear_O,$A241&lt;=EYear_O,BJ$3&gt;0),IF($A241=SYear_O,BJ$168*(1+Data_All!BJ80%),BJ240*(1+Data_All!BJ80%)),"")</f>
        <v/>
      </c>
      <c r="BK241" s="427" t="str">
        <f>IF(AND($A241&gt;=SYear_O,$A241&lt;=EYear_O,BK$3&gt;0),IF($A241=SYear_O,BK$168*(1+Data_All!BK80%),BK240*(1+Data_All!BK80%)),"")</f>
        <v/>
      </c>
      <c r="BL241" s="427" t="str">
        <f>IF(AND($A241&gt;=SYear_O,$A241&lt;=EYear_O,BL$3&gt;0),IF($A241=SYear_O,BL$168*(1+Data_All!BL80%),BL240*(1+Data_All!BL80%)),"")</f>
        <v/>
      </c>
      <c r="BM241" s="427" t="str">
        <f>IF(AND($A241&gt;=SYear_O,$A241&lt;=EYear_O,BM$3&gt;0),IF($A241=SYear_O,BM$168*(1+Data_All!BM80%),BM240*(1+Data_All!BM80%)),"")</f>
        <v/>
      </c>
      <c r="BN241" s="427" t="str">
        <f>IF(AND($A241&gt;=SYear_O,$A241&lt;=EYear_O,BN$3&gt;0),IF($A241=SYear_O,BN$168*(1+Data_All!BN80%),BN240*(1+Data_All!BN80%)),"")</f>
        <v/>
      </c>
      <c r="BO241" s="427" t="str">
        <f>IF(AND($A241&gt;=SYear_O,$A241&lt;=EYear_O,BO$3&gt;0),IF($A241=SYear_O,BO$168*(1+Data_All!BO80%),BO240*(1+Data_All!BO80%)),"")</f>
        <v/>
      </c>
      <c r="BP241" s="427" t="str">
        <f>IF(AND($A241&gt;=SYear_O,$A241&lt;=EYear_O,BP$3&gt;0),IF($A241=SYear_O,BP$168*(1+Data_All!BP80%),BP240*(1+Data_All!BP80%)),"")</f>
        <v/>
      </c>
      <c r="BQ241" s="427" t="str">
        <f>IF(AND($A241&gt;=SYear_O,$A241&lt;=EYear_O,BQ$3&gt;0),IF($A241=SYear_O,BQ$168*(1+Data_All!BQ80%),BQ240*(1+Data_All!BQ80%)),"")</f>
        <v/>
      </c>
      <c r="BR241" s="427" t="str">
        <f>IF(AND($A241&gt;=SYear_O,$A241&lt;=EYear_O,BR$3&gt;0),IF($A241=SYear_O,BR$168*(1+Data_All!BR80%),BR240*(1+Data_All!BR80%)),"")</f>
        <v/>
      </c>
      <c r="BS241" s="427" t="str">
        <f>IF(AND($A241&gt;=SYear_O,$A241&lt;=EYear_O,BS$3&gt;0),IF($A241=SYear_O,BS$168*(1+Data_All!BS80%),BS240*(1+Data_All!BS80%)),"")</f>
        <v/>
      </c>
      <c r="BT241" s="427" t="str">
        <f>IF(AND($A241&gt;=SYear_O,$A241&lt;=EYear_O,BT$3&gt;0),IF($A241=SYear_O,BT$168*(1+Data_All!BT80%),BT240*(1+Data_All!BT80%)),"")</f>
        <v/>
      </c>
      <c r="BU241" s="427" t="str">
        <f>IF(AND($A241&gt;=SYear_O,$A241&lt;=EYear_O,BU$3&gt;0),IF($A241=SYear_O,BU$168*(1+Data_All!BU80%),BU240*(1+Data_All!BU80%)),"")</f>
        <v/>
      </c>
      <c r="BV241" s="427" t="str">
        <f>IF(AND($A241&gt;=SYear_O,$A241&lt;=EYear_O,BV$3&gt;0),IF($A241=SYear_O,BV$168*(1+Data_All!BV80%),BV240*(1+Data_All!BV80%)),"")</f>
        <v/>
      </c>
      <c r="BW241" s="427" t="str">
        <f>IF(AND($A241&gt;=SYear_O,$A241&lt;=EYear_O,BW$3&gt;0),IF($A241=SYear_O,BW$168*(1+Data_All!BW80%),BW240*(1+Data_All!BW80%)),"")</f>
        <v/>
      </c>
      <c r="BX241" s="427">
        <f>IF(AND($A241&gt;=SYear_O,$A241&lt;=EYear_O,BX$3&gt;0),IF($A241=SYear_O,BX$168*(1+Data_All!BX80%),BX240*(1+Data_All!BX80%)),"")</f>
        <v>685596.84171489847</v>
      </c>
      <c r="BY241" s="427">
        <f>IF(AND($A241&gt;=SYear_O,$A241&lt;=EYear_O,BY$3&gt;0),IF($A241=SYear_O,BY$168*(1+Data_All!BY80%),BY240*(1+Data_All!BY80%)),"")</f>
        <v>65751.775838368034</v>
      </c>
      <c r="BZ241" s="427" t="str">
        <f>IF(AND($A241&gt;=SYear_O,$A241&lt;=EYear_O,BZ$3&gt;0),IF($A241=SYear_O,BZ$168*(1+Data_All!BZ80%),BZ240*(1+Data_All!BZ80%)),"")</f>
        <v/>
      </c>
      <c r="CA241" s="565">
        <f t="shared" si="123"/>
        <v>21.322258035937278</v>
      </c>
      <c r="CB241" s="427">
        <f t="shared" si="124"/>
        <v>751348.61755326646</v>
      </c>
      <c r="CC241" s="565">
        <f>IF(AND($A241&gt;=SYear_O,$A241&lt;=EYear_O),(CA241-Data_All!CA80)/(1+Data_All!CA80%),"")</f>
        <v>17.83598625329541</v>
      </c>
      <c r="CD241" s="436">
        <f t="shared" si="125"/>
        <v>538210.05755457422</v>
      </c>
      <c r="CE241" s="438">
        <f t="shared" si="126"/>
        <v>68.146747660472798</v>
      </c>
      <c r="CF241" s="438">
        <f>IF(AND($A241&gt;=SYear_O,$A241&lt;=EYear_O),MAX($CE$169:CE241),"")</f>
        <v>68.146747660472798</v>
      </c>
      <c r="CG241" s="209">
        <f t="shared" si="127"/>
        <v>0</v>
      </c>
      <c r="CN241" s="61">
        <f t="shared" si="128"/>
        <v>0.2132225803593728</v>
      </c>
      <c r="CO241" s="61">
        <f t="shared" si="129"/>
        <v>0.24730163000104044</v>
      </c>
      <c r="CP241" s="61">
        <f t="shared" si="130"/>
        <v>0.12218239259323127</v>
      </c>
      <c r="CQ241" s="61">
        <f t="shared" si="131"/>
        <v>0.15132984443381337</v>
      </c>
      <c r="CR241" s="61">
        <f t="shared" si="132"/>
        <v>0.14737945343412151</v>
      </c>
      <c r="CU241" s="61">
        <f t="shared" si="133"/>
        <v>0.17835986253295411</v>
      </c>
      <c r="CV241" s="61">
        <f t="shared" si="134"/>
        <v>0.21686741578125224</v>
      </c>
      <c r="CW241" s="61">
        <f t="shared" si="135"/>
        <v>4.8796240502146704E-2</v>
      </c>
      <c r="CX241" s="61">
        <f t="shared" si="136"/>
        <v>0.10027252745833626</v>
      </c>
      <c r="CY241" s="61">
        <f t="shared" si="137"/>
        <v>0.10783508046494217</v>
      </c>
    </row>
    <row r="242" spans="1:103">
      <c r="A242" s="204">
        <f t="shared" si="107"/>
        <v>1944</v>
      </c>
      <c r="B242" s="427" t="str">
        <f>IF(AND($A242&gt;=SYear_O,$A242&lt;=EYear_O,B$3&gt;0),IF($A242=SYear_O,B$168*(1+Data_All!B81%),B241*(1+Data_All!B81%)),"")</f>
        <v/>
      </c>
      <c r="C242" s="427" t="str">
        <f>IF(AND($A242&gt;=SYear_O,$A242&lt;=EYear_O,C$3&gt;0),IF($A242=SYear_O,C$168*(1+Data_All!C81%),C241*(1+Data_All!C81%)),"")</f>
        <v/>
      </c>
      <c r="D242" s="427" t="str">
        <f>IF(AND($A242&gt;=SYear_O,$A242&lt;=EYear_O,D$3&gt;0),IF($A242=SYear_O,D$168*(1+Data_All!D81%),D241*(1+Data_All!D81%)),"")</f>
        <v/>
      </c>
      <c r="E242" s="427" t="str">
        <f>IF(AND($A242&gt;=SYear_O,$A242&lt;=EYear_O,E$3&gt;0),IF($A242=SYear_O,E$168*(1+Data_All!E81%),E241*(1+Data_All!E81%)),"")</f>
        <v/>
      </c>
      <c r="F242" s="427" t="str">
        <f>IF(AND($A242&gt;=SYear_O,$A242&lt;=EYear_O,F$3&gt;0),IF($A242=SYear_O,F$168*(1+Data_All!F81%),F241*(1+Data_All!F81%)),"")</f>
        <v/>
      </c>
      <c r="G242" s="427" t="str">
        <f>IF(AND($A242&gt;=SYear_O,$A242&lt;=EYear_O,G$3&gt;0),IF($A242=SYear_O,G$168*(1+Data_All!G81%),G241*(1+Data_All!G81%)),"")</f>
        <v/>
      </c>
      <c r="H242" s="427" t="str">
        <f>IF(AND($A242&gt;=SYear_O,$A242&lt;=EYear_O,H$3&gt;0),IF($A242=SYear_O,H$168*(1+Data_All!H81%),H241*(1+Data_All!H81%)),"")</f>
        <v/>
      </c>
      <c r="I242" s="427" t="str">
        <f>IF(AND($A242&gt;=SYear_O,$A242&lt;=EYear_O,I$3&gt;0),IF($A242=SYear_O,I$168*(1+Data_All!I81%),I241*(1+Data_All!I81%)),"")</f>
        <v/>
      </c>
      <c r="J242" s="427" t="str">
        <f>IF(AND($A242&gt;=SYear_O,$A242&lt;=EYear_O,J$3&gt;0),IF($A242=SYear_O,J$168*(1+Data_All!J81%),J241*(1+Data_All!J81%)),"")</f>
        <v/>
      </c>
      <c r="K242" s="427" t="str">
        <f>IF(AND($A242&gt;=SYear_O,$A242&lt;=EYear_O,K$3&gt;0),IF($A242=SYear_O,K$168*(1+Data_All!K81%),K241*(1+Data_All!K81%)),"")</f>
        <v/>
      </c>
      <c r="L242" s="427" t="str">
        <f>IF(AND($A242&gt;=SYear_O,$A242&lt;=EYear_O,L$3&gt;0),IF($A242=SYear_O,L$168*(1+Data_All!L81%),L241*(1+Data_All!L81%)),"")</f>
        <v/>
      </c>
      <c r="M242" s="427" t="str">
        <f>IF(AND($A242&gt;=SYear_O,$A242&lt;=EYear_O,M$3&gt;0),IF($A242=SYear_O,M$168*(1+Data_All!M81%),M241*(1+Data_All!M81%)),"")</f>
        <v/>
      </c>
      <c r="N242" s="427" t="str">
        <f>IF(AND($A242&gt;=SYear_O,$A242&lt;=EYear_O,N$3&gt;0),IF($A242=SYear_O,N$168*(1+Data_All!N81%),N241*(1+Data_All!N81%)),"")</f>
        <v/>
      </c>
      <c r="O242" s="427" t="str">
        <f>IF(AND($A242&gt;=SYear_O,$A242&lt;=EYear_O,O$3&gt;0),IF($A242=SYear_O,O$168*(1+Data_All!O81%),O241*(1+Data_All!O81%)),"")</f>
        <v/>
      </c>
      <c r="P242" s="427" t="str">
        <f>IF(AND($A242&gt;=SYear_O,$A242&lt;=EYear_O,P$3&gt;0),IF($A242=SYear_O,P$168*(1+Data_All!P81%),P241*(1+Data_All!P81%)),"")</f>
        <v/>
      </c>
      <c r="Q242" s="427" t="str">
        <f>IF(AND($A242&gt;=SYear_O,$A242&lt;=EYear_O,Q$3&gt;0),IF($A242=SYear_O,Q$168*(1+Data_All!Q81%),Q241*(1+Data_All!Q81%)),"")</f>
        <v/>
      </c>
      <c r="R242" s="427" t="str">
        <f>IF(AND($A242&gt;=SYear_O,$A242&lt;=EYear_O,R$3&gt;0),IF($A242=SYear_O,R$168*(1+Data_All!R81%),R241*(1+Data_All!R81%)),"")</f>
        <v/>
      </c>
      <c r="S242" s="427" t="str">
        <f>IF(AND($A242&gt;=SYear_O,$A242&lt;=EYear_O,S$3&gt;0),IF($A242=SYear_O,S$168*(1+Data_All!S81%),S241*(1+Data_All!S81%)),"")</f>
        <v/>
      </c>
      <c r="T242" s="427" t="str">
        <f>IF(AND($A242&gt;=SYear_O,$A242&lt;=EYear_O,T$3&gt;0),IF($A242=SYear_O,T$168*(1+Data_All!T81%),T241*(1+Data_All!T81%)),"")</f>
        <v/>
      </c>
      <c r="U242" s="427" t="str">
        <f>IF(AND($A242&gt;=SYear_O,$A242&lt;=EYear_O,U$3&gt;0),IF($A242=SYear_O,U$168*(1+Data_All!U81%),U241*(1+Data_All!U81%)),"")</f>
        <v/>
      </c>
      <c r="V242" s="427" t="str">
        <f>IF(AND($A242&gt;=SYear_O,$A242&lt;=EYear_O,V$3&gt;0),IF($A242=SYear_O,V$168*(1+Data_All!V81%),V241*(1+Data_All!V81%)),"")</f>
        <v/>
      </c>
      <c r="W242" s="427" t="str">
        <f>IF(AND($A242&gt;=SYear_O,$A242&lt;=EYear_O,W$3&gt;0),IF($A242=SYear_O,W$168*(1+Data_All!W81%),W241*(1+Data_All!W81%)),"")</f>
        <v/>
      </c>
      <c r="X242" s="427" t="str">
        <f>IF(AND($A242&gt;=SYear_O,$A242&lt;=EYear_O,X$3&gt;0),IF($A242=SYear_O,X$168*(1+Data_All!X81%),X241*(1+Data_All!X81%)),"")</f>
        <v/>
      </c>
      <c r="Y242" s="427" t="str">
        <f>IF(AND($A242&gt;=SYear_O,$A242&lt;=EYear_O,Y$3&gt;0),IF($A242=SYear_O,Y$168*(1+Data_All!Y81%),Y241*(1+Data_All!Y81%)),"")</f>
        <v/>
      </c>
      <c r="Z242" s="427" t="str">
        <f>IF(AND($A242&gt;=SYear_O,$A242&lt;=EYear_O,Z$3&gt;0),IF($A242=SYear_O,Z$168*(1+Data_All!Z81%),Z241*(1+Data_All!Z81%)),"")</f>
        <v/>
      </c>
      <c r="AA242" s="427" t="str">
        <f>IF(AND($A242&gt;=SYear_O,$A242&lt;=EYear_O,AA$3&gt;0),IF($A242=SYear_O,AA$168*(1+Data_All!AA81%),AA241*(1+Data_All!AA81%)),"")</f>
        <v/>
      </c>
      <c r="AB242" s="427" t="str">
        <f>IF(AND($A242&gt;=SYear_O,$A242&lt;=EYear_O,AB$3&gt;0),IF($A242=SYear_O,AB$168*(1+Data_All!AB81%),AB241*(1+Data_All!AB81%)),"")</f>
        <v/>
      </c>
      <c r="AC242" s="427" t="str">
        <f>IF(AND($A242&gt;=SYear_O,$A242&lt;=EYear_O,AC$3&gt;0),IF($A242=SYear_O,AC$168*(1+Data_All!AC81%),AC241*(1+Data_All!AC81%)),"")</f>
        <v/>
      </c>
      <c r="AD242" s="427" t="str">
        <f>IF(AND($A242&gt;=SYear_O,$A242&lt;=EYear_O,AD$3&gt;0),IF($A242=SYear_O,AD$168*(1+Data_All!AD81%),AD241*(1+Data_All!AD81%)),"")</f>
        <v/>
      </c>
      <c r="AE242" s="427" t="str">
        <f>IF(AND($A242&gt;=SYear_O,$A242&lt;=EYear_O,AE$3&gt;0),IF($A242=SYear_O,AE$168*(1+Data_All!AE81%),AE241*(1+Data_All!AE81%)),"")</f>
        <v/>
      </c>
      <c r="AF242" s="427" t="str">
        <f>IF(AND($A242&gt;=SYear_O,$A242&lt;=EYear_O,AF$3&gt;0),IF($A242=SYear_O,AF$168*(1+Data_All!AF81%),AF241*(1+Data_All!AF81%)),"")</f>
        <v/>
      </c>
      <c r="AG242" s="427" t="str">
        <f>IF(AND($A242&gt;=SYear_O,$A242&lt;=EYear_O,AG$3&gt;0),IF($A242=SYear_O,AG$168*(1+Data_All!AG81%),AG241*(1+Data_All!AG81%)),"")</f>
        <v/>
      </c>
      <c r="AH242" s="427" t="str">
        <f>IF(AND($A242&gt;=SYear_O,$A242&lt;=EYear_O,AH$3&gt;0),IF($A242=SYear_O,AH$168*(1+Data_All!AH81%),AH241*(1+Data_All!AH81%)),"")</f>
        <v/>
      </c>
      <c r="AI242" s="427" t="str">
        <f>IF(AND($A242&gt;=SYear_O,$A242&lt;=EYear_O,AI$3&gt;0),IF($A242=SYear_O,AI$168*(1+Data_All!AI81%),AI241*(1+Data_All!AI81%)),"")</f>
        <v/>
      </c>
      <c r="AJ242" s="427" t="str">
        <f>IF(AND($A242&gt;=SYear_O,$A242&lt;=EYear_O,AJ$3&gt;0),IF($A242=SYear_O,AJ$168*(1+Data_All!AJ81%),AJ241*(1+Data_All!AJ81%)),"")</f>
        <v/>
      </c>
      <c r="AK242" s="427" t="str">
        <f>IF(AND($A242&gt;=SYear_O,$A242&lt;=EYear_O,AK$3&gt;0),IF($A242=SYear_O,AK$168*(1+Data_All!AK81%),AK241*(1+Data_All!AK81%)),"")</f>
        <v/>
      </c>
      <c r="AL242" s="427" t="str">
        <f>IF(AND($A242&gt;=SYear_O,$A242&lt;=EYear_O,AL$3&gt;0),IF($A242=SYear_O,AL$168*(1+Data_All!AL81%),AL241*(1+Data_All!AL81%)),"")</f>
        <v/>
      </c>
      <c r="AM242" s="427" t="str">
        <f>IF(AND($A242&gt;=SYear_O,$A242&lt;=EYear_O,AM$3&gt;0),IF($A242=SYear_O,AM$168*(1+Data_All!AM81%),AM241*(1+Data_All!AM81%)),"")</f>
        <v/>
      </c>
      <c r="AN242" s="427" t="str">
        <f>IF(AND($A242&gt;=SYear_O,$A242&lt;=EYear_O,AN$3&gt;0),IF($A242=SYear_O,AN$168*(1+Data_All!AN81%),AN241*(1+Data_All!AN81%)),"")</f>
        <v/>
      </c>
      <c r="AO242" s="427" t="str">
        <f>IF(AND($A242&gt;=SYear_O,$A242&lt;=EYear_O,AO$3&gt;0),IF($A242=SYear_O,AO$168*(1+Data_All!AO81%),AO241*(1+Data_All!AO81%)),"")</f>
        <v/>
      </c>
      <c r="AP242" s="427" t="str">
        <f>IF(AND($A242&gt;=SYear_O,$A242&lt;=EYear_O,AP$3&gt;0),IF($A242=SYear_O,AP$168*(1+Data_All!AP81%),AP241*(1+Data_All!AP81%)),"")</f>
        <v/>
      </c>
      <c r="AQ242" s="427" t="str">
        <f>IF(AND($A242&gt;=SYear_O,$A242&lt;=EYear_O,AQ$3&gt;0),IF($A242=SYear_O,AQ$168*(1+Data_All!AQ81%),AQ241*(1+Data_All!AQ81%)),"")</f>
        <v/>
      </c>
      <c r="AR242" s="427" t="str">
        <f>IF(AND($A242&gt;=SYear_O,$A242&lt;=EYear_O,AR$3&gt;0),IF($A242=SYear_O,AR$168*(1+Data_All!AR81%),AR241*(1+Data_All!AR81%)),"")</f>
        <v/>
      </c>
      <c r="AS242" s="427" t="str">
        <f>IF(AND($A242&gt;=SYear_O,$A242&lt;=EYear_O,AS$3&gt;0),IF($A242=SYear_O,AS$168*(1+Data_All!AS81%),AS241*(1+Data_All!AS81%)),"")</f>
        <v/>
      </c>
      <c r="AT242" s="427" t="str">
        <f>IF(AND($A242&gt;=SYear_O,$A242&lt;=EYear_O,AT$3&gt;0),IF($A242=SYear_O,AT$168*(1+Data_All!AT81%),AT241*(1+Data_All!AT81%)),"")</f>
        <v/>
      </c>
      <c r="AU242" s="427" t="str">
        <f>IF(AND($A242&gt;=SYear_O,$A242&lt;=EYear_O,AU$3&gt;0),IF($A242=SYear_O,AU$168*(1+Data_All!AU81%),AU241*(1+Data_All!AU81%)),"")</f>
        <v/>
      </c>
      <c r="AV242" s="427" t="str">
        <f>IF(AND($A242&gt;=SYear_O,$A242&lt;=EYear_O,AV$3&gt;0),IF($A242=SYear_O,AV$168*(1+Data_All!AV81%),AV241*(1+Data_All!AV81%)),"")</f>
        <v/>
      </c>
      <c r="AW242" s="427" t="str">
        <f>IF(AND($A242&gt;=SYear_O,$A242&lt;=EYear_O,AW$3&gt;0),IF($A242=SYear_O,AW$168*(1+Data_All!AW81%),AW241*(1+Data_All!AW81%)),"")</f>
        <v/>
      </c>
      <c r="AX242" s="427" t="str">
        <f>IF(AND($A242&gt;=SYear_O,$A242&lt;=EYear_O,AX$3&gt;0),IF($A242=SYear_O,AX$168*(1+Data_All!AX81%),AX241*(1+Data_All!AX81%)),"")</f>
        <v/>
      </c>
      <c r="AY242" s="427" t="str">
        <f>IF(AND($A242&gt;=SYear_O,$A242&lt;=EYear_O,AY$3&gt;0),IF($A242=SYear_O,AY$168*(1+Data_All!AY81%),AY241*(1+Data_All!AY81%)),"")</f>
        <v/>
      </c>
      <c r="AZ242" s="427" t="str">
        <f>IF(AND($A242&gt;=SYear_O,$A242&lt;=EYear_O,AZ$3&gt;0),IF($A242=SYear_O,AZ$168*(1+Data_All!AZ81%),AZ241*(1+Data_All!AZ81%)),"")</f>
        <v/>
      </c>
      <c r="BA242" s="427" t="str">
        <f>IF(AND($A242&gt;=SYear_O,$A242&lt;=EYear_O,BA$3&gt;0),IF($A242=SYear_O,BA$168*(1+Data_All!BA81%),BA241*(1+Data_All!BA81%)),"")</f>
        <v/>
      </c>
      <c r="BB242" s="427" t="str">
        <f>IF(AND($A242&gt;=SYear_O,$A242&lt;=EYear_O,BB$3&gt;0),IF($A242=SYear_O,BB$168*(1+Data_All!BB81%),BB241*(1+Data_All!BB81%)),"")</f>
        <v/>
      </c>
      <c r="BC242" s="427" t="str">
        <f>IF(AND($A242&gt;=SYear_O,$A242&lt;=EYear_O,BC$3&gt;0),IF($A242=SYear_O,BC$168*(1+Data_All!BC81%),BC241*(1+Data_All!BC81%)),"")</f>
        <v/>
      </c>
      <c r="BD242" s="427" t="str">
        <f>IF(AND($A242&gt;=SYear_O,$A242&lt;=EYear_O,BD$3&gt;0),IF($A242=SYear_O,BD$168*(1+Data_All!BD81%),BD241*(1+Data_All!BD81%)),"")</f>
        <v/>
      </c>
      <c r="BE242" s="427" t="str">
        <f>IF(AND($A242&gt;=SYear_O,$A242&lt;=EYear_O,BE$3&gt;0),IF($A242=SYear_O,BE$168*(1+Data_All!BE81%),BE241*(1+Data_All!BE81%)),"")</f>
        <v/>
      </c>
      <c r="BF242" s="427" t="str">
        <f>IF(AND($A242&gt;=SYear_O,$A242&lt;=EYear_O,BF$3&gt;0),IF($A242=SYear_O,BF$168*(1+Data_All!BF81%),BF241*(1+Data_All!BF81%)),"")</f>
        <v/>
      </c>
      <c r="BG242" s="427" t="str">
        <f>IF(AND($A242&gt;=SYear_O,$A242&lt;=EYear_O,BG$3&gt;0),IF($A242=SYear_O,BG$168*(1+Data_All!BG81%),BG241*(1+Data_All!BG81%)),"")</f>
        <v/>
      </c>
      <c r="BH242" s="427" t="str">
        <f>IF(AND($A242&gt;=SYear_O,$A242&lt;=EYear_O,BH$3&gt;0),IF($A242=SYear_O,BH$168*(1+Data_All!BH81%),BH241*(1+Data_All!BH81%)),"")</f>
        <v/>
      </c>
      <c r="BI242" s="427" t="str">
        <f>IF(AND($A242&gt;=SYear_O,$A242&lt;=EYear_O,BI$3&gt;0),IF($A242=SYear_O,BI$168*(1+Data_All!BI81%),BI241*(1+Data_All!BI81%)),"")</f>
        <v/>
      </c>
      <c r="BJ242" s="427" t="str">
        <f>IF(AND($A242&gt;=SYear_O,$A242&lt;=EYear_O,BJ$3&gt;0),IF($A242=SYear_O,BJ$168*(1+Data_All!BJ81%),BJ241*(1+Data_All!BJ81%)),"")</f>
        <v/>
      </c>
      <c r="BK242" s="427" t="str">
        <f>IF(AND($A242&gt;=SYear_O,$A242&lt;=EYear_O,BK$3&gt;0),IF($A242=SYear_O,BK$168*(1+Data_All!BK81%),BK241*(1+Data_All!BK81%)),"")</f>
        <v/>
      </c>
      <c r="BL242" s="427" t="str">
        <f>IF(AND($A242&gt;=SYear_O,$A242&lt;=EYear_O,BL$3&gt;0),IF($A242=SYear_O,BL$168*(1+Data_All!BL81%),BL241*(1+Data_All!BL81%)),"")</f>
        <v/>
      </c>
      <c r="BM242" s="427" t="str">
        <f>IF(AND($A242&gt;=SYear_O,$A242&lt;=EYear_O,BM$3&gt;0),IF($A242=SYear_O,BM$168*(1+Data_All!BM81%),BM241*(1+Data_All!BM81%)),"")</f>
        <v/>
      </c>
      <c r="BN242" s="427" t="str">
        <f>IF(AND($A242&gt;=SYear_O,$A242&lt;=EYear_O,BN$3&gt;0),IF($A242=SYear_O,BN$168*(1+Data_All!BN81%),BN241*(1+Data_All!BN81%)),"")</f>
        <v/>
      </c>
      <c r="BO242" s="427" t="str">
        <f>IF(AND($A242&gt;=SYear_O,$A242&lt;=EYear_O,BO$3&gt;0),IF($A242=SYear_O,BO$168*(1+Data_All!BO81%),BO241*(1+Data_All!BO81%)),"")</f>
        <v/>
      </c>
      <c r="BP242" s="427" t="str">
        <f>IF(AND($A242&gt;=SYear_O,$A242&lt;=EYear_O,BP$3&gt;0),IF($A242=SYear_O,BP$168*(1+Data_All!BP81%),BP241*(1+Data_All!BP81%)),"")</f>
        <v/>
      </c>
      <c r="BQ242" s="427" t="str">
        <f>IF(AND($A242&gt;=SYear_O,$A242&lt;=EYear_O,BQ$3&gt;0),IF($A242=SYear_O,BQ$168*(1+Data_All!BQ81%),BQ241*(1+Data_All!BQ81%)),"")</f>
        <v/>
      </c>
      <c r="BR242" s="427" t="str">
        <f>IF(AND($A242&gt;=SYear_O,$A242&lt;=EYear_O,BR$3&gt;0),IF($A242=SYear_O,BR$168*(1+Data_All!BR81%),BR241*(1+Data_All!BR81%)),"")</f>
        <v/>
      </c>
      <c r="BS242" s="427" t="str">
        <f>IF(AND($A242&gt;=SYear_O,$A242&lt;=EYear_O,BS$3&gt;0),IF($A242=SYear_O,BS$168*(1+Data_All!BS81%),BS241*(1+Data_All!BS81%)),"")</f>
        <v/>
      </c>
      <c r="BT242" s="427" t="str">
        <f>IF(AND($A242&gt;=SYear_O,$A242&lt;=EYear_O,BT$3&gt;0),IF($A242=SYear_O,BT$168*(1+Data_All!BT81%),BT241*(1+Data_All!BT81%)),"")</f>
        <v/>
      </c>
      <c r="BU242" s="427" t="str">
        <f>IF(AND($A242&gt;=SYear_O,$A242&lt;=EYear_O,BU$3&gt;0),IF($A242=SYear_O,BU$168*(1+Data_All!BU81%),BU241*(1+Data_All!BU81%)),"")</f>
        <v/>
      </c>
      <c r="BV242" s="427" t="str">
        <f>IF(AND($A242&gt;=SYear_O,$A242&lt;=EYear_O,BV$3&gt;0),IF($A242=SYear_O,BV$168*(1+Data_All!BV81%),BV241*(1+Data_All!BV81%)),"")</f>
        <v/>
      </c>
      <c r="BW242" s="427" t="str">
        <f>IF(AND($A242&gt;=SYear_O,$A242&lt;=EYear_O,BW$3&gt;0),IF($A242=SYear_O,BW$168*(1+Data_All!BW81%),BW241*(1+Data_All!BW81%)),"")</f>
        <v/>
      </c>
      <c r="BX242" s="427">
        <f>IF(AND($A242&gt;=SYear_O,$A242&lt;=EYear_O,BX$3&gt;0),IF($A242=SYear_O,BX$168*(1+Data_All!BX81%),BX241*(1+Data_All!BX81%)),"")</f>
        <v>817509.14543725876</v>
      </c>
      <c r="BY242" s="427">
        <f>IF(AND($A242&gt;=SYear_O,$A242&lt;=EYear_O,BY$3&gt;0),IF($A242=SYear_O,BY$168*(1+Data_All!BY81%),BY241*(1+Data_All!BY81%)),"")</f>
        <v>67670.069642822462</v>
      </c>
      <c r="BZ242" s="427" t="str">
        <f>IF(AND($A242&gt;=SYear_O,$A242&lt;=EYear_O,BZ$3&gt;0),IF($A242=SYear_O,BZ$168*(1+Data_All!BZ81%),BZ241*(1+Data_All!BZ81%)),"")</f>
        <v/>
      </c>
      <c r="CA242" s="565">
        <f t="shared" si="123"/>
        <v>17.812050811064005</v>
      </c>
      <c r="CB242" s="427">
        <f t="shared" si="124"/>
        <v>885179.21508008125</v>
      </c>
      <c r="CC242" s="565">
        <f>IF(AND($A242&gt;=SYear_O,$A242&lt;=EYear_O),(CA242-Data_All!CA81)/(1+Data_All!CA81%),"")</f>
        <v>15.164588995085015</v>
      </c>
      <c r="CD242" s="436">
        <f t="shared" si="125"/>
        <v>619827.40071293595</v>
      </c>
      <c r="CE242" s="438">
        <f t="shared" si="126"/>
        <v>80.285080979843784</v>
      </c>
      <c r="CF242" s="438">
        <f>IF(AND($A242&gt;=SYear_O,$A242&lt;=EYear_O),MAX($CE$169:CE242),"")</f>
        <v>80.285080979843784</v>
      </c>
      <c r="CG242" s="209">
        <f t="shared" si="127"/>
        <v>0</v>
      </c>
      <c r="CN242" s="61">
        <f t="shared" si="128"/>
        <v>0.17812050811064006</v>
      </c>
      <c r="CO242" s="61">
        <f t="shared" si="129"/>
        <v>0.1254256115970378</v>
      </c>
      <c r="CP242" s="61">
        <f t="shared" si="130"/>
        <v>9.9134769837676551E-2</v>
      </c>
      <c r="CQ242" s="61">
        <f t="shared" si="131"/>
        <v>0.1324871874637692</v>
      </c>
      <c r="CR242" s="61">
        <f t="shared" si="132"/>
        <v>0.15769823993630383</v>
      </c>
      <c r="CU242" s="61">
        <f t="shared" si="133"/>
        <v>0.15164588995085015</v>
      </c>
      <c r="CV242" s="61">
        <f t="shared" si="134"/>
        <v>4.8786424167628573E-2</v>
      </c>
      <c r="CW242" s="61">
        <f t="shared" si="135"/>
        <v>3.0667419606221769E-2</v>
      </c>
      <c r="CX242" s="61">
        <f t="shared" si="136"/>
        <v>8.4208965211456599E-2</v>
      </c>
      <c r="CY242" s="61">
        <f t="shared" si="137"/>
        <v>0.11893653995644193</v>
      </c>
    </row>
    <row r="243" spans="1:103">
      <c r="A243" s="204">
        <f t="shared" si="107"/>
        <v>1945</v>
      </c>
      <c r="B243" s="427" t="str">
        <f>IF(AND($A243&gt;=SYear_O,$A243&lt;=EYear_O,B$3&gt;0),IF($A243=SYear_O,B$168*(1+Data_All!B82%),B242*(1+Data_All!B82%)),"")</f>
        <v/>
      </c>
      <c r="C243" s="427" t="str">
        <f>IF(AND($A243&gt;=SYear_O,$A243&lt;=EYear_O,C$3&gt;0),IF($A243=SYear_O,C$168*(1+Data_All!C82%),C242*(1+Data_All!C82%)),"")</f>
        <v/>
      </c>
      <c r="D243" s="427" t="str">
        <f>IF(AND($A243&gt;=SYear_O,$A243&lt;=EYear_O,D$3&gt;0),IF($A243=SYear_O,D$168*(1+Data_All!D82%),D242*(1+Data_All!D82%)),"")</f>
        <v/>
      </c>
      <c r="E243" s="427" t="str">
        <f>IF(AND($A243&gt;=SYear_O,$A243&lt;=EYear_O,E$3&gt;0),IF($A243=SYear_O,E$168*(1+Data_All!E82%),E242*(1+Data_All!E82%)),"")</f>
        <v/>
      </c>
      <c r="F243" s="427" t="str">
        <f>IF(AND($A243&gt;=SYear_O,$A243&lt;=EYear_O,F$3&gt;0),IF($A243=SYear_O,F$168*(1+Data_All!F82%),F242*(1+Data_All!F82%)),"")</f>
        <v/>
      </c>
      <c r="G243" s="427" t="str">
        <f>IF(AND($A243&gt;=SYear_O,$A243&lt;=EYear_O,G$3&gt;0),IF($A243=SYear_O,G$168*(1+Data_All!G82%),G242*(1+Data_All!G82%)),"")</f>
        <v/>
      </c>
      <c r="H243" s="427" t="str">
        <f>IF(AND($A243&gt;=SYear_O,$A243&lt;=EYear_O,H$3&gt;0),IF($A243=SYear_O,H$168*(1+Data_All!H82%),H242*(1+Data_All!H82%)),"")</f>
        <v/>
      </c>
      <c r="I243" s="427" t="str">
        <f>IF(AND($A243&gt;=SYear_O,$A243&lt;=EYear_O,I$3&gt;0),IF($A243=SYear_O,I$168*(1+Data_All!I82%),I242*(1+Data_All!I82%)),"")</f>
        <v/>
      </c>
      <c r="J243" s="427" t="str">
        <f>IF(AND($A243&gt;=SYear_O,$A243&lt;=EYear_O,J$3&gt;0),IF($A243=SYear_O,J$168*(1+Data_All!J82%),J242*(1+Data_All!J82%)),"")</f>
        <v/>
      </c>
      <c r="K243" s="427" t="str">
        <f>IF(AND($A243&gt;=SYear_O,$A243&lt;=EYear_O,K$3&gt;0),IF($A243=SYear_O,K$168*(1+Data_All!K82%),K242*(1+Data_All!K82%)),"")</f>
        <v/>
      </c>
      <c r="L243" s="427" t="str">
        <f>IF(AND($A243&gt;=SYear_O,$A243&lt;=EYear_O,L$3&gt;0),IF($A243=SYear_O,L$168*(1+Data_All!L82%),L242*(1+Data_All!L82%)),"")</f>
        <v/>
      </c>
      <c r="M243" s="427" t="str">
        <f>IF(AND($A243&gt;=SYear_O,$A243&lt;=EYear_O,M$3&gt;0),IF($A243=SYear_O,M$168*(1+Data_All!M82%),M242*(1+Data_All!M82%)),"")</f>
        <v/>
      </c>
      <c r="N243" s="427" t="str">
        <f>IF(AND($A243&gt;=SYear_O,$A243&lt;=EYear_O,N$3&gt;0),IF($A243=SYear_O,N$168*(1+Data_All!N82%),N242*(1+Data_All!N82%)),"")</f>
        <v/>
      </c>
      <c r="O243" s="427" t="str">
        <f>IF(AND($A243&gt;=SYear_O,$A243&lt;=EYear_O,O$3&gt;0),IF($A243=SYear_O,O$168*(1+Data_All!O82%),O242*(1+Data_All!O82%)),"")</f>
        <v/>
      </c>
      <c r="P243" s="427" t="str">
        <f>IF(AND($A243&gt;=SYear_O,$A243&lt;=EYear_O,P$3&gt;0),IF($A243=SYear_O,P$168*(1+Data_All!P82%),P242*(1+Data_All!P82%)),"")</f>
        <v/>
      </c>
      <c r="Q243" s="427" t="str">
        <f>IF(AND($A243&gt;=SYear_O,$A243&lt;=EYear_O,Q$3&gt;0),IF($A243=SYear_O,Q$168*(1+Data_All!Q82%),Q242*(1+Data_All!Q82%)),"")</f>
        <v/>
      </c>
      <c r="R243" s="427" t="str">
        <f>IF(AND($A243&gt;=SYear_O,$A243&lt;=EYear_O,R$3&gt;0),IF($A243=SYear_O,R$168*(1+Data_All!R82%),R242*(1+Data_All!R82%)),"")</f>
        <v/>
      </c>
      <c r="S243" s="427" t="str">
        <f>IF(AND($A243&gt;=SYear_O,$A243&lt;=EYear_O,S$3&gt;0),IF($A243=SYear_O,S$168*(1+Data_All!S82%),S242*(1+Data_All!S82%)),"")</f>
        <v/>
      </c>
      <c r="T243" s="427" t="str">
        <f>IF(AND($A243&gt;=SYear_O,$A243&lt;=EYear_O,T$3&gt;0),IF($A243=SYear_O,T$168*(1+Data_All!T82%),T242*(1+Data_All!T82%)),"")</f>
        <v/>
      </c>
      <c r="U243" s="427" t="str">
        <f>IF(AND($A243&gt;=SYear_O,$A243&lt;=EYear_O,U$3&gt;0),IF($A243=SYear_O,U$168*(1+Data_All!U82%),U242*(1+Data_All!U82%)),"")</f>
        <v/>
      </c>
      <c r="V243" s="427" t="str">
        <f>IF(AND($A243&gt;=SYear_O,$A243&lt;=EYear_O,V$3&gt;0),IF($A243=SYear_O,V$168*(1+Data_All!V82%),V242*(1+Data_All!V82%)),"")</f>
        <v/>
      </c>
      <c r="W243" s="427" t="str">
        <f>IF(AND($A243&gt;=SYear_O,$A243&lt;=EYear_O,W$3&gt;0),IF($A243=SYear_O,W$168*(1+Data_All!W82%),W242*(1+Data_All!W82%)),"")</f>
        <v/>
      </c>
      <c r="X243" s="427" t="str">
        <f>IF(AND($A243&gt;=SYear_O,$A243&lt;=EYear_O,X$3&gt;0),IF($A243=SYear_O,X$168*(1+Data_All!X82%),X242*(1+Data_All!X82%)),"")</f>
        <v/>
      </c>
      <c r="Y243" s="427" t="str">
        <f>IF(AND($A243&gt;=SYear_O,$A243&lt;=EYear_O,Y$3&gt;0),IF($A243=SYear_O,Y$168*(1+Data_All!Y82%),Y242*(1+Data_All!Y82%)),"")</f>
        <v/>
      </c>
      <c r="Z243" s="427" t="str">
        <f>IF(AND($A243&gt;=SYear_O,$A243&lt;=EYear_O,Z$3&gt;0),IF($A243=SYear_O,Z$168*(1+Data_All!Z82%),Z242*(1+Data_All!Z82%)),"")</f>
        <v/>
      </c>
      <c r="AA243" s="427" t="str">
        <f>IF(AND($A243&gt;=SYear_O,$A243&lt;=EYear_O,AA$3&gt;0),IF($A243=SYear_O,AA$168*(1+Data_All!AA82%),AA242*(1+Data_All!AA82%)),"")</f>
        <v/>
      </c>
      <c r="AB243" s="427" t="str">
        <f>IF(AND($A243&gt;=SYear_O,$A243&lt;=EYear_O,AB$3&gt;0),IF($A243=SYear_O,AB$168*(1+Data_All!AB82%),AB242*(1+Data_All!AB82%)),"")</f>
        <v/>
      </c>
      <c r="AC243" s="427" t="str">
        <f>IF(AND($A243&gt;=SYear_O,$A243&lt;=EYear_O,AC$3&gt;0),IF($A243=SYear_O,AC$168*(1+Data_All!AC82%),AC242*(1+Data_All!AC82%)),"")</f>
        <v/>
      </c>
      <c r="AD243" s="427" t="str">
        <f>IF(AND($A243&gt;=SYear_O,$A243&lt;=EYear_O,AD$3&gt;0),IF($A243=SYear_O,AD$168*(1+Data_All!AD82%),AD242*(1+Data_All!AD82%)),"")</f>
        <v/>
      </c>
      <c r="AE243" s="427" t="str">
        <f>IF(AND($A243&gt;=SYear_O,$A243&lt;=EYear_O,AE$3&gt;0),IF($A243=SYear_O,AE$168*(1+Data_All!AE82%),AE242*(1+Data_All!AE82%)),"")</f>
        <v/>
      </c>
      <c r="AF243" s="427" t="str">
        <f>IF(AND($A243&gt;=SYear_O,$A243&lt;=EYear_O,AF$3&gt;0),IF($A243=SYear_O,AF$168*(1+Data_All!AF82%),AF242*(1+Data_All!AF82%)),"")</f>
        <v/>
      </c>
      <c r="AG243" s="427" t="str">
        <f>IF(AND($A243&gt;=SYear_O,$A243&lt;=EYear_O,AG$3&gt;0),IF($A243=SYear_O,AG$168*(1+Data_All!AG82%),AG242*(1+Data_All!AG82%)),"")</f>
        <v/>
      </c>
      <c r="AH243" s="427" t="str">
        <f>IF(AND($A243&gt;=SYear_O,$A243&lt;=EYear_O,AH$3&gt;0),IF($A243=SYear_O,AH$168*(1+Data_All!AH82%),AH242*(1+Data_All!AH82%)),"")</f>
        <v/>
      </c>
      <c r="AI243" s="427" t="str">
        <f>IF(AND($A243&gt;=SYear_O,$A243&lt;=EYear_O,AI$3&gt;0),IF($A243=SYear_O,AI$168*(1+Data_All!AI82%),AI242*(1+Data_All!AI82%)),"")</f>
        <v/>
      </c>
      <c r="AJ243" s="427" t="str">
        <f>IF(AND($A243&gt;=SYear_O,$A243&lt;=EYear_O,AJ$3&gt;0),IF($A243=SYear_O,AJ$168*(1+Data_All!AJ82%),AJ242*(1+Data_All!AJ82%)),"")</f>
        <v/>
      </c>
      <c r="AK243" s="427" t="str">
        <f>IF(AND($A243&gt;=SYear_O,$A243&lt;=EYear_O,AK$3&gt;0),IF($A243=SYear_O,AK$168*(1+Data_All!AK82%),AK242*(1+Data_All!AK82%)),"")</f>
        <v/>
      </c>
      <c r="AL243" s="427" t="str">
        <f>IF(AND($A243&gt;=SYear_O,$A243&lt;=EYear_O,AL$3&gt;0),IF($A243=SYear_O,AL$168*(1+Data_All!AL82%),AL242*(1+Data_All!AL82%)),"")</f>
        <v/>
      </c>
      <c r="AM243" s="427" t="str">
        <f>IF(AND($A243&gt;=SYear_O,$A243&lt;=EYear_O,AM$3&gt;0),IF($A243=SYear_O,AM$168*(1+Data_All!AM82%),AM242*(1+Data_All!AM82%)),"")</f>
        <v/>
      </c>
      <c r="AN243" s="427" t="str">
        <f>IF(AND($A243&gt;=SYear_O,$A243&lt;=EYear_O,AN$3&gt;0),IF($A243=SYear_O,AN$168*(1+Data_All!AN82%),AN242*(1+Data_All!AN82%)),"")</f>
        <v/>
      </c>
      <c r="AO243" s="427" t="str">
        <f>IF(AND($A243&gt;=SYear_O,$A243&lt;=EYear_O,AO$3&gt;0),IF($A243=SYear_O,AO$168*(1+Data_All!AO82%),AO242*(1+Data_All!AO82%)),"")</f>
        <v/>
      </c>
      <c r="AP243" s="427" t="str">
        <f>IF(AND($A243&gt;=SYear_O,$A243&lt;=EYear_O,AP$3&gt;0),IF($A243=SYear_O,AP$168*(1+Data_All!AP82%),AP242*(1+Data_All!AP82%)),"")</f>
        <v/>
      </c>
      <c r="AQ243" s="427" t="str">
        <f>IF(AND($A243&gt;=SYear_O,$A243&lt;=EYear_O,AQ$3&gt;0),IF($A243=SYear_O,AQ$168*(1+Data_All!AQ82%),AQ242*(1+Data_All!AQ82%)),"")</f>
        <v/>
      </c>
      <c r="AR243" s="427" t="str">
        <f>IF(AND($A243&gt;=SYear_O,$A243&lt;=EYear_O,AR$3&gt;0),IF($A243=SYear_O,AR$168*(1+Data_All!AR82%),AR242*(1+Data_All!AR82%)),"")</f>
        <v/>
      </c>
      <c r="AS243" s="427" t="str">
        <f>IF(AND($A243&gt;=SYear_O,$A243&lt;=EYear_O,AS$3&gt;0),IF($A243=SYear_O,AS$168*(1+Data_All!AS82%),AS242*(1+Data_All!AS82%)),"")</f>
        <v/>
      </c>
      <c r="AT243" s="427" t="str">
        <f>IF(AND($A243&gt;=SYear_O,$A243&lt;=EYear_O,AT$3&gt;0),IF($A243=SYear_O,AT$168*(1+Data_All!AT82%),AT242*(1+Data_All!AT82%)),"")</f>
        <v/>
      </c>
      <c r="AU243" s="427" t="str">
        <f>IF(AND($A243&gt;=SYear_O,$A243&lt;=EYear_O,AU$3&gt;0),IF($A243=SYear_O,AU$168*(1+Data_All!AU82%),AU242*(1+Data_All!AU82%)),"")</f>
        <v/>
      </c>
      <c r="AV243" s="427" t="str">
        <f>IF(AND($A243&gt;=SYear_O,$A243&lt;=EYear_O,AV$3&gt;0),IF($A243=SYear_O,AV$168*(1+Data_All!AV82%),AV242*(1+Data_All!AV82%)),"")</f>
        <v/>
      </c>
      <c r="AW243" s="427" t="str">
        <f>IF(AND($A243&gt;=SYear_O,$A243&lt;=EYear_O,AW$3&gt;0),IF($A243=SYear_O,AW$168*(1+Data_All!AW82%),AW242*(1+Data_All!AW82%)),"")</f>
        <v/>
      </c>
      <c r="AX243" s="427" t="str">
        <f>IF(AND($A243&gt;=SYear_O,$A243&lt;=EYear_O,AX$3&gt;0),IF($A243=SYear_O,AX$168*(1+Data_All!AX82%),AX242*(1+Data_All!AX82%)),"")</f>
        <v/>
      </c>
      <c r="AY243" s="427" t="str">
        <f>IF(AND($A243&gt;=SYear_O,$A243&lt;=EYear_O,AY$3&gt;0),IF($A243=SYear_O,AY$168*(1+Data_All!AY82%),AY242*(1+Data_All!AY82%)),"")</f>
        <v/>
      </c>
      <c r="AZ243" s="427" t="str">
        <f>IF(AND($A243&gt;=SYear_O,$A243&lt;=EYear_O,AZ$3&gt;0),IF($A243=SYear_O,AZ$168*(1+Data_All!AZ82%),AZ242*(1+Data_All!AZ82%)),"")</f>
        <v/>
      </c>
      <c r="BA243" s="427" t="str">
        <f>IF(AND($A243&gt;=SYear_O,$A243&lt;=EYear_O,BA$3&gt;0),IF($A243=SYear_O,BA$168*(1+Data_All!BA82%),BA242*(1+Data_All!BA82%)),"")</f>
        <v/>
      </c>
      <c r="BB243" s="427" t="str">
        <f>IF(AND($A243&gt;=SYear_O,$A243&lt;=EYear_O,BB$3&gt;0),IF($A243=SYear_O,BB$168*(1+Data_All!BB82%),BB242*(1+Data_All!BB82%)),"")</f>
        <v/>
      </c>
      <c r="BC243" s="427" t="str">
        <f>IF(AND($A243&gt;=SYear_O,$A243&lt;=EYear_O,BC$3&gt;0),IF($A243=SYear_O,BC$168*(1+Data_All!BC82%),BC242*(1+Data_All!BC82%)),"")</f>
        <v/>
      </c>
      <c r="BD243" s="427" t="str">
        <f>IF(AND($A243&gt;=SYear_O,$A243&lt;=EYear_O,BD$3&gt;0),IF($A243=SYear_O,BD$168*(1+Data_All!BD82%),BD242*(1+Data_All!BD82%)),"")</f>
        <v/>
      </c>
      <c r="BE243" s="427" t="str">
        <f>IF(AND($A243&gt;=SYear_O,$A243&lt;=EYear_O,BE$3&gt;0),IF($A243=SYear_O,BE$168*(1+Data_All!BE82%),BE242*(1+Data_All!BE82%)),"")</f>
        <v/>
      </c>
      <c r="BF243" s="427" t="str">
        <f>IF(AND($A243&gt;=SYear_O,$A243&lt;=EYear_O,BF$3&gt;0),IF($A243=SYear_O,BF$168*(1+Data_All!BF82%),BF242*(1+Data_All!BF82%)),"")</f>
        <v/>
      </c>
      <c r="BG243" s="427" t="str">
        <f>IF(AND($A243&gt;=SYear_O,$A243&lt;=EYear_O,BG$3&gt;0),IF($A243=SYear_O,BG$168*(1+Data_All!BG82%),BG242*(1+Data_All!BG82%)),"")</f>
        <v/>
      </c>
      <c r="BH243" s="427" t="str">
        <f>IF(AND($A243&gt;=SYear_O,$A243&lt;=EYear_O,BH$3&gt;0),IF($A243=SYear_O,BH$168*(1+Data_All!BH82%),BH242*(1+Data_All!BH82%)),"")</f>
        <v/>
      </c>
      <c r="BI243" s="427" t="str">
        <f>IF(AND($A243&gt;=SYear_O,$A243&lt;=EYear_O,BI$3&gt;0),IF($A243=SYear_O,BI$168*(1+Data_All!BI82%),BI242*(1+Data_All!BI82%)),"")</f>
        <v/>
      </c>
      <c r="BJ243" s="427" t="str">
        <f>IF(AND($A243&gt;=SYear_O,$A243&lt;=EYear_O,BJ$3&gt;0),IF($A243=SYear_O,BJ$168*(1+Data_All!BJ82%),BJ242*(1+Data_All!BJ82%)),"")</f>
        <v/>
      </c>
      <c r="BK243" s="427" t="str">
        <f>IF(AND($A243&gt;=SYear_O,$A243&lt;=EYear_O,BK$3&gt;0),IF($A243=SYear_O,BK$168*(1+Data_All!BK82%),BK242*(1+Data_All!BK82%)),"")</f>
        <v/>
      </c>
      <c r="BL243" s="427" t="str">
        <f>IF(AND($A243&gt;=SYear_O,$A243&lt;=EYear_O,BL$3&gt;0),IF($A243=SYear_O,BL$168*(1+Data_All!BL82%),BL242*(1+Data_All!BL82%)),"")</f>
        <v/>
      </c>
      <c r="BM243" s="427" t="str">
        <f>IF(AND($A243&gt;=SYear_O,$A243&lt;=EYear_O,BM$3&gt;0),IF($A243=SYear_O,BM$168*(1+Data_All!BM82%),BM242*(1+Data_All!BM82%)),"")</f>
        <v/>
      </c>
      <c r="BN243" s="427" t="str">
        <f>IF(AND($A243&gt;=SYear_O,$A243&lt;=EYear_O,BN$3&gt;0),IF($A243=SYear_O,BN$168*(1+Data_All!BN82%),BN242*(1+Data_All!BN82%)),"")</f>
        <v/>
      </c>
      <c r="BO243" s="427" t="str">
        <f>IF(AND($A243&gt;=SYear_O,$A243&lt;=EYear_O,BO$3&gt;0),IF($A243=SYear_O,BO$168*(1+Data_All!BO82%),BO242*(1+Data_All!BO82%)),"")</f>
        <v/>
      </c>
      <c r="BP243" s="427" t="str">
        <f>IF(AND($A243&gt;=SYear_O,$A243&lt;=EYear_O,BP$3&gt;0),IF($A243=SYear_O,BP$168*(1+Data_All!BP82%),BP242*(1+Data_All!BP82%)),"")</f>
        <v/>
      </c>
      <c r="BQ243" s="427" t="str">
        <f>IF(AND($A243&gt;=SYear_O,$A243&lt;=EYear_O,BQ$3&gt;0),IF($A243=SYear_O,BQ$168*(1+Data_All!BQ82%),BQ242*(1+Data_All!BQ82%)),"")</f>
        <v/>
      </c>
      <c r="BR243" s="427" t="str">
        <f>IF(AND($A243&gt;=SYear_O,$A243&lt;=EYear_O,BR$3&gt;0),IF($A243=SYear_O,BR$168*(1+Data_All!BR82%),BR242*(1+Data_All!BR82%)),"")</f>
        <v/>
      </c>
      <c r="BS243" s="427" t="str">
        <f>IF(AND($A243&gt;=SYear_O,$A243&lt;=EYear_O,BS$3&gt;0),IF($A243=SYear_O,BS$168*(1+Data_All!BS82%),BS242*(1+Data_All!BS82%)),"")</f>
        <v/>
      </c>
      <c r="BT243" s="427" t="str">
        <f>IF(AND($A243&gt;=SYear_O,$A243&lt;=EYear_O,BT$3&gt;0),IF($A243=SYear_O,BT$168*(1+Data_All!BT82%),BT242*(1+Data_All!BT82%)),"")</f>
        <v/>
      </c>
      <c r="BU243" s="427" t="str">
        <f>IF(AND($A243&gt;=SYear_O,$A243&lt;=EYear_O,BU$3&gt;0),IF($A243=SYear_O,BU$168*(1+Data_All!BU82%),BU242*(1+Data_All!BU82%)),"")</f>
        <v/>
      </c>
      <c r="BV243" s="427" t="str">
        <f>IF(AND($A243&gt;=SYear_O,$A243&lt;=EYear_O,BV$3&gt;0),IF($A243=SYear_O,BV$168*(1+Data_All!BV82%),BV242*(1+Data_All!BV82%)),"")</f>
        <v/>
      </c>
      <c r="BW243" s="427" t="str">
        <f>IF(AND($A243&gt;=SYear_O,$A243&lt;=EYear_O,BW$3&gt;0),IF($A243=SYear_O,BW$168*(1+Data_All!BW82%),BW242*(1+Data_All!BW82%)),"")</f>
        <v/>
      </c>
      <c r="BX243" s="427">
        <f>IF(AND($A243&gt;=SYear_O,$A243&lt;=EYear_O,BX$3&gt;0),IF($A243=SYear_O,BX$168*(1+Data_All!BX82%),BX242*(1+Data_All!BX82%)),"")</f>
        <v>1132028.9723326904</v>
      </c>
      <c r="BY243" s="427">
        <f>IF(AND($A243&gt;=SYear_O,$A243&lt;=EYear_O,BY$3&gt;0),IF($A243=SYear_O,BY$168*(1+Data_All!BY82%),BY242*(1+Data_All!BY82%)),"")</f>
        <v>69724.751621877498</v>
      </c>
      <c r="BZ243" s="427" t="str">
        <f>IF(AND($A243&gt;=SYear_O,$A243&lt;=EYear_O,BZ$3&gt;0),IF($A243=SYear_O,BZ$168*(1+Data_All!BZ82%),BZ242*(1+Data_All!BZ82%)),"")</f>
        <v/>
      </c>
      <c r="CA243" s="565">
        <f t="shared" si="123"/>
        <v>35.763888654553021</v>
      </c>
      <c r="CB243" s="427">
        <f t="shared" si="124"/>
        <v>1201753.7239545679</v>
      </c>
      <c r="CC243" s="565">
        <f>IF(AND($A243&gt;=SYear_O,$A243&lt;=EYear_O),(CA243-Data_All!CA82)/(1+Data_All!CA82%),"")</f>
        <v>32.780066925881549</v>
      </c>
      <c r="CD243" s="436">
        <f t="shared" si="125"/>
        <v>823007.23749158846</v>
      </c>
      <c r="CE243" s="438">
        <f t="shared" si="126"/>
        <v>108.99814794769284</v>
      </c>
      <c r="CF243" s="438">
        <f>IF(AND($A243&gt;=SYear_O,$A243&lt;=EYear_O),MAX($CE$169:CE243),"")</f>
        <v>108.99814794769284</v>
      </c>
      <c r="CG243" s="209">
        <f t="shared" si="127"/>
        <v>0</v>
      </c>
      <c r="CN243" s="61">
        <f t="shared" si="128"/>
        <v>0.35763888654553022</v>
      </c>
      <c r="CO243" s="61">
        <f t="shared" si="129"/>
        <v>7.5793749727136595E-2</v>
      </c>
      <c r="CP243" s="61">
        <f t="shared" si="130"/>
        <v>9.655396807613803E-2</v>
      </c>
      <c r="CQ243" s="61">
        <f t="shared" si="131"/>
        <v>0.15583444805478464</v>
      </c>
      <c r="CR243" s="61">
        <f t="shared" si="132"/>
        <v>0.15066785822453954</v>
      </c>
      <c r="CU243" s="61">
        <f t="shared" si="133"/>
        <v>0.32780066925881557</v>
      </c>
      <c r="CV243" s="61">
        <f t="shared" si="134"/>
        <v>-2.211848767079827E-2</v>
      </c>
      <c r="CW243" s="61">
        <f t="shared" si="135"/>
        <v>3.7290591659310923E-2</v>
      </c>
      <c r="CX243" s="61">
        <f t="shared" si="136"/>
        <v>0.1099067892597767</v>
      </c>
      <c r="CY243" s="61">
        <f t="shared" si="137"/>
        <v>0.11306401108030117</v>
      </c>
    </row>
    <row r="244" spans="1:103">
      <c r="A244" s="204">
        <f t="shared" si="107"/>
        <v>1946</v>
      </c>
      <c r="B244" s="427" t="str">
        <f>IF(AND($A244&gt;=SYear_O,$A244&lt;=EYear_O,B$3&gt;0),IF($A244=SYear_O,B$168*(1+Data_All!B83%),B243*(1+Data_All!B83%)),"")</f>
        <v/>
      </c>
      <c r="C244" s="427" t="str">
        <f>IF(AND($A244&gt;=SYear_O,$A244&lt;=EYear_O,C$3&gt;0),IF($A244=SYear_O,C$168*(1+Data_All!C83%),C243*(1+Data_All!C83%)),"")</f>
        <v/>
      </c>
      <c r="D244" s="427" t="str">
        <f>IF(AND($A244&gt;=SYear_O,$A244&lt;=EYear_O,D$3&gt;0),IF($A244=SYear_O,D$168*(1+Data_All!D83%),D243*(1+Data_All!D83%)),"")</f>
        <v/>
      </c>
      <c r="E244" s="427" t="str">
        <f>IF(AND($A244&gt;=SYear_O,$A244&lt;=EYear_O,E$3&gt;0),IF($A244=SYear_O,E$168*(1+Data_All!E83%),E243*(1+Data_All!E83%)),"")</f>
        <v/>
      </c>
      <c r="F244" s="427" t="str">
        <f>IF(AND($A244&gt;=SYear_O,$A244&lt;=EYear_O,F$3&gt;0),IF($A244=SYear_O,F$168*(1+Data_All!F83%),F243*(1+Data_All!F83%)),"")</f>
        <v/>
      </c>
      <c r="G244" s="427" t="str">
        <f>IF(AND($A244&gt;=SYear_O,$A244&lt;=EYear_O,G$3&gt;0),IF($A244=SYear_O,G$168*(1+Data_All!G83%),G243*(1+Data_All!G83%)),"")</f>
        <v/>
      </c>
      <c r="H244" s="427" t="str">
        <f>IF(AND($A244&gt;=SYear_O,$A244&lt;=EYear_O,H$3&gt;0),IF($A244=SYear_O,H$168*(1+Data_All!H83%),H243*(1+Data_All!H83%)),"")</f>
        <v/>
      </c>
      <c r="I244" s="427" t="str">
        <f>IF(AND($A244&gt;=SYear_O,$A244&lt;=EYear_O,I$3&gt;0),IF($A244=SYear_O,I$168*(1+Data_All!I83%),I243*(1+Data_All!I83%)),"")</f>
        <v/>
      </c>
      <c r="J244" s="427" t="str">
        <f>IF(AND($A244&gt;=SYear_O,$A244&lt;=EYear_O,J$3&gt;0),IF($A244=SYear_O,J$168*(1+Data_All!J83%),J243*(1+Data_All!J83%)),"")</f>
        <v/>
      </c>
      <c r="K244" s="427" t="str">
        <f>IF(AND($A244&gt;=SYear_O,$A244&lt;=EYear_O,K$3&gt;0),IF($A244=SYear_O,K$168*(1+Data_All!K83%),K243*(1+Data_All!K83%)),"")</f>
        <v/>
      </c>
      <c r="L244" s="427" t="str">
        <f>IF(AND($A244&gt;=SYear_O,$A244&lt;=EYear_O,L$3&gt;0),IF($A244=SYear_O,L$168*(1+Data_All!L83%),L243*(1+Data_All!L83%)),"")</f>
        <v/>
      </c>
      <c r="M244" s="427" t="str">
        <f>IF(AND($A244&gt;=SYear_O,$A244&lt;=EYear_O,M$3&gt;0),IF($A244=SYear_O,M$168*(1+Data_All!M83%),M243*(1+Data_All!M83%)),"")</f>
        <v/>
      </c>
      <c r="N244" s="427" t="str">
        <f>IF(AND($A244&gt;=SYear_O,$A244&lt;=EYear_O,N$3&gt;0),IF($A244=SYear_O,N$168*(1+Data_All!N83%),N243*(1+Data_All!N83%)),"")</f>
        <v/>
      </c>
      <c r="O244" s="427" t="str">
        <f>IF(AND($A244&gt;=SYear_O,$A244&lt;=EYear_O,O$3&gt;0),IF($A244=SYear_O,O$168*(1+Data_All!O83%),O243*(1+Data_All!O83%)),"")</f>
        <v/>
      </c>
      <c r="P244" s="427" t="str">
        <f>IF(AND($A244&gt;=SYear_O,$A244&lt;=EYear_O,P$3&gt;0),IF($A244=SYear_O,P$168*(1+Data_All!P83%),P243*(1+Data_All!P83%)),"")</f>
        <v/>
      </c>
      <c r="Q244" s="427" t="str">
        <f>IF(AND($A244&gt;=SYear_O,$A244&lt;=EYear_O,Q$3&gt;0),IF($A244=SYear_O,Q$168*(1+Data_All!Q83%),Q243*(1+Data_All!Q83%)),"")</f>
        <v/>
      </c>
      <c r="R244" s="427" t="str">
        <f>IF(AND($A244&gt;=SYear_O,$A244&lt;=EYear_O,R$3&gt;0),IF($A244=SYear_O,R$168*(1+Data_All!R83%),R243*(1+Data_All!R83%)),"")</f>
        <v/>
      </c>
      <c r="S244" s="427" t="str">
        <f>IF(AND($A244&gt;=SYear_O,$A244&lt;=EYear_O,S$3&gt;0),IF($A244=SYear_O,S$168*(1+Data_All!S83%),S243*(1+Data_All!S83%)),"")</f>
        <v/>
      </c>
      <c r="T244" s="427" t="str">
        <f>IF(AND($A244&gt;=SYear_O,$A244&lt;=EYear_O,T$3&gt;0),IF($A244=SYear_O,T$168*(1+Data_All!T83%),T243*(1+Data_All!T83%)),"")</f>
        <v/>
      </c>
      <c r="U244" s="427" t="str">
        <f>IF(AND($A244&gt;=SYear_O,$A244&lt;=EYear_O,U$3&gt;0),IF($A244=SYear_O,U$168*(1+Data_All!U83%),U243*(1+Data_All!U83%)),"")</f>
        <v/>
      </c>
      <c r="V244" s="427" t="str">
        <f>IF(AND($A244&gt;=SYear_O,$A244&lt;=EYear_O,V$3&gt;0),IF($A244=SYear_O,V$168*(1+Data_All!V83%),V243*(1+Data_All!V83%)),"")</f>
        <v/>
      </c>
      <c r="W244" s="427" t="str">
        <f>IF(AND($A244&gt;=SYear_O,$A244&lt;=EYear_O,W$3&gt;0),IF($A244=SYear_O,W$168*(1+Data_All!W83%),W243*(1+Data_All!W83%)),"")</f>
        <v/>
      </c>
      <c r="X244" s="427" t="str">
        <f>IF(AND($A244&gt;=SYear_O,$A244&lt;=EYear_O,X$3&gt;0),IF($A244=SYear_O,X$168*(1+Data_All!X83%),X243*(1+Data_All!X83%)),"")</f>
        <v/>
      </c>
      <c r="Y244" s="427" t="str">
        <f>IF(AND($A244&gt;=SYear_O,$A244&lt;=EYear_O,Y$3&gt;0),IF($A244=SYear_O,Y$168*(1+Data_All!Y83%),Y243*(1+Data_All!Y83%)),"")</f>
        <v/>
      </c>
      <c r="Z244" s="427" t="str">
        <f>IF(AND($A244&gt;=SYear_O,$A244&lt;=EYear_O,Z$3&gt;0),IF($A244=SYear_O,Z$168*(1+Data_All!Z83%),Z243*(1+Data_All!Z83%)),"")</f>
        <v/>
      </c>
      <c r="AA244" s="427" t="str">
        <f>IF(AND($A244&gt;=SYear_O,$A244&lt;=EYear_O,AA$3&gt;0),IF($A244=SYear_O,AA$168*(1+Data_All!AA83%),AA243*(1+Data_All!AA83%)),"")</f>
        <v/>
      </c>
      <c r="AB244" s="427" t="str">
        <f>IF(AND($A244&gt;=SYear_O,$A244&lt;=EYear_O,AB$3&gt;0),IF($A244=SYear_O,AB$168*(1+Data_All!AB83%),AB243*(1+Data_All!AB83%)),"")</f>
        <v/>
      </c>
      <c r="AC244" s="427" t="str">
        <f>IF(AND($A244&gt;=SYear_O,$A244&lt;=EYear_O,AC$3&gt;0),IF($A244=SYear_O,AC$168*(1+Data_All!AC83%),AC243*(1+Data_All!AC83%)),"")</f>
        <v/>
      </c>
      <c r="AD244" s="427" t="str">
        <f>IF(AND($A244&gt;=SYear_O,$A244&lt;=EYear_O,AD$3&gt;0),IF($A244=SYear_O,AD$168*(1+Data_All!AD83%),AD243*(1+Data_All!AD83%)),"")</f>
        <v/>
      </c>
      <c r="AE244" s="427" t="str">
        <f>IF(AND($A244&gt;=SYear_O,$A244&lt;=EYear_O,AE$3&gt;0),IF($A244=SYear_O,AE$168*(1+Data_All!AE83%),AE243*(1+Data_All!AE83%)),"")</f>
        <v/>
      </c>
      <c r="AF244" s="427" t="str">
        <f>IF(AND($A244&gt;=SYear_O,$A244&lt;=EYear_O,AF$3&gt;0),IF($A244=SYear_O,AF$168*(1+Data_All!AF83%),AF243*(1+Data_All!AF83%)),"")</f>
        <v/>
      </c>
      <c r="AG244" s="427" t="str">
        <f>IF(AND($A244&gt;=SYear_O,$A244&lt;=EYear_O,AG$3&gt;0),IF($A244=SYear_O,AG$168*(1+Data_All!AG83%),AG243*(1+Data_All!AG83%)),"")</f>
        <v/>
      </c>
      <c r="AH244" s="427" t="str">
        <f>IF(AND($A244&gt;=SYear_O,$A244&lt;=EYear_O,AH$3&gt;0),IF($A244=SYear_O,AH$168*(1+Data_All!AH83%),AH243*(1+Data_All!AH83%)),"")</f>
        <v/>
      </c>
      <c r="AI244" s="427" t="str">
        <f>IF(AND($A244&gt;=SYear_O,$A244&lt;=EYear_O,AI$3&gt;0),IF($A244=SYear_O,AI$168*(1+Data_All!AI83%),AI243*(1+Data_All!AI83%)),"")</f>
        <v/>
      </c>
      <c r="AJ244" s="427" t="str">
        <f>IF(AND($A244&gt;=SYear_O,$A244&lt;=EYear_O,AJ$3&gt;0),IF($A244=SYear_O,AJ$168*(1+Data_All!AJ83%),AJ243*(1+Data_All!AJ83%)),"")</f>
        <v/>
      </c>
      <c r="AK244" s="427" t="str">
        <f>IF(AND($A244&gt;=SYear_O,$A244&lt;=EYear_O,AK$3&gt;0),IF($A244=SYear_O,AK$168*(1+Data_All!AK83%),AK243*(1+Data_All!AK83%)),"")</f>
        <v/>
      </c>
      <c r="AL244" s="427" t="str">
        <f>IF(AND($A244&gt;=SYear_O,$A244&lt;=EYear_O,AL$3&gt;0),IF($A244=SYear_O,AL$168*(1+Data_All!AL83%),AL243*(1+Data_All!AL83%)),"")</f>
        <v/>
      </c>
      <c r="AM244" s="427" t="str">
        <f>IF(AND($A244&gt;=SYear_O,$A244&lt;=EYear_O,AM$3&gt;0),IF($A244=SYear_O,AM$168*(1+Data_All!AM83%),AM243*(1+Data_All!AM83%)),"")</f>
        <v/>
      </c>
      <c r="AN244" s="427" t="str">
        <f>IF(AND($A244&gt;=SYear_O,$A244&lt;=EYear_O,AN$3&gt;0),IF($A244=SYear_O,AN$168*(1+Data_All!AN83%),AN243*(1+Data_All!AN83%)),"")</f>
        <v/>
      </c>
      <c r="AO244" s="427" t="str">
        <f>IF(AND($A244&gt;=SYear_O,$A244&lt;=EYear_O,AO$3&gt;0),IF($A244=SYear_O,AO$168*(1+Data_All!AO83%),AO243*(1+Data_All!AO83%)),"")</f>
        <v/>
      </c>
      <c r="AP244" s="427" t="str">
        <f>IF(AND($A244&gt;=SYear_O,$A244&lt;=EYear_O,AP$3&gt;0),IF($A244=SYear_O,AP$168*(1+Data_All!AP83%),AP243*(1+Data_All!AP83%)),"")</f>
        <v/>
      </c>
      <c r="AQ244" s="427" t="str">
        <f>IF(AND($A244&gt;=SYear_O,$A244&lt;=EYear_O,AQ$3&gt;0),IF($A244=SYear_O,AQ$168*(1+Data_All!AQ83%),AQ243*(1+Data_All!AQ83%)),"")</f>
        <v/>
      </c>
      <c r="AR244" s="427" t="str">
        <f>IF(AND($A244&gt;=SYear_O,$A244&lt;=EYear_O,AR$3&gt;0),IF($A244=SYear_O,AR$168*(1+Data_All!AR83%),AR243*(1+Data_All!AR83%)),"")</f>
        <v/>
      </c>
      <c r="AS244" s="427" t="str">
        <f>IF(AND($A244&gt;=SYear_O,$A244&lt;=EYear_O,AS$3&gt;0),IF($A244=SYear_O,AS$168*(1+Data_All!AS83%),AS243*(1+Data_All!AS83%)),"")</f>
        <v/>
      </c>
      <c r="AT244" s="427" t="str">
        <f>IF(AND($A244&gt;=SYear_O,$A244&lt;=EYear_O,AT$3&gt;0),IF($A244=SYear_O,AT$168*(1+Data_All!AT83%),AT243*(1+Data_All!AT83%)),"")</f>
        <v/>
      </c>
      <c r="AU244" s="427" t="str">
        <f>IF(AND($A244&gt;=SYear_O,$A244&lt;=EYear_O,AU$3&gt;0),IF($A244=SYear_O,AU$168*(1+Data_All!AU83%),AU243*(1+Data_All!AU83%)),"")</f>
        <v/>
      </c>
      <c r="AV244" s="427" t="str">
        <f>IF(AND($A244&gt;=SYear_O,$A244&lt;=EYear_O,AV$3&gt;0),IF($A244=SYear_O,AV$168*(1+Data_All!AV83%),AV243*(1+Data_All!AV83%)),"")</f>
        <v/>
      </c>
      <c r="AW244" s="427" t="str">
        <f>IF(AND($A244&gt;=SYear_O,$A244&lt;=EYear_O,AW$3&gt;0),IF($A244=SYear_O,AW$168*(1+Data_All!AW83%),AW243*(1+Data_All!AW83%)),"")</f>
        <v/>
      </c>
      <c r="AX244" s="427" t="str">
        <f>IF(AND($A244&gt;=SYear_O,$A244&lt;=EYear_O,AX$3&gt;0),IF($A244=SYear_O,AX$168*(1+Data_All!AX83%),AX243*(1+Data_All!AX83%)),"")</f>
        <v/>
      </c>
      <c r="AY244" s="427" t="str">
        <f>IF(AND($A244&gt;=SYear_O,$A244&lt;=EYear_O,AY$3&gt;0),IF($A244=SYear_O,AY$168*(1+Data_All!AY83%),AY243*(1+Data_All!AY83%)),"")</f>
        <v/>
      </c>
      <c r="AZ244" s="427" t="str">
        <f>IF(AND($A244&gt;=SYear_O,$A244&lt;=EYear_O,AZ$3&gt;0),IF($A244=SYear_O,AZ$168*(1+Data_All!AZ83%),AZ243*(1+Data_All!AZ83%)),"")</f>
        <v/>
      </c>
      <c r="BA244" s="427" t="str">
        <f>IF(AND($A244&gt;=SYear_O,$A244&lt;=EYear_O,BA$3&gt;0),IF($A244=SYear_O,BA$168*(1+Data_All!BA83%),BA243*(1+Data_All!BA83%)),"")</f>
        <v/>
      </c>
      <c r="BB244" s="427" t="str">
        <f>IF(AND($A244&gt;=SYear_O,$A244&lt;=EYear_O,BB$3&gt;0),IF($A244=SYear_O,BB$168*(1+Data_All!BB83%),BB243*(1+Data_All!BB83%)),"")</f>
        <v/>
      </c>
      <c r="BC244" s="427" t="str">
        <f>IF(AND($A244&gt;=SYear_O,$A244&lt;=EYear_O,BC$3&gt;0),IF($A244=SYear_O,BC$168*(1+Data_All!BC83%),BC243*(1+Data_All!BC83%)),"")</f>
        <v/>
      </c>
      <c r="BD244" s="427" t="str">
        <f>IF(AND($A244&gt;=SYear_O,$A244&lt;=EYear_O,BD$3&gt;0),IF($A244=SYear_O,BD$168*(1+Data_All!BD83%),BD243*(1+Data_All!BD83%)),"")</f>
        <v/>
      </c>
      <c r="BE244" s="427" t="str">
        <f>IF(AND($A244&gt;=SYear_O,$A244&lt;=EYear_O,BE$3&gt;0),IF($A244=SYear_O,BE$168*(1+Data_All!BE83%),BE243*(1+Data_All!BE83%)),"")</f>
        <v/>
      </c>
      <c r="BF244" s="427" t="str">
        <f>IF(AND($A244&gt;=SYear_O,$A244&lt;=EYear_O,BF$3&gt;0),IF($A244=SYear_O,BF$168*(1+Data_All!BF83%),BF243*(1+Data_All!BF83%)),"")</f>
        <v/>
      </c>
      <c r="BG244" s="427" t="str">
        <f>IF(AND($A244&gt;=SYear_O,$A244&lt;=EYear_O,BG$3&gt;0),IF($A244=SYear_O,BG$168*(1+Data_All!BG83%),BG243*(1+Data_All!BG83%)),"")</f>
        <v/>
      </c>
      <c r="BH244" s="427" t="str">
        <f>IF(AND($A244&gt;=SYear_O,$A244&lt;=EYear_O,BH$3&gt;0),IF($A244=SYear_O,BH$168*(1+Data_All!BH83%),BH243*(1+Data_All!BH83%)),"")</f>
        <v/>
      </c>
      <c r="BI244" s="427" t="str">
        <f>IF(AND($A244&gt;=SYear_O,$A244&lt;=EYear_O,BI$3&gt;0),IF($A244=SYear_O,BI$168*(1+Data_All!BI83%),BI243*(1+Data_All!BI83%)),"")</f>
        <v/>
      </c>
      <c r="BJ244" s="427" t="str">
        <f>IF(AND($A244&gt;=SYear_O,$A244&lt;=EYear_O,BJ$3&gt;0),IF($A244=SYear_O,BJ$168*(1+Data_All!BJ83%),BJ243*(1+Data_All!BJ83%)),"")</f>
        <v/>
      </c>
      <c r="BK244" s="427" t="str">
        <f>IF(AND($A244&gt;=SYear_O,$A244&lt;=EYear_O,BK$3&gt;0),IF($A244=SYear_O,BK$168*(1+Data_All!BK83%),BK243*(1+Data_All!BK83%)),"")</f>
        <v/>
      </c>
      <c r="BL244" s="427" t="str">
        <f>IF(AND($A244&gt;=SYear_O,$A244&lt;=EYear_O,BL$3&gt;0),IF($A244=SYear_O,BL$168*(1+Data_All!BL83%),BL243*(1+Data_All!BL83%)),"")</f>
        <v/>
      </c>
      <c r="BM244" s="427" t="str">
        <f>IF(AND($A244&gt;=SYear_O,$A244&lt;=EYear_O,BM$3&gt;0),IF($A244=SYear_O,BM$168*(1+Data_All!BM83%),BM243*(1+Data_All!BM83%)),"")</f>
        <v/>
      </c>
      <c r="BN244" s="427" t="str">
        <f>IF(AND($A244&gt;=SYear_O,$A244&lt;=EYear_O,BN$3&gt;0),IF($A244=SYear_O,BN$168*(1+Data_All!BN83%),BN243*(1+Data_All!BN83%)),"")</f>
        <v/>
      </c>
      <c r="BO244" s="427" t="str">
        <f>IF(AND($A244&gt;=SYear_O,$A244&lt;=EYear_O,BO$3&gt;0),IF($A244=SYear_O,BO$168*(1+Data_All!BO83%),BO243*(1+Data_All!BO83%)),"")</f>
        <v/>
      </c>
      <c r="BP244" s="427" t="str">
        <f>IF(AND($A244&gt;=SYear_O,$A244&lt;=EYear_O,BP$3&gt;0),IF($A244=SYear_O,BP$168*(1+Data_All!BP83%),BP243*(1+Data_All!BP83%)),"")</f>
        <v/>
      </c>
      <c r="BQ244" s="427" t="str">
        <f>IF(AND($A244&gt;=SYear_O,$A244&lt;=EYear_O,BQ$3&gt;0),IF($A244=SYear_O,BQ$168*(1+Data_All!BQ83%),BQ243*(1+Data_All!BQ83%)),"")</f>
        <v/>
      </c>
      <c r="BR244" s="427" t="str">
        <f>IF(AND($A244&gt;=SYear_O,$A244&lt;=EYear_O,BR$3&gt;0),IF($A244=SYear_O,BR$168*(1+Data_All!BR83%),BR243*(1+Data_All!BR83%)),"")</f>
        <v/>
      </c>
      <c r="BS244" s="427" t="str">
        <f>IF(AND($A244&gt;=SYear_O,$A244&lt;=EYear_O,BS$3&gt;0),IF($A244=SYear_O,BS$168*(1+Data_All!BS83%),BS243*(1+Data_All!BS83%)),"")</f>
        <v/>
      </c>
      <c r="BT244" s="427" t="str">
        <f>IF(AND($A244&gt;=SYear_O,$A244&lt;=EYear_O,BT$3&gt;0),IF($A244=SYear_O,BT$168*(1+Data_All!BT83%),BT243*(1+Data_All!BT83%)),"")</f>
        <v/>
      </c>
      <c r="BU244" s="427" t="str">
        <f>IF(AND($A244&gt;=SYear_O,$A244&lt;=EYear_O,BU$3&gt;0),IF($A244=SYear_O,BU$168*(1+Data_All!BU83%),BU243*(1+Data_All!BU83%)),"")</f>
        <v/>
      </c>
      <c r="BV244" s="427" t="str">
        <f>IF(AND($A244&gt;=SYear_O,$A244&lt;=EYear_O,BV$3&gt;0),IF($A244=SYear_O,BV$168*(1+Data_All!BV83%),BV243*(1+Data_All!BV83%)),"")</f>
        <v/>
      </c>
      <c r="BW244" s="427" t="str">
        <f>IF(AND($A244&gt;=SYear_O,$A244&lt;=EYear_O,BW$3&gt;0),IF($A244=SYear_O,BW$168*(1+Data_All!BW83%),BW243*(1+Data_All!BW83%)),"")</f>
        <v/>
      </c>
      <c r="BX244" s="427">
        <f>IF(AND($A244&gt;=SYear_O,$A244&lt;=EYear_O,BX$3&gt;0),IF($A244=SYear_O,BX$168*(1+Data_All!BX83%),BX243*(1+Data_All!BX83%)),"")</f>
        <v>1000105.5071884813</v>
      </c>
      <c r="BY244" s="427">
        <f>IF(AND($A244&gt;=SYear_O,$A244&lt;=EYear_O,BY$3&gt;0),IF($A244=SYear_O,BY$168*(1+Data_All!BY83%),BY243*(1+Data_All!BY83%)),"")</f>
        <v>70900.42045231571</v>
      </c>
      <c r="BZ244" s="427" t="str">
        <f>IF(AND($A244&gt;=SYear_O,$A244&lt;=EYear_O,BZ$3&gt;0),IF($A244=SYear_O,BZ$168*(1+Data_All!BZ83%),BZ243*(1+Data_All!BZ83%)),"")</f>
        <v/>
      </c>
      <c r="CA244" s="565">
        <f t="shared" si="123"/>
        <v>-10.879749628195345</v>
      </c>
      <c r="CB244" s="427">
        <f t="shared" si="124"/>
        <v>1071005.9276407971</v>
      </c>
      <c r="CC244" s="565">
        <f>IF(AND($A244&gt;=SYear_O,$A244&lt;=EYear_O),(CA244-Data_All!CA83)/(1+Data_All!CA83%),"")</f>
        <v>-24.558671778286293</v>
      </c>
      <c r="CD244" s="436">
        <f t="shared" si="125"/>
        <v>620887.59132448805</v>
      </c>
      <c r="CE244" s="438">
        <f t="shared" si="126"/>
        <v>97.139422351613916</v>
      </c>
      <c r="CF244" s="438">
        <f>IF(AND($A244&gt;=SYear_O,$A244&lt;=EYear_O),MAX($CE$169:CE244),"")</f>
        <v>108.99814794769284</v>
      </c>
      <c r="CG244" s="209">
        <f t="shared" si="127"/>
        <v>0.10879749628195345</v>
      </c>
      <c r="CN244" s="61">
        <f t="shared" si="128"/>
        <v>-0.10879749628195345</v>
      </c>
      <c r="CO244" s="61">
        <f t="shared" si="129"/>
        <v>9.8349333523772842E-4</v>
      </c>
      <c r="CP244" s="61">
        <f t="shared" si="130"/>
        <v>9.1263309888720112E-2</v>
      </c>
      <c r="CQ244" s="61">
        <f t="shared" si="131"/>
        <v>0.14904005346607563</v>
      </c>
      <c r="CR244" s="61">
        <f t="shared" si="132"/>
        <v>0.13206828754721389</v>
      </c>
      <c r="CU244" s="61">
        <f t="shared" si="133"/>
        <v>-0.24558671778286301</v>
      </c>
      <c r="CV244" s="61">
        <f t="shared" si="134"/>
        <v>-8.7190191879293222E-2</v>
      </c>
      <c r="CW244" s="61">
        <f t="shared" si="135"/>
        <v>2.088562361989732E-2</v>
      </c>
      <c r="CX244" s="61">
        <f t="shared" si="136"/>
        <v>0.1054238414271178</v>
      </c>
      <c r="CY244" s="61">
        <f t="shared" si="137"/>
        <v>9.5459433620632472E-2</v>
      </c>
    </row>
    <row r="245" spans="1:103">
      <c r="A245" s="204">
        <f t="shared" si="107"/>
        <v>1947</v>
      </c>
      <c r="B245" s="427" t="str">
        <f>IF(AND($A245&gt;=SYear_O,$A245&lt;=EYear_O,B$3&gt;0),IF($A245=SYear_O,B$168*(1+Data_All!B84%),B244*(1+Data_All!B84%)),"")</f>
        <v/>
      </c>
      <c r="C245" s="427" t="str">
        <f>IF(AND($A245&gt;=SYear_O,$A245&lt;=EYear_O,C$3&gt;0),IF($A245=SYear_O,C$168*(1+Data_All!C84%),C244*(1+Data_All!C84%)),"")</f>
        <v/>
      </c>
      <c r="D245" s="427" t="str">
        <f>IF(AND($A245&gt;=SYear_O,$A245&lt;=EYear_O,D$3&gt;0),IF($A245=SYear_O,D$168*(1+Data_All!D84%),D244*(1+Data_All!D84%)),"")</f>
        <v/>
      </c>
      <c r="E245" s="427" t="str">
        <f>IF(AND($A245&gt;=SYear_O,$A245&lt;=EYear_O,E$3&gt;0),IF($A245=SYear_O,E$168*(1+Data_All!E84%),E244*(1+Data_All!E84%)),"")</f>
        <v/>
      </c>
      <c r="F245" s="427" t="str">
        <f>IF(AND($A245&gt;=SYear_O,$A245&lt;=EYear_O,F$3&gt;0),IF($A245=SYear_O,F$168*(1+Data_All!F84%),F244*(1+Data_All!F84%)),"")</f>
        <v/>
      </c>
      <c r="G245" s="427" t="str">
        <f>IF(AND($A245&gt;=SYear_O,$A245&lt;=EYear_O,G$3&gt;0),IF($A245=SYear_O,G$168*(1+Data_All!G84%),G244*(1+Data_All!G84%)),"")</f>
        <v/>
      </c>
      <c r="H245" s="427" t="str">
        <f>IF(AND($A245&gt;=SYear_O,$A245&lt;=EYear_O,H$3&gt;0),IF($A245=SYear_O,H$168*(1+Data_All!H84%),H244*(1+Data_All!H84%)),"")</f>
        <v/>
      </c>
      <c r="I245" s="427" t="str">
        <f>IF(AND($A245&gt;=SYear_O,$A245&lt;=EYear_O,I$3&gt;0),IF($A245=SYear_O,I$168*(1+Data_All!I84%),I244*(1+Data_All!I84%)),"")</f>
        <v/>
      </c>
      <c r="J245" s="427" t="str">
        <f>IF(AND($A245&gt;=SYear_O,$A245&lt;=EYear_O,J$3&gt;0),IF($A245=SYear_O,J$168*(1+Data_All!J84%),J244*(1+Data_All!J84%)),"")</f>
        <v/>
      </c>
      <c r="K245" s="427" t="str">
        <f>IF(AND($A245&gt;=SYear_O,$A245&lt;=EYear_O,K$3&gt;0),IF($A245=SYear_O,K$168*(1+Data_All!K84%),K244*(1+Data_All!K84%)),"")</f>
        <v/>
      </c>
      <c r="L245" s="427" t="str">
        <f>IF(AND($A245&gt;=SYear_O,$A245&lt;=EYear_O,L$3&gt;0),IF($A245=SYear_O,L$168*(1+Data_All!L84%),L244*(1+Data_All!L84%)),"")</f>
        <v/>
      </c>
      <c r="M245" s="427" t="str">
        <f>IF(AND($A245&gt;=SYear_O,$A245&lt;=EYear_O,M$3&gt;0),IF($A245=SYear_O,M$168*(1+Data_All!M84%),M244*(1+Data_All!M84%)),"")</f>
        <v/>
      </c>
      <c r="N245" s="427" t="str">
        <f>IF(AND($A245&gt;=SYear_O,$A245&lt;=EYear_O,N$3&gt;0),IF($A245=SYear_O,N$168*(1+Data_All!N84%),N244*(1+Data_All!N84%)),"")</f>
        <v/>
      </c>
      <c r="O245" s="427" t="str">
        <f>IF(AND($A245&gt;=SYear_O,$A245&lt;=EYear_O,O$3&gt;0),IF($A245=SYear_O,O$168*(1+Data_All!O84%),O244*(1+Data_All!O84%)),"")</f>
        <v/>
      </c>
      <c r="P245" s="427" t="str">
        <f>IF(AND($A245&gt;=SYear_O,$A245&lt;=EYear_O,P$3&gt;0),IF($A245=SYear_O,P$168*(1+Data_All!P84%),P244*(1+Data_All!P84%)),"")</f>
        <v/>
      </c>
      <c r="Q245" s="427" t="str">
        <f>IF(AND($A245&gt;=SYear_O,$A245&lt;=EYear_O,Q$3&gt;0),IF($A245=SYear_O,Q$168*(1+Data_All!Q84%),Q244*(1+Data_All!Q84%)),"")</f>
        <v/>
      </c>
      <c r="R245" s="427" t="str">
        <f>IF(AND($A245&gt;=SYear_O,$A245&lt;=EYear_O,R$3&gt;0),IF($A245=SYear_O,R$168*(1+Data_All!R84%),R244*(1+Data_All!R84%)),"")</f>
        <v/>
      </c>
      <c r="S245" s="427" t="str">
        <f>IF(AND($A245&gt;=SYear_O,$A245&lt;=EYear_O,S$3&gt;0),IF($A245=SYear_O,S$168*(1+Data_All!S84%),S244*(1+Data_All!S84%)),"")</f>
        <v/>
      </c>
      <c r="T245" s="427" t="str">
        <f>IF(AND($A245&gt;=SYear_O,$A245&lt;=EYear_O,T$3&gt;0),IF($A245=SYear_O,T$168*(1+Data_All!T84%),T244*(1+Data_All!T84%)),"")</f>
        <v/>
      </c>
      <c r="U245" s="427" t="str">
        <f>IF(AND($A245&gt;=SYear_O,$A245&lt;=EYear_O,U$3&gt;0),IF($A245=SYear_O,U$168*(1+Data_All!U84%),U244*(1+Data_All!U84%)),"")</f>
        <v/>
      </c>
      <c r="V245" s="427" t="str">
        <f>IF(AND($A245&gt;=SYear_O,$A245&lt;=EYear_O,V$3&gt;0),IF($A245=SYear_O,V$168*(1+Data_All!V84%),V244*(1+Data_All!V84%)),"")</f>
        <v/>
      </c>
      <c r="W245" s="427" t="str">
        <f>IF(AND($A245&gt;=SYear_O,$A245&lt;=EYear_O,W$3&gt;0),IF($A245=SYear_O,W$168*(1+Data_All!W84%),W244*(1+Data_All!W84%)),"")</f>
        <v/>
      </c>
      <c r="X245" s="427" t="str">
        <f>IF(AND($A245&gt;=SYear_O,$A245&lt;=EYear_O,X$3&gt;0),IF($A245=SYear_O,X$168*(1+Data_All!X84%),X244*(1+Data_All!X84%)),"")</f>
        <v/>
      </c>
      <c r="Y245" s="427" t="str">
        <f>IF(AND($A245&gt;=SYear_O,$A245&lt;=EYear_O,Y$3&gt;0),IF($A245=SYear_O,Y$168*(1+Data_All!Y84%),Y244*(1+Data_All!Y84%)),"")</f>
        <v/>
      </c>
      <c r="Z245" s="427" t="str">
        <f>IF(AND($A245&gt;=SYear_O,$A245&lt;=EYear_O,Z$3&gt;0),IF($A245=SYear_O,Z$168*(1+Data_All!Z84%),Z244*(1+Data_All!Z84%)),"")</f>
        <v/>
      </c>
      <c r="AA245" s="427" t="str">
        <f>IF(AND($A245&gt;=SYear_O,$A245&lt;=EYear_O,AA$3&gt;0),IF($A245=SYear_O,AA$168*(1+Data_All!AA84%),AA244*(1+Data_All!AA84%)),"")</f>
        <v/>
      </c>
      <c r="AB245" s="427" t="str">
        <f>IF(AND($A245&gt;=SYear_O,$A245&lt;=EYear_O,AB$3&gt;0),IF($A245=SYear_O,AB$168*(1+Data_All!AB84%),AB244*(1+Data_All!AB84%)),"")</f>
        <v/>
      </c>
      <c r="AC245" s="427" t="str">
        <f>IF(AND($A245&gt;=SYear_O,$A245&lt;=EYear_O,AC$3&gt;0),IF($A245=SYear_O,AC$168*(1+Data_All!AC84%),AC244*(1+Data_All!AC84%)),"")</f>
        <v/>
      </c>
      <c r="AD245" s="427" t="str">
        <f>IF(AND($A245&gt;=SYear_O,$A245&lt;=EYear_O,AD$3&gt;0),IF($A245=SYear_O,AD$168*(1+Data_All!AD84%),AD244*(1+Data_All!AD84%)),"")</f>
        <v/>
      </c>
      <c r="AE245" s="427" t="str">
        <f>IF(AND($A245&gt;=SYear_O,$A245&lt;=EYear_O,AE$3&gt;0),IF($A245=SYear_O,AE$168*(1+Data_All!AE84%),AE244*(1+Data_All!AE84%)),"")</f>
        <v/>
      </c>
      <c r="AF245" s="427" t="str">
        <f>IF(AND($A245&gt;=SYear_O,$A245&lt;=EYear_O,AF$3&gt;0),IF($A245=SYear_O,AF$168*(1+Data_All!AF84%),AF244*(1+Data_All!AF84%)),"")</f>
        <v/>
      </c>
      <c r="AG245" s="427" t="str">
        <f>IF(AND($A245&gt;=SYear_O,$A245&lt;=EYear_O,AG$3&gt;0),IF($A245=SYear_O,AG$168*(1+Data_All!AG84%),AG244*(1+Data_All!AG84%)),"")</f>
        <v/>
      </c>
      <c r="AH245" s="427" t="str">
        <f>IF(AND($A245&gt;=SYear_O,$A245&lt;=EYear_O,AH$3&gt;0),IF($A245=SYear_O,AH$168*(1+Data_All!AH84%),AH244*(1+Data_All!AH84%)),"")</f>
        <v/>
      </c>
      <c r="AI245" s="427" t="str">
        <f>IF(AND($A245&gt;=SYear_O,$A245&lt;=EYear_O,AI$3&gt;0),IF($A245=SYear_O,AI$168*(1+Data_All!AI84%),AI244*(1+Data_All!AI84%)),"")</f>
        <v/>
      </c>
      <c r="AJ245" s="427" t="str">
        <f>IF(AND($A245&gt;=SYear_O,$A245&lt;=EYear_O,AJ$3&gt;0),IF($A245=SYear_O,AJ$168*(1+Data_All!AJ84%),AJ244*(1+Data_All!AJ84%)),"")</f>
        <v/>
      </c>
      <c r="AK245" s="427" t="str">
        <f>IF(AND($A245&gt;=SYear_O,$A245&lt;=EYear_O,AK$3&gt;0),IF($A245=SYear_O,AK$168*(1+Data_All!AK84%),AK244*(1+Data_All!AK84%)),"")</f>
        <v/>
      </c>
      <c r="AL245" s="427" t="str">
        <f>IF(AND($A245&gt;=SYear_O,$A245&lt;=EYear_O,AL$3&gt;0),IF($A245=SYear_O,AL$168*(1+Data_All!AL84%),AL244*(1+Data_All!AL84%)),"")</f>
        <v/>
      </c>
      <c r="AM245" s="427" t="str">
        <f>IF(AND($A245&gt;=SYear_O,$A245&lt;=EYear_O,AM$3&gt;0),IF($A245=SYear_O,AM$168*(1+Data_All!AM84%),AM244*(1+Data_All!AM84%)),"")</f>
        <v/>
      </c>
      <c r="AN245" s="427" t="str">
        <f>IF(AND($A245&gt;=SYear_O,$A245&lt;=EYear_O,AN$3&gt;0),IF($A245=SYear_O,AN$168*(1+Data_All!AN84%),AN244*(1+Data_All!AN84%)),"")</f>
        <v/>
      </c>
      <c r="AO245" s="427" t="str">
        <f>IF(AND($A245&gt;=SYear_O,$A245&lt;=EYear_O,AO$3&gt;0),IF($A245=SYear_O,AO$168*(1+Data_All!AO84%),AO244*(1+Data_All!AO84%)),"")</f>
        <v/>
      </c>
      <c r="AP245" s="427" t="str">
        <f>IF(AND($A245&gt;=SYear_O,$A245&lt;=EYear_O,AP$3&gt;0),IF($A245=SYear_O,AP$168*(1+Data_All!AP84%),AP244*(1+Data_All!AP84%)),"")</f>
        <v/>
      </c>
      <c r="AQ245" s="427" t="str">
        <f>IF(AND($A245&gt;=SYear_O,$A245&lt;=EYear_O,AQ$3&gt;0),IF($A245=SYear_O,AQ$168*(1+Data_All!AQ84%),AQ244*(1+Data_All!AQ84%)),"")</f>
        <v/>
      </c>
      <c r="AR245" s="427" t="str">
        <f>IF(AND($A245&gt;=SYear_O,$A245&lt;=EYear_O,AR$3&gt;0),IF($A245=SYear_O,AR$168*(1+Data_All!AR84%),AR244*(1+Data_All!AR84%)),"")</f>
        <v/>
      </c>
      <c r="AS245" s="427" t="str">
        <f>IF(AND($A245&gt;=SYear_O,$A245&lt;=EYear_O,AS$3&gt;0),IF($A245=SYear_O,AS$168*(1+Data_All!AS84%),AS244*(1+Data_All!AS84%)),"")</f>
        <v/>
      </c>
      <c r="AT245" s="427" t="str">
        <f>IF(AND($A245&gt;=SYear_O,$A245&lt;=EYear_O,AT$3&gt;0),IF($A245=SYear_O,AT$168*(1+Data_All!AT84%),AT244*(1+Data_All!AT84%)),"")</f>
        <v/>
      </c>
      <c r="AU245" s="427" t="str">
        <f>IF(AND($A245&gt;=SYear_O,$A245&lt;=EYear_O,AU$3&gt;0),IF($A245=SYear_O,AU$168*(1+Data_All!AU84%),AU244*(1+Data_All!AU84%)),"")</f>
        <v/>
      </c>
      <c r="AV245" s="427" t="str">
        <f>IF(AND($A245&gt;=SYear_O,$A245&lt;=EYear_O,AV$3&gt;0),IF($A245=SYear_O,AV$168*(1+Data_All!AV84%),AV244*(1+Data_All!AV84%)),"")</f>
        <v/>
      </c>
      <c r="AW245" s="427" t="str">
        <f>IF(AND($A245&gt;=SYear_O,$A245&lt;=EYear_O,AW$3&gt;0),IF($A245=SYear_O,AW$168*(1+Data_All!AW84%),AW244*(1+Data_All!AW84%)),"")</f>
        <v/>
      </c>
      <c r="AX245" s="427" t="str">
        <f>IF(AND($A245&gt;=SYear_O,$A245&lt;=EYear_O,AX$3&gt;0),IF($A245=SYear_O,AX$168*(1+Data_All!AX84%),AX244*(1+Data_All!AX84%)),"")</f>
        <v/>
      </c>
      <c r="AY245" s="427" t="str">
        <f>IF(AND($A245&gt;=SYear_O,$A245&lt;=EYear_O,AY$3&gt;0),IF($A245=SYear_O,AY$168*(1+Data_All!AY84%),AY244*(1+Data_All!AY84%)),"")</f>
        <v/>
      </c>
      <c r="AZ245" s="427" t="str">
        <f>IF(AND($A245&gt;=SYear_O,$A245&lt;=EYear_O,AZ$3&gt;0),IF($A245=SYear_O,AZ$168*(1+Data_All!AZ84%),AZ244*(1+Data_All!AZ84%)),"")</f>
        <v/>
      </c>
      <c r="BA245" s="427" t="str">
        <f>IF(AND($A245&gt;=SYear_O,$A245&lt;=EYear_O,BA$3&gt;0),IF($A245=SYear_O,BA$168*(1+Data_All!BA84%),BA244*(1+Data_All!BA84%)),"")</f>
        <v/>
      </c>
      <c r="BB245" s="427" t="str">
        <f>IF(AND($A245&gt;=SYear_O,$A245&lt;=EYear_O,BB$3&gt;0),IF($A245=SYear_O,BB$168*(1+Data_All!BB84%),BB244*(1+Data_All!BB84%)),"")</f>
        <v/>
      </c>
      <c r="BC245" s="427" t="str">
        <f>IF(AND($A245&gt;=SYear_O,$A245&lt;=EYear_O,BC$3&gt;0),IF($A245=SYear_O,BC$168*(1+Data_All!BC84%),BC244*(1+Data_All!BC84%)),"")</f>
        <v/>
      </c>
      <c r="BD245" s="427" t="str">
        <f>IF(AND($A245&gt;=SYear_O,$A245&lt;=EYear_O,BD$3&gt;0),IF($A245=SYear_O,BD$168*(1+Data_All!BD84%),BD244*(1+Data_All!BD84%)),"")</f>
        <v/>
      </c>
      <c r="BE245" s="427" t="str">
        <f>IF(AND($A245&gt;=SYear_O,$A245&lt;=EYear_O,BE$3&gt;0),IF($A245=SYear_O,BE$168*(1+Data_All!BE84%),BE244*(1+Data_All!BE84%)),"")</f>
        <v/>
      </c>
      <c r="BF245" s="427" t="str">
        <f>IF(AND($A245&gt;=SYear_O,$A245&lt;=EYear_O,BF$3&gt;0),IF($A245=SYear_O,BF$168*(1+Data_All!BF84%),BF244*(1+Data_All!BF84%)),"")</f>
        <v/>
      </c>
      <c r="BG245" s="427" t="str">
        <f>IF(AND($A245&gt;=SYear_O,$A245&lt;=EYear_O,BG$3&gt;0),IF($A245=SYear_O,BG$168*(1+Data_All!BG84%),BG244*(1+Data_All!BG84%)),"")</f>
        <v/>
      </c>
      <c r="BH245" s="427" t="str">
        <f>IF(AND($A245&gt;=SYear_O,$A245&lt;=EYear_O,BH$3&gt;0),IF($A245=SYear_O,BH$168*(1+Data_All!BH84%),BH244*(1+Data_All!BH84%)),"")</f>
        <v/>
      </c>
      <c r="BI245" s="427" t="str">
        <f>IF(AND($A245&gt;=SYear_O,$A245&lt;=EYear_O,BI$3&gt;0),IF($A245=SYear_O,BI$168*(1+Data_All!BI84%),BI244*(1+Data_All!BI84%)),"")</f>
        <v/>
      </c>
      <c r="BJ245" s="427" t="str">
        <f>IF(AND($A245&gt;=SYear_O,$A245&lt;=EYear_O,BJ$3&gt;0),IF($A245=SYear_O,BJ$168*(1+Data_All!BJ84%),BJ244*(1+Data_All!BJ84%)),"")</f>
        <v/>
      </c>
      <c r="BK245" s="427" t="str">
        <f>IF(AND($A245&gt;=SYear_O,$A245&lt;=EYear_O,BK$3&gt;0),IF($A245=SYear_O,BK$168*(1+Data_All!BK84%),BK244*(1+Data_All!BK84%)),"")</f>
        <v/>
      </c>
      <c r="BL245" s="427" t="str">
        <f>IF(AND($A245&gt;=SYear_O,$A245&lt;=EYear_O,BL$3&gt;0),IF($A245=SYear_O,BL$168*(1+Data_All!BL84%),BL244*(1+Data_All!BL84%)),"")</f>
        <v/>
      </c>
      <c r="BM245" s="427" t="str">
        <f>IF(AND($A245&gt;=SYear_O,$A245&lt;=EYear_O,BM$3&gt;0),IF($A245=SYear_O,BM$168*(1+Data_All!BM84%),BM244*(1+Data_All!BM84%)),"")</f>
        <v/>
      </c>
      <c r="BN245" s="427" t="str">
        <f>IF(AND($A245&gt;=SYear_O,$A245&lt;=EYear_O,BN$3&gt;0),IF($A245=SYear_O,BN$168*(1+Data_All!BN84%),BN244*(1+Data_All!BN84%)),"")</f>
        <v/>
      </c>
      <c r="BO245" s="427" t="str">
        <f>IF(AND($A245&gt;=SYear_O,$A245&lt;=EYear_O,BO$3&gt;0),IF($A245=SYear_O,BO$168*(1+Data_All!BO84%),BO244*(1+Data_All!BO84%)),"")</f>
        <v/>
      </c>
      <c r="BP245" s="427" t="str">
        <f>IF(AND($A245&gt;=SYear_O,$A245&lt;=EYear_O,BP$3&gt;0),IF($A245=SYear_O,BP$168*(1+Data_All!BP84%),BP244*(1+Data_All!BP84%)),"")</f>
        <v/>
      </c>
      <c r="BQ245" s="427" t="str">
        <f>IF(AND($A245&gt;=SYear_O,$A245&lt;=EYear_O,BQ$3&gt;0),IF($A245=SYear_O,BQ$168*(1+Data_All!BQ84%),BQ244*(1+Data_All!BQ84%)),"")</f>
        <v/>
      </c>
      <c r="BR245" s="427" t="str">
        <f>IF(AND($A245&gt;=SYear_O,$A245&lt;=EYear_O,BR$3&gt;0),IF($A245=SYear_O,BR$168*(1+Data_All!BR84%),BR244*(1+Data_All!BR84%)),"")</f>
        <v/>
      </c>
      <c r="BS245" s="427" t="str">
        <f>IF(AND($A245&gt;=SYear_O,$A245&lt;=EYear_O,BS$3&gt;0),IF($A245=SYear_O,BS$168*(1+Data_All!BS84%),BS244*(1+Data_All!BS84%)),"")</f>
        <v/>
      </c>
      <c r="BT245" s="427" t="str">
        <f>IF(AND($A245&gt;=SYear_O,$A245&lt;=EYear_O,BT$3&gt;0),IF($A245=SYear_O,BT$168*(1+Data_All!BT84%),BT244*(1+Data_All!BT84%)),"")</f>
        <v/>
      </c>
      <c r="BU245" s="427" t="str">
        <f>IF(AND($A245&gt;=SYear_O,$A245&lt;=EYear_O,BU$3&gt;0),IF($A245=SYear_O,BU$168*(1+Data_All!BU84%),BU244*(1+Data_All!BU84%)),"")</f>
        <v/>
      </c>
      <c r="BV245" s="427" t="str">
        <f>IF(AND($A245&gt;=SYear_O,$A245&lt;=EYear_O,BV$3&gt;0),IF($A245=SYear_O,BV$168*(1+Data_All!BV84%),BV244*(1+Data_All!BV84%)),"")</f>
        <v/>
      </c>
      <c r="BW245" s="427" t="str">
        <f>IF(AND($A245&gt;=SYear_O,$A245&lt;=EYear_O,BW$3&gt;0),IF($A245=SYear_O,BW$168*(1+Data_All!BW84%),BW244*(1+Data_All!BW84%)),"")</f>
        <v/>
      </c>
      <c r="BX245" s="427">
        <f>IF(AND($A245&gt;=SYear_O,$A245&lt;=EYear_O,BX$3&gt;0),IF($A245=SYear_O,BX$168*(1+Data_All!BX84%),BX244*(1+Data_All!BX84%)),"")</f>
        <v>1030351.9590824129</v>
      </c>
      <c r="BY245" s="427">
        <f>IF(AND($A245&gt;=SYear_O,$A245&lt;=EYear_O,BY$3&gt;0),IF($A245=SYear_O,BY$168*(1+Data_All!BY84%),BY244*(1+Data_All!BY84%)),"")</f>
        <v>71741.07632243204</v>
      </c>
      <c r="BZ245" s="427" t="str">
        <f>IF(AND($A245&gt;=SYear_O,$A245&lt;=EYear_O,BZ$3&gt;0),IF($A245=SYear_O,BZ$168*(1+Data_All!BZ84%),BZ244*(1+Data_All!BZ84%)),"")</f>
        <v/>
      </c>
      <c r="CA245" s="565">
        <f t="shared" si="123"/>
        <v>2.9026083760830552</v>
      </c>
      <c r="CB245" s="427">
        <f t="shared" si="124"/>
        <v>1102093.0354048449</v>
      </c>
      <c r="CC245" s="565">
        <f>IF(AND($A245&gt;=SYear_O,$A245&lt;=EYear_O),(CA245-Data_All!CA84)/(1+Data_All!CA84%),"")</f>
        <v>-6.6495324858318208</v>
      </c>
      <c r="CD245" s="436">
        <f t="shared" si="125"/>
        <v>579601.46923886752</v>
      </c>
      <c r="CE245" s="438">
        <f t="shared" si="126"/>
        <v>99.958999361270557</v>
      </c>
      <c r="CF245" s="438">
        <f>IF(AND($A245&gt;=SYear_O,$A245&lt;=EYear_O),MAX($CE$169:CE245),"")</f>
        <v>108.99814794769284</v>
      </c>
      <c r="CG245" s="209">
        <f t="shared" si="127"/>
        <v>8.2929377761171597E-2</v>
      </c>
      <c r="CN245" s="61">
        <f t="shared" si="128"/>
        <v>2.902608376083049E-2</v>
      </c>
      <c r="CO245" s="61">
        <f t="shared" si="129"/>
        <v>9.4283361209651639E-2</v>
      </c>
      <c r="CP245" s="61">
        <f t="shared" si="130"/>
        <v>0.15802550901464607</v>
      </c>
      <c r="CQ245" s="61">
        <f t="shared" si="131"/>
        <v>0.16993786651810194</v>
      </c>
      <c r="CR245" s="61">
        <f t="shared" si="132"/>
        <v>0.15399248463713899</v>
      </c>
      <c r="CU245" s="61">
        <f t="shared" si="133"/>
        <v>-6.6495324858318217E-2</v>
      </c>
      <c r="CV245" s="61">
        <f t="shared" si="134"/>
        <v>6.231503542781458E-2</v>
      </c>
      <c r="CW245" s="61">
        <f t="shared" si="135"/>
        <v>0.11059737678939263</v>
      </c>
      <c r="CX245" s="61">
        <f t="shared" si="136"/>
        <v>0.14107905945751464</v>
      </c>
      <c r="CY245" s="61">
        <f t="shared" si="137"/>
        <v>0.12864525697406082</v>
      </c>
    </row>
    <row r="246" spans="1:103">
      <c r="A246" s="204">
        <f t="shared" si="107"/>
        <v>1948</v>
      </c>
      <c r="B246" s="427" t="str">
        <f>IF(AND($A246&gt;=SYear_O,$A246&lt;=EYear_O,B$3&gt;0),IF($A246=SYear_O,B$168*(1+Data_All!B85%),B245*(1+Data_All!B85%)),"")</f>
        <v/>
      </c>
      <c r="C246" s="427" t="str">
        <f>IF(AND($A246&gt;=SYear_O,$A246&lt;=EYear_O,C$3&gt;0),IF($A246=SYear_O,C$168*(1+Data_All!C85%),C245*(1+Data_All!C85%)),"")</f>
        <v/>
      </c>
      <c r="D246" s="427" t="str">
        <f>IF(AND($A246&gt;=SYear_O,$A246&lt;=EYear_O,D$3&gt;0),IF($A246=SYear_O,D$168*(1+Data_All!D85%),D245*(1+Data_All!D85%)),"")</f>
        <v/>
      </c>
      <c r="E246" s="427" t="str">
        <f>IF(AND($A246&gt;=SYear_O,$A246&lt;=EYear_O,E$3&gt;0),IF($A246=SYear_O,E$168*(1+Data_All!E85%),E245*(1+Data_All!E85%)),"")</f>
        <v/>
      </c>
      <c r="F246" s="427" t="str">
        <f>IF(AND($A246&gt;=SYear_O,$A246&lt;=EYear_O,F$3&gt;0),IF($A246=SYear_O,F$168*(1+Data_All!F85%),F245*(1+Data_All!F85%)),"")</f>
        <v/>
      </c>
      <c r="G246" s="427" t="str">
        <f>IF(AND($A246&gt;=SYear_O,$A246&lt;=EYear_O,G$3&gt;0),IF($A246=SYear_O,G$168*(1+Data_All!G85%),G245*(1+Data_All!G85%)),"")</f>
        <v/>
      </c>
      <c r="H246" s="427" t="str">
        <f>IF(AND($A246&gt;=SYear_O,$A246&lt;=EYear_O,H$3&gt;0),IF($A246=SYear_O,H$168*(1+Data_All!H85%),H245*(1+Data_All!H85%)),"")</f>
        <v/>
      </c>
      <c r="I246" s="427" t="str">
        <f>IF(AND($A246&gt;=SYear_O,$A246&lt;=EYear_O,I$3&gt;0),IF($A246=SYear_O,I$168*(1+Data_All!I85%),I245*(1+Data_All!I85%)),"")</f>
        <v/>
      </c>
      <c r="J246" s="427" t="str">
        <f>IF(AND($A246&gt;=SYear_O,$A246&lt;=EYear_O,J$3&gt;0),IF($A246=SYear_O,J$168*(1+Data_All!J85%),J245*(1+Data_All!J85%)),"")</f>
        <v/>
      </c>
      <c r="K246" s="427" t="str">
        <f>IF(AND($A246&gt;=SYear_O,$A246&lt;=EYear_O,K$3&gt;0),IF($A246=SYear_O,K$168*(1+Data_All!K85%),K245*(1+Data_All!K85%)),"")</f>
        <v/>
      </c>
      <c r="L246" s="427" t="str">
        <f>IF(AND($A246&gt;=SYear_O,$A246&lt;=EYear_O,L$3&gt;0),IF($A246=SYear_O,L$168*(1+Data_All!L85%),L245*(1+Data_All!L85%)),"")</f>
        <v/>
      </c>
      <c r="M246" s="427" t="str">
        <f>IF(AND($A246&gt;=SYear_O,$A246&lt;=EYear_O,M$3&gt;0),IF($A246=SYear_O,M$168*(1+Data_All!M85%),M245*(1+Data_All!M85%)),"")</f>
        <v/>
      </c>
      <c r="N246" s="427" t="str">
        <f>IF(AND($A246&gt;=SYear_O,$A246&lt;=EYear_O,N$3&gt;0),IF($A246=SYear_O,N$168*(1+Data_All!N85%),N245*(1+Data_All!N85%)),"")</f>
        <v/>
      </c>
      <c r="O246" s="427" t="str">
        <f>IF(AND($A246&gt;=SYear_O,$A246&lt;=EYear_O,O$3&gt;0),IF($A246=SYear_O,O$168*(1+Data_All!O85%),O245*(1+Data_All!O85%)),"")</f>
        <v/>
      </c>
      <c r="P246" s="427" t="str">
        <f>IF(AND($A246&gt;=SYear_O,$A246&lt;=EYear_O,P$3&gt;0),IF($A246=SYear_O,P$168*(1+Data_All!P85%),P245*(1+Data_All!P85%)),"")</f>
        <v/>
      </c>
      <c r="Q246" s="427" t="str">
        <f>IF(AND($A246&gt;=SYear_O,$A246&lt;=EYear_O,Q$3&gt;0),IF($A246=SYear_O,Q$168*(1+Data_All!Q85%),Q245*(1+Data_All!Q85%)),"")</f>
        <v/>
      </c>
      <c r="R246" s="427" t="str">
        <f>IF(AND($A246&gt;=SYear_O,$A246&lt;=EYear_O,R$3&gt;0),IF($A246=SYear_O,R$168*(1+Data_All!R85%),R245*(1+Data_All!R85%)),"")</f>
        <v/>
      </c>
      <c r="S246" s="427" t="str">
        <f>IF(AND($A246&gt;=SYear_O,$A246&lt;=EYear_O,S$3&gt;0),IF($A246=SYear_O,S$168*(1+Data_All!S85%),S245*(1+Data_All!S85%)),"")</f>
        <v/>
      </c>
      <c r="T246" s="427" t="str">
        <f>IF(AND($A246&gt;=SYear_O,$A246&lt;=EYear_O,T$3&gt;0),IF($A246=SYear_O,T$168*(1+Data_All!T85%),T245*(1+Data_All!T85%)),"")</f>
        <v/>
      </c>
      <c r="U246" s="427" t="str">
        <f>IF(AND($A246&gt;=SYear_O,$A246&lt;=EYear_O,U$3&gt;0),IF($A246=SYear_O,U$168*(1+Data_All!U85%),U245*(1+Data_All!U85%)),"")</f>
        <v/>
      </c>
      <c r="V246" s="427" t="str">
        <f>IF(AND($A246&gt;=SYear_O,$A246&lt;=EYear_O,V$3&gt;0),IF($A246=SYear_O,V$168*(1+Data_All!V85%),V245*(1+Data_All!V85%)),"")</f>
        <v/>
      </c>
      <c r="W246" s="427" t="str">
        <f>IF(AND($A246&gt;=SYear_O,$A246&lt;=EYear_O,W$3&gt;0),IF($A246=SYear_O,W$168*(1+Data_All!W85%),W245*(1+Data_All!W85%)),"")</f>
        <v/>
      </c>
      <c r="X246" s="427" t="str">
        <f>IF(AND($A246&gt;=SYear_O,$A246&lt;=EYear_O,X$3&gt;0),IF($A246=SYear_O,X$168*(1+Data_All!X85%),X245*(1+Data_All!X85%)),"")</f>
        <v/>
      </c>
      <c r="Y246" s="427" t="str">
        <f>IF(AND($A246&gt;=SYear_O,$A246&lt;=EYear_O,Y$3&gt;0),IF($A246=SYear_O,Y$168*(1+Data_All!Y85%),Y245*(1+Data_All!Y85%)),"")</f>
        <v/>
      </c>
      <c r="Z246" s="427" t="str">
        <f>IF(AND($A246&gt;=SYear_O,$A246&lt;=EYear_O,Z$3&gt;0),IF($A246=SYear_O,Z$168*(1+Data_All!Z85%),Z245*(1+Data_All!Z85%)),"")</f>
        <v/>
      </c>
      <c r="AA246" s="427" t="str">
        <f>IF(AND($A246&gt;=SYear_O,$A246&lt;=EYear_O,AA$3&gt;0),IF($A246=SYear_O,AA$168*(1+Data_All!AA85%),AA245*(1+Data_All!AA85%)),"")</f>
        <v/>
      </c>
      <c r="AB246" s="427" t="str">
        <f>IF(AND($A246&gt;=SYear_O,$A246&lt;=EYear_O,AB$3&gt;0),IF($A246=SYear_O,AB$168*(1+Data_All!AB85%),AB245*(1+Data_All!AB85%)),"")</f>
        <v/>
      </c>
      <c r="AC246" s="427" t="str">
        <f>IF(AND($A246&gt;=SYear_O,$A246&lt;=EYear_O,AC$3&gt;0),IF($A246=SYear_O,AC$168*(1+Data_All!AC85%),AC245*(1+Data_All!AC85%)),"")</f>
        <v/>
      </c>
      <c r="AD246" s="427" t="str">
        <f>IF(AND($A246&gt;=SYear_O,$A246&lt;=EYear_O,AD$3&gt;0),IF($A246=SYear_O,AD$168*(1+Data_All!AD85%),AD245*(1+Data_All!AD85%)),"")</f>
        <v/>
      </c>
      <c r="AE246" s="427" t="str">
        <f>IF(AND($A246&gt;=SYear_O,$A246&lt;=EYear_O,AE$3&gt;0),IF($A246=SYear_O,AE$168*(1+Data_All!AE85%),AE245*(1+Data_All!AE85%)),"")</f>
        <v/>
      </c>
      <c r="AF246" s="427" t="str">
        <f>IF(AND($A246&gt;=SYear_O,$A246&lt;=EYear_O,AF$3&gt;0),IF($A246=SYear_O,AF$168*(1+Data_All!AF85%),AF245*(1+Data_All!AF85%)),"")</f>
        <v/>
      </c>
      <c r="AG246" s="427" t="str">
        <f>IF(AND($A246&gt;=SYear_O,$A246&lt;=EYear_O,AG$3&gt;0),IF($A246=SYear_O,AG$168*(1+Data_All!AG85%),AG245*(1+Data_All!AG85%)),"")</f>
        <v/>
      </c>
      <c r="AH246" s="427" t="str">
        <f>IF(AND($A246&gt;=SYear_O,$A246&lt;=EYear_O,AH$3&gt;0),IF($A246=SYear_O,AH$168*(1+Data_All!AH85%),AH245*(1+Data_All!AH85%)),"")</f>
        <v/>
      </c>
      <c r="AI246" s="427" t="str">
        <f>IF(AND($A246&gt;=SYear_O,$A246&lt;=EYear_O,AI$3&gt;0),IF($A246=SYear_O,AI$168*(1+Data_All!AI85%),AI245*(1+Data_All!AI85%)),"")</f>
        <v/>
      </c>
      <c r="AJ246" s="427" t="str">
        <f>IF(AND($A246&gt;=SYear_O,$A246&lt;=EYear_O,AJ$3&gt;0),IF($A246=SYear_O,AJ$168*(1+Data_All!AJ85%),AJ245*(1+Data_All!AJ85%)),"")</f>
        <v/>
      </c>
      <c r="AK246" s="427" t="str">
        <f>IF(AND($A246&gt;=SYear_O,$A246&lt;=EYear_O,AK$3&gt;0),IF($A246=SYear_O,AK$168*(1+Data_All!AK85%),AK245*(1+Data_All!AK85%)),"")</f>
        <v/>
      </c>
      <c r="AL246" s="427" t="str">
        <f>IF(AND($A246&gt;=SYear_O,$A246&lt;=EYear_O,AL$3&gt;0),IF($A246=SYear_O,AL$168*(1+Data_All!AL85%),AL245*(1+Data_All!AL85%)),"")</f>
        <v/>
      </c>
      <c r="AM246" s="427" t="str">
        <f>IF(AND($A246&gt;=SYear_O,$A246&lt;=EYear_O,AM$3&gt;0),IF($A246=SYear_O,AM$168*(1+Data_All!AM85%),AM245*(1+Data_All!AM85%)),"")</f>
        <v/>
      </c>
      <c r="AN246" s="427" t="str">
        <f>IF(AND($A246&gt;=SYear_O,$A246&lt;=EYear_O,AN$3&gt;0),IF($A246=SYear_O,AN$168*(1+Data_All!AN85%),AN245*(1+Data_All!AN85%)),"")</f>
        <v/>
      </c>
      <c r="AO246" s="427" t="str">
        <f>IF(AND($A246&gt;=SYear_O,$A246&lt;=EYear_O,AO$3&gt;0),IF($A246=SYear_O,AO$168*(1+Data_All!AO85%),AO245*(1+Data_All!AO85%)),"")</f>
        <v/>
      </c>
      <c r="AP246" s="427" t="str">
        <f>IF(AND($A246&gt;=SYear_O,$A246&lt;=EYear_O,AP$3&gt;0),IF($A246=SYear_O,AP$168*(1+Data_All!AP85%),AP245*(1+Data_All!AP85%)),"")</f>
        <v/>
      </c>
      <c r="AQ246" s="427" t="str">
        <f>IF(AND($A246&gt;=SYear_O,$A246&lt;=EYear_O,AQ$3&gt;0),IF($A246=SYear_O,AQ$168*(1+Data_All!AQ85%),AQ245*(1+Data_All!AQ85%)),"")</f>
        <v/>
      </c>
      <c r="AR246" s="427" t="str">
        <f>IF(AND($A246&gt;=SYear_O,$A246&lt;=EYear_O,AR$3&gt;0),IF($A246=SYear_O,AR$168*(1+Data_All!AR85%),AR245*(1+Data_All!AR85%)),"")</f>
        <v/>
      </c>
      <c r="AS246" s="427" t="str">
        <f>IF(AND($A246&gt;=SYear_O,$A246&lt;=EYear_O,AS$3&gt;0),IF($A246=SYear_O,AS$168*(1+Data_All!AS85%),AS245*(1+Data_All!AS85%)),"")</f>
        <v/>
      </c>
      <c r="AT246" s="427" t="str">
        <f>IF(AND($A246&gt;=SYear_O,$A246&lt;=EYear_O,AT$3&gt;0),IF($A246=SYear_O,AT$168*(1+Data_All!AT85%),AT245*(1+Data_All!AT85%)),"")</f>
        <v/>
      </c>
      <c r="AU246" s="427" t="str">
        <f>IF(AND($A246&gt;=SYear_O,$A246&lt;=EYear_O,AU$3&gt;0),IF($A246=SYear_O,AU$168*(1+Data_All!AU85%),AU245*(1+Data_All!AU85%)),"")</f>
        <v/>
      </c>
      <c r="AV246" s="427" t="str">
        <f>IF(AND($A246&gt;=SYear_O,$A246&lt;=EYear_O,AV$3&gt;0),IF($A246=SYear_O,AV$168*(1+Data_All!AV85%),AV245*(1+Data_All!AV85%)),"")</f>
        <v/>
      </c>
      <c r="AW246" s="427" t="str">
        <f>IF(AND($A246&gt;=SYear_O,$A246&lt;=EYear_O,AW$3&gt;0),IF($A246=SYear_O,AW$168*(1+Data_All!AW85%),AW245*(1+Data_All!AW85%)),"")</f>
        <v/>
      </c>
      <c r="AX246" s="427" t="str">
        <f>IF(AND($A246&gt;=SYear_O,$A246&lt;=EYear_O,AX$3&gt;0),IF($A246=SYear_O,AX$168*(1+Data_All!AX85%),AX245*(1+Data_All!AX85%)),"")</f>
        <v/>
      </c>
      <c r="AY246" s="427" t="str">
        <f>IF(AND($A246&gt;=SYear_O,$A246&lt;=EYear_O,AY$3&gt;0),IF($A246=SYear_O,AY$168*(1+Data_All!AY85%),AY245*(1+Data_All!AY85%)),"")</f>
        <v/>
      </c>
      <c r="AZ246" s="427" t="str">
        <f>IF(AND($A246&gt;=SYear_O,$A246&lt;=EYear_O,AZ$3&gt;0),IF($A246=SYear_O,AZ$168*(1+Data_All!AZ85%),AZ245*(1+Data_All!AZ85%)),"")</f>
        <v/>
      </c>
      <c r="BA246" s="427" t="str">
        <f>IF(AND($A246&gt;=SYear_O,$A246&lt;=EYear_O,BA$3&gt;0),IF($A246=SYear_O,BA$168*(1+Data_All!BA85%),BA245*(1+Data_All!BA85%)),"")</f>
        <v/>
      </c>
      <c r="BB246" s="427" t="str">
        <f>IF(AND($A246&gt;=SYear_O,$A246&lt;=EYear_O,BB$3&gt;0),IF($A246=SYear_O,BB$168*(1+Data_All!BB85%),BB245*(1+Data_All!BB85%)),"")</f>
        <v/>
      </c>
      <c r="BC246" s="427" t="str">
        <f>IF(AND($A246&gt;=SYear_O,$A246&lt;=EYear_O,BC$3&gt;0),IF($A246=SYear_O,BC$168*(1+Data_All!BC85%),BC245*(1+Data_All!BC85%)),"")</f>
        <v/>
      </c>
      <c r="BD246" s="427" t="str">
        <f>IF(AND($A246&gt;=SYear_O,$A246&lt;=EYear_O,BD$3&gt;0),IF($A246=SYear_O,BD$168*(1+Data_All!BD85%),BD245*(1+Data_All!BD85%)),"")</f>
        <v/>
      </c>
      <c r="BE246" s="427" t="str">
        <f>IF(AND($A246&gt;=SYear_O,$A246&lt;=EYear_O,BE$3&gt;0),IF($A246=SYear_O,BE$168*(1+Data_All!BE85%),BE245*(1+Data_All!BE85%)),"")</f>
        <v/>
      </c>
      <c r="BF246" s="427" t="str">
        <f>IF(AND($A246&gt;=SYear_O,$A246&lt;=EYear_O,BF$3&gt;0),IF($A246=SYear_O,BF$168*(1+Data_All!BF85%),BF245*(1+Data_All!BF85%)),"")</f>
        <v/>
      </c>
      <c r="BG246" s="427" t="str">
        <f>IF(AND($A246&gt;=SYear_O,$A246&lt;=EYear_O,BG$3&gt;0),IF($A246=SYear_O,BG$168*(1+Data_All!BG85%),BG245*(1+Data_All!BG85%)),"")</f>
        <v/>
      </c>
      <c r="BH246" s="427" t="str">
        <f>IF(AND($A246&gt;=SYear_O,$A246&lt;=EYear_O,BH$3&gt;0),IF($A246=SYear_O,BH$168*(1+Data_All!BH85%),BH245*(1+Data_All!BH85%)),"")</f>
        <v/>
      </c>
      <c r="BI246" s="427" t="str">
        <f>IF(AND($A246&gt;=SYear_O,$A246&lt;=EYear_O,BI$3&gt;0),IF($A246=SYear_O,BI$168*(1+Data_All!BI85%),BI245*(1+Data_All!BI85%)),"")</f>
        <v/>
      </c>
      <c r="BJ246" s="427" t="str">
        <f>IF(AND($A246&gt;=SYear_O,$A246&lt;=EYear_O,BJ$3&gt;0),IF($A246=SYear_O,BJ$168*(1+Data_All!BJ85%),BJ245*(1+Data_All!BJ85%)),"")</f>
        <v/>
      </c>
      <c r="BK246" s="427" t="str">
        <f>IF(AND($A246&gt;=SYear_O,$A246&lt;=EYear_O,BK$3&gt;0),IF($A246=SYear_O,BK$168*(1+Data_All!BK85%),BK245*(1+Data_All!BK85%)),"")</f>
        <v/>
      </c>
      <c r="BL246" s="427" t="str">
        <f>IF(AND($A246&gt;=SYear_O,$A246&lt;=EYear_O,BL$3&gt;0),IF($A246=SYear_O,BL$168*(1+Data_All!BL85%),BL245*(1+Data_All!BL85%)),"")</f>
        <v/>
      </c>
      <c r="BM246" s="427" t="str">
        <f>IF(AND($A246&gt;=SYear_O,$A246&lt;=EYear_O,BM$3&gt;0),IF($A246=SYear_O,BM$168*(1+Data_All!BM85%),BM245*(1+Data_All!BM85%)),"")</f>
        <v/>
      </c>
      <c r="BN246" s="427" t="str">
        <f>IF(AND($A246&gt;=SYear_O,$A246&lt;=EYear_O,BN$3&gt;0),IF($A246=SYear_O,BN$168*(1+Data_All!BN85%),BN245*(1+Data_All!BN85%)),"")</f>
        <v/>
      </c>
      <c r="BO246" s="427" t="str">
        <f>IF(AND($A246&gt;=SYear_O,$A246&lt;=EYear_O,BO$3&gt;0),IF($A246=SYear_O,BO$168*(1+Data_All!BO85%),BO245*(1+Data_All!BO85%)),"")</f>
        <v/>
      </c>
      <c r="BP246" s="427" t="str">
        <f>IF(AND($A246&gt;=SYear_O,$A246&lt;=EYear_O,BP$3&gt;0),IF($A246=SYear_O,BP$168*(1+Data_All!BP85%),BP245*(1+Data_All!BP85%)),"")</f>
        <v/>
      </c>
      <c r="BQ246" s="427" t="str">
        <f>IF(AND($A246&gt;=SYear_O,$A246&lt;=EYear_O,BQ$3&gt;0),IF($A246=SYear_O,BQ$168*(1+Data_All!BQ85%),BQ245*(1+Data_All!BQ85%)),"")</f>
        <v/>
      </c>
      <c r="BR246" s="427" t="str">
        <f>IF(AND($A246&gt;=SYear_O,$A246&lt;=EYear_O,BR$3&gt;0),IF($A246=SYear_O,BR$168*(1+Data_All!BR85%),BR245*(1+Data_All!BR85%)),"")</f>
        <v/>
      </c>
      <c r="BS246" s="427" t="str">
        <f>IF(AND($A246&gt;=SYear_O,$A246&lt;=EYear_O,BS$3&gt;0),IF($A246=SYear_O,BS$168*(1+Data_All!BS85%),BS245*(1+Data_All!BS85%)),"")</f>
        <v/>
      </c>
      <c r="BT246" s="427" t="str">
        <f>IF(AND($A246&gt;=SYear_O,$A246&lt;=EYear_O,BT$3&gt;0),IF($A246=SYear_O,BT$168*(1+Data_All!BT85%),BT245*(1+Data_All!BT85%)),"")</f>
        <v/>
      </c>
      <c r="BU246" s="427" t="str">
        <f>IF(AND($A246&gt;=SYear_O,$A246&lt;=EYear_O,BU$3&gt;0),IF($A246=SYear_O,BU$168*(1+Data_All!BU85%),BU245*(1+Data_All!BU85%)),"")</f>
        <v/>
      </c>
      <c r="BV246" s="427" t="str">
        <f>IF(AND($A246&gt;=SYear_O,$A246&lt;=EYear_O,BV$3&gt;0),IF($A246=SYear_O,BV$168*(1+Data_All!BV85%),BV245*(1+Data_All!BV85%)),"")</f>
        <v/>
      </c>
      <c r="BW246" s="427" t="str">
        <f>IF(AND($A246&gt;=SYear_O,$A246&lt;=EYear_O,BW$3&gt;0),IF($A246=SYear_O,BW$168*(1+Data_All!BW85%),BW245*(1+Data_All!BW85%)),"")</f>
        <v/>
      </c>
      <c r="BX246" s="427">
        <f>IF(AND($A246&gt;=SYear_O,$A246&lt;=EYear_O,BX$3&gt;0),IF($A246=SYear_O,BX$168*(1+Data_All!BX85%),BX245*(1+Data_All!BX85%)),"")</f>
        <v>1131789.1715072491</v>
      </c>
      <c r="BY246" s="427">
        <f>IF(AND($A246&gt;=SYear_O,$A246&lt;=EYear_O,BY$3&gt;0),IF($A246=SYear_O,BY$168*(1+Data_All!BY85%),BY245*(1+Data_All!BY85%)),"")</f>
        <v>73513.791146680567</v>
      </c>
      <c r="BZ246" s="427" t="str">
        <f>IF(AND($A246&gt;=SYear_O,$A246&lt;=EYear_O,BZ$3&gt;0),IF($A246=SYear_O,BZ$168*(1+Data_All!BZ85%),BZ245*(1+Data_All!BZ85%)),"")</f>
        <v/>
      </c>
      <c r="CA246" s="565">
        <f t="shared" si="123"/>
        <v>9.3649015040886603</v>
      </c>
      <c r="CB246" s="427">
        <f t="shared" si="124"/>
        <v>1205302.9626539296</v>
      </c>
      <c r="CC246" s="565">
        <f>IF(AND($A246&gt;=SYear_O,$A246&lt;=EYear_O),(CA246-Data_All!CA85)/(1+Data_All!CA85%),"")</f>
        <v>7.9978402352875451</v>
      </c>
      <c r="CD246" s="436">
        <f t="shared" si="125"/>
        <v>625957.06874997145</v>
      </c>
      <c r="CE246" s="438">
        <f t="shared" si="126"/>
        <v>109.32006119592616</v>
      </c>
      <c r="CF246" s="438">
        <f>IF(AND($A246&gt;=SYear_O,$A246&lt;=EYear_O),MAX($CE$169:CE246),"")</f>
        <v>109.32006119592616</v>
      </c>
      <c r="CG246" s="209">
        <f t="shared" si="127"/>
        <v>0</v>
      </c>
      <c r="CN246" s="61">
        <f t="shared" si="128"/>
        <v>9.364901504088663E-2</v>
      </c>
      <c r="CO246" s="61">
        <f t="shared" si="129"/>
        <v>0.19055189086113367</v>
      </c>
      <c r="CP246" s="61">
        <f t="shared" si="130"/>
        <v>0.18123436923722802</v>
      </c>
      <c r="CQ246" s="61">
        <f t="shared" si="131"/>
        <v>0.16018935849137939</v>
      </c>
      <c r="CR246" s="61">
        <f t="shared" si="132"/>
        <v>0.14974800060395843</v>
      </c>
      <c r="CU246" s="61">
        <f t="shared" si="133"/>
        <v>7.9978402352875566E-2</v>
      </c>
      <c r="CV246" s="61">
        <f t="shared" si="134"/>
        <v>0.16337538929823148</v>
      </c>
      <c r="CW246" s="61">
        <f t="shared" si="135"/>
        <v>0.15427533769566115</v>
      </c>
      <c r="CX246" s="61">
        <f t="shared" si="136"/>
        <v>0.13858932837522331</v>
      </c>
      <c r="CY246" s="61">
        <f t="shared" si="137"/>
        <v>0.13082216871946817</v>
      </c>
    </row>
    <row r="247" spans="1:103">
      <c r="A247" s="204">
        <f t="shared" si="107"/>
        <v>1949</v>
      </c>
      <c r="B247" s="427" t="str">
        <f>IF(AND($A247&gt;=SYear_O,$A247&lt;=EYear_O,B$3&gt;0),IF($A247=SYear_O,B$168*(1+Data_All!B86%),B246*(1+Data_All!B86%)),"")</f>
        <v/>
      </c>
      <c r="C247" s="427" t="str">
        <f>IF(AND($A247&gt;=SYear_O,$A247&lt;=EYear_O,C$3&gt;0),IF($A247=SYear_O,C$168*(1+Data_All!C86%),C246*(1+Data_All!C86%)),"")</f>
        <v/>
      </c>
      <c r="D247" s="427" t="str">
        <f>IF(AND($A247&gt;=SYear_O,$A247&lt;=EYear_O,D$3&gt;0),IF($A247=SYear_O,D$168*(1+Data_All!D86%),D246*(1+Data_All!D86%)),"")</f>
        <v/>
      </c>
      <c r="E247" s="427" t="str">
        <f>IF(AND($A247&gt;=SYear_O,$A247&lt;=EYear_O,E$3&gt;0),IF($A247=SYear_O,E$168*(1+Data_All!E86%),E246*(1+Data_All!E86%)),"")</f>
        <v/>
      </c>
      <c r="F247" s="427" t="str">
        <f>IF(AND($A247&gt;=SYear_O,$A247&lt;=EYear_O,F$3&gt;0),IF($A247=SYear_O,F$168*(1+Data_All!F86%),F246*(1+Data_All!F86%)),"")</f>
        <v/>
      </c>
      <c r="G247" s="427" t="str">
        <f>IF(AND($A247&gt;=SYear_O,$A247&lt;=EYear_O,G$3&gt;0),IF($A247=SYear_O,G$168*(1+Data_All!G86%),G246*(1+Data_All!G86%)),"")</f>
        <v/>
      </c>
      <c r="H247" s="427" t="str">
        <f>IF(AND($A247&gt;=SYear_O,$A247&lt;=EYear_O,H$3&gt;0),IF($A247=SYear_O,H$168*(1+Data_All!H86%),H246*(1+Data_All!H86%)),"")</f>
        <v/>
      </c>
      <c r="I247" s="427" t="str">
        <f>IF(AND($A247&gt;=SYear_O,$A247&lt;=EYear_O,I$3&gt;0),IF($A247=SYear_O,I$168*(1+Data_All!I86%),I246*(1+Data_All!I86%)),"")</f>
        <v/>
      </c>
      <c r="J247" s="427" t="str">
        <f>IF(AND($A247&gt;=SYear_O,$A247&lt;=EYear_O,J$3&gt;0),IF($A247=SYear_O,J$168*(1+Data_All!J86%),J246*(1+Data_All!J86%)),"")</f>
        <v/>
      </c>
      <c r="K247" s="427" t="str">
        <f>IF(AND($A247&gt;=SYear_O,$A247&lt;=EYear_O,K$3&gt;0),IF($A247=SYear_O,K$168*(1+Data_All!K86%),K246*(1+Data_All!K86%)),"")</f>
        <v/>
      </c>
      <c r="L247" s="427" t="str">
        <f>IF(AND($A247&gt;=SYear_O,$A247&lt;=EYear_O,L$3&gt;0),IF($A247=SYear_O,L$168*(1+Data_All!L86%),L246*(1+Data_All!L86%)),"")</f>
        <v/>
      </c>
      <c r="M247" s="427" t="str">
        <f>IF(AND($A247&gt;=SYear_O,$A247&lt;=EYear_O,M$3&gt;0),IF($A247=SYear_O,M$168*(1+Data_All!M86%),M246*(1+Data_All!M86%)),"")</f>
        <v/>
      </c>
      <c r="N247" s="427" t="str">
        <f>IF(AND($A247&gt;=SYear_O,$A247&lt;=EYear_O,N$3&gt;0),IF($A247=SYear_O,N$168*(1+Data_All!N86%),N246*(1+Data_All!N86%)),"")</f>
        <v/>
      </c>
      <c r="O247" s="427" t="str">
        <f>IF(AND($A247&gt;=SYear_O,$A247&lt;=EYear_O,O$3&gt;0),IF($A247=SYear_O,O$168*(1+Data_All!O86%),O246*(1+Data_All!O86%)),"")</f>
        <v/>
      </c>
      <c r="P247" s="427" t="str">
        <f>IF(AND($A247&gt;=SYear_O,$A247&lt;=EYear_O,P$3&gt;0),IF($A247=SYear_O,P$168*(1+Data_All!P86%),P246*(1+Data_All!P86%)),"")</f>
        <v/>
      </c>
      <c r="Q247" s="427" t="str">
        <f>IF(AND($A247&gt;=SYear_O,$A247&lt;=EYear_O,Q$3&gt;0),IF($A247=SYear_O,Q$168*(1+Data_All!Q86%),Q246*(1+Data_All!Q86%)),"")</f>
        <v/>
      </c>
      <c r="R247" s="427" t="str">
        <f>IF(AND($A247&gt;=SYear_O,$A247&lt;=EYear_O,R$3&gt;0),IF($A247=SYear_O,R$168*(1+Data_All!R86%),R246*(1+Data_All!R86%)),"")</f>
        <v/>
      </c>
      <c r="S247" s="427" t="str">
        <f>IF(AND($A247&gt;=SYear_O,$A247&lt;=EYear_O,S$3&gt;0),IF($A247=SYear_O,S$168*(1+Data_All!S86%),S246*(1+Data_All!S86%)),"")</f>
        <v/>
      </c>
      <c r="T247" s="427" t="str">
        <f>IF(AND($A247&gt;=SYear_O,$A247&lt;=EYear_O,T$3&gt;0),IF($A247=SYear_O,T$168*(1+Data_All!T86%),T246*(1+Data_All!T86%)),"")</f>
        <v/>
      </c>
      <c r="U247" s="427" t="str">
        <f>IF(AND($A247&gt;=SYear_O,$A247&lt;=EYear_O,U$3&gt;0),IF($A247=SYear_O,U$168*(1+Data_All!U86%),U246*(1+Data_All!U86%)),"")</f>
        <v/>
      </c>
      <c r="V247" s="427" t="str">
        <f>IF(AND($A247&gt;=SYear_O,$A247&lt;=EYear_O,V$3&gt;0),IF($A247=SYear_O,V$168*(1+Data_All!V86%),V246*(1+Data_All!V86%)),"")</f>
        <v/>
      </c>
      <c r="W247" s="427" t="str">
        <f>IF(AND($A247&gt;=SYear_O,$A247&lt;=EYear_O,W$3&gt;0),IF($A247=SYear_O,W$168*(1+Data_All!W86%),W246*(1+Data_All!W86%)),"")</f>
        <v/>
      </c>
      <c r="X247" s="427" t="str">
        <f>IF(AND($A247&gt;=SYear_O,$A247&lt;=EYear_O,X$3&gt;0),IF($A247=SYear_O,X$168*(1+Data_All!X86%),X246*(1+Data_All!X86%)),"")</f>
        <v/>
      </c>
      <c r="Y247" s="427" t="str">
        <f>IF(AND($A247&gt;=SYear_O,$A247&lt;=EYear_O,Y$3&gt;0),IF($A247=SYear_O,Y$168*(1+Data_All!Y86%),Y246*(1+Data_All!Y86%)),"")</f>
        <v/>
      </c>
      <c r="Z247" s="427" t="str">
        <f>IF(AND($A247&gt;=SYear_O,$A247&lt;=EYear_O,Z$3&gt;0),IF($A247=SYear_O,Z$168*(1+Data_All!Z86%),Z246*(1+Data_All!Z86%)),"")</f>
        <v/>
      </c>
      <c r="AA247" s="427" t="str">
        <f>IF(AND($A247&gt;=SYear_O,$A247&lt;=EYear_O,AA$3&gt;0),IF($A247=SYear_O,AA$168*(1+Data_All!AA86%),AA246*(1+Data_All!AA86%)),"")</f>
        <v/>
      </c>
      <c r="AB247" s="427" t="str">
        <f>IF(AND($A247&gt;=SYear_O,$A247&lt;=EYear_O,AB$3&gt;0),IF($A247=SYear_O,AB$168*(1+Data_All!AB86%),AB246*(1+Data_All!AB86%)),"")</f>
        <v/>
      </c>
      <c r="AC247" s="427" t="str">
        <f>IF(AND($A247&gt;=SYear_O,$A247&lt;=EYear_O,AC$3&gt;0),IF($A247=SYear_O,AC$168*(1+Data_All!AC86%),AC246*(1+Data_All!AC86%)),"")</f>
        <v/>
      </c>
      <c r="AD247" s="427" t="str">
        <f>IF(AND($A247&gt;=SYear_O,$A247&lt;=EYear_O,AD$3&gt;0),IF($A247=SYear_O,AD$168*(1+Data_All!AD86%),AD246*(1+Data_All!AD86%)),"")</f>
        <v/>
      </c>
      <c r="AE247" s="427" t="str">
        <f>IF(AND($A247&gt;=SYear_O,$A247&lt;=EYear_O,AE$3&gt;0),IF($A247=SYear_O,AE$168*(1+Data_All!AE86%),AE246*(1+Data_All!AE86%)),"")</f>
        <v/>
      </c>
      <c r="AF247" s="427" t="str">
        <f>IF(AND($A247&gt;=SYear_O,$A247&lt;=EYear_O,AF$3&gt;0),IF($A247=SYear_O,AF$168*(1+Data_All!AF86%),AF246*(1+Data_All!AF86%)),"")</f>
        <v/>
      </c>
      <c r="AG247" s="427" t="str">
        <f>IF(AND($A247&gt;=SYear_O,$A247&lt;=EYear_O,AG$3&gt;0),IF($A247=SYear_O,AG$168*(1+Data_All!AG86%),AG246*(1+Data_All!AG86%)),"")</f>
        <v/>
      </c>
      <c r="AH247" s="427" t="str">
        <f>IF(AND($A247&gt;=SYear_O,$A247&lt;=EYear_O,AH$3&gt;0),IF($A247=SYear_O,AH$168*(1+Data_All!AH86%),AH246*(1+Data_All!AH86%)),"")</f>
        <v/>
      </c>
      <c r="AI247" s="427" t="str">
        <f>IF(AND($A247&gt;=SYear_O,$A247&lt;=EYear_O,AI$3&gt;0),IF($A247=SYear_O,AI$168*(1+Data_All!AI86%),AI246*(1+Data_All!AI86%)),"")</f>
        <v/>
      </c>
      <c r="AJ247" s="427" t="str">
        <f>IF(AND($A247&gt;=SYear_O,$A247&lt;=EYear_O,AJ$3&gt;0),IF($A247=SYear_O,AJ$168*(1+Data_All!AJ86%),AJ246*(1+Data_All!AJ86%)),"")</f>
        <v/>
      </c>
      <c r="AK247" s="427" t="str">
        <f>IF(AND($A247&gt;=SYear_O,$A247&lt;=EYear_O,AK$3&gt;0),IF($A247=SYear_O,AK$168*(1+Data_All!AK86%),AK246*(1+Data_All!AK86%)),"")</f>
        <v/>
      </c>
      <c r="AL247" s="427" t="str">
        <f>IF(AND($A247&gt;=SYear_O,$A247&lt;=EYear_O,AL$3&gt;0),IF($A247=SYear_O,AL$168*(1+Data_All!AL86%),AL246*(1+Data_All!AL86%)),"")</f>
        <v/>
      </c>
      <c r="AM247" s="427" t="str">
        <f>IF(AND($A247&gt;=SYear_O,$A247&lt;=EYear_O,AM$3&gt;0),IF($A247=SYear_O,AM$168*(1+Data_All!AM86%),AM246*(1+Data_All!AM86%)),"")</f>
        <v/>
      </c>
      <c r="AN247" s="427" t="str">
        <f>IF(AND($A247&gt;=SYear_O,$A247&lt;=EYear_O,AN$3&gt;0),IF($A247=SYear_O,AN$168*(1+Data_All!AN86%),AN246*(1+Data_All!AN86%)),"")</f>
        <v/>
      </c>
      <c r="AO247" s="427" t="str">
        <f>IF(AND($A247&gt;=SYear_O,$A247&lt;=EYear_O,AO$3&gt;0),IF($A247=SYear_O,AO$168*(1+Data_All!AO86%),AO246*(1+Data_All!AO86%)),"")</f>
        <v/>
      </c>
      <c r="AP247" s="427" t="str">
        <f>IF(AND($A247&gt;=SYear_O,$A247&lt;=EYear_O,AP$3&gt;0),IF($A247=SYear_O,AP$168*(1+Data_All!AP86%),AP246*(1+Data_All!AP86%)),"")</f>
        <v/>
      </c>
      <c r="AQ247" s="427" t="str">
        <f>IF(AND($A247&gt;=SYear_O,$A247&lt;=EYear_O,AQ$3&gt;0),IF($A247=SYear_O,AQ$168*(1+Data_All!AQ86%),AQ246*(1+Data_All!AQ86%)),"")</f>
        <v/>
      </c>
      <c r="AR247" s="427" t="str">
        <f>IF(AND($A247&gt;=SYear_O,$A247&lt;=EYear_O,AR$3&gt;0),IF($A247=SYear_O,AR$168*(1+Data_All!AR86%),AR246*(1+Data_All!AR86%)),"")</f>
        <v/>
      </c>
      <c r="AS247" s="427" t="str">
        <f>IF(AND($A247&gt;=SYear_O,$A247&lt;=EYear_O,AS$3&gt;0),IF($A247=SYear_O,AS$168*(1+Data_All!AS86%),AS246*(1+Data_All!AS86%)),"")</f>
        <v/>
      </c>
      <c r="AT247" s="427" t="str">
        <f>IF(AND($A247&gt;=SYear_O,$A247&lt;=EYear_O,AT$3&gt;0),IF($A247=SYear_O,AT$168*(1+Data_All!AT86%),AT246*(1+Data_All!AT86%)),"")</f>
        <v/>
      </c>
      <c r="AU247" s="427" t="str">
        <f>IF(AND($A247&gt;=SYear_O,$A247&lt;=EYear_O,AU$3&gt;0),IF($A247=SYear_O,AU$168*(1+Data_All!AU86%),AU246*(1+Data_All!AU86%)),"")</f>
        <v/>
      </c>
      <c r="AV247" s="427" t="str">
        <f>IF(AND($A247&gt;=SYear_O,$A247&lt;=EYear_O,AV$3&gt;0),IF($A247=SYear_O,AV$168*(1+Data_All!AV86%),AV246*(1+Data_All!AV86%)),"")</f>
        <v/>
      </c>
      <c r="AW247" s="427" t="str">
        <f>IF(AND($A247&gt;=SYear_O,$A247&lt;=EYear_O,AW$3&gt;0),IF($A247=SYear_O,AW$168*(1+Data_All!AW86%),AW246*(1+Data_All!AW86%)),"")</f>
        <v/>
      </c>
      <c r="AX247" s="427" t="str">
        <f>IF(AND($A247&gt;=SYear_O,$A247&lt;=EYear_O,AX$3&gt;0),IF($A247=SYear_O,AX$168*(1+Data_All!AX86%),AX246*(1+Data_All!AX86%)),"")</f>
        <v/>
      </c>
      <c r="AY247" s="427" t="str">
        <f>IF(AND($A247&gt;=SYear_O,$A247&lt;=EYear_O,AY$3&gt;0),IF($A247=SYear_O,AY$168*(1+Data_All!AY86%),AY246*(1+Data_All!AY86%)),"")</f>
        <v/>
      </c>
      <c r="AZ247" s="427" t="str">
        <f>IF(AND($A247&gt;=SYear_O,$A247&lt;=EYear_O,AZ$3&gt;0),IF($A247=SYear_O,AZ$168*(1+Data_All!AZ86%),AZ246*(1+Data_All!AZ86%)),"")</f>
        <v/>
      </c>
      <c r="BA247" s="427" t="str">
        <f>IF(AND($A247&gt;=SYear_O,$A247&lt;=EYear_O,BA$3&gt;0),IF($A247=SYear_O,BA$168*(1+Data_All!BA86%),BA246*(1+Data_All!BA86%)),"")</f>
        <v/>
      </c>
      <c r="BB247" s="427" t="str">
        <f>IF(AND($A247&gt;=SYear_O,$A247&lt;=EYear_O,BB$3&gt;0),IF($A247=SYear_O,BB$168*(1+Data_All!BB86%),BB246*(1+Data_All!BB86%)),"")</f>
        <v/>
      </c>
      <c r="BC247" s="427" t="str">
        <f>IF(AND($A247&gt;=SYear_O,$A247&lt;=EYear_O,BC$3&gt;0),IF($A247=SYear_O,BC$168*(1+Data_All!BC86%),BC246*(1+Data_All!BC86%)),"")</f>
        <v/>
      </c>
      <c r="BD247" s="427" t="str">
        <f>IF(AND($A247&gt;=SYear_O,$A247&lt;=EYear_O,BD$3&gt;0),IF($A247=SYear_O,BD$168*(1+Data_All!BD86%),BD246*(1+Data_All!BD86%)),"")</f>
        <v/>
      </c>
      <c r="BE247" s="427" t="str">
        <f>IF(AND($A247&gt;=SYear_O,$A247&lt;=EYear_O,BE$3&gt;0),IF($A247=SYear_O,BE$168*(1+Data_All!BE86%),BE246*(1+Data_All!BE86%)),"")</f>
        <v/>
      </c>
      <c r="BF247" s="427" t="str">
        <f>IF(AND($A247&gt;=SYear_O,$A247&lt;=EYear_O,BF$3&gt;0),IF($A247=SYear_O,BF$168*(1+Data_All!BF86%),BF246*(1+Data_All!BF86%)),"")</f>
        <v/>
      </c>
      <c r="BG247" s="427" t="str">
        <f>IF(AND($A247&gt;=SYear_O,$A247&lt;=EYear_O,BG$3&gt;0),IF($A247=SYear_O,BG$168*(1+Data_All!BG86%),BG246*(1+Data_All!BG86%)),"")</f>
        <v/>
      </c>
      <c r="BH247" s="427" t="str">
        <f>IF(AND($A247&gt;=SYear_O,$A247&lt;=EYear_O,BH$3&gt;0),IF($A247=SYear_O,BH$168*(1+Data_All!BH86%),BH246*(1+Data_All!BH86%)),"")</f>
        <v/>
      </c>
      <c r="BI247" s="427" t="str">
        <f>IF(AND($A247&gt;=SYear_O,$A247&lt;=EYear_O,BI$3&gt;0),IF($A247=SYear_O,BI$168*(1+Data_All!BI86%),BI246*(1+Data_All!BI86%)),"")</f>
        <v/>
      </c>
      <c r="BJ247" s="427" t="str">
        <f>IF(AND($A247&gt;=SYear_O,$A247&lt;=EYear_O,BJ$3&gt;0),IF($A247=SYear_O,BJ$168*(1+Data_All!BJ86%),BJ246*(1+Data_All!BJ86%)),"")</f>
        <v/>
      </c>
      <c r="BK247" s="427" t="str">
        <f>IF(AND($A247&gt;=SYear_O,$A247&lt;=EYear_O,BK$3&gt;0),IF($A247=SYear_O,BK$168*(1+Data_All!BK86%),BK246*(1+Data_All!BK86%)),"")</f>
        <v/>
      </c>
      <c r="BL247" s="427" t="str">
        <f>IF(AND($A247&gt;=SYear_O,$A247&lt;=EYear_O,BL$3&gt;0),IF($A247=SYear_O,BL$168*(1+Data_All!BL86%),BL246*(1+Data_All!BL86%)),"")</f>
        <v/>
      </c>
      <c r="BM247" s="427" t="str">
        <f>IF(AND($A247&gt;=SYear_O,$A247&lt;=EYear_O,BM$3&gt;0),IF($A247=SYear_O,BM$168*(1+Data_All!BM86%),BM246*(1+Data_All!BM86%)),"")</f>
        <v/>
      </c>
      <c r="BN247" s="427" t="str">
        <f>IF(AND($A247&gt;=SYear_O,$A247&lt;=EYear_O,BN$3&gt;0),IF($A247=SYear_O,BN$168*(1+Data_All!BN86%),BN246*(1+Data_All!BN86%)),"")</f>
        <v/>
      </c>
      <c r="BO247" s="427" t="str">
        <f>IF(AND($A247&gt;=SYear_O,$A247&lt;=EYear_O,BO$3&gt;0),IF($A247=SYear_O,BO$168*(1+Data_All!BO86%),BO246*(1+Data_All!BO86%)),"")</f>
        <v/>
      </c>
      <c r="BP247" s="427" t="str">
        <f>IF(AND($A247&gt;=SYear_O,$A247&lt;=EYear_O,BP$3&gt;0),IF($A247=SYear_O,BP$168*(1+Data_All!BP86%),BP246*(1+Data_All!BP86%)),"")</f>
        <v/>
      </c>
      <c r="BQ247" s="427" t="str">
        <f>IF(AND($A247&gt;=SYear_O,$A247&lt;=EYear_O,BQ$3&gt;0),IF($A247=SYear_O,BQ$168*(1+Data_All!BQ86%),BQ246*(1+Data_All!BQ86%)),"")</f>
        <v/>
      </c>
      <c r="BR247" s="427" t="str">
        <f>IF(AND($A247&gt;=SYear_O,$A247&lt;=EYear_O,BR$3&gt;0),IF($A247=SYear_O,BR$168*(1+Data_All!BR86%),BR246*(1+Data_All!BR86%)),"")</f>
        <v/>
      </c>
      <c r="BS247" s="427" t="str">
        <f>IF(AND($A247&gt;=SYear_O,$A247&lt;=EYear_O,BS$3&gt;0),IF($A247=SYear_O,BS$168*(1+Data_All!BS86%),BS246*(1+Data_All!BS86%)),"")</f>
        <v/>
      </c>
      <c r="BT247" s="427" t="str">
        <f>IF(AND($A247&gt;=SYear_O,$A247&lt;=EYear_O,BT$3&gt;0),IF($A247=SYear_O,BT$168*(1+Data_All!BT86%),BT246*(1+Data_All!BT86%)),"")</f>
        <v/>
      </c>
      <c r="BU247" s="427" t="str">
        <f>IF(AND($A247&gt;=SYear_O,$A247&lt;=EYear_O,BU$3&gt;0),IF($A247=SYear_O,BU$168*(1+Data_All!BU86%),BU246*(1+Data_All!BU86%)),"")</f>
        <v/>
      </c>
      <c r="BV247" s="427" t="str">
        <f>IF(AND($A247&gt;=SYear_O,$A247&lt;=EYear_O,BV$3&gt;0),IF($A247=SYear_O,BV$168*(1+Data_All!BV86%),BV246*(1+Data_All!BV86%)),"")</f>
        <v/>
      </c>
      <c r="BW247" s="427" t="str">
        <f>IF(AND($A247&gt;=SYear_O,$A247&lt;=EYear_O,BW$3&gt;0),IF($A247=SYear_O,BW$168*(1+Data_All!BW86%),BW246*(1+Data_All!BW86%)),"")</f>
        <v/>
      </c>
      <c r="BX247" s="427">
        <f>IF(AND($A247&gt;=SYear_O,$A247&lt;=EYear_O,BX$3&gt;0),IF($A247=SYear_O,BX$168*(1+Data_All!BX86%),BX246*(1+Data_All!BX86%)),"")</f>
        <v>1327789.1191771242</v>
      </c>
      <c r="BY247" s="427">
        <f>IF(AND($A247&gt;=SYear_O,$A247&lt;=EYear_O,BY$3&gt;0),IF($A247=SYear_O,BY$168*(1+Data_All!BY86%),BY246*(1+Data_All!BY86%)),"")</f>
        <v>75610.200715285522</v>
      </c>
      <c r="BZ247" s="427" t="str">
        <f>IF(AND($A247&gt;=SYear_O,$A247&lt;=EYear_O,BZ$3&gt;0),IF($A247=SYear_O,BZ$168*(1+Data_All!BZ86%),BZ246*(1+Data_All!BZ86%)),"")</f>
        <v/>
      </c>
      <c r="CA247" s="565">
        <f t="shared" si="123"/>
        <v>16.435399511695895</v>
      </c>
      <c r="CB247" s="427">
        <f t="shared" si="124"/>
        <v>1403399.3198924097</v>
      </c>
      <c r="CC247" s="565">
        <f>IF(AND($A247&gt;=SYear_O,$A247&lt;=EYear_O),(CA247-Data_All!CA86)/(1+Data_All!CA86%),"")</f>
        <v>18.912748437476662</v>
      </c>
      <c r="CD247" s="436">
        <f t="shared" si="125"/>
        <v>744342.75448925642</v>
      </c>
      <c r="CE247" s="438">
        <f t="shared" si="126"/>
        <v>127.28724999990706</v>
      </c>
      <c r="CF247" s="438">
        <f>IF(AND($A247&gt;=SYear_O,$A247&lt;=EYear_O),MAX($CE$169:CE247),"")</f>
        <v>127.28724999990706</v>
      </c>
      <c r="CG247" s="209">
        <f t="shared" si="127"/>
        <v>0</v>
      </c>
      <c r="CN247" s="61">
        <f t="shared" si="128"/>
        <v>0.16435399511695903</v>
      </c>
      <c r="CO247" s="61">
        <f t="shared" si="129"/>
        <v>0.22770896468788737</v>
      </c>
      <c r="CP247" s="61">
        <f t="shared" si="130"/>
        <v>0.16685165910910604</v>
      </c>
      <c r="CQ247" s="61">
        <f t="shared" si="131"/>
        <v>0.18813991570392252</v>
      </c>
      <c r="CR247" s="61">
        <f t="shared" si="132"/>
        <v>0.15738536444512463</v>
      </c>
      <c r="CU247" s="61">
        <f t="shared" si="133"/>
        <v>0.18912748437476656</v>
      </c>
      <c r="CV247" s="61">
        <f t="shared" si="134"/>
        <v>0.18781977075734968</v>
      </c>
      <c r="CW247" s="61">
        <f t="shared" si="135"/>
        <v>0.14053190959894124</v>
      </c>
      <c r="CX247" s="61">
        <f t="shared" si="136"/>
        <v>0.16586673413694242</v>
      </c>
      <c r="CY247" s="61">
        <f t="shared" si="137"/>
        <v>0.13805042089292607</v>
      </c>
    </row>
    <row r="248" spans="1:103">
      <c r="A248" s="204">
        <f t="shared" si="107"/>
        <v>1950</v>
      </c>
      <c r="B248" s="427" t="str">
        <f>IF(AND($A248&gt;=SYear_O,$A248&lt;=EYear_O,B$3&gt;0),IF($A248=SYear_O,B$168*(1+Data_All!B87%),B247*(1+Data_All!B87%)),"")</f>
        <v/>
      </c>
      <c r="C248" s="427" t="str">
        <f>IF(AND($A248&gt;=SYear_O,$A248&lt;=EYear_O,C$3&gt;0),IF($A248=SYear_O,C$168*(1+Data_All!C87%),C247*(1+Data_All!C87%)),"")</f>
        <v/>
      </c>
      <c r="D248" s="427" t="str">
        <f>IF(AND($A248&gt;=SYear_O,$A248&lt;=EYear_O,D$3&gt;0),IF($A248=SYear_O,D$168*(1+Data_All!D87%),D247*(1+Data_All!D87%)),"")</f>
        <v/>
      </c>
      <c r="E248" s="427" t="str">
        <f>IF(AND($A248&gt;=SYear_O,$A248&lt;=EYear_O,E$3&gt;0),IF($A248=SYear_O,E$168*(1+Data_All!E87%),E247*(1+Data_All!E87%)),"")</f>
        <v/>
      </c>
      <c r="F248" s="427" t="str">
        <f>IF(AND($A248&gt;=SYear_O,$A248&lt;=EYear_O,F$3&gt;0),IF($A248=SYear_O,F$168*(1+Data_All!F87%),F247*(1+Data_All!F87%)),"")</f>
        <v/>
      </c>
      <c r="G248" s="427" t="str">
        <f>IF(AND($A248&gt;=SYear_O,$A248&lt;=EYear_O,G$3&gt;0),IF($A248=SYear_O,G$168*(1+Data_All!G87%),G247*(1+Data_All!G87%)),"")</f>
        <v/>
      </c>
      <c r="H248" s="427" t="str">
        <f>IF(AND($A248&gt;=SYear_O,$A248&lt;=EYear_O,H$3&gt;0),IF($A248=SYear_O,H$168*(1+Data_All!H87%),H247*(1+Data_All!H87%)),"")</f>
        <v/>
      </c>
      <c r="I248" s="427" t="str">
        <f>IF(AND($A248&gt;=SYear_O,$A248&lt;=EYear_O,I$3&gt;0),IF($A248=SYear_O,I$168*(1+Data_All!I87%),I247*(1+Data_All!I87%)),"")</f>
        <v/>
      </c>
      <c r="J248" s="427" t="str">
        <f>IF(AND($A248&gt;=SYear_O,$A248&lt;=EYear_O,J$3&gt;0),IF($A248=SYear_O,J$168*(1+Data_All!J87%),J247*(1+Data_All!J87%)),"")</f>
        <v/>
      </c>
      <c r="K248" s="427" t="str">
        <f>IF(AND($A248&gt;=SYear_O,$A248&lt;=EYear_O,K$3&gt;0),IF($A248=SYear_O,K$168*(1+Data_All!K87%),K247*(1+Data_All!K87%)),"")</f>
        <v/>
      </c>
      <c r="L248" s="427" t="str">
        <f>IF(AND($A248&gt;=SYear_O,$A248&lt;=EYear_O,L$3&gt;0),IF($A248=SYear_O,L$168*(1+Data_All!L87%),L247*(1+Data_All!L87%)),"")</f>
        <v/>
      </c>
      <c r="M248" s="427" t="str">
        <f>IF(AND($A248&gt;=SYear_O,$A248&lt;=EYear_O,M$3&gt;0),IF($A248=SYear_O,M$168*(1+Data_All!M87%),M247*(1+Data_All!M87%)),"")</f>
        <v/>
      </c>
      <c r="N248" s="427" t="str">
        <f>IF(AND($A248&gt;=SYear_O,$A248&lt;=EYear_O,N$3&gt;0),IF($A248=SYear_O,N$168*(1+Data_All!N87%),N247*(1+Data_All!N87%)),"")</f>
        <v/>
      </c>
      <c r="O248" s="427" t="str">
        <f>IF(AND($A248&gt;=SYear_O,$A248&lt;=EYear_O,O$3&gt;0),IF($A248=SYear_O,O$168*(1+Data_All!O87%),O247*(1+Data_All!O87%)),"")</f>
        <v/>
      </c>
      <c r="P248" s="427" t="str">
        <f>IF(AND($A248&gt;=SYear_O,$A248&lt;=EYear_O,P$3&gt;0),IF($A248=SYear_O,P$168*(1+Data_All!P87%),P247*(1+Data_All!P87%)),"")</f>
        <v/>
      </c>
      <c r="Q248" s="427" t="str">
        <f>IF(AND($A248&gt;=SYear_O,$A248&lt;=EYear_O,Q$3&gt;0),IF($A248=SYear_O,Q$168*(1+Data_All!Q87%),Q247*(1+Data_All!Q87%)),"")</f>
        <v/>
      </c>
      <c r="R248" s="427" t="str">
        <f>IF(AND($A248&gt;=SYear_O,$A248&lt;=EYear_O,R$3&gt;0),IF($A248=SYear_O,R$168*(1+Data_All!R87%),R247*(1+Data_All!R87%)),"")</f>
        <v/>
      </c>
      <c r="S248" s="427" t="str">
        <f>IF(AND($A248&gt;=SYear_O,$A248&lt;=EYear_O,S$3&gt;0),IF($A248=SYear_O,S$168*(1+Data_All!S87%),S247*(1+Data_All!S87%)),"")</f>
        <v/>
      </c>
      <c r="T248" s="427" t="str">
        <f>IF(AND($A248&gt;=SYear_O,$A248&lt;=EYear_O,T$3&gt;0),IF($A248=SYear_O,T$168*(1+Data_All!T87%),T247*(1+Data_All!T87%)),"")</f>
        <v/>
      </c>
      <c r="U248" s="427" t="str">
        <f>IF(AND($A248&gt;=SYear_O,$A248&lt;=EYear_O,U$3&gt;0),IF($A248=SYear_O,U$168*(1+Data_All!U87%),U247*(1+Data_All!U87%)),"")</f>
        <v/>
      </c>
      <c r="V248" s="427" t="str">
        <f>IF(AND($A248&gt;=SYear_O,$A248&lt;=EYear_O,V$3&gt;0),IF($A248=SYear_O,V$168*(1+Data_All!V87%),V247*(1+Data_All!V87%)),"")</f>
        <v/>
      </c>
      <c r="W248" s="427" t="str">
        <f>IF(AND($A248&gt;=SYear_O,$A248&lt;=EYear_O,W$3&gt;0),IF($A248=SYear_O,W$168*(1+Data_All!W87%),W247*(1+Data_All!W87%)),"")</f>
        <v/>
      </c>
      <c r="X248" s="427" t="str">
        <f>IF(AND($A248&gt;=SYear_O,$A248&lt;=EYear_O,X$3&gt;0),IF($A248=SYear_O,X$168*(1+Data_All!X87%),X247*(1+Data_All!X87%)),"")</f>
        <v/>
      </c>
      <c r="Y248" s="427" t="str">
        <f>IF(AND($A248&gt;=SYear_O,$A248&lt;=EYear_O,Y$3&gt;0),IF($A248=SYear_O,Y$168*(1+Data_All!Y87%),Y247*(1+Data_All!Y87%)),"")</f>
        <v/>
      </c>
      <c r="Z248" s="427" t="str">
        <f>IF(AND($A248&gt;=SYear_O,$A248&lt;=EYear_O,Z$3&gt;0),IF($A248=SYear_O,Z$168*(1+Data_All!Z87%),Z247*(1+Data_All!Z87%)),"")</f>
        <v/>
      </c>
      <c r="AA248" s="427" t="str">
        <f>IF(AND($A248&gt;=SYear_O,$A248&lt;=EYear_O,AA$3&gt;0),IF($A248=SYear_O,AA$168*(1+Data_All!AA87%),AA247*(1+Data_All!AA87%)),"")</f>
        <v/>
      </c>
      <c r="AB248" s="427" t="str">
        <f>IF(AND($A248&gt;=SYear_O,$A248&lt;=EYear_O,AB$3&gt;0),IF($A248=SYear_O,AB$168*(1+Data_All!AB87%),AB247*(1+Data_All!AB87%)),"")</f>
        <v/>
      </c>
      <c r="AC248" s="427" t="str">
        <f>IF(AND($A248&gt;=SYear_O,$A248&lt;=EYear_O,AC$3&gt;0),IF($A248=SYear_O,AC$168*(1+Data_All!AC87%),AC247*(1+Data_All!AC87%)),"")</f>
        <v/>
      </c>
      <c r="AD248" s="427" t="str">
        <f>IF(AND($A248&gt;=SYear_O,$A248&lt;=EYear_O,AD$3&gt;0),IF($A248=SYear_O,AD$168*(1+Data_All!AD87%),AD247*(1+Data_All!AD87%)),"")</f>
        <v/>
      </c>
      <c r="AE248" s="427" t="str">
        <f>IF(AND($A248&gt;=SYear_O,$A248&lt;=EYear_O,AE$3&gt;0),IF($A248=SYear_O,AE$168*(1+Data_All!AE87%),AE247*(1+Data_All!AE87%)),"")</f>
        <v/>
      </c>
      <c r="AF248" s="427" t="str">
        <f>IF(AND($A248&gt;=SYear_O,$A248&lt;=EYear_O,AF$3&gt;0),IF($A248=SYear_O,AF$168*(1+Data_All!AF87%),AF247*(1+Data_All!AF87%)),"")</f>
        <v/>
      </c>
      <c r="AG248" s="427" t="str">
        <f>IF(AND($A248&gt;=SYear_O,$A248&lt;=EYear_O,AG$3&gt;0),IF($A248=SYear_O,AG$168*(1+Data_All!AG87%),AG247*(1+Data_All!AG87%)),"")</f>
        <v/>
      </c>
      <c r="AH248" s="427" t="str">
        <f>IF(AND($A248&gt;=SYear_O,$A248&lt;=EYear_O,AH$3&gt;0),IF($A248=SYear_O,AH$168*(1+Data_All!AH87%),AH247*(1+Data_All!AH87%)),"")</f>
        <v/>
      </c>
      <c r="AI248" s="427" t="str">
        <f>IF(AND($A248&gt;=SYear_O,$A248&lt;=EYear_O,AI$3&gt;0),IF($A248=SYear_O,AI$168*(1+Data_All!AI87%),AI247*(1+Data_All!AI87%)),"")</f>
        <v/>
      </c>
      <c r="AJ248" s="427" t="str">
        <f>IF(AND($A248&gt;=SYear_O,$A248&lt;=EYear_O,AJ$3&gt;0),IF($A248=SYear_O,AJ$168*(1+Data_All!AJ87%),AJ247*(1+Data_All!AJ87%)),"")</f>
        <v/>
      </c>
      <c r="AK248" s="427" t="str">
        <f>IF(AND($A248&gt;=SYear_O,$A248&lt;=EYear_O,AK$3&gt;0),IF($A248=SYear_O,AK$168*(1+Data_All!AK87%),AK247*(1+Data_All!AK87%)),"")</f>
        <v/>
      </c>
      <c r="AL248" s="427" t="str">
        <f>IF(AND($A248&gt;=SYear_O,$A248&lt;=EYear_O,AL$3&gt;0),IF($A248=SYear_O,AL$168*(1+Data_All!AL87%),AL247*(1+Data_All!AL87%)),"")</f>
        <v/>
      </c>
      <c r="AM248" s="427" t="str">
        <f>IF(AND($A248&gt;=SYear_O,$A248&lt;=EYear_O,AM$3&gt;0),IF($A248=SYear_O,AM$168*(1+Data_All!AM87%),AM247*(1+Data_All!AM87%)),"")</f>
        <v/>
      </c>
      <c r="AN248" s="427" t="str">
        <f>IF(AND($A248&gt;=SYear_O,$A248&lt;=EYear_O,AN$3&gt;0),IF($A248=SYear_O,AN$168*(1+Data_All!AN87%),AN247*(1+Data_All!AN87%)),"")</f>
        <v/>
      </c>
      <c r="AO248" s="427" t="str">
        <f>IF(AND($A248&gt;=SYear_O,$A248&lt;=EYear_O,AO$3&gt;0),IF($A248=SYear_O,AO$168*(1+Data_All!AO87%),AO247*(1+Data_All!AO87%)),"")</f>
        <v/>
      </c>
      <c r="AP248" s="427" t="str">
        <f>IF(AND($A248&gt;=SYear_O,$A248&lt;=EYear_O,AP$3&gt;0),IF($A248=SYear_O,AP$168*(1+Data_All!AP87%),AP247*(1+Data_All!AP87%)),"")</f>
        <v/>
      </c>
      <c r="AQ248" s="427" t="str">
        <f>IF(AND($A248&gt;=SYear_O,$A248&lt;=EYear_O,AQ$3&gt;0),IF($A248=SYear_O,AQ$168*(1+Data_All!AQ87%),AQ247*(1+Data_All!AQ87%)),"")</f>
        <v/>
      </c>
      <c r="AR248" s="427" t="str">
        <f>IF(AND($A248&gt;=SYear_O,$A248&lt;=EYear_O,AR$3&gt;0),IF($A248=SYear_O,AR$168*(1+Data_All!AR87%),AR247*(1+Data_All!AR87%)),"")</f>
        <v/>
      </c>
      <c r="AS248" s="427" t="str">
        <f>IF(AND($A248&gt;=SYear_O,$A248&lt;=EYear_O,AS$3&gt;0),IF($A248=SYear_O,AS$168*(1+Data_All!AS87%),AS247*(1+Data_All!AS87%)),"")</f>
        <v/>
      </c>
      <c r="AT248" s="427" t="str">
        <f>IF(AND($A248&gt;=SYear_O,$A248&lt;=EYear_O,AT$3&gt;0),IF($A248=SYear_O,AT$168*(1+Data_All!AT87%),AT247*(1+Data_All!AT87%)),"")</f>
        <v/>
      </c>
      <c r="AU248" s="427" t="str">
        <f>IF(AND($A248&gt;=SYear_O,$A248&lt;=EYear_O,AU$3&gt;0),IF($A248=SYear_O,AU$168*(1+Data_All!AU87%),AU247*(1+Data_All!AU87%)),"")</f>
        <v/>
      </c>
      <c r="AV248" s="427" t="str">
        <f>IF(AND($A248&gt;=SYear_O,$A248&lt;=EYear_O,AV$3&gt;0),IF($A248=SYear_O,AV$168*(1+Data_All!AV87%),AV247*(1+Data_All!AV87%)),"")</f>
        <v/>
      </c>
      <c r="AW248" s="427" t="str">
        <f>IF(AND($A248&gt;=SYear_O,$A248&lt;=EYear_O,AW$3&gt;0),IF($A248=SYear_O,AW$168*(1+Data_All!AW87%),AW247*(1+Data_All!AW87%)),"")</f>
        <v/>
      </c>
      <c r="AX248" s="427" t="str">
        <f>IF(AND($A248&gt;=SYear_O,$A248&lt;=EYear_O,AX$3&gt;0),IF($A248=SYear_O,AX$168*(1+Data_All!AX87%),AX247*(1+Data_All!AX87%)),"")</f>
        <v/>
      </c>
      <c r="AY248" s="427" t="str">
        <f>IF(AND($A248&gt;=SYear_O,$A248&lt;=EYear_O,AY$3&gt;0),IF($A248=SYear_O,AY$168*(1+Data_All!AY87%),AY247*(1+Data_All!AY87%)),"")</f>
        <v/>
      </c>
      <c r="AZ248" s="427" t="str">
        <f>IF(AND($A248&gt;=SYear_O,$A248&lt;=EYear_O,AZ$3&gt;0),IF($A248=SYear_O,AZ$168*(1+Data_All!AZ87%),AZ247*(1+Data_All!AZ87%)),"")</f>
        <v/>
      </c>
      <c r="BA248" s="427" t="str">
        <f>IF(AND($A248&gt;=SYear_O,$A248&lt;=EYear_O,BA$3&gt;0),IF($A248=SYear_O,BA$168*(1+Data_All!BA87%),BA247*(1+Data_All!BA87%)),"")</f>
        <v/>
      </c>
      <c r="BB248" s="427" t="str">
        <f>IF(AND($A248&gt;=SYear_O,$A248&lt;=EYear_O,BB$3&gt;0),IF($A248=SYear_O,BB$168*(1+Data_All!BB87%),BB247*(1+Data_All!BB87%)),"")</f>
        <v/>
      </c>
      <c r="BC248" s="427" t="str">
        <f>IF(AND($A248&gt;=SYear_O,$A248&lt;=EYear_O,BC$3&gt;0),IF($A248=SYear_O,BC$168*(1+Data_All!BC87%),BC247*(1+Data_All!BC87%)),"")</f>
        <v/>
      </c>
      <c r="BD248" s="427" t="str">
        <f>IF(AND($A248&gt;=SYear_O,$A248&lt;=EYear_O,BD$3&gt;0),IF($A248=SYear_O,BD$168*(1+Data_All!BD87%),BD247*(1+Data_All!BD87%)),"")</f>
        <v/>
      </c>
      <c r="BE248" s="427" t="str">
        <f>IF(AND($A248&gt;=SYear_O,$A248&lt;=EYear_O,BE$3&gt;0),IF($A248=SYear_O,BE$168*(1+Data_All!BE87%),BE247*(1+Data_All!BE87%)),"")</f>
        <v/>
      </c>
      <c r="BF248" s="427" t="str">
        <f>IF(AND($A248&gt;=SYear_O,$A248&lt;=EYear_O,BF$3&gt;0),IF($A248=SYear_O,BF$168*(1+Data_All!BF87%),BF247*(1+Data_All!BF87%)),"")</f>
        <v/>
      </c>
      <c r="BG248" s="427" t="str">
        <f>IF(AND($A248&gt;=SYear_O,$A248&lt;=EYear_O,BG$3&gt;0),IF($A248=SYear_O,BG$168*(1+Data_All!BG87%),BG247*(1+Data_All!BG87%)),"")</f>
        <v/>
      </c>
      <c r="BH248" s="427" t="str">
        <f>IF(AND($A248&gt;=SYear_O,$A248&lt;=EYear_O,BH$3&gt;0),IF($A248=SYear_O,BH$168*(1+Data_All!BH87%),BH247*(1+Data_All!BH87%)),"")</f>
        <v/>
      </c>
      <c r="BI248" s="427" t="str">
        <f>IF(AND($A248&gt;=SYear_O,$A248&lt;=EYear_O,BI$3&gt;0),IF($A248=SYear_O,BI$168*(1+Data_All!BI87%),BI247*(1+Data_All!BI87%)),"")</f>
        <v/>
      </c>
      <c r="BJ248" s="427" t="str">
        <f>IF(AND($A248&gt;=SYear_O,$A248&lt;=EYear_O,BJ$3&gt;0),IF($A248=SYear_O,BJ$168*(1+Data_All!BJ87%),BJ247*(1+Data_All!BJ87%)),"")</f>
        <v/>
      </c>
      <c r="BK248" s="427" t="str">
        <f>IF(AND($A248&gt;=SYear_O,$A248&lt;=EYear_O,BK$3&gt;0),IF($A248=SYear_O,BK$168*(1+Data_All!BK87%),BK247*(1+Data_All!BK87%)),"")</f>
        <v/>
      </c>
      <c r="BL248" s="427" t="str">
        <f>IF(AND($A248&gt;=SYear_O,$A248&lt;=EYear_O,BL$3&gt;0),IF($A248=SYear_O,BL$168*(1+Data_All!BL87%),BL247*(1+Data_All!BL87%)),"")</f>
        <v/>
      </c>
      <c r="BM248" s="427" t="str">
        <f>IF(AND($A248&gt;=SYear_O,$A248&lt;=EYear_O,BM$3&gt;0),IF($A248=SYear_O,BM$168*(1+Data_All!BM87%),BM247*(1+Data_All!BM87%)),"")</f>
        <v/>
      </c>
      <c r="BN248" s="427" t="str">
        <f>IF(AND($A248&gt;=SYear_O,$A248&lt;=EYear_O,BN$3&gt;0),IF($A248=SYear_O,BN$168*(1+Data_All!BN87%),BN247*(1+Data_All!BN87%)),"")</f>
        <v/>
      </c>
      <c r="BO248" s="427" t="str">
        <f>IF(AND($A248&gt;=SYear_O,$A248&lt;=EYear_O,BO$3&gt;0),IF($A248=SYear_O,BO$168*(1+Data_All!BO87%),BO247*(1+Data_All!BO87%)),"")</f>
        <v/>
      </c>
      <c r="BP248" s="427" t="str">
        <f>IF(AND($A248&gt;=SYear_O,$A248&lt;=EYear_O,BP$3&gt;0),IF($A248=SYear_O,BP$168*(1+Data_All!BP87%),BP247*(1+Data_All!BP87%)),"")</f>
        <v/>
      </c>
      <c r="BQ248" s="427" t="str">
        <f>IF(AND($A248&gt;=SYear_O,$A248&lt;=EYear_O,BQ$3&gt;0),IF($A248=SYear_O,BQ$168*(1+Data_All!BQ87%),BQ247*(1+Data_All!BQ87%)),"")</f>
        <v/>
      </c>
      <c r="BR248" s="427" t="str">
        <f>IF(AND($A248&gt;=SYear_O,$A248&lt;=EYear_O,BR$3&gt;0),IF($A248=SYear_O,BR$168*(1+Data_All!BR87%),BR247*(1+Data_All!BR87%)),"")</f>
        <v/>
      </c>
      <c r="BS248" s="427" t="str">
        <f>IF(AND($A248&gt;=SYear_O,$A248&lt;=EYear_O,BS$3&gt;0),IF($A248=SYear_O,BS$168*(1+Data_All!BS87%),BS247*(1+Data_All!BS87%)),"")</f>
        <v/>
      </c>
      <c r="BT248" s="427" t="str">
        <f>IF(AND($A248&gt;=SYear_O,$A248&lt;=EYear_O,BT$3&gt;0),IF($A248=SYear_O,BT$168*(1+Data_All!BT87%),BT247*(1+Data_All!BT87%)),"")</f>
        <v/>
      </c>
      <c r="BU248" s="427" t="str">
        <f>IF(AND($A248&gt;=SYear_O,$A248&lt;=EYear_O,BU$3&gt;0),IF($A248=SYear_O,BU$168*(1+Data_All!BU87%),BU247*(1+Data_All!BU87%)),"")</f>
        <v/>
      </c>
      <c r="BV248" s="427" t="str">
        <f>IF(AND($A248&gt;=SYear_O,$A248&lt;=EYear_O,BV$3&gt;0),IF($A248=SYear_O,BV$168*(1+Data_All!BV87%),BV247*(1+Data_All!BV87%)),"")</f>
        <v/>
      </c>
      <c r="BW248" s="427" t="str">
        <f>IF(AND($A248&gt;=SYear_O,$A248&lt;=EYear_O,BW$3&gt;0),IF($A248=SYear_O,BW$168*(1+Data_All!BW87%),BW247*(1+Data_All!BW87%)),"")</f>
        <v/>
      </c>
      <c r="BX248" s="427">
        <f>IF(AND($A248&gt;=SYear_O,$A248&lt;=EYear_O,BX$3&gt;0),IF($A248=SYear_O,BX$168*(1+Data_All!BX87%),BX247*(1+Data_All!BX87%)),"")</f>
        <v>1784019.9776621552</v>
      </c>
      <c r="BY248" s="427">
        <f>IF(AND($A248&gt;=SYear_O,$A248&lt;=EYear_O,BY$3&gt;0),IF($A248=SYear_O,BY$168*(1+Data_All!BY87%),BY247*(1+Data_All!BY87%)),"")</f>
        <v>75767.183414678526</v>
      </c>
      <c r="BZ248" s="427" t="str">
        <f>IF(AND($A248&gt;=SYear_O,$A248&lt;=EYear_O,BZ$3&gt;0),IF($A248=SYear_O,BZ$168*(1+Data_All!BZ87%),BZ247*(1+Data_All!BZ87%)),"")</f>
        <v/>
      </c>
      <c r="CA248" s="565">
        <f t="shared" si="123"/>
        <v>32.520169756061485</v>
      </c>
      <c r="CB248" s="427">
        <f t="shared" si="124"/>
        <v>1859787.1610768337</v>
      </c>
      <c r="CC248" s="565">
        <f>IF(AND($A248&gt;=SYear_O,$A248&lt;=EYear_O),(CA248-Data_All!CA87)/(1+Data_All!CA87%),"")</f>
        <v>22.607243671946652</v>
      </c>
      <c r="CD248" s="436">
        <f t="shared" si="125"/>
        <v>912618.13475112233</v>
      </c>
      <c r="CE248" s="438">
        <f t="shared" si="126"/>
        <v>168.68127977769922</v>
      </c>
      <c r="CF248" s="438">
        <f>IF(AND($A248&gt;=SYear_O,$A248&lt;=EYear_O),MAX($CE$169:CE248),"")</f>
        <v>168.68127977769922</v>
      </c>
      <c r="CG248" s="209">
        <f t="shared" si="127"/>
        <v>0</v>
      </c>
      <c r="CN248" s="61">
        <f t="shared" si="128"/>
        <v>0.3252016975606149</v>
      </c>
      <c r="CO248" s="61">
        <f t="shared" si="129"/>
        <v>0.21779014894847992</v>
      </c>
      <c r="CP248" s="61">
        <f t="shared" si="130"/>
        <v>0.21831967254104967</v>
      </c>
      <c r="CQ248" s="61">
        <f t="shared" si="131"/>
        <v>0.17871814128230423</v>
      </c>
      <c r="CR248" s="61">
        <f t="shared" si="132"/>
        <v>0.15696363197236596</v>
      </c>
      <c r="CU248" s="61">
        <f t="shared" si="133"/>
        <v>0.22607243671946664</v>
      </c>
      <c r="CV248" s="61">
        <f t="shared" si="134"/>
        <v>0.16851564600520974</v>
      </c>
      <c r="CW248" s="61">
        <f t="shared" si="135"/>
        <v>0.18760653065823929</v>
      </c>
      <c r="CX248" s="61">
        <f t="shared" si="136"/>
        <v>0.15300181745445407</v>
      </c>
      <c r="CY248" s="61">
        <f t="shared" si="137"/>
        <v>0.13530859415267527</v>
      </c>
    </row>
    <row r="249" spans="1:103">
      <c r="A249" s="204">
        <f t="shared" si="107"/>
        <v>1951</v>
      </c>
      <c r="B249" s="427" t="str">
        <f>IF(AND($A249&gt;=SYear_O,$A249&lt;=EYear_O,B$3&gt;0),IF($A249=SYear_O,B$168*(1+Data_All!B88%),B248*(1+Data_All!B88%)),"")</f>
        <v/>
      </c>
      <c r="C249" s="427" t="str">
        <f>IF(AND($A249&gt;=SYear_O,$A249&lt;=EYear_O,C$3&gt;0),IF($A249=SYear_O,C$168*(1+Data_All!C88%),C248*(1+Data_All!C88%)),"")</f>
        <v/>
      </c>
      <c r="D249" s="427" t="str">
        <f>IF(AND($A249&gt;=SYear_O,$A249&lt;=EYear_O,D$3&gt;0),IF($A249=SYear_O,D$168*(1+Data_All!D88%),D248*(1+Data_All!D88%)),"")</f>
        <v/>
      </c>
      <c r="E249" s="427" t="str">
        <f>IF(AND($A249&gt;=SYear_O,$A249&lt;=EYear_O,E$3&gt;0),IF($A249=SYear_O,E$168*(1+Data_All!E88%),E248*(1+Data_All!E88%)),"")</f>
        <v/>
      </c>
      <c r="F249" s="427" t="str">
        <f>IF(AND($A249&gt;=SYear_O,$A249&lt;=EYear_O,F$3&gt;0),IF($A249=SYear_O,F$168*(1+Data_All!F88%),F248*(1+Data_All!F88%)),"")</f>
        <v/>
      </c>
      <c r="G249" s="427" t="str">
        <f>IF(AND($A249&gt;=SYear_O,$A249&lt;=EYear_O,G$3&gt;0),IF($A249=SYear_O,G$168*(1+Data_All!G88%),G248*(1+Data_All!G88%)),"")</f>
        <v/>
      </c>
      <c r="H249" s="427" t="str">
        <f>IF(AND($A249&gt;=SYear_O,$A249&lt;=EYear_O,H$3&gt;0),IF($A249=SYear_O,H$168*(1+Data_All!H88%),H248*(1+Data_All!H88%)),"")</f>
        <v/>
      </c>
      <c r="I249" s="427" t="str">
        <f>IF(AND($A249&gt;=SYear_O,$A249&lt;=EYear_O,I$3&gt;0),IF($A249=SYear_O,I$168*(1+Data_All!I88%),I248*(1+Data_All!I88%)),"")</f>
        <v/>
      </c>
      <c r="J249" s="427" t="str">
        <f>IF(AND($A249&gt;=SYear_O,$A249&lt;=EYear_O,J$3&gt;0),IF($A249=SYear_O,J$168*(1+Data_All!J88%),J248*(1+Data_All!J88%)),"")</f>
        <v/>
      </c>
      <c r="K249" s="427" t="str">
        <f>IF(AND($A249&gt;=SYear_O,$A249&lt;=EYear_O,K$3&gt;0),IF($A249=SYear_O,K$168*(1+Data_All!K88%),K248*(1+Data_All!K88%)),"")</f>
        <v/>
      </c>
      <c r="L249" s="427" t="str">
        <f>IF(AND($A249&gt;=SYear_O,$A249&lt;=EYear_O,L$3&gt;0),IF($A249=SYear_O,L$168*(1+Data_All!L88%),L248*(1+Data_All!L88%)),"")</f>
        <v/>
      </c>
      <c r="M249" s="427" t="str">
        <f>IF(AND($A249&gt;=SYear_O,$A249&lt;=EYear_O,M$3&gt;0),IF($A249=SYear_O,M$168*(1+Data_All!M88%),M248*(1+Data_All!M88%)),"")</f>
        <v/>
      </c>
      <c r="N249" s="427" t="str">
        <f>IF(AND($A249&gt;=SYear_O,$A249&lt;=EYear_O,N$3&gt;0),IF($A249=SYear_O,N$168*(1+Data_All!N88%),N248*(1+Data_All!N88%)),"")</f>
        <v/>
      </c>
      <c r="O249" s="427" t="str">
        <f>IF(AND($A249&gt;=SYear_O,$A249&lt;=EYear_O,O$3&gt;0),IF($A249=SYear_O,O$168*(1+Data_All!O88%),O248*(1+Data_All!O88%)),"")</f>
        <v/>
      </c>
      <c r="P249" s="427" t="str">
        <f>IF(AND($A249&gt;=SYear_O,$A249&lt;=EYear_O,P$3&gt;0),IF($A249=SYear_O,P$168*(1+Data_All!P88%),P248*(1+Data_All!P88%)),"")</f>
        <v/>
      </c>
      <c r="Q249" s="427" t="str">
        <f>IF(AND($A249&gt;=SYear_O,$A249&lt;=EYear_O,Q$3&gt;0),IF($A249=SYear_O,Q$168*(1+Data_All!Q88%),Q248*(1+Data_All!Q88%)),"")</f>
        <v/>
      </c>
      <c r="R249" s="427" t="str">
        <f>IF(AND($A249&gt;=SYear_O,$A249&lt;=EYear_O,R$3&gt;0),IF($A249=SYear_O,R$168*(1+Data_All!R88%),R248*(1+Data_All!R88%)),"")</f>
        <v/>
      </c>
      <c r="S249" s="427" t="str">
        <f>IF(AND($A249&gt;=SYear_O,$A249&lt;=EYear_O,S$3&gt;0),IF($A249=SYear_O,S$168*(1+Data_All!S88%),S248*(1+Data_All!S88%)),"")</f>
        <v/>
      </c>
      <c r="T249" s="427" t="str">
        <f>IF(AND($A249&gt;=SYear_O,$A249&lt;=EYear_O,T$3&gt;0),IF($A249=SYear_O,T$168*(1+Data_All!T88%),T248*(1+Data_All!T88%)),"")</f>
        <v/>
      </c>
      <c r="U249" s="427" t="str">
        <f>IF(AND($A249&gt;=SYear_O,$A249&lt;=EYear_O,U$3&gt;0),IF($A249=SYear_O,U$168*(1+Data_All!U88%),U248*(1+Data_All!U88%)),"")</f>
        <v/>
      </c>
      <c r="V249" s="427" t="str">
        <f>IF(AND($A249&gt;=SYear_O,$A249&lt;=EYear_O,V$3&gt;0),IF($A249=SYear_O,V$168*(1+Data_All!V88%),V248*(1+Data_All!V88%)),"")</f>
        <v/>
      </c>
      <c r="W249" s="427" t="str">
        <f>IF(AND($A249&gt;=SYear_O,$A249&lt;=EYear_O,W$3&gt;0),IF($A249=SYear_O,W$168*(1+Data_All!W88%),W248*(1+Data_All!W88%)),"")</f>
        <v/>
      </c>
      <c r="X249" s="427" t="str">
        <f>IF(AND($A249&gt;=SYear_O,$A249&lt;=EYear_O,X$3&gt;0),IF($A249=SYear_O,X$168*(1+Data_All!X88%),X248*(1+Data_All!X88%)),"")</f>
        <v/>
      </c>
      <c r="Y249" s="427" t="str">
        <f>IF(AND($A249&gt;=SYear_O,$A249&lt;=EYear_O,Y$3&gt;0),IF($A249=SYear_O,Y$168*(1+Data_All!Y88%),Y248*(1+Data_All!Y88%)),"")</f>
        <v/>
      </c>
      <c r="Z249" s="427" t="str">
        <f>IF(AND($A249&gt;=SYear_O,$A249&lt;=EYear_O,Z$3&gt;0),IF($A249=SYear_O,Z$168*(1+Data_All!Z88%),Z248*(1+Data_All!Z88%)),"")</f>
        <v/>
      </c>
      <c r="AA249" s="427" t="str">
        <f>IF(AND($A249&gt;=SYear_O,$A249&lt;=EYear_O,AA$3&gt;0),IF($A249=SYear_O,AA$168*(1+Data_All!AA88%),AA248*(1+Data_All!AA88%)),"")</f>
        <v/>
      </c>
      <c r="AB249" s="427" t="str">
        <f>IF(AND($A249&gt;=SYear_O,$A249&lt;=EYear_O,AB$3&gt;0),IF($A249=SYear_O,AB$168*(1+Data_All!AB88%),AB248*(1+Data_All!AB88%)),"")</f>
        <v/>
      </c>
      <c r="AC249" s="427" t="str">
        <f>IF(AND($A249&gt;=SYear_O,$A249&lt;=EYear_O,AC$3&gt;0),IF($A249=SYear_O,AC$168*(1+Data_All!AC88%),AC248*(1+Data_All!AC88%)),"")</f>
        <v/>
      </c>
      <c r="AD249" s="427" t="str">
        <f>IF(AND($A249&gt;=SYear_O,$A249&lt;=EYear_O,AD$3&gt;0),IF($A249=SYear_O,AD$168*(1+Data_All!AD88%),AD248*(1+Data_All!AD88%)),"")</f>
        <v/>
      </c>
      <c r="AE249" s="427" t="str">
        <f>IF(AND($A249&gt;=SYear_O,$A249&lt;=EYear_O,AE$3&gt;0),IF($A249=SYear_O,AE$168*(1+Data_All!AE88%),AE248*(1+Data_All!AE88%)),"")</f>
        <v/>
      </c>
      <c r="AF249" s="427" t="str">
        <f>IF(AND($A249&gt;=SYear_O,$A249&lt;=EYear_O,AF$3&gt;0),IF($A249=SYear_O,AF$168*(1+Data_All!AF88%),AF248*(1+Data_All!AF88%)),"")</f>
        <v/>
      </c>
      <c r="AG249" s="427" t="str">
        <f>IF(AND($A249&gt;=SYear_O,$A249&lt;=EYear_O,AG$3&gt;0),IF($A249=SYear_O,AG$168*(1+Data_All!AG88%),AG248*(1+Data_All!AG88%)),"")</f>
        <v/>
      </c>
      <c r="AH249" s="427" t="str">
        <f>IF(AND($A249&gt;=SYear_O,$A249&lt;=EYear_O,AH$3&gt;0),IF($A249=SYear_O,AH$168*(1+Data_All!AH88%),AH248*(1+Data_All!AH88%)),"")</f>
        <v/>
      </c>
      <c r="AI249" s="427" t="str">
        <f>IF(AND($A249&gt;=SYear_O,$A249&lt;=EYear_O,AI$3&gt;0),IF($A249=SYear_O,AI$168*(1+Data_All!AI88%),AI248*(1+Data_All!AI88%)),"")</f>
        <v/>
      </c>
      <c r="AJ249" s="427" t="str">
        <f>IF(AND($A249&gt;=SYear_O,$A249&lt;=EYear_O,AJ$3&gt;0),IF($A249=SYear_O,AJ$168*(1+Data_All!AJ88%),AJ248*(1+Data_All!AJ88%)),"")</f>
        <v/>
      </c>
      <c r="AK249" s="427" t="str">
        <f>IF(AND($A249&gt;=SYear_O,$A249&lt;=EYear_O,AK$3&gt;0),IF($A249=SYear_O,AK$168*(1+Data_All!AK88%),AK248*(1+Data_All!AK88%)),"")</f>
        <v/>
      </c>
      <c r="AL249" s="427" t="str">
        <f>IF(AND($A249&gt;=SYear_O,$A249&lt;=EYear_O,AL$3&gt;0),IF($A249=SYear_O,AL$168*(1+Data_All!AL88%),AL248*(1+Data_All!AL88%)),"")</f>
        <v/>
      </c>
      <c r="AM249" s="427" t="str">
        <f>IF(AND($A249&gt;=SYear_O,$A249&lt;=EYear_O,AM$3&gt;0),IF($A249=SYear_O,AM$168*(1+Data_All!AM88%),AM248*(1+Data_All!AM88%)),"")</f>
        <v/>
      </c>
      <c r="AN249" s="427" t="str">
        <f>IF(AND($A249&gt;=SYear_O,$A249&lt;=EYear_O,AN$3&gt;0),IF($A249=SYear_O,AN$168*(1+Data_All!AN88%),AN248*(1+Data_All!AN88%)),"")</f>
        <v/>
      </c>
      <c r="AO249" s="427" t="str">
        <f>IF(AND($A249&gt;=SYear_O,$A249&lt;=EYear_O,AO$3&gt;0),IF($A249=SYear_O,AO$168*(1+Data_All!AO88%),AO248*(1+Data_All!AO88%)),"")</f>
        <v/>
      </c>
      <c r="AP249" s="427" t="str">
        <f>IF(AND($A249&gt;=SYear_O,$A249&lt;=EYear_O,AP$3&gt;0),IF($A249=SYear_O,AP$168*(1+Data_All!AP88%),AP248*(1+Data_All!AP88%)),"")</f>
        <v/>
      </c>
      <c r="AQ249" s="427" t="str">
        <f>IF(AND($A249&gt;=SYear_O,$A249&lt;=EYear_O,AQ$3&gt;0),IF($A249=SYear_O,AQ$168*(1+Data_All!AQ88%),AQ248*(1+Data_All!AQ88%)),"")</f>
        <v/>
      </c>
      <c r="AR249" s="427" t="str">
        <f>IF(AND($A249&gt;=SYear_O,$A249&lt;=EYear_O,AR$3&gt;0),IF($A249=SYear_O,AR$168*(1+Data_All!AR88%),AR248*(1+Data_All!AR88%)),"")</f>
        <v/>
      </c>
      <c r="AS249" s="427" t="str">
        <f>IF(AND($A249&gt;=SYear_O,$A249&lt;=EYear_O,AS$3&gt;0),IF($A249=SYear_O,AS$168*(1+Data_All!AS88%),AS248*(1+Data_All!AS88%)),"")</f>
        <v/>
      </c>
      <c r="AT249" s="427" t="str">
        <f>IF(AND($A249&gt;=SYear_O,$A249&lt;=EYear_O,AT$3&gt;0),IF($A249=SYear_O,AT$168*(1+Data_All!AT88%),AT248*(1+Data_All!AT88%)),"")</f>
        <v/>
      </c>
      <c r="AU249" s="427" t="str">
        <f>IF(AND($A249&gt;=SYear_O,$A249&lt;=EYear_O,AU$3&gt;0),IF($A249=SYear_O,AU$168*(1+Data_All!AU88%),AU248*(1+Data_All!AU88%)),"")</f>
        <v/>
      </c>
      <c r="AV249" s="427" t="str">
        <f>IF(AND($A249&gt;=SYear_O,$A249&lt;=EYear_O,AV$3&gt;0),IF($A249=SYear_O,AV$168*(1+Data_All!AV88%),AV248*(1+Data_All!AV88%)),"")</f>
        <v/>
      </c>
      <c r="AW249" s="427" t="str">
        <f>IF(AND($A249&gt;=SYear_O,$A249&lt;=EYear_O,AW$3&gt;0),IF($A249=SYear_O,AW$168*(1+Data_All!AW88%),AW248*(1+Data_All!AW88%)),"")</f>
        <v/>
      </c>
      <c r="AX249" s="427" t="str">
        <f>IF(AND($A249&gt;=SYear_O,$A249&lt;=EYear_O,AX$3&gt;0),IF($A249=SYear_O,AX$168*(1+Data_All!AX88%),AX248*(1+Data_All!AX88%)),"")</f>
        <v/>
      </c>
      <c r="AY249" s="427" t="str">
        <f>IF(AND($A249&gt;=SYear_O,$A249&lt;=EYear_O,AY$3&gt;0),IF($A249=SYear_O,AY$168*(1+Data_All!AY88%),AY248*(1+Data_All!AY88%)),"")</f>
        <v/>
      </c>
      <c r="AZ249" s="427" t="str">
        <f>IF(AND($A249&gt;=SYear_O,$A249&lt;=EYear_O,AZ$3&gt;0),IF($A249=SYear_O,AZ$168*(1+Data_All!AZ88%),AZ248*(1+Data_All!AZ88%)),"")</f>
        <v/>
      </c>
      <c r="BA249" s="427" t="str">
        <f>IF(AND($A249&gt;=SYear_O,$A249&lt;=EYear_O,BA$3&gt;0),IF($A249=SYear_O,BA$168*(1+Data_All!BA88%),BA248*(1+Data_All!BA88%)),"")</f>
        <v/>
      </c>
      <c r="BB249" s="427" t="str">
        <f>IF(AND($A249&gt;=SYear_O,$A249&lt;=EYear_O,BB$3&gt;0),IF($A249=SYear_O,BB$168*(1+Data_All!BB88%),BB248*(1+Data_All!BB88%)),"")</f>
        <v/>
      </c>
      <c r="BC249" s="427" t="str">
        <f>IF(AND($A249&gt;=SYear_O,$A249&lt;=EYear_O,BC$3&gt;0),IF($A249=SYear_O,BC$168*(1+Data_All!BC88%),BC248*(1+Data_All!BC88%)),"")</f>
        <v/>
      </c>
      <c r="BD249" s="427" t="str">
        <f>IF(AND($A249&gt;=SYear_O,$A249&lt;=EYear_O,BD$3&gt;0),IF($A249=SYear_O,BD$168*(1+Data_All!BD88%),BD248*(1+Data_All!BD88%)),"")</f>
        <v/>
      </c>
      <c r="BE249" s="427" t="str">
        <f>IF(AND($A249&gt;=SYear_O,$A249&lt;=EYear_O,BE$3&gt;0),IF($A249=SYear_O,BE$168*(1+Data_All!BE88%),BE248*(1+Data_All!BE88%)),"")</f>
        <v/>
      </c>
      <c r="BF249" s="427" t="str">
        <f>IF(AND($A249&gt;=SYear_O,$A249&lt;=EYear_O,BF$3&gt;0),IF($A249=SYear_O,BF$168*(1+Data_All!BF88%),BF248*(1+Data_All!BF88%)),"")</f>
        <v/>
      </c>
      <c r="BG249" s="427" t="str">
        <f>IF(AND($A249&gt;=SYear_O,$A249&lt;=EYear_O,BG$3&gt;0),IF($A249=SYear_O,BG$168*(1+Data_All!BG88%),BG248*(1+Data_All!BG88%)),"")</f>
        <v/>
      </c>
      <c r="BH249" s="427" t="str">
        <f>IF(AND($A249&gt;=SYear_O,$A249&lt;=EYear_O,BH$3&gt;0),IF($A249=SYear_O,BH$168*(1+Data_All!BH88%),BH248*(1+Data_All!BH88%)),"")</f>
        <v/>
      </c>
      <c r="BI249" s="427" t="str">
        <f>IF(AND($A249&gt;=SYear_O,$A249&lt;=EYear_O,BI$3&gt;0),IF($A249=SYear_O,BI$168*(1+Data_All!BI88%),BI248*(1+Data_All!BI88%)),"")</f>
        <v/>
      </c>
      <c r="BJ249" s="427" t="str">
        <f>IF(AND($A249&gt;=SYear_O,$A249&lt;=EYear_O,BJ$3&gt;0),IF($A249=SYear_O,BJ$168*(1+Data_All!BJ88%),BJ248*(1+Data_All!BJ88%)),"")</f>
        <v/>
      </c>
      <c r="BK249" s="427" t="str">
        <f>IF(AND($A249&gt;=SYear_O,$A249&lt;=EYear_O,BK$3&gt;0),IF($A249=SYear_O,BK$168*(1+Data_All!BK88%),BK248*(1+Data_All!BK88%)),"")</f>
        <v/>
      </c>
      <c r="BL249" s="427" t="str">
        <f>IF(AND($A249&gt;=SYear_O,$A249&lt;=EYear_O,BL$3&gt;0),IF($A249=SYear_O,BL$168*(1+Data_All!BL88%),BL248*(1+Data_All!BL88%)),"")</f>
        <v/>
      </c>
      <c r="BM249" s="427" t="str">
        <f>IF(AND($A249&gt;=SYear_O,$A249&lt;=EYear_O,BM$3&gt;0),IF($A249=SYear_O,BM$168*(1+Data_All!BM88%),BM248*(1+Data_All!BM88%)),"")</f>
        <v/>
      </c>
      <c r="BN249" s="427" t="str">
        <f>IF(AND($A249&gt;=SYear_O,$A249&lt;=EYear_O,BN$3&gt;0),IF($A249=SYear_O,BN$168*(1+Data_All!BN88%),BN248*(1+Data_All!BN88%)),"")</f>
        <v/>
      </c>
      <c r="BO249" s="427" t="str">
        <f>IF(AND($A249&gt;=SYear_O,$A249&lt;=EYear_O,BO$3&gt;0),IF($A249=SYear_O,BO$168*(1+Data_All!BO88%),BO248*(1+Data_All!BO88%)),"")</f>
        <v/>
      </c>
      <c r="BP249" s="427" t="str">
        <f>IF(AND($A249&gt;=SYear_O,$A249&lt;=EYear_O,BP$3&gt;0),IF($A249=SYear_O,BP$168*(1+Data_All!BP88%),BP248*(1+Data_All!BP88%)),"")</f>
        <v/>
      </c>
      <c r="BQ249" s="427" t="str">
        <f>IF(AND($A249&gt;=SYear_O,$A249&lt;=EYear_O,BQ$3&gt;0),IF($A249=SYear_O,BQ$168*(1+Data_All!BQ88%),BQ248*(1+Data_All!BQ88%)),"")</f>
        <v/>
      </c>
      <c r="BR249" s="427" t="str">
        <f>IF(AND($A249&gt;=SYear_O,$A249&lt;=EYear_O,BR$3&gt;0),IF($A249=SYear_O,BR$168*(1+Data_All!BR88%),BR248*(1+Data_All!BR88%)),"")</f>
        <v/>
      </c>
      <c r="BS249" s="427" t="str">
        <f>IF(AND($A249&gt;=SYear_O,$A249&lt;=EYear_O,BS$3&gt;0),IF($A249=SYear_O,BS$168*(1+Data_All!BS88%),BS248*(1+Data_All!BS88%)),"")</f>
        <v/>
      </c>
      <c r="BT249" s="427" t="str">
        <f>IF(AND($A249&gt;=SYear_O,$A249&lt;=EYear_O,BT$3&gt;0),IF($A249=SYear_O,BT$168*(1+Data_All!BT88%),BT248*(1+Data_All!BT88%)),"")</f>
        <v/>
      </c>
      <c r="BU249" s="427" t="str">
        <f>IF(AND($A249&gt;=SYear_O,$A249&lt;=EYear_O,BU$3&gt;0),IF($A249=SYear_O,BU$168*(1+Data_All!BU88%),BU248*(1+Data_All!BU88%)),"")</f>
        <v/>
      </c>
      <c r="BV249" s="427" t="str">
        <f>IF(AND($A249&gt;=SYear_O,$A249&lt;=EYear_O,BV$3&gt;0),IF($A249=SYear_O,BV$168*(1+Data_All!BV88%),BV248*(1+Data_All!BV88%)),"")</f>
        <v/>
      </c>
      <c r="BW249" s="427" t="str">
        <f>IF(AND($A249&gt;=SYear_O,$A249&lt;=EYear_O,BW$3&gt;0),IF($A249=SYear_O,BW$168*(1+Data_All!BW88%),BW248*(1+Data_All!BW88%)),"")</f>
        <v/>
      </c>
      <c r="BX249" s="427">
        <f>IF(AND($A249&gt;=SYear_O,$A249&lt;=EYear_O,BX$3&gt;0),IF($A249=SYear_O,BX$168*(1+Data_All!BX88%),BX248*(1+Data_All!BX88%)),"")</f>
        <v>2153272.5802994426</v>
      </c>
      <c r="BY249" s="427">
        <f>IF(AND($A249&gt;=SYear_O,$A249&lt;=EYear_O,BY$3&gt;0),IF($A249=SYear_O,BY$168*(1+Data_All!BY88%),BY248*(1+Data_All!BY88%)),"")</f>
        <v>77126.129717921664</v>
      </c>
      <c r="BZ249" s="427" t="str">
        <f>IF(AND($A249&gt;=SYear_O,$A249&lt;=EYear_O,BZ$3&gt;0),IF($A249=SYear_O,BZ$168*(1+Data_All!BZ88%),BZ248*(1+Data_All!BZ88%)),"")</f>
        <v/>
      </c>
      <c r="CA249" s="565">
        <f t="shared" si="123"/>
        <v>19.927632403158608</v>
      </c>
      <c r="CB249" s="427">
        <f t="shared" si="124"/>
        <v>2230398.7100173645</v>
      </c>
      <c r="CC249" s="565">
        <f>IF(AND($A249&gt;=SYear_O,$A249&lt;=EYear_O),(CA249-Data_All!CA88)/(1+Data_All!CA88%),"")</f>
        <v>14.94950426566899</v>
      </c>
      <c r="CD249" s="436">
        <f t="shared" si="125"/>
        <v>1049050.0217350102</v>
      </c>
      <c r="CE249" s="438">
        <f t="shared" si="126"/>
        <v>202.29546514474262</v>
      </c>
      <c r="CF249" s="438">
        <f>IF(AND($A249&gt;=SYear_O,$A249&lt;=EYear_O),MAX($CE$169:CE249),"")</f>
        <v>202.29546514474262</v>
      </c>
      <c r="CG249" s="209">
        <f t="shared" si="127"/>
        <v>0</v>
      </c>
      <c r="CN249" s="61">
        <f t="shared" si="128"/>
        <v>0.19927632403158602</v>
      </c>
      <c r="CO249" s="61">
        <f t="shared" si="129"/>
        <v>0.11918979029898735</v>
      </c>
      <c r="CP249" s="61">
        <f t="shared" si="130"/>
        <v>0.20987577654741907</v>
      </c>
      <c r="CQ249" s="61">
        <f t="shared" si="131"/>
        <v>0.15303943348111404</v>
      </c>
      <c r="CR249" s="61">
        <f t="shared" si="132"/>
        <v>0.14366871702149453</v>
      </c>
      <c r="CU249" s="61">
        <f t="shared" si="133"/>
        <v>0.14949504265668989</v>
      </c>
      <c r="CV249" s="61">
        <f t="shared" si="134"/>
        <v>9.7987894315151092E-2</v>
      </c>
      <c r="CW249" s="61">
        <f t="shared" si="135"/>
        <v>0.19696255968675924</v>
      </c>
      <c r="CX249" s="61">
        <f t="shared" si="136"/>
        <v>0.13476493018911162</v>
      </c>
      <c r="CY249" s="61">
        <f t="shared" si="137"/>
        <v>0.12666295556750895</v>
      </c>
    </row>
    <row r="250" spans="1:103">
      <c r="A250" s="204">
        <f t="shared" si="107"/>
        <v>1952</v>
      </c>
      <c r="B250" s="427" t="str">
        <f>IF(AND($A250&gt;=SYear_O,$A250&lt;=EYear_O,B$3&gt;0),IF($A250=SYear_O,B$168*(1+Data_All!B89%),B249*(1+Data_All!B89%)),"")</f>
        <v/>
      </c>
      <c r="C250" s="427" t="str">
        <f>IF(AND($A250&gt;=SYear_O,$A250&lt;=EYear_O,C$3&gt;0),IF($A250=SYear_O,C$168*(1+Data_All!C89%),C249*(1+Data_All!C89%)),"")</f>
        <v/>
      </c>
      <c r="D250" s="427" t="str">
        <f>IF(AND($A250&gt;=SYear_O,$A250&lt;=EYear_O,D$3&gt;0),IF($A250=SYear_O,D$168*(1+Data_All!D89%),D249*(1+Data_All!D89%)),"")</f>
        <v/>
      </c>
      <c r="E250" s="427" t="str">
        <f>IF(AND($A250&gt;=SYear_O,$A250&lt;=EYear_O,E$3&gt;0),IF($A250=SYear_O,E$168*(1+Data_All!E89%),E249*(1+Data_All!E89%)),"")</f>
        <v/>
      </c>
      <c r="F250" s="427" t="str">
        <f>IF(AND($A250&gt;=SYear_O,$A250&lt;=EYear_O,F$3&gt;0),IF($A250=SYear_O,F$168*(1+Data_All!F89%),F249*(1+Data_All!F89%)),"")</f>
        <v/>
      </c>
      <c r="G250" s="427" t="str">
        <f>IF(AND($A250&gt;=SYear_O,$A250&lt;=EYear_O,G$3&gt;0),IF($A250=SYear_O,G$168*(1+Data_All!G89%),G249*(1+Data_All!G89%)),"")</f>
        <v/>
      </c>
      <c r="H250" s="427" t="str">
        <f>IF(AND($A250&gt;=SYear_O,$A250&lt;=EYear_O,H$3&gt;0),IF($A250=SYear_O,H$168*(1+Data_All!H89%),H249*(1+Data_All!H89%)),"")</f>
        <v/>
      </c>
      <c r="I250" s="427" t="str">
        <f>IF(AND($A250&gt;=SYear_O,$A250&lt;=EYear_O,I$3&gt;0),IF($A250=SYear_O,I$168*(1+Data_All!I89%),I249*(1+Data_All!I89%)),"")</f>
        <v/>
      </c>
      <c r="J250" s="427" t="str">
        <f>IF(AND($A250&gt;=SYear_O,$A250&lt;=EYear_O,J$3&gt;0),IF($A250=SYear_O,J$168*(1+Data_All!J89%),J249*(1+Data_All!J89%)),"")</f>
        <v/>
      </c>
      <c r="K250" s="427" t="str">
        <f>IF(AND($A250&gt;=SYear_O,$A250&lt;=EYear_O,K$3&gt;0),IF($A250=SYear_O,K$168*(1+Data_All!K89%),K249*(1+Data_All!K89%)),"")</f>
        <v/>
      </c>
      <c r="L250" s="427" t="str">
        <f>IF(AND($A250&gt;=SYear_O,$A250&lt;=EYear_O,L$3&gt;0),IF($A250=SYear_O,L$168*(1+Data_All!L89%),L249*(1+Data_All!L89%)),"")</f>
        <v/>
      </c>
      <c r="M250" s="427" t="str">
        <f>IF(AND($A250&gt;=SYear_O,$A250&lt;=EYear_O,M$3&gt;0),IF($A250=SYear_O,M$168*(1+Data_All!M89%),M249*(1+Data_All!M89%)),"")</f>
        <v/>
      </c>
      <c r="N250" s="427" t="str">
        <f>IF(AND($A250&gt;=SYear_O,$A250&lt;=EYear_O,N$3&gt;0),IF($A250=SYear_O,N$168*(1+Data_All!N89%),N249*(1+Data_All!N89%)),"")</f>
        <v/>
      </c>
      <c r="O250" s="427" t="str">
        <f>IF(AND($A250&gt;=SYear_O,$A250&lt;=EYear_O,O$3&gt;0),IF($A250=SYear_O,O$168*(1+Data_All!O89%),O249*(1+Data_All!O89%)),"")</f>
        <v/>
      </c>
      <c r="P250" s="427" t="str">
        <f>IF(AND($A250&gt;=SYear_O,$A250&lt;=EYear_O,P$3&gt;0),IF($A250=SYear_O,P$168*(1+Data_All!P89%),P249*(1+Data_All!P89%)),"")</f>
        <v/>
      </c>
      <c r="Q250" s="427" t="str">
        <f>IF(AND($A250&gt;=SYear_O,$A250&lt;=EYear_O,Q$3&gt;0),IF($A250=SYear_O,Q$168*(1+Data_All!Q89%),Q249*(1+Data_All!Q89%)),"")</f>
        <v/>
      </c>
      <c r="R250" s="427" t="str">
        <f>IF(AND($A250&gt;=SYear_O,$A250&lt;=EYear_O,R$3&gt;0),IF($A250=SYear_O,R$168*(1+Data_All!R89%),R249*(1+Data_All!R89%)),"")</f>
        <v/>
      </c>
      <c r="S250" s="427" t="str">
        <f>IF(AND($A250&gt;=SYear_O,$A250&lt;=EYear_O,S$3&gt;0),IF($A250=SYear_O,S$168*(1+Data_All!S89%),S249*(1+Data_All!S89%)),"")</f>
        <v/>
      </c>
      <c r="T250" s="427" t="str">
        <f>IF(AND($A250&gt;=SYear_O,$A250&lt;=EYear_O,T$3&gt;0),IF($A250=SYear_O,T$168*(1+Data_All!T89%),T249*(1+Data_All!T89%)),"")</f>
        <v/>
      </c>
      <c r="U250" s="427" t="str">
        <f>IF(AND($A250&gt;=SYear_O,$A250&lt;=EYear_O,U$3&gt;0),IF($A250=SYear_O,U$168*(1+Data_All!U89%),U249*(1+Data_All!U89%)),"")</f>
        <v/>
      </c>
      <c r="V250" s="427" t="str">
        <f>IF(AND($A250&gt;=SYear_O,$A250&lt;=EYear_O,V$3&gt;0),IF($A250=SYear_O,V$168*(1+Data_All!V89%),V249*(1+Data_All!V89%)),"")</f>
        <v/>
      </c>
      <c r="W250" s="427" t="str">
        <f>IF(AND($A250&gt;=SYear_O,$A250&lt;=EYear_O,W$3&gt;0),IF($A250=SYear_O,W$168*(1+Data_All!W89%),W249*(1+Data_All!W89%)),"")</f>
        <v/>
      </c>
      <c r="X250" s="427" t="str">
        <f>IF(AND($A250&gt;=SYear_O,$A250&lt;=EYear_O,X$3&gt;0),IF($A250=SYear_O,X$168*(1+Data_All!X89%),X249*(1+Data_All!X89%)),"")</f>
        <v/>
      </c>
      <c r="Y250" s="427" t="str">
        <f>IF(AND($A250&gt;=SYear_O,$A250&lt;=EYear_O,Y$3&gt;0),IF($A250=SYear_O,Y$168*(1+Data_All!Y89%),Y249*(1+Data_All!Y89%)),"")</f>
        <v/>
      </c>
      <c r="Z250" s="427" t="str">
        <f>IF(AND($A250&gt;=SYear_O,$A250&lt;=EYear_O,Z$3&gt;0),IF($A250=SYear_O,Z$168*(1+Data_All!Z89%),Z249*(1+Data_All!Z89%)),"")</f>
        <v/>
      </c>
      <c r="AA250" s="427" t="str">
        <f>IF(AND($A250&gt;=SYear_O,$A250&lt;=EYear_O,AA$3&gt;0),IF($A250=SYear_O,AA$168*(1+Data_All!AA89%),AA249*(1+Data_All!AA89%)),"")</f>
        <v/>
      </c>
      <c r="AB250" s="427" t="str">
        <f>IF(AND($A250&gt;=SYear_O,$A250&lt;=EYear_O,AB$3&gt;0),IF($A250=SYear_O,AB$168*(1+Data_All!AB89%),AB249*(1+Data_All!AB89%)),"")</f>
        <v/>
      </c>
      <c r="AC250" s="427" t="str">
        <f>IF(AND($A250&gt;=SYear_O,$A250&lt;=EYear_O,AC$3&gt;0),IF($A250=SYear_O,AC$168*(1+Data_All!AC89%),AC249*(1+Data_All!AC89%)),"")</f>
        <v/>
      </c>
      <c r="AD250" s="427" t="str">
        <f>IF(AND($A250&gt;=SYear_O,$A250&lt;=EYear_O,AD$3&gt;0),IF($A250=SYear_O,AD$168*(1+Data_All!AD89%),AD249*(1+Data_All!AD89%)),"")</f>
        <v/>
      </c>
      <c r="AE250" s="427" t="str">
        <f>IF(AND($A250&gt;=SYear_O,$A250&lt;=EYear_O,AE$3&gt;0),IF($A250=SYear_O,AE$168*(1+Data_All!AE89%),AE249*(1+Data_All!AE89%)),"")</f>
        <v/>
      </c>
      <c r="AF250" s="427" t="str">
        <f>IF(AND($A250&gt;=SYear_O,$A250&lt;=EYear_O,AF$3&gt;0),IF($A250=SYear_O,AF$168*(1+Data_All!AF89%),AF249*(1+Data_All!AF89%)),"")</f>
        <v/>
      </c>
      <c r="AG250" s="427" t="str">
        <f>IF(AND($A250&gt;=SYear_O,$A250&lt;=EYear_O,AG$3&gt;0),IF($A250=SYear_O,AG$168*(1+Data_All!AG89%),AG249*(1+Data_All!AG89%)),"")</f>
        <v/>
      </c>
      <c r="AH250" s="427" t="str">
        <f>IF(AND($A250&gt;=SYear_O,$A250&lt;=EYear_O,AH$3&gt;0),IF($A250=SYear_O,AH$168*(1+Data_All!AH89%),AH249*(1+Data_All!AH89%)),"")</f>
        <v/>
      </c>
      <c r="AI250" s="427" t="str">
        <f>IF(AND($A250&gt;=SYear_O,$A250&lt;=EYear_O,AI$3&gt;0),IF($A250=SYear_O,AI$168*(1+Data_All!AI89%),AI249*(1+Data_All!AI89%)),"")</f>
        <v/>
      </c>
      <c r="AJ250" s="427" t="str">
        <f>IF(AND($A250&gt;=SYear_O,$A250&lt;=EYear_O,AJ$3&gt;0),IF($A250=SYear_O,AJ$168*(1+Data_All!AJ89%),AJ249*(1+Data_All!AJ89%)),"")</f>
        <v/>
      </c>
      <c r="AK250" s="427" t="str">
        <f>IF(AND($A250&gt;=SYear_O,$A250&lt;=EYear_O,AK$3&gt;0),IF($A250=SYear_O,AK$168*(1+Data_All!AK89%),AK249*(1+Data_All!AK89%)),"")</f>
        <v/>
      </c>
      <c r="AL250" s="427" t="str">
        <f>IF(AND($A250&gt;=SYear_O,$A250&lt;=EYear_O,AL$3&gt;0),IF($A250=SYear_O,AL$168*(1+Data_All!AL89%),AL249*(1+Data_All!AL89%)),"")</f>
        <v/>
      </c>
      <c r="AM250" s="427" t="str">
        <f>IF(AND($A250&gt;=SYear_O,$A250&lt;=EYear_O,AM$3&gt;0),IF($A250=SYear_O,AM$168*(1+Data_All!AM89%),AM249*(1+Data_All!AM89%)),"")</f>
        <v/>
      </c>
      <c r="AN250" s="427" t="str">
        <f>IF(AND($A250&gt;=SYear_O,$A250&lt;=EYear_O,AN$3&gt;0),IF($A250=SYear_O,AN$168*(1+Data_All!AN89%),AN249*(1+Data_All!AN89%)),"")</f>
        <v/>
      </c>
      <c r="AO250" s="427" t="str">
        <f>IF(AND($A250&gt;=SYear_O,$A250&lt;=EYear_O,AO$3&gt;0),IF($A250=SYear_O,AO$168*(1+Data_All!AO89%),AO249*(1+Data_All!AO89%)),"")</f>
        <v/>
      </c>
      <c r="AP250" s="427" t="str">
        <f>IF(AND($A250&gt;=SYear_O,$A250&lt;=EYear_O,AP$3&gt;0),IF($A250=SYear_O,AP$168*(1+Data_All!AP89%),AP249*(1+Data_All!AP89%)),"")</f>
        <v/>
      </c>
      <c r="AQ250" s="427" t="str">
        <f>IF(AND($A250&gt;=SYear_O,$A250&lt;=EYear_O,AQ$3&gt;0),IF($A250=SYear_O,AQ$168*(1+Data_All!AQ89%),AQ249*(1+Data_All!AQ89%)),"")</f>
        <v/>
      </c>
      <c r="AR250" s="427" t="str">
        <f>IF(AND($A250&gt;=SYear_O,$A250&lt;=EYear_O,AR$3&gt;0),IF($A250=SYear_O,AR$168*(1+Data_All!AR89%),AR249*(1+Data_All!AR89%)),"")</f>
        <v/>
      </c>
      <c r="AS250" s="427" t="str">
        <f>IF(AND($A250&gt;=SYear_O,$A250&lt;=EYear_O,AS$3&gt;0),IF($A250=SYear_O,AS$168*(1+Data_All!AS89%),AS249*(1+Data_All!AS89%)),"")</f>
        <v/>
      </c>
      <c r="AT250" s="427" t="str">
        <f>IF(AND($A250&gt;=SYear_O,$A250&lt;=EYear_O,AT$3&gt;0),IF($A250=SYear_O,AT$168*(1+Data_All!AT89%),AT249*(1+Data_All!AT89%)),"")</f>
        <v/>
      </c>
      <c r="AU250" s="427" t="str">
        <f>IF(AND($A250&gt;=SYear_O,$A250&lt;=EYear_O,AU$3&gt;0),IF($A250=SYear_O,AU$168*(1+Data_All!AU89%),AU249*(1+Data_All!AU89%)),"")</f>
        <v/>
      </c>
      <c r="AV250" s="427" t="str">
        <f>IF(AND($A250&gt;=SYear_O,$A250&lt;=EYear_O,AV$3&gt;0),IF($A250=SYear_O,AV$168*(1+Data_All!AV89%),AV249*(1+Data_All!AV89%)),"")</f>
        <v/>
      </c>
      <c r="AW250" s="427" t="str">
        <f>IF(AND($A250&gt;=SYear_O,$A250&lt;=EYear_O,AW$3&gt;0),IF($A250=SYear_O,AW$168*(1+Data_All!AW89%),AW249*(1+Data_All!AW89%)),"")</f>
        <v/>
      </c>
      <c r="AX250" s="427" t="str">
        <f>IF(AND($A250&gt;=SYear_O,$A250&lt;=EYear_O,AX$3&gt;0),IF($A250=SYear_O,AX$168*(1+Data_All!AX89%),AX249*(1+Data_All!AX89%)),"")</f>
        <v/>
      </c>
      <c r="AY250" s="427" t="str">
        <f>IF(AND($A250&gt;=SYear_O,$A250&lt;=EYear_O,AY$3&gt;0),IF($A250=SYear_O,AY$168*(1+Data_All!AY89%),AY249*(1+Data_All!AY89%)),"")</f>
        <v/>
      </c>
      <c r="AZ250" s="427" t="str">
        <f>IF(AND($A250&gt;=SYear_O,$A250&lt;=EYear_O,AZ$3&gt;0),IF($A250=SYear_O,AZ$168*(1+Data_All!AZ89%),AZ249*(1+Data_All!AZ89%)),"")</f>
        <v/>
      </c>
      <c r="BA250" s="427" t="str">
        <f>IF(AND($A250&gt;=SYear_O,$A250&lt;=EYear_O,BA$3&gt;0),IF($A250=SYear_O,BA$168*(1+Data_All!BA89%),BA249*(1+Data_All!BA89%)),"")</f>
        <v/>
      </c>
      <c r="BB250" s="427" t="str">
        <f>IF(AND($A250&gt;=SYear_O,$A250&lt;=EYear_O,BB$3&gt;0),IF($A250=SYear_O,BB$168*(1+Data_All!BB89%),BB249*(1+Data_All!BB89%)),"")</f>
        <v/>
      </c>
      <c r="BC250" s="427" t="str">
        <f>IF(AND($A250&gt;=SYear_O,$A250&lt;=EYear_O,BC$3&gt;0),IF($A250=SYear_O,BC$168*(1+Data_All!BC89%),BC249*(1+Data_All!BC89%)),"")</f>
        <v/>
      </c>
      <c r="BD250" s="427" t="str">
        <f>IF(AND($A250&gt;=SYear_O,$A250&lt;=EYear_O,BD$3&gt;0),IF($A250=SYear_O,BD$168*(1+Data_All!BD89%),BD249*(1+Data_All!BD89%)),"")</f>
        <v/>
      </c>
      <c r="BE250" s="427" t="str">
        <f>IF(AND($A250&gt;=SYear_O,$A250&lt;=EYear_O,BE$3&gt;0),IF($A250=SYear_O,BE$168*(1+Data_All!BE89%),BE249*(1+Data_All!BE89%)),"")</f>
        <v/>
      </c>
      <c r="BF250" s="427" t="str">
        <f>IF(AND($A250&gt;=SYear_O,$A250&lt;=EYear_O,BF$3&gt;0),IF($A250=SYear_O,BF$168*(1+Data_All!BF89%),BF249*(1+Data_All!BF89%)),"")</f>
        <v/>
      </c>
      <c r="BG250" s="427" t="str">
        <f>IF(AND($A250&gt;=SYear_O,$A250&lt;=EYear_O,BG$3&gt;0),IF($A250=SYear_O,BG$168*(1+Data_All!BG89%),BG249*(1+Data_All!BG89%)),"")</f>
        <v/>
      </c>
      <c r="BH250" s="427" t="str">
        <f>IF(AND($A250&gt;=SYear_O,$A250&lt;=EYear_O,BH$3&gt;0),IF($A250=SYear_O,BH$168*(1+Data_All!BH89%),BH249*(1+Data_All!BH89%)),"")</f>
        <v/>
      </c>
      <c r="BI250" s="427" t="str">
        <f>IF(AND($A250&gt;=SYear_O,$A250&lt;=EYear_O,BI$3&gt;0),IF($A250=SYear_O,BI$168*(1+Data_All!BI89%),BI249*(1+Data_All!BI89%)),"")</f>
        <v/>
      </c>
      <c r="BJ250" s="427" t="str">
        <f>IF(AND($A250&gt;=SYear_O,$A250&lt;=EYear_O,BJ$3&gt;0),IF($A250=SYear_O,BJ$168*(1+Data_All!BJ89%),BJ249*(1+Data_All!BJ89%)),"")</f>
        <v/>
      </c>
      <c r="BK250" s="427" t="str">
        <f>IF(AND($A250&gt;=SYear_O,$A250&lt;=EYear_O,BK$3&gt;0),IF($A250=SYear_O,BK$168*(1+Data_All!BK89%),BK249*(1+Data_All!BK89%)),"")</f>
        <v/>
      </c>
      <c r="BL250" s="427" t="str">
        <f>IF(AND($A250&gt;=SYear_O,$A250&lt;=EYear_O,BL$3&gt;0),IF($A250=SYear_O,BL$168*(1+Data_All!BL89%),BL249*(1+Data_All!BL89%)),"")</f>
        <v/>
      </c>
      <c r="BM250" s="427" t="str">
        <f>IF(AND($A250&gt;=SYear_O,$A250&lt;=EYear_O,BM$3&gt;0),IF($A250=SYear_O,BM$168*(1+Data_All!BM89%),BM249*(1+Data_All!BM89%)),"")</f>
        <v/>
      </c>
      <c r="BN250" s="427" t="str">
        <f>IF(AND($A250&gt;=SYear_O,$A250&lt;=EYear_O,BN$3&gt;0),IF($A250=SYear_O,BN$168*(1+Data_All!BN89%),BN249*(1+Data_All!BN89%)),"")</f>
        <v/>
      </c>
      <c r="BO250" s="427" t="str">
        <f>IF(AND($A250&gt;=SYear_O,$A250&lt;=EYear_O,BO$3&gt;0),IF($A250=SYear_O,BO$168*(1+Data_All!BO89%),BO249*(1+Data_All!BO89%)),"")</f>
        <v/>
      </c>
      <c r="BP250" s="427" t="str">
        <f>IF(AND($A250&gt;=SYear_O,$A250&lt;=EYear_O,BP$3&gt;0),IF($A250=SYear_O,BP$168*(1+Data_All!BP89%),BP249*(1+Data_All!BP89%)),"")</f>
        <v/>
      </c>
      <c r="BQ250" s="427" t="str">
        <f>IF(AND($A250&gt;=SYear_O,$A250&lt;=EYear_O,BQ$3&gt;0),IF($A250=SYear_O,BQ$168*(1+Data_All!BQ89%),BQ249*(1+Data_All!BQ89%)),"")</f>
        <v/>
      </c>
      <c r="BR250" s="427" t="str">
        <f>IF(AND($A250&gt;=SYear_O,$A250&lt;=EYear_O,BR$3&gt;0),IF($A250=SYear_O,BR$168*(1+Data_All!BR89%),BR249*(1+Data_All!BR89%)),"")</f>
        <v/>
      </c>
      <c r="BS250" s="427" t="str">
        <f>IF(AND($A250&gt;=SYear_O,$A250&lt;=EYear_O,BS$3&gt;0),IF($A250=SYear_O,BS$168*(1+Data_All!BS89%),BS249*(1+Data_All!BS89%)),"")</f>
        <v/>
      </c>
      <c r="BT250" s="427" t="str">
        <f>IF(AND($A250&gt;=SYear_O,$A250&lt;=EYear_O,BT$3&gt;0),IF($A250=SYear_O,BT$168*(1+Data_All!BT89%),BT249*(1+Data_All!BT89%)),"")</f>
        <v/>
      </c>
      <c r="BU250" s="427" t="str">
        <f>IF(AND($A250&gt;=SYear_O,$A250&lt;=EYear_O,BU$3&gt;0),IF($A250=SYear_O,BU$168*(1+Data_All!BU89%),BU249*(1+Data_All!BU89%)),"")</f>
        <v/>
      </c>
      <c r="BV250" s="427" t="str">
        <f>IF(AND($A250&gt;=SYear_O,$A250&lt;=EYear_O,BV$3&gt;0),IF($A250=SYear_O,BV$168*(1+Data_All!BV89%),BV249*(1+Data_All!BV89%)),"")</f>
        <v/>
      </c>
      <c r="BW250" s="427" t="str">
        <f>IF(AND($A250&gt;=SYear_O,$A250&lt;=EYear_O,BW$3&gt;0),IF($A250=SYear_O,BW$168*(1+Data_All!BW89%),BW249*(1+Data_All!BW89%)),"")</f>
        <v/>
      </c>
      <c r="BX250" s="427">
        <f>IF(AND($A250&gt;=SYear_O,$A250&lt;=EYear_O,BX$3&gt;0),IF($A250=SYear_O,BX$168*(1+Data_All!BX89%),BX249*(1+Data_All!BX89%)),"")</f>
        <v>2455923.5423919642</v>
      </c>
      <c r="BY250" s="427">
        <f>IF(AND($A250&gt;=SYear_O,$A250&lt;=EYear_O,BY$3&gt;0),IF($A250=SYear_O,BY$168*(1+Data_All!BY89%),BY249*(1+Data_All!BY89%)),"")</f>
        <v>78613.433981556591</v>
      </c>
      <c r="BZ250" s="427" t="str">
        <f>IF(AND($A250&gt;=SYear_O,$A250&lt;=EYear_O,BZ$3&gt;0),IF($A250=SYear_O,BZ$168*(1+Data_All!BZ89%),BZ249*(1+Data_All!BZ89%)),"")</f>
        <v/>
      </c>
      <c r="CA250" s="565">
        <f t="shared" si="123"/>
        <v>13.636049240442233</v>
      </c>
      <c r="CB250" s="427">
        <f t="shared" si="124"/>
        <v>2534536.9763735207</v>
      </c>
      <c r="CC250" s="565">
        <f>IF(AND($A250&gt;=SYear_O,$A250&lt;=EYear_O),(CA250-Data_All!CA89)/(1+Data_All!CA89%),"")</f>
        <v>13.20884604780899</v>
      </c>
      <c r="CD250" s="436">
        <f t="shared" si="125"/>
        <v>1187617.4240704945</v>
      </c>
      <c r="CE250" s="438">
        <f t="shared" si="126"/>
        <v>229.8805743830614</v>
      </c>
      <c r="CF250" s="438">
        <f>IF(AND($A250&gt;=SYear_O,$A250&lt;=EYear_O),MAX($CE$169:CE250),"")</f>
        <v>229.8805743830614</v>
      </c>
      <c r="CG250" s="209">
        <f t="shared" si="127"/>
        <v>0</v>
      </c>
      <c r="CN250" s="61">
        <f t="shared" si="128"/>
        <v>0.13636049240442238</v>
      </c>
      <c r="CO250" s="61">
        <f t="shared" si="129"/>
        <v>0.19088094715648607</v>
      </c>
      <c r="CP250" s="61">
        <f t="shared" si="130"/>
        <v>0.18197276386216199</v>
      </c>
      <c r="CQ250" s="61">
        <f t="shared" si="131"/>
        <v>0.15198124264935453</v>
      </c>
      <c r="CR250" s="61">
        <f t="shared" si="132"/>
        <v>0.12497784859473215</v>
      </c>
      <c r="CU250" s="61">
        <f t="shared" si="133"/>
        <v>0.13208846047808986</v>
      </c>
      <c r="CV250" s="61">
        <f t="shared" si="134"/>
        <v>0.18790000616058777</v>
      </c>
      <c r="CW250" s="61">
        <f t="shared" si="135"/>
        <v>0.17239734862021194</v>
      </c>
      <c r="CX250" s="61">
        <f t="shared" si="136"/>
        <v>0.13777888435431751</v>
      </c>
      <c r="CY250" s="61">
        <f t="shared" si="137"/>
        <v>0.1088700054319498</v>
      </c>
    </row>
    <row r="251" spans="1:103">
      <c r="A251" s="204">
        <f t="shared" si="107"/>
        <v>1953</v>
      </c>
      <c r="B251" s="427" t="str">
        <f>IF(AND($A251&gt;=SYear_O,$A251&lt;=EYear_O,B$3&gt;0),IF($A251=SYear_O,B$168*(1+Data_All!B90%),B250*(1+Data_All!B90%)),"")</f>
        <v/>
      </c>
      <c r="C251" s="427" t="str">
        <f>IF(AND($A251&gt;=SYear_O,$A251&lt;=EYear_O,C$3&gt;0),IF($A251=SYear_O,C$168*(1+Data_All!C90%),C250*(1+Data_All!C90%)),"")</f>
        <v/>
      </c>
      <c r="D251" s="427" t="str">
        <f>IF(AND($A251&gt;=SYear_O,$A251&lt;=EYear_O,D$3&gt;0),IF($A251=SYear_O,D$168*(1+Data_All!D90%),D250*(1+Data_All!D90%)),"")</f>
        <v/>
      </c>
      <c r="E251" s="427" t="str">
        <f>IF(AND($A251&gt;=SYear_O,$A251&lt;=EYear_O,E$3&gt;0),IF($A251=SYear_O,E$168*(1+Data_All!E90%),E250*(1+Data_All!E90%)),"")</f>
        <v/>
      </c>
      <c r="F251" s="427" t="str">
        <f>IF(AND($A251&gt;=SYear_O,$A251&lt;=EYear_O,F$3&gt;0),IF($A251=SYear_O,F$168*(1+Data_All!F90%),F250*(1+Data_All!F90%)),"")</f>
        <v/>
      </c>
      <c r="G251" s="427" t="str">
        <f>IF(AND($A251&gt;=SYear_O,$A251&lt;=EYear_O,G$3&gt;0),IF($A251=SYear_O,G$168*(1+Data_All!G90%),G250*(1+Data_All!G90%)),"")</f>
        <v/>
      </c>
      <c r="H251" s="427" t="str">
        <f>IF(AND($A251&gt;=SYear_O,$A251&lt;=EYear_O,H$3&gt;0),IF($A251=SYear_O,H$168*(1+Data_All!H90%),H250*(1+Data_All!H90%)),"")</f>
        <v/>
      </c>
      <c r="I251" s="427" t="str">
        <f>IF(AND($A251&gt;=SYear_O,$A251&lt;=EYear_O,I$3&gt;0),IF($A251=SYear_O,I$168*(1+Data_All!I90%),I250*(1+Data_All!I90%)),"")</f>
        <v/>
      </c>
      <c r="J251" s="427" t="str">
        <f>IF(AND($A251&gt;=SYear_O,$A251&lt;=EYear_O,J$3&gt;0),IF($A251=SYear_O,J$168*(1+Data_All!J90%),J250*(1+Data_All!J90%)),"")</f>
        <v/>
      </c>
      <c r="K251" s="427" t="str">
        <f>IF(AND($A251&gt;=SYear_O,$A251&lt;=EYear_O,K$3&gt;0),IF($A251=SYear_O,K$168*(1+Data_All!K90%),K250*(1+Data_All!K90%)),"")</f>
        <v/>
      </c>
      <c r="L251" s="427" t="str">
        <f>IF(AND($A251&gt;=SYear_O,$A251&lt;=EYear_O,L$3&gt;0),IF($A251=SYear_O,L$168*(1+Data_All!L90%),L250*(1+Data_All!L90%)),"")</f>
        <v/>
      </c>
      <c r="M251" s="427" t="str">
        <f>IF(AND($A251&gt;=SYear_O,$A251&lt;=EYear_O,M$3&gt;0),IF($A251=SYear_O,M$168*(1+Data_All!M90%),M250*(1+Data_All!M90%)),"")</f>
        <v/>
      </c>
      <c r="N251" s="427" t="str">
        <f>IF(AND($A251&gt;=SYear_O,$A251&lt;=EYear_O,N$3&gt;0),IF($A251=SYear_O,N$168*(1+Data_All!N90%),N250*(1+Data_All!N90%)),"")</f>
        <v/>
      </c>
      <c r="O251" s="427" t="str">
        <f>IF(AND($A251&gt;=SYear_O,$A251&lt;=EYear_O,O$3&gt;0),IF($A251=SYear_O,O$168*(1+Data_All!O90%),O250*(1+Data_All!O90%)),"")</f>
        <v/>
      </c>
      <c r="P251" s="427" t="str">
        <f>IF(AND($A251&gt;=SYear_O,$A251&lt;=EYear_O,P$3&gt;0),IF($A251=SYear_O,P$168*(1+Data_All!P90%),P250*(1+Data_All!P90%)),"")</f>
        <v/>
      </c>
      <c r="Q251" s="427" t="str">
        <f>IF(AND($A251&gt;=SYear_O,$A251&lt;=EYear_O,Q$3&gt;0),IF($A251=SYear_O,Q$168*(1+Data_All!Q90%),Q250*(1+Data_All!Q90%)),"")</f>
        <v/>
      </c>
      <c r="R251" s="427" t="str">
        <f>IF(AND($A251&gt;=SYear_O,$A251&lt;=EYear_O,R$3&gt;0),IF($A251=SYear_O,R$168*(1+Data_All!R90%),R250*(1+Data_All!R90%)),"")</f>
        <v/>
      </c>
      <c r="S251" s="427" t="str">
        <f>IF(AND($A251&gt;=SYear_O,$A251&lt;=EYear_O,S$3&gt;0),IF($A251=SYear_O,S$168*(1+Data_All!S90%),S250*(1+Data_All!S90%)),"")</f>
        <v/>
      </c>
      <c r="T251" s="427" t="str">
        <f>IF(AND($A251&gt;=SYear_O,$A251&lt;=EYear_O,T$3&gt;0),IF($A251=SYear_O,T$168*(1+Data_All!T90%),T250*(1+Data_All!T90%)),"")</f>
        <v/>
      </c>
      <c r="U251" s="427" t="str">
        <f>IF(AND($A251&gt;=SYear_O,$A251&lt;=EYear_O,U$3&gt;0),IF($A251=SYear_O,U$168*(1+Data_All!U90%),U250*(1+Data_All!U90%)),"")</f>
        <v/>
      </c>
      <c r="V251" s="427" t="str">
        <f>IF(AND($A251&gt;=SYear_O,$A251&lt;=EYear_O,V$3&gt;0),IF($A251=SYear_O,V$168*(1+Data_All!V90%),V250*(1+Data_All!V90%)),"")</f>
        <v/>
      </c>
      <c r="W251" s="427" t="str">
        <f>IF(AND($A251&gt;=SYear_O,$A251&lt;=EYear_O,W$3&gt;0),IF($A251=SYear_O,W$168*(1+Data_All!W90%),W250*(1+Data_All!W90%)),"")</f>
        <v/>
      </c>
      <c r="X251" s="427" t="str">
        <f>IF(AND($A251&gt;=SYear_O,$A251&lt;=EYear_O,X$3&gt;0),IF($A251=SYear_O,X$168*(1+Data_All!X90%),X250*(1+Data_All!X90%)),"")</f>
        <v/>
      </c>
      <c r="Y251" s="427" t="str">
        <f>IF(AND($A251&gt;=SYear_O,$A251&lt;=EYear_O,Y$3&gt;0),IF($A251=SYear_O,Y$168*(1+Data_All!Y90%),Y250*(1+Data_All!Y90%)),"")</f>
        <v/>
      </c>
      <c r="Z251" s="427" t="str">
        <f>IF(AND($A251&gt;=SYear_O,$A251&lt;=EYear_O,Z$3&gt;0),IF($A251=SYear_O,Z$168*(1+Data_All!Z90%),Z250*(1+Data_All!Z90%)),"")</f>
        <v/>
      </c>
      <c r="AA251" s="427" t="str">
        <f>IF(AND($A251&gt;=SYear_O,$A251&lt;=EYear_O,AA$3&gt;0),IF($A251=SYear_O,AA$168*(1+Data_All!AA90%),AA250*(1+Data_All!AA90%)),"")</f>
        <v/>
      </c>
      <c r="AB251" s="427" t="str">
        <f>IF(AND($A251&gt;=SYear_O,$A251&lt;=EYear_O,AB$3&gt;0),IF($A251=SYear_O,AB$168*(1+Data_All!AB90%),AB250*(1+Data_All!AB90%)),"")</f>
        <v/>
      </c>
      <c r="AC251" s="427" t="str">
        <f>IF(AND($A251&gt;=SYear_O,$A251&lt;=EYear_O,AC$3&gt;0),IF($A251=SYear_O,AC$168*(1+Data_All!AC90%),AC250*(1+Data_All!AC90%)),"")</f>
        <v/>
      </c>
      <c r="AD251" s="427" t="str">
        <f>IF(AND($A251&gt;=SYear_O,$A251&lt;=EYear_O,AD$3&gt;0),IF($A251=SYear_O,AD$168*(1+Data_All!AD90%),AD250*(1+Data_All!AD90%)),"")</f>
        <v/>
      </c>
      <c r="AE251" s="427" t="str">
        <f>IF(AND($A251&gt;=SYear_O,$A251&lt;=EYear_O,AE$3&gt;0),IF($A251=SYear_O,AE$168*(1+Data_All!AE90%),AE250*(1+Data_All!AE90%)),"")</f>
        <v/>
      </c>
      <c r="AF251" s="427" t="str">
        <f>IF(AND($A251&gt;=SYear_O,$A251&lt;=EYear_O,AF$3&gt;0),IF($A251=SYear_O,AF$168*(1+Data_All!AF90%),AF250*(1+Data_All!AF90%)),"")</f>
        <v/>
      </c>
      <c r="AG251" s="427" t="str">
        <f>IF(AND($A251&gt;=SYear_O,$A251&lt;=EYear_O,AG$3&gt;0),IF($A251=SYear_O,AG$168*(1+Data_All!AG90%),AG250*(1+Data_All!AG90%)),"")</f>
        <v/>
      </c>
      <c r="AH251" s="427" t="str">
        <f>IF(AND($A251&gt;=SYear_O,$A251&lt;=EYear_O,AH$3&gt;0),IF($A251=SYear_O,AH$168*(1+Data_All!AH90%),AH250*(1+Data_All!AH90%)),"")</f>
        <v/>
      </c>
      <c r="AI251" s="427" t="str">
        <f>IF(AND($A251&gt;=SYear_O,$A251&lt;=EYear_O,AI$3&gt;0),IF($A251=SYear_O,AI$168*(1+Data_All!AI90%),AI250*(1+Data_All!AI90%)),"")</f>
        <v/>
      </c>
      <c r="AJ251" s="427" t="str">
        <f>IF(AND($A251&gt;=SYear_O,$A251&lt;=EYear_O,AJ$3&gt;0),IF($A251=SYear_O,AJ$168*(1+Data_All!AJ90%),AJ250*(1+Data_All!AJ90%)),"")</f>
        <v/>
      </c>
      <c r="AK251" s="427" t="str">
        <f>IF(AND($A251&gt;=SYear_O,$A251&lt;=EYear_O,AK$3&gt;0),IF($A251=SYear_O,AK$168*(1+Data_All!AK90%),AK250*(1+Data_All!AK90%)),"")</f>
        <v/>
      </c>
      <c r="AL251" s="427" t="str">
        <f>IF(AND($A251&gt;=SYear_O,$A251&lt;=EYear_O,AL$3&gt;0),IF($A251=SYear_O,AL$168*(1+Data_All!AL90%),AL250*(1+Data_All!AL90%)),"")</f>
        <v/>
      </c>
      <c r="AM251" s="427" t="str">
        <f>IF(AND($A251&gt;=SYear_O,$A251&lt;=EYear_O,AM$3&gt;0),IF($A251=SYear_O,AM$168*(1+Data_All!AM90%),AM250*(1+Data_All!AM90%)),"")</f>
        <v/>
      </c>
      <c r="AN251" s="427" t="str">
        <f>IF(AND($A251&gt;=SYear_O,$A251&lt;=EYear_O,AN$3&gt;0),IF($A251=SYear_O,AN$168*(1+Data_All!AN90%),AN250*(1+Data_All!AN90%)),"")</f>
        <v/>
      </c>
      <c r="AO251" s="427" t="str">
        <f>IF(AND($A251&gt;=SYear_O,$A251&lt;=EYear_O,AO$3&gt;0),IF($A251=SYear_O,AO$168*(1+Data_All!AO90%),AO250*(1+Data_All!AO90%)),"")</f>
        <v/>
      </c>
      <c r="AP251" s="427" t="str">
        <f>IF(AND($A251&gt;=SYear_O,$A251&lt;=EYear_O,AP$3&gt;0),IF($A251=SYear_O,AP$168*(1+Data_All!AP90%),AP250*(1+Data_All!AP90%)),"")</f>
        <v/>
      </c>
      <c r="AQ251" s="427" t="str">
        <f>IF(AND($A251&gt;=SYear_O,$A251&lt;=EYear_O,AQ$3&gt;0),IF($A251=SYear_O,AQ$168*(1+Data_All!AQ90%),AQ250*(1+Data_All!AQ90%)),"")</f>
        <v/>
      </c>
      <c r="AR251" s="427" t="str">
        <f>IF(AND($A251&gt;=SYear_O,$A251&lt;=EYear_O,AR$3&gt;0),IF($A251=SYear_O,AR$168*(1+Data_All!AR90%),AR250*(1+Data_All!AR90%)),"")</f>
        <v/>
      </c>
      <c r="AS251" s="427" t="str">
        <f>IF(AND($A251&gt;=SYear_O,$A251&lt;=EYear_O,AS$3&gt;0),IF($A251=SYear_O,AS$168*(1+Data_All!AS90%),AS250*(1+Data_All!AS90%)),"")</f>
        <v/>
      </c>
      <c r="AT251" s="427" t="str">
        <f>IF(AND($A251&gt;=SYear_O,$A251&lt;=EYear_O,AT$3&gt;0),IF($A251=SYear_O,AT$168*(1+Data_All!AT90%),AT250*(1+Data_All!AT90%)),"")</f>
        <v/>
      </c>
      <c r="AU251" s="427" t="str">
        <f>IF(AND($A251&gt;=SYear_O,$A251&lt;=EYear_O,AU$3&gt;0),IF($A251=SYear_O,AU$168*(1+Data_All!AU90%),AU250*(1+Data_All!AU90%)),"")</f>
        <v/>
      </c>
      <c r="AV251" s="427" t="str">
        <f>IF(AND($A251&gt;=SYear_O,$A251&lt;=EYear_O,AV$3&gt;0),IF($A251=SYear_O,AV$168*(1+Data_All!AV90%),AV250*(1+Data_All!AV90%)),"")</f>
        <v/>
      </c>
      <c r="AW251" s="427" t="str">
        <f>IF(AND($A251&gt;=SYear_O,$A251&lt;=EYear_O,AW$3&gt;0),IF($A251=SYear_O,AW$168*(1+Data_All!AW90%),AW250*(1+Data_All!AW90%)),"")</f>
        <v/>
      </c>
      <c r="AX251" s="427" t="str">
        <f>IF(AND($A251&gt;=SYear_O,$A251&lt;=EYear_O,AX$3&gt;0),IF($A251=SYear_O,AX$168*(1+Data_All!AX90%),AX250*(1+Data_All!AX90%)),"")</f>
        <v/>
      </c>
      <c r="AY251" s="427" t="str">
        <f>IF(AND($A251&gt;=SYear_O,$A251&lt;=EYear_O,AY$3&gt;0),IF($A251=SYear_O,AY$168*(1+Data_All!AY90%),AY250*(1+Data_All!AY90%)),"")</f>
        <v/>
      </c>
      <c r="AZ251" s="427" t="str">
        <f>IF(AND($A251&gt;=SYear_O,$A251&lt;=EYear_O,AZ$3&gt;0),IF($A251=SYear_O,AZ$168*(1+Data_All!AZ90%),AZ250*(1+Data_All!AZ90%)),"")</f>
        <v/>
      </c>
      <c r="BA251" s="427" t="str">
        <f>IF(AND($A251&gt;=SYear_O,$A251&lt;=EYear_O,BA$3&gt;0),IF($A251=SYear_O,BA$168*(1+Data_All!BA90%),BA250*(1+Data_All!BA90%)),"")</f>
        <v/>
      </c>
      <c r="BB251" s="427" t="str">
        <f>IF(AND($A251&gt;=SYear_O,$A251&lt;=EYear_O,BB$3&gt;0),IF($A251=SYear_O,BB$168*(1+Data_All!BB90%),BB250*(1+Data_All!BB90%)),"")</f>
        <v/>
      </c>
      <c r="BC251" s="427" t="str">
        <f>IF(AND($A251&gt;=SYear_O,$A251&lt;=EYear_O,BC$3&gt;0),IF($A251=SYear_O,BC$168*(1+Data_All!BC90%),BC250*(1+Data_All!BC90%)),"")</f>
        <v/>
      </c>
      <c r="BD251" s="427" t="str">
        <f>IF(AND($A251&gt;=SYear_O,$A251&lt;=EYear_O,BD$3&gt;0),IF($A251=SYear_O,BD$168*(1+Data_All!BD90%),BD250*(1+Data_All!BD90%)),"")</f>
        <v/>
      </c>
      <c r="BE251" s="427" t="str">
        <f>IF(AND($A251&gt;=SYear_O,$A251&lt;=EYear_O,BE$3&gt;0),IF($A251=SYear_O,BE$168*(1+Data_All!BE90%),BE250*(1+Data_All!BE90%)),"")</f>
        <v/>
      </c>
      <c r="BF251" s="427" t="str">
        <f>IF(AND($A251&gt;=SYear_O,$A251&lt;=EYear_O,BF$3&gt;0),IF($A251=SYear_O,BF$168*(1+Data_All!BF90%),BF250*(1+Data_All!BF90%)),"")</f>
        <v/>
      </c>
      <c r="BG251" s="427" t="str">
        <f>IF(AND($A251&gt;=SYear_O,$A251&lt;=EYear_O,BG$3&gt;0),IF($A251=SYear_O,BG$168*(1+Data_All!BG90%),BG250*(1+Data_All!BG90%)),"")</f>
        <v/>
      </c>
      <c r="BH251" s="427" t="str">
        <f>IF(AND($A251&gt;=SYear_O,$A251&lt;=EYear_O,BH$3&gt;0),IF($A251=SYear_O,BH$168*(1+Data_All!BH90%),BH250*(1+Data_All!BH90%)),"")</f>
        <v/>
      </c>
      <c r="BI251" s="427" t="str">
        <f>IF(AND($A251&gt;=SYear_O,$A251&lt;=EYear_O,BI$3&gt;0),IF($A251=SYear_O,BI$168*(1+Data_All!BI90%),BI250*(1+Data_All!BI90%)),"")</f>
        <v/>
      </c>
      <c r="BJ251" s="427" t="str">
        <f>IF(AND($A251&gt;=SYear_O,$A251&lt;=EYear_O,BJ$3&gt;0),IF($A251=SYear_O,BJ$168*(1+Data_All!BJ90%),BJ250*(1+Data_All!BJ90%)),"")</f>
        <v/>
      </c>
      <c r="BK251" s="427" t="str">
        <f>IF(AND($A251&gt;=SYear_O,$A251&lt;=EYear_O,BK$3&gt;0),IF($A251=SYear_O,BK$168*(1+Data_All!BK90%),BK250*(1+Data_All!BK90%)),"")</f>
        <v/>
      </c>
      <c r="BL251" s="427" t="str">
        <f>IF(AND($A251&gt;=SYear_O,$A251&lt;=EYear_O,BL$3&gt;0),IF($A251=SYear_O,BL$168*(1+Data_All!BL90%),BL250*(1+Data_All!BL90%)),"")</f>
        <v/>
      </c>
      <c r="BM251" s="427" t="str">
        <f>IF(AND($A251&gt;=SYear_O,$A251&lt;=EYear_O,BM$3&gt;0),IF($A251=SYear_O,BM$168*(1+Data_All!BM90%),BM250*(1+Data_All!BM90%)),"")</f>
        <v/>
      </c>
      <c r="BN251" s="427" t="str">
        <f>IF(AND($A251&gt;=SYear_O,$A251&lt;=EYear_O,BN$3&gt;0),IF($A251=SYear_O,BN$168*(1+Data_All!BN90%),BN250*(1+Data_All!BN90%)),"")</f>
        <v/>
      </c>
      <c r="BO251" s="427" t="str">
        <f>IF(AND($A251&gt;=SYear_O,$A251&lt;=EYear_O,BO$3&gt;0),IF($A251=SYear_O,BO$168*(1+Data_All!BO90%),BO250*(1+Data_All!BO90%)),"")</f>
        <v/>
      </c>
      <c r="BP251" s="427" t="str">
        <f>IF(AND($A251&gt;=SYear_O,$A251&lt;=EYear_O,BP$3&gt;0),IF($A251=SYear_O,BP$168*(1+Data_All!BP90%),BP250*(1+Data_All!BP90%)),"")</f>
        <v/>
      </c>
      <c r="BQ251" s="427" t="str">
        <f>IF(AND($A251&gt;=SYear_O,$A251&lt;=EYear_O,BQ$3&gt;0),IF($A251=SYear_O,BQ$168*(1+Data_All!BQ90%),BQ250*(1+Data_All!BQ90%)),"")</f>
        <v/>
      </c>
      <c r="BR251" s="427" t="str">
        <f>IF(AND($A251&gt;=SYear_O,$A251&lt;=EYear_O,BR$3&gt;0),IF($A251=SYear_O,BR$168*(1+Data_All!BR90%),BR250*(1+Data_All!BR90%)),"")</f>
        <v/>
      </c>
      <c r="BS251" s="427" t="str">
        <f>IF(AND($A251&gt;=SYear_O,$A251&lt;=EYear_O,BS$3&gt;0),IF($A251=SYear_O,BS$168*(1+Data_All!BS90%),BS250*(1+Data_All!BS90%)),"")</f>
        <v/>
      </c>
      <c r="BT251" s="427" t="str">
        <f>IF(AND($A251&gt;=SYear_O,$A251&lt;=EYear_O,BT$3&gt;0),IF($A251=SYear_O,BT$168*(1+Data_All!BT90%),BT250*(1+Data_All!BT90%)),"")</f>
        <v/>
      </c>
      <c r="BU251" s="427" t="str">
        <f>IF(AND($A251&gt;=SYear_O,$A251&lt;=EYear_O,BU$3&gt;0),IF($A251=SYear_O,BU$168*(1+Data_All!BU90%),BU250*(1+Data_All!BU90%)),"")</f>
        <v/>
      </c>
      <c r="BV251" s="427" t="str">
        <f>IF(AND($A251&gt;=SYear_O,$A251&lt;=EYear_O,BV$3&gt;0),IF($A251=SYear_O,BV$168*(1+Data_All!BV90%),BV250*(1+Data_All!BV90%)),"")</f>
        <v/>
      </c>
      <c r="BW251" s="427" t="str">
        <f>IF(AND($A251&gt;=SYear_O,$A251&lt;=EYear_O,BW$3&gt;0),IF($A251=SYear_O,BW$168*(1+Data_All!BW90%),BW250*(1+Data_All!BW90%)),"")</f>
        <v/>
      </c>
      <c r="BX251" s="427">
        <f>IF(AND($A251&gt;=SYear_O,$A251&lt;=EYear_O,BX$3&gt;0),IF($A251=SYear_O,BX$168*(1+Data_All!BX90%),BX250*(1+Data_All!BX90%)),"")</f>
        <v>2524404.2217634739</v>
      </c>
      <c r="BY251" s="427">
        <f>IF(AND($A251&gt;=SYear_O,$A251&lt;=EYear_O,BY$3&gt;0),IF($A251=SYear_O,BY$168*(1+Data_All!BY90%),BY250*(1+Data_All!BY90%)),"")</f>
        <v>82796.479909942282</v>
      </c>
      <c r="BZ251" s="427" t="str">
        <f>IF(AND($A251&gt;=SYear_O,$A251&lt;=EYear_O,BZ$3&gt;0),IF($A251=SYear_O,BZ$168*(1+Data_All!BZ90%),BZ250*(1+Data_All!BZ90%)),"")</f>
        <v/>
      </c>
      <c r="CA251" s="565">
        <f t="shared" si="123"/>
        <v>2.8669427977280817</v>
      </c>
      <c r="CB251" s="427">
        <f t="shared" si="124"/>
        <v>2607200.7016734164</v>
      </c>
      <c r="CC251" s="565">
        <f>IF(AND($A251&gt;=SYear_O,$A251&lt;=EYear_O),(CA251-Data_All!CA90)/(1+Data_All!CA90%),"")</f>
        <v>1.719727822288738</v>
      </c>
      <c r="CD251" s="436">
        <f t="shared" si="125"/>
        <v>1208041.2113345836</v>
      </c>
      <c r="CE251" s="438">
        <f t="shared" si="126"/>
        <v>236.47111895371251</v>
      </c>
      <c r="CF251" s="438">
        <f>IF(AND($A251&gt;=SYear_O,$A251&lt;=EYear_O),MAX($CE$169:CE251),"")</f>
        <v>236.47111895371251</v>
      </c>
      <c r="CG251" s="209">
        <f t="shared" si="127"/>
        <v>0</v>
      </c>
      <c r="CN251" s="61">
        <f t="shared" si="128"/>
        <v>2.8669427977280781E-2</v>
      </c>
      <c r="CO251" s="61">
        <f t="shared" si="129"/>
        <v>0.23905192646530904</v>
      </c>
      <c r="CP251" s="61">
        <f t="shared" si="130"/>
        <v>0.13951928813740122</v>
      </c>
      <c r="CQ251" s="61">
        <f t="shared" si="131"/>
        <v>0.13432096026946061</v>
      </c>
      <c r="CR251" s="61">
        <f t="shared" si="132"/>
        <v>0.12643126542856598</v>
      </c>
      <c r="CU251" s="61">
        <f t="shared" si="133"/>
        <v>1.7197278222887302E-2</v>
      </c>
      <c r="CV251" s="61">
        <f t="shared" si="134"/>
        <v>0.23596200858521454</v>
      </c>
      <c r="CW251" s="61">
        <f t="shared" si="135"/>
        <v>0.12311648386942342</v>
      </c>
      <c r="CX251" s="61">
        <f t="shared" si="136"/>
        <v>0.11927489419323289</v>
      </c>
      <c r="CY251" s="61">
        <f t="shared" si="137"/>
        <v>0.1079321888866569</v>
      </c>
    </row>
    <row r="252" spans="1:103">
      <c r="A252" s="204">
        <f t="shared" si="107"/>
        <v>1954</v>
      </c>
      <c r="B252" s="427" t="str">
        <f>IF(AND($A252&gt;=SYear_O,$A252&lt;=EYear_O,B$3&gt;0),IF($A252=SYear_O,B$168*(1+Data_All!B91%),B251*(1+Data_All!B91%)),"")</f>
        <v/>
      </c>
      <c r="C252" s="427" t="str">
        <f>IF(AND($A252&gt;=SYear_O,$A252&lt;=EYear_O,C$3&gt;0),IF($A252=SYear_O,C$168*(1+Data_All!C91%),C251*(1+Data_All!C91%)),"")</f>
        <v/>
      </c>
      <c r="D252" s="427" t="str">
        <f>IF(AND($A252&gt;=SYear_O,$A252&lt;=EYear_O,D$3&gt;0),IF($A252=SYear_O,D$168*(1+Data_All!D91%),D251*(1+Data_All!D91%)),"")</f>
        <v/>
      </c>
      <c r="E252" s="427" t="str">
        <f>IF(AND($A252&gt;=SYear_O,$A252&lt;=EYear_O,E$3&gt;0),IF($A252=SYear_O,E$168*(1+Data_All!E91%),E251*(1+Data_All!E91%)),"")</f>
        <v/>
      </c>
      <c r="F252" s="427" t="str">
        <f>IF(AND($A252&gt;=SYear_O,$A252&lt;=EYear_O,F$3&gt;0),IF($A252=SYear_O,F$168*(1+Data_All!F91%),F251*(1+Data_All!F91%)),"")</f>
        <v/>
      </c>
      <c r="G252" s="427" t="str">
        <f>IF(AND($A252&gt;=SYear_O,$A252&lt;=EYear_O,G$3&gt;0),IF($A252=SYear_O,G$168*(1+Data_All!G91%),G251*(1+Data_All!G91%)),"")</f>
        <v/>
      </c>
      <c r="H252" s="427" t="str">
        <f>IF(AND($A252&gt;=SYear_O,$A252&lt;=EYear_O,H$3&gt;0),IF($A252=SYear_O,H$168*(1+Data_All!H91%),H251*(1+Data_All!H91%)),"")</f>
        <v/>
      </c>
      <c r="I252" s="427" t="str">
        <f>IF(AND($A252&gt;=SYear_O,$A252&lt;=EYear_O,I$3&gt;0),IF($A252=SYear_O,I$168*(1+Data_All!I91%),I251*(1+Data_All!I91%)),"")</f>
        <v/>
      </c>
      <c r="J252" s="427" t="str">
        <f>IF(AND($A252&gt;=SYear_O,$A252&lt;=EYear_O,J$3&gt;0),IF($A252=SYear_O,J$168*(1+Data_All!J91%),J251*(1+Data_All!J91%)),"")</f>
        <v/>
      </c>
      <c r="K252" s="427" t="str">
        <f>IF(AND($A252&gt;=SYear_O,$A252&lt;=EYear_O,K$3&gt;0),IF($A252=SYear_O,K$168*(1+Data_All!K91%),K251*(1+Data_All!K91%)),"")</f>
        <v/>
      </c>
      <c r="L252" s="427" t="str">
        <f>IF(AND($A252&gt;=SYear_O,$A252&lt;=EYear_O,L$3&gt;0),IF($A252=SYear_O,L$168*(1+Data_All!L91%),L251*(1+Data_All!L91%)),"")</f>
        <v/>
      </c>
      <c r="M252" s="427" t="str">
        <f>IF(AND($A252&gt;=SYear_O,$A252&lt;=EYear_O,M$3&gt;0),IF($A252=SYear_O,M$168*(1+Data_All!M91%),M251*(1+Data_All!M91%)),"")</f>
        <v/>
      </c>
      <c r="N252" s="427" t="str">
        <f>IF(AND($A252&gt;=SYear_O,$A252&lt;=EYear_O,N$3&gt;0),IF($A252=SYear_O,N$168*(1+Data_All!N91%),N251*(1+Data_All!N91%)),"")</f>
        <v/>
      </c>
      <c r="O252" s="427" t="str">
        <f>IF(AND($A252&gt;=SYear_O,$A252&lt;=EYear_O,O$3&gt;0),IF($A252=SYear_O,O$168*(1+Data_All!O91%),O251*(1+Data_All!O91%)),"")</f>
        <v/>
      </c>
      <c r="P252" s="427" t="str">
        <f>IF(AND($A252&gt;=SYear_O,$A252&lt;=EYear_O,P$3&gt;0),IF($A252=SYear_O,P$168*(1+Data_All!P91%),P251*(1+Data_All!P91%)),"")</f>
        <v/>
      </c>
      <c r="Q252" s="427" t="str">
        <f>IF(AND($A252&gt;=SYear_O,$A252&lt;=EYear_O,Q$3&gt;0),IF($A252=SYear_O,Q$168*(1+Data_All!Q91%),Q251*(1+Data_All!Q91%)),"")</f>
        <v/>
      </c>
      <c r="R252" s="427" t="str">
        <f>IF(AND($A252&gt;=SYear_O,$A252&lt;=EYear_O,R$3&gt;0),IF($A252=SYear_O,R$168*(1+Data_All!R91%),R251*(1+Data_All!R91%)),"")</f>
        <v/>
      </c>
      <c r="S252" s="427" t="str">
        <f>IF(AND($A252&gt;=SYear_O,$A252&lt;=EYear_O,S$3&gt;0),IF($A252=SYear_O,S$168*(1+Data_All!S91%),S251*(1+Data_All!S91%)),"")</f>
        <v/>
      </c>
      <c r="T252" s="427" t="str">
        <f>IF(AND($A252&gt;=SYear_O,$A252&lt;=EYear_O,T$3&gt;0),IF($A252=SYear_O,T$168*(1+Data_All!T91%),T251*(1+Data_All!T91%)),"")</f>
        <v/>
      </c>
      <c r="U252" s="427" t="str">
        <f>IF(AND($A252&gt;=SYear_O,$A252&lt;=EYear_O,U$3&gt;0),IF($A252=SYear_O,U$168*(1+Data_All!U91%),U251*(1+Data_All!U91%)),"")</f>
        <v/>
      </c>
      <c r="V252" s="427" t="str">
        <f>IF(AND($A252&gt;=SYear_O,$A252&lt;=EYear_O,V$3&gt;0),IF($A252=SYear_O,V$168*(1+Data_All!V91%),V251*(1+Data_All!V91%)),"")</f>
        <v/>
      </c>
      <c r="W252" s="427" t="str">
        <f>IF(AND($A252&gt;=SYear_O,$A252&lt;=EYear_O,W$3&gt;0),IF($A252=SYear_O,W$168*(1+Data_All!W91%),W251*(1+Data_All!W91%)),"")</f>
        <v/>
      </c>
      <c r="X252" s="427" t="str">
        <f>IF(AND($A252&gt;=SYear_O,$A252&lt;=EYear_O,X$3&gt;0),IF($A252=SYear_O,X$168*(1+Data_All!X91%),X251*(1+Data_All!X91%)),"")</f>
        <v/>
      </c>
      <c r="Y252" s="427" t="str">
        <f>IF(AND($A252&gt;=SYear_O,$A252&lt;=EYear_O,Y$3&gt;0),IF($A252=SYear_O,Y$168*(1+Data_All!Y91%),Y251*(1+Data_All!Y91%)),"")</f>
        <v/>
      </c>
      <c r="Z252" s="427" t="str">
        <f>IF(AND($A252&gt;=SYear_O,$A252&lt;=EYear_O,Z$3&gt;0),IF($A252=SYear_O,Z$168*(1+Data_All!Z91%),Z251*(1+Data_All!Z91%)),"")</f>
        <v/>
      </c>
      <c r="AA252" s="427" t="str">
        <f>IF(AND($A252&gt;=SYear_O,$A252&lt;=EYear_O,AA$3&gt;0),IF($A252=SYear_O,AA$168*(1+Data_All!AA91%),AA251*(1+Data_All!AA91%)),"")</f>
        <v/>
      </c>
      <c r="AB252" s="427" t="str">
        <f>IF(AND($A252&gt;=SYear_O,$A252&lt;=EYear_O,AB$3&gt;0),IF($A252=SYear_O,AB$168*(1+Data_All!AB91%),AB251*(1+Data_All!AB91%)),"")</f>
        <v/>
      </c>
      <c r="AC252" s="427" t="str">
        <f>IF(AND($A252&gt;=SYear_O,$A252&lt;=EYear_O,AC$3&gt;0),IF($A252=SYear_O,AC$168*(1+Data_All!AC91%),AC251*(1+Data_All!AC91%)),"")</f>
        <v/>
      </c>
      <c r="AD252" s="427" t="str">
        <f>IF(AND($A252&gt;=SYear_O,$A252&lt;=EYear_O,AD$3&gt;0),IF($A252=SYear_O,AD$168*(1+Data_All!AD91%),AD251*(1+Data_All!AD91%)),"")</f>
        <v/>
      </c>
      <c r="AE252" s="427" t="str">
        <f>IF(AND($A252&gt;=SYear_O,$A252&lt;=EYear_O,AE$3&gt;0),IF($A252=SYear_O,AE$168*(1+Data_All!AE91%),AE251*(1+Data_All!AE91%)),"")</f>
        <v/>
      </c>
      <c r="AF252" s="427" t="str">
        <f>IF(AND($A252&gt;=SYear_O,$A252&lt;=EYear_O,AF$3&gt;0),IF($A252=SYear_O,AF$168*(1+Data_All!AF91%),AF251*(1+Data_All!AF91%)),"")</f>
        <v/>
      </c>
      <c r="AG252" s="427" t="str">
        <f>IF(AND($A252&gt;=SYear_O,$A252&lt;=EYear_O,AG$3&gt;0),IF($A252=SYear_O,AG$168*(1+Data_All!AG91%),AG251*(1+Data_All!AG91%)),"")</f>
        <v/>
      </c>
      <c r="AH252" s="427" t="str">
        <f>IF(AND($A252&gt;=SYear_O,$A252&lt;=EYear_O,AH$3&gt;0),IF($A252=SYear_O,AH$168*(1+Data_All!AH91%),AH251*(1+Data_All!AH91%)),"")</f>
        <v/>
      </c>
      <c r="AI252" s="427" t="str">
        <f>IF(AND($A252&gt;=SYear_O,$A252&lt;=EYear_O,AI$3&gt;0),IF($A252=SYear_O,AI$168*(1+Data_All!AI91%),AI251*(1+Data_All!AI91%)),"")</f>
        <v/>
      </c>
      <c r="AJ252" s="427" t="str">
        <f>IF(AND($A252&gt;=SYear_O,$A252&lt;=EYear_O,AJ$3&gt;0),IF($A252=SYear_O,AJ$168*(1+Data_All!AJ91%),AJ251*(1+Data_All!AJ91%)),"")</f>
        <v/>
      </c>
      <c r="AK252" s="427" t="str">
        <f>IF(AND($A252&gt;=SYear_O,$A252&lt;=EYear_O,AK$3&gt;0),IF($A252=SYear_O,AK$168*(1+Data_All!AK91%),AK251*(1+Data_All!AK91%)),"")</f>
        <v/>
      </c>
      <c r="AL252" s="427" t="str">
        <f>IF(AND($A252&gt;=SYear_O,$A252&lt;=EYear_O,AL$3&gt;0),IF($A252=SYear_O,AL$168*(1+Data_All!AL91%),AL251*(1+Data_All!AL91%)),"")</f>
        <v/>
      </c>
      <c r="AM252" s="427" t="str">
        <f>IF(AND($A252&gt;=SYear_O,$A252&lt;=EYear_O,AM$3&gt;0),IF($A252=SYear_O,AM$168*(1+Data_All!AM91%),AM251*(1+Data_All!AM91%)),"")</f>
        <v/>
      </c>
      <c r="AN252" s="427" t="str">
        <f>IF(AND($A252&gt;=SYear_O,$A252&lt;=EYear_O,AN$3&gt;0),IF($A252=SYear_O,AN$168*(1+Data_All!AN91%),AN251*(1+Data_All!AN91%)),"")</f>
        <v/>
      </c>
      <c r="AO252" s="427" t="str">
        <f>IF(AND($A252&gt;=SYear_O,$A252&lt;=EYear_O,AO$3&gt;0),IF($A252=SYear_O,AO$168*(1+Data_All!AO91%),AO251*(1+Data_All!AO91%)),"")</f>
        <v/>
      </c>
      <c r="AP252" s="427" t="str">
        <f>IF(AND($A252&gt;=SYear_O,$A252&lt;=EYear_O,AP$3&gt;0),IF($A252=SYear_O,AP$168*(1+Data_All!AP91%),AP251*(1+Data_All!AP91%)),"")</f>
        <v/>
      </c>
      <c r="AQ252" s="427" t="str">
        <f>IF(AND($A252&gt;=SYear_O,$A252&lt;=EYear_O,AQ$3&gt;0),IF($A252=SYear_O,AQ$168*(1+Data_All!AQ91%),AQ251*(1+Data_All!AQ91%)),"")</f>
        <v/>
      </c>
      <c r="AR252" s="427" t="str">
        <f>IF(AND($A252&gt;=SYear_O,$A252&lt;=EYear_O,AR$3&gt;0),IF($A252=SYear_O,AR$168*(1+Data_All!AR91%),AR251*(1+Data_All!AR91%)),"")</f>
        <v/>
      </c>
      <c r="AS252" s="427" t="str">
        <f>IF(AND($A252&gt;=SYear_O,$A252&lt;=EYear_O,AS$3&gt;0),IF($A252=SYear_O,AS$168*(1+Data_All!AS91%),AS251*(1+Data_All!AS91%)),"")</f>
        <v/>
      </c>
      <c r="AT252" s="427" t="str">
        <f>IF(AND($A252&gt;=SYear_O,$A252&lt;=EYear_O,AT$3&gt;0),IF($A252=SYear_O,AT$168*(1+Data_All!AT91%),AT251*(1+Data_All!AT91%)),"")</f>
        <v/>
      </c>
      <c r="AU252" s="427" t="str">
        <f>IF(AND($A252&gt;=SYear_O,$A252&lt;=EYear_O,AU$3&gt;0),IF($A252=SYear_O,AU$168*(1+Data_All!AU91%),AU251*(1+Data_All!AU91%)),"")</f>
        <v/>
      </c>
      <c r="AV252" s="427" t="str">
        <f>IF(AND($A252&gt;=SYear_O,$A252&lt;=EYear_O,AV$3&gt;0),IF($A252=SYear_O,AV$168*(1+Data_All!AV91%),AV251*(1+Data_All!AV91%)),"")</f>
        <v/>
      </c>
      <c r="AW252" s="427" t="str">
        <f>IF(AND($A252&gt;=SYear_O,$A252&lt;=EYear_O,AW$3&gt;0),IF($A252=SYear_O,AW$168*(1+Data_All!AW91%),AW251*(1+Data_All!AW91%)),"")</f>
        <v/>
      </c>
      <c r="AX252" s="427" t="str">
        <f>IF(AND($A252&gt;=SYear_O,$A252&lt;=EYear_O,AX$3&gt;0),IF($A252=SYear_O,AX$168*(1+Data_All!AX91%),AX251*(1+Data_All!AX91%)),"")</f>
        <v/>
      </c>
      <c r="AY252" s="427" t="str">
        <f>IF(AND($A252&gt;=SYear_O,$A252&lt;=EYear_O,AY$3&gt;0),IF($A252=SYear_O,AY$168*(1+Data_All!AY91%),AY251*(1+Data_All!AY91%)),"")</f>
        <v/>
      </c>
      <c r="AZ252" s="427" t="str">
        <f>IF(AND($A252&gt;=SYear_O,$A252&lt;=EYear_O,AZ$3&gt;0),IF($A252=SYear_O,AZ$168*(1+Data_All!AZ91%),AZ251*(1+Data_All!AZ91%)),"")</f>
        <v/>
      </c>
      <c r="BA252" s="427" t="str">
        <f>IF(AND($A252&gt;=SYear_O,$A252&lt;=EYear_O,BA$3&gt;0),IF($A252=SYear_O,BA$168*(1+Data_All!BA91%),BA251*(1+Data_All!BA91%)),"")</f>
        <v/>
      </c>
      <c r="BB252" s="427" t="str">
        <f>IF(AND($A252&gt;=SYear_O,$A252&lt;=EYear_O,BB$3&gt;0),IF($A252=SYear_O,BB$168*(1+Data_All!BB91%),BB251*(1+Data_All!BB91%)),"")</f>
        <v/>
      </c>
      <c r="BC252" s="427" t="str">
        <f>IF(AND($A252&gt;=SYear_O,$A252&lt;=EYear_O,BC$3&gt;0),IF($A252=SYear_O,BC$168*(1+Data_All!BC91%),BC251*(1+Data_All!BC91%)),"")</f>
        <v/>
      </c>
      <c r="BD252" s="427" t="str">
        <f>IF(AND($A252&gt;=SYear_O,$A252&lt;=EYear_O,BD$3&gt;0),IF($A252=SYear_O,BD$168*(1+Data_All!BD91%),BD251*(1+Data_All!BD91%)),"")</f>
        <v/>
      </c>
      <c r="BE252" s="427" t="str">
        <f>IF(AND($A252&gt;=SYear_O,$A252&lt;=EYear_O,BE$3&gt;0),IF($A252=SYear_O,BE$168*(1+Data_All!BE91%),BE251*(1+Data_All!BE91%)),"")</f>
        <v/>
      </c>
      <c r="BF252" s="427" t="str">
        <f>IF(AND($A252&gt;=SYear_O,$A252&lt;=EYear_O,BF$3&gt;0),IF($A252=SYear_O,BF$168*(1+Data_All!BF91%),BF251*(1+Data_All!BF91%)),"")</f>
        <v/>
      </c>
      <c r="BG252" s="427" t="str">
        <f>IF(AND($A252&gt;=SYear_O,$A252&lt;=EYear_O,BG$3&gt;0),IF($A252=SYear_O,BG$168*(1+Data_All!BG91%),BG251*(1+Data_All!BG91%)),"")</f>
        <v/>
      </c>
      <c r="BH252" s="427" t="str">
        <f>IF(AND($A252&gt;=SYear_O,$A252&lt;=EYear_O,BH$3&gt;0),IF($A252=SYear_O,BH$168*(1+Data_All!BH91%),BH251*(1+Data_All!BH91%)),"")</f>
        <v/>
      </c>
      <c r="BI252" s="427" t="str">
        <f>IF(AND($A252&gt;=SYear_O,$A252&lt;=EYear_O,BI$3&gt;0),IF($A252=SYear_O,BI$168*(1+Data_All!BI91%),BI251*(1+Data_All!BI91%)),"")</f>
        <v/>
      </c>
      <c r="BJ252" s="427" t="str">
        <f>IF(AND($A252&gt;=SYear_O,$A252&lt;=EYear_O,BJ$3&gt;0),IF($A252=SYear_O,BJ$168*(1+Data_All!BJ91%),BJ251*(1+Data_All!BJ91%)),"")</f>
        <v/>
      </c>
      <c r="BK252" s="427" t="str">
        <f>IF(AND($A252&gt;=SYear_O,$A252&lt;=EYear_O,BK$3&gt;0),IF($A252=SYear_O,BK$168*(1+Data_All!BK91%),BK251*(1+Data_All!BK91%)),"")</f>
        <v/>
      </c>
      <c r="BL252" s="427" t="str">
        <f>IF(AND($A252&gt;=SYear_O,$A252&lt;=EYear_O,BL$3&gt;0),IF($A252=SYear_O,BL$168*(1+Data_All!BL91%),BL251*(1+Data_All!BL91%)),"")</f>
        <v/>
      </c>
      <c r="BM252" s="427" t="str">
        <f>IF(AND($A252&gt;=SYear_O,$A252&lt;=EYear_O,BM$3&gt;0),IF($A252=SYear_O,BM$168*(1+Data_All!BM91%),BM251*(1+Data_All!BM91%)),"")</f>
        <v/>
      </c>
      <c r="BN252" s="427" t="str">
        <f>IF(AND($A252&gt;=SYear_O,$A252&lt;=EYear_O,BN$3&gt;0),IF($A252=SYear_O,BN$168*(1+Data_All!BN91%),BN251*(1+Data_All!BN91%)),"")</f>
        <v/>
      </c>
      <c r="BO252" s="427" t="str">
        <f>IF(AND($A252&gt;=SYear_O,$A252&lt;=EYear_O,BO$3&gt;0),IF($A252=SYear_O,BO$168*(1+Data_All!BO91%),BO251*(1+Data_All!BO91%)),"")</f>
        <v/>
      </c>
      <c r="BP252" s="427" t="str">
        <f>IF(AND($A252&gt;=SYear_O,$A252&lt;=EYear_O,BP$3&gt;0),IF($A252=SYear_O,BP$168*(1+Data_All!BP91%),BP251*(1+Data_All!BP91%)),"")</f>
        <v/>
      </c>
      <c r="BQ252" s="427" t="str">
        <f>IF(AND($A252&gt;=SYear_O,$A252&lt;=EYear_O,BQ$3&gt;0),IF($A252=SYear_O,BQ$168*(1+Data_All!BQ91%),BQ251*(1+Data_All!BQ91%)),"")</f>
        <v/>
      </c>
      <c r="BR252" s="427" t="str">
        <f>IF(AND($A252&gt;=SYear_O,$A252&lt;=EYear_O,BR$3&gt;0),IF($A252=SYear_O,BR$168*(1+Data_All!BR91%),BR251*(1+Data_All!BR91%)),"")</f>
        <v/>
      </c>
      <c r="BS252" s="427" t="str">
        <f>IF(AND($A252&gt;=SYear_O,$A252&lt;=EYear_O,BS$3&gt;0),IF($A252=SYear_O,BS$168*(1+Data_All!BS91%),BS251*(1+Data_All!BS91%)),"")</f>
        <v/>
      </c>
      <c r="BT252" s="427" t="str">
        <f>IF(AND($A252&gt;=SYear_O,$A252&lt;=EYear_O,BT$3&gt;0),IF($A252=SYear_O,BT$168*(1+Data_All!BT91%),BT251*(1+Data_All!BT91%)),"")</f>
        <v/>
      </c>
      <c r="BU252" s="427" t="str">
        <f>IF(AND($A252&gt;=SYear_O,$A252&lt;=EYear_O,BU$3&gt;0),IF($A252=SYear_O,BU$168*(1+Data_All!BU91%),BU251*(1+Data_All!BU91%)),"")</f>
        <v/>
      </c>
      <c r="BV252" s="427" t="str">
        <f>IF(AND($A252&gt;=SYear_O,$A252&lt;=EYear_O,BV$3&gt;0),IF($A252=SYear_O,BV$168*(1+Data_All!BV91%),BV251*(1+Data_All!BV91%)),"")</f>
        <v/>
      </c>
      <c r="BW252" s="427" t="str">
        <f>IF(AND($A252&gt;=SYear_O,$A252&lt;=EYear_O,BW$3&gt;0),IF($A252=SYear_O,BW$168*(1+Data_All!BW91%),BW251*(1+Data_All!BW91%)),"")</f>
        <v/>
      </c>
      <c r="BX252" s="427">
        <f>IF(AND($A252&gt;=SYear_O,$A252&lt;=EYear_O,BX$3&gt;0),IF($A252=SYear_O,BX$168*(1+Data_All!BX91%),BX251*(1+Data_All!BX91%)),"")</f>
        <v>3682496.9676471096</v>
      </c>
      <c r="BY252" s="427">
        <f>IF(AND($A252&gt;=SYear_O,$A252&lt;=EYear_O,BY$3&gt;0),IF($A252=SYear_O,BY$168*(1+Data_All!BY91%),BY251*(1+Data_All!BY91%)),"")</f>
        <v>84433.002298913358</v>
      </c>
      <c r="BZ252" s="427" t="str">
        <f>IF(AND($A252&gt;=SYear_O,$A252&lt;=EYear_O,BZ$3&gt;0),IF($A252=SYear_O,BZ$168*(1+Data_All!BZ91%),BZ251*(1+Data_All!BZ91%)),"")</f>
        <v/>
      </c>
      <c r="CA252" s="565">
        <f t="shared" si="123"/>
        <v>44.481779539574433</v>
      </c>
      <c r="CB252" s="427">
        <f t="shared" si="124"/>
        <v>3766929.9699460231</v>
      </c>
      <c r="CC252" s="565">
        <f>IF(AND($A252&gt;=SYear_O,$A252&lt;=EYear_O),(CA252-Data_All!CA91)/(1+Data_All!CA91%),"")</f>
        <v>45.564040060470127</v>
      </c>
      <c r="CD252" s="436">
        <f t="shared" si="125"/>
        <v>1758473.5928140618</v>
      </c>
      <c r="CE252" s="438">
        <f t="shared" si="126"/>
        <v>341.6576807614677</v>
      </c>
      <c r="CF252" s="438">
        <f>IF(AND($A252&gt;=SYear_O,$A252&lt;=EYear_O),MAX($CE$169:CE252),"")</f>
        <v>341.6576807614677</v>
      </c>
      <c r="CG252" s="209">
        <f t="shared" si="127"/>
        <v>0</v>
      </c>
      <c r="CN252" s="61">
        <f t="shared" si="128"/>
        <v>0.44481779539574418</v>
      </c>
      <c r="CO252" s="61">
        <f t="shared" si="129"/>
        <v>0.25433958754831831</v>
      </c>
      <c r="CP252" s="61">
        <f t="shared" si="130"/>
        <v>0.20981655917320463</v>
      </c>
      <c r="CQ252" s="61">
        <f t="shared" si="131"/>
        <v>0.15268105505537211</v>
      </c>
      <c r="CR252" s="61">
        <f t="shared" si="132"/>
        <v>0.13184192506379988</v>
      </c>
      <c r="CU252" s="61">
        <f t="shared" si="133"/>
        <v>0.45564040060470123</v>
      </c>
      <c r="CV252" s="61">
        <f t="shared" si="134"/>
        <v>0.24364433236533434</v>
      </c>
      <c r="CW252" s="61">
        <f t="shared" si="135"/>
        <v>0.19176432533580545</v>
      </c>
      <c r="CX252" s="61">
        <f t="shared" si="136"/>
        <v>0.13681170191758962</v>
      </c>
      <c r="CY252" s="61">
        <f t="shared" si="137"/>
        <v>0.11089393469301245</v>
      </c>
    </row>
    <row r="253" spans="1:103">
      <c r="A253" s="204">
        <f t="shared" si="107"/>
        <v>1955</v>
      </c>
      <c r="B253" s="427" t="str">
        <f>IF(AND($A253&gt;=SYear_O,$A253&lt;=EYear_O,B$3&gt;0),IF($A253=SYear_O,B$168*(1+Data_All!B92%),B252*(1+Data_All!B92%)),"")</f>
        <v/>
      </c>
      <c r="C253" s="427" t="str">
        <f>IF(AND($A253&gt;=SYear_O,$A253&lt;=EYear_O,C$3&gt;0),IF($A253=SYear_O,C$168*(1+Data_All!C92%),C252*(1+Data_All!C92%)),"")</f>
        <v/>
      </c>
      <c r="D253" s="427" t="str">
        <f>IF(AND($A253&gt;=SYear_O,$A253&lt;=EYear_O,D$3&gt;0),IF($A253=SYear_O,D$168*(1+Data_All!D92%),D252*(1+Data_All!D92%)),"")</f>
        <v/>
      </c>
      <c r="E253" s="427" t="str">
        <f>IF(AND($A253&gt;=SYear_O,$A253&lt;=EYear_O,E$3&gt;0),IF($A253=SYear_O,E$168*(1+Data_All!E92%),E252*(1+Data_All!E92%)),"")</f>
        <v/>
      </c>
      <c r="F253" s="427" t="str">
        <f>IF(AND($A253&gt;=SYear_O,$A253&lt;=EYear_O,F$3&gt;0),IF($A253=SYear_O,F$168*(1+Data_All!F92%),F252*(1+Data_All!F92%)),"")</f>
        <v/>
      </c>
      <c r="G253" s="427" t="str">
        <f>IF(AND($A253&gt;=SYear_O,$A253&lt;=EYear_O,G$3&gt;0),IF($A253=SYear_O,G$168*(1+Data_All!G92%),G252*(1+Data_All!G92%)),"")</f>
        <v/>
      </c>
      <c r="H253" s="427" t="str">
        <f>IF(AND($A253&gt;=SYear_O,$A253&lt;=EYear_O,H$3&gt;0),IF($A253=SYear_O,H$168*(1+Data_All!H92%),H252*(1+Data_All!H92%)),"")</f>
        <v/>
      </c>
      <c r="I253" s="427" t="str">
        <f>IF(AND($A253&gt;=SYear_O,$A253&lt;=EYear_O,I$3&gt;0),IF($A253=SYear_O,I$168*(1+Data_All!I92%),I252*(1+Data_All!I92%)),"")</f>
        <v/>
      </c>
      <c r="J253" s="427" t="str">
        <f>IF(AND($A253&gt;=SYear_O,$A253&lt;=EYear_O,J$3&gt;0),IF($A253=SYear_O,J$168*(1+Data_All!J92%),J252*(1+Data_All!J92%)),"")</f>
        <v/>
      </c>
      <c r="K253" s="427" t="str">
        <f>IF(AND($A253&gt;=SYear_O,$A253&lt;=EYear_O,K$3&gt;0),IF($A253=SYear_O,K$168*(1+Data_All!K92%),K252*(1+Data_All!K92%)),"")</f>
        <v/>
      </c>
      <c r="L253" s="427" t="str">
        <f>IF(AND($A253&gt;=SYear_O,$A253&lt;=EYear_O,L$3&gt;0),IF($A253=SYear_O,L$168*(1+Data_All!L92%),L252*(1+Data_All!L92%)),"")</f>
        <v/>
      </c>
      <c r="M253" s="427" t="str">
        <f>IF(AND($A253&gt;=SYear_O,$A253&lt;=EYear_O,M$3&gt;0),IF($A253=SYear_O,M$168*(1+Data_All!M92%),M252*(1+Data_All!M92%)),"")</f>
        <v/>
      </c>
      <c r="N253" s="427" t="str">
        <f>IF(AND($A253&gt;=SYear_O,$A253&lt;=EYear_O,N$3&gt;0),IF($A253=SYear_O,N$168*(1+Data_All!N92%),N252*(1+Data_All!N92%)),"")</f>
        <v/>
      </c>
      <c r="O253" s="427" t="str">
        <f>IF(AND($A253&gt;=SYear_O,$A253&lt;=EYear_O,O$3&gt;0),IF($A253=SYear_O,O$168*(1+Data_All!O92%),O252*(1+Data_All!O92%)),"")</f>
        <v/>
      </c>
      <c r="P253" s="427" t="str">
        <f>IF(AND($A253&gt;=SYear_O,$A253&lt;=EYear_O,P$3&gt;0),IF($A253=SYear_O,P$168*(1+Data_All!P92%),P252*(1+Data_All!P92%)),"")</f>
        <v/>
      </c>
      <c r="Q253" s="427" t="str">
        <f>IF(AND($A253&gt;=SYear_O,$A253&lt;=EYear_O,Q$3&gt;0),IF($A253=SYear_O,Q$168*(1+Data_All!Q92%),Q252*(1+Data_All!Q92%)),"")</f>
        <v/>
      </c>
      <c r="R253" s="427" t="str">
        <f>IF(AND($A253&gt;=SYear_O,$A253&lt;=EYear_O,R$3&gt;0),IF($A253=SYear_O,R$168*(1+Data_All!R92%),R252*(1+Data_All!R92%)),"")</f>
        <v/>
      </c>
      <c r="S253" s="427" t="str">
        <f>IF(AND($A253&gt;=SYear_O,$A253&lt;=EYear_O,S$3&gt;0),IF($A253=SYear_O,S$168*(1+Data_All!S92%),S252*(1+Data_All!S92%)),"")</f>
        <v/>
      </c>
      <c r="T253" s="427" t="str">
        <f>IF(AND($A253&gt;=SYear_O,$A253&lt;=EYear_O,T$3&gt;0),IF($A253=SYear_O,T$168*(1+Data_All!T92%),T252*(1+Data_All!T92%)),"")</f>
        <v/>
      </c>
      <c r="U253" s="427" t="str">
        <f>IF(AND($A253&gt;=SYear_O,$A253&lt;=EYear_O,U$3&gt;0),IF($A253=SYear_O,U$168*(1+Data_All!U92%),U252*(1+Data_All!U92%)),"")</f>
        <v/>
      </c>
      <c r="V253" s="427" t="str">
        <f>IF(AND($A253&gt;=SYear_O,$A253&lt;=EYear_O,V$3&gt;0),IF($A253=SYear_O,V$168*(1+Data_All!V92%),V252*(1+Data_All!V92%)),"")</f>
        <v/>
      </c>
      <c r="W253" s="427" t="str">
        <f>IF(AND($A253&gt;=SYear_O,$A253&lt;=EYear_O,W$3&gt;0),IF($A253=SYear_O,W$168*(1+Data_All!W92%),W252*(1+Data_All!W92%)),"")</f>
        <v/>
      </c>
      <c r="X253" s="427" t="str">
        <f>IF(AND($A253&gt;=SYear_O,$A253&lt;=EYear_O,X$3&gt;0),IF($A253=SYear_O,X$168*(1+Data_All!X92%),X252*(1+Data_All!X92%)),"")</f>
        <v/>
      </c>
      <c r="Y253" s="427" t="str">
        <f>IF(AND($A253&gt;=SYear_O,$A253&lt;=EYear_O,Y$3&gt;0),IF($A253=SYear_O,Y$168*(1+Data_All!Y92%),Y252*(1+Data_All!Y92%)),"")</f>
        <v/>
      </c>
      <c r="Z253" s="427" t="str">
        <f>IF(AND($A253&gt;=SYear_O,$A253&lt;=EYear_O,Z$3&gt;0),IF($A253=SYear_O,Z$168*(1+Data_All!Z92%),Z252*(1+Data_All!Z92%)),"")</f>
        <v/>
      </c>
      <c r="AA253" s="427" t="str">
        <f>IF(AND($A253&gt;=SYear_O,$A253&lt;=EYear_O,AA$3&gt;0),IF($A253=SYear_O,AA$168*(1+Data_All!AA92%),AA252*(1+Data_All!AA92%)),"")</f>
        <v/>
      </c>
      <c r="AB253" s="427" t="str">
        <f>IF(AND($A253&gt;=SYear_O,$A253&lt;=EYear_O,AB$3&gt;0),IF($A253=SYear_O,AB$168*(1+Data_All!AB92%),AB252*(1+Data_All!AB92%)),"")</f>
        <v/>
      </c>
      <c r="AC253" s="427" t="str">
        <f>IF(AND($A253&gt;=SYear_O,$A253&lt;=EYear_O,AC$3&gt;0),IF($A253=SYear_O,AC$168*(1+Data_All!AC92%),AC252*(1+Data_All!AC92%)),"")</f>
        <v/>
      </c>
      <c r="AD253" s="427" t="str">
        <f>IF(AND($A253&gt;=SYear_O,$A253&lt;=EYear_O,AD$3&gt;0),IF($A253=SYear_O,AD$168*(1+Data_All!AD92%),AD252*(1+Data_All!AD92%)),"")</f>
        <v/>
      </c>
      <c r="AE253" s="427" t="str">
        <f>IF(AND($A253&gt;=SYear_O,$A253&lt;=EYear_O,AE$3&gt;0),IF($A253=SYear_O,AE$168*(1+Data_All!AE92%),AE252*(1+Data_All!AE92%)),"")</f>
        <v/>
      </c>
      <c r="AF253" s="427" t="str">
        <f>IF(AND($A253&gt;=SYear_O,$A253&lt;=EYear_O,AF$3&gt;0),IF($A253=SYear_O,AF$168*(1+Data_All!AF92%),AF252*(1+Data_All!AF92%)),"")</f>
        <v/>
      </c>
      <c r="AG253" s="427" t="str">
        <f>IF(AND($A253&gt;=SYear_O,$A253&lt;=EYear_O,AG$3&gt;0),IF($A253=SYear_O,AG$168*(1+Data_All!AG92%),AG252*(1+Data_All!AG92%)),"")</f>
        <v/>
      </c>
      <c r="AH253" s="427" t="str">
        <f>IF(AND($A253&gt;=SYear_O,$A253&lt;=EYear_O,AH$3&gt;0),IF($A253=SYear_O,AH$168*(1+Data_All!AH92%),AH252*(1+Data_All!AH92%)),"")</f>
        <v/>
      </c>
      <c r="AI253" s="427" t="str">
        <f>IF(AND($A253&gt;=SYear_O,$A253&lt;=EYear_O,AI$3&gt;0),IF($A253=SYear_O,AI$168*(1+Data_All!AI92%),AI252*(1+Data_All!AI92%)),"")</f>
        <v/>
      </c>
      <c r="AJ253" s="427" t="str">
        <f>IF(AND($A253&gt;=SYear_O,$A253&lt;=EYear_O,AJ$3&gt;0),IF($A253=SYear_O,AJ$168*(1+Data_All!AJ92%),AJ252*(1+Data_All!AJ92%)),"")</f>
        <v/>
      </c>
      <c r="AK253" s="427" t="str">
        <f>IF(AND($A253&gt;=SYear_O,$A253&lt;=EYear_O,AK$3&gt;0),IF($A253=SYear_O,AK$168*(1+Data_All!AK92%),AK252*(1+Data_All!AK92%)),"")</f>
        <v/>
      </c>
      <c r="AL253" s="427" t="str">
        <f>IF(AND($A253&gt;=SYear_O,$A253&lt;=EYear_O,AL$3&gt;0),IF($A253=SYear_O,AL$168*(1+Data_All!AL92%),AL252*(1+Data_All!AL92%)),"")</f>
        <v/>
      </c>
      <c r="AM253" s="427" t="str">
        <f>IF(AND($A253&gt;=SYear_O,$A253&lt;=EYear_O,AM$3&gt;0),IF($A253=SYear_O,AM$168*(1+Data_All!AM92%),AM252*(1+Data_All!AM92%)),"")</f>
        <v/>
      </c>
      <c r="AN253" s="427" t="str">
        <f>IF(AND($A253&gt;=SYear_O,$A253&lt;=EYear_O,AN$3&gt;0),IF($A253=SYear_O,AN$168*(1+Data_All!AN92%),AN252*(1+Data_All!AN92%)),"")</f>
        <v/>
      </c>
      <c r="AO253" s="427" t="str">
        <f>IF(AND($A253&gt;=SYear_O,$A253&lt;=EYear_O,AO$3&gt;0),IF($A253=SYear_O,AO$168*(1+Data_All!AO92%),AO252*(1+Data_All!AO92%)),"")</f>
        <v/>
      </c>
      <c r="AP253" s="427" t="str">
        <f>IF(AND($A253&gt;=SYear_O,$A253&lt;=EYear_O,AP$3&gt;0),IF($A253=SYear_O,AP$168*(1+Data_All!AP92%),AP252*(1+Data_All!AP92%)),"")</f>
        <v/>
      </c>
      <c r="AQ253" s="427" t="str">
        <f>IF(AND($A253&gt;=SYear_O,$A253&lt;=EYear_O,AQ$3&gt;0),IF($A253=SYear_O,AQ$168*(1+Data_All!AQ92%),AQ252*(1+Data_All!AQ92%)),"")</f>
        <v/>
      </c>
      <c r="AR253" s="427" t="str">
        <f>IF(AND($A253&gt;=SYear_O,$A253&lt;=EYear_O,AR$3&gt;0),IF($A253=SYear_O,AR$168*(1+Data_All!AR92%),AR252*(1+Data_All!AR92%)),"")</f>
        <v/>
      </c>
      <c r="AS253" s="427" t="str">
        <f>IF(AND($A253&gt;=SYear_O,$A253&lt;=EYear_O,AS$3&gt;0),IF($A253=SYear_O,AS$168*(1+Data_All!AS92%),AS252*(1+Data_All!AS92%)),"")</f>
        <v/>
      </c>
      <c r="AT253" s="427" t="str">
        <f>IF(AND($A253&gt;=SYear_O,$A253&lt;=EYear_O,AT$3&gt;0),IF($A253=SYear_O,AT$168*(1+Data_All!AT92%),AT252*(1+Data_All!AT92%)),"")</f>
        <v/>
      </c>
      <c r="AU253" s="427" t="str">
        <f>IF(AND($A253&gt;=SYear_O,$A253&lt;=EYear_O,AU$3&gt;0),IF($A253=SYear_O,AU$168*(1+Data_All!AU92%),AU252*(1+Data_All!AU92%)),"")</f>
        <v/>
      </c>
      <c r="AV253" s="427" t="str">
        <f>IF(AND($A253&gt;=SYear_O,$A253&lt;=EYear_O,AV$3&gt;0),IF($A253=SYear_O,AV$168*(1+Data_All!AV92%),AV252*(1+Data_All!AV92%)),"")</f>
        <v/>
      </c>
      <c r="AW253" s="427" t="str">
        <f>IF(AND($A253&gt;=SYear_O,$A253&lt;=EYear_O,AW$3&gt;0),IF($A253=SYear_O,AW$168*(1+Data_All!AW92%),AW252*(1+Data_All!AW92%)),"")</f>
        <v/>
      </c>
      <c r="AX253" s="427" t="str">
        <f>IF(AND($A253&gt;=SYear_O,$A253&lt;=EYear_O,AX$3&gt;0),IF($A253=SYear_O,AX$168*(1+Data_All!AX92%),AX252*(1+Data_All!AX92%)),"")</f>
        <v/>
      </c>
      <c r="AY253" s="427" t="str">
        <f>IF(AND($A253&gt;=SYear_O,$A253&lt;=EYear_O,AY$3&gt;0),IF($A253=SYear_O,AY$168*(1+Data_All!AY92%),AY252*(1+Data_All!AY92%)),"")</f>
        <v/>
      </c>
      <c r="AZ253" s="427" t="str">
        <f>IF(AND($A253&gt;=SYear_O,$A253&lt;=EYear_O,AZ$3&gt;0),IF($A253=SYear_O,AZ$168*(1+Data_All!AZ92%),AZ252*(1+Data_All!AZ92%)),"")</f>
        <v/>
      </c>
      <c r="BA253" s="427" t="str">
        <f>IF(AND($A253&gt;=SYear_O,$A253&lt;=EYear_O,BA$3&gt;0),IF($A253=SYear_O,BA$168*(1+Data_All!BA92%),BA252*(1+Data_All!BA92%)),"")</f>
        <v/>
      </c>
      <c r="BB253" s="427" t="str">
        <f>IF(AND($A253&gt;=SYear_O,$A253&lt;=EYear_O,BB$3&gt;0),IF($A253=SYear_O,BB$168*(1+Data_All!BB92%),BB252*(1+Data_All!BB92%)),"")</f>
        <v/>
      </c>
      <c r="BC253" s="427" t="str">
        <f>IF(AND($A253&gt;=SYear_O,$A253&lt;=EYear_O,BC$3&gt;0),IF($A253=SYear_O,BC$168*(1+Data_All!BC92%),BC252*(1+Data_All!BC92%)),"")</f>
        <v/>
      </c>
      <c r="BD253" s="427" t="str">
        <f>IF(AND($A253&gt;=SYear_O,$A253&lt;=EYear_O,BD$3&gt;0),IF($A253=SYear_O,BD$168*(1+Data_All!BD92%),BD252*(1+Data_All!BD92%)),"")</f>
        <v/>
      </c>
      <c r="BE253" s="427" t="str">
        <f>IF(AND($A253&gt;=SYear_O,$A253&lt;=EYear_O,BE$3&gt;0),IF($A253=SYear_O,BE$168*(1+Data_All!BE92%),BE252*(1+Data_All!BE92%)),"")</f>
        <v/>
      </c>
      <c r="BF253" s="427" t="str">
        <f>IF(AND($A253&gt;=SYear_O,$A253&lt;=EYear_O,BF$3&gt;0),IF($A253=SYear_O,BF$168*(1+Data_All!BF92%),BF252*(1+Data_All!BF92%)),"")</f>
        <v/>
      </c>
      <c r="BG253" s="427" t="str">
        <f>IF(AND($A253&gt;=SYear_O,$A253&lt;=EYear_O,BG$3&gt;0),IF($A253=SYear_O,BG$168*(1+Data_All!BG92%),BG252*(1+Data_All!BG92%)),"")</f>
        <v/>
      </c>
      <c r="BH253" s="427" t="str">
        <f>IF(AND($A253&gt;=SYear_O,$A253&lt;=EYear_O,BH$3&gt;0),IF($A253=SYear_O,BH$168*(1+Data_All!BH92%),BH252*(1+Data_All!BH92%)),"")</f>
        <v/>
      </c>
      <c r="BI253" s="427" t="str">
        <f>IF(AND($A253&gt;=SYear_O,$A253&lt;=EYear_O,BI$3&gt;0),IF($A253=SYear_O,BI$168*(1+Data_All!BI92%),BI252*(1+Data_All!BI92%)),"")</f>
        <v/>
      </c>
      <c r="BJ253" s="427" t="str">
        <f>IF(AND($A253&gt;=SYear_O,$A253&lt;=EYear_O,BJ$3&gt;0),IF($A253=SYear_O,BJ$168*(1+Data_All!BJ92%),BJ252*(1+Data_All!BJ92%)),"")</f>
        <v/>
      </c>
      <c r="BK253" s="427" t="str">
        <f>IF(AND($A253&gt;=SYear_O,$A253&lt;=EYear_O,BK$3&gt;0),IF($A253=SYear_O,BK$168*(1+Data_All!BK92%),BK252*(1+Data_All!BK92%)),"")</f>
        <v/>
      </c>
      <c r="BL253" s="427" t="str">
        <f>IF(AND($A253&gt;=SYear_O,$A253&lt;=EYear_O,BL$3&gt;0),IF($A253=SYear_O,BL$168*(1+Data_All!BL92%),BL252*(1+Data_All!BL92%)),"")</f>
        <v/>
      </c>
      <c r="BM253" s="427" t="str">
        <f>IF(AND($A253&gt;=SYear_O,$A253&lt;=EYear_O,BM$3&gt;0),IF($A253=SYear_O,BM$168*(1+Data_All!BM92%),BM252*(1+Data_All!BM92%)),"")</f>
        <v/>
      </c>
      <c r="BN253" s="427" t="str">
        <f>IF(AND($A253&gt;=SYear_O,$A253&lt;=EYear_O,BN$3&gt;0),IF($A253=SYear_O,BN$168*(1+Data_All!BN92%),BN252*(1+Data_All!BN92%)),"")</f>
        <v/>
      </c>
      <c r="BO253" s="427" t="str">
        <f>IF(AND($A253&gt;=SYear_O,$A253&lt;=EYear_O,BO$3&gt;0),IF($A253=SYear_O,BO$168*(1+Data_All!BO92%),BO252*(1+Data_All!BO92%)),"")</f>
        <v/>
      </c>
      <c r="BP253" s="427" t="str">
        <f>IF(AND($A253&gt;=SYear_O,$A253&lt;=EYear_O,BP$3&gt;0),IF($A253=SYear_O,BP$168*(1+Data_All!BP92%),BP252*(1+Data_All!BP92%)),"")</f>
        <v/>
      </c>
      <c r="BQ253" s="427" t="str">
        <f>IF(AND($A253&gt;=SYear_O,$A253&lt;=EYear_O,BQ$3&gt;0),IF($A253=SYear_O,BQ$168*(1+Data_All!BQ92%),BQ252*(1+Data_All!BQ92%)),"")</f>
        <v/>
      </c>
      <c r="BR253" s="427" t="str">
        <f>IF(AND($A253&gt;=SYear_O,$A253&lt;=EYear_O,BR$3&gt;0),IF($A253=SYear_O,BR$168*(1+Data_All!BR92%),BR252*(1+Data_All!BR92%)),"")</f>
        <v/>
      </c>
      <c r="BS253" s="427" t="str">
        <f>IF(AND($A253&gt;=SYear_O,$A253&lt;=EYear_O,BS$3&gt;0),IF($A253=SYear_O,BS$168*(1+Data_All!BS92%),BS252*(1+Data_All!BS92%)),"")</f>
        <v/>
      </c>
      <c r="BT253" s="427" t="str">
        <f>IF(AND($A253&gt;=SYear_O,$A253&lt;=EYear_O,BT$3&gt;0),IF($A253=SYear_O,BT$168*(1+Data_All!BT92%),BT252*(1+Data_All!BT92%)),"")</f>
        <v/>
      </c>
      <c r="BU253" s="427" t="str">
        <f>IF(AND($A253&gt;=SYear_O,$A253&lt;=EYear_O,BU$3&gt;0),IF($A253=SYear_O,BU$168*(1+Data_All!BU92%),BU252*(1+Data_All!BU92%)),"")</f>
        <v/>
      </c>
      <c r="BV253" s="427" t="str">
        <f>IF(AND($A253&gt;=SYear_O,$A253&lt;=EYear_O,BV$3&gt;0),IF($A253=SYear_O,BV$168*(1+Data_All!BV92%),BV252*(1+Data_All!BV92%)),"")</f>
        <v/>
      </c>
      <c r="BW253" s="427" t="str">
        <f>IF(AND($A253&gt;=SYear_O,$A253&lt;=EYear_O,BW$3&gt;0),IF($A253=SYear_O,BW$168*(1+Data_All!BW92%),BW252*(1+Data_All!BW92%)),"")</f>
        <v/>
      </c>
      <c r="BX253" s="427">
        <f>IF(AND($A253&gt;=SYear_O,$A253&lt;=EYear_O,BX$3&gt;0),IF($A253=SYear_O,BX$168*(1+Data_All!BX92%),BX252*(1+Data_All!BX92%)),"")</f>
        <v>4736560.0041730655</v>
      </c>
      <c r="BY253" s="427">
        <f>IF(AND($A253&gt;=SYear_O,$A253&lt;=EYear_O,BY$3&gt;0),IF($A253=SYear_O,BY$168*(1+Data_All!BY92%),BY252*(1+Data_All!BY92%)),"")</f>
        <v>84773.272784258981</v>
      </c>
      <c r="BZ253" s="427" t="str">
        <f>IF(AND($A253&gt;=SYear_O,$A253&lt;=EYear_O,BZ$3&gt;0),IF($A253=SYear_O,BZ$168*(1+Data_All!BZ92%),BZ252*(1+Data_All!BZ92%)),"")</f>
        <v/>
      </c>
      <c r="CA253" s="565">
        <f t="shared" si="123"/>
        <v>27.991051477561989</v>
      </c>
      <c r="CB253" s="427">
        <f t="shared" si="124"/>
        <v>4821333.2769573247</v>
      </c>
      <c r="CC253" s="565">
        <f>IF(AND($A253&gt;=SYear_O,$A253&lt;=EYear_O),(CA253-Data_All!CA92)/(1+Data_All!CA92%),"")</f>
        <v>27.513472927272577</v>
      </c>
      <c r="CD253" s="436">
        <f t="shared" si="125"/>
        <v>2242290.748706196</v>
      </c>
      <c r="CE253" s="438">
        <f t="shared" si="126"/>
        <v>437.2912580604546</v>
      </c>
      <c r="CF253" s="438">
        <f>IF(AND($A253&gt;=SYear_O,$A253&lt;=EYear_O),MAX($CE$169:CE253),"")</f>
        <v>437.2912580604546</v>
      </c>
      <c r="CG253" s="209">
        <f t="shared" si="127"/>
        <v>0</v>
      </c>
      <c r="CN253" s="61">
        <f t="shared" si="128"/>
        <v>0.27991051477561979</v>
      </c>
      <c r="CO253" s="61">
        <f t="shared" si="129"/>
        <v>8.9364360507218077E-2</v>
      </c>
      <c r="CP253" s="61">
        <f t="shared" si="130"/>
        <v>0.140403859432219</v>
      </c>
      <c r="CQ253" s="61">
        <f t="shared" si="131"/>
        <v>0.12745426245831482</v>
      </c>
      <c r="CR253" s="61">
        <f t="shared" si="132"/>
        <v>9.8015682479259292E-2</v>
      </c>
      <c r="CU253" s="61">
        <f t="shared" si="133"/>
        <v>0.27513472927272575</v>
      </c>
      <c r="CV253" s="61">
        <f t="shared" si="134"/>
        <v>6.4686070795090256E-2</v>
      </c>
      <c r="CW253" s="61">
        <f t="shared" si="135"/>
        <v>0.11940542320564518</v>
      </c>
      <c r="CX253" s="61">
        <f t="shared" si="136"/>
        <v>0.11002970162148507</v>
      </c>
      <c r="CY253" s="61">
        <f t="shared" si="137"/>
        <v>7.2860296938026092E-2</v>
      </c>
    </row>
    <row r="254" spans="1:103">
      <c r="A254" s="204">
        <f t="shared" si="107"/>
        <v>1956</v>
      </c>
      <c r="B254" s="427" t="str">
        <f>IF(AND($A254&gt;=SYear_O,$A254&lt;=EYear_O,B$3&gt;0),IF($A254=SYear_O,B$168*(1+Data_All!B93%),B253*(1+Data_All!B93%)),"")</f>
        <v/>
      </c>
      <c r="C254" s="427" t="str">
        <f>IF(AND($A254&gt;=SYear_O,$A254&lt;=EYear_O,C$3&gt;0),IF($A254=SYear_O,C$168*(1+Data_All!C93%),C253*(1+Data_All!C93%)),"")</f>
        <v/>
      </c>
      <c r="D254" s="427" t="str">
        <f>IF(AND($A254&gt;=SYear_O,$A254&lt;=EYear_O,D$3&gt;0),IF($A254=SYear_O,D$168*(1+Data_All!D93%),D253*(1+Data_All!D93%)),"")</f>
        <v/>
      </c>
      <c r="E254" s="427" t="str">
        <f>IF(AND($A254&gt;=SYear_O,$A254&lt;=EYear_O,E$3&gt;0),IF($A254=SYear_O,E$168*(1+Data_All!E93%),E253*(1+Data_All!E93%)),"")</f>
        <v/>
      </c>
      <c r="F254" s="427" t="str">
        <f>IF(AND($A254&gt;=SYear_O,$A254&lt;=EYear_O,F$3&gt;0),IF($A254=SYear_O,F$168*(1+Data_All!F93%),F253*(1+Data_All!F93%)),"")</f>
        <v/>
      </c>
      <c r="G254" s="427" t="str">
        <f>IF(AND($A254&gt;=SYear_O,$A254&lt;=EYear_O,G$3&gt;0),IF($A254=SYear_O,G$168*(1+Data_All!G93%),G253*(1+Data_All!G93%)),"")</f>
        <v/>
      </c>
      <c r="H254" s="427" t="str">
        <f>IF(AND($A254&gt;=SYear_O,$A254&lt;=EYear_O,H$3&gt;0),IF($A254=SYear_O,H$168*(1+Data_All!H93%),H253*(1+Data_All!H93%)),"")</f>
        <v/>
      </c>
      <c r="I254" s="427" t="str">
        <f>IF(AND($A254&gt;=SYear_O,$A254&lt;=EYear_O,I$3&gt;0),IF($A254=SYear_O,I$168*(1+Data_All!I93%),I253*(1+Data_All!I93%)),"")</f>
        <v/>
      </c>
      <c r="J254" s="427" t="str">
        <f>IF(AND($A254&gt;=SYear_O,$A254&lt;=EYear_O,J$3&gt;0),IF($A254=SYear_O,J$168*(1+Data_All!J93%),J253*(1+Data_All!J93%)),"")</f>
        <v/>
      </c>
      <c r="K254" s="427" t="str">
        <f>IF(AND($A254&gt;=SYear_O,$A254&lt;=EYear_O,K$3&gt;0),IF($A254=SYear_O,K$168*(1+Data_All!K93%),K253*(1+Data_All!K93%)),"")</f>
        <v/>
      </c>
      <c r="L254" s="427" t="str">
        <f>IF(AND($A254&gt;=SYear_O,$A254&lt;=EYear_O,L$3&gt;0),IF($A254=SYear_O,L$168*(1+Data_All!L93%),L253*(1+Data_All!L93%)),"")</f>
        <v/>
      </c>
      <c r="M254" s="427" t="str">
        <f>IF(AND($A254&gt;=SYear_O,$A254&lt;=EYear_O,M$3&gt;0),IF($A254=SYear_O,M$168*(1+Data_All!M93%),M253*(1+Data_All!M93%)),"")</f>
        <v/>
      </c>
      <c r="N254" s="427" t="str">
        <f>IF(AND($A254&gt;=SYear_O,$A254&lt;=EYear_O,N$3&gt;0),IF($A254=SYear_O,N$168*(1+Data_All!N93%),N253*(1+Data_All!N93%)),"")</f>
        <v/>
      </c>
      <c r="O254" s="427" t="str">
        <f>IF(AND($A254&gt;=SYear_O,$A254&lt;=EYear_O,O$3&gt;0),IF($A254=SYear_O,O$168*(1+Data_All!O93%),O253*(1+Data_All!O93%)),"")</f>
        <v/>
      </c>
      <c r="P254" s="427" t="str">
        <f>IF(AND($A254&gt;=SYear_O,$A254&lt;=EYear_O,P$3&gt;0),IF($A254=SYear_O,P$168*(1+Data_All!P93%),P253*(1+Data_All!P93%)),"")</f>
        <v/>
      </c>
      <c r="Q254" s="427" t="str">
        <f>IF(AND($A254&gt;=SYear_O,$A254&lt;=EYear_O,Q$3&gt;0),IF($A254=SYear_O,Q$168*(1+Data_All!Q93%),Q253*(1+Data_All!Q93%)),"")</f>
        <v/>
      </c>
      <c r="R254" s="427" t="str">
        <f>IF(AND($A254&gt;=SYear_O,$A254&lt;=EYear_O,R$3&gt;0),IF($A254=SYear_O,R$168*(1+Data_All!R93%),R253*(1+Data_All!R93%)),"")</f>
        <v/>
      </c>
      <c r="S254" s="427" t="str">
        <f>IF(AND($A254&gt;=SYear_O,$A254&lt;=EYear_O,S$3&gt;0),IF($A254=SYear_O,S$168*(1+Data_All!S93%),S253*(1+Data_All!S93%)),"")</f>
        <v/>
      </c>
      <c r="T254" s="427" t="str">
        <f>IF(AND($A254&gt;=SYear_O,$A254&lt;=EYear_O,T$3&gt;0),IF($A254=SYear_O,T$168*(1+Data_All!T93%),T253*(1+Data_All!T93%)),"")</f>
        <v/>
      </c>
      <c r="U254" s="427" t="str">
        <f>IF(AND($A254&gt;=SYear_O,$A254&lt;=EYear_O,U$3&gt;0),IF($A254=SYear_O,U$168*(1+Data_All!U93%),U253*(1+Data_All!U93%)),"")</f>
        <v/>
      </c>
      <c r="V254" s="427" t="str">
        <f>IF(AND($A254&gt;=SYear_O,$A254&lt;=EYear_O,V$3&gt;0),IF($A254=SYear_O,V$168*(1+Data_All!V93%),V253*(1+Data_All!V93%)),"")</f>
        <v/>
      </c>
      <c r="W254" s="427" t="str">
        <f>IF(AND($A254&gt;=SYear_O,$A254&lt;=EYear_O,W$3&gt;0),IF($A254=SYear_O,W$168*(1+Data_All!W93%),W253*(1+Data_All!W93%)),"")</f>
        <v/>
      </c>
      <c r="X254" s="427" t="str">
        <f>IF(AND($A254&gt;=SYear_O,$A254&lt;=EYear_O,X$3&gt;0),IF($A254=SYear_O,X$168*(1+Data_All!X93%),X253*(1+Data_All!X93%)),"")</f>
        <v/>
      </c>
      <c r="Y254" s="427" t="str">
        <f>IF(AND($A254&gt;=SYear_O,$A254&lt;=EYear_O,Y$3&gt;0),IF($A254=SYear_O,Y$168*(1+Data_All!Y93%),Y253*(1+Data_All!Y93%)),"")</f>
        <v/>
      </c>
      <c r="Z254" s="427" t="str">
        <f>IF(AND($A254&gt;=SYear_O,$A254&lt;=EYear_O,Z$3&gt;0),IF($A254=SYear_O,Z$168*(1+Data_All!Z93%),Z253*(1+Data_All!Z93%)),"")</f>
        <v/>
      </c>
      <c r="AA254" s="427" t="str">
        <f>IF(AND($A254&gt;=SYear_O,$A254&lt;=EYear_O,AA$3&gt;0),IF($A254=SYear_O,AA$168*(1+Data_All!AA93%),AA253*(1+Data_All!AA93%)),"")</f>
        <v/>
      </c>
      <c r="AB254" s="427" t="str">
        <f>IF(AND($A254&gt;=SYear_O,$A254&lt;=EYear_O,AB$3&gt;0),IF($A254=SYear_O,AB$168*(1+Data_All!AB93%),AB253*(1+Data_All!AB93%)),"")</f>
        <v/>
      </c>
      <c r="AC254" s="427" t="str">
        <f>IF(AND($A254&gt;=SYear_O,$A254&lt;=EYear_O,AC$3&gt;0),IF($A254=SYear_O,AC$168*(1+Data_All!AC93%),AC253*(1+Data_All!AC93%)),"")</f>
        <v/>
      </c>
      <c r="AD254" s="427" t="str">
        <f>IF(AND($A254&gt;=SYear_O,$A254&lt;=EYear_O,AD$3&gt;0),IF($A254=SYear_O,AD$168*(1+Data_All!AD93%),AD253*(1+Data_All!AD93%)),"")</f>
        <v/>
      </c>
      <c r="AE254" s="427" t="str">
        <f>IF(AND($A254&gt;=SYear_O,$A254&lt;=EYear_O,AE$3&gt;0),IF($A254=SYear_O,AE$168*(1+Data_All!AE93%),AE253*(1+Data_All!AE93%)),"")</f>
        <v/>
      </c>
      <c r="AF254" s="427" t="str">
        <f>IF(AND($A254&gt;=SYear_O,$A254&lt;=EYear_O,AF$3&gt;0),IF($A254=SYear_O,AF$168*(1+Data_All!AF93%),AF253*(1+Data_All!AF93%)),"")</f>
        <v/>
      </c>
      <c r="AG254" s="427" t="str">
        <f>IF(AND($A254&gt;=SYear_O,$A254&lt;=EYear_O,AG$3&gt;0),IF($A254=SYear_O,AG$168*(1+Data_All!AG93%),AG253*(1+Data_All!AG93%)),"")</f>
        <v/>
      </c>
      <c r="AH254" s="427" t="str">
        <f>IF(AND($A254&gt;=SYear_O,$A254&lt;=EYear_O,AH$3&gt;0),IF($A254=SYear_O,AH$168*(1+Data_All!AH93%),AH253*(1+Data_All!AH93%)),"")</f>
        <v/>
      </c>
      <c r="AI254" s="427" t="str">
        <f>IF(AND($A254&gt;=SYear_O,$A254&lt;=EYear_O,AI$3&gt;0),IF($A254=SYear_O,AI$168*(1+Data_All!AI93%),AI253*(1+Data_All!AI93%)),"")</f>
        <v/>
      </c>
      <c r="AJ254" s="427" t="str">
        <f>IF(AND($A254&gt;=SYear_O,$A254&lt;=EYear_O,AJ$3&gt;0),IF($A254=SYear_O,AJ$168*(1+Data_All!AJ93%),AJ253*(1+Data_All!AJ93%)),"")</f>
        <v/>
      </c>
      <c r="AK254" s="427" t="str">
        <f>IF(AND($A254&gt;=SYear_O,$A254&lt;=EYear_O,AK$3&gt;0),IF($A254=SYear_O,AK$168*(1+Data_All!AK93%),AK253*(1+Data_All!AK93%)),"")</f>
        <v/>
      </c>
      <c r="AL254" s="427" t="str">
        <f>IF(AND($A254&gt;=SYear_O,$A254&lt;=EYear_O,AL$3&gt;0),IF($A254=SYear_O,AL$168*(1+Data_All!AL93%),AL253*(1+Data_All!AL93%)),"")</f>
        <v/>
      </c>
      <c r="AM254" s="427" t="str">
        <f>IF(AND($A254&gt;=SYear_O,$A254&lt;=EYear_O,AM$3&gt;0),IF($A254=SYear_O,AM$168*(1+Data_All!AM93%),AM253*(1+Data_All!AM93%)),"")</f>
        <v/>
      </c>
      <c r="AN254" s="427" t="str">
        <f>IF(AND($A254&gt;=SYear_O,$A254&lt;=EYear_O,AN$3&gt;0),IF($A254=SYear_O,AN$168*(1+Data_All!AN93%),AN253*(1+Data_All!AN93%)),"")</f>
        <v/>
      </c>
      <c r="AO254" s="427" t="str">
        <f>IF(AND($A254&gt;=SYear_O,$A254&lt;=EYear_O,AO$3&gt;0),IF($A254=SYear_O,AO$168*(1+Data_All!AO93%),AO253*(1+Data_All!AO93%)),"")</f>
        <v/>
      </c>
      <c r="AP254" s="427" t="str">
        <f>IF(AND($A254&gt;=SYear_O,$A254&lt;=EYear_O,AP$3&gt;0),IF($A254=SYear_O,AP$168*(1+Data_All!AP93%),AP253*(1+Data_All!AP93%)),"")</f>
        <v/>
      </c>
      <c r="AQ254" s="427" t="str">
        <f>IF(AND($A254&gt;=SYear_O,$A254&lt;=EYear_O,AQ$3&gt;0),IF($A254=SYear_O,AQ$168*(1+Data_All!AQ93%),AQ253*(1+Data_All!AQ93%)),"")</f>
        <v/>
      </c>
      <c r="AR254" s="427" t="str">
        <f>IF(AND($A254&gt;=SYear_O,$A254&lt;=EYear_O,AR$3&gt;0),IF($A254=SYear_O,AR$168*(1+Data_All!AR93%),AR253*(1+Data_All!AR93%)),"")</f>
        <v/>
      </c>
      <c r="AS254" s="427" t="str">
        <f>IF(AND($A254&gt;=SYear_O,$A254&lt;=EYear_O,AS$3&gt;0),IF($A254=SYear_O,AS$168*(1+Data_All!AS93%),AS253*(1+Data_All!AS93%)),"")</f>
        <v/>
      </c>
      <c r="AT254" s="427" t="str">
        <f>IF(AND($A254&gt;=SYear_O,$A254&lt;=EYear_O,AT$3&gt;0),IF($A254=SYear_O,AT$168*(1+Data_All!AT93%),AT253*(1+Data_All!AT93%)),"")</f>
        <v/>
      </c>
      <c r="AU254" s="427" t="str">
        <f>IF(AND($A254&gt;=SYear_O,$A254&lt;=EYear_O,AU$3&gt;0),IF($A254=SYear_O,AU$168*(1+Data_All!AU93%),AU253*(1+Data_All!AU93%)),"")</f>
        <v/>
      </c>
      <c r="AV254" s="427" t="str">
        <f>IF(AND($A254&gt;=SYear_O,$A254&lt;=EYear_O,AV$3&gt;0),IF($A254=SYear_O,AV$168*(1+Data_All!AV93%),AV253*(1+Data_All!AV93%)),"")</f>
        <v/>
      </c>
      <c r="AW254" s="427" t="str">
        <f>IF(AND($A254&gt;=SYear_O,$A254&lt;=EYear_O,AW$3&gt;0),IF($A254=SYear_O,AW$168*(1+Data_All!AW93%),AW253*(1+Data_All!AW93%)),"")</f>
        <v/>
      </c>
      <c r="AX254" s="427" t="str">
        <f>IF(AND($A254&gt;=SYear_O,$A254&lt;=EYear_O,AX$3&gt;0),IF($A254=SYear_O,AX$168*(1+Data_All!AX93%),AX253*(1+Data_All!AX93%)),"")</f>
        <v/>
      </c>
      <c r="AY254" s="427" t="str">
        <f>IF(AND($A254&gt;=SYear_O,$A254&lt;=EYear_O,AY$3&gt;0),IF($A254=SYear_O,AY$168*(1+Data_All!AY93%),AY253*(1+Data_All!AY93%)),"")</f>
        <v/>
      </c>
      <c r="AZ254" s="427" t="str">
        <f>IF(AND($A254&gt;=SYear_O,$A254&lt;=EYear_O,AZ$3&gt;0),IF($A254=SYear_O,AZ$168*(1+Data_All!AZ93%),AZ253*(1+Data_All!AZ93%)),"")</f>
        <v/>
      </c>
      <c r="BA254" s="427" t="str">
        <f>IF(AND($A254&gt;=SYear_O,$A254&lt;=EYear_O,BA$3&gt;0),IF($A254=SYear_O,BA$168*(1+Data_All!BA93%),BA253*(1+Data_All!BA93%)),"")</f>
        <v/>
      </c>
      <c r="BB254" s="427" t="str">
        <f>IF(AND($A254&gt;=SYear_O,$A254&lt;=EYear_O,BB$3&gt;0),IF($A254=SYear_O,BB$168*(1+Data_All!BB93%),BB253*(1+Data_All!BB93%)),"")</f>
        <v/>
      </c>
      <c r="BC254" s="427" t="str">
        <f>IF(AND($A254&gt;=SYear_O,$A254&lt;=EYear_O,BC$3&gt;0),IF($A254=SYear_O,BC$168*(1+Data_All!BC93%),BC253*(1+Data_All!BC93%)),"")</f>
        <v/>
      </c>
      <c r="BD254" s="427" t="str">
        <f>IF(AND($A254&gt;=SYear_O,$A254&lt;=EYear_O,BD$3&gt;0),IF($A254=SYear_O,BD$168*(1+Data_All!BD93%),BD253*(1+Data_All!BD93%)),"")</f>
        <v/>
      </c>
      <c r="BE254" s="427" t="str">
        <f>IF(AND($A254&gt;=SYear_O,$A254&lt;=EYear_O,BE$3&gt;0),IF($A254=SYear_O,BE$168*(1+Data_All!BE93%),BE253*(1+Data_All!BE93%)),"")</f>
        <v/>
      </c>
      <c r="BF254" s="427" t="str">
        <f>IF(AND($A254&gt;=SYear_O,$A254&lt;=EYear_O,BF$3&gt;0),IF($A254=SYear_O,BF$168*(1+Data_All!BF93%),BF253*(1+Data_All!BF93%)),"")</f>
        <v/>
      </c>
      <c r="BG254" s="427" t="str">
        <f>IF(AND($A254&gt;=SYear_O,$A254&lt;=EYear_O,BG$3&gt;0),IF($A254=SYear_O,BG$168*(1+Data_All!BG93%),BG253*(1+Data_All!BG93%)),"")</f>
        <v/>
      </c>
      <c r="BH254" s="427" t="str">
        <f>IF(AND($A254&gt;=SYear_O,$A254&lt;=EYear_O,BH$3&gt;0),IF($A254=SYear_O,BH$168*(1+Data_All!BH93%),BH253*(1+Data_All!BH93%)),"")</f>
        <v/>
      </c>
      <c r="BI254" s="427" t="str">
        <f>IF(AND($A254&gt;=SYear_O,$A254&lt;=EYear_O,BI$3&gt;0),IF($A254=SYear_O,BI$168*(1+Data_All!BI93%),BI253*(1+Data_All!BI93%)),"")</f>
        <v/>
      </c>
      <c r="BJ254" s="427" t="str">
        <f>IF(AND($A254&gt;=SYear_O,$A254&lt;=EYear_O,BJ$3&gt;0),IF($A254=SYear_O,BJ$168*(1+Data_All!BJ93%),BJ253*(1+Data_All!BJ93%)),"")</f>
        <v/>
      </c>
      <c r="BK254" s="427" t="str">
        <f>IF(AND($A254&gt;=SYear_O,$A254&lt;=EYear_O,BK$3&gt;0),IF($A254=SYear_O,BK$168*(1+Data_All!BK93%),BK253*(1+Data_All!BK93%)),"")</f>
        <v/>
      </c>
      <c r="BL254" s="427" t="str">
        <f>IF(AND($A254&gt;=SYear_O,$A254&lt;=EYear_O,BL$3&gt;0),IF($A254=SYear_O,BL$168*(1+Data_All!BL93%),BL253*(1+Data_All!BL93%)),"")</f>
        <v/>
      </c>
      <c r="BM254" s="427" t="str">
        <f>IF(AND($A254&gt;=SYear_O,$A254&lt;=EYear_O,BM$3&gt;0),IF($A254=SYear_O,BM$168*(1+Data_All!BM93%),BM253*(1+Data_All!BM93%)),"")</f>
        <v/>
      </c>
      <c r="BN254" s="427" t="str">
        <f>IF(AND($A254&gt;=SYear_O,$A254&lt;=EYear_O,BN$3&gt;0),IF($A254=SYear_O,BN$168*(1+Data_All!BN93%),BN253*(1+Data_All!BN93%)),"")</f>
        <v/>
      </c>
      <c r="BO254" s="427" t="str">
        <f>IF(AND($A254&gt;=SYear_O,$A254&lt;=EYear_O,BO$3&gt;0),IF($A254=SYear_O,BO$168*(1+Data_All!BO93%),BO253*(1+Data_All!BO93%)),"")</f>
        <v/>
      </c>
      <c r="BP254" s="427" t="str">
        <f>IF(AND($A254&gt;=SYear_O,$A254&lt;=EYear_O,BP$3&gt;0),IF($A254=SYear_O,BP$168*(1+Data_All!BP93%),BP253*(1+Data_All!BP93%)),"")</f>
        <v/>
      </c>
      <c r="BQ254" s="427" t="str">
        <f>IF(AND($A254&gt;=SYear_O,$A254&lt;=EYear_O,BQ$3&gt;0),IF($A254=SYear_O,BQ$168*(1+Data_All!BQ93%),BQ253*(1+Data_All!BQ93%)),"")</f>
        <v/>
      </c>
      <c r="BR254" s="427" t="str">
        <f>IF(AND($A254&gt;=SYear_O,$A254&lt;=EYear_O,BR$3&gt;0),IF($A254=SYear_O,BR$168*(1+Data_All!BR93%),BR253*(1+Data_All!BR93%)),"")</f>
        <v/>
      </c>
      <c r="BS254" s="427" t="str">
        <f>IF(AND($A254&gt;=SYear_O,$A254&lt;=EYear_O,BS$3&gt;0),IF($A254=SYear_O,BS$168*(1+Data_All!BS93%),BS253*(1+Data_All!BS93%)),"")</f>
        <v/>
      </c>
      <c r="BT254" s="427" t="str">
        <f>IF(AND($A254&gt;=SYear_O,$A254&lt;=EYear_O,BT$3&gt;0),IF($A254=SYear_O,BT$168*(1+Data_All!BT93%),BT253*(1+Data_All!BT93%)),"")</f>
        <v/>
      </c>
      <c r="BU254" s="427" t="str">
        <f>IF(AND($A254&gt;=SYear_O,$A254&lt;=EYear_O,BU$3&gt;0),IF($A254=SYear_O,BU$168*(1+Data_All!BU93%),BU253*(1+Data_All!BU93%)),"")</f>
        <v/>
      </c>
      <c r="BV254" s="427" t="str">
        <f>IF(AND($A254&gt;=SYear_O,$A254&lt;=EYear_O,BV$3&gt;0),IF($A254=SYear_O,BV$168*(1+Data_All!BV93%),BV253*(1+Data_All!BV93%)),"")</f>
        <v/>
      </c>
      <c r="BW254" s="427" t="str">
        <f>IF(AND($A254&gt;=SYear_O,$A254&lt;=EYear_O,BW$3&gt;0),IF($A254=SYear_O,BW$168*(1+Data_All!BW93%),BW253*(1+Data_All!BW93%)),"")</f>
        <v/>
      </c>
      <c r="BX254" s="427">
        <f>IF(AND($A254&gt;=SYear_O,$A254&lt;=EYear_O,BX$3&gt;0),IF($A254=SYear_O,BX$168*(1+Data_All!BX93%),BX253*(1+Data_All!BX93%)),"")</f>
        <v>5060555.728127826</v>
      </c>
      <c r="BY254" s="427">
        <f>IF(AND($A254&gt;=SYear_O,$A254&lt;=EYear_O,BY$3&gt;0),IF($A254=SYear_O,BY$168*(1+Data_All!BY93%),BY253*(1+Data_All!BY93%)),"")</f>
        <v>84852.674705013764</v>
      </c>
      <c r="BZ254" s="427" t="str">
        <f>IF(AND($A254&gt;=SYear_O,$A254&lt;=EYear_O,BZ$3&gt;0),IF($A254=SYear_O,BZ$168*(1+Data_All!BZ93%),BZ253*(1+Data_All!BZ93%)),"")</f>
        <v/>
      </c>
      <c r="CA254" s="565">
        <f t="shared" si="123"/>
        <v>6.7216910190459629</v>
      </c>
      <c r="CB254" s="427">
        <f t="shared" si="124"/>
        <v>5145408.4028328396</v>
      </c>
      <c r="CC254" s="565">
        <f>IF(AND($A254&gt;=SYear_O,$A254&lt;=EYear_O),(CA254-Data_All!CA93)/(1+Data_All!CA93%),"")</f>
        <v>3.6283086706678103</v>
      </c>
      <c r="CD254" s="436">
        <f t="shared" si="125"/>
        <v>2323647.9783630851</v>
      </c>
      <c r="CE254" s="438">
        <f t="shared" si="126"/>
        <v>466.68462528057728</v>
      </c>
      <c r="CF254" s="438">
        <f>IF(AND($A254&gt;=SYear_O,$A254&lt;=EYear_O),MAX($CE$169:CE254),"")</f>
        <v>466.68462528057728</v>
      </c>
      <c r="CG254" s="209">
        <f t="shared" si="127"/>
        <v>0</v>
      </c>
      <c r="CN254" s="61">
        <f t="shared" si="128"/>
        <v>6.7216910190459611E-2</v>
      </c>
      <c r="CO254" s="61">
        <f t="shared" si="129"/>
        <v>0.11909849387469951</v>
      </c>
      <c r="CP254" s="61">
        <f t="shared" si="130"/>
        <v>9.8873091712271988E-2</v>
      </c>
      <c r="CQ254" s="61">
        <f t="shared" si="131"/>
        <v>0.11193646325101536</v>
      </c>
      <c r="CR254" s="61">
        <f t="shared" si="132"/>
        <v>8.5031055649209097E-2</v>
      </c>
      <c r="CU254" s="61">
        <f t="shared" si="133"/>
        <v>3.6283086706678125E-2</v>
      </c>
      <c r="CV254" s="61">
        <f t="shared" si="134"/>
        <v>9.0052068298686505E-2</v>
      </c>
      <c r="CW254" s="61">
        <f t="shared" si="135"/>
        <v>7.5799269046546991E-2</v>
      </c>
      <c r="CX254" s="61">
        <f t="shared" si="136"/>
        <v>9.3076958008808885E-2</v>
      </c>
      <c r="CY254" s="61">
        <f t="shared" si="137"/>
        <v>5.6798731935959079E-2</v>
      </c>
    </row>
    <row r="255" spans="1:103">
      <c r="A255" s="204">
        <f t="shared" si="107"/>
        <v>1957</v>
      </c>
      <c r="B255" s="427" t="str">
        <f>IF(AND($A255&gt;=SYear_O,$A255&lt;=EYear_O,B$3&gt;0),IF($A255=SYear_O,B$168*(1+Data_All!B94%),B254*(1+Data_All!B94%)),"")</f>
        <v/>
      </c>
      <c r="C255" s="427" t="str">
        <f>IF(AND($A255&gt;=SYear_O,$A255&lt;=EYear_O,C$3&gt;0),IF($A255=SYear_O,C$168*(1+Data_All!C94%),C254*(1+Data_All!C94%)),"")</f>
        <v/>
      </c>
      <c r="D255" s="427" t="str">
        <f>IF(AND($A255&gt;=SYear_O,$A255&lt;=EYear_O,D$3&gt;0),IF($A255=SYear_O,D$168*(1+Data_All!D94%),D254*(1+Data_All!D94%)),"")</f>
        <v/>
      </c>
      <c r="E255" s="427" t="str">
        <f>IF(AND($A255&gt;=SYear_O,$A255&lt;=EYear_O,E$3&gt;0),IF($A255=SYear_O,E$168*(1+Data_All!E94%),E254*(1+Data_All!E94%)),"")</f>
        <v/>
      </c>
      <c r="F255" s="427" t="str">
        <f>IF(AND($A255&gt;=SYear_O,$A255&lt;=EYear_O,F$3&gt;0),IF($A255=SYear_O,F$168*(1+Data_All!F94%),F254*(1+Data_All!F94%)),"")</f>
        <v/>
      </c>
      <c r="G255" s="427" t="str">
        <f>IF(AND($A255&gt;=SYear_O,$A255&lt;=EYear_O,G$3&gt;0),IF($A255=SYear_O,G$168*(1+Data_All!G94%),G254*(1+Data_All!G94%)),"")</f>
        <v/>
      </c>
      <c r="H255" s="427" t="str">
        <f>IF(AND($A255&gt;=SYear_O,$A255&lt;=EYear_O,H$3&gt;0),IF($A255=SYear_O,H$168*(1+Data_All!H94%),H254*(1+Data_All!H94%)),"")</f>
        <v/>
      </c>
      <c r="I255" s="427" t="str">
        <f>IF(AND($A255&gt;=SYear_O,$A255&lt;=EYear_O,I$3&gt;0),IF($A255=SYear_O,I$168*(1+Data_All!I94%),I254*(1+Data_All!I94%)),"")</f>
        <v/>
      </c>
      <c r="J255" s="427" t="str">
        <f>IF(AND($A255&gt;=SYear_O,$A255&lt;=EYear_O,J$3&gt;0),IF($A255=SYear_O,J$168*(1+Data_All!J94%),J254*(1+Data_All!J94%)),"")</f>
        <v/>
      </c>
      <c r="K255" s="427" t="str">
        <f>IF(AND($A255&gt;=SYear_O,$A255&lt;=EYear_O,K$3&gt;0),IF($A255=SYear_O,K$168*(1+Data_All!K94%),K254*(1+Data_All!K94%)),"")</f>
        <v/>
      </c>
      <c r="L255" s="427" t="str">
        <f>IF(AND($A255&gt;=SYear_O,$A255&lt;=EYear_O,L$3&gt;0),IF($A255=SYear_O,L$168*(1+Data_All!L94%),L254*(1+Data_All!L94%)),"")</f>
        <v/>
      </c>
      <c r="M255" s="427" t="str">
        <f>IF(AND($A255&gt;=SYear_O,$A255&lt;=EYear_O,M$3&gt;0),IF($A255=SYear_O,M$168*(1+Data_All!M94%),M254*(1+Data_All!M94%)),"")</f>
        <v/>
      </c>
      <c r="N255" s="427" t="str">
        <f>IF(AND($A255&gt;=SYear_O,$A255&lt;=EYear_O,N$3&gt;0),IF($A255=SYear_O,N$168*(1+Data_All!N94%),N254*(1+Data_All!N94%)),"")</f>
        <v/>
      </c>
      <c r="O255" s="427" t="str">
        <f>IF(AND($A255&gt;=SYear_O,$A255&lt;=EYear_O,O$3&gt;0),IF($A255=SYear_O,O$168*(1+Data_All!O94%),O254*(1+Data_All!O94%)),"")</f>
        <v/>
      </c>
      <c r="P255" s="427" t="str">
        <f>IF(AND($A255&gt;=SYear_O,$A255&lt;=EYear_O,P$3&gt;0),IF($A255=SYear_O,P$168*(1+Data_All!P94%),P254*(1+Data_All!P94%)),"")</f>
        <v/>
      </c>
      <c r="Q255" s="427" t="str">
        <f>IF(AND($A255&gt;=SYear_O,$A255&lt;=EYear_O,Q$3&gt;0),IF($A255=SYear_O,Q$168*(1+Data_All!Q94%),Q254*(1+Data_All!Q94%)),"")</f>
        <v/>
      </c>
      <c r="R255" s="427" t="str">
        <f>IF(AND($A255&gt;=SYear_O,$A255&lt;=EYear_O,R$3&gt;0),IF($A255=SYear_O,R$168*(1+Data_All!R94%),R254*(1+Data_All!R94%)),"")</f>
        <v/>
      </c>
      <c r="S255" s="427" t="str">
        <f>IF(AND($A255&gt;=SYear_O,$A255&lt;=EYear_O,S$3&gt;0),IF($A255=SYear_O,S$168*(1+Data_All!S94%),S254*(1+Data_All!S94%)),"")</f>
        <v/>
      </c>
      <c r="T255" s="427" t="str">
        <f>IF(AND($A255&gt;=SYear_O,$A255&lt;=EYear_O,T$3&gt;0),IF($A255=SYear_O,T$168*(1+Data_All!T94%),T254*(1+Data_All!T94%)),"")</f>
        <v/>
      </c>
      <c r="U255" s="427" t="str">
        <f>IF(AND($A255&gt;=SYear_O,$A255&lt;=EYear_O,U$3&gt;0),IF($A255=SYear_O,U$168*(1+Data_All!U94%),U254*(1+Data_All!U94%)),"")</f>
        <v/>
      </c>
      <c r="V255" s="427" t="str">
        <f>IF(AND($A255&gt;=SYear_O,$A255&lt;=EYear_O,V$3&gt;0),IF($A255=SYear_O,V$168*(1+Data_All!V94%),V254*(1+Data_All!V94%)),"")</f>
        <v/>
      </c>
      <c r="W255" s="427" t="str">
        <f>IF(AND($A255&gt;=SYear_O,$A255&lt;=EYear_O,W$3&gt;0),IF($A255=SYear_O,W$168*(1+Data_All!W94%),W254*(1+Data_All!W94%)),"")</f>
        <v/>
      </c>
      <c r="X255" s="427" t="str">
        <f>IF(AND($A255&gt;=SYear_O,$A255&lt;=EYear_O,X$3&gt;0),IF($A255=SYear_O,X$168*(1+Data_All!X94%),X254*(1+Data_All!X94%)),"")</f>
        <v/>
      </c>
      <c r="Y255" s="427" t="str">
        <f>IF(AND($A255&gt;=SYear_O,$A255&lt;=EYear_O,Y$3&gt;0),IF($A255=SYear_O,Y$168*(1+Data_All!Y94%),Y254*(1+Data_All!Y94%)),"")</f>
        <v/>
      </c>
      <c r="Z255" s="427" t="str">
        <f>IF(AND($A255&gt;=SYear_O,$A255&lt;=EYear_O,Z$3&gt;0),IF($A255=SYear_O,Z$168*(1+Data_All!Z94%),Z254*(1+Data_All!Z94%)),"")</f>
        <v/>
      </c>
      <c r="AA255" s="427" t="str">
        <f>IF(AND($A255&gt;=SYear_O,$A255&lt;=EYear_O,AA$3&gt;0),IF($A255=SYear_O,AA$168*(1+Data_All!AA94%),AA254*(1+Data_All!AA94%)),"")</f>
        <v/>
      </c>
      <c r="AB255" s="427" t="str">
        <f>IF(AND($A255&gt;=SYear_O,$A255&lt;=EYear_O,AB$3&gt;0),IF($A255=SYear_O,AB$168*(1+Data_All!AB94%),AB254*(1+Data_All!AB94%)),"")</f>
        <v/>
      </c>
      <c r="AC255" s="427" t="str">
        <f>IF(AND($A255&gt;=SYear_O,$A255&lt;=EYear_O,AC$3&gt;0),IF($A255=SYear_O,AC$168*(1+Data_All!AC94%),AC254*(1+Data_All!AC94%)),"")</f>
        <v/>
      </c>
      <c r="AD255" s="427" t="str">
        <f>IF(AND($A255&gt;=SYear_O,$A255&lt;=EYear_O,AD$3&gt;0),IF($A255=SYear_O,AD$168*(1+Data_All!AD94%),AD254*(1+Data_All!AD94%)),"")</f>
        <v/>
      </c>
      <c r="AE255" s="427" t="str">
        <f>IF(AND($A255&gt;=SYear_O,$A255&lt;=EYear_O,AE$3&gt;0),IF($A255=SYear_O,AE$168*(1+Data_All!AE94%),AE254*(1+Data_All!AE94%)),"")</f>
        <v/>
      </c>
      <c r="AF255" s="427" t="str">
        <f>IF(AND($A255&gt;=SYear_O,$A255&lt;=EYear_O,AF$3&gt;0),IF($A255=SYear_O,AF$168*(1+Data_All!AF94%),AF254*(1+Data_All!AF94%)),"")</f>
        <v/>
      </c>
      <c r="AG255" s="427" t="str">
        <f>IF(AND($A255&gt;=SYear_O,$A255&lt;=EYear_O,AG$3&gt;0),IF($A255=SYear_O,AG$168*(1+Data_All!AG94%),AG254*(1+Data_All!AG94%)),"")</f>
        <v/>
      </c>
      <c r="AH255" s="427" t="str">
        <f>IF(AND($A255&gt;=SYear_O,$A255&lt;=EYear_O,AH$3&gt;0),IF($A255=SYear_O,AH$168*(1+Data_All!AH94%),AH254*(1+Data_All!AH94%)),"")</f>
        <v/>
      </c>
      <c r="AI255" s="427" t="str">
        <f>IF(AND($A255&gt;=SYear_O,$A255&lt;=EYear_O,AI$3&gt;0),IF($A255=SYear_O,AI$168*(1+Data_All!AI94%),AI254*(1+Data_All!AI94%)),"")</f>
        <v/>
      </c>
      <c r="AJ255" s="427" t="str">
        <f>IF(AND($A255&gt;=SYear_O,$A255&lt;=EYear_O,AJ$3&gt;0),IF($A255=SYear_O,AJ$168*(1+Data_All!AJ94%),AJ254*(1+Data_All!AJ94%)),"")</f>
        <v/>
      </c>
      <c r="AK255" s="427" t="str">
        <f>IF(AND($A255&gt;=SYear_O,$A255&lt;=EYear_O,AK$3&gt;0),IF($A255=SYear_O,AK$168*(1+Data_All!AK94%),AK254*(1+Data_All!AK94%)),"")</f>
        <v/>
      </c>
      <c r="AL255" s="427" t="str">
        <f>IF(AND($A255&gt;=SYear_O,$A255&lt;=EYear_O,AL$3&gt;0),IF($A255=SYear_O,AL$168*(1+Data_All!AL94%),AL254*(1+Data_All!AL94%)),"")</f>
        <v/>
      </c>
      <c r="AM255" s="427" t="str">
        <f>IF(AND($A255&gt;=SYear_O,$A255&lt;=EYear_O,AM$3&gt;0),IF($A255=SYear_O,AM$168*(1+Data_All!AM94%),AM254*(1+Data_All!AM94%)),"")</f>
        <v/>
      </c>
      <c r="AN255" s="427" t="str">
        <f>IF(AND($A255&gt;=SYear_O,$A255&lt;=EYear_O,AN$3&gt;0),IF($A255=SYear_O,AN$168*(1+Data_All!AN94%),AN254*(1+Data_All!AN94%)),"")</f>
        <v/>
      </c>
      <c r="AO255" s="427" t="str">
        <f>IF(AND($A255&gt;=SYear_O,$A255&lt;=EYear_O,AO$3&gt;0),IF($A255=SYear_O,AO$168*(1+Data_All!AO94%),AO254*(1+Data_All!AO94%)),"")</f>
        <v/>
      </c>
      <c r="AP255" s="427" t="str">
        <f>IF(AND($A255&gt;=SYear_O,$A255&lt;=EYear_O,AP$3&gt;0),IF($A255=SYear_O,AP$168*(1+Data_All!AP94%),AP254*(1+Data_All!AP94%)),"")</f>
        <v/>
      </c>
      <c r="AQ255" s="427" t="str">
        <f>IF(AND($A255&gt;=SYear_O,$A255&lt;=EYear_O,AQ$3&gt;0),IF($A255=SYear_O,AQ$168*(1+Data_All!AQ94%),AQ254*(1+Data_All!AQ94%)),"")</f>
        <v/>
      </c>
      <c r="AR255" s="427" t="str">
        <f>IF(AND($A255&gt;=SYear_O,$A255&lt;=EYear_O,AR$3&gt;0),IF($A255=SYear_O,AR$168*(1+Data_All!AR94%),AR254*(1+Data_All!AR94%)),"")</f>
        <v/>
      </c>
      <c r="AS255" s="427" t="str">
        <f>IF(AND($A255&gt;=SYear_O,$A255&lt;=EYear_O,AS$3&gt;0),IF($A255=SYear_O,AS$168*(1+Data_All!AS94%),AS254*(1+Data_All!AS94%)),"")</f>
        <v/>
      </c>
      <c r="AT255" s="427" t="str">
        <f>IF(AND($A255&gt;=SYear_O,$A255&lt;=EYear_O,AT$3&gt;0),IF($A255=SYear_O,AT$168*(1+Data_All!AT94%),AT254*(1+Data_All!AT94%)),"")</f>
        <v/>
      </c>
      <c r="AU255" s="427" t="str">
        <f>IF(AND($A255&gt;=SYear_O,$A255&lt;=EYear_O,AU$3&gt;0),IF($A255=SYear_O,AU$168*(1+Data_All!AU94%),AU254*(1+Data_All!AU94%)),"")</f>
        <v/>
      </c>
      <c r="AV255" s="427" t="str">
        <f>IF(AND($A255&gt;=SYear_O,$A255&lt;=EYear_O,AV$3&gt;0),IF($A255=SYear_O,AV$168*(1+Data_All!AV94%),AV254*(1+Data_All!AV94%)),"")</f>
        <v/>
      </c>
      <c r="AW255" s="427" t="str">
        <f>IF(AND($A255&gt;=SYear_O,$A255&lt;=EYear_O,AW$3&gt;0),IF($A255=SYear_O,AW$168*(1+Data_All!AW94%),AW254*(1+Data_All!AW94%)),"")</f>
        <v/>
      </c>
      <c r="AX255" s="427" t="str">
        <f>IF(AND($A255&gt;=SYear_O,$A255&lt;=EYear_O,AX$3&gt;0),IF($A255=SYear_O,AX$168*(1+Data_All!AX94%),AX254*(1+Data_All!AX94%)),"")</f>
        <v/>
      </c>
      <c r="AY255" s="427" t="str">
        <f>IF(AND($A255&gt;=SYear_O,$A255&lt;=EYear_O,AY$3&gt;0),IF($A255=SYear_O,AY$168*(1+Data_All!AY94%),AY254*(1+Data_All!AY94%)),"")</f>
        <v/>
      </c>
      <c r="AZ255" s="427" t="str">
        <f>IF(AND($A255&gt;=SYear_O,$A255&lt;=EYear_O,AZ$3&gt;0),IF($A255=SYear_O,AZ$168*(1+Data_All!AZ94%),AZ254*(1+Data_All!AZ94%)),"")</f>
        <v/>
      </c>
      <c r="BA255" s="427" t="str">
        <f>IF(AND($A255&gt;=SYear_O,$A255&lt;=EYear_O,BA$3&gt;0),IF($A255=SYear_O,BA$168*(1+Data_All!BA94%),BA254*(1+Data_All!BA94%)),"")</f>
        <v/>
      </c>
      <c r="BB255" s="427" t="str">
        <f>IF(AND($A255&gt;=SYear_O,$A255&lt;=EYear_O,BB$3&gt;0),IF($A255=SYear_O,BB$168*(1+Data_All!BB94%),BB254*(1+Data_All!BB94%)),"")</f>
        <v/>
      </c>
      <c r="BC255" s="427" t="str">
        <f>IF(AND($A255&gt;=SYear_O,$A255&lt;=EYear_O,BC$3&gt;0),IF($A255=SYear_O,BC$168*(1+Data_All!BC94%),BC254*(1+Data_All!BC94%)),"")</f>
        <v/>
      </c>
      <c r="BD255" s="427" t="str">
        <f>IF(AND($A255&gt;=SYear_O,$A255&lt;=EYear_O,BD$3&gt;0),IF($A255=SYear_O,BD$168*(1+Data_All!BD94%),BD254*(1+Data_All!BD94%)),"")</f>
        <v/>
      </c>
      <c r="BE255" s="427" t="str">
        <f>IF(AND($A255&gt;=SYear_O,$A255&lt;=EYear_O,BE$3&gt;0),IF($A255=SYear_O,BE$168*(1+Data_All!BE94%),BE254*(1+Data_All!BE94%)),"")</f>
        <v/>
      </c>
      <c r="BF255" s="427" t="str">
        <f>IF(AND($A255&gt;=SYear_O,$A255&lt;=EYear_O,BF$3&gt;0),IF($A255=SYear_O,BF$168*(1+Data_All!BF94%),BF254*(1+Data_All!BF94%)),"")</f>
        <v/>
      </c>
      <c r="BG255" s="427" t="str">
        <f>IF(AND($A255&gt;=SYear_O,$A255&lt;=EYear_O,BG$3&gt;0),IF($A255=SYear_O,BG$168*(1+Data_All!BG94%),BG254*(1+Data_All!BG94%)),"")</f>
        <v/>
      </c>
      <c r="BH255" s="427" t="str">
        <f>IF(AND($A255&gt;=SYear_O,$A255&lt;=EYear_O,BH$3&gt;0),IF($A255=SYear_O,BH$168*(1+Data_All!BH94%),BH254*(1+Data_All!BH94%)),"")</f>
        <v/>
      </c>
      <c r="BI255" s="427" t="str">
        <f>IF(AND($A255&gt;=SYear_O,$A255&lt;=EYear_O,BI$3&gt;0),IF($A255=SYear_O,BI$168*(1+Data_All!BI94%),BI254*(1+Data_All!BI94%)),"")</f>
        <v/>
      </c>
      <c r="BJ255" s="427" t="str">
        <f>IF(AND($A255&gt;=SYear_O,$A255&lt;=EYear_O,BJ$3&gt;0),IF($A255=SYear_O,BJ$168*(1+Data_All!BJ94%),BJ254*(1+Data_All!BJ94%)),"")</f>
        <v/>
      </c>
      <c r="BK255" s="427" t="str">
        <f>IF(AND($A255&gt;=SYear_O,$A255&lt;=EYear_O,BK$3&gt;0),IF($A255=SYear_O,BK$168*(1+Data_All!BK94%),BK254*(1+Data_All!BK94%)),"")</f>
        <v/>
      </c>
      <c r="BL255" s="427" t="str">
        <f>IF(AND($A255&gt;=SYear_O,$A255&lt;=EYear_O,BL$3&gt;0),IF($A255=SYear_O,BL$168*(1+Data_All!BL94%),BL254*(1+Data_All!BL94%)),"")</f>
        <v/>
      </c>
      <c r="BM255" s="427" t="str">
        <f>IF(AND($A255&gt;=SYear_O,$A255&lt;=EYear_O,BM$3&gt;0),IF($A255=SYear_O,BM$168*(1+Data_All!BM94%),BM254*(1+Data_All!BM94%)),"")</f>
        <v/>
      </c>
      <c r="BN255" s="427" t="str">
        <f>IF(AND($A255&gt;=SYear_O,$A255&lt;=EYear_O,BN$3&gt;0),IF($A255=SYear_O,BN$168*(1+Data_All!BN94%),BN254*(1+Data_All!BN94%)),"")</f>
        <v/>
      </c>
      <c r="BO255" s="427" t="str">
        <f>IF(AND($A255&gt;=SYear_O,$A255&lt;=EYear_O,BO$3&gt;0),IF($A255=SYear_O,BO$168*(1+Data_All!BO94%),BO254*(1+Data_All!BO94%)),"")</f>
        <v/>
      </c>
      <c r="BP255" s="427" t="str">
        <f>IF(AND($A255&gt;=SYear_O,$A255&lt;=EYear_O,BP$3&gt;0),IF($A255=SYear_O,BP$168*(1+Data_All!BP94%),BP254*(1+Data_All!BP94%)),"")</f>
        <v/>
      </c>
      <c r="BQ255" s="427" t="str">
        <f>IF(AND($A255&gt;=SYear_O,$A255&lt;=EYear_O,BQ$3&gt;0),IF($A255=SYear_O,BQ$168*(1+Data_All!BQ94%),BQ254*(1+Data_All!BQ94%)),"")</f>
        <v/>
      </c>
      <c r="BR255" s="427" t="str">
        <f>IF(AND($A255&gt;=SYear_O,$A255&lt;=EYear_O,BR$3&gt;0),IF($A255=SYear_O,BR$168*(1+Data_All!BR94%),BR254*(1+Data_All!BR94%)),"")</f>
        <v/>
      </c>
      <c r="BS255" s="427" t="str">
        <f>IF(AND($A255&gt;=SYear_O,$A255&lt;=EYear_O,BS$3&gt;0),IF($A255=SYear_O,BS$168*(1+Data_All!BS94%),BS254*(1+Data_All!BS94%)),"")</f>
        <v/>
      </c>
      <c r="BT255" s="427" t="str">
        <f>IF(AND($A255&gt;=SYear_O,$A255&lt;=EYear_O,BT$3&gt;0),IF($A255=SYear_O,BT$168*(1+Data_All!BT94%),BT254*(1+Data_All!BT94%)),"")</f>
        <v/>
      </c>
      <c r="BU255" s="427" t="str">
        <f>IF(AND($A255&gt;=SYear_O,$A255&lt;=EYear_O,BU$3&gt;0),IF($A255=SYear_O,BU$168*(1+Data_All!BU94%),BU254*(1+Data_All!BU94%)),"")</f>
        <v/>
      </c>
      <c r="BV255" s="427" t="str">
        <f>IF(AND($A255&gt;=SYear_O,$A255&lt;=EYear_O,BV$3&gt;0),IF($A255=SYear_O,BV$168*(1+Data_All!BV94%),BV254*(1+Data_All!BV94%)),"")</f>
        <v/>
      </c>
      <c r="BW255" s="427" t="str">
        <f>IF(AND($A255&gt;=SYear_O,$A255&lt;=EYear_O,BW$3&gt;0),IF($A255=SYear_O,BW$168*(1+Data_All!BW94%),BW254*(1+Data_All!BW94%)),"")</f>
        <v/>
      </c>
      <c r="BX255" s="427">
        <f>IF(AND($A255&gt;=SYear_O,$A255&lt;=EYear_O,BX$3&gt;0),IF($A255=SYear_O,BX$168*(1+Data_All!BX94%),BX254*(1+Data_All!BX94%)),"")</f>
        <v>4779846.9358125683</v>
      </c>
      <c r="BY255" s="427">
        <f>IF(AND($A255&gt;=SYear_O,$A255&lt;=EYear_O,BY$3&gt;0),IF($A255=SYear_O,BY$168*(1+Data_All!BY94%),BY254*(1+Data_All!BY94%)),"")</f>
        <v>89907.198525760599</v>
      </c>
      <c r="BZ255" s="427" t="str">
        <f>IF(AND($A255&gt;=SYear_O,$A255&lt;=EYear_O,BZ$3&gt;0),IF($A255=SYear_O,BZ$168*(1+Data_All!BZ94%),BZ254*(1+Data_All!BZ94%)),"")</f>
        <v/>
      </c>
      <c r="CA255" s="565">
        <f t="shared" si="123"/>
        <v>-5.3572864758946572</v>
      </c>
      <c r="CB255" s="427">
        <f t="shared" si="124"/>
        <v>4869754.1343383286</v>
      </c>
      <c r="CC255" s="565">
        <f>IF(AND($A255&gt;=SYear_O,$A255&lt;=EYear_O),(CA255-Data_All!CA94)/(1+Data_All!CA94%),"")</f>
        <v>-8.6664722634507818</v>
      </c>
      <c r="CD255" s="436">
        <f t="shared" si="125"/>
        <v>2122269.6708180136</v>
      </c>
      <c r="CE255" s="438">
        <f t="shared" si="126"/>
        <v>441.68299296534121</v>
      </c>
      <c r="CF255" s="438">
        <f>IF(AND($A255&gt;=SYear_O,$A255&lt;=EYear_O),MAX($CE$169:CE255),"")</f>
        <v>466.68462528057728</v>
      </c>
      <c r="CG255" s="209">
        <f t="shared" si="127"/>
        <v>5.3572864758946626E-2</v>
      </c>
      <c r="CN255" s="61">
        <f t="shared" si="128"/>
        <v>-5.3572864758946626E-2</v>
      </c>
      <c r="CO255" s="61">
        <f t="shared" si="129"/>
        <v>0.12189883148685787</v>
      </c>
      <c r="CP255" s="61">
        <f t="shared" si="130"/>
        <v>0.12275072995735203</v>
      </c>
      <c r="CQ255" s="61">
        <f t="shared" si="131"/>
        <v>9.7519441143710583E-2</v>
      </c>
      <c r="CR255" s="61">
        <f t="shared" si="132"/>
        <v>8.9637698104912511E-2</v>
      </c>
      <c r="CU255" s="61">
        <f t="shared" si="133"/>
        <v>-8.6664722634507751E-2</v>
      </c>
      <c r="CV255" s="61">
        <f t="shared" si="134"/>
        <v>9.9767419451954442E-2</v>
      </c>
      <c r="CW255" s="61">
        <f t="shared" si="135"/>
        <v>0.10418263160189967</v>
      </c>
      <c r="CX255" s="61">
        <f t="shared" si="136"/>
        <v>7.8409091118259111E-2</v>
      </c>
      <c r="CY255" s="61">
        <f t="shared" si="137"/>
        <v>6.1092563249237619E-2</v>
      </c>
    </row>
    <row r="256" spans="1:103">
      <c r="A256" s="204">
        <f t="shared" si="107"/>
        <v>1958</v>
      </c>
      <c r="B256" s="427" t="str">
        <f>IF(AND($A256&gt;=SYear_O,$A256&lt;=EYear_O,B$3&gt;0),IF($A256=SYear_O,B$168*(1+Data_All!B95%),B255*(1+Data_All!B95%)),"")</f>
        <v/>
      </c>
      <c r="C256" s="427" t="str">
        <f>IF(AND($A256&gt;=SYear_O,$A256&lt;=EYear_O,C$3&gt;0),IF($A256=SYear_O,C$168*(1+Data_All!C95%),C255*(1+Data_All!C95%)),"")</f>
        <v/>
      </c>
      <c r="D256" s="427" t="str">
        <f>IF(AND($A256&gt;=SYear_O,$A256&lt;=EYear_O,D$3&gt;0),IF($A256=SYear_O,D$168*(1+Data_All!D95%),D255*(1+Data_All!D95%)),"")</f>
        <v/>
      </c>
      <c r="E256" s="427" t="str">
        <f>IF(AND($A256&gt;=SYear_O,$A256&lt;=EYear_O,E$3&gt;0),IF($A256=SYear_O,E$168*(1+Data_All!E95%),E255*(1+Data_All!E95%)),"")</f>
        <v/>
      </c>
      <c r="F256" s="427" t="str">
        <f>IF(AND($A256&gt;=SYear_O,$A256&lt;=EYear_O,F$3&gt;0),IF($A256=SYear_O,F$168*(1+Data_All!F95%),F255*(1+Data_All!F95%)),"")</f>
        <v/>
      </c>
      <c r="G256" s="427" t="str">
        <f>IF(AND($A256&gt;=SYear_O,$A256&lt;=EYear_O,G$3&gt;0),IF($A256=SYear_O,G$168*(1+Data_All!G95%),G255*(1+Data_All!G95%)),"")</f>
        <v/>
      </c>
      <c r="H256" s="427" t="str">
        <f>IF(AND($A256&gt;=SYear_O,$A256&lt;=EYear_O,H$3&gt;0),IF($A256=SYear_O,H$168*(1+Data_All!H95%),H255*(1+Data_All!H95%)),"")</f>
        <v/>
      </c>
      <c r="I256" s="427" t="str">
        <f>IF(AND($A256&gt;=SYear_O,$A256&lt;=EYear_O,I$3&gt;0),IF($A256=SYear_O,I$168*(1+Data_All!I95%),I255*(1+Data_All!I95%)),"")</f>
        <v/>
      </c>
      <c r="J256" s="427" t="str">
        <f>IF(AND($A256&gt;=SYear_O,$A256&lt;=EYear_O,J$3&gt;0),IF($A256=SYear_O,J$168*(1+Data_All!J95%),J255*(1+Data_All!J95%)),"")</f>
        <v/>
      </c>
      <c r="K256" s="427" t="str">
        <f>IF(AND($A256&gt;=SYear_O,$A256&lt;=EYear_O,K$3&gt;0),IF($A256=SYear_O,K$168*(1+Data_All!K95%),K255*(1+Data_All!K95%)),"")</f>
        <v/>
      </c>
      <c r="L256" s="427" t="str">
        <f>IF(AND($A256&gt;=SYear_O,$A256&lt;=EYear_O,L$3&gt;0),IF($A256=SYear_O,L$168*(1+Data_All!L95%),L255*(1+Data_All!L95%)),"")</f>
        <v/>
      </c>
      <c r="M256" s="427" t="str">
        <f>IF(AND($A256&gt;=SYear_O,$A256&lt;=EYear_O,M$3&gt;0),IF($A256=SYear_O,M$168*(1+Data_All!M95%),M255*(1+Data_All!M95%)),"")</f>
        <v/>
      </c>
      <c r="N256" s="427" t="str">
        <f>IF(AND($A256&gt;=SYear_O,$A256&lt;=EYear_O,N$3&gt;0),IF($A256=SYear_O,N$168*(1+Data_All!N95%),N255*(1+Data_All!N95%)),"")</f>
        <v/>
      </c>
      <c r="O256" s="427" t="str">
        <f>IF(AND($A256&gt;=SYear_O,$A256&lt;=EYear_O,O$3&gt;0),IF($A256=SYear_O,O$168*(1+Data_All!O95%),O255*(1+Data_All!O95%)),"")</f>
        <v/>
      </c>
      <c r="P256" s="427" t="str">
        <f>IF(AND($A256&gt;=SYear_O,$A256&lt;=EYear_O,P$3&gt;0),IF($A256=SYear_O,P$168*(1+Data_All!P95%),P255*(1+Data_All!P95%)),"")</f>
        <v/>
      </c>
      <c r="Q256" s="427" t="str">
        <f>IF(AND($A256&gt;=SYear_O,$A256&lt;=EYear_O,Q$3&gt;0),IF($A256=SYear_O,Q$168*(1+Data_All!Q95%),Q255*(1+Data_All!Q95%)),"")</f>
        <v/>
      </c>
      <c r="R256" s="427" t="str">
        <f>IF(AND($A256&gt;=SYear_O,$A256&lt;=EYear_O,R$3&gt;0),IF($A256=SYear_O,R$168*(1+Data_All!R95%),R255*(1+Data_All!R95%)),"")</f>
        <v/>
      </c>
      <c r="S256" s="427" t="str">
        <f>IF(AND($A256&gt;=SYear_O,$A256&lt;=EYear_O,S$3&gt;0),IF($A256=SYear_O,S$168*(1+Data_All!S95%),S255*(1+Data_All!S95%)),"")</f>
        <v/>
      </c>
      <c r="T256" s="427" t="str">
        <f>IF(AND($A256&gt;=SYear_O,$A256&lt;=EYear_O,T$3&gt;0),IF($A256=SYear_O,T$168*(1+Data_All!T95%),T255*(1+Data_All!T95%)),"")</f>
        <v/>
      </c>
      <c r="U256" s="427" t="str">
        <f>IF(AND($A256&gt;=SYear_O,$A256&lt;=EYear_O,U$3&gt;0),IF($A256=SYear_O,U$168*(1+Data_All!U95%),U255*(1+Data_All!U95%)),"")</f>
        <v/>
      </c>
      <c r="V256" s="427" t="str">
        <f>IF(AND($A256&gt;=SYear_O,$A256&lt;=EYear_O,V$3&gt;0),IF($A256=SYear_O,V$168*(1+Data_All!V95%),V255*(1+Data_All!V95%)),"")</f>
        <v/>
      </c>
      <c r="W256" s="427" t="str">
        <f>IF(AND($A256&gt;=SYear_O,$A256&lt;=EYear_O,W$3&gt;0),IF($A256=SYear_O,W$168*(1+Data_All!W95%),W255*(1+Data_All!W95%)),"")</f>
        <v/>
      </c>
      <c r="X256" s="427" t="str">
        <f>IF(AND($A256&gt;=SYear_O,$A256&lt;=EYear_O,X$3&gt;0),IF($A256=SYear_O,X$168*(1+Data_All!X95%),X255*(1+Data_All!X95%)),"")</f>
        <v/>
      </c>
      <c r="Y256" s="427" t="str">
        <f>IF(AND($A256&gt;=SYear_O,$A256&lt;=EYear_O,Y$3&gt;0),IF($A256=SYear_O,Y$168*(1+Data_All!Y95%),Y255*(1+Data_All!Y95%)),"")</f>
        <v/>
      </c>
      <c r="Z256" s="427" t="str">
        <f>IF(AND($A256&gt;=SYear_O,$A256&lt;=EYear_O,Z$3&gt;0),IF($A256=SYear_O,Z$168*(1+Data_All!Z95%),Z255*(1+Data_All!Z95%)),"")</f>
        <v/>
      </c>
      <c r="AA256" s="427" t="str">
        <f>IF(AND($A256&gt;=SYear_O,$A256&lt;=EYear_O,AA$3&gt;0),IF($A256=SYear_O,AA$168*(1+Data_All!AA95%),AA255*(1+Data_All!AA95%)),"")</f>
        <v/>
      </c>
      <c r="AB256" s="427" t="str">
        <f>IF(AND($A256&gt;=SYear_O,$A256&lt;=EYear_O,AB$3&gt;0),IF($A256=SYear_O,AB$168*(1+Data_All!AB95%),AB255*(1+Data_All!AB95%)),"")</f>
        <v/>
      </c>
      <c r="AC256" s="427" t="str">
        <f>IF(AND($A256&gt;=SYear_O,$A256&lt;=EYear_O,AC$3&gt;0),IF($A256=SYear_O,AC$168*(1+Data_All!AC95%),AC255*(1+Data_All!AC95%)),"")</f>
        <v/>
      </c>
      <c r="AD256" s="427" t="str">
        <f>IF(AND($A256&gt;=SYear_O,$A256&lt;=EYear_O,AD$3&gt;0),IF($A256=SYear_O,AD$168*(1+Data_All!AD95%),AD255*(1+Data_All!AD95%)),"")</f>
        <v/>
      </c>
      <c r="AE256" s="427" t="str">
        <f>IF(AND($A256&gt;=SYear_O,$A256&lt;=EYear_O,AE$3&gt;0),IF($A256=SYear_O,AE$168*(1+Data_All!AE95%),AE255*(1+Data_All!AE95%)),"")</f>
        <v/>
      </c>
      <c r="AF256" s="427" t="str">
        <f>IF(AND($A256&gt;=SYear_O,$A256&lt;=EYear_O,AF$3&gt;0),IF($A256=SYear_O,AF$168*(1+Data_All!AF95%),AF255*(1+Data_All!AF95%)),"")</f>
        <v/>
      </c>
      <c r="AG256" s="427" t="str">
        <f>IF(AND($A256&gt;=SYear_O,$A256&lt;=EYear_O,AG$3&gt;0),IF($A256=SYear_O,AG$168*(1+Data_All!AG95%),AG255*(1+Data_All!AG95%)),"")</f>
        <v/>
      </c>
      <c r="AH256" s="427" t="str">
        <f>IF(AND($A256&gt;=SYear_O,$A256&lt;=EYear_O,AH$3&gt;0),IF($A256=SYear_O,AH$168*(1+Data_All!AH95%),AH255*(1+Data_All!AH95%)),"")</f>
        <v/>
      </c>
      <c r="AI256" s="427" t="str">
        <f>IF(AND($A256&gt;=SYear_O,$A256&lt;=EYear_O,AI$3&gt;0),IF($A256=SYear_O,AI$168*(1+Data_All!AI95%),AI255*(1+Data_All!AI95%)),"")</f>
        <v/>
      </c>
      <c r="AJ256" s="427" t="str">
        <f>IF(AND($A256&gt;=SYear_O,$A256&lt;=EYear_O,AJ$3&gt;0),IF($A256=SYear_O,AJ$168*(1+Data_All!AJ95%),AJ255*(1+Data_All!AJ95%)),"")</f>
        <v/>
      </c>
      <c r="AK256" s="427" t="str">
        <f>IF(AND($A256&gt;=SYear_O,$A256&lt;=EYear_O,AK$3&gt;0),IF($A256=SYear_O,AK$168*(1+Data_All!AK95%),AK255*(1+Data_All!AK95%)),"")</f>
        <v/>
      </c>
      <c r="AL256" s="427" t="str">
        <f>IF(AND($A256&gt;=SYear_O,$A256&lt;=EYear_O,AL$3&gt;0),IF($A256=SYear_O,AL$168*(1+Data_All!AL95%),AL255*(1+Data_All!AL95%)),"")</f>
        <v/>
      </c>
      <c r="AM256" s="427" t="str">
        <f>IF(AND($A256&gt;=SYear_O,$A256&lt;=EYear_O,AM$3&gt;0),IF($A256=SYear_O,AM$168*(1+Data_All!AM95%),AM255*(1+Data_All!AM95%)),"")</f>
        <v/>
      </c>
      <c r="AN256" s="427" t="str">
        <f>IF(AND($A256&gt;=SYear_O,$A256&lt;=EYear_O,AN$3&gt;0),IF($A256=SYear_O,AN$168*(1+Data_All!AN95%),AN255*(1+Data_All!AN95%)),"")</f>
        <v/>
      </c>
      <c r="AO256" s="427" t="str">
        <f>IF(AND($A256&gt;=SYear_O,$A256&lt;=EYear_O,AO$3&gt;0),IF($A256=SYear_O,AO$168*(1+Data_All!AO95%),AO255*(1+Data_All!AO95%)),"")</f>
        <v/>
      </c>
      <c r="AP256" s="427" t="str">
        <f>IF(AND($A256&gt;=SYear_O,$A256&lt;=EYear_O,AP$3&gt;0),IF($A256=SYear_O,AP$168*(1+Data_All!AP95%),AP255*(1+Data_All!AP95%)),"")</f>
        <v/>
      </c>
      <c r="AQ256" s="427" t="str">
        <f>IF(AND($A256&gt;=SYear_O,$A256&lt;=EYear_O,AQ$3&gt;0),IF($A256=SYear_O,AQ$168*(1+Data_All!AQ95%),AQ255*(1+Data_All!AQ95%)),"")</f>
        <v/>
      </c>
      <c r="AR256" s="427" t="str">
        <f>IF(AND($A256&gt;=SYear_O,$A256&lt;=EYear_O,AR$3&gt;0),IF($A256=SYear_O,AR$168*(1+Data_All!AR95%),AR255*(1+Data_All!AR95%)),"")</f>
        <v/>
      </c>
      <c r="AS256" s="427" t="str">
        <f>IF(AND($A256&gt;=SYear_O,$A256&lt;=EYear_O,AS$3&gt;0),IF($A256=SYear_O,AS$168*(1+Data_All!AS95%),AS255*(1+Data_All!AS95%)),"")</f>
        <v/>
      </c>
      <c r="AT256" s="427" t="str">
        <f>IF(AND($A256&gt;=SYear_O,$A256&lt;=EYear_O,AT$3&gt;0),IF($A256=SYear_O,AT$168*(1+Data_All!AT95%),AT255*(1+Data_All!AT95%)),"")</f>
        <v/>
      </c>
      <c r="AU256" s="427" t="str">
        <f>IF(AND($A256&gt;=SYear_O,$A256&lt;=EYear_O,AU$3&gt;0),IF($A256=SYear_O,AU$168*(1+Data_All!AU95%),AU255*(1+Data_All!AU95%)),"")</f>
        <v/>
      </c>
      <c r="AV256" s="427" t="str">
        <f>IF(AND($A256&gt;=SYear_O,$A256&lt;=EYear_O,AV$3&gt;0),IF($A256=SYear_O,AV$168*(1+Data_All!AV95%),AV255*(1+Data_All!AV95%)),"")</f>
        <v/>
      </c>
      <c r="AW256" s="427" t="str">
        <f>IF(AND($A256&gt;=SYear_O,$A256&lt;=EYear_O,AW$3&gt;0),IF($A256=SYear_O,AW$168*(1+Data_All!AW95%),AW255*(1+Data_All!AW95%)),"")</f>
        <v/>
      </c>
      <c r="AX256" s="427" t="str">
        <f>IF(AND($A256&gt;=SYear_O,$A256&lt;=EYear_O,AX$3&gt;0),IF($A256=SYear_O,AX$168*(1+Data_All!AX95%),AX255*(1+Data_All!AX95%)),"")</f>
        <v/>
      </c>
      <c r="AY256" s="427" t="str">
        <f>IF(AND($A256&gt;=SYear_O,$A256&lt;=EYear_O,AY$3&gt;0),IF($A256=SYear_O,AY$168*(1+Data_All!AY95%),AY255*(1+Data_All!AY95%)),"")</f>
        <v/>
      </c>
      <c r="AZ256" s="427" t="str">
        <f>IF(AND($A256&gt;=SYear_O,$A256&lt;=EYear_O,AZ$3&gt;0),IF($A256=SYear_O,AZ$168*(1+Data_All!AZ95%),AZ255*(1+Data_All!AZ95%)),"")</f>
        <v/>
      </c>
      <c r="BA256" s="427" t="str">
        <f>IF(AND($A256&gt;=SYear_O,$A256&lt;=EYear_O,BA$3&gt;0),IF($A256=SYear_O,BA$168*(1+Data_All!BA95%),BA255*(1+Data_All!BA95%)),"")</f>
        <v/>
      </c>
      <c r="BB256" s="427" t="str">
        <f>IF(AND($A256&gt;=SYear_O,$A256&lt;=EYear_O,BB$3&gt;0),IF($A256=SYear_O,BB$168*(1+Data_All!BB95%),BB255*(1+Data_All!BB95%)),"")</f>
        <v/>
      </c>
      <c r="BC256" s="427" t="str">
        <f>IF(AND($A256&gt;=SYear_O,$A256&lt;=EYear_O,BC$3&gt;0),IF($A256=SYear_O,BC$168*(1+Data_All!BC95%),BC255*(1+Data_All!BC95%)),"")</f>
        <v/>
      </c>
      <c r="BD256" s="427" t="str">
        <f>IF(AND($A256&gt;=SYear_O,$A256&lt;=EYear_O,BD$3&gt;0),IF($A256=SYear_O,BD$168*(1+Data_All!BD95%),BD255*(1+Data_All!BD95%)),"")</f>
        <v/>
      </c>
      <c r="BE256" s="427" t="str">
        <f>IF(AND($A256&gt;=SYear_O,$A256&lt;=EYear_O,BE$3&gt;0),IF($A256=SYear_O,BE$168*(1+Data_All!BE95%),BE255*(1+Data_All!BE95%)),"")</f>
        <v/>
      </c>
      <c r="BF256" s="427" t="str">
        <f>IF(AND($A256&gt;=SYear_O,$A256&lt;=EYear_O,BF$3&gt;0),IF($A256=SYear_O,BF$168*(1+Data_All!BF95%),BF255*(1+Data_All!BF95%)),"")</f>
        <v/>
      </c>
      <c r="BG256" s="427" t="str">
        <f>IF(AND($A256&gt;=SYear_O,$A256&lt;=EYear_O,BG$3&gt;0),IF($A256=SYear_O,BG$168*(1+Data_All!BG95%),BG255*(1+Data_All!BG95%)),"")</f>
        <v/>
      </c>
      <c r="BH256" s="427" t="str">
        <f>IF(AND($A256&gt;=SYear_O,$A256&lt;=EYear_O,BH$3&gt;0),IF($A256=SYear_O,BH$168*(1+Data_All!BH95%),BH255*(1+Data_All!BH95%)),"")</f>
        <v/>
      </c>
      <c r="BI256" s="427" t="str">
        <f>IF(AND($A256&gt;=SYear_O,$A256&lt;=EYear_O,BI$3&gt;0),IF($A256=SYear_O,BI$168*(1+Data_All!BI95%),BI255*(1+Data_All!BI95%)),"")</f>
        <v/>
      </c>
      <c r="BJ256" s="427" t="str">
        <f>IF(AND($A256&gt;=SYear_O,$A256&lt;=EYear_O,BJ$3&gt;0),IF($A256=SYear_O,BJ$168*(1+Data_All!BJ95%),BJ255*(1+Data_All!BJ95%)),"")</f>
        <v/>
      </c>
      <c r="BK256" s="427" t="str">
        <f>IF(AND($A256&gt;=SYear_O,$A256&lt;=EYear_O,BK$3&gt;0),IF($A256=SYear_O,BK$168*(1+Data_All!BK95%),BK255*(1+Data_All!BK95%)),"")</f>
        <v/>
      </c>
      <c r="BL256" s="427" t="str">
        <f>IF(AND($A256&gt;=SYear_O,$A256&lt;=EYear_O,BL$3&gt;0),IF($A256=SYear_O,BL$168*(1+Data_All!BL95%),BL255*(1+Data_All!BL95%)),"")</f>
        <v/>
      </c>
      <c r="BM256" s="427" t="str">
        <f>IF(AND($A256&gt;=SYear_O,$A256&lt;=EYear_O,BM$3&gt;0),IF($A256=SYear_O,BM$168*(1+Data_All!BM95%),BM255*(1+Data_All!BM95%)),"")</f>
        <v/>
      </c>
      <c r="BN256" s="427" t="str">
        <f>IF(AND($A256&gt;=SYear_O,$A256&lt;=EYear_O,BN$3&gt;0),IF($A256=SYear_O,BN$168*(1+Data_All!BN95%),BN255*(1+Data_All!BN95%)),"")</f>
        <v/>
      </c>
      <c r="BO256" s="427" t="str">
        <f>IF(AND($A256&gt;=SYear_O,$A256&lt;=EYear_O,BO$3&gt;0),IF($A256=SYear_O,BO$168*(1+Data_All!BO95%),BO255*(1+Data_All!BO95%)),"")</f>
        <v/>
      </c>
      <c r="BP256" s="427" t="str">
        <f>IF(AND($A256&gt;=SYear_O,$A256&lt;=EYear_O,BP$3&gt;0),IF($A256=SYear_O,BP$168*(1+Data_All!BP95%),BP255*(1+Data_All!BP95%)),"")</f>
        <v/>
      </c>
      <c r="BQ256" s="427" t="str">
        <f>IF(AND($A256&gt;=SYear_O,$A256&lt;=EYear_O,BQ$3&gt;0),IF($A256=SYear_O,BQ$168*(1+Data_All!BQ95%),BQ255*(1+Data_All!BQ95%)),"")</f>
        <v/>
      </c>
      <c r="BR256" s="427" t="str">
        <f>IF(AND($A256&gt;=SYear_O,$A256&lt;=EYear_O,BR$3&gt;0),IF($A256=SYear_O,BR$168*(1+Data_All!BR95%),BR255*(1+Data_All!BR95%)),"")</f>
        <v/>
      </c>
      <c r="BS256" s="427" t="str">
        <f>IF(AND($A256&gt;=SYear_O,$A256&lt;=EYear_O,BS$3&gt;0),IF($A256=SYear_O,BS$168*(1+Data_All!BS95%),BS255*(1+Data_All!BS95%)),"")</f>
        <v/>
      </c>
      <c r="BT256" s="427" t="str">
        <f>IF(AND($A256&gt;=SYear_O,$A256&lt;=EYear_O,BT$3&gt;0),IF($A256=SYear_O,BT$168*(1+Data_All!BT95%),BT255*(1+Data_All!BT95%)),"")</f>
        <v/>
      </c>
      <c r="BU256" s="427" t="str">
        <f>IF(AND($A256&gt;=SYear_O,$A256&lt;=EYear_O,BU$3&gt;0),IF($A256=SYear_O,BU$168*(1+Data_All!BU95%),BU255*(1+Data_All!BU95%)),"")</f>
        <v/>
      </c>
      <c r="BV256" s="427" t="str">
        <f>IF(AND($A256&gt;=SYear_O,$A256&lt;=EYear_O,BV$3&gt;0),IF($A256=SYear_O,BV$168*(1+Data_All!BV95%),BV255*(1+Data_All!BV95%)),"")</f>
        <v/>
      </c>
      <c r="BW256" s="427" t="str">
        <f>IF(AND($A256&gt;=SYear_O,$A256&lt;=EYear_O,BW$3&gt;0),IF($A256=SYear_O,BW$168*(1+Data_All!BW95%),BW255*(1+Data_All!BW95%)),"")</f>
        <v/>
      </c>
      <c r="BX256" s="427">
        <f>IF(AND($A256&gt;=SYear_O,$A256&lt;=EYear_O,BX$3&gt;0),IF($A256=SYear_O,BX$168*(1+Data_All!BX95%),BX255*(1+Data_All!BX95%)),"")</f>
        <v>6668769.9102034783</v>
      </c>
      <c r="BY256" s="427">
        <f>IF(AND($A256&gt;=SYear_O,$A256&lt;=EYear_O,BY$3&gt;0),IF($A256=SYear_O,BY$168*(1+Data_All!BY95%),BY255*(1+Data_All!BY95%)),"")</f>
        <v>88512.766241937599</v>
      </c>
      <c r="BZ256" s="427" t="str">
        <f>IF(AND($A256&gt;=SYear_O,$A256&lt;=EYear_O,BZ$3&gt;0),IF($A256=SYear_O,BZ$168*(1+Data_All!BZ95%),BZ255*(1+Data_All!BZ95%)),"")</f>
        <v/>
      </c>
      <c r="CA256" s="565">
        <f t="shared" si="123"/>
        <v>38.760243125981823</v>
      </c>
      <c r="CB256" s="427">
        <f t="shared" si="124"/>
        <v>6757282.6764454162</v>
      </c>
      <c r="CC256" s="565">
        <f>IF(AND($A256&gt;=SYear_O,$A256&lt;=EYear_O),(CA256-Data_All!CA95)/(1+Data_All!CA95%),"")</f>
        <v>36.846308738037251</v>
      </c>
      <c r="CD256" s="436">
        <f t="shared" si="125"/>
        <v>2904247.7059813458</v>
      </c>
      <c r="CE256" s="438">
        <f t="shared" si="126"/>
        <v>612.8803948848207</v>
      </c>
      <c r="CF256" s="438">
        <f>IF(AND($A256&gt;=SYear_O,$A256&lt;=EYear_O),MAX($CE$169:CE256),"")</f>
        <v>612.8803948848207</v>
      </c>
      <c r="CG256" s="209">
        <f t="shared" si="127"/>
        <v>0</v>
      </c>
      <c r="CN256" s="61">
        <f t="shared" si="128"/>
        <v>0.3876024312598183</v>
      </c>
      <c r="CO256" s="61">
        <f t="shared" si="129"/>
        <v>0.16627044715244521</v>
      </c>
      <c r="CP256" s="61">
        <f t="shared" si="130"/>
        <v>0.12914634644734946</v>
      </c>
      <c r="CQ256" s="61">
        <f t="shared" si="131"/>
        <v>0.11994373370109468</v>
      </c>
      <c r="CR256" s="61">
        <f t="shared" si="132"/>
        <v>0.10550879404536539</v>
      </c>
      <c r="CU256" s="61">
        <f t="shared" si="133"/>
        <v>0.36846308738037248</v>
      </c>
      <c r="CV256" s="61">
        <f t="shared" si="134"/>
        <v>0.15040084999804848</v>
      </c>
      <c r="CW256" s="61">
        <f t="shared" si="135"/>
        <v>0.11544644457103725</v>
      </c>
      <c r="CX256" s="61">
        <f t="shared" si="136"/>
        <v>0.10041719890609802</v>
      </c>
      <c r="CY256" s="61">
        <f t="shared" si="137"/>
        <v>7.6698253288792539E-2</v>
      </c>
    </row>
    <row r="257" spans="1:103">
      <c r="A257" s="204">
        <f t="shared" si="107"/>
        <v>1959</v>
      </c>
      <c r="B257" s="427" t="str">
        <f>IF(AND($A257&gt;=SYear_O,$A257&lt;=EYear_O,B$3&gt;0),IF($A257=SYear_O,B$168*(1+Data_All!B96%),B256*(1+Data_All!B96%)),"")</f>
        <v/>
      </c>
      <c r="C257" s="427" t="str">
        <f>IF(AND($A257&gt;=SYear_O,$A257&lt;=EYear_O,C$3&gt;0),IF($A257=SYear_O,C$168*(1+Data_All!C96%),C256*(1+Data_All!C96%)),"")</f>
        <v/>
      </c>
      <c r="D257" s="427" t="str">
        <f>IF(AND($A257&gt;=SYear_O,$A257&lt;=EYear_O,D$3&gt;0),IF($A257=SYear_O,D$168*(1+Data_All!D96%),D256*(1+Data_All!D96%)),"")</f>
        <v/>
      </c>
      <c r="E257" s="427" t="str">
        <f>IF(AND($A257&gt;=SYear_O,$A257&lt;=EYear_O,E$3&gt;0),IF($A257=SYear_O,E$168*(1+Data_All!E96%),E256*(1+Data_All!E96%)),"")</f>
        <v/>
      </c>
      <c r="F257" s="427" t="str">
        <f>IF(AND($A257&gt;=SYear_O,$A257&lt;=EYear_O,F$3&gt;0),IF($A257=SYear_O,F$168*(1+Data_All!F96%),F256*(1+Data_All!F96%)),"")</f>
        <v/>
      </c>
      <c r="G257" s="427" t="str">
        <f>IF(AND($A257&gt;=SYear_O,$A257&lt;=EYear_O,G$3&gt;0),IF($A257=SYear_O,G$168*(1+Data_All!G96%),G256*(1+Data_All!G96%)),"")</f>
        <v/>
      </c>
      <c r="H257" s="427" t="str">
        <f>IF(AND($A257&gt;=SYear_O,$A257&lt;=EYear_O,H$3&gt;0),IF($A257=SYear_O,H$168*(1+Data_All!H96%),H256*(1+Data_All!H96%)),"")</f>
        <v/>
      </c>
      <c r="I257" s="427" t="str">
        <f>IF(AND($A257&gt;=SYear_O,$A257&lt;=EYear_O,I$3&gt;0),IF($A257=SYear_O,I$168*(1+Data_All!I96%),I256*(1+Data_All!I96%)),"")</f>
        <v/>
      </c>
      <c r="J257" s="427" t="str">
        <f>IF(AND($A257&gt;=SYear_O,$A257&lt;=EYear_O,J$3&gt;0),IF($A257=SYear_O,J$168*(1+Data_All!J96%),J256*(1+Data_All!J96%)),"")</f>
        <v/>
      </c>
      <c r="K257" s="427" t="str">
        <f>IF(AND($A257&gt;=SYear_O,$A257&lt;=EYear_O,K$3&gt;0),IF($A257=SYear_O,K$168*(1+Data_All!K96%),K256*(1+Data_All!K96%)),"")</f>
        <v/>
      </c>
      <c r="L257" s="427" t="str">
        <f>IF(AND($A257&gt;=SYear_O,$A257&lt;=EYear_O,L$3&gt;0),IF($A257=SYear_O,L$168*(1+Data_All!L96%),L256*(1+Data_All!L96%)),"")</f>
        <v/>
      </c>
      <c r="M257" s="427" t="str">
        <f>IF(AND($A257&gt;=SYear_O,$A257&lt;=EYear_O,M$3&gt;0),IF($A257=SYear_O,M$168*(1+Data_All!M96%),M256*(1+Data_All!M96%)),"")</f>
        <v/>
      </c>
      <c r="N257" s="427" t="str">
        <f>IF(AND($A257&gt;=SYear_O,$A257&lt;=EYear_O,N$3&gt;0),IF($A257=SYear_O,N$168*(1+Data_All!N96%),N256*(1+Data_All!N96%)),"")</f>
        <v/>
      </c>
      <c r="O257" s="427" t="str">
        <f>IF(AND($A257&gt;=SYear_O,$A257&lt;=EYear_O,O$3&gt;0),IF($A257=SYear_O,O$168*(1+Data_All!O96%),O256*(1+Data_All!O96%)),"")</f>
        <v/>
      </c>
      <c r="P257" s="427" t="str">
        <f>IF(AND($A257&gt;=SYear_O,$A257&lt;=EYear_O,P$3&gt;0),IF($A257=SYear_O,P$168*(1+Data_All!P96%),P256*(1+Data_All!P96%)),"")</f>
        <v/>
      </c>
      <c r="Q257" s="427" t="str">
        <f>IF(AND($A257&gt;=SYear_O,$A257&lt;=EYear_O,Q$3&gt;0),IF($A257=SYear_O,Q$168*(1+Data_All!Q96%),Q256*(1+Data_All!Q96%)),"")</f>
        <v/>
      </c>
      <c r="R257" s="427" t="str">
        <f>IF(AND($A257&gt;=SYear_O,$A257&lt;=EYear_O,R$3&gt;0),IF($A257=SYear_O,R$168*(1+Data_All!R96%),R256*(1+Data_All!R96%)),"")</f>
        <v/>
      </c>
      <c r="S257" s="427" t="str">
        <f>IF(AND($A257&gt;=SYear_O,$A257&lt;=EYear_O,S$3&gt;0),IF($A257=SYear_O,S$168*(1+Data_All!S96%),S256*(1+Data_All!S96%)),"")</f>
        <v/>
      </c>
      <c r="T257" s="427" t="str">
        <f>IF(AND($A257&gt;=SYear_O,$A257&lt;=EYear_O,T$3&gt;0),IF($A257=SYear_O,T$168*(1+Data_All!T96%),T256*(1+Data_All!T96%)),"")</f>
        <v/>
      </c>
      <c r="U257" s="427" t="str">
        <f>IF(AND($A257&gt;=SYear_O,$A257&lt;=EYear_O,U$3&gt;0),IF($A257=SYear_O,U$168*(1+Data_All!U96%),U256*(1+Data_All!U96%)),"")</f>
        <v/>
      </c>
      <c r="V257" s="427" t="str">
        <f>IF(AND($A257&gt;=SYear_O,$A257&lt;=EYear_O,V$3&gt;0),IF($A257=SYear_O,V$168*(1+Data_All!V96%),V256*(1+Data_All!V96%)),"")</f>
        <v/>
      </c>
      <c r="W257" s="427" t="str">
        <f>IF(AND($A257&gt;=SYear_O,$A257&lt;=EYear_O,W$3&gt;0),IF($A257=SYear_O,W$168*(1+Data_All!W96%),W256*(1+Data_All!W96%)),"")</f>
        <v/>
      </c>
      <c r="X257" s="427" t="str">
        <f>IF(AND($A257&gt;=SYear_O,$A257&lt;=EYear_O,X$3&gt;0),IF($A257=SYear_O,X$168*(1+Data_All!X96%),X256*(1+Data_All!X96%)),"")</f>
        <v/>
      </c>
      <c r="Y257" s="427" t="str">
        <f>IF(AND($A257&gt;=SYear_O,$A257&lt;=EYear_O,Y$3&gt;0),IF($A257=SYear_O,Y$168*(1+Data_All!Y96%),Y256*(1+Data_All!Y96%)),"")</f>
        <v/>
      </c>
      <c r="Z257" s="427" t="str">
        <f>IF(AND($A257&gt;=SYear_O,$A257&lt;=EYear_O,Z$3&gt;0),IF($A257=SYear_O,Z$168*(1+Data_All!Z96%),Z256*(1+Data_All!Z96%)),"")</f>
        <v/>
      </c>
      <c r="AA257" s="427" t="str">
        <f>IF(AND($A257&gt;=SYear_O,$A257&lt;=EYear_O,AA$3&gt;0),IF($A257=SYear_O,AA$168*(1+Data_All!AA96%),AA256*(1+Data_All!AA96%)),"")</f>
        <v/>
      </c>
      <c r="AB257" s="427" t="str">
        <f>IF(AND($A257&gt;=SYear_O,$A257&lt;=EYear_O,AB$3&gt;0),IF($A257=SYear_O,AB$168*(1+Data_All!AB96%),AB256*(1+Data_All!AB96%)),"")</f>
        <v/>
      </c>
      <c r="AC257" s="427" t="str">
        <f>IF(AND($A257&gt;=SYear_O,$A257&lt;=EYear_O,AC$3&gt;0),IF($A257=SYear_O,AC$168*(1+Data_All!AC96%),AC256*(1+Data_All!AC96%)),"")</f>
        <v/>
      </c>
      <c r="AD257" s="427" t="str">
        <f>IF(AND($A257&gt;=SYear_O,$A257&lt;=EYear_O,AD$3&gt;0),IF($A257=SYear_O,AD$168*(1+Data_All!AD96%),AD256*(1+Data_All!AD96%)),"")</f>
        <v/>
      </c>
      <c r="AE257" s="427" t="str">
        <f>IF(AND($A257&gt;=SYear_O,$A257&lt;=EYear_O,AE$3&gt;0),IF($A257=SYear_O,AE$168*(1+Data_All!AE96%),AE256*(1+Data_All!AE96%)),"")</f>
        <v/>
      </c>
      <c r="AF257" s="427" t="str">
        <f>IF(AND($A257&gt;=SYear_O,$A257&lt;=EYear_O,AF$3&gt;0),IF($A257=SYear_O,AF$168*(1+Data_All!AF96%),AF256*(1+Data_All!AF96%)),"")</f>
        <v/>
      </c>
      <c r="AG257" s="427" t="str">
        <f>IF(AND($A257&gt;=SYear_O,$A257&lt;=EYear_O,AG$3&gt;0),IF($A257=SYear_O,AG$168*(1+Data_All!AG96%),AG256*(1+Data_All!AG96%)),"")</f>
        <v/>
      </c>
      <c r="AH257" s="427" t="str">
        <f>IF(AND($A257&gt;=SYear_O,$A257&lt;=EYear_O,AH$3&gt;0),IF($A257=SYear_O,AH$168*(1+Data_All!AH96%),AH256*(1+Data_All!AH96%)),"")</f>
        <v/>
      </c>
      <c r="AI257" s="427" t="str">
        <f>IF(AND($A257&gt;=SYear_O,$A257&lt;=EYear_O,AI$3&gt;0),IF($A257=SYear_O,AI$168*(1+Data_All!AI96%),AI256*(1+Data_All!AI96%)),"")</f>
        <v/>
      </c>
      <c r="AJ257" s="427" t="str">
        <f>IF(AND($A257&gt;=SYear_O,$A257&lt;=EYear_O,AJ$3&gt;0),IF($A257=SYear_O,AJ$168*(1+Data_All!AJ96%),AJ256*(1+Data_All!AJ96%)),"")</f>
        <v/>
      </c>
      <c r="AK257" s="427" t="str">
        <f>IF(AND($A257&gt;=SYear_O,$A257&lt;=EYear_O,AK$3&gt;0),IF($A257=SYear_O,AK$168*(1+Data_All!AK96%),AK256*(1+Data_All!AK96%)),"")</f>
        <v/>
      </c>
      <c r="AL257" s="427" t="str">
        <f>IF(AND($A257&gt;=SYear_O,$A257&lt;=EYear_O,AL$3&gt;0),IF($A257=SYear_O,AL$168*(1+Data_All!AL96%),AL256*(1+Data_All!AL96%)),"")</f>
        <v/>
      </c>
      <c r="AM257" s="427" t="str">
        <f>IF(AND($A257&gt;=SYear_O,$A257&lt;=EYear_O,AM$3&gt;0),IF($A257=SYear_O,AM$168*(1+Data_All!AM96%),AM256*(1+Data_All!AM96%)),"")</f>
        <v/>
      </c>
      <c r="AN257" s="427" t="str">
        <f>IF(AND($A257&gt;=SYear_O,$A257&lt;=EYear_O,AN$3&gt;0),IF($A257=SYear_O,AN$168*(1+Data_All!AN96%),AN256*(1+Data_All!AN96%)),"")</f>
        <v/>
      </c>
      <c r="AO257" s="427" t="str">
        <f>IF(AND($A257&gt;=SYear_O,$A257&lt;=EYear_O,AO$3&gt;0),IF($A257=SYear_O,AO$168*(1+Data_All!AO96%),AO256*(1+Data_All!AO96%)),"")</f>
        <v/>
      </c>
      <c r="AP257" s="427" t="str">
        <f>IF(AND($A257&gt;=SYear_O,$A257&lt;=EYear_O,AP$3&gt;0),IF($A257=SYear_O,AP$168*(1+Data_All!AP96%),AP256*(1+Data_All!AP96%)),"")</f>
        <v/>
      </c>
      <c r="AQ257" s="427" t="str">
        <f>IF(AND($A257&gt;=SYear_O,$A257&lt;=EYear_O,AQ$3&gt;0),IF($A257=SYear_O,AQ$168*(1+Data_All!AQ96%),AQ256*(1+Data_All!AQ96%)),"")</f>
        <v/>
      </c>
      <c r="AR257" s="427" t="str">
        <f>IF(AND($A257&gt;=SYear_O,$A257&lt;=EYear_O,AR$3&gt;0),IF($A257=SYear_O,AR$168*(1+Data_All!AR96%),AR256*(1+Data_All!AR96%)),"")</f>
        <v/>
      </c>
      <c r="AS257" s="427" t="str">
        <f>IF(AND($A257&gt;=SYear_O,$A257&lt;=EYear_O,AS$3&gt;0),IF($A257=SYear_O,AS$168*(1+Data_All!AS96%),AS256*(1+Data_All!AS96%)),"")</f>
        <v/>
      </c>
      <c r="AT257" s="427" t="str">
        <f>IF(AND($A257&gt;=SYear_O,$A257&lt;=EYear_O,AT$3&gt;0),IF($A257=SYear_O,AT$168*(1+Data_All!AT96%),AT256*(1+Data_All!AT96%)),"")</f>
        <v/>
      </c>
      <c r="AU257" s="427" t="str">
        <f>IF(AND($A257&gt;=SYear_O,$A257&lt;=EYear_O,AU$3&gt;0),IF($A257=SYear_O,AU$168*(1+Data_All!AU96%),AU256*(1+Data_All!AU96%)),"")</f>
        <v/>
      </c>
      <c r="AV257" s="427" t="str">
        <f>IF(AND($A257&gt;=SYear_O,$A257&lt;=EYear_O,AV$3&gt;0),IF($A257=SYear_O,AV$168*(1+Data_All!AV96%),AV256*(1+Data_All!AV96%)),"")</f>
        <v/>
      </c>
      <c r="AW257" s="427" t="str">
        <f>IF(AND($A257&gt;=SYear_O,$A257&lt;=EYear_O,AW$3&gt;0),IF($A257=SYear_O,AW$168*(1+Data_All!AW96%),AW256*(1+Data_All!AW96%)),"")</f>
        <v/>
      </c>
      <c r="AX257" s="427" t="str">
        <f>IF(AND($A257&gt;=SYear_O,$A257&lt;=EYear_O,AX$3&gt;0),IF($A257=SYear_O,AX$168*(1+Data_All!AX96%),AX256*(1+Data_All!AX96%)),"")</f>
        <v/>
      </c>
      <c r="AY257" s="427" t="str">
        <f>IF(AND($A257&gt;=SYear_O,$A257&lt;=EYear_O,AY$3&gt;0),IF($A257=SYear_O,AY$168*(1+Data_All!AY96%),AY256*(1+Data_All!AY96%)),"")</f>
        <v/>
      </c>
      <c r="AZ257" s="427" t="str">
        <f>IF(AND($A257&gt;=SYear_O,$A257&lt;=EYear_O,AZ$3&gt;0),IF($A257=SYear_O,AZ$168*(1+Data_All!AZ96%),AZ256*(1+Data_All!AZ96%)),"")</f>
        <v/>
      </c>
      <c r="BA257" s="427" t="str">
        <f>IF(AND($A257&gt;=SYear_O,$A257&lt;=EYear_O,BA$3&gt;0),IF($A257=SYear_O,BA$168*(1+Data_All!BA96%),BA256*(1+Data_All!BA96%)),"")</f>
        <v/>
      </c>
      <c r="BB257" s="427" t="str">
        <f>IF(AND($A257&gt;=SYear_O,$A257&lt;=EYear_O,BB$3&gt;0),IF($A257=SYear_O,BB$168*(1+Data_All!BB96%),BB256*(1+Data_All!BB96%)),"")</f>
        <v/>
      </c>
      <c r="BC257" s="427" t="str">
        <f>IF(AND($A257&gt;=SYear_O,$A257&lt;=EYear_O,BC$3&gt;0),IF($A257=SYear_O,BC$168*(1+Data_All!BC96%),BC256*(1+Data_All!BC96%)),"")</f>
        <v/>
      </c>
      <c r="BD257" s="427" t="str">
        <f>IF(AND($A257&gt;=SYear_O,$A257&lt;=EYear_O,BD$3&gt;0),IF($A257=SYear_O,BD$168*(1+Data_All!BD96%),BD256*(1+Data_All!BD96%)),"")</f>
        <v/>
      </c>
      <c r="BE257" s="427" t="str">
        <f>IF(AND($A257&gt;=SYear_O,$A257&lt;=EYear_O,BE$3&gt;0),IF($A257=SYear_O,BE$168*(1+Data_All!BE96%),BE256*(1+Data_All!BE96%)),"")</f>
        <v/>
      </c>
      <c r="BF257" s="427" t="str">
        <f>IF(AND($A257&gt;=SYear_O,$A257&lt;=EYear_O,BF$3&gt;0),IF($A257=SYear_O,BF$168*(1+Data_All!BF96%),BF256*(1+Data_All!BF96%)),"")</f>
        <v/>
      </c>
      <c r="BG257" s="427" t="str">
        <f>IF(AND($A257&gt;=SYear_O,$A257&lt;=EYear_O,BG$3&gt;0),IF($A257=SYear_O,BG$168*(1+Data_All!BG96%),BG256*(1+Data_All!BG96%)),"")</f>
        <v/>
      </c>
      <c r="BH257" s="427" t="str">
        <f>IF(AND($A257&gt;=SYear_O,$A257&lt;=EYear_O,BH$3&gt;0),IF($A257=SYear_O,BH$168*(1+Data_All!BH96%),BH256*(1+Data_All!BH96%)),"")</f>
        <v/>
      </c>
      <c r="BI257" s="427" t="str">
        <f>IF(AND($A257&gt;=SYear_O,$A257&lt;=EYear_O,BI$3&gt;0),IF($A257=SYear_O,BI$168*(1+Data_All!BI96%),BI256*(1+Data_All!BI96%)),"")</f>
        <v/>
      </c>
      <c r="BJ257" s="427" t="str">
        <f>IF(AND($A257&gt;=SYear_O,$A257&lt;=EYear_O,BJ$3&gt;0),IF($A257=SYear_O,BJ$168*(1+Data_All!BJ96%),BJ256*(1+Data_All!BJ96%)),"")</f>
        <v/>
      </c>
      <c r="BK257" s="427" t="str">
        <f>IF(AND($A257&gt;=SYear_O,$A257&lt;=EYear_O,BK$3&gt;0),IF($A257=SYear_O,BK$168*(1+Data_All!BK96%),BK256*(1+Data_All!BK96%)),"")</f>
        <v/>
      </c>
      <c r="BL257" s="427" t="str">
        <f>IF(AND($A257&gt;=SYear_O,$A257&lt;=EYear_O,BL$3&gt;0),IF($A257=SYear_O,BL$168*(1+Data_All!BL96%),BL256*(1+Data_All!BL96%)),"")</f>
        <v/>
      </c>
      <c r="BM257" s="427" t="str">
        <f>IF(AND($A257&gt;=SYear_O,$A257&lt;=EYear_O,BM$3&gt;0),IF($A257=SYear_O,BM$168*(1+Data_All!BM96%),BM256*(1+Data_All!BM96%)),"")</f>
        <v/>
      </c>
      <c r="BN257" s="427" t="str">
        <f>IF(AND($A257&gt;=SYear_O,$A257&lt;=EYear_O,BN$3&gt;0),IF($A257=SYear_O,BN$168*(1+Data_All!BN96%),BN256*(1+Data_All!BN96%)),"")</f>
        <v/>
      </c>
      <c r="BO257" s="427" t="str">
        <f>IF(AND($A257&gt;=SYear_O,$A257&lt;=EYear_O,BO$3&gt;0),IF($A257=SYear_O,BO$168*(1+Data_All!BO96%),BO256*(1+Data_All!BO96%)),"")</f>
        <v/>
      </c>
      <c r="BP257" s="427" t="str">
        <f>IF(AND($A257&gt;=SYear_O,$A257&lt;=EYear_O,BP$3&gt;0),IF($A257=SYear_O,BP$168*(1+Data_All!BP96%),BP256*(1+Data_All!BP96%)),"")</f>
        <v/>
      </c>
      <c r="BQ257" s="427" t="str">
        <f>IF(AND($A257&gt;=SYear_O,$A257&lt;=EYear_O,BQ$3&gt;0),IF($A257=SYear_O,BQ$168*(1+Data_All!BQ96%),BQ256*(1+Data_All!BQ96%)),"")</f>
        <v/>
      </c>
      <c r="BR257" s="427" t="str">
        <f>IF(AND($A257&gt;=SYear_O,$A257&lt;=EYear_O,BR$3&gt;0),IF($A257=SYear_O,BR$168*(1+Data_All!BR96%),BR256*(1+Data_All!BR96%)),"")</f>
        <v/>
      </c>
      <c r="BS257" s="427" t="str">
        <f>IF(AND($A257&gt;=SYear_O,$A257&lt;=EYear_O,BS$3&gt;0),IF($A257=SYear_O,BS$168*(1+Data_All!BS96%),BS256*(1+Data_All!BS96%)),"")</f>
        <v/>
      </c>
      <c r="BT257" s="427" t="str">
        <f>IF(AND($A257&gt;=SYear_O,$A257&lt;=EYear_O,BT$3&gt;0),IF($A257=SYear_O,BT$168*(1+Data_All!BT96%),BT256*(1+Data_All!BT96%)),"")</f>
        <v/>
      </c>
      <c r="BU257" s="427" t="str">
        <f>IF(AND($A257&gt;=SYear_O,$A257&lt;=EYear_O,BU$3&gt;0),IF($A257=SYear_O,BU$168*(1+Data_All!BU96%),BU256*(1+Data_All!BU96%)),"")</f>
        <v/>
      </c>
      <c r="BV257" s="427" t="str">
        <f>IF(AND($A257&gt;=SYear_O,$A257&lt;=EYear_O,BV$3&gt;0),IF($A257=SYear_O,BV$168*(1+Data_All!BV96%),BV256*(1+Data_All!BV96%)),"")</f>
        <v/>
      </c>
      <c r="BW257" s="427" t="str">
        <f>IF(AND($A257&gt;=SYear_O,$A257&lt;=EYear_O,BW$3&gt;0),IF($A257=SYear_O,BW$168*(1+Data_All!BW96%),BW256*(1+Data_All!BW96%)),"")</f>
        <v/>
      </c>
      <c r="BX257" s="427">
        <f>IF(AND($A257&gt;=SYear_O,$A257&lt;=EYear_O,BX$3&gt;0),IF($A257=SYear_O,BX$168*(1+Data_All!BX96%),BX256*(1+Data_All!BX96%)),"")</f>
        <v>7177140.7196112946</v>
      </c>
      <c r="BY257" s="427">
        <f>IF(AND($A257&gt;=SYear_O,$A257&lt;=EYear_O,BY$3&gt;0),IF($A257=SYear_O,BY$168*(1+Data_All!BY96%),BY256*(1+Data_All!BY96%)),"")</f>
        <v>88617.442751378956</v>
      </c>
      <c r="BZ257" s="427" t="str">
        <f>IF(AND($A257&gt;=SYear_O,$A257&lt;=EYear_O,BZ$3&gt;0),IF($A257=SYear_O,BZ$168*(1+Data_All!BZ96%),BZ256*(1+Data_All!BZ96%)),"")</f>
        <v/>
      </c>
      <c r="CA257" s="565">
        <f t="shared" si="123"/>
        <v>7.5248514863778686</v>
      </c>
      <c r="CB257" s="427">
        <f t="shared" si="124"/>
        <v>7265758.1623626733</v>
      </c>
      <c r="CC257" s="565">
        <f>IF(AND($A257&gt;=SYear_O,$A257&lt;=EYear_O),(CA257-Data_All!CA96)/(1+Data_All!CA96%),"")</f>
        <v>6.4239144404422452</v>
      </c>
      <c r="CD257" s="436">
        <f t="shared" si="125"/>
        <v>3090814.0937520941</v>
      </c>
      <c r="CE257" s="438">
        <f t="shared" si="126"/>
        <v>658.99873438902966</v>
      </c>
      <c r="CF257" s="438">
        <f>IF(AND($A257&gt;=SYear_O,$A257&lt;=EYear_O),MAX($CE$169:CE257),"")</f>
        <v>658.99873438902966</v>
      </c>
      <c r="CG257" s="209">
        <f t="shared" si="127"/>
        <v>0</v>
      </c>
      <c r="CN257" s="61">
        <f t="shared" si="128"/>
        <v>7.5248514863778704E-2</v>
      </c>
      <c r="CO257" s="61">
        <f t="shared" si="129"/>
        <v>0.10752829820211685</v>
      </c>
      <c r="CP257" s="61">
        <f t="shared" si="130"/>
        <v>9.824386565810328E-2</v>
      </c>
      <c r="CQ257" s="61">
        <f t="shared" si="131"/>
        <v>9.4759954637511079E-2</v>
      </c>
      <c r="CR257" s="61">
        <f t="shared" si="132"/>
        <v>6.9262748064475854E-2</v>
      </c>
      <c r="CU257" s="61">
        <f t="shared" si="133"/>
        <v>6.4239144404422355E-2</v>
      </c>
      <c r="CV257" s="61">
        <f t="shared" si="134"/>
        <v>9.5083106581051124E-2</v>
      </c>
      <c r="CW257" s="61">
        <f t="shared" si="135"/>
        <v>8.4392961043385561E-2</v>
      </c>
      <c r="CX257" s="61">
        <f t="shared" si="136"/>
        <v>7.2540506001143035E-2</v>
      </c>
      <c r="CY257" s="61">
        <f t="shared" si="137"/>
        <v>3.6576848671099782E-2</v>
      </c>
    </row>
    <row r="258" spans="1:103">
      <c r="A258" s="204">
        <f t="shared" si="107"/>
        <v>1960</v>
      </c>
      <c r="B258" s="427" t="str">
        <f>IF(AND($A258&gt;=SYear_O,$A258&lt;=EYear_O,B$3&gt;0),IF($A258=SYear_O,B$168*(1+Data_All!B97%),B257*(1+Data_All!B97%)),"")</f>
        <v/>
      </c>
      <c r="C258" s="427" t="str">
        <f>IF(AND($A258&gt;=SYear_O,$A258&lt;=EYear_O,C$3&gt;0),IF($A258=SYear_O,C$168*(1+Data_All!C97%),C257*(1+Data_All!C97%)),"")</f>
        <v/>
      </c>
      <c r="D258" s="427" t="str">
        <f>IF(AND($A258&gt;=SYear_O,$A258&lt;=EYear_O,D$3&gt;0),IF($A258=SYear_O,D$168*(1+Data_All!D97%),D257*(1+Data_All!D97%)),"")</f>
        <v/>
      </c>
      <c r="E258" s="427" t="str">
        <f>IF(AND($A258&gt;=SYear_O,$A258&lt;=EYear_O,E$3&gt;0),IF($A258=SYear_O,E$168*(1+Data_All!E97%),E257*(1+Data_All!E97%)),"")</f>
        <v/>
      </c>
      <c r="F258" s="427" t="str">
        <f>IF(AND($A258&gt;=SYear_O,$A258&lt;=EYear_O,F$3&gt;0),IF($A258=SYear_O,F$168*(1+Data_All!F97%),F257*(1+Data_All!F97%)),"")</f>
        <v/>
      </c>
      <c r="G258" s="427" t="str">
        <f>IF(AND($A258&gt;=SYear_O,$A258&lt;=EYear_O,G$3&gt;0),IF($A258=SYear_O,G$168*(1+Data_All!G97%),G257*(1+Data_All!G97%)),"")</f>
        <v/>
      </c>
      <c r="H258" s="427" t="str">
        <f>IF(AND($A258&gt;=SYear_O,$A258&lt;=EYear_O,H$3&gt;0),IF($A258=SYear_O,H$168*(1+Data_All!H97%),H257*(1+Data_All!H97%)),"")</f>
        <v/>
      </c>
      <c r="I258" s="427" t="str">
        <f>IF(AND($A258&gt;=SYear_O,$A258&lt;=EYear_O,I$3&gt;0),IF($A258=SYear_O,I$168*(1+Data_All!I97%),I257*(1+Data_All!I97%)),"")</f>
        <v/>
      </c>
      <c r="J258" s="427" t="str">
        <f>IF(AND($A258&gt;=SYear_O,$A258&lt;=EYear_O,J$3&gt;0),IF($A258=SYear_O,J$168*(1+Data_All!J97%),J257*(1+Data_All!J97%)),"")</f>
        <v/>
      </c>
      <c r="K258" s="427" t="str">
        <f>IF(AND($A258&gt;=SYear_O,$A258&lt;=EYear_O,K$3&gt;0),IF($A258=SYear_O,K$168*(1+Data_All!K97%),K257*(1+Data_All!K97%)),"")</f>
        <v/>
      </c>
      <c r="L258" s="427" t="str">
        <f>IF(AND($A258&gt;=SYear_O,$A258&lt;=EYear_O,L$3&gt;0),IF($A258=SYear_O,L$168*(1+Data_All!L97%),L257*(1+Data_All!L97%)),"")</f>
        <v/>
      </c>
      <c r="M258" s="427" t="str">
        <f>IF(AND($A258&gt;=SYear_O,$A258&lt;=EYear_O,M$3&gt;0),IF($A258=SYear_O,M$168*(1+Data_All!M97%),M257*(1+Data_All!M97%)),"")</f>
        <v/>
      </c>
      <c r="N258" s="427" t="str">
        <f>IF(AND($A258&gt;=SYear_O,$A258&lt;=EYear_O,N$3&gt;0),IF($A258=SYear_O,N$168*(1+Data_All!N97%),N257*(1+Data_All!N97%)),"")</f>
        <v/>
      </c>
      <c r="O258" s="427" t="str">
        <f>IF(AND($A258&gt;=SYear_O,$A258&lt;=EYear_O,O$3&gt;0),IF($A258=SYear_O,O$168*(1+Data_All!O97%),O257*(1+Data_All!O97%)),"")</f>
        <v/>
      </c>
      <c r="P258" s="427" t="str">
        <f>IF(AND($A258&gt;=SYear_O,$A258&lt;=EYear_O,P$3&gt;0),IF($A258=SYear_O,P$168*(1+Data_All!P97%),P257*(1+Data_All!P97%)),"")</f>
        <v/>
      </c>
      <c r="Q258" s="427" t="str">
        <f>IF(AND($A258&gt;=SYear_O,$A258&lt;=EYear_O,Q$3&gt;0),IF($A258=SYear_O,Q$168*(1+Data_All!Q97%),Q257*(1+Data_All!Q97%)),"")</f>
        <v/>
      </c>
      <c r="R258" s="427" t="str">
        <f>IF(AND($A258&gt;=SYear_O,$A258&lt;=EYear_O,R$3&gt;0),IF($A258=SYear_O,R$168*(1+Data_All!R97%),R257*(1+Data_All!R97%)),"")</f>
        <v/>
      </c>
      <c r="S258" s="427" t="str">
        <f>IF(AND($A258&gt;=SYear_O,$A258&lt;=EYear_O,S$3&gt;0),IF($A258=SYear_O,S$168*(1+Data_All!S97%),S257*(1+Data_All!S97%)),"")</f>
        <v/>
      </c>
      <c r="T258" s="427" t="str">
        <f>IF(AND($A258&gt;=SYear_O,$A258&lt;=EYear_O,T$3&gt;0),IF($A258=SYear_O,T$168*(1+Data_All!T97%),T257*(1+Data_All!T97%)),"")</f>
        <v/>
      </c>
      <c r="U258" s="427" t="str">
        <f>IF(AND($A258&gt;=SYear_O,$A258&lt;=EYear_O,U$3&gt;0),IF($A258=SYear_O,U$168*(1+Data_All!U97%),U257*(1+Data_All!U97%)),"")</f>
        <v/>
      </c>
      <c r="V258" s="427" t="str">
        <f>IF(AND($A258&gt;=SYear_O,$A258&lt;=EYear_O,V$3&gt;0),IF($A258=SYear_O,V$168*(1+Data_All!V97%),V257*(1+Data_All!V97%)),"")</f>
        <v/>
      </c>
      <c r="W258" s="427" t="str">
        <f>IF(AND($A258&gt;=SYear_O,$A258&lt;=EYear_O,W$3&gt;0),IF($A258=SYear_O,W$168*(1+Data_All!W97%),W257*(1+Data_All!W97%)),"")</f>
        <v/>
      </c>
      <c r="X258" s="427" t="str">
        <f>IF(AND($A258&gt;=SYear_O,$A258&lt;=EYear_O,X$3&gt;0),IF($A258=SYear_O,X$168*(1+Data_All!X97%),X257*(1+Data_All!X97%)),"")</f>
        <v/>
      </c>
      <c r="Y258" s="427" t="str">
        <f>IF(AND($A258&gt;=SYear_O,$A258&lt;=EYear_O,Y$3&gt;0),IF($A258=SYear_O,Y$168*(1+Data_All!Y97%),Y257*(1+Data_All!Y97%)),"")</f>
        <v/>
      </c>
      <c r="Z258" s="427" t="str">
        <f>IF(AND($A258&gt;=SYear_O,$A258&lt;=EYear_O,Z$3&gt;0),IF($A258=SYear_O,Z$168*(1+Data_All!Z97%),Z257*(1+Data_All!Z97%)),"")</f>
        <v/>
      </c>
      <c r="AA258" s="427" t="str">
        <f>IF(AND($A258&gt;=SYear_O,$A258&lt;=EYear_O,AA$3&gt;0),IF($A258=SYear_O,AA$168*(1+Data_All!AA97%),AA257*(1+Data_All!AA97%)),"")</f>
        <v/>
      </c>
      <c r="AB258" s="427" t="str">
        <f>IF(AND($A258&gt;=SYear_O,$A258&lt;=EYear_O,AB$3&gt;0),IF($A258=SYear_O,AB$168*(1+Data_All!AB97%),AB257*(1+Data_All!AB97%)),"")</f>
        <v/>
      </c>
      <c r="AC258" s="427" t="str">
        <f>IF(AND($A258&gt;=SYear_O,$A258&lt;=EYear_O,AC$3&gt;0),IF($A258=SYear_O,AC$168*(1+Data_All!AC97%),AC257*(1+Data_All!AC97%)),"")</f>
        <v/>
      </c>
      <c r="AD258" s="427" t="str">
        <f>IF(AND($A258&gt;=SYear_O,$A258&lt;=EYear_O,AD$3&gt;0),IF($A258=SYear_O,AD$168*(1+Data_All!AD97%),AD257*(1+Data_All!AD97%)),"")</f>
        <v/>
      </c>
      <c r="AE258" s="427" t="str">
        <f>IF(AND($A258&gt;=SYear_O,$A258&lt;=EYear_O,AE$3&gt;0),IF($A258=SYear_O,AE$168*(1+Data_All!AE97%),AE257*(1+Data_All!AE97%)),"")</f>
        <v/>
      </c>
      <c r="AF258" s="427" t="str">
        <f>IF(AND($A258&gt;=SYear_O,$A258&lt;=EYear_O,AF$3&gt;0),IF($A258=SYear_O,AF$168*(1+Data_All!AF97%),AF257*(1+Data_All!AF97%)),"")</f>
        <v/>
      </c>
      <c r="AG258" s="427" t="str">
        <f>IF(AND($A258&gt;=SYear_O,$A258&lt;=EYear_O,AG$3&gt;0),IF($A258=SYear_O,AG$168*(1+Data_All!AG97%),AG257*(1+Data_All!AG97%)),"")</f>
        <v/>
      </c>
      <c r="AH258" s="427" t="str">
        <f>IF(AND($A258&gt;=SYear_O,$A258&lt;=EYear_O,AH$3&gt;0),IF($A258=SYear_O,AH$168*(1+Data_All!AH97%),AH257*(1+Data_All!AH97%)),"")</f>
        <v/>
      </c>
      <c r="AI258" s="427" t="str">
        <f>IF(AND($A258&gt;=SYear_O,$A258&lt;=EYear_O,AI$3&gt;0),IF($A258=SYear_O,AI$168*(1+Data_All!AI97%),AI257*(1+Data_All!AI97%)),"")</f>
        <v/>
      </c>
      <c r="AJ258" s="427" t="str">
        <f>IF(AND($A258&gt;=SYear_O,$A258&lt;=EYear_O,AJ$3&gt;0),IF($A258=SYear_O,AJ$168*(1+Data_All!AJ97%),AJ257*(1+Data_All!AJ97%)),"")</f>
        <v/>
      </c>
      <c r="AK258" s="427" t="str">
        <f>IF(AND($A258&gt;=SYear_O,$A258&lt;=EYear_O,AK$3&gt;0),IF($A258=SYear_O,AK$168*(1+Data_All!AK97%),AK257*(1+Data_All!AK97%)),"")</f>
        <v/>
      </c>
      <c r="AL258" s="427" t="str">
        <f>IF(AND($A258&gt;=SYear_O,$A258&lt;=EYear_O,AL$3&gt;0),IF($A258=SYear_O,AL$168*(1+Data_All!AL97%),AL257*(1+Data_All!AL97%)),"")</f>
        <v/>
      </c>
      <c r="AM258" s="427" t="str">
        <f>IF(AND($A258&gt;=SYear_O,$A258&lt;=EYear_O,AM$3&gt;0),IF($A258=SYear_O,AM$168*(1+Data_All!AM97%),AM257*(1+Data_All!AM97%)),"")</f>
        <v/>
      </c>
      <c r="AN258" s="427" t="str">
        <f>IF(AND($A258&gt;=SYear_O,$A258&lt;=EYear_O,AN$3&gt;0),IF($A258=SYear_O,AN$168*(1+Data_All!AN97%),AN257*(1+Data_All!AN97%)),"")</f>
        <v/>
      </c>
      <c r="AO258" s="427" t="str">
        <f>IF(AND($A258&gt;=SYear_O,$A258&lt;=EYear_O,AO$3&gt;0),IF($A258=SYear_O,AO$168*(1+Data_All!AO97%),AO257*(1+Data_All!AO97%)),"")</f>
        <v/>
      </c>
      <c r="AP258" s="427" t="str">
        <f>IF(AND($A258&gt;=SYear_O,$A258&lt;=EYear_O,AP$3&gt;0),IF($A258=SYear_O,AP$168*(1+Data_All!AP97%),AP257*(1+Data_All!AP97%)),"")</f>
        <v/>
      </c>
      <c r="AQ258" s="427" t="str">
        <f>IF(AND($A258&gt;=SYear_O,$A258&lt;=EYear_O,AQ$3&gt;0),IF($A258=SYear_O,AQ$168*(1+Data_All!AQ97%),AQ257*(1+Data_All!AQ97%)),"")</f>
        <v/>
      </c>
      <c r="AR258" s="427" t="str">
        <f>IF(AND($A258&gt;=SYear_O,$A258&lt;=EYear_O,AR$3&gt;0),IF($A258=SYear_O,AR$168*(1+Data_All!AR97%),AR257*(1+Data_All!AR97%)),"")</f>
        <v/>
      </c>
      <c r="AS258" s="427" t="str">
        <f>IF(AND($A258&gt;=SYear_O,$A258&lt;=EYear_O,AS$3&gt;0),IF($A258=SYear_O,AS$168*(1+Data_All!AS97%),AS257*(1+Data_All!AS97%)),"")</f>
        <v/>
      </c>
      <c r="AT258" s="427" t="str">
        <f>IF(AND($A258&gt;=SYear_O,$A258&lt;=EYear_O,AT$3&gt;0),IF($A258=SYear_O,AT$168*(1+Data_All!AT97%),AT257*(1+Data_All!AT97%)),"")</f>
        <v/>
      </c>
      <c r="AU258" s="427" t="str">
        <f>IF(AND($A258&gt;=SYear_O,$A258&lt;=EYear_O,AU$3&gt;0),IF($A258=SYear_O,AU$168*(1+Data_All!AU97%),AU257*(1+Data_All!AU97%)),"")</f>
        <v/>
      </c>
      <c r="AV258" s="427" t="str">
        <f>IF(AND($A258&gt;=SYear_O,$A258&lt;=EYear_O,AV$3&gt;0),IF($A258=SYear_O,AV$168*(1+Data_All!AV97%),AV257*(1+Data_All!AV97%)),"")</f>
        <v/>
      </c>
      <c r="AW258" s="427" t="str">
        <f>IF(AND($A258&gt;=SYear_O,$A258&lt;=EYear_O,AW$3&gt;0),IF($A258=SYear_O,AW$168*(1+Data_All!AW97%),AW257*(1+Data_All!AW97%)),"")</f>
        <v/>
      </c>
      <c r="AX258" s="427" t="str">
        <f>IF(AND($A258&gt;=SYear_O,$A258&lt;=EYear_O,AX$3&gt;0),IF($A258=SYear_O,AX$168*(1+Data_All!AX97%),AX257*(1+Data_All!AX97%)),"")</f>
        <v/>
      </c>
      <c r="AY258" s="427" t="str">
        <f>IF(AND($A258&gt;=SYear_O,$A258&lt;=EYear_O,AY$3&gt;0),IF($A258=SYear_O,AY$168*(1+Data_All!AY97%),AY257*(1+Data_All!AY97%)),"")</f>
        <v/>
      </c>
      <c r="AZ258" s="427" t="str">
        <f>IF(AND($A258&gt;=SYear_O,$A258&lt;=EYear_O,AZ$3&gt;0),IF($A258=SYear_O,AZ$168*(1+Data_All!AZ97%),AZ257*(1+Data_All!AZ97%)),"")</f>
        <v/>
      </c>
      <c r="BA258" s="427" t="str">
        <f>IF(AND($A258&gt;=SYear_O,$A258&lt;=EYear_O,BA$3&gt;0),IF($A258=SYear_O,BA$168*(1+Data_All!BA97%),BA257*(1+Data_All!BA97%)),"")</f>
        <v/>
      </c>
      <c r="BB258" s="427" t="str">
        <f>IF(AND($A258&gt;=SYear_O,$A258&lt;=EYear_O,BB$3&gt;0),IF($A258=SYear_O,BB$168*(1+Data_All!BB97%),BB257*(1+Data_All!BB97%)),"")</f>
        <v/>
      </c>
      <c r="BC258" s="427" t="str">
        <f>IF(AND($A258&gt;=SYear_O,$A258&lt;=EYear_O,BC$3&gt;0),IF($A258=SYear_O,BC$168*(1+Data_All!BC97%),BC257*(1+Data_All!BC97%)),"")</f>
        <v/>
      </c>
      <c r="BD258" s="427" t="str">
        <f>IF(AND($A258&gt;=SYear_O,$A258&lt;=EYear_O,BD$3&gt;0),IF($A258=SYear_O,BD$168*(1+Data_All!BD97%),BD257*(1+Data_All!BD97%)),"")</f>
        <v/>
      </c>
      <c r="BE258" s="427" t="str">
        <f>IF(AND($A258&gt;=SYear_O,$A258&lt;=EYear_O,BE$3&gt;0),IF($A258=SYear_O,BE$168*(1+Data_All!BE97%),BE257*(1+Data_All!BE97%)),"")</f>
        <v/>
      </c>
      <c r="BF258" s="427" t="str">
        <f>IF(AND($A258&gt;=SYear_O,$A258&lt;=EYear_O,BF$3&gt;0),IF($A258=SYear_O,BF$168*(1+Data_All!BF97%),BF257*(1+Data_All!BF97%)),"")</f>
        <v/>
      </c>
      <c r="BG258" s="427" t="str">
        <f>IF(AND($A258&gt;=SYear_O,$A258&lt;=EYear_O,BG$3&gt;0),IF($A258=SYear_O,BG$168*(1+Data_All!BG97%),BG257*(1+Data_All!BG97%)),"")</f>
        <v/>
      </c>
      <c r="BH258" s="427" t="str">
        <f>IF(AND($A258&gt;=SYear_O,$A258&lt;=EYear_O,BH$3&gt;0),IF($A258=SYear_O,BH$168*(1+Data_All!BH97%),BH257*(1+Data_All!BH97%)),"")</f>
        <v/>
      </c>
      <c r="BI258" s="427" t="str">
        <f>IF(AND($A258&gt;=SYear_O,$A258&lt;=EYear_O,BI$3&gt;0),IF($A258=SYear_O,BI$168*(1+Data_All!BI97%),BI257*(1+Data_All!BI97%)),"")</f>
        <v/>
      </c>
      <c r="BJ258" s="427" t="str">
        <f>IF(AND($A258&gt;=SYear_O,$A258&lt;=EYear_O,BJ$3&gt;0),IF($A258=SYear_O,BJ$168*(1+Data_All!BJ97%),BJ257*(1+Data_All!BJ97%)),"")</f>
        <v/>
      </c>
      <c r="BK258" s="427" t="str">
        <f>IF(AND($A258&gt;=SYear_O,$A258&lt;=EYear_O,BK$3&gt;0),IF($A258=SYear_O,BK$168*(1+Data_All!BK97%),BK257*(1+Data_All!BK97%)),"")</f>
        <v/>
      </c>
      <c r="BL258" s="427" t="str">
        <f>IF(AND($A258&gt;=SYear_O,$A258&lt;=EYear_O,BL$3&gt;0),IF($A258=SYear_O,BL$168*(1+Data_All!BL97%),BL257*(1+Data_All!BL97%)),"")</f>
        <v/>
      </c>
      <c r="BM258" s="427" t="str">
        <f>IF(AND($A258&gt;=SYear_O,$A258&lt;=EYear_O,BM$3&gt;0),IF($A258=SYear_O,BM$168*(1+Data_All!BM97%),BM257*(1+Data_All!BM97%)),"")</f>
        <v/>
      </c>
      <c r="BN258" s="427" t="str">
        <f>IF(AND($A258&gt;=SYear_O,$A258&lt;=EYear_O,BN$3&gt;0),IF($A258=SYear_O,BN$168*(1+Data_All!BN97%),BN257*(1+Data_All!BN97%)),"")</f>
        <v/>
      </c>
      <c r="BO258" s="427" t="str">
        <f>IF(AND($A258&gt;=SYear_O,$A258&lt;=EYear_O,BO$3&gt;0),IF($A258=SYear_O,BO$168*(1+Data_All!BO97%),BO257*(1+Data_All!BO97%)),"")</f>
        <v/>
      </c>
      <c r="BP258" s="427" t="str">
        <f>IF(AND($A258&gt;=SYear_O,$A258&lt;=EYear_O,BP$3&gt;0),IF($A258=SYear_O,BP$168*(1+Data_All!BP97%),BP257*(1+Data_All!BP97%)),"")</f>
        <v/>
      </c>
      <c r="BQ258" s="427" t="str">
        <f>IF(AND($A258&gt;=SYear_O,$A258&lt;=EYear_O,BQ$3&gt;0),IF($A258=SYear_O,BQ$168*(1+Data_All!BQ97%),BQ257*(1+Data_All!BQ97%)),"")</f>
        <v/>
      </c>
      <c r="BR258" s="427" t="str">
        <f>IF(AND($A258&gt;=SYear_O,$A258&lt;=EYear_O,BR$3&gt;0),IF($A258=SYear_O,BR$168*(1+Data_All!BR97%),BR257*(1+Data_All!BR97%)),"")</f>
        <v/>
      </c>
      <c r="BS258" s="427" t="str">
        <f>IF(AND($A258&gt;=SYear_O,$A258&lt;=EYear_O,BS$3&gt;0),IF($A258=SYear_O,BS$168*(1+Data_All!BS97%),BS257*(1+Data_All!BS97%)),"")</f>
        <v/>
      </c>
      <c r="BT258" s="427" t="str">
        <f>IF(AND($A258&gt;=SYear_O,$A258&lt;=EYear_O,BT$3&gt;0),IF($A258=SYear_O,BT$168*(1+Data_All!BT97%),BT257*(1+Data_All!BT97%)),"")</f>
        <v/>
      </c>
      <c r="BU258" s="427" t="str">
        <f>IF(AND($A258&gt;=SYear_O,$A258&lt;=EYear_O,BU$3&gt;0),IF($A258=SYear_O,BU$168*(1+Data_All!BU97%),BU257*(1+Data_All!BU97%)),"")</f>
        <v/>
      </c>
      <c r="BV258" s="427" t="str">
        <f>IF(AND($A258&gt;=SYear_O,$A258&lt;=EYear_O,BV$3&gt;0),IF($A258=SYear_O,BV$168*(1+Data_All!BV97%),BV257*(1+Data_All!BV97%)),"")</f>
        <v/>
      </c>
      <c r="BW258" s="427" t="str">
        <f>IF(AND($A258&gt;=SYear_O,$A258&lt;=EYear_O,BW$3&gt;0),IF($A258=SYear_O,BW$168*(1+Data_All!BW97%),BW257*(1+Data_All!BW97%)),"")</f>
        <v/>
      </c>
      <c r="BX258" s="427">
        <f>IF(AND($A258&gt;=SYear_O,$A258&lt;=EYear_O,BX$3&gt;0),IF($A258=SYear_O,BX$168*(1+Data_All!BX97%),BX257*(1+Data_All!BX97%)),"")</f>
        <v>7627335.3123975284</v>
      </c>
      <c r="BY258" s="427">
        <f>IF(AND($A258&gt;=SYear_O,$A258&lt;=EYear_O,BY$3&gt;0),IF($A258=SYear_O,BY$168*(1+Data_All!BY97%),BY257*(1+Data_All!BY97%)),"")</f>
        <v>97777.809684334003</v>
      </c>
      <c r="BZ258" s="427" t="str">
        <f>IF(AND($A258&gt;=SYear_O,$A258&lt;=EYear_O,BZ$3&gt;0),IF($A258=SYear_O,BZ$168*(1+Data_All!BZ97%),BZ257*(1+Data_All!BZ97%)),"")</f>
        <v/>
      </c>
      <c r="CA258" s="565">
        <f t="shared" si="123"/>
        <v>6.3221889506134721</v>
      </c>
      <c r="CB258" s="427">
        <f t="shared" si="124"/>
        <v>7725113.1220818628</v>
      </c>
      <c r="CC258" s="565">
        <f>IF(AND($A258&gt;=SYear_O,$A258&lt;=EYear_O),(CA258-Data_All!CA97)/(1+Data_All!CA97%),"")</f>
        <v>4.5382596058045177</v>
      </c>
      <c r="CD258" s="436">
        <f t="shared" si="125"/>
        <v>3231083.2612593584</v>
      </c>
      <c r="CE258" s="438">
        <f t="shared" si="126"/>
        <v>700.66187955925557</v>
      </c>
      <c r="CF258" s="438">
        <f>IF(AND($A258&gt;=SYear_O,$A258&lt;=EYear_O),MAX($CE$169:CE258),"")</f>
        <v>700.66187955925557</v>
      </c>
      <c r="CG258" s="209">
        <f t="shared" si="127"/>
        <v>0</v>
      </c>
      <c r="CN258" s="61">
        <f t="shared" si="128"/>
        <v>6.3221889506134721E-2</v>
      </c>
      <c r="CO258" s="61">
        <f t="shared" si="129"/>
        <v>7.1500607372318559E-2</v>
      </c>
      <c r="CP258" s="61">
        <f t="shared" si="130"/>
        <v>0.11465171169124311</v>
      </c>
      <c r="CQ258" s="61">
        <f t="shared" si="131"/>
        <v>7.7416135479442927E-2</v>
      </c>
      <c r="CR258" s="61">
        <f t="shared" si="132"/>
        <v>4.7928864048124131E-2</v>
      </c>
      <c r="CU258" s="61">
        <f t="shared" si="133"/>
        <v>4.5382596058045177E-2</v>
      </c>
      <c r="CV258" s="61">
        <f t="shared" si="134"/>
        <v>5.8417715816153848E-2</v>
      </c>
      <c r="CW258" s="61">
        <f t="shared" si="135"/>
        <v>0.100732507578287</v>
      </c>
      <c r="CX258" s="61">
        <f t="shared" si="136"/>
        <v>5.0318602194124873E-2</v>
      </c>
      <c r="CY258" s="61">
        <f t="shared" si="137"/>
        <v>8.7382450036261883E-3</v>
      </c>
    </row>
    <row r="259" spans="1:103">
      <c r="A259" s="204">
        <f t="shared" si="107"/>
        <v>1961</v>
      </c>
      <c r="B259" s="427" t="str">
        <f>IF(AND($A259&gt;=SYear_O,$A259&lt;=EYear_O,B$3&gt;0),IF($A259=SYear_O,B$168*(1+Data_All!B98%),B258*(1+Data_All!B98%)),"")</f>
        <v/>
      </c>
      <c r="C259" s="427" t="str">
        <f>IF(AND($A259&gt;=SYear_O,$A259&lt;=EYear_O,C$3&gt;0),IF($A259=SYear_O,C$168*(1+Data_All!C98%),C258*(1+Data_All!C98%)),"")</f>
        <v/>
      </c>
      <c r="D259" s="427" t="str">
        <f>IF(AND($A259&gt;=SYear_O,$A259&lt;=EYear_O,D$3&gt;0),IF($A259=SYear_O,D$168*(1+Data_All!D98%),D258*(1+Data_All!D98%)),"")</f>
        <v/>
      </c>
      <c r="E259" s="427" t="str">
        <f>IF(AND($A259&gt;=SYear_O,$A259&lt;=EYear_O,E$3&gt;0),IF($A259=SYear_O,E$168*(1+Data_All!E98%),E258*(1+Data_All!E98%)),"")</f>
        <v/>
      </c>
      <c r="F259" s="427" t="str">
        <f>IF(AND($A259&gt;=SYear_O,$A259&lt;=EYear_O,F$3&gt;0),IF($A259=SYear_O,F$168*(1+Data_All!F98%),F258*(1+Data_All!F98%)),"")</f>
        <v/>
      </c>
      <c r="G259" s="427" t="str">
        <f>IF(AND($A259&gt;=SYear_O,$A259&lt;=EYear_O,G$3&gt;0),IF($A259=SYear_O,G$168*(1+Data_All!G98%),G258*(1+Data_All!G98%)),"")</f>
        <v/>
      </c>
      <c r="H259" s="427" t="str">
        <f>IF(AND($A259&gt;=SYear_O,$A259&lt;=EYear_O,H$3&gt;0),IF($A259=SYear_O,H$168*(1+Data_All!H98%),H258*(1+Data_All!H98%)),"")</f>
        <v/>
      </c>
      <c r="I259" s="427" t="str">
        <f>IF(AND($A259&gt;=SYear_O,$A259&lt;=EYear_O,I$3&gt;0),IF($A259=SYear_O,I$168*(1+Data_All!I98%),I258*(1+Data_All!I98%)),"")</f>
        <v/>
      </c>
      <c r="J259" s="427" t="str">
        <f>IF(AND($A259&gt;=SYear_O,$A259&lt;=EYear_O,J$3&gt;0),IF($A259=SYear_O,J$168*(1+Data_All!J98%),J258*(1+Data_All!J98%)),"")</f>
        <v/>
      </c>
      <c r="K259" s="427" t="str">
        <f>IF(AND($A259&gt;=SYear_O,$A259&lt;=EYear_O,K$3&gt;0),IF($A259=SYear_O,K$168*(1+Data_All!K98%),K258*(1+Data_All!K98%)),"")</f>
        <v/>
      </c>
      <c r="L259" s="427" t="str">
        <f>IF(AND($A259&gt;=SYear_O,$A259&lt;=EYear_O,L$3&gt;0),IF($A259=SYear_O,L$168*(1+Data_All!L98%),L258*(1+Data_All!L98%)),"")</f>
        <v/>
      </c>
      <c r="M259" s="427" t="str">
        <f>IF(AND($A259&gt;=SYear_O,$A259&lt;=EYear_O,M$3&gt;0),IF($A259=SYear_O,M$168*(1+Data_All!M98%),M258*(1+Data_All!M98%)),"")</f>
        <v/>
      </c>
      <c r="N259" s="427" t="str">
        <f>IF(AND($A259&gt;=SYear_O,$A259&lt;=EYear_O,N$3&gt;0),IF($A259=SYear_O,N$168*(1+Data_All!N98%),N258*(1+Data_All!N98%)),"")</f>
        <v/>
      </c>
      <c r="O259" s="427" t="str">
        <f>IF(AND($A259&gt;=SYear_O,$A259&lt;=EYear_O,O$3&gt;0),IF($A259=SYear_O,O$168*(1+Data_All!O98%),O258*(1+Data_All!O98%)),"")</f>
        <v/>
      </c>
      <c r="P259" s="427" t="str">
        <f>IF(AND($A259&gt;=SYear_O,$A259&lt;=EYear_O,P$3&gt;0),IF($A259=SYear_O,P$168*(1+Data_All!P98%),P258*(1+Data_All!P98%)),"")</f>
        <v/>
      </c>
      <c r="Q259" s="427" t="str">
        <f>IF(AND($A259&gt;=SYear_O,$A259&lt;=EYear_O,Q$3&gt;0),IF($A259=SYear_O,Q$168*(1+Data_All!Q98%),Q258*(1+Data_All!Q98%)),"")</f>
        <v/>
      </c>
      <c r="R259" s="427" t="str">
        <f>IF(AND($A259&gt;=SYear_O,$A259&lt;=EYear_O,R$3&gt;0),IF($A259=SYear_O,R$168*(1+Data_All!R98%),R258*(1+Data_All!R98%)),"")</f>
        <v/>
      </c>
      <c r="S259" s="427" t="str">
        <f>IF(AND($A259&gt;=SYear_O,$A259&lt;=EYear_O,S$3&gt;0),IF($A259=SYear_O,S$168*(1+Data_All!S98%),S258*(1+Data_All!S98%)),"")</f>
        <v/>
      </c>
      <c r="T259" s="427" t="str">
        <f>IF(AND($A259&gt;=SYear_O,$A259&lt;=EYear_O,T$3&gt;0),IF($A259=SYear_O,T$168*(1+Data_All!T98%),T258*(1+Data_All!T98%)),"")</f>
        <v/>
      </c>
      <c r="U259" s="427" t="str">
        <f>IF(AND($A259&gt;=SYear_O,$A259&lt;=EYear_O,U$3&gt;0),IF($A259=SYear_O,U$168*(1+Data_All!U98%),U258*(1+Data_All!U98%)),"")</f>
        <v/>
      </c>
      <c r="V259" s="427" t="str">
        <f>IF(AND($A259&gt;=SYear_O,$A259&lt;=EYear_O,V$3&gt;0),IF($A259=SYear_O,V$168*(1+Data_All!V98%),V258*(1+Data_All!V98%)),"")</f>
        <v/>
      </c>
      <c r="W259" s="427" t="str">
        <f>IF(AND($A259&gt;=SYear_O,$A259&lt;=EYear_O,W$3&gt;0),IF($A259=SYear_O,W$168*(1+Data_All!W98%),W258*(1+Data_All!W98%)),"")</f>
        <v/>
      </c>
      <c r="X259" s="427" t="str">
        <f>IF(AND($A259&gt;=SYear_O,$A259&lt;=EYear_O,X$3&gt;0),IF($A259=SYear_O,X$168*(1+Data_All!X98%),X258*(1+Data_All!X98%)),"")</f>
        <v/>
      </c>
      <c r="Y259" s="427" t="str">
        <f>IF(AND($A259&gt;=SYear_O,$A259&lt;=EYear_O,Y$3&gt;0),IF($A259=SYear_O,Y$168*(1+Data_All!Y98%),Y258*(1+Data_All!Y98%)),"")</f>
        <v/>
      </c>
      <c r="Z259" s="427" t="str">
        <f>IF(AND($A259&gt;=SYear_O,$A259&lt;=EYear_O,Z$3&gt;0),IF($A259=SYear_O,Z$168*(1+Data_All!Z98%),Z258*(1+Data_All!Z98%)),"")</f>
        <v/>
      </c>
      <c r="AA259" s="427" t="str">
        <f>IF(AND($A259&gt;=SYear_O,$A259&lt;=EYear_O,AA$3&gt;0),IF($A259=SYear_O,AA$168*(1+Data_All!AA98%),AA258*(1+Data_All!AA98%)),"")</f>
        <v/>
      </c>
      <c r="AB259" s="427" t="str">
        <f>IF(AND($A259&gt;=SYear_O,$A259&lt;=EYear_O,AB$3&gt;0),IF($A259=SYear_O,AB$168*(1+Data_All!AB98%),AB258*(1+Data_All!AB98%)),"")</f>
        <v/>
      </c>
      <c r="AC259" s="427" t="str">
        <f>IF(AND($A259&gt;=SYear_O,$A259&lt;=EYear_O,AC$3&gt;0),IF($A259=SYear_O,AC$168*(1+Data_All!AC98%),AC258*(1+Data_All!AC98%)),"")</f>
        <v/>
      </c>
      <c r="AD259" s="427" t="str">
        <f>IF(AND($A259&gt;=SYear_O,$A259&lt;=EYear_O,AD$3&gt;0),IF($A259=SYear_O,AD$168*(1+Data_All!AD98%),AD258*(1+Data_All!AD98%)),"")</f>
        <v/>
      </c>
      <c r="AE259" s="427" t="str">
        <f>IF(AND($A259&gt;=SYear_O,$A259&lt;=EYear_O,AE$3&gt;0),IF($A259=SYear_O,AE$168*(1+Data_All!AE98%),AE258*(1+Data_All!AE98%)),"")</f>
        <v/>
      </c>
      <c r="AF259" s="427" t="str">
        <f>IF(AND($A259&gt;=SYear_O,$A259&lt;=EYear_O,AF$3&gt;0),IF($A259=SYear_O,AF$168*(1+Data_All!AF98%),AF258*(1+Data_All!AF98%)),"")</f>
        <v/>
      </c>
      <c r="AG259" s="427" t="str">
        <f>IF(AND($A259&gt;=SYear_O,$A259&lt;=EYear_O,AG$3&gt;0),IF($A259=SYear_O,AG$168*(1+Data_All!AG98%),AG258*(1+Data_All!AG98%)),"")</f>
        <v/>
      </c>
      <c r="AH259" s="427" t="str">
        <f>IF(AND($A259&gt;=SYear_O,$A259&lt;=EYear_O,AH$3&gt;0),IF($A259=SYear_O,AH$168*(1+Data_All!AH98%),AH258*(1+Data_All!AH98%)),"")</f>
        <v/>
      </c>
      <c r="AI259" s="427" t="str">
        <f>IF(AND($A259&gt;=SYear_O,$A259&lt;=EYear_O,AI$3&gt;0),IF($A259=SYear_O,AI$168*(1+Data_All!AI98%),AI258*(1+Data_All!AI98%)),"")</f>
        <v/>
      </c>
      <c r="AJ259" s="427" t="str">
        <f>IF(AND($A259&gt;=SYear_O,$A259&lt;=EYear_O,AJ$3&gt;0),IF($A259=SYear_O,AJ$168*(1+Data_All!AJ98%),AJ258*(1+Data_All!AJ98%)),"")</f>
        <v/>
      </c>
      <c r="AK259" s="427" t="str">
        <f>IF(AND($A259&gt;=SYear_O,$A259&lt;=EYear_O,AK$3&gt;0),IF($A259=SYear_O,AK$168*(1+Data_All!AK98%),AK258*(1+Data_All!AK98%)),"")</f>
        <v/>
      </c>
      <c r="AL259" s="427" t="str">
        <f>IF(AND($A259&gt;=SYear_O,$A259&lt;=EYear_O,AL$3&gt;0),IF($A259=SYear_O,AL$168*(1+Data_All!AL98%),AL258*(1+Data_All!AL98%)),"")</f>
        <v/>
      </c>
      <c r="AM259" s="427" t="str">
        <f>IF(AND($A259&gt;=SYear_O,$A259&lt;=EYear_O,AM$3&gt;0),IF($A259=SYear_O,AM$168*(1+Data_All!AM98%),AM258*(1+Data_All!AM98%)),"")</f>
        <v/>
      </c>
      <c r="AN259" s="427" t="str">
        <f>IF(AND($A259&gt;=SYear_O,$A259&lt;=EYear_O,AN$3&gt;0),IF($A259=SYear_O,AN$168*(1+Data_All!AN98%),AN258*(1+Data_All!AN98%)),"")</f>
        <v/>
      </c>
      <c r="AO259" s="427" t="str">
        <f>IF(AND($A259&gt;=SYear_O,$A259&lt;=EYear_O,AO$3&gt;0),IF($A259=SYear_O,AO$168*(1+Data_All!AO98%),AO258*(1+Data_All!AO98%)),"")</f>
        <v/>
      </c>
      <c r="AP259" s="427" t="str">
        <f>IF(AND($A259&gt;=SYear_O,$A259&lt;=EYear_O,AP$3&gt;0),IF($A259=SYear_O,AP$168*(1+Data_All!AP98%),AP258*(1+Data_All!AP98%)),"")</f>
        <v/>
      </c>
      <c r="AQ259" s="427" t="str">
        <f>IF(AND($A259&gt;=SYear_O,$A259&lt;=EYear_O,AQ$3&gt;0),IF($A259=SYear_O,AQ$168*(1+Data_All!AQ98%),AQ258*(1+Data_All!AQ98%)),"")</f>
        <v/>
      </c>
      <c r="AR259" s="427" t="str">
        <f>IF(AND($A259&gt;=SYear_O,$A259&lt;=EYear_O,AR$3&gt;0),IF($A259=SYear_O,AR$168*(1+Data_All!AR98%),AR258*(1+Data_All!AR98%)),"")</f>
        <v/>
      </c>
      <c r="AS259" s="427" t="str">
        <f>IF(AND($A259&gt;=SYear_O,$A259&lt;=EYear_O,AS$3&gt;0),IF($A259=SYear_O,AS$168*(1+Data_All!AS98%),AS258*(1+Data_All!AS98%)),"")</f>
        <v/>
      </c>
      <c r="AT259" s="427" t="str">
        <f>IF(AND($A259&gt;=SYear_O,$A259&lt;=EYear_O,AT$3&gt;0),IF($A259=SYear_O,AT$168*(1+Data_All!AT98%),AT258*(1+Data_All!AT98%)),"")</f>
        <v/>
      </c>
      <c r="AU259" s="427" t="str">
        <f>IF(AND($A259&gt;=SYear_O,$A259&lt;=EYear_O,AU$3&gt;0),IF($A259=SYear_O,AU$168*(1+Data_All!AU98%),AU258*(1+Data_All!AU98%)),"")</f>
        <v/>
      </c>
      <c r="AV259" s="427" t="str">
        <f>IF(AND($A259&gt;=SYear_O,$A259&lt;=EYear_O,AV$3&gt;0),IF($A259=SYear_O,AV$168*(1+Data_All!AV98%),AV258*(1+Data_All!AV98%)),"")</f>
        <v/>
      </c>
      <c r="AW259" s="427" t="str">
        <f>IF(AND($A259&gt;=SYear_O,$A259&lt;=EYear_O,AW$3&gt;0),IF($A259=SYear_O,AW$168*(1+Data_All!AW98%),AW258*(1+Data_All!AW98%)),"")</f>
        <v/>
      </c>
      <c r="AX259" s="427" t="str">
        <f>IF(AND($A259&gt;=SYear_O,$A259&lt;=EYear_O,AX$3&gt;0),IF($A259=SYear_O,AX$168*(1+Data_All!AX98%),AX258*(1+Data_All!AX98%)),"")</f>
        <v/>
      </c>
      <c r="AY259" s="427" t="str">
        <f>IF(AND($A259&gt;=SYear_O,$A259&lt;=EYear_O,AY$3&gt;0),IF($A259=SYear_O,AY$168*(1+Data_All!AY98%),AY258*(1+Data_All!AY98%)),"")</f>
        <v/>
      </c>
      <c r="AZ259" s="427" t="str">
        <f>IF(AND($A259&gt;=SYear_O,$A259&lt;=EYear_O,AZ$3&gt;0),IF($A259=SYear_O,AZ$168*(1+Data_All!AZ98%),AZ258*(1+Data_All!AZ98%)),"")</f>
        <v/>
      </c>
      <c r="BA259" s="427" t="str">
        <f>IF(AND($A259&gt;=SYear_O,$A259&lt;=EYear_O,BA$3&gt;0),IF($A259=SYear_O,BA$168*(1+Data_All!BA98%),BA258*(1+Data_All!BA98%)),"")</f>
        <v/>
      </c>
      <c r="BB259" s="427" t="str">
        <f>IF(AND($A259&gt;=SYear_O,$A259&lt;=EYear_O,BB$3&gt;0),IF($A259=SYear_O,BB$168*(1+Data_All!BB98%),BB258*(1+Data_All!BB98%)),"")</f>
        <v/>
      </c>
      <c r="BC259" s="427" t="str">
        <f>IF(AND($A259&gt;=SYear_O,$A259&lt;=EYear_O,BC$3&gt;0),IF($A259=SYear_O,BC$168*(1+Data_All!BC98%),BC258*(1+Data_All!BC98%)),"")</f>
        <v/>
      </c>
      <c r="BD259" s="427" t="str">
        <f>IF(AND($A259&gt;=SYear_O,$A259&lt;=EYear_O,BD$3&gt;0),IF($A259=SYear_O,BD$168*(1+Data_All!BD98%),BD258*(1+Data_All!BD98%)),"")</f>
        <v/>
      </c>
      <c r="BE259" s="427" t="str">
        <f>IF(AND($A259&gt;=SYear_O,$A259&lt;=EYear_O,BE$3&gt;0),IF($A259=SYear_O,BE$168*(1+Data_All!BE98%),BE258*(1+Data_All!BE98%)),"")</f>
        <v/>
      </c>
      <c r="BF259" s="427" t="str">
        <f>IF(AND($A259&gt;=SYear_O,$A259&lt;=EYear_O,BF$3&gt;0),IF($A259=SYear_O,BF$168*(1+Data_All!BF98%),BF258*(1+Data_All!BF98%)),"")</f>
        <v/>
      </c>
      <c r="BG259" s="427" t="str">
        <f>IF(AND($A259&gt;=SYear_O,$A259&lt;=EYear_O,BG$3&gt;0),IF($A259=SYear_O,BG$168*(1+Data_All!BG98%),BG258*(1+Data_All!BG98%)),"")</f>
        <v/>
      </c>
      <c r="BH259" s="427" t="str">
        <f>IF(AND($A259&gt;=SYear_O,$A259&lt;=EYear_O,BH$3&gt;0),IF($A259=SYear_O,BH$168*(1+Data_All!BH98%),BH258*(1+Data_All!BH98%)),"")</f>
        <v/>
      </c>
      <c r="BI259" s="427" t="str">
        <f>IF(AND($A259&gt;=SYear_O,$A259&lt;=EYear_O,BI$3&gt;0),IF($A259=SYear_O,BI$168*(1+Data_All!BI98%),BI258*(1+Data_All!BI98%)),"")</f>
        <v/>
      </c>
      <c r="BJ259" s="427" t="str">
        <f>IF(AND($A259&gt;=SYear_O,$A259&lt;=EYear_O,BJ$3&gt;0),IF($A259=SYear_O,BJ$168*(1+Data_All!BJ98%),BJ258*(1+Data_All!BJ98%)),"")</f>
        <v/>
      </c>
      <c r="BK259" s="427" t="str">
        <f>IF(AND($A259&gt;=SYear_O,$A259&lt;=EYear_O,BK$3&gt;0),IF($A259=SYear_O,BK$168*(1+Data_All!BK98%),BK258*(1+Data_All!BK98%)),"")</f>
        <v/>
      </c>
      <c r="BL259" s="427" t="str">
        <f>IF(AND($A259&gt;=SYear_O,$A259&lt;=EYear_O,BL$3&gt;0),IF($A259=SYear_O,BL$168*(1+Data_All!BL98%),BL258*(1+Data_All!BL98%)),"")</f>
        <v/>
      </c>
      <c r="BM259" s="427" t="str">
        <f>IF(AND($A259&gt;=SYear_O,$A259&lt;=EYear_O,BM$3&gt;0),IF($A259=SYear_O,BM$168*(1+Data_All!BM98%),BM258*(1+Data_All!BM98%)),"")</f>
        <v/>
      </c>
      <c r="BN259" s="427" t="str">
        <f>IF(AND($A259&gt;=SYear_O,$A259&lt;=EYear_O,BN$3&gt;0),IF($A259=SYear_O,BN$168*(1+Data_All!BN98%),BN258*(1+Data_All!BN98%)),"")</f>
        <v/>
      </c>
      <c r="BO259" s="427" t="str">
        <f>IF(AND($A259&gt;=SYear_O,$A259&lt;=EYear_O,BO$3&gt;0),IF($A259=SYear_O,BO$168*(1+Data_All!BO98%),BO258*(1+Data_All!BO98%)),"")</f>
        <v/>
      </c>
      <c r="BP259" s="427" t="str">
        <f>IF(AND($A259&gt;=SYear_O,$A259&lt;=EYear_O,BP$3&gt;0),IF($A259=SYear_O,BP$168*(1+Data_All!BP98%),BP258*(1+Data_All!BP98%)),"")</f>
        <v/>
      </c>
      <c r="BQ259" s="427" t="str">
        <f>IF(AND($A259&gt;=SYear_O,$A259&lt;=EYear_O,BQ$3&gt;0),IF($A259=SYear_O,BQ$168*(1+Data_All!BQ98%),BQ258*(1+Data_All!BQ98%)),"")</f>
        <v/>
      </c>
      <c r="BR259" s="427" t="str">
        <f>IF(AND($A259&gt;=SYear_O,$A259&lt;=EYear_O,BR$3&gt;0),IF($A259=SYear_O,BR$168*(1+Data_All!BR98%),BR258*(1+Data_All!BR98%)),"")</f>
        <v/>
      </c>
      <c r="BS259" s="427" t="str">
        <f>IF(AND($A259&gt;=SYear_O,$A259&lt;=EYear_O,BS$3&gt;0),IF($A259=SYear_O,BS$168*(1+Data_All!BS98%),BS258*(1+Data_All!BS98%)),"")</f>
        <v/>
      </c>
      <c r="BT259" s="427" t="str">
        <f>IF(AND($A259&gt;=SYear_O,$A259&lt;=EYear_O,BT$3&gt;0),IF($A259=SYear_O,BT$168*(1+Data_All!BT98%),BT258*(1+Data_All!BT98%)),"")</f>
        <v/>
      </c>
      <c r="BU259" s="427" t="str">
        <f>IF(AND($A259&gt;=SYear_O,$A259&lt;=EYear_O,BU$3&gt;0),IF($A259=SYear_O,BU$168*(1+Data_All!BU98%),BU258*(1+Data_All!BU98%)),"")</f>
        <v/>
      </c>
      <c r="BV259" s="427" t="str">
        <f>IF(AND($A259&gt;=SYear_O,$A259&lt;=EYear_O,BV$3&gt;0),IF($A259=SYear_O,BV$168*(1+Data_All!BV98%),BV258*(1+Data_All!BV98%)),"")</f>
        <v/>
      </c>
      <c r="BW259" s="427" t="str">
        <f>IF(AND($A259&gt;=SYear_O,$A259&lt;=EYear_O,BW$3&gt;0),IF($A259=SYear_O,BW$168*(1+Data_All!BW98%),BW258*(1+Data_All!BW98%)),"")</f>
        <v/>
      </c>
      <c r="BX259" s="427">
        <f>IF(AND($A259&gt;=SYear_O,$A259&lt;=EYear_O,BX$3&gt;0),IF($A259=SYear_O,BX$168*(1+Data_All!BX98%),BX258*(1+Data_All!BX98%)),"")</f>
        <v>9079492.0857056286</v>
      </c>
      <c r="BY259" s="427">
        <f>IF(AND($A259&gt;=SYear_O,$A259&lt;=EYear_O,BY$3&gt;0),IF($A259=SYear_O,BY$168*(1+Data_All!BY98%),BY258*(1+Data_All!BY98%)),"")</f>
        <v>100378.98921177674</v>
      </c>
      <c r="BZ259" s="427" t="str">
        <f>IF(AND($A259&gt;=SYear_O,$A259&lt;=EYear_O,BZ$3&gt;0),IF($A259=SYear_O,BZ$168*(1+Data_All!BZ98%),BZ258*(1+Data_All!BZ98%)),"")</f>
        <v/>
      </c>
      <c r="CA259" s="565">
        <f t="shared" si="123"/>
        <v>18.831542397446423</v>
      </c>
      <c r="CB259" s="427">
        <f t="shared" si="124"/>
        <v>9179871.0749174058</v>
      </c>
      <c r="CC259" s="565">
        <f>IF(AND($A259&gt;=SYear_O,$A259&lt;=EYear_O),(CA259-Data_All!CA98)/(1+Data_All!CA98%),"")</f>
        <v>18.039332114796792</v>
      </c>
      <c r="CD259" s="436">
        <f t="shared" si="125"/>
        <v>3813949.101663541</v>
      </c>
      <c r="CE259" s="438">
        <f t="shared" si="126"/>
        <v>832.60731847120178</v>
      </c>
      <c r="CF259" s="438">
        <f>IF(AND($A259&gt;=SYear_O,$A259&lt;=EYear_O),MAX($CE$169:CE259),"")</f>
        <v>832.60731847120178</v>
      </c>
      <c r="CG259" s="209">
        <f t="shared" si="127"/>
        <v>0</v>
      </c>
      <c r="CN259" s="61">
        <f t="shared" si="128"/>
        <v>0.18831542397446421</v>
      </c>
      <c r="CO259" s="61">
        <f t="shared" si="129"/>
        <v>0.11803068552621698</v>
      </c>
      <c r="CP259" s="61">
        <f t="shared" si="130"/>
        <v>0.12515513177286475</v>
      </c>
      <c r="CQ259" s="61">
        <f t="shared" si="131"/>
        <v>7.8175561379267178E-2</v>
      </c>
      <c r="CR259" s="61">
        <f t="shared" si="132"/>
        <v>6.6405152316643568E-2</v>
      </c>
      <c r="CU259" s="61">
        <f t="shared" si="133"/>
        <v>0.1803933211479678</v>
      </c>
      <c r="CV259" s="61">
        <f t="shared" si="134"/>
        <v>0.10460325402082304</v>
      </c>
      <c r="CW259" s="61">
        <f t="shared" si="135"/>
        <v>0.11063213232030478</v>
      </c>
      <c r="CX259" s="61">
        <f t="shared" si="136"/>
        <v>4.7424680080588866E-2</v>
      </c>
      <c r="CY259" s="61">
        <f t="shared" si="137"/>
        <v>2.3097727687117819E-2</v>
      </c>
    </row>
    <row r="260" spans="1:103">
      <c r="A260" s="204">
        <f t="shared" si="107"/>
        <v>1962</v>
      </c>
      <c r="B260" s="427" t="str">
        <f>IF(AND($A260&gt;=SYear_O,$A260&lt;=EYear_O,B$3&gt;0),IF($A260=SYear_O,B$168*(1+Data_All!B99%),B259*(1+Data_All!B99%)),"")</f>
        <v/>
      </c>
      <c r="C260" s="427" t="str">
        <f>IF(AND($A260&gt;=SYear_O,$A260&lt;=EYear_O,C$3&gt;0),IF($A260=SYear_O,C$168*(1+Data_All!C99%),C259*(1+Data_All!C99%)),"")</f>
        <v/>
      </c>
      <c r="D260" s="427" t="str">
        <f>IF(AND($A260&gt;=SYear_O,$A260&lt;=EYear_O,D$3&gt;0),IF($A260=SYear_O,D$168*(1+Data_All!D99%),D259*(1+Data_All!D99%)),"")</f>
        <v/>
      </c>
      <c r="E260" s="427" t="str">
        <f>IF(AND($A260&gt;=SYear_O,$A260&lt;=EYear_O,E$3&gt;0),IF($A260=SYear_O,E$168*(1+Data_All!E99%),E259*(1+Data_All!E99%)),"")</f>
        <v/>
      </c>
      <c r="F260" s="427" t="str">
        <f>IF(AND($A260&gt;=SYear_O,$A260&lt;=EYear_O,F$3&gt;0),IF($A260=SYear_O,F$168*(1+Data_All!F99%),F259*(1+Data_All!F99%)),"")</f>
        <v/>
      </c>
      <c r="G260" s="427" t="str">
        <f>IF(AND($A260&gt;=SYear_O,$A260&lt;=EYear_O,G$3&gt;0),IF($A260=SYear_O,G$168*(1+Data_All!G99%),G259*(1+Data_All!G99%)),"")</f>
        <v/>
      </c>
      <c r="H260" s="427" t="str">
        <f>IF(AND($A260&gt;=SYear_O,$A260&lt;=EYear_O,H$3&gt;0),IF($A260=SYear_O,H$168*(1+Data_All!H99%),H259*(1+Data_All!H99%)),"")</f>
        <v/>
      </c>
      <c r="I260" s="427" t="str">
        <f>IF(AND($A260&gt;=SYear_O,$A260&lt;=EYear_O,I$3&gt;0),IF($A260=SYear_O,I$168*(1+Data_All!I99%),I259*(1+Data_All!I99%)),"")</f>
        <v/>
      </c>
      <c r="J260" s="427" t="str">
        <f>IF(AND($A260&gt;=SYear_O,$A260&lt;=EYear_O,J$3&gt;0),IF($A260=SYear_O,J$168*(1+Data_All!J99%),J259*(1+Data_All!J99%)),"")</f>
        <v/>
      </c>
      <c r="K260" s="427" t="str">
        <f>IF(AND($A260&gt;=SYear_O,$A260&lt;=EYear_O,K$3&gt;0),IF($A260=SYear_O,K$168*(1+Data_All!K99%),K259*(1+Data_All!K99%)),"")</f>
        <v/>
      </c>
      <c r="L260" s="427" t="str">
        <f>IF(AND($A260&gt;=SYear_O,$A260&lt;=EYear_O,L$3&gt;0),IF($A260=SYear_O,L$168*(1+Data_All!L99%),L259*(1+Data_All!L99%)),"")</f>
        <v/>
      </c>
      <c r="M260" s="427" t="str">
        <f>IF(AND($A260&gt;=SYear_O,$A260&lt;=EYear_O,M$3&gt;0),IF($A260=SYear_O,M$168*(1+Data_All!M99%),M259*(1+Data_All!M99%)),"")</f>
        <v/>
      </c>
      <c r="N260" s="427" t="str">
        <f>IF(AND($A260&gt;=SYear_O,$A260&lt;=EYear_O,N$3&gt;0),IF($A260=SYear_O,N$168*(1+Data_All!N99%),N259*(1+Data_All!N99%)),"")</f>
        <v/>
      </c>
      <c r="O260" s="427" t="str">
        <f>IF(AND($A260&gt;=SYear_O,$A260&lt;=EYear_O,O$3&gt;0),IF($A260=SYear_O,O$168*(1+Data_All!O99%),O259*(1+Data_All!O99%)),"")</f>
        <v/>
      </c>
      <c r="P260" s="427" t="str">
        <f>IF(AND($A260&gt;=SYear_O,$A260&lt;=EYear_O,P$3&gt;0),IF($A260=SYear_O,P$168*(1+Data_All!P99%),P259*(1+Data_All!P99%)),"")</f>
        <v/>
      </c>
      <c r="Q260" s="427" t="str">
        <f>IF(AND($A260&gt;=SYear_O,$A260&lt;=EYear_O,Q$3&gt;0),IF($A260=SYear_O,Q$168*(1+Data_All!Q99%),Q259*(1+Data_All!Q99%)),"")</f>
        <v/>
      </c>
      <c r="R260" s="427" t="str">
        <f>IF(AND($A260&gt;=SYear_O,$A260&lt;=EYear_O,R$3&gt;0),IF($A260=SYear_O,R$168*(1+Data_All!R99%),R259*(1+Data_All!R99%)),"")</f>
        <v/>
      </c>
      <c r="S260" s="427" t="str">
        <f>IF(AND($A260&gt;=SYear_O,$A260&lt;=EYear_O,S$3&gt;0),IF($A260=SYear_O,S$168*(1+Data_All!S99%),S259*(1+Data_All!S99%)),"")</f>
        <v/>
      </c>
      <c r="T260" s="427" t="str">
        <f>IF(AND($A260&gt;=SYear_O,$A260&lt;=EYear_O,T$3&gt;0),IF($A260=SYear_O,T$168*(1+Data_All!T99%),T259*(1+Data_All!T99%)),"")</f>
        <v/>
      </c>
      <c r="U260" s="427" t="str">
        <f>IF(AND($A260&gt;=SYear_O,$A260&lt;=EYear_O,U$3&gt;0),IF($A260=SYear_O,U$168*(1+Data_All!U99%),U259*(1+Data_All!U99%)),"")</f>
        <v/>
      </c>
      <c r="V260" s="427" t="str">
        <f>IF(AND($A260&gt;=SYear_O,$A260&lt;=EYear_O,V$3&gt;0),IF($A260=SYear_O,V$168*(1+Data_All!V99%),V259*(1+Data_All!V99%)),"")</f>
        <v/>
      </c>
      <c r="W260" s="427" t="str">
        <f>IF(AND($A260&gt;=SYear_O,$A260&lt;=EYear_O,W$3&gt;0),IF($A260=SYear_O,W$168*(1+Data_All!W99%),W259*(1+Data_All!W99%)),"")</f>
        <v/>
      </c>
      <c r="X260" s="427" t="str">
        <f>IF(AND($A260&gt;=SYear_O,$A260&lt;=EYear_O,X$3&gt;0),IF($A260=SYear_O,X$168*(1+Data_All!X99%),X259*(1+Data_All!X99%)),"")</f>
        <v/>
      </c>
      <c r="Y260" s="427" t="str">
        <f>IF(AND($A260&gt;=SYear_O,$A260&lt;=EYear_O,Y$3&gt;0),IF($A260=SYear_O,Y$168*(1+Data_All!Y99%),Y259*(1+Data_All!Y99%)),"")</f>
        <v/>
      </c>
      <c r="Z260" s="427" t="str">
        <f>IF(AND($A260&gt;=SYear_O,$A260&lt;=EYear_O,Z$3&gt;0),IF($A260=SYear_O,Z$168*(1+Data_All!Z99%),Z259*(1+Data_All!Z99%)),"")</f>
        <v/>
      </c>
      <c r="AA260" s="427" t="str">
        <f>IF(AND($A260&gt;=SYear_O,$A260&lt;=EYear_O,AA$3&gt;0),IF($A260=SYear_O,AA$168*(1+Data_All!AA99%),AA259*(1+Data_All!AA99%)),"")</f>
        <v/>
      </c>
      <c r="AB260" s="427" t="str">
        <f>IF(AND($A260&gt;=SYear_O,$A260&lt;=EYear_O,AB$3&gt;0),IF($A260=SYear_O,AB$168*(1+Data_All!AB99%),AB259*(1+Data_All!AB99%)),"")</f>
        <v/>
      </c>
      <c r="AC260" s="427" t="str">
        <f>IF(AND($A260&gt;=SYear_O,$A260&lt;=EYear_O,AC$3&gt;0),IF($A260=SYear_O,AC$168*(1+Data_All!AC99%),AC259*(1+Data_All!AC99%)),"")</f>
        <v/>
      </c>
      <c r="AD260" s="427" t="str">
        <f>IF(AND($A260&gt;=SYear_O,$A260&lt;=EYear_O,AD$3&gt;0),IF($A260=SYear_O,AD$168*(1+Data_All!AD99%),AD259*(1+Data_All!AD99%)),"")</f>
        <v/>
      </c>
      <c r="AE260" s="427" t="str">
        <f>IF(AND($A260&gt;=SYear_O,$A260&lt;=EYear_O,AE$3&gt;0),IF($A260=SYear_O,AE$168*(1+Data_All!AE99%),AE259*(1+Data_All!AE99%)),"")</f>
        <v/>
      </c>
      <c r="AF260" s="427" t="str">
        <f>IF(AND($A260&gt;=SYear_O,$A260&lt;=EYear_O,AF$3&gt;0),IF($A260=SYear_O,AF$168*(1+Data_All!AF99%),AF259*(1+Data_All!AF99%)),"")</f>
        <v/>
      </c>
      <c r="AG260" s="427" t="str">
        <f>IF(AND($A260&gt;=SYear_O,$A260&lt;=EYear_O,AG$3&gt;0),IF($A260=SYear_O,AG$168*(1+Data_All!AG99%),AG259*(1+Data_All!AG99%)),"")</f>
        <v/>
      </c>
      <c r="AH260" s="427" t="str">
        <f>IF(AND($A260&gt;=SYear_O,$A260&lt;=EYear_O,AH$3&gt;0),IF($A260=SYear_O,AH$168*(1+Data_All!AH99%),AH259*(1+Data_All!AH99%)),"")</f>
        <v/>
      </c>
      <c r="AI260" s="427" t="str">
        <f>IF(AND($A260&gt;=SYear_O,$A260&lt;=EYear_O,AI$3&gt;0),IF($A260=SYear_O,AI$168*(1+Data_All!AI99%),AI259*(1+Data_All!AI99%)),"")</f>
        <v/>
      </c>
      <c r="AJ260" s="427" t="str">
        <f>IF(AND($A260&gt;=SYear_O,$A260&lt;=EYear_O,AJ$3&gt;0),IF($A260=SYear_O,AJ$168*(1+Data_All!AJ99%),AJ259*(1+Data_All!AJ99%)),"")</f>
        <v/>
      </c>
      <c r="AK260" s="427" t="str">
        <f>IF(AND($A260&gt;=SYear_O,$A260&lt;=EYear_O,AK$3&gt;0),IF($A260=SYear_O,AK$168*(1+Data_All!AK99%),AK259*(1+Data_All!AK99%)),"")</f>
        <v/>
      </c>
      <c r="AL260" s="427" t="str">
        <f>IF(AND($A260&gt;=SYear_O,$A260&lt;=EYear_O,AL$3&gt;0),IF($A260=SYear_O,AL$168*(1+Data_All!AL99%),AL259*(1+Data_All!AL99%)),"")</f>
        <v/>
      </c>
      <c r="AM260" s="427" t="str">
        <f>IF(AND($A260&gt;=SYear_O,$A260&lt;=EYear_O,AM$3&gt;0),IF($A260=SYear_O,AM$168*(1+Data_All!AM99%),AM259*(1+Data_All!AM99%)),"")</f>
        <v/>
      </c>
      <c r="AN260" s="427" t="str">
        <f>IF(AND($A260&gt;=SYear_O,$A260&lt;=EYear_O,AN$3&gt;0),IF($A260=SYear_O,AN$168*(1+Data_All!AN99%),AN259*(1+Data_All!AN99%)),"")</f>
        <v/>
      </c>
      <c r="AO260" s="427" t="str">
        <f>IF(AND($A260&gt;=SYear_O,$A260&lt;=EYear_O,AO$3&gt;0),IF($A260=SYear_O,AO$168*(1+Data_All!AO99%),AO259*(1+Data_All!AO99%)),"")</f>
        <v/>
      </c>
      <c r="AP260" s="427" t="str">
        <f>IF(AND($A260&gt;=SYear_O,$A260&lt;=EYear_O,AP$3&gt;0),IF($A260=SYear_O,AP$168*(1+Data_All!AP99%),AP259*(1+Data_All!AP99%)),"")</f>
        <v/>
      </c>
      <c r="AQ260" s="427" t="str">
        <f>IF(AND($A260&gt;=SYear_O,$A260&lt;=EYear_O,AQ$3&gt;0),IF($A260=SYear_O,AQ$168*(1+Data_All!AQ99%),AQ259*(1+Data_All!AQ99%)),"")</f>
        <v/>
      </c>
      <c r="AR260" s="427" t="str">
        <f>IF(AND($A260&gt;=SYear_O,$A260&lt;=EYear_O,AR$3&gt;0),IF($A260=SYear_O,AR$168*(1+Data_All!AR99%),AR259*(1+Data_All!AR99%)),"")</f>
        <v/>
      </c>
      <c r="AS260" s="427" t="str">
        <f>IF(AND($A260&gt;=SYear_O,$A260&lt;=EYear_O,AS$3&gt;0),IF($A260=SYear_O,AS$168*(1+Data_All!AS99%),AS259*(1+Data_All!AS99%)),"")</f>
        <v/>
      </c>
      <c r="AT260" s="427" t="str">
        <f>IF(AND($A260&gt;=SYear_O,$A260&lt;=EYear_O,AT$3&gt;0),IF($A260=SYear_O,AT$168*(1+Data_All!AT99%),AT259*(1+Data_All!AT99%)),"")</f>
        <v/>
      </c>
      <c r="AU260" s="427" t="str">
        <f>IF(AND($A260&gt;=SYear_O,$A260&lt;=EYear_O,AU$3&gt;0),IF($A260=SYear_O,AU$168*(1+Data_All!AU99%),AU259*(1+Data_All!AU99%)),"")</f>
        <v/>
      </c>
      <c r="AV260" s="427" t="str">
        <f>IF(AND($A260&gt;=SYear_O,$A260&lt;=EYear_O,AV$3&gt;0),IF($A260=SYear_O,AV$168*(1+Data_All!AV99%),AV259*(1+Data_All!AV99%)),"")</f>
        <v/>
      </c>
      <c r="AW260" s="427" t="str">
        <f>IF(AND($A260&gt;=SYear_O,$A260&lt;=EYear_O,AW$3&gt;0),IF($A260=SYear_O,AW$168*(1+Data_All!AW99%),AW259*(1+Data_All!AW99%)),"")</f>
        <v/>
      </c>
      <c r="AX260" s="427" t="str">
        <f>IF(AND($A260&gt;=SYear_O,$A260&lt;=EYear_O,AX$3&gt;0),IF($A260=SYear_O,AX$168*(1+Data_All!AX99%),AX259*(1+Data_All!AX99%)),"")</f>
        <v/>
      </c>
      <c r="AY260" s="427" t="str">
        <f>IF(AND($A260&gt;=SYear_O,$A260&lt;=EYear_O,AY$3&gt;0),IF($A260=SYear_O,AY$168*(1+Data_All!AY99%),AY259*(1+Data_All!AY99%)),"")</f>
        <v/>
      </c>
      <c r="AZ260" s="427" t="str">
        <f>IF(AND($A260&gt;=SYear_O,$A260&lt;=EYear_O,AZ$3&gt;0),IF($A260=SYear_O,AZ$168*(1+Data_All!AZ99%),AZ259*(1+Data_All!AZ99%)),"")</f>
        <v/>
      </c>
      <c r="BA260" s="427" t="str">
        <f>IF(AND($A260&gt;=SYear_O,$A260&lt;=EYear_O,BA$3&gt;0),IF($A260=SYear_O,BA$168*(1+Data_All!BA99%),BA259*(1+Data_All!BA99%)),"")</f>
        <v/>
      </c>
      <c r="BB260" s="427" t="str">
        <f>IF(AND($A260&gt;=SYear_O,$A260&lt;=EYear_O,BB$3&gt;0),IF($A260=SYear_O,BB$168*(1+Data_All!BB99%),BB259*(1+Data_All!BB99%)),"")</f>
        <v/>
      </c>
      <c r="BC260" s="427" t="str">
        <f>IF(AND($A260&gt;=SYear_O,$A260&lt;=EYear_O,BC$3&gt;0),IF($A260=SYear_O,BC$168*(1+Data_All!BC99%),BC259*(1+Data_All!BC99%)),"")</f>
        <v/>
      </c>
      <c r="BD260" s="427" t="str">
        <f>IF(AND($A260&gt;=SYear_O,$A260&lt;=EYear_O,BD$3&gt;0),IF($A260=SYear_O,BD$168*(1+Data_All!BD99%),BD259*(1+Data_All!BD99%)),"")</f>
        <v/>
      </c>
      <c r="BE260" s="427" t="str">
        <f>IF(AND($A260&gt;=SYear_O,$A260&lt;=EYear_O,BE$3&gt;0),IF($A260=SYear_O,BE$168*(1+Data_All!BE99%),BE259*(1+Data_All!BE99%)),"")</f>
        <v/>
      </c>
      <c r="BF260" s="427" t="str">
        <f>IF(AND($A260&gt;=SYear_O,$A260&lt;=EYear_O,BF$3&gt;0),IF($A260=SYear_O,BF$168*(1+Data_All!BF99%),BF259*(1+Data_All!BF99%)),"")</f>
        <v/>
      </c>
      <c r="BG260" s="427" t="str">
        <f>IF(AND($A260&gt;=SYear_O,$A260&lt;=EYear_O,BG$3&gt;0),IF($A260=SYear_O,BG$168*(1+Data_All!BG99%),BG259*(1+Data_All!BG99%)),"")</f>
        <v/>
      </c>
      <c r="BH260" s="427" t="str">
        <f>IF(AND($A260&gt;=SYear_O,$A260&lt;=EYear_O,BH$3&gt;0),IF($A260=SYear_O,BH$168*(1+Data_All!BH99%),BH259*(1+Data_All!BH99%)),"")</f>
        <v/>
      </c>
      <c r="BI260" s="427" t="str">
        <f>IF(AND($A260&gt;=SYear_O,$A260&lt;=EYear_O,BI$3&gt;0),IF($A260=SYear_O,BI$168*(1+Data_All!BI99%),BI259*(1+Data_All!BI99%)),"")</f>
        <v/>
      </c>
      <c r="BJ260" s="427" t="str">
        <f>IF(AND($A260&gt;=SYear_O,$A260&lt;=EYear_O,BJ$3&gt;0),IF($A260=SYear_O,BJ$168*(1+Data_All!BJ99%),BJ259*(1+Data_All!BJ99%)),"")</f>
        <v/>
      </c>
      <c r="BK260" s="427" t="str">
        <f>IF(AND($A260&gt;=SYear_O,$A260&lt;=EYear_O,BK$3&gt;0),IF($A260=SYear_O,BK$168*(1+Data_All!BK99%),BK259*(1+Data_All!BK99%)),"")</f>
        <v/>
      </c>
      <c r="BL260" s="427" t="str">
        <f>IF(AND($A260&gt;=SYear_O,$A260&lt;=EYear_O,BL$3&gt;0),IF($A260=SYear_O,BL$168*(1+Data_All!BL99%),BL259*(1+Data_All!BL99%)),"")</f>
        <v/>
      </c>
      <c r="BM260" s="427" t="str">
        <f>IF(AND($A260&gt;=SYear_O,$A260&lt;=EYear_O,BM$3&gt;0),IF($A260=SYear_O,BM$168*(1+Data_All!BM99%),BM259*(1+Data_All!BM99%)),"")</f>
        <v/>
      </c>
      <c r="BN260" s="427" t="str">
        <f>IF(AND($A260&gt;=SYear_O,$A260&lt;=EYear_O,BN$3&gt;0),IF($A260=SYear_O,BN$168*(1+Data_All!BN99%),BN259*(1+Data_All!BN99%)),"")</f>
        <v/>
      </c>
      <c r="BO260" s="427" t="str">
        <f>IF(AND($A260&gt;=SYear_O,$A260&lt;=EYear_O,BO$3&gt;0),IF($A260=SYear_O,BO$168*(1+Data_All!BO99%),BO259*(1+Data_All!BO99%)),"")</f>
        <v/>
      </c>
      <c r="BP260" s="427" t="str">
        <f>IF(AND($A260&gt;=SYear_O,$A260&lt;=EYear_O,BP$3&gt;0),IF($A260=SYear_O,BP$168*(1+Data_All!BP99%),BP259*(1+Data_All!BP99%)),"")</f>
        <v/>
      </c>
      <c r="BQ260" s="427" t="str">
        <f>IF(AND($A260&gt;=SYear_O,$A260&lt;=EYear_O,BQ$3&gt;0),IF($A260=SYear_O,BQ$168*(1+Data_All!BQ99%),BQ259*(1+Data_All!BQ99%)),"")</f>
        <v/>
      </c>
      <c r="BR260" s="427" t="str">
        <f>IF(AND($A260&gt;=SYear_O,$A260&lt;=EYear_O,BR$3&gt;0),IF($A260=SYear_O,BR$168*(1+Data_All!BR99%),BR259*(1+Data_All!BR99%)),"")</f>
        <v/>
      </c>
      <c r="BS260" s="427" t="str">
        <f>IF(AND($A260&gt;=SYear_O,$A260&lt;=EYear_O,BS$3&gt;0),IF($A260=SYear_O,BS$168*(1+Data_All!BS99%),BS259*(1+Data_All!BS99%)),"")</f>
        <v/>
      </c>
      <c r="BT260" s="427" t="str">
        <f>IF(AND($A260&gt;=SYear_O,$A260&lt;=EYear_O,BT$3&gt;0),IF($A260=SYear_O,BT$168*(1+Data_All!BT99%),BT259*(1+Data_All!BT99%)),"")</f>
        <v/>
      </c>
      <c r="BU260" s="427" t="str">
        <f>IF(AND($A260&gt;=SYear_O,$A260&lt;=EYear_O,BU$3&gt;0),IF($A260=SYear_O,BU$168*(1+Data_All!BU99%),BU259*(1+Data_All!BU99%)),"")</f>
        <v/>
      </c>
      <c r="BV260" s="427" t="str">
        <f>IF(AND($A260&gt;=SYear_O,$A260&lt;=EYear_O,BV$3&gt;0),IF($A260=SYear_O,BV$168*(1+Data_All!BV99%),BV259*(1+Data_All!BV99%)),"")</f>
        <v/>
      </c>
      <c r="BW260" s="427" t="str">
        <f>IF(AND($A260&gt;=SYear_O,$A260&lt;=EYear_O,BW$3&gt;0),IF($A260=SYear_O,BW$168*(1+Data_All!BW99%),BW259*(1+Data_All!BW99%)),"")</f>
        <v/>
      </c>
      <c r="BX260" s="427">
        <f>IF(AND($A260&gt;=SYear_O,$A260&lt;=EYear_O,BX$3&gt;0),IF($A260=SYear_O,BX$168*(1+Data_All!BX99%),BX259*(1+Data_All!BX99%)),"")</f>
        <v>8832359.5372601897</v>
      </c>
      <c r="BY260" s="427">
        <f>IF(AND($A260&gt;=SYear_O,$A260&lt;=EYear_O,BY$3&gt;0),IF($A260=SYear_O,BY$168*(1+Data_All!BY99%),BY259*(1+Data_All!BY99%)),"")</f>
        <v>106007.88997261897</v>
      </c>
      <c r="BZ260" s="427" t="str">
        <f>IF(AND($A260&gt;=SYear_O,$A260&lt;=EYear_O,BZ$3&gt;0),IF($A260=SYear_O,BZ$168*(1+Data_All!BZ99%),BZ259*(1+Data_All!BZ99%)),"")</f>
        <v/>
      </c>
      <c r="CA260" s="565">
        <f t="shared" si="123"/>
        <v>-2.6307956366017851</v>
      </c>
      <c r="CB260" s="427">
        <f t="shared" si="124"/>
        <v>8938367.4272328094</v>
      </c>
      <c r="CC260" s="565">
        <f>IF(AND($A260&gt;=SYear_O,$A260&lt;=EYear_O),(CA260-Data_All!CA99)/(1+Data_All!CA99%),"")</f>
        <v>-3.9119693782254328</v>
      </c>
      <c r="CD260" s="436">
        <f t="shared" si="125"/>
        <v>3664748.5807053591</v>
      </c>
      <c r="CE260" s="438">
        <f t="shared" si="126"/>
        <v>810.7031214668342</v>
      </c>
      <c r="CF260" s="438">
        <f>IF(AND($A260&gt;=SYear_O,$A260&lt;=EYear_O),MAX($CE$169:CE260),"")</f>
        <v>832.60731847120178</v>
      </c>
      <c r="CG260" s="209">
        <f t="shared" si="127"/>
        <v>2.6307956366017904E-2</v>
      </c>
      <c r="CN260" s="61">
        <f t="shared" si="128"/>
        <v>-2.6307956366017904E-2</v>
      </c>
      <c r="CO260" s="61">
        <f t="shared" si="129"/>
        <v>0.10844316820002242</v>
      </c>
      <c r="CP260" s="61">
        <f t="shared" si="130"/>
        <v>7.2855168603771725E-2</v>
      </c>
      <c r="CQ260" s="61">
        <f t="shared" si="131"/>
        <v>7.3449225711076593E-2</v>
      </c>
      <c r="CR260" s="61">
        <f t="shared" si="132"/>
        <v>6.1794120289878185E-2</v>
      </c>
      <c r="CU260" s="61">
        <f t="shared" si="133"/>
        <v>-3.9119693782254439E-2</v>
      </c>
      <c r="CV260" s="61">
        <f t="shared" si="134"/>
        <v>9.4046172814042928E-2</v>
      </c>
      <c r="CW260" s="61">
        <f t="shared" si="135"/>
        <v>5.3237149835738018E-2</v>
      </c>
      <c r="CX260" s="61">
        <f t="shared" si="136"/>
        <v>4.01822782464476E-2</v>
      </c>
      <c r="CY260" s="61">
        <f t="shared" si="137"/>
        <v>1.5906020585297664E-2</v>
      </c>
    </row>
    <row r="261" spans="1:103">
      <c r="A261" s="204">
        <f t="shared" si="107"/>
        <v>1963</v>
      </c>
      <c r="B261" s="427" t="str">
        <f>IF(AND($A261&gt;=SYear_O,$A261&lt;=EYear_O,B$3&gt;0),IF($A261=SYear_O,B$168*(1+Data_All!B100%),B260*(1+Data_All!B100%)),"")</f>
        <v/>
      </c>
      <c r="C261" s="427" t="str">
        <f>IF(AND($A261&gt;=SYear_O,$A261&lt;=EYear_O,C$3&gt;0),IF($A261=SYear_O,C$168*(1+Data_All!C100%),C260*(1+Data_All!C100%)),"")</f>
        <v/>
      </c>
      <c r="D261" s="427" t="str">
        <f>IF(AND($A261&gt;=SYear_O,$A261&lt;=EYear_O,D$3&gt;0),IF($A261=SYear_O,D$168*(1+Data_All!D100%),D260*(1+Data_All!D100%)),"")</f>
        <v/>
      </c>
      <c r="E261" s="427" t="str">
        <f>IF(AND($A261&gt;=SYear_O,$A261&lt;=EYear_O,E$3&gt;0),IF($A261=SYear_O,E$168*(1+Data_All!E100%),E260*(1+Data_All!E100%)),"")</f>
        <v/>
      </c>
      <c r="F261" s="427" t="str">
        <f>IF(AND($A261&gt;=SYear_O,$A261&lt;=EYear_O,F$3&gt;0),IF($A261=SYear_O,F$168*(1+Data_All!F100%),F260*(1+Data_All!F100%)),"")</f>
        <v/>
      </c>
      <c r="G261" s="427" t="str">
        <f>IF(AND($A261&gt;=SYear_O,$A261&lt;=EYear_O,G$3&gt;0),IF($A261=SYear_O,G$168*(1+Data_All!G100%),G260*(1+Data_All!G100%)),"")</f>
        <v/>
      </c>
      <c r="H261" s="427" t="str">
        <f>IF(AND($A261&gt;=SYear_O,$A261&lt;=EYear_O,H$3&gt;0),IF($A261=SYear_O,H$168*(1+Data_All!H100%),H260*(1+Data_All!H100%)),"")</f>
        <v/>
      </c>
      <c r="I261" s="427" t="str">
        <f>IF(AND($A261&gt;=SYear_O,$A261&lt;=EYear_O,I$3&gt;0),IF($A261=SYear_O,I$168*(1+Data_All!I100%),I260*(1+Data_All!I100%)),"")</f>
        <v/>
      </c>
      <c r="J261" s="427" t="str">
        <f>IF(AND($A261&gt;=SYear_O,$A261&lt;=EYear_O,J$3&gt;0),IF($A261=SYear_O,J$168*(1+Data_All!J100%),J260*(1+Data_All!J100%)),"")</f>
        <v/>
      </c>
      <c r="K261" s="427" t="str">
        <f>IF(AND($A261&gt;=SYear_O,$A261&lt;=EYear_O,K$3&gt;0),IF($A261=SYear_O,K$168*(1+Data_All!K100%),K260*(1+Data_All!K100%)),"")</f>
        <v/>
      </c>
      <c r="L261" s="427" t="str">
        <f>IF(AND($A261&gt;=SYear_O,$A261&lt;=EYear_O,L$3&gt;0),IF($A261=SYear_O,L$168*(1+Data_All!L100%),L260*(1+Data_All!L100%)),"")</f>
        <v/>
      </c>
      <c r="M261" s="427" t="str">
        <f>IF(AND($A261&gt;=SYear_O,$A261&lt;=EYear_O,M$3&gt;0),IF($A261=SYear_O,M$168*(1+Data_All!M100%),M260*(1+Data_All!M100%)),"")</f>
        <v/>
      </c>
      <c r="N261" s="427" t="str">
        <f>IF(AND($A261&gt;=SYear_O,$A261&lt;=EYear_O,N$3&gt;0),IF($A261=SYear_O,N$168*(1+Data_All!N100%),N260*(1+Data_All!N100%)),"")</f>
        <v/>
      </c>
      <c r="O261" s="427" t="str">
        <f>IF(AND($A261&gt;=SYear_O,$A261&lt;=EYear_O,O$3&gt;0),IF($A261=SYear_O,O$168*(1+Data_All!O100%),O260*(1+Data_All!O100%)),"")</f>
        <v/>
      </c>
      <c r="P261" s="427" t="str">
        <f>IF(AND($A261&gt;=SYear_O,$A261&lt;=EYear_O,P$3&gt;0),IF($A261=SYear_O,P$168*(1+Data_All!P100%),P260*(1+Data_All!P100%)),"")</f>
        <v/>
      </c>
      <c r="Q261" s="427" t="str">
        <f>IF(AND($A261&gt;=SYear_O,$A261&lt;=EYear_O,Q$3&gt;0),IF($A261=SYear_O,Q$168*(1+Data_All!Q100%),Q260*(1+Data_All!Q100%)),"")</f>
        <v/>
      </c>
      <c r="R261" s="427" t="str">
        <f>IF(AND($A261&gt;=SYear_O,$A261&lt;=EYear_O,R$3&gt;0),IF($A261=SYear_O,R$168*(1+Data_All!R100%),R260*(1+Data_All!R100%)),"")</f>
        <v/>
      </c>
      <c r="S261" s="427" t="str">
        <f>IF(AND($A261&gt;=SYear_O,$A261&lt;=EYear_O,S$3&gt;0),IF($A261=SYear_O,S$168*(1+Data_All!S100%),S260*(1+Data_All!S100%)),"")</f>
        <v/>
      </c>
      <c r="T261" s="427" t="str">
        <f>IF(AND($A261&gt;=SYear_O,$A261&lt;=EYear_O,T$3&gt;0),IF($A261=SYear_O,T$168*(1+Data_All!T100%),T260*(1+Data_All!T100%)),"")</f>
        <v/>
      </c>
      <c r="U261" s="427" t="str">
        <f>IF(AND($A261&gt;=SYear_O,$A261&lt;=EYear_O,U$3&gt;0),IF($A261=SYear_O,U$168*(1+Data_All!U100%),U260*(1+Data_All!U100%)),"")</f>
        <v/>
      </c>
      <c r="V261" s="427" t="str">
        <f>IF(AND($A261&gt;=SYear_O,$A261&lt;=EYear_O,V$3&gt;0),IF($A261=SYear_O,V$168*(1+Data_All!V100%),V260*(1+Data_All!V100%)),"")</f>
        <v/>
      </c>
      <c r="W261" s="427" t="str">
        <f>IF(AND($A261&gt;=SYear_O,$A261&lt;=EYear_O,W$3&gt;0),IF($A261=SYear_O,W$168*(1+Data_All!W100%),W260*(1+Data_All!W100%)),"")</f>
        <v/>
      </c>
      <c r="X261" s="427" t="str">
        <f>IF(AND($A261&gt;=SYear_O,$A261&lt;=EYear_O,X$3&gt;0),IF($A261=SYear_O,X$168*(1+Data_All!X100%),X260*(1+Data_All!X100%)),"")</f>
        <v/>
      </c>
      <c r="Y261" s="427" t="str">
        <f>IF(AND($A261&gt;=SYear_O,$A261&lt;=EYear_O,Y$3&gt;0),IF($A261=SYear_O,Y$168*(1+Data_All!Y100%),Y260*(1+Data_All!Y100%)),"")</f>
        <v/>
      </c>
      <c r="Z261" s="427" t="str">
        <f>IF(AND($A261&gt;=SYear_O,$A261&lt;=EYear_O,Z$3&gt;0),IF($A261=SYear_O,Z$168*(1+Data_All!Z100%),Z260*(1+Data_All!Z100%)),"")</f>
        <v/>
      </c>
      <c r="AA261" s="427" t="str">
        <f>IF(AND($A261&gt;=SYear_O,$A261&lt;=EYear_O,AA$3&gt;0),IF($A261=SYear_O,AA$168*(1+Data_All!AA100%),AA260*(1+Data_All!AA100%)),"")</f>
        <v/>
      </c>
      <c r="AB261" s="427" t="str">
        <f>IF(AND($A261&gt;=SYear_O,$A261&lt;=EYear_O,AB$3&gt;0),IF($A261=SYear_O,AB$168*(1+Data_All!AB100%),AB260*(1+Data_All!AB100%)),"")</f>
        <v/>
      </c>
      <c r="AC261" s="427" t="str">
        <f>IF(AND($A261&gt;=SYear_O,$A261&lt;=EYear_O,AC$3&gt;0),IF($A261=SYear_O,AC$168*(1+Data_All!AC100%),AC260*(1+Data_All!AC100%)),"")</f>
        <v/>
      </c>
      <c r="AD261" s="427" t="str">
        <f>IF(AND($A261&gt;=SYear_O,$A261&lt;=EYear_O,AD$3&gt;0),IF($A261=SYear_O,AD$168*(1+Data_All!AD100%),AD260*(1+Data_All!AD100%)),"")</f>
        <v/>
      </c>
      <c r="AE261" s="427" t="str">
        <f>IF(AND($A261&gt;=SYear_O,$A261&lt;=EYear_O,AE$3&gt;0),IF($A261=SYear_O,AE$168*(1+Data_All!AE100%),AE260*(1+Data_All!AE100%)),"")</f>
        <v/>
      </c>
      <c r="AF261" s="427" t="str">
        <f>IF(AND($A261&gt;=SYear_O,$A261&lt;=EYear_O,AF$3&gt;0),IF($A261=SYear_O,AF$168*(1+Data_All!AF100%),AF260*(1+Data_All!AF100%)),"")</f>
        <v/>
      </c>
      <c r="AG261" s="427" t="str">
        <f>IF(AND($A261&gt;=SYear_O,$A261&lt;=EYear_O,AG$3&gt;0),IF($A261=SYear_O,AG$168*(1+Data_All!AG100%),AG260*(1+Data_All!AG100%)),"")</f>
        <v/>
      </c>
      <c r="AH261" s="427" t="str">
        <f>IF(AND($A261&gt;=SYear_O,$A261&lt;=EYear_O,AH$3&gt;0),IF($A261=SYear_O,AH$168*(1+Data_All!AH100%),AH260*(1+Data_All!AH100%)),"")</f>
        <v/>
      </c>
      <c r="AI261" s="427" t="str">
        <f>IF(AND($A261&gt;=SYear_O,$A261&lt;=EYear_O,AI$3&gt;0),IF($A261=SYear_O,AI$168*(1+Data_All!AI100%),AI260*(1+Data_All!AI100%)),"")</f>
        <v/>
      </c>
      <c r="AJ261" s="427" t="str">
        <f>IF(AND($A261&gt;=SYear_O,$A261&lt;=EYear_O,AJ$3&gt;0),IF($A261=SYear_O,AJ$168*(1+Data_All!AJ100%),AJ260*(1+Data_All!AJ100%)),"")</f>
        <v/>
      </c>
      <c r="AK261" s="427" t="str">
        <f>IF(AND($A261&gt;=SYear_O,$A261&lt;=EYear_O,AK$3&gt;0),IF($A261=SYear_O,AK$168*(1+Data_All!AK100%),AK260*(1+Data_All!AK100%)),"")</f>
        <v/>
      </c>
      <c r="AL261" s="427" t="str">
        <f>IF(AND($A261&gt;=SYear_O,$A261&lt;=EYear_O,AL$3&gt;0),IF($A261=SYear_O,AL$168*(1+Data_All!AL100%),AL260*(1+Data_All!AL100%)),"")</f>
        <v/>
      </c>
      <c r="AM261" s="427" t="str">
        <f>IF(AND($A261&gt;=SYear_O,$A261&lt;=EYear_O,AM$3&gt;0),IF($A261=SYear_O,AM$168*(1+Data_All!AM100%),AM260*(1+Data_All!AM100%)),"")</f>
        <v/>
      </c>
      <c r="AN261" s="427" t="str">
        <f>IF(AND($A261&gt;=SYear_O,$A261&lt;=EYear_O,AN$3&gt;0),IF($A261=SYear_O,AN$168*(1+Data_All!AN100%),AN260*(1+Data_All!AN100%)),"")</f>
        <v/>
      </c>
      <c r="AO261" s="427" t="str">
        <f>IF(AND($A261&gt;=SYear_O,$A261&lt;=EYear_O,AO$3&gt;0),IF($A261=SYear_O,AO$168*(1+Data_All!AO100%),AO260*(1+Data_All!AO100%)),"")</f>
        <v/>
      </c>
      <c r="AP261" s="427" t="str">
        <f>IF(AND($A261&gt;=SYear_O,$A261&lt;=EYear_O,AP$3&gt;0),IF($A261=SYear_O,AP$168*(1+Data_All!AP100%),AP260*(1+Data_All!AP100%)),"")</f>
        <v/>
      </c>
      <c r="AQ261" s="427" t="str">
        <f>IF(AND($A261&gt;=SYear_O,$A261&lt;=EYear_O,AQ$3&gt;0),IF($A261=SYear_O,AQ$168*(1+Data_All!AQ100%),AQ260*(1+Data_All!AQ100%)),"")</f>
        <v/>
      </c>
      <c r="AR261" s="427" t="str">
        <f>IF(AND($A261&gt;=SYear_O,$A261&lt;=EYear_O,AR$3&gt;0),IF($A261=SYear_O,AR$168*(1+Data_All!AR100%),AR260*(1+Data_All!AR100%)),"")</f>
        <v/>
      </c>
      <c r="AS261" s="427" t="str">
        <f>IF(AND($A261&gt;=SYear_O,$A261&lt;=EYear_O,AS$3&gt;0),IF($A261=SYear_O,AS$168*(1+Data_All!AS100%),AS260*(1+Data_All!AS100%)),"")</f>
        <v/>
      </c>
      <c r="AT261" s="427" t="str">
        <f>IF(AND($A261&gt;=SYear_O,$A261&lt;=EYear_O,AT$3&gt;0),IF($A261=SYear_O,AT$168*(1+Data_All!AT100%),AT260*(1+Data_All!AT100%)),"")</f>
        <v/>
      </c>
      <c r="AU261" s="427" t="str">
        <f>IF(AND($A261&gt;=SYear_O,$A261&lt;=EYear_O,AU$3&gt;0),IF($A261=SYear_O,AU$168*(1+Data_All!AU100%),AU260*(1+Data_All!AU100%)),"")</f>
        <v/>
      </c>
      <c r="AV261" s="427" t="str">
        <f>IF(AND($A261&gt;=SYear_O,$A261&lt;=EYear_O,AV$3&gt;0),IF($A261=SYear_O,AV$168*(1+Data_All!AV100%),AV260*(1+Data_All!AV100%)),"")</f>
        <v/>
      </c>
      <c r="AW261" s="427" t="str">
        <f>IF(AND($A261&gt;=SYear_O,$A261&lt;=EYear_O,AW$3&gt;0),IF($A261=SYear_O,AW$168*(1+Data_All!AW100%),AW260*(1+Data_All!AW100%)),"")</f>
        <v/>
      </c>
      <c r="AX261" s="427" t="str">
        <f>IF(AND($A261&gt;=SYear_O,$A261&lt;=EYear_O,AX$3&gt;0),IF($A261=SYear_O,AX$168*(1+Data_All!AX100%),AX260*(1+Data_All!AX100%)),"")</f>
        <v/>
      </c>
      <c r="AY261" s="427" t="str">
        <f>IF(AND($A261&gt;=SYear_O,$A261&lt;=EYear_O,AY$3&gt;0),IF($A261=SYear_O,AY$168*(1+Data_All!AY100%),AY260*(1+Data_All!AY100%)),"")</f>
        <v/>
      </c>
      <c r="AZ261" s="427" t="str">
        <f>IF(AND($A261&gt;=SYear_O,$A261&lt;=EYear_O,AZ$3&gt;0),IF($A261=SYear_O,AZ$168*(1+Data_All!AZ100%),AZ260*(1+Data_All!AZ100%)),"")</f>
        <v/>
      </c>
      <c r="BA261" s="427" t="str">
        <f>IF(AND($A261&gt;=SYear_O,$A261&lt;=EYear_O,BA$3&gt;0),IF($A261=SYear_O,BA$168*(1+Data_All!BA100%),BA260*(1+Data_All!BA100%)),"")</f>
        <v/>
      </c>
      <c r="BB261" s="427" t="str">
        <f>IF(AND($A261&gt;=SYear_O,$A261&lt;=EYear_O,BB$3&gt;0),IF($A261=SYear_O,BB$168*(1+Data_All!BB100%),BB260*(1+Data_All!BB100%)),"")</f>
        <v/>
      </c>
      <c r="BC261" s="427" t="str">
        <f>IF(AND($A261&gt;=SYear_O,$A261&lt;=EYear_O,BC$3&gt;0),IF($A261=SYear_O,BC$168*(1+Data_All!BC100%),BC260*(1+Data_All!BC100%)),"")</f>
        <v/>
      </c>
      <c r="BD261" s="427" t="str">
        <f>IF(AND($A261&gt;=SYear_O,$A261&lt;=EYear_O,BD$3&gt;0),IF($A261=SYear_O,BD$168*(1+Data_All!BD100%),BD260*(1+Data_All!BD100%)),"")</f>
        <v/>
      </c>
      <c r="BE261" s="427" t="str">
        <f>IF(AND($A261&gt;=SYear_O,$A261&lt;=EYear_O,BE$3&gt;0),IF($A261=SYear_O,BE$168*(1+Data_All!BE100%),BE260*(1+Data_All!BE100%)),"")</f>
        <v/>
      </c>
      <c r="BF261" s="427" t="str">
        <f>IF(AND($A261&gt;=SYear_O,$A261&lt;=EYear_O,BF$3&gt;0),IF($A261=SYear_O,BF$168*(1+Data_All!BF100%),BF260*(1+Data_All!BF100%)),"")</f>
        <v/>
      </c>
      <c r="BG261" s="427" t="str">
        <f>IF(AND($A261&gt;=SYear_O,$A261&lt;=EYear_O,BG$3&gt;0),IF($A261=SYear_O,BG$168*(1+Data_All!BG100%),BG260*(1+Data_All!BG100%)),"")</f>
        <v/>
      </c>
      <c r="BH261" s="427" t="str">
        <f>IF(AND($A261&gt;=SYear_O,$A261&lt;=EYear_O,BH$3&gt;0),IF($A261=SYear_O,BH$168*(1+Data_All!BH100%),BH260*(1+Data_All!BH100%)),"")</f>
        <v/>
      </c>
      <c r="BI261" s="427" t="str">
        <f>IF(AND($A261&gt;=SYear_O,$A261&lt;=EYear_O,BI$3&gt;0),IF($A261=SYear_O,BI$168*(1+Data_All!BI100%),BI260*(1+Data_All!BI100%)),"")</f>
        <v/>
      </c>
      <c r="BJ261" s="427" t="str">
        <f>IF(AND($A261&gt;=SYear_O,$A261&lt;=EYear_O,BJ$3&gt;0),IF($A261=SYear_O,BJ$168*(1+Data_All!BJ100%),BJ260*(1+Data_All!BJ100%)),"")</f>
        <v/>
      </c>
      <c r="BK261" s="427" t="str">
        <f>IF(AND($A261&gt;=SYear_O,$A261&lt;=EYear_O,BK$3&gt;0),IF($A261=SYear_O,BK$168*(1+Data_All!BK100%),BK260*(1+Data_All!BK100%)),"")</f>
        <v/>
      </c>
      <c r="BL261" s="427" t="str">
        <f>IF(AND($A261&gt;=SYear_O,$A261&lt;=EYear_O,BL$3&gt;0),IF($A261=SYear_O,BL$168*(1+Data_All!BL100%),BL260*(1+Data_All!BL100%)),"")</f>
        <v/>
      </c>
      <c r="BM261" s="427" t="str">
        <f>IF(AND($A261&gt;=SYear_O,$A261&lt;=EYear_O,BM$3&gt;0),IF($A261=SYear_O,BM$168*(1+Data_All!BM100%),BM260*(1+Data_All!BM100%)),"")</f>
        <v/>
      </c>
      <c r="BN261" s="427" t="str">
        <f>IF(AND($A261&gt;=SYear_O,$A261&lt;=EYear_O,BN$3&gt;0),IF($A261=SYear_O,BN$168*(1+Data_All!BN100%),BN260*(1+Data_All!BN100%)),"")</f>
        <v/>
      </c>
      <c r="BO261" s="427" t="str">
        <f>IF(AND($A261&gt;=SYear_O,$A261&lt;=EYear_O,BO$3&gt;0),IF($A261=SYear_O,BO$168*(1+Data_All!BO100%),BO260*(1+Data_All!BO100%)),"")</f>
        <v/>
      </c>
      <c r="BP261" s="427" t="str">
        <f>IF(AND($A261&gt;=SYear_O,$A261&lt;=EYear_O,BP$3&gt;0),IF($A261=SYear_O,BP$168*(1+Data_All!BP100%),BP260*(1+Data_All!BP100%)),"")</f>
        <v/>
      </c>
      <c r="BQ261" s="427" t="str">
        <f>IF(AND($A261&gt;=SYear_O,$A261&lt;=EYear_O,BQ$3&gt;0),IF($A261=SYear_O,BQ$168*(1+Data_All!BQ100%),BQ260*(1+Data_All!BQ100%)),"")</f>
        <v/>
      </c>
      <c r="BR261" s="427" t="str">
        <f>IF(AND($A261&gt;=SYear_O,$A261&lt;=EYear_O,BR$3&gt;0),IF($A261=SYear_O,BR$168*(1+Data_All!BR100%),BR260*(1+Data_All!BR100%)),"")</f>
        <v/>
      </c>
      <c r="BS261" s="427" t="str">
        <f>IF(AND($A261&gt;=SYear_O,$A261&lt;=EYear_O,BS$3&gt;0),IF($A261=SYear_O,BS$168*(1+Data_All!BS100%),BS260*(1+Data_All!BS100%)),"")</f>
        <v/>
      </c>
      <c r="BT261" s="427" t="str">
        <f>IF(AND($A261&gt;=SYear_O,$A261&lt;=EYear_O,BT$3&gt;0),IF($A261=SYear_O,BT$168*(1+Data_All!BT100%),BT260*(1+Data_All!BT100%)),"")</f>
        <v/>
      </c>
      <c r="BU261" s="427" t="str">
        <f>IF(AND($A261&gt;=SYear_O,$A261&lt;=EYear_O,BU$3&gt;0),IF($A261=SYear_O,BU$168*(1+Data_All!BU100%),BU260*(1+Data_All!BU100%)),"")</f>
        <v/>
      </c>
      <c r="BV261" s="427" t="str">
        <f>IF(AND($A261&gt;=SYear_O,$A261&lt;=EYear_O,BV$3&gt;0),IF($A261=SYear_O,BV$168*(1+Data_All!BV100%),BV260*(1+Data_All!BV100%)),"")</f>
        <v/>
      </c>
      <c r="BW261" s="427" t="str">
        <f>IF(AND($A261&gt;=SYear_O,$A261&lt;=EYear_O,BW$3&gt;0),IF($A261=SYear_O,BW$168*(1+Data_All!BW100%),BW260*(1+Data_All!BW100%)),"")</f>
        <v/>
      </c>
      <c r="BX261" s="427">
        <f>IF(AND($A261&gt;=SYear_O,$A261&lt;=EYear_O,BX$3&gt;0),IF($A261=SYear_O,BX$168*(1+Data_All!BX100%),BX260*(1+Data_All!BX100%)),"")</f>
        <v>10688159.642921839</v>
      </c>
      <c r="BY261" s="427">
        <f>IF(AND($A261&gt;=SYear_O,$A261&lt;=EYear_O,BY$3&gt;0),IF($A261=SYear_O,BY$168*(1+Data_All!BY100%),BY260*(1+Data_All!BY100%)),"")</f>
        <v>107918.46248038515</v>
      </c>
      <c r="BZ261" s="427" t="str">
        <f>IF(AND($A261&gt;=SYear_O,$A261&lt;=EYear_O,BZ$3&gt;0),IF($A261=SYear_O,BZ$168*(1+Data_All!BZ100%),BZ260*(1+Data_All!BZ100%)),"")</f>
        <v/>
      </c>
      <c r="CA261" s="565">
        <f t="shared" si="123"/>
        <v>20.783556877618032</v>
      </c>
      <c r="CB261" s="427">
        <f t="shared" si="124"/>
        <v>10796078.105402224</v>
      </c>
      <c r="CC261" s="565">
        <f>IF(AND($A261&gt;=SYear_O,$A261&lt;=EYear_O),(CA261-Data_All!CA100)/(1+Data_All!CA100%),"")</f>
        <v>18.829130390925179</v>
      </c>
      <c r="CD261" s="436">
        <f t="shared" si="125"/>
        <v>4354788.8694659509</v>
      </c>
      <c r="CE261" s="438">
        <f t="shared" si="126"/>
        <v>979.19606582551853</v>
      </c>
      <c r="CF261" s="438">
        <f>IF(AND($A261&gt;=SYear_O,$A261&lt;=EYear_O),MAX($CE$169:CE261),"")</f>
        <v>979.19606582551853</v>
      </c>
      <c r="CG261" s="209">
        <f t="shared" si="127"/>
        <v>0</v>
      </c>
      <c r="CN261" s="61">
        <f t="shared" si="128"/>
        <v>0.20783556877618037</v>
      </c>
      <c r="CO261" s="61">
        <f t="shared" si="129"/>
        <v>0.15940781582395847</v>
      </c>
      <c r="CP261" s="61">
        <f t="shared" si="130"/>
        <v>0.11081612281941156</v>
      </c>
      <c r="CQ261" s="61">
        <f t="shared" si="131"/>
        <v>9.3876231119680575E-2</v>
      </c>
      <c r="CR261" s="61">
        <f t="shared" si="132"/>
        <v>5.7434871875249538E-2</v>
      </c>
      <c r="CU261" s="61">
        <f t="shared" si="133"/>
        <v>0.18829130390925175</v>
      </c>
      <c r="CV261" s="61">
        <f t="shared" si="134"/>
        <v>0.14213746640688885</v>
      </c>
      <c r="CW261" s="61">
        <f t="shared" si="135"/>
        <v>8.5590453528247235E-2</v>
      </c>
      <c r="CX261" s="61">
        <f t="shared" si="136"/>
        <v>5.7831879333571257E-2</v>
      </c>
      <c r="CY261" s="61">
        <f t="shared" si="137"/>
        <v>8.2597427897350695E-3</v>
      </c>
    </row>
    <row r="262" spans="1:103">
      <c r="A262" s="204">
        <f t="shared" si="107"/>
        <v>1964</v>
      </c>
      <c r="B262" s="427" t="str">
        <f>IF(AND($A262&gt;=SYear_O,$A262&lt;=EYear_O,B$3&gt;0),IF($A262=SYear_O,B$168*(1+Data_All!B101%),B261*(1+Data_All!B101%)),"")</f>
        <v/>
      </c>
      <c r="C262" s="427" t="str">
        <f>IF(AND($A262&gt;=SYear_O,$A262&lt;=EYear_O,C$3&gt;0),IF($A262=SYear_O,C$168*(1+Data_All!C101%),C261*(1+Data_All!C101%)),"")</f>
        <v/>
      </c>
      <c r="D262" s="427" t="str">
        <f>IF(AND($A262&gt;=SYear_O,$A262&lt;=EYear_O,D$3&gt;0),IF($A262=SYear_O,D$168*(1+Data_All!D101%),D261*(1+Data_All!D101%)),"")</f>
        <v/>
      </c>
      <c r="E262" s="427" t="str">
        <f>IF(AND($A262&gt;=SYear_O,$A262&lt;=EYear_O,E$3&gt;0),IF($A262=SYear_O,E$168*(1+Data_All!E101%),E261*(1+Data_All!E101%)),"")</f>
        <v/>
      </c>
      <c r="F262" s="427" t="str">
        <f>IF(AND($A262&gt;=SYear_O,$A262&lt;=EYear_O,F$3&gt;0),IF($A262=SYear_O,F$168*(1+Data_All!F101%),F261*(1+Data_All!F101%)),"")</f>
        <v/>
      </c>
      <c r="G262" s="427" t="str">
        <f>IF(AND($A262&gt;=SYear_O,$A262&lt;=EYear_O,G$3&gt;0),IF($A262=SYear_O,G$168*(1+Data_All!G101%),G261*(1+Data_All!G101%)),"")</f>
        <v/>
      </c>
      <c r="H262" s="427" t="str">
        <f>IF(AND($A262&gt;=SYear_O,$A262&lt;=EYear_O,H$3&gt;0),IF($A262=SYear_O,H$168*(1+Data_All!H101%),H261*(1+Data_All!H101%)),"")</f>
        <v/>
      </c>
      <c r="I262" s="427" t="str">
        <f>IF(AND($A262&gt;=SYear_O,$A262&lt;=EYear_O,I$3&gt;0),IF($A262=SYear_O,I$168*(1+Data_All!I101%),I261*(1+Data_All!I101%)),"")</f>
        <v/>
      </c>
      <c r="J262" s="427" t="str">
        <f>IF(AND($A262&gt;=SYear_O,$A262&lt;=EYear_O,J$3&gt;0),IF($A262=SYear_O,J$168*(1+Data_All!J101%),J261*(1+Data_All!J101%)),"")</f>
        <v/>
      </c>
      <c r="K262" s="427" t="str">
        <f>IF(AND($A262&gt;=SYear_O,$A262&lt;=EYear_O,K$3&gt;0),IF($A262=SYear_O,K$168*(1+Data_All!K101%),K261*(1+Data_All!K101%)),"")</f>
        <v/>
      </c>
      <c r="L262" s="427" t="str">
        <f>IF(AND($A262&gt;=SYear_O,$A262&lt;=EYear_O,L$3&gt;0),IF($A262=SYear_O,L$168*(1+Data_All!L101%),L261*(1+Data_All!L101%)),"")</f>
        <v/>
      </c>
      <c r="M262" s="427" t="str">
        <f>IF(AND($A262&gt;=SYear_O,$A262&lt;=EYear_O,M$3&gt;0),IF($A262=SYear_O,M$168*(1+Data_All!M101%),M261*(1+Data_All!M101%)),"")</f>
        <v/>
      </c>
      <c r="N262" s="427" t="str">
        <f>IF(AND($A262&gt;=SYear_O,$A262&lt;=EYear_O,N$3&gt;0),IF($A262=SYear_O,N$168*(1+Data_All!N101%),N261*(1+Data_All!N101%)),"")</f>
        <v/>
      </c>
      <c r="O262" s="427" t="str">
        <f>IF(AND($A262&gt;=SYear_O,$A262&lt;=EYear_O,O$3&gt;0),IF($A262=SYear_O,O$168*(1+Data_All!O101%),O261*(1+Data_All!O101%)),"")</f>
        <v/>
      </c>
      <c r="P262" s="427" t="str">
        <f>IF(AND($A262&gt;=SYear_O,$A262&lt;=EYear_O,P$3&gt;0),IF($A262=SYear_O,P$168*(1+Data_All!P101%),P261*(1+Data_All!P101%)),"")</f>
        <v/>
      </c>
      <c r="Q262" s="427" t="str">
        <f>IF(AND($A262&gt;=SYear_O,$A262&lt;=EYear_O,Q$3&gt;0),IF($A262=SYear_O,Q$168*(1+Data_All!Q101%),Q261*(1+Data_All!Q101%)),"")</f>
        <v/>
      </c>
      <c r="R262" s="427" t="str">
        <f>IF(AND($A262&gt;=SYear_O,$A262&lt;=EYear_O,R$3&gt;0),IF($A262=SYear_O,R$168*(1+Data_All!R101%),R261*(1+Data_All!R101%)),"")</f>
        <v/>
      </c>
      <c r="S262" s="427" t="str">
        <f>IF(AND($A262&gt;=SYear_O,$A262&lt;=EYear_O,S$3&gt;0),IF($A262=SYear_O,S$168*(1+Data_All!S101%),S261*(1+Data_All!S101%)),"")</f>
        <v/>
      </c>
      <c r="T262" s="427" t="str">
        <f>IF(AND($A262&gt;=SYear_O,$A262&lt;=EYear_O,T$3&gt;0),IF($A262=SYear_O,T$168*(1+Data_All!T101%),T261*(1+Data_All!T101%)),"")</f>
        <v/>
      </c>
      <c r="U262" s="427" t="str">
        <f>IF(AND($A262&gt;=SYear_O,$A262&lt;=EYear_O,U$3&gt;0),IF($A262=SYear_O,U$168*(1+Data_All!U101%),U261*(1+Data_All!U101%)),"")</f>
        <v/>
      </c>
      <c r="V262" s="427" t="str">
        <f>IF(AND($A262&gt;=SYear_O,$A262&lt;=EYear_O,V$3&gt;0),IF($A262=SYear_O,V$168*(1+Data_All!V101%),V261*(1+Data_All!V101%)),"")</f>
        <v/>
      </c>
      <c r="W262" s="427" t="str">
        <f>IF(AND($A262&gt;=SYear_O,$A262&lt;=EYear_O,W$3&gt;0),IF($A262=SYear_O,W$168*(1+Data_All!W101%),W261*(1+Data_All!W101%)),"")</f>
        <v/>
      </c>
      <c r="X262" s="427" t="str">
        <f>IF(AND($A262&gt;=SYear_O,$A262&lt;=EYear_O,X$3&gt;0),IF($A262=SYear_O,X$168*(1+Data_All!X101%),X261*(1+Data_All!X101%)),"")</f>
        <v/>
      </c>
      <c r="Y262" s="427" t="str">
        <f>IF(AND($A262&gt;=SYear_O,$A262&lt;=EYear_O,Y$3&gt;0),IF($A262=SYear_O,Y$168*(1+Data_All!Y101%),Y261*(1+Data_All!Y101%)),"")</f>
        <v/>
      </c>
      <c r="Z262" s="427" t="str">
        <f>IF(AND($A262&gt;=SYear_O,$A262&lt;=EYear_O,Z$3&gt;0),IF($A262=SYear_O,Z$168*(1+Data_All!Z101%),Z261*(1+Data_All!Z101%)),"")</f>
        <v/>
      </c>
      <c r="AA262" s="427" t="str">
        <f>IF(AND($A262&gt;=SYear_O,$A262&lt;=EYear_O,AA$3&gt;0),IF($A262=SYear_O,AA$168*(1+Data_All!AA101%),AA261*(1+Data_All!AA101%)),"")</f>
        <v/>
      </c>
      <c r="AB262" s="427" t="str">
        <f>IF(AND($A262&gt;=SYear_O,$A262&lt;=EYear_O,AB$3&gt;0),IF($A262=SYear_O,AB$168*(1+Data_All!AB101%),AB261*(1+Data_All!AB101%)),"")</f>
        <v/>
      </c>
      <c r="AC262" s="427" t="str">
        <f>IF(AND($A262&gt;=SYear_O,$A262&lt;=EYear_O,AC$3&gt;0),IF($A262=SYear_O,AC$168*(1+Data_All!AC101%),AC261*(1+Data_All!AC101%)),"")</f>
        <v/>
      </c>
      <c r="AD262" s="427" t="str">
        <f>IF(AND($A262&gt;=SYear_O,$A262&lt;=EYear_O,AD$3&gt;0),IF($A262=SYear_O,AD$168*(1+Data_All!AD101%),AD261*(1+Data_All!AD101%)),"")</f>
        <v/>
      </c>
      <c r="AE262" s="427" t="str">
        <f>IF(AND($A262&gt;=SYear_O,$A262&lt;=EYear_O,AE$3&gt;0),IF($A262=SYear_O,AE$168*(1+Data_All!AE101%),AE261*(1+Data_All!AE101%)),"")</f>
        <v/>
      </c>
      <c r="AF262" s="427" t="str">
        <f>IF(AND($A262&gt;=SYear_O,$A262&lt;=EYear_O,AF$3&gt;0),IF($A262=SYear_O,AF$168*(1+Data_All!AF101%),AF261*(1+Data_All!AF101%)),"")</f>
        <v/>
      </c>
      <c r="AG262" s="427" t="str">
        <f>IF(AND($A262&gt;=SYear_O,$A262&lt;=EYear_O,AG$3&gt;0),IF($A262=SYear_O,AG$168*(1+Data_All!AG101%),AG261*(1+Data_All!AG101%)),"")</f>
        <v/>
      </c>
      <c r="AH262" s="427" t="str">
        <f>IF(AND($A262&gt;=SYear_O,$A262&lt;=EYear_O,AH$3&gt;0),IF($A262=SYear_O,AH$168*(1+Data_All!AH101%),AH261*(1+Data_All!AH101%)),"")</f>
        <v/>
      </c>
      <c r="AI262" s="427" t="str">
        <f>IF(AND($A262&gt;=SYear_O,$A262&lt;=EYear_O,AI$3&gt;0),IF($A262=SYear_O,AI$168*(1+Data_All!AI101%),AI261*(1+Data_All!AI101%)),"")</f>
        <v/>
      </c>
      <c r="AJ262" s="427" t="str">
        <f>IF(AND($A262&gt;=SYear_O,$A262&lt;=EYear_O,AJ$3&gt;0),IF($A262=SYear_O,AJ$168*(1+Data_All!AJ101%),AJ261*(1+Data_All!AJ101%)),"")</f>
        <v/>
      </c>
      <c r="AK262" s="427" t="str">
        <f>IF(AND($A262&gt;=SYear_O,$A262&lt;=EYear_O,AK$3&gt;0),IF($A262=SYear_O,AK$168*(1+Data_All!AK101%),AK261*(1+Data_All!AK101%)),"")</f>
        <v/>
      </c>
      <c r="AL262" s="427" t="str">
        <f>IF(AND($A262&gt;=SYear_O,$A262&lt;=EYear_O,AL$3&gt;0),IF($A262=SYear_O,AL$168*(1+Data_All!AL101%),AL261*(1+Data_All!AL101%)),"")</f>
        <v/>
      </c>
      <c r="AM262" s="427" t="str">
        <f>IF(AND($A262&gt;=SYear_O,$A262&lt;=EYear_O,AM$3&gt;0),IF($A262=SYear_O,AM$168*(1+Data_All!AM101%),AM261*(1+Data_All!AM101%)),"")</f>
        <v/>
      </c>
      <c r="AN262" s="427" t="str">
        <f>IF(AND($A262&gt;=SYear_O,$A262&lt;=EYear_O,AN$3&gt;0),IF($A262=SYear_O,AN$168*(1+Data_All!AN101%),AN261*(1+Data_All!AN101%)),"")</f>
        <v/>
      </c>
      <c r="AO262" s="427" t="str">
        <f>IF(AND($A262&gt;=SYear_O,$A262&lt;=EYear_O,AO$3&gt;0),IF($A262=SYear_O,AO$168*(1+Data_All!AO101%),AO261*(1+Data_All!AO101%)),"")</f>
        <v/>
      </c>
      <c r="AP262" s="427" t="str">
        <f>IF(AND($A262&gt;=SYear_O,$A262&lt;=EYear_O,AP$3&gt;0),IF($A262=SYear_O,AP$168*(1+Data_All!AP101%),AP261*(1+Data_All!AP101%)),"")</f>
        <v/>
      </c>
      <c r="AQ262" s="427" t="str">
        <f>IF(AND($A262&gt;=SYear_O,$A262&lt;=EYear_O,AQ$3&gt;0),IF($A262=SYear_O,AQ$168*(1+Data_All!AQ101%),AQ261*(1+Data_All!AQ101%)),"")</f>
        <v/>
      </c>
      <c r="AR262" s="427" t="str">
        <f>IF(AND($A262&gt;=SYear_O,$A262&lt;=EYear_O,AR$3&gt;0),IF($A262=SYear_O,AR$168*(1+Data_All!AR101%),AR261*(1+Data_All!AR101%)),"")</f>
        <v/>
      </c>
      <c r="AS262" s="427" t="str">
        <f>IF(AND($A262&gt;=SYear_O,$A262&lt;=EYear_O,AS$3&gt;0),IF($A262=SYear_O,AS$168*(1+Data_All!AS101%),AS261*(1+Data_All!AS101%)),"")</f>
        <v/>
      </c>
      <c r="AT262" s="427" t="str">
        <f>IF(AND($A262&gt;=SYear_O,$A262&lt;=EYear_O,AT$3&gt;0),IF($A262=SYear_O,AT$168*(1+Data_All!AT101%),AT261*(1+Data_All!AT101%)),"")</f>
        <v/>
      </c>
      <c r="AU262" s="427" t="str">
        <f>IF(AND($A262&gt;=SYear_O,$A262&lt;=EYear_O,AU$3&gt;0),IF($A262=SYear_O,AU$168*(1+Data_All!AU101%),AU261*(1+Data_All!AU101%)),"")</f>
        <v/>
      </c>
      <c r="AV262" s="427" t="str">
        <f>IF(AND($A262&gt;=SYear_O,$A262&lt;=EYear_O,AV$3&gt;0),IF($A262=SYear_O,AV$168*(1+Data_All!AV101%),AV261*(1+Data_All!AV101%)),"")</f>
        <v/>
      </c>
      <c r="AW262" s="427" t="str">
        <f>IF(AND($A262&gt;=SYear_O,$A262&lt;=EYear_O,AW$3&gt;0),IF($A262=SYear_O,AW$168*(1+Data_All!AW101%),AW261*(1+Data_All!AW101%)),"")</f>
        <v/>
      </c>
      <c r="AX262" s="427" t="str">
        <f>IF(AND($A262&gt;=SYear_O,$A262&lt;=EYear_O,AX$3&gt;0),IF($A262=SYear_O,AX$168*(1+Data_All!AX101%),AX261*(1+Data_All!AX101%)),"")</f>
        <v/>
      </c>
      <c r="AY262" s="427" t="str">
        <f>IF(AND($A262&gt;=SYear_O,$A262&lt;=EYear_O,AY$3&gt;0),IF($A262=SYear_O,AY$168*(1+Data_All!AY101%),AY261*(1+Data_All!AY101%)),"")</f>
        <v/>
      </c>
      <c r="AZ262" s="427" t="str">
        <f>IF(AND($A262&gt;=SYear_O,$A262&lt;=EYear_O,AZ$3&gt;0),IF($A262=SYear_O,AZ$168*(1+Data_All!AZ101%),AZ261*(1+Data_All!AZ101%)),"")</f>
        <v/>
      </c>
      <c r="BA262" s="427" t="str">
        <f>IF(AND($A262&gt;=SYear_O,$A262&lt;=EYear_O,BA$3&gt;0),IF($A262=SYear_O,BA$168*(1+Data_All!BA101%),BA261*(1+Data_All!BA101%)),"")</f>
        <v/>
      </c>
      <c r="BB262" s="427" t="str">
        <f>IF(AND($A262&gt;=SYear_O,$A262&lt;=EYear_O,BB$3&gt;0),IF($A262=SYear_O,BB$168*(1+Data_All!BB101%),BB261*(1+Data_All!BB101%)),"")</f>
        <v/>
      </c>
      <c r="BC262" s="427" t="str">
        <f>IF(AND($A262&gt;=SYear_O,$A262&lt;=EYear_O,BC$3&gt;0),IF($A262=SYear_O,BC$168*(1+Data_All!BC101%),BC261*(1+Data_All!BC101%)),"")</f>
        <v/>
      </c>
      <c r="BD262" s="427" t="str">
        <f>IF(AND($A262&gt;=SYear_O,$A262&lt;=EYear_O,BD$3&gt;0),IF($A262=SYear_O,BD$168*(1+Data_All!BD101%),BD261*(1+Data_All!BD101%)),"")</f>
        <v/>
      </c>
      <c r="BE262" s="427" t="str">
        <f>IF(AND($A262&gt;=SYear_O,$A262&lt;=EYear_O,BE$3&gt;0),IF($A262=SYear_O,BE$168*(1+Data_All!BE101%),BE261*(1+Data_All!BE101%)),"")</f>
        <v/>
      </c>
      <c r="BF262" s="427" t="str">
        <f>IF(AND($A262&gt;=SYear_O,$A262&lt;=EYear_O,BF$3&gt;0),IF($A262=SYear_O,BF$168*(1+Data_All!BF101%),BF261*(1+Data_All!BF101%)),"")</f>
        <v/>
      </c>
      <c r="BG262" s="427" t="str">
        <f>IF(AND($A262&gt;=SYear_O,$A262&lt;=EYear_O,BG$3&gt;0),IF($A262=SYear_O,BG$168*(1+Data_All!BG101%),BG261*(1+Data_All!BG101%)),"")</f>
        <v/>
      </c>
      <c r="BH262" s="427" t="str">
        <f>IF(AND($A262&gt;=SYear_O,$A262&lt;=EYear_O,BH$3&gt;0),IF($A262=SYear_O,BH$168*(1+Data_All!BH101%),BH261*(1+Data_All!BH101%)),"")</f>
        <v/>
      </c>
      <c r="BI262" s="427" t="str">
        <f>IF(AND($A262&gt;=SYear_O,$A262&lt;=EYear_O,BI$3&gt;0),IF($A262=SYear_O,BI$168*(1+Data_All!BI101%),BI261*(1+Data_All!BI101%)),"")</f>
        <v/>
      </c>
      <c r="BJ262" s="427" t="str">
        <f>IF(AND($A262&gt;=SYear_O,$A262&lt;=EYear_O,BJ$3&gt;0),IF($A262=SYear_O,BJ$168*(1+Data_All!BJ101%),BJ261*(1+Data_All!BJ101%)),"")</f>
        <v/>
      </c>
      <c r="BK262" s="427" t="str">
        <f>IF(AND($A262&gt;=SYear_O,$A262&lt;=EYear_O,BK$3&gt;0),IF($A262=SYear_O,BK$168*(1+Data_All!BK101%),BK261*(1+Data_All!BK101%)),"")</f>
        <v/>
      </c>
      <c r="BL262" s="427" t="str">
        <f>IF(AND($A262&gt;=SYear_O,$A262&lt;=EYear_O,BL$3&gt;0),IF($A262=SYear_O,BL$168*(1+Data_All!BL101%),BL261*(1+Data_All!BL101%)),"")</f>
        <v/>
      </c>
      <c r="BM262" s="427" t="str">
        <f>IF(AND($A262&gt;=SYear_O,$A262&lt;=EYear_O,BM$3&gt;0),IF($A262=SYear_O,BM$168*(1+Data_All!BM101%),BM261*(1+Data_All!BM101%)),"")</f>
        <v/>
      </c>
      <c r="BN262" s="427" t="str">
        <f>IF(AND($A262&gt;=SYear_O,$A262&lt;=EYear_O,BN$3&gt;0),IF($A262=SYear_O,BN$168*(1+Data_All!BN101%),BN261*(1+Data_All!BN101%)),"")</f>
        <v/>
      </c>
      <c r="BO262" s="427" t="str">
        <f>IF(AND($A262&gt;=SYear_O,$A262&lt;=EYear_O,BO$3&gt;0),IF($A262=SYear_O,BO$168*(1+Data_All!BO101%),BO261*(1+Data_All!BO101%)),"")</f>
        <v/>
      </c>
      <c r="BP262" s="427" t="str">
        <f>IF(AND($A262&gt;=SYear_O,$A262&lt;=EYear_O,BP$3&gt;0),IF($A262=SYear_O,BP$168*(1+Data_All!BP101%),BP261*(1+Data_All!BP101%)),"")</f>
        <v/>
      </c>
      <c r="BQ262" s="427" t="str">
        <f>IF(AND($A262&gt;=SYear_O,$A262&lt;=EYear_O,BQ$3&gt;0),IF($A262=SYear_O,BQ$168*(1+Data_All!BQ101%),BQ261*(1+Data_All!BQ101%)),"")</f>
        <v/>
      </c>
      <c r="BR262" s="427" t="str">
        <f>IF(AND($A262&gt;=SYear_O,$A262&lt;=EYear_O,BR$3&gt;0),IF($A262=SYear_O,BR$168*(1+Data_All!BR101%),BR261*(1+Data_All!BR101%)),"")</f>
        <v/>
      </c>
      <c r="BS262" s="427" t="str">
        <f>IF(AND($A262&gt;=SYear_O,$A262&lt;=EYear_O,BS$3&gt;0),IF($A262=SYear_O,BS$168*(1+Data_All!BS101%),BS261*(1+Data_All!BS101%)),"")</f>
        <v/>
      </c>
      <c r="BT262" s="427" t="str">
        <f>IF(AND($A262&gt;=SYear_O,$A262&lt;=EYear_O,BT$3&gt;0),IF($A262=SYear_O,BT$168*(1+Data_All!BT101%),BT261*(1+Data_All!BT101%)),"")</f>
        <v/>
      </c>
      <c r="BU262" s="427" t="str">
        <f>IF(AND($A262&gt;=SYear_O,$A262&lt;=EYear_O,BU$3&gt;0),IF($A262=SYear_O,BU$168*(1+Data_All!BU101%),BU261*(1+Data_All!BU101%)),"")</f>
        <v/>
      </c>
      <c r="BV262" s="427" t="str">
        <f>IF(AND($A262&gt;=SYear_O,$A262&lt;=EYear_O,BV$3&gt;0),IF($A262=SYear_O,BV$168*(1+Data_All!BV101%),BV261*(1+Data_All!BV101%)),"")</f>
        <v/>
      </c>
      <c r="BW262" s="427" t="str">
        <f>IF(AND($A262&gt;=SYear_O,$A262&lt;=EYear_O,BW$3&gt;0),IF($A262=SYear_O,BW$168*(1+Data_All!BW101%),BW261*(1+Data_All!BW101%)),"")</f>
        <v/>
      </c>
      <c r="BX262" s="427">
        <f>IF(AND($A262&gt;=SYear_O,$A262&lt;=EYear_O,BX$3&gt;0),IF($A262=SYear_O,BX$168*(1+Data_All!BX101%),BX261*(1+Data_All!BX101%)),"")</f>
        <v>12389597.221134512</v>
      </c>
      <c r="BY262" s="427">
        <f>IF(AND($A262&gt;=SYear_O,$A262&lt;=EYear_O,BY$3&gt;0),IF($A262=SYear_O,BY$168*(1+Data_All!BY101%),BY261*(1+Data_All!BY101%)),"")</f>
        <v>112327.36540586317</v>
      </c>
      <c r="BZ262" s="427" t="str">
        <f>IF(AND($A262&gt;=SYear_O,$A262&lt;=EYear_O,BZ$3&gt;0),IF($A262=SYear_O,BZ$168*(1+Data_All!BZ101%),BZ261*(1+Data_All!BZ101%)),"")</f>
        <v/>
      </c>
      <c r="CA262" s="565">
        <f t="shared" si="123"/>
        <v>15.8006126343655</v>
      </c>
      <c r="CB262" s="427">
        <f t="shared" si="124"/>
        <v>12501924.586540375</v>
      </c>
      <c r="CC262" s="565">
        <f>IF(AND($A262&gt;=SYear_O,$A262&lt;=EYear_O),(CA262-Data_All!CA101)/(1+Data_All!CA101%),"")</f>
        <v>14.687145205188909</v>
      </c>
      <c r="CD262" s="436">
        <f t="shared" si="125"/>
        <v>4994383.0341038192</v>
      </c>
      <c r="CE262" s="438">
        <f t="shared" si="126"/>
        <v>1133.9150431175553</v>
      </c>
      <c r="CF262" s="438">
        <f>IF(AND($A262&gt;=SYear_O,$A262&lt;=EYear_O),MAX($CE$169:CE262),"")</f>
        <v>1133.9150431175553</v>
      </c>
      <c r="CG262" s="209">
        <f t="shared" si="127"/>
        <v>0</v>
      </c>
      <c r="CN262" s="61">
        <f t="shared" si="128"/>
        <v>0.15800612634365496</v>
      </c>
      <c r="CO262" s="61">
        <f t="shared" si="129"/>
        <v>6.5185757811665912E-2</v>
      </c>
      <c r="CP262" s="61">
        <f t="shared" si="130"/>
        <v>9.12870954755991E-2</v>
      </c>
      <c r="CQ262" s="61">
        <f t="shared" si="131"/>
        <v>5.5060252409236732E-2</v>
      </c>
      <c r="CR262" s="61">
        <f t="shared" si="132"/>
        <v>5.4564439148735877E-2</v>
      </c>
      <c r="CU262" s="61">
        <f t="shared" si="133"/>
        <v>0.14687145205188901</v>
      </c>
      <c r="CV262" s="61">
        <f t="shared" si="134"/>
        <v>4.3148676816582965E-2</v>
      </c>
      <c r="CW262" s="61">
        <f t="shared" si="135"/>
        <v>6.0817598729473676E-2</v>
      </c>
      <c r="CX262" s="61">
        <f t="shared" si="136"/>
        <v>1.3465367530504313E-2</v>
      </c>
      <c r="CY262" s="61">
        <f t="shared" si="137"/>
        <v>8.3951358640677043E-4</v>
      </c>
    </row>
    <row r="263" spans="1:103">
      <c r="A263" s="204">
        <f t="shared" si="107"/>
        <v>1965</v>
      </c>
      <c r="B263" s="427" t="str">
        <f>IF(AND($A263&gt;=SYear_O,$A263&lt;=EYear_O,B$3&gt;0),IF($A263=SYear_O,B$168*(1+Data_All!B102%),B262*(1+Data_All!B102%)),"")</f>
        <v/>
      </c>
      <c r="C263" s="427" t="str">
        <f>IF(AND($A263&gt;=SYear_O,$A263&lt;=EYear_O,C$3&gt;0),IF($A263=SYear_O,C$168*(1+Data_All!C102%),C262*(1+Data_All!C102%)),"")</f>
        <v/>
      </c>
      <c r="D263" s="427" t="str">
        <f>IF(AND($A263&gt;=SYear_O,$A263&lt;=EYear_O,D$3&gt;0),IF($A263=SYear_O,D$168*(1+Data_All!D102%),D262*(1+Data_All!D102%)),"")</f>
        <v/>
      </c>
      <c r="E263" s="427" t="str">
        <f>IF(AND($A263&gt;=SYear_O,$A263&lt;=EYear_O,E$3&gt;0),IF($A263=SYear_O,E$168*(1+Data_All!E102%),E262*(1+Data_All!E102%)),"")</f>
        <v/>
      </c>
      <c r="F263" s="427" t="str">
        <f>IF(AND($A263&gt;=SYear_O,$A263&lt;=EYear_O,F$3&gt;0),IF($A263=SYear_O,F$168*(1+Data_All!F102%),F262*(1+Data_All!F102%)),"")</f>
        <v/>
      </c>
      <c r="G263" s="427" t="str">
        <f>IF(AND($A263&gt;=SYear_O,$A263&lt;=EYear_O,G$3&gt;0),IF($A263=SYear_O,G$168*(1+Data_All!G102%),G262*(1+Data_All!G102%)),"")</f>
        <v/>
      </c>
      <c r="H263" s="427" t="str">
        <f>IF(AND($A263&gt;=SYear_O,$A263&lt;=EYear_O,H$3&gt;0),IF($A263=SYear_O,H$168*(1+Data_All!H102%),H262*(1+Data_All!H102%)),"")</f>
        <v/>
      </c>
      <c r="I263" s="427" t="str">
        <f>IF(AND($A263&gt;=SYear_O,$A263&lt;=EYear_O,I$3&gt;0),IF($A263=SYear_O,I$168*(1+Data_All!I102%),I262*(1+Data_All!I102%)),"")</f>
        <v/>
      </c>
      <c r="J263" s="427" t="str">
        <f>IF(AND($A263&gt;=SYear_O,$A263&lt;=EYear_O,J$3&gt;0),IF($A263=SYear_O,J$168*(1+Data_All!J102%),J262*(1+Data_All!J102%)),"")</f>
        <v/>
      </c>
      <c r="K263" s="427" t="str">
        <f>IF(AND($A263&gt;=SYear_O,$A263&lt;=EYear_O,K$3&gt;0),IF($A263=SYear_O,K$168*(1+Data_All!K102%),K262*(1+Data_All!K102%)),"")</f>
        <v/>
      </c>
      <c r="L263" s="427" t="str">
        <f>IF(AND($A263&gt;=SYear_O,$A263&lt;=EYear_O,L$3&gt;0),IF($A263=SYear_O,L$168*(1+Data_All!L102%),L262*(1+Data_All!L102%)),"")</f>
        <v/>
      </c>
      <c r="M263" s="427" t="str">
        <f>IF(AND($A263&gt;=SYear_O,$A263&lt;=EYear_O,M$3&gt;0),IF($A263=SYear_O,M$168*(1+Data_All!M102%),M262*(1+Data_All!M102%)),"")</f>
        <v/>
      </c>
      <c r="N263" s="427" t="str">
        <f>IF(AND($A263&gt;=SYear_O,$A263&lt;=EYear_O,N$3&gt;0),IF($A263=SYear_O,N$168*(1+Data_All!N102%),N262*(1+Data_All!N102%)),"")</f>
        <v/>
      </c>
      <c r="O263" s="427" t="str">
        <f>IF(AND($A263&gt;=SYear_O,$A263&lt;=EYear_O,O$3&gt;0),IF($A263=SYear_O,O$168*(1+Data_All!O102%),O262*(1+Data_All!O102%)),"")</f>
        <v/>
      </c>
      <c r="P263" s="427" t="str">
        <f>IF(AND($A263&gt;=SYear_O,$A263&lt;=EYear_O,P$3&gt;0),IF($A263=SYear_O,P$168*(1+Data_All!P102%),P262*(1+Data_All!P102%)),"")</f>
        <v/>
      </c>
      <c r="Q263" s="427" t="str">
        <f>IF(AND($A263&gt;=SYear_O,$A263&lt;=EYear_O,Q$3&gt;0),IF($A263=SYear_O,Q$168*(1+Data_All!Q102%),Q262*(1+Data_All!Q102%)),"")</f>
        <v/>
      </c>
      <c r="R263" s="427" t="str">
        <f>IF(AND($A263&gt;=SYear_O,$A263&lt;=EYear_O,R$3&gt;0),IF($A263=SYear_O,R$168*(1+Data_All!R102%),R262*(1+Data_All!R102%)),"")</f>
        <v/>
      </c>
      <c r="S263" s="427" t="str">
        <f>IF(AND($A263&gt;=SYear_O,$A263&lt;=EYear_O,S$3&gt;0),IF($A263=SYear_O,S$168*(1+Data_All!S102%),S262*(1+Data_All!S102%)),"")</f>
        <v/>
      </c>
      <c r="T263" s="427" t="str">
        <f>IF(AND($A263&gt;=SYear_O,$A263&lt;=EYear_O,T$3&gt;0),IF($A263=SYear_O,T$168*(1+Data_All!T102%),T262*(1+Data_All!T102%)),"")</f>
        <v/>
      </c>
      <c r="U263" s="427" t="str">
        <f>IF(AND($A263&gt;=SYear_O,$A263&lt;=EYear_O,U$3&gt;0),IF($A263=SYear_O,U$168*(1+Data_All!U102%),U262*(1+Data_All!U102%)),"")</f>
        <v/>
      </c>
      <c r="V263" s="427" t="str">
        <f>IF(AND($A263&gt;=SYear_O,$A263&lt;=EYear_O,V$3&gt;0),IF($A263=SYear_O,V$168*(1+Data_All!V102%),V262*(1+Data_All!V102%)),"")</f>
        <v/>
      </c>
      <c r="W263" s="427" t="str">
        <f>IF(AND($A263&gt;=SYear_O,$A263&lt;=EYear_O,W$3&gt;0),IF($A263=SYear_O,W$168*(1+Data_All!W102%),W262*(1+Data_All!W102%)),"")</f>
        <v/>
      </c>
      <c r="X263" s="427" t="str">
        <f>IF(AND($A263&gt;=SYear_O,$A263&lt;=EYear_O,X$3&gt;0),IF($A263=SYear_O,X$168*(1+Data_All!X102%),X262*(1+Data_All!X102%)),"")</f>
        <v/>
      </c>
      <c r="Y263" s="427" t="str">
        <f>IF(AND($A263&gt;=SYear_O,$A263&lt;=EYear_O,Y$3&gt;0),IF($A263=SYear_O,Y$168*(1+Data_All!Y102%),Y262*(1+Data_All!Y102%)),"")</f>
        <v/>
      </c>
      <c r="Z263" s="427" t="str">
        <f>IF(AND($A263&gt;=SYear_O,$A263&lt;=EYear_O,Z$3&gt;0),IF($A263=SYear_O,Z$168*(1+Data_All!Z102%),Z262*(1+Data_All!Z102%)),"")</f>
        <v/>
      </c>
      <c r="AA263" s="427" t="str">
        <f>IF(AND($A263&gt;=SYear_O,$A263&lt;=EYear_O,AA$3&gt;0),IF($A263=SYear_O,AA$168*(1+Data_All!AA102%),AA262*(1+Data_All!AA102%)),"")</f>
        <v/>
      </c>
      <c r="AB263" s="427" t="str">
        <f>IF(AND($A263&gt;=SYear_O,$A263&lt;=EYear_O,AB$3&gt;0),IF($A263=SYear_O,AB$168*(1+Data_All!AB102%),AB262*(1+Data_All!AB102%)),"")</f>
        <v/>
      </c>
      <c r="AC263" s="427" t="str">
        <f>IF(AND($A263&gt;=SYear_O,$A263&lt;=EYear_O,AC$3&gt;0),IF($A263=SYear_O,AC$168*(1+Data_All!AC102%),AC262*(1+Data_All!AC102%)),"")</f>
        <v/>
      </c>
      <c r="AD263" s="427" t="str">
        <f>IF(AND($A263&gt;=SYear_O,$A263&lt;=EYear_O,AD$3&gt;0),IF($A263=SYear_O,AD$168*(1+Data_All!AD102%),AD262*(1+Data_All!AD102%)),"")</f>
        <v/>
      </c>
      <c r="AE263" s="427" t="str">
        <f>IF(AND($A263&gt;=SYear_O,$A263&lt;=EYear_O,AE$3&gt;0),IF($A263=SYear_O,AE$168*(1+Data_All!AE102%),AE262*(1+Data_All!AE102%)),"")</f>
        <v/>
      </c>
      <c r="AF263" s="427" t="str">
        <f>IF(AND($A263&gt;=SYear_O,$A263&lt;=EYear_O,AF$3&gt;0),IF($A263=SYear_O,AF$168*(1+Data_All!AF102%),AF262*(1+Data_All!AF102%)),"")</f>
        <v/>
      </c>
      <c r="AG263" s="427" t="str">
        <f>IF(AND($A263&gt;=SYear_O,$A263&lt;=EYear_O,AG$3&gt;0),IF($A263=SYear_O,AG$168*(1+Data_All!AG102%),AG262*(1+Data_All!AG102%)),"")</f>
        <v/>
      </c>
      <c r="AH263" s="427" t="str">
        <f>IF(AND($A263&gt;=SYear_O,$A263&lt;=EYear_O,AH$3&gt;0),IF($A263=SYear_O,AH$168*(1+Data_All!AH102%),AH262*(1+Data_All!AH102%)),"")</f>
        <v/>
      </c>
      <c r="AI263" s="427" t="str">
        <f>IF(AND($A263&gt;=SYear_O,$A263&lt;=EYear_O,AI$3&gt;0),IF($A263=SYear_O,AI$168*(1+Data_All!AI102%),AI262*(1+Data_All!AI102%)),"")</f>
        <v/>
      </c>
      <c r="AJ263" s="427" t="str">
        <f>IF(AND($A263&gt;=SYear_O,$A263&lt;=EYear_O,AJ$3&gt;0),IF($A263=SYear_O,AJ$168*(1+Data_All!AJ102%),AJ262*(1+Data_All!AJ102%)),"")</f>
        <v/>
      </c>
      <c r="AK263" s="427" t="str">
        <f>IF(AND($A263&gt;=SYear_O,$A263&lt;=EYear_O,AK$3&gt;0),IF($A263=SYear_O,AK$168*(1+Data_All!AK102%),AK262*(1+Data_All!AK102%)),"")</f>
        <v/>
      </c>
      <c r="AL263" s="427" t="str">
        <f>IF(AND($A263&gt;=SYear_O,$A263&lt;=EYear_O,AL$3&gt;0),IF($A263=SYear_O,AL$168*(1+Data_All!AL102%),AL262*(1+Data_All!AL102%)),"")</f>
        <v/>
      </c>
      <c r="AM263" s="427" t="str">
        <f>IF(AND($A263&gt;=SYear_O,$A263&lt;=EYear_O,AM$3&gt;0),IF($A263=SYear_O,AM$168*(1+Data_All!AM102%),AM262*(1+Data_All!AM102%)),"")</f>
        <v/>
      </c>
      <c r="AN263" s="427" t="str">
        <f>IF(AND($A263&gt;=SYear_O,$A263&lt;=EYear_O,AN$3&gt;0),IF($A263=SYear_O,AN$168*(1+Data_All!AN102%),AN262*(1+Data_All!AN102%)),"")</f>
        <v/>
      </c>
      <c r="AO263" s="427" t="str">
        <f>IF(AND($A263&gt;=SYear_O,$A263&lt;=EYear_O,AO$3&gt;0),IF($A263=SYear_O,AO$168*(1+Data_All!AO102%),AO262*(1+Data_All!AO102%)),"")</f>
        <v/>
      </c>
      <c r="AP263" s="427" t="str">
        <f>IF(AND($A263&gt;=SYear_O,$A263&lt;=EYear_O,AP$3&gt;0),IF($A263=SYear_O,AP$168*(1+Data_All!AP102%),AP262*(1+Data_All!AP102%)),"")</f>
        <v/>
      </c>
      <c r="AQ263" s="427" t="str">
        <f>IF(AND($A263&gt;=SYear_O,$A263&lt;=EYear_O,AQ$3&gt;0),IF($A263=SYear_O,AQ$168*(1+Data_All!AQ102%),AQ262*(1+Data_All!AQ102%)),"")</f>
        <v/>
      </c>
      <c r="AR263" s="427" t="str">
        <f>IF(AND($A263&gt;=SYear_O,$A263&lt;=EYear_O,AR$3&gt;0),IF($A263=SYear_O,AR$168*(1+Data_All!AR102%),AR262*(1+Data_All!AR102%)),"")</f>
        <v/>
      </c>
      <c r="AS263" s="427" t="str">
        <f>IF(AND($A263&gt;=SYear_O,$A263&lt;=EYear_O,AS$3&gt;0),IF($A263=SYear_O,AS$168*(1+Data_All!AS102%),AS262*(1+Data_All!AS102%)),"")</f>
        <v/>
      </c>
      <c r="AT263" s="427" t="str">
        <f>IF(AND($A263&gt;=SYear_O,$A263&lt;=EYear_O,AT$3&gt;0),IF($A263=SYear_O,AT$168*(1+Data_All!AT102%),AT262*(1+Data_All!AT102%)),"")</f>
        <v/>
      </c>
      <c r="AU263" s="427" t="str">
        <f>IF(AND($A263&gt;=SYear_O,$A263&lt;=EYear_O,AU$3&gt;0),IF($A263=SYear_O,AU$168*(1+Data_All!AU102%),AU262*(1+Data_All!AU102%)),"")</f>
        <v/>
      </c>
      <c r="AV263" s="427" t="str">
        <f>IF(AND($A263&gt;=SYear_O,$A263&lt;=EYear_O,AV$3&gt;0),IF($A263=SYear_O,AV$168*(1+Data_All!AV102%),AV262*(1+Data_All!AV102%)),"")</f>
        <v/>
      </c>
      <c r="AW263" s="427" t="str">
        <f>IF(AND($A263&gt;=SYear_O,$A263&lt;=EYear_O,AW$3&gt;0),IF($A263=SYear_O,AW$168*(1+Data_All!AW102%),AW262*(1+Data_All!AW102%)),"")</f>
        <v/>
      </c>
      <c r="AX263" s="427" t="str">
        <f>IF(AND($A263&gt;=SYear_O,$A263&lt;=EYear_O,AX$3&gt;0),IF($A263=SYear_O,AX$168*(1+Data_All!AX102%),AX262*(1+Data_All!AX102%)),"")</f>
        <v/>
      </c>
      <c r="AY263" s="427" t="str">
        <f>IF(AND($A263&gt;=SYear_O,$A263&lt;=EYear_O,AY$3&gt;0),IF($A263=SYear_O,AY$168*(1+Data_All!AY102%),AY262*(1+Data_All!AY102%)),"")</f>
        <v/>
      </c>
      <c r="AZ263" s="427" t="str">
        <f>IF(AND($A263&gt;=SYear_O,$A263&lt;=EYear_O,AZ$3&gt;0),IF($A263=SYear_O,AZ$168*(1+Data_All!AZ102%),AZ262*(1+Data_All!AZ102%)),"")</f>
        <v/>
      </c>
      <c r="BA263" s="427" t="str">
        <f>IF(AND($A263&gt;=SYear_O,$A263&lt;=EYear_O,BA$3&gt;0),IF($A263=SYear_O,BA$168*(1+Data_All!BA102%),BA262*(1+Data_All!BA102%)),"")</f>
        <v/>
      </c>
      <c r="BB263" s="427" t="str">
        <f>IF(AND($A263&gt;=SYear_O,$A263&lt;=EYear_O,BB$3&gt;0),IF($A263=SYear_O,BB$168*(1+Data_All!BB102%),BB262*(1+Data_All!BB102%)),"")</f>
        <v/>
      </c>
      <c r="BC263" s="427" t="str">
        <f>IF(AND($A263&gt;=SYear_O,$A263&lt;=EYear_O,BC$3&gt;0),IF($A263=SYear_O,BC$168*(1+Data_All!BC102%),BC262*(1+Data_All!BC102%)),"")</f>
        <v/>
      </c>
      <c r="BD263" s="427" t="str">
        <f>IF(AND($A263&gt;=SYear_O,$A263&lt;=EYear_O,BD$3&gt;0),IF($A263=SYear_O,BD$168*(1+Data_All!BD102%),BD262*(1+Data_All!BD102%)),"")</f>
        <v/>
      </c>
      <c r="BE263" s="427" t="str">
        <f>IF(AND($A263&gt;=SYear_O,$A263&lt;=EYear_O,BE$3&gt;0),IF($A263=SYear_O,BE$168*(1+Data_All!BE102%),BE262*(1+Data_All!BE102%)),"")</f>
        <v/>
      </c>
      <c r="BF263" s="427" t="str">
        <f>IF(AND($A263&gt;=SYear_O,$A263&lt;=EYear_O,BF$3&gt;0),IF($A263=SYear_O,BF$168*(1+Data_All!BF102%),BF262*(1+Data_All!BF102%)),"")</f>
        <v/>
      </c>
      <c r="BG263" s="427" t="str">
        <f>IF(AND($A263&gt;=SYear_O,$A263&lt;=EYear_O,BG$3&gt;0),IF($A263=SYear_O,BG$168*(1+Data_All!BG102%),BG262*(1+Data_All!BG102%)),"")</f>
        <v/>
      </c>
      <c r="BH263" s="427" t="str">
        <f>IF(AND($A263&gt;=SYear_O,$A263&lt;=EYear_O,BH$3&gt;0),IF($A263=SYear_O,BH$168*(1+Data_All!BH102%),BH262*(1+Data_All!BH102%)),"")</f>
        <v/>
      </c>
      <c r="BI263" s="427" t="str">
        <f>IF(AND($A263&gt;=SYear_O,$A263&lt;=EYear_O,BI$3&gt;0),IF($A263=SYear_O,BI$168*(1+Data_All!BI102%),BI262*(1+Data_All!BI102%)),"")</f>
        <v/>
      </c>
      <c r="BJ263" s="427" t="str">
        <f>IF(AND($A263&gt;=SYear_O,$A263&lt;=EYear_O,BJ$3&gt;0),IF($A263=SYear_O,BJ$168*(1+Data_All!BJ102%),BJ262*(1+Data_All!BJ102%)),"")</f>
        <v/>
      </c>
      <c r="BK263" s="427" t="str">
        <f>IF(AND($A263&gt;=SYear_O,$A263&lt;=EYear_O,BK$3&gt;0),IF($A263=SYear_O,BK$168*(1+Data_All!BK102%),BK262*(1+Data_All!BK102%)),"")</f>
        <v/>
      </c>
      <c r="BL263" s="427" t="str">
        <f>IF(AND($A263&gt;=SYear_O,$A263&lt;=EYear_O,BL$3&gt;0),IF($A263=SYear_O,BL$168*(1+Data_All!BL102%),BL262*(1+Data_All!BL102%)),"")</f>
        <v/>
      </c>
      <c r="BM263" s="427" t="str">
        <f>IF(AND($A263&gt;=SYear_O,$A263&lt;=EYear_O,BM$3&gt;0),IF($A263=SYear_O,BM$168*(1+Data_All!BM102%),BM262*(1+Data_All!BM102%)),"")</f>
        <v/>
      </c>
      <c r="BN263" s="427" t="str">
        <f>IF(AND($A263&gt;=SYear_O,$A263&lt;=EYear_O,BN$3&gt;0),IF($A263=SYear_O,BN$168*(1+Data_All!BN102%),BN262*(1+Data_All!BN102%)),"")</f>
        <v/>
      </c>
      <c r="BO263" s="427" t="str">
        <f>IF(AND($A263&gt;=SYear_O,$A263&lt;=EYear_O,BO$3&gt;0),IF($A263=SYear_O,BO$168*(1+Data_All!BO102%),BO262*(1+Data_All!BO102%)),"")</f>
        <v/>
      </c>
      <c r="BP263" s="427" t="str">
        <f>IF(AND($A263&gt;=SYear_O,$A263&lt;=EYear_O,BP$3&gt;0),IF($A263=SYear_O,BP$168*(1+Data_All!BP102%),BP262*(1+Data_All!BP102%)),"")</f>
        <v/>
      </c>
      <c r="BQ263" s="427" t="str">
        <f>IF(AND($A263&gt;=SYear_O,$A263&lt;=EYear_O,BQ$3&gt;0),IF($A263=SYear_O,BQ$168*(1+Data_All!BQ102%),BQ262*(1+Data_All!BQ102%)),"")</f>
        <v/>
      </c>
      <c r="BR263" s="427" t="str">
        <f>IF(AND($A263&gt;=SYear_O,$A263&lt;=EYear_O,BR$3&gt;0),IF($A263=SYear_O,BR$168*(1+Data_All!BR102%),BR262*(1+Data_All!BR102%)),"")</f>
        <v/>
      </c>
      <c r="BS263" s="427" t="str">
        <f>IF(AND($A263&gt;=SYear_O,$A263&lt;=EYear_O,BS$3&gt;0),IF($A263=SYear_O,BS$168*(1+Data_All!BS102%),BS262*(1+Data_All!BS102%)),"")</f>
        <v/>
      </c>
      <c r="BT263" s="427" t="str">
        <f>IF(AND($A263&gt;=SYear_O,$A263&lt;=EYear_O,BT$3&gt;0),IF($A263=SYear_O,BT$168*(1+Data_All!BT102%),BT262*(1+Data_All!BT102%)),"")</f>
        <v/>
      </c>
      <c r="BU263" s="427" t="str">
        <f>IF(AND($A263&gt;=SYear_O,$A263&lt;=EYear_O,BU$3&gt;0),IF($A263=SYear_O,BU$168*(1+Data_All!BU102%),BU262*(1+Data_All!BU102%)),"")</f>
        <v/>
      </c>
      <c r="BV263" s="427" t="str">
        <f>IF(AND($A263&gt;=SYear_O,$A263&lt;=EYear_O,BV$3&gt;0),IF($A263=SYear_O,BV$168*(1+Data_All!BV102%),BV262*(1+Data_All!BV102%)),"")</f>
        <v/>
      </c>
      <c r="BW263" s="427" t="str">
        <f>IF(AND($A263&gt;=SYear_O,$A263&lt;=EYear_O,BW$3&gt;0),IF($A263=SYear_O,BW$168*(1+Data_All!BW102%),BW262*(1+Data_All!BW102%)),"")</f>
        <v/>
      </c>
      <c r="BX263" s="427">
        <f>IF(AND($A263&gt;=SYear_O,$A263&lt;=EYear_O,BX$3&gt;0),IF($A263=SYear_O,BX$168*(1+Data_All!BX102%),BX262*(1+Data_All!BX102%)),"")</f>
        <v>13816731.50392195</v>
      </c>
      <c r="BY263" s="427">
        <f>IF(AND($A263&gt;=SYear_O,$A263&lt;=EYear_O,BY$3&gt;0),IF($A263=SYear_O,BY$168*(1+Data_All!BY102%),BY262*(1+Data_All!BY102%)),"")</f>
        <v>113773.93878935713</v>
      </c>
      <c r="BZ263" s="427" t="str">
        <f>IF(AND($A263&gt;=SYear_O,$A263&lt;=EYear_O,BZ$3&gt;0),IF($A263=SYear_O,BZ$168*(1+Data_All!BZ102%),BZ262*(1+Data_All!BZ102%)),"")</f>
        <v/>
      </c>
      <c r="CA263" s="565">
        <f t="shared" si="123"/>
        <v>11.426887486659037</v>
      </c>
      <c r="CB263" s="427">
        <f t="shared" si="124"/>
        <v>13930505.442711307</v>
      </c>
      <c r="CC263" s="565">
        <f>IF(AND($A263&gt;=SYear_O,$A263&lt;=EYear_O),(CA263-Data_All!CA102)/(1+Data_All!CA102%),"")</f>
        <v>9.3244933831371526</v>
      </c>
      <c r="CD263" s="436">
        <f t="shared" si="125"/>
        <v>5460083.949647354</v>
      </c>
      <c r="CE263" s="438">
        <f t="shared" si="126"/>
        <v>1263.4862392888997</v>
      </c>
      <c r="CF263" s="438">
        <f>IF(AND($A263&gt;=SYear_O,$A263&lt;=EYear_O),MAX($CE$169:CE263),"")</f>
        <v>1263.4862392888997</v>
      </c>
      <c r="CG263" s="209">
        <f t="shared" si="127"/>
        <v>0</v>
      </c>
      <c r="CN263" s="61">
        <f t="shared" si="128"/>
        <v>0.11426887486659032</v>
      </c>
      <c r="CO263" s="61">
        <f t="shared" si="129"/>
        <v>6.5362486845936596E-2</v>
      </c>
      <c r="CP263" s="61">
        <f t="shared" si="130"/>
        <v>4.1424434929683729E-2</v>
      </c>
      <c r="CQ263" s="61">
        <f t="shared" si="131"/>
        <v>1.6080485172145886E-2</v>
      </c>
      <c r="CR263" s="61">
        <f t="shared" si="132"/>
        <v>5.5127347807735205E-2</v>
      </c>
      <c r="CU263" s="61">
        <f t="shared" si="133"/>
        <v>9.3244933831371446E-2</v>
      </c>
      <c r="CV263" s="61">
        <f t="shared" si="134"/>
        <v>3.4262564458201084E-2</v>
      </c>
      <c r="CW263" s="61">
        <f t="shared" si="135"/>
        <v>2.2136700060708669E-3</v>
      </c>
      <c r="CX263" s="61">
        <f t="shared" si="136"/>
        <v>-3.4334237145623336E-2</v>
      </c>
      <c r="CY263" s="61">
        <f t="shared" si="137"/>
        <v>-6.2842765868990069E-3</v>
      </c>
    </row>
    <row r="264" spans="1:103">
      <c r="A264" s="204">
        <f t="shared" si="107"/>
        <v>1966</v>
      </c>
      <c r="B264" s="427" t="str">
        <f>IF(AND($A264&gt;=SYear_O,$A264&lt;=EYear_O,B$3&gt;0),IF($A264=SYear_O,B$168*(1+Data_All!B103%),B263*(1+Data_All!B103%)),"")</f>
        <v/>
      </c>
      <c r="C264" s="427" t="str">
        <f>IF(AND($A264&gt;=SYear_O,$A264&lt;=EYear_O,C$3&gt;0),IF($A264=SYear_O,C$168*(1+Data_All!C103%),C263*(1+Data_All!C103%)),"")</f>
        <v/>
      </c>
      <c r="D264" s="427" t="str">
        <f>IF(AND($A264&gt;=SYear_O,$A264&lt;=EYear_O,D$3&gt;0),IF($A264=SYear_O,D$168*(1+Data_All!D103%),D263*(1+Data_All!D103%)),"")</f>
        <v/>
      </c>
      <c r="E264" s="427" t="str">
        <f>IF(AND($A264&gt;=SYear_O,$A264&lt;=EYear_O,E$3&gt;0),IF($A264=SYear_O,E$168*(1+Data_All!E103%),E263*(1+Data_All!E103%)),"")</f>
        <v/>
      </c>
      <c r="F264" s="427" t="str">
        <f>IF(AND($A264&gt;=SYear_O,$A264&lt;=EYear_O,F$3&gt;0),IF($A264=SYear_O,F$168*(1+Data_All!F103%),F263*(1+Data_All!F103%)),"")</f>
        <v/>
      </c>
      <c r="G264" s="427" t="str">
        <f>IF(AND($A264&gt;=SYear_O,$A264&lt;=EYear_O,G$3&gt;0),IF($A264=SYear_O,G$168*(1+Data_All!G103%),G263*(1+Data_All!G103%)),"")</f>
        <v/>
      </c>
      <c r="H264" s="427" t="str">
        <f>IF(AND($A264&gt;=SYear_O,$A264&lt;=EYear_O,H$3&gt;0),IF($A264=SYear_O,H$168*(1+Data_All!H103%),H263*(1+Data_All!H103%)),"")</f>
        <v/>
      </c>
      <c r="I264" s="427" t="str">
        <f>IF(AND($A264&gt;=SYear_O,$A264&lt;=EYear_O,I$3&gt;0),IF($A264=SYear_O,I$168*(1+Data_All!I103%),I263*(1+Data_All!I103%)),"")</f>
        <v/>
      </c>
      <c r="J264" s="427" t="str">
        <f>IF(AND($A264&gt;=SYear_O,$A264&lt;=EYear_O,J$3&gt;0),IF($A264=SYear_O,J$168*(1+Data_All!J103%),J263*(1+Data_All!J103%)),"")</f>
        <v/>
      </c>
      <c r="K264" s="427" t="str">
        <f>IF(AND($A264&gt;=SYear_O,$A264&lt;=EYear_O,K$3&gt;0),IF($A264=SYear_O,K$168*(1+Data_All!K103%),K263*(1+Data_All!K103%)),"")</f>
        <v/>
      </c>
      <c r="L264" s="427" t="str">
        <f>IF(AND($A264&gt;=SYear_O,$A264&lt;=EYear_O,L$3&gt;0),IF($A264=SYear_O,L$168*(1+Data_All!L103%),L263*(1+Data_All!L103%)),"")</f>
        <v/>
      </c>
      <c r="M264" s="427" t="str">
        <f>IF(AND($A264&gt;=SYear_O,$A264&lt;=EYear_O,M$3&gt;0),IF($A264=SYear_O,M$168*(1+Data_All!M103%),M263*(1+Data_All!M103%)),"")</f>
        <v/>
      </c>
      <c r="N264" s="427" t="str">
        <f>IF(AND($A264&gt;=SYear_O,$A264&lt;=EYear_O,N$3&gt;0),IF($A264=SYear_O,N$168*(1+Data_All!N103%),N263*(1+Data_All!N103%)),"")</f>
        <v/>
      </c>
      <c r="O264" s="427" t="str">
        <f>IF(AND($A264&gt;=SYear_O,$A264&lt;=EYear_O,O$3&gt;0),IF($A264=SYear_O,O$168*(1+Data_All!O103%),O263*(1+Data_All!O103%)),"")</f>
        <v/>
      </c>
      <c r="P264" s="427" t="str">
        <f>IF(AND($A264&gt;=SYear_O,$A264&lt;=EYear_O,P$3&gt;0),IF($A264=SYear_O,P$168*(1+Data_All!P103%),P263*(1+Data_All!P103%)),"")</f>
        <v/>
      </c>
      <c r="Q264" s="427" t="str">
        <f>IF(AND($A264&gt;=SYear_O,$A264&lt;=EYear_O,Q$3&gt;0),IF($A264=SYear_O,Q$168*(1+Data_All!Q103%),Q263*(1+Data_All!Q103%)),"")</f>
        <v/>
      </c>
      <c r="R264" s="427" t="str">
        <f>IF(AND($A264&gt;=SYear_O,$A264&lt;=EYear_O,R$3&gt;0),IF($A264=SYear_O,R$168*(1+Data_All!R103%),R263*(1+Data_All!R103%)),"")</f>
        <v/>
      </c>
      <c r="S264" s="427" t="str">
        <f>IF(AND($A264&gt;=SYear_O,$A264&lt;=EYear_O,S$3&gt;0),IF($A264=SYear_O,S$168*(1+Data_All!S103%),S263*(1+Data_All!S103%)),"")</f>
        <v/>
      </c>
      <c r="T264" s="427" t="str">
        <f>IF(AND($A264&gt;=SYear_O,$A264&lt;=EYear_O,T$3&gt;0),IF($A264=SYear_O,T$168*(1+Data_All!T103%),T263*(1+Data_All!T103%)),"")</f>
        <v/>
      </c>
      <c r="U264" s="427" t="str">
        <f>IF(AND($A264&gt;=SYear_O,$A264&lt;=EYear_O,U$3&gt;0),IF($A264=SYear_O,U$168*(1+Data_All!U103%),U263*(1+Data_All!U103%)),"")</f>
        <v/>
      </c>
      <c r="V264" s="427" t="str">
        <f>IF(AND($A264&gt;=SYear_O,$A264&lt;=EYear_O,V$3&gt;0),IF($A264=SYear_O,V$168*(1+Data_All!V103%),V263*(1+Data_All!V103%)),"")</f>
        <v/>
      </c>
      <c r="W264" s="427" t="str">
        <f>IF(AND($A264&gt;=SYear_O,$A264&lt;=EYear_O,W$3&gt;0),IF($A264=SYear_O,W$168*(1+Data_All!W103%),W263*(1+Data_All!W103%)),"")</f>
        <v/>
      </c>
      <c r="X264" s="427" t="str">
        <f>IF(AND($A264&gt;=SYear_O,$A264&lt;=EYear_O,X$3&gt;0),IF($A264=SYear_O,X$168*(1+Data_All!X103%),X263*(1+Data_All!X103%)),"")</f>
        <v/>
      </c>
      <c r="Y264" s="427" t="str">
        <f>IF(AND($A264&gt;=SYear_O,$A264&lt;=EYear_O,Y$3&gt;0),IF($A264=SYear_O,Y$168*(1+Data_All!Y103%),Y263*(1+Data_All!Y103%)),"")</f>
        <v/>
      </c>
      <c r="Z264" s="427" t="str">
        <f>IF(AND($A264&gt;=SYear_O,$A264&lt;=EYear_O,Z$3&gt;0),IF($A264=SYear_O,Z$168*(1+Data_All!Z103%),Z263*(1+Data_All!Z103%)),"")</f>
        <v/>
      </c>
      <c r="AA264" s="427" t="str">
        <f>IF(AND($A264&gt;=SYear_O,$A264&lt;=EYear_O,AA$3&gt;0),IF($A264=SYear_O,AA$168*(1+Data_All!AA103%),AA263*(1+Data_All!AA103%)),"")</f>
        <v/>
      </c>
      <c r="AB264" s="427" t="str">
        <f>IF(AND($A264&gt;=SYear_O,$A264&lt;=EYear_O,AB$3&gt;0),IF($A264=SYear_O,AB$168*(1+Data_All!AB103%),AB263*(1+Data_All!AB103%)),"")</f>
        <v/>
      </c>
      <c r="AC264" s="427" t="str">
        <f>IF(AND($A264&gt;=SYear_O,$A264&lt;=EYear_O,AC$3&gt;0),IF($A264=SYear_O,AC$168*(1+Data_All!AC103%),AC263*(1+Data_All!AC103%)),"")</f>
        <v/>
      </c>
      <c r="AD264" s="427" t="str">
        <f>IF(AND($A264&gt;=SYear_O,$A264&lt;=EYear_O,AD$3&gt;0),IF($A264=SYear_O,AD$168*(1+Data_All!AD103%),AD263*(1+Data_All!AD103%)),"")</f>
        <v/>
      </c>
      <c r="AE264" s="427" t="str">
        <f>IF(AND($A264&gt;=SYear_O,$A264&lt;=EYear_O,AE$3&gt;0),IF($A264=SYear_O,AE$168*(1+Data_All!AE103%),AE263*(1+Data_All!AE103%)),"")</f>
        <v/>
      </c>
      <c r="AF264" s="427" t="str">
        <f>IF(AND($A264&gt;=SYear_O,$A264&lt;=EYear_O,AF$3&gt;0),IF($A264=SYear_O,AF$168*(1+Data_All!AF103%),AF263*(1+Data_All!AF103%)),"")</f>
        <v/>
      </c>
      <c r="AG264" s="427" t="str">
        <f>IF(AND($A264&gt;=SYear_O,$A264&lt;=EYear_O,AG$3&gt;0),IF($A264=SYear_O,AG$168*(1+Data_All!AG103%),AG263*(1+Data_All!AG103%)),"")</f>
        <v/>
      </c>
      <c r="AH264" s="427" t="str">
        <f>IF(AND($A264&gt;=SYear_O,$A264&lt;=EYear_O,AH$3&gt;0),IF($A264=SYear_O,AH$168*(1+Data_All!AH103%),AH263*(1+Data_All!AH103%)),"")</f>
        <v/>
      </c>
      <c r="AI264" s="427" t="str">
        <f>IF(AND($A264&gt;=SYear_O,$A264&lt;=EYear_O,AI$3&gt;0),IF($A264=SYear_O,AI$168*(1+Data_All!AI103%),AI263*(1+Data_All!AI103%)),"")</f>
        <v/>
      </c>
      <c r="AJ264" s="427" t="str">
        <f>IF(AND($A264&gt;=SYear_O,$A264&lt;=EYear_O,AJ$3&gt;0),IF($A264=SYear_O,AJ$168*(1+Data_All!AJ103%),AJ263*(1+Data_All!AJ103%)),"")</f>
        <v/>
      </c>
      <c r="AK264" s="427" t="str">
        <f>IF(AND($A264&gt;=SYear_O,$A264&lt;=EYear_O,AK$3&gt;0),IF($A264=SYear_O,AK$168*(1+Data_All!AK103%),AK263*(1+Data_All!AK103%)),"")</f>
        <v/>
      </c>
      <c r="AL264" s="427" t="str">
        <f>IF(AND($A264&gt;=SYear_O,$A264&lt;=EYear_O,AL$3&gt;0),IF($A264=SYear_O,AL$168*(1+Data_All!AL103%),AL263*(1+Data_All!AL103%)),"")</f>
        <v/>
      </c>
      <c r="AM264" s="427" t="str">
        <f>IF(AND($A264&gt;=SYear_O,$A264&lt;=EYear_O,AM$3&gt;0),IF($A264=SYear_O,AM$168*(1+Data_All!AM103%),AM263*(1+Data_All!AM103%)),"")</f>
        <v/>
      </c>
      <c r="AN264" s="427" t="str">
        <f>IF(AND($A264&gt;=SYear_O,$A264&lt;=EYear_O,AN$3&gt;0),IF($A264=SYear_O,AN$168*(1+Data_All!AN103%),AN263*(1+Data_All!AN103%)),"")</f>
        <v/>
      </c>
      <c r="AO264" s="427" t="str">
        <f>IF(AND($A264&gt;=SYear_O,$A264&lt;=EYear_O,AO$3&gt;0),IF($A264=SYear_O,AO$168*(1+Data_All!AO103%),AO263*(1+Data_All!AO103%)),"")</f>
        <v/>
      </c>
      <c r="AP264" s="427" t="str">
        <f>IF(AND($A264&gt;=SYear_O,$A264&lt;=EYear_O,AP$3&gt;0),IF($A264=SYear_O,AP$168*(1+Data_All!AP103%),AP263*(1+Data_All!AP103%)),"")</f>
        <v/>
      </c>
      <c r="AQ264" s="427" t="str">
        <f>IF(AND($A264&gt;=SYear_O,$A264&lt;=EYear_O,AQ$3&gt;0),IF($A264=SYear_O,AQ$168*(1+Data_All!AQ103%),AQ263*(1+Data_All!AQ103%)),"")</f>
        <v/>
      </c>
      <c r="AR264" s="427" t="str">
        <f>IF(AND($A264&gt;=SYear_O,$A264&lt;=EYear_O,AR$3&gt;0),IF($A264=SYear_O,AR$168*(1+Data_All!AR103%),AR263*(1+Data_All!AR103%)),"")</f>
        <v/>
      </c>
      <c r="AS264" s="427" t="str">
        <f>IF(AND($A264&gt;=SYear_O,$A264&lt;=EYear_O,AS$3&gt;0),IF($A264=SYear_O,AS$168*(1+Data_All!AS103%),AS263*(1+Data_All!AS103%)),"")</f>
        <v/>
      </c>
      <c r="AT264" s="427" t="str">
        <f>IF(AND($A264&gt;=SYear_O,$A264&lt;=EYear_O,AT$3&gt;0),IF($A264=SYear_O,AT$168*(1+Data_All!AT103%),AT263*(1+Data_All!AT103%)),"")</f>
        <v/>
      </c>
      <c r="AU264" s="427" t="str">
        <f>IF(AND($A264&gt;=SYear_O,$A264&lt;=EYear_O,AU$3&gt;0),IF($A264=SYear_O,AU$168*(1+Data_All!AU103%),AU263*(1+Data_All!AU103%)),"")</f>
        <v/>
      </c>
      <c r="AV264" s="427" t="str">
        <f>IF(AND($A264&gt;=SYear_O,$A264&lt;=EYear_O,AV$3&gt;0),IF($A264=SYear_O,AV$168*(1+Data_All!AV103%),AV263*(1+Data_All!AV103%)),"")</f>
        <v/>
      </c>
      <c r="AW264" s="427" t="str">
        <f>IF(AND($A264&gt;=SYear_O,$A264&lt;=EYear_O,AW$3&gt;0),IF($A264=SYear_O,AW$168*(1+Data_All!AW103%),AW263*(1+Data_All!AW103%)),"")</f>
        <v/>
      </c>
      <c r="AX264" s="427" t="str">
        <f>IF(AND($A264&gt;=SYear_O,$A264&lt;=EYear_O,AX$3&gt;0),IF($A264=SYear_O,AX$168*(1+Data_All!AX103%),AX263*(1+Data_All!AX103%)),"")</f>
        <v/>
      </c>
      <c r="AY264" s="427" t="str">
        <f>IF(AND($A264&gt;=SYear_O,$A264&lt;=EYear_O,AY$3&gt;0),IF($A264=SYear_O,AY$168*(1+Data_All!AY103%),AY263*(1+Data_All!AY103%)),"")</f>
        <v/>
      </c>
      <c r="AZ264" s="427" t="str">
        <f>IF(AND($A264&gt;=SYear_O,$A264&lt;=EYear_O,AZ$3&gt;0),IF($A264=SYear_O,AZ$168*(1+Data_All!AZ103%),AZ263*(1+Data_All!AZ103%)),"")</f>
        <v/>
      </c>
      <c r="BA264" s="427" t="str">
        <f>IF(AND($A264&gt;=SYear_O,$A264&lt;=EYear_O,BA$3&gt;0),IF($A264=SYear_O,BA$168*(1+Data_All!BA103%),BA263*(1+Data_All!BA103%)),"")</f>
        <v/>
      </c>
      <c r="BB264" s="427" t="str">
        <f>IF(AND($A264&gt;=SYear_O,$A264&lt;=EYear_O,BB$3&gt;0),IF($A264=SYear_O,BB$168*(1+Data_All!BB103%),BB263*(1+Data_All!BB103%)),"")</f>
        <v/>
      </c>
      <c r="BC264" s="427" t="str">
        <f>IF(AND($A264&gt;=SYear_O,$A264&lt;=EYear_O,BC$3&gt;0),IF($A264=SYear_O,BC$168*(1+Data_All!BC103%),BC263*(1+Data_All!BC103%)),"")</f>
        <v/>
      </c>
      <c r="BD264" s="427" t="str">
        <f>IF(AND($A264&gt;=SYear_O,$A264&lt;=EYear_O,BD$3&gt;0),IF($A264=SYear_O,BD$168*(1+Data_All!BD103%),BD263*(1+Data_All!BD103%)),"")</f>
        <v/>
      </c>
      <c r="BE264" s="427" t="str">
        <f>IF(AND($A264&gt;=SYear_O,$A264&lt;=EYear_O,BE$3&gt;0),IF($A264=SYear_O,BE$168*(1+Data_All!BE103%),BE263*(1+Data_All!BE103%)),"")</f>
        <v/>
      </c>
      <c r="BF264" s="427" t="str">
        <f>IF(AND($A264&gt;=SYear_O,$A264&lt;=EYear_O,BF$3&gt;0),IF($A264=SYear_O,BF$168*(1+Data_All!BF103%),BF263*(1+Data_All!BF103%)),"")</f>
        <v/>
      </c>
      <c r="BG264" s="427" t="str">
        <f>IF(AND($A264&gt;=SYear_O,$A264&lt;=EYear_O,BG$3&gt;0),IF($A264=SYear_O,BG$168*(1+Data_All!BG103%),BG263*(1+Data_All!BG103%)),"")</f>
        <v/>
      </c>
      <c r="BH264" s="427" t="str">
        <f>IF(AND($A264&gt;=SYear_O,$A264&lt;=EYear_O,BH$3&gt;0),IF($A264=SYear_O,BH$168*(1+Data_All!BH103%),BH263*(1+Data_All!BH103%)),"")</f>
        <v/>
      </c>
      <c r="BI264" s="427" t="str">
        <f>IF(AND($A264&gt;=SYear_O,$A264&lt;=EYear_O,BI$3&gt;0),IF($A264=SYear_O,BI$168*(1+Data_All!BI103%),BI263*(1+Data_All!BI103%)),"")</f>
        <v/>
      </c>
      <c r="BJ264" s="427" t="str">
        <f>IF(AND($A264&gt;=SYear_O,$A264&lt;=EYear_O,BJ$3&gt;0),IF($A264=SYear_O,BJ$168*(1+Data_All!BJ103%),BJ263*(1+Data_All!BJ103%)),"")</f>
        <v/>
      </c>
      <c r="BK264" s="427" t="str">
        <f>IF(AND($A264&gt;=SYear_O,$A264&lt;=EYear_O,BK$3&gt;0),IF($A264=SYear_O,BK$168*(1+Data_All!BK103%),BK263*(1+Data_All!BK103%)),"")</f>
        <v/>
      </c>
      <c r="BL264" s="427" t="str">
        <f>IF(AND($A264&gt;=SYear_O,$A264&lt;=EYear_O,BL$3&gt;0),IF($A264=SYear_O,BL$168*(1+Data_All!BL103%),BL263*(1+Data_All!BL103%)),"")</f>
        <v/>
      </c>
      <c r="BM264" s="427" t="str">
        <f>IF(AND($A264&gt;=SYear_O,$A264&lt;=EYear_O,BM$3&gt;0),IF($A264=SYear_O,BM$168*(1+Data_All!BM103%),BM263*(1+Data_All!BM103%)),"")</f>
        <v/>
      </c>
      <c r="BN264" s="427" t="str">
        <f>IF(AND($A264&gt;=SYear_O,$A264&lt;=EYear_O,BN$3&gt;0),IF($A264=SYear_O,BN$168*(1+Data_All!BN103%),BN263*(1+Data_All!BN103%)),"")</f>
        <v/>
      </c>
      <c r="BO264" s="427" t="str">
        <f>IF(AND($A264&gt;=SYear_O,$A264&lt;=EYear_O,BO$3&gt;0),IF($A264=SYear_O,BO$168*(1+Data_All!BO103%),BO263*(1+Data_All!BO103%)),"")</f>
        <v/>
      </c>
      <c r="BP264" s="427" t="str">
        <f>IF(AND($A264&gt;=SYear_O,$A264&lt;=EYear_O,BP$3&gt;0),IF($A264=SYear_O,BP$168*(1+Data_All!BP103%),BP263*(1+Data_All!BP103%)),"")</f>
        <v/>
      </c>
      <c r="BQ264" s="427" t="str">
        <f>IF(AND($A264&gt;=SYear_O,$A264&lt;=EYear_O,BQ$3&gt;0),IF($A264=SYear_O,BQ$168*(1+Data_All!BQ103%),BQ263*(1+Data_All!BQ103%)),"")</f>
        <v/>
      </c>
      <c r="BR264" s="427" t="str">
        <f>IF(AND($A264&gt;=SYear_O,$A264&lt;=EYear_O,BR$3&gt;0),IF($A264=SYear_O,BR$168*(1+Data_All!BR103%),BR263*(1+Data_All!BR103%)),"")</f>
        <v/>
      </c>
      <c r="BS264" s="427" t="str">
        <f>IF(AND($A264&gt;=SYear_O,$A264&lt;=EYear_O,BS$3&gt;0),IF($A264=SYear_O,BS$168*(1+Data_All!BS103%),BS263*(1+Data_All!BS103%)),"")</f>
        <v/>
      </c>
      <c r="BT264" s="427" t="str">
        <f>IF(AND($A264&gt;=SYear_O,$A264&lt;=EYear_O,BT$3&gt;0),IF($A264=SYear_O,BT$168*(1+Data_All!BT103%),BT263*(1+Data_All!BT103%)),"")</f>
        <v/>
      </c>
      <c r="BU264" s="427" t="str">
        <f>IF(AND($A264&gt;=SYear_O,$A264&lt;=EYear_O,BU$3&gt;0),IF($A264=SYear_O,BU$168*(1+Data_All!BU103%),BU263*(1+Data_All!BU103%)),"")</f>
        <v/>
      </c>
      <c r="BV264" s="427" t="str">
        <f>IF(AND($A264&gt;=SYear_O,$A264&lt;=EYear_O,BV$3&gt;0),IF($A264=SYear_O,BV$168*(1+Data_All!BV103%),BV263*(1+Data_All!BV103%)),"")</f>
        <v/>
      </c>
      <c r="BW264" s="427" t="str">
        <f>IF(AND($A264&gt;=SYear_O,$A264&lt;=EYear_O,BW$3&gt;0),IF($A264=SYear_O,BW$168*(1+Data_All!BW103%),BW263*(1+Data_All!BW103%)),"")</f>
        <v/>
      </c>
      <c r="BX264" s="427">
        <f>IF(AND($A264&gt;=SYear_O,$A264&lt;=EYear_O,BX$3&gt;0),IF($A264=SYear_O,BX$168*(1+Data_All!BX103%),BX263*(1+Data_All!BX103%)),"")</f>
        <v>12928386.143618355</v>
      </c>
      <c r="BY264" s="427">
        <f>IF(AND($A264&gt;=SYear_O,$A264&lt;=EYear_O,BY$3&gt;0),IF($A264=SYear_O,BY$168*(1+Data_All!BY103%),BY263*(1+Data_All!BY103%)),"")</f>
        <v>119557.46003466852</v>
      </c>
      <c r="BZ264" s="427" t="str">
        <f>IF(AND($A264&gt;=SYear_O,$A264&lt;=EYear_O,BZ$3&gt;0),IF($A264=SYear_O,BZ$168*(1+Data_All!BZ103%),BZ263*(1+Data_All!BZ103%)),"")</f>
        <v/>
      </c>
      <c r="CA264" s="565">
        <f t="shared" si="123"/>
        <v>-6.3354617152104566</v>
      </c>
      <c r="CB264" s="427">
        <f t="shared" si="124"/>
        <v>13047943.603653023</v>
      </c>
      <c r="CC264" s="565">
        <f>IF(AND($A264&gt;=SYear_O,$A264&lt;=EYear_O),(CA264-Data_All!CA103)/(1+Data_All!CA103%),"")</f>
        <v>-9.4671028128781813</v>
      </c>
      <c r="CD264" s="436">
        <f t="shared" si="125"/>
        <v>4943172.1884647794</v>
      </c>
      <c r="CE264" s="438">
        <f t="shared" si="126"/>
        <v>1183.4385523217991</v>
      </c>
      <c r="CF264" s="438">
        <f>IF(AND($A264&gt;=SYear_O,$A264&lt;=EYear_O),MAX($CE$169:CE264),"")</f>
        <v>1263.4862392888997</v>
      </c>
      <c r="CG264" s="209">
        <f t="shared" si="127"/>
        <v>6.3354617152104553E-2</v>
      </c>
      <c r="CN264" s="61">
        <f t="shared" si="128"/>
        <v>-6.3354617152104553E-2</v>
      </c>
      <c r="CO264" s="61">
        <f t="shared" si="129"/>
        <v>6.2506055742833633E-2</v>
      </c>
      <c r="CP264" s="61">
        <f t="shared" si="130"/>
        <v>3.3157569413427623E-2</v>
      </c>
      <c r="CQ264" s="61">
        <f t="shared" si="131"/>
        <v>3.8190736310069084E-2</v>
      </c>
      <c r="CR264" s="61">
        <f t="shared" si="132"/>
        <v>6.3421715676541979E-2</v>
      </c>
      <c r="CU264" s="61">
        <f t="shared" si="133"/>
        <v>-9.4671028128781809E-2</v>
      </c>
      <c r="CV264" s="61">
        <f t="shared" si="134"/>
        <v>2.3270501607703276E-2</v>
      </c>
      <c r="CW264" s="61">
        <f t="shared" si="135"/>
        <v>-1.2185557651845258E-2</v>
      </c>
      <c r="CX264" s="61">
        <f t="shared" si="136"/>
        <v>-1.8047312538682858E-2</v>
      </c>
      <c r="CY264" s="61">
        <f t="shared" si="137"/>
        <v>-5.0530014400425038E-3</v>
      </c>
    </row>
    <row r="265" spans="1:103">
      <c r="A265" s="204">
        <f t="shared" si="107"/>
        <v>1967</v>
      </c>
      <c r="B265" s="427" t="str">
        <f>IF(AND($A265&gt;=SYear_O,$A265&lt;=EYear_O,B$3&gt;0),IF($A265=SYear_O,B$168*(1+Data_All!B104%),B264*(1+Data_All!B104%)),"")</f>
        <v/>
      </c>
      <c r="C265" s="427" t="str">
        <f>IF(AND($A265&gt;=SYear_O,$A265&lt;=EYear_O,C$3&gt;0),IF($A265=SYear_O,C$168*(1+Data_All!C104%),C264*(1+Data_All!C104%)),"")</f>
        <v/>
      </c>
      <c r="D265" s="427" t="str">
        <f>IF(AND($A265&gt;=SYear_O,$A265&lt;=EYear_O,D$3&gt;0),IF($A265=SYear_O,D$168*(1+Data_All!D104%),D264*(1+Data_All!D104%)),"")</f>
        <v/>
      </c>
      <c r="E265" s="427" t="str">
        <f>IF(AND($A265&gt;=SYear_O,$A265&lt;=EYear_O,E$3&gt;0),IF($A265=SYear_O,E$168*(1+Data_All!E104%),E264*(1+Data_All!E104%)),"")</f>
        <v/>
      </c>
      <c r="F265" s="427" t="str">
        <f>IF(AND($A265&gt;=SYear_O,$A265&lt;=EYear_O,F$3&gt;0),IF($A265=SYear_O,F$168*(1+Data_All!F104%),F264*(1+Data_All!F104%)),"")</f>
        <v/>
      </c>
      <c r="G265" s="427" t="str">
        <f>IF(AND($A265&gt;=SYear_O,$A265&lt;=EYear_O,G$3&gt;0),IF($A265=SYear_O,G$168*(1+Data_All!G104%),G264*(1+Data_All!G104%)),"")</f>
        <v/>
      </c>
      <c r="H265" s="427" t="str">
        <f>IF(AND($A265&gt;=SYear_O,$A265&lt;=EYear_O,H$3&gt;0),IF($A265=SYear_O,H$168*(1+Data_All!H104%),H264*(1+Data_All!H104%)),"")</f>
        <v/>
      </c>
      <c r="I265" s="427" t="str">
        <f>IF(AND($A265&gt;=SYear_O,$A265&lt;=EYear_O,I$3&gt;0),IF($A265=SYear_O,I$168*(1+Data_All!I104%),I264*(1+Data_All!I104%)),"")</f>
        <v/>
      </c>
      <c r="J265" s="427" t="str">
        <f>IF(AND($A265&gt;=SYear_O,$A265&lt;=EYear_O,J$3&gt;0),IF($A265=SYear_O,J$168*(1+Data_All!J104%),J264*(1+Data_All!J104%)),"")</f>
        <v/>
      </c>
      <c r="K265" s="427" t="str">
        <f>IF(AND($A265&gt;=SYear_O,$A265&lt;=EYear_O,K$3&gt;0),IF($A265=SYear_O,K$168*(1+Data_All!K104%),K264*(1+Data_All!K104%)),"")</f>
        <v/>
      </c>
      <c r="L265" s="427" t="str">
        <f>IF(AND($A265&gt;=SYear_O,$A265&lt;=EYear_O,L$3&gt;0),IF($A265=SYear_O,L$168*(1+Data_All!L104%),L264*(1+Data_All!L104%)),"")</f>
        <v/>
      </c>
      <c r="M265" s="427" t="str">
        <f>IF(AND($A265&gt;=SYear_O,$A265&lt;=EYear_O,M$3&gt;0),IF($A265=SYear_O,M$168*(1+Data_All!M104%),M264*(1+Data_All!M104%)),"")</f>
        <v/>
      </c>
      <c r="N265" s="427" t="str">
        <f>IF(AND($A265&gt;=SYear_O,$A265&lt;=EYear_O,N$3&gt;0),IF($A265=SYear_O,N$168*(1+Data_All!N104%),N264*(1+Data_All!N104%)),"")</f>
        <v/>
      </c>
      <c r="O265" s="427" t="str">
        <f>IF(AND($A265&gt;=SYear_O,$A265&lt;=EYear_O,O$3&gt;0),IF($A265=SYear_O,O$168*(1+Data_All!O104%),O264*(1+Data_All!O104%)),"")</f>
        <v/>
      </c>
      <c r="P265" s="427" t="str">
        <f>IF(AND($A265&gt;=SYear_O,$A265&lt;=EYear_O,P$3&gt;0),IF($A265=SYear_O,P$168*(1+Data_All!P104%),P264*(1+Data_All!P104%)),"")</f>
        <v/>
      </c>
      <c r="Q265" s="427" t="str">
        <f>IF(AND($A265&gt;=SYear_O,$A265&lt;=EYear_O,Q$3&gt;0),IF($A265=SYear_O,Q$168*(1+Data_All!Q104%),Q264*(1+Data_All!Q104%)),"")</f>
        <v/>
      </c>
      <c r="R265" s="427" t="str">
        <f>IF(AND($A265&gt;=SYear_O,$A265&lt;=EYear_O,R$3&gt;0),IF($A265=SYear_O,R$168*(1+Data_All!R104%),R264*(1+Data_All!R104%)),"")</f>
        <v/>
      </c>
      <c r="S265" s="427" t="str">
        <f>IF(AND($A265&gt;=SYear_O,$A265&lt;=EYear_O,S$3&gt;0),IF($A265=SYear_O,S$168*(1+Data_All!S104%),S264*(1+Data_All!S104%)),"")</f>
        <v/>
      </c>
      <c r="T265" s="427" t="str">
        <f>IF(AND($A265&gt;=SYear_O,$A265&lt;=EYear_O,T$3&gt;0),IF($A265=SYear_O,T$168*(1+Data_All!T104%),T264*(1+Data_All!T104%)),"")</f>
        <v/>
      </c>
      <c r="U265" s="427" t="str">
        <f>IF(AND($A265&gt;=SYear_O,$A265&lt;=EYear_O,U$3&gt;0),IF($A265=SYear_O,U$168*(1+Data_All!U104%),U264*(1+Data_All!U104%)),"")</f>
        <v/>
      </c>
      <c r="V265" s="427" t="str">
        <f>IF(AND($A265&gt;=SYear_O,$A265&lt;=EYear_O,V$3&gt;0),IF($A265=SYear_O,V$168*(1+Data_All!V104%),V264*(1+Data_All!V104%)),"")</f>
        <v/>
      </c>
      <c r="W265" s="427" t="str">
        <f>IF(AND($A265&gt;=SYear_O,$A265&lt;=EYear_O,W$3&gt;0),IF($A265=SYear_O,W$168*(1+Data_All!W104%),W264*(1+Data_All!W104%)),"")</f>
        <v/>
      </c>
      <c r="X265" s="427" t="str">
        <f>IF(AND($A265&gt;=SYear_O,$A265&lt;=EYear_O,X$3&gt;0),IF($A265=SYear_O,X$168*(1+Data_All!X104%),X264*(1+Data_All!X104%)),"")</f>
        <v/>
      </c>
      <c r="Y265" s="427" t="str">
        <f>IF(AND($A265&gt;=SYear_O,$A265&lt;=EYear_O,Y$3&gt;0),IF($A265=SYear_O,Y$168*(1+Data_All!Y104%),Y264*(1+Data_All!Y104%)),"")</f>
        <v/>
      </c>
      <c r="Z265" s="427" t="str">
        <f>IF(AND($A265&gt;=SYear_O,$A265&lt;=EYear_O,Z$3&gt;0),IF($A265=SYear_O,Z$168*(1+Data_All!Z104%),Z264*(1+Data_All!Z104%)),"")</f>
        <v/>
      </c>
      <c r="AA265" s="427" t="str">
        <f>IF(AND($A265&gt;=SYear_O,$A265&lt;=EYear_O,AA$3&gt;0),IF($A265=SYear_O,AA$168*(1+Data_All!AA104%),AA264*(1+Data_All!AA104%)),"")</f>
        <v/>
      </c>
      <c r="AB265" s="427" t="str">
        <f>IF(AND($A265&gt;=SYear_O,$A265&lt;=EYear_O,AB$3&gt;0),IF($A265=SYear_O,AB$168*(1+Data_All!AB104%),AB264*(1+Data_All!AB104%)),"")</f>
        <v/>
      </c>
      <c r="AC265" s="427" t="str">
        <f>IF(AND($A265&gt;=SYear_O,$A265&lt;=EYear_O,AC$3&gt;0),IF($A265=SYear_O,AC$168*(1+Data_All!AC104%),AC264*(1+Data_All!AC104%)),"")</f>
        <v/>
      </c>
      <c r="AD265" s="427" t="str">
        <f>IF(AND($A265&gt;=SYear_O,$A265&lt;=EYear_O,AD$3&gt;0),IF($A265=SYear_O,AD$168*(1+Data_All!AD104%),AD264*(1+Data_All!AD104%)),"")</f>
        <v/>
      </c>
      <c r="AE265" s="427" t="str">
        <f>IF(AND($A265&gt;=SYear_O,$A265&lt;=EYear_O,AE$3&gt;0),IF($A265=SYear_O,AE$168*(1+Data_All!AE104%),AE264*(1+Data_All!AE104%)),"")</f>
        <v/>
      </c>
      <c r="AF265" s="427" t="str">
        <f>IF(AND($A265&gt;=SYear_O,$A265&lt;=EYear_O,AF$3&gt;0),IF($A265=SYear_O,AF$168*(1+Data_All!AF104%),AF264*(1+Data_All!AF104%)),"")</f>
        <v/>
      </c>
      <c r="AG265" s="427" t="str">
        <f>IF(AND($A265&gt;=SYear_O,$A265&lt;=EYear_O,AG$3&gt;0),IF($A265=SYear_O,AG$168*(1+Data_All!AG104%),AG264*(1+Data_All!AG104%)),"")</f>
        <v/>
      </c>
      <c r="AH265" s="427" t="str">
        <f>IF(AND($A265&gt;=SYear_O,$A265&lt;=EYear_O,AH$3&gt;0),IF($A265=SYear_O,AH$168*(1+Data_All!AH104%),AH264*(1+Data_All!AH104%)),"")</f>
        <v/>
      </c>
      <c r="AI265" s="427" t="str">
        <f>IF(AND($A265&gt;=SYear_O,$A265&lt;=EYear_O,AI$3&gt;0),IF($A265=SYear_O,AI$168*(1+Data_All!AI104%),AI264*(1+Data_All!AI104%)),"")</f>
        <v/>
      </c>
      <c r="AJ265" s="427" t="str">
        <f>IF(AND($A265&gt;=SYear_O,$A265&lt;=EYear_O,AJ$3&gt;0),IF($A265=SYear_O,AJ$168*(1+Data_All!AJ104%),AJ264*(1+Data_All!AJ104%)),"")</f>
        <v/>
      </c>
      <c r="AK265" s="427" t="str">
        <f>IF(AND($A265&gt;=SYear_O,$A265&lt;=EYear_O,AK$3&gt;0),IF($A265=SYear_O,AK$168*(1+Data_All!AK104%),AK264*(1+Data_All!AK104%)),"")</f>
        <v/>
      </c>
      <c r="AL265" s="427" t="str">
        <f>IF(AND($A265&gt;=SYear_O,$A265&lt;=EYear_O,AL$3&gt;0),IF($A265=SYear_O,AL$168*(1+Data_All!AL104%),AL264*(1+Data_All!AL104%)),"")</f>
        <v/>
      </c>
      <c r="AM265" s="427" t="str">
        <f>IF(AND($A265&gt;=SYear_O,$A265&lt;=EYear_O,AM$3&gt;0),IF($A265=SYear_O,AM$168*(1+Data_All!AM104%),AM264*(1+Data_All!AM104%)),"")</f>
        <v/>
      </c>
      <c r="AN265" s="427" t="str">
        <f>IF(AND($A265&gt;=SYear_O,$A265&lt;=EYear_O,AN$3&gt;0),IF($A265=SYear_O,AN$168*(1+Data_All!AN104%),AN264*(1+Data_All!AN104%)),"")</f>
        <v/>
      </c>
      <c r="AO265" s="427" t="str">
        <f>IF(AND($A265&gt;=SYear_O,$A265&lt;=EYear_O,AO$3&gt;0),IF($A265=SYear_O,AO$168*(1+Data_All!AO104%),AO264*(1+Data_All!AO104%)),"")</f>
        <v/>
      </c>
      <c r="AP265" s="427" t="str">
        <f>IF(AND($A265&gt;=SYear_O,$A265&lt;=EYear_O,AP$3&gt;0),IF($A265=SYear_O,AP$168*(1+Data_All!AP104%),AP264*(1+Data_All!AP104%)),"")</f>
        <v/>
      </c>
      <c r="AQ265" s="427" t="str">
        <f>IF(AND($A265&gt;=SYear_O,$A265&lt;=EYear_O,AQ$3&gt;0),IF($A265=SYear_O,AQ$168*(1+Data_All!AQ104%),AQ264*(1+Data_All!AQ104%)),"")</f>
        <v/>
      </c>
      <c r="AR265" s="427" t="str">
        <f>IF(AND($A265&gt;=SYear_O,$A265&lt;=EYear_O,AR$3&gt;0),IF($A265=SYear_O,AR$168*(1+Data_All!AR104%),AR264*(1+Data_All!AR104%)),"")</f>
        <v/>
      </c>
      <c r="AS265" s="427" t="str">
        <f>IF(AND($A265&gt;=SYear_O,$A265&lt;=EYear_O,AS$3&gt;0),IF($A265=SYear_O,AS$168*(1+Data_All!AS104%),AS264*(1+Data_All!AS104%)),"")</f>
        <v/>
      </c>
      <c r="AT265" s="427" t="str">
        <f>IF(AND($A265&gt;=SYear_O,$A265&lt;=EYear_O,AT$3&gt;0),IF($A265=SYear_O,AT$168*(1+Data_All!AT104%),AT264*(1+Data_All!AT104%)),"")</f>
        <v/>
      </c>
      <c r="AU265" s="427" t="str">
        <f>IF(AND($A265&gt;=SYear_O,$A265&lt;=EYear_O,AU$3&gt;0),IF($A265=SYear_O,AU$168*(1+Data_All!AU104%),AU264*(1+Data_All!AU104%)),"")</f>
        <v/>
      </c>
      <c r="AV265" s="427" t="str">
        <f>IF(AND($A265&gt;=SYear_O,$A265&lt;=EYear_O,AV$3&gt;0),IF($A265=SYear_O,AV$168*(1+Data_All!AV104%),AV264*(1+Data_All!AV104%)),"")</f>
        <v/>
      </c>
      <c r="AW265" s="427" t="str">
        <f>IF(AND($A265&gt;=SYear_O,$A265&lt;=EYear_O,AW$3&gt;0),IF($A265=SYear_O,AW$168*(1+Data_All!AW104%),AW264*(1+Data_All!AW104%)),"")</f>
        <v/>
      </c>
      <c r="AX265" s="427" t="str">
        <f>IF(AND($A265&gt;=SYear_O,$A265&lt;=EYear_O,AX$3&gt;0),IF($A265=SYear_O,AX$168*(1+Data_All!AX104%),AX264*(1+Data_All!AX104%)),"")</f>
        <v/>
      </c>
      <c r="AY265" s="427" t="str">
        <f>IF(AND($A265&gt;=SYear_O,$A265&lt;=EYear_O,AY$3&gt;0),IF($A265=SYear_O,AY$168*(1+Data_All!AY104%),AY264*(1+Data_All!AY104%)),"")</f>
        <v/>
      </c>
      <c r="AZ265" s="427" t="str">
        <f>IF(AND($A265&gt;=SYear_O,$A265&lt;=EYear_O,AZ$3&gt;0),IF($A265=SYear_O,AZ$168*(1+Data_All!AZ104%),AZ264*(1+Data_All!AZ104%)),"")</f>
        <v/>
      </c>
      <c r="BA265" s="427" t="str">
        <f>IF(AND($A265&gt;=SYear_O,$A265&lt;=EYear_O,BA$3&gt;0),IF($A265=SYear_O,BA$168*(1+Data_All!BA104%),BA264*(1+Data_All!BA104%)),"")</f>
        <v/>
      </c>
      <c r="BB265" s="427" t="str">
        <f>IF(AND($A265&gt;=SYear_O,$A265&lt;=EYear_O,BB$3&gt;0),IF($A265=SYear_O,BB$168*(1+Data_All!BB104%),BB264*(1+Data_All!BB104%)),"")</f>
        <v/>
      </c>
      <c r="BC265" s="427" t="str">
        <f>IF(AND($A265&gt;=SYear_O,$A265&lt;=EYear_O,BC$3&gt;0),IF($A265=SYear_O,BC$168*(1+Data_All!BC104%),BC264*(1+Data_All!BC104%)),"")</f>
        <v/>
      </c>
      <c r="BD265" s="427" t="str">
        <f>IF(AND($A265&gt;=SYear_O,$A265&lt;=EYear_O,BD$3&gt;0),IF($A265=SYear_O,BD$168*(1+Data_All!BD104%),BD264*(1+Data_All!BD104%)),"")</f>
        <v/>
      </c>
      <c r="BE265" s="427" t="str">
        <f>IF(AND($A265&gt;=SYear_O,$A265&lt;=EYear_O,BE$3&gt;0),IF($A265=SYear_O,BE$168*(1+Data_All!BE104%),BE264*(1+Data_All!BE104%)),"")</f>
        <v/>
      </c>
      <c r="BF265" s="427" t="str">
        <f>IF(AND($A265&gt;=SYear_O,$A265&lt;=EYear_O,BF$3&gt;0),IF($A265=SYear_O,BF$168*(1+Data_All!BF104%),BF264*(1+Data_All!BF104%)),"")</f>
        <v/>
      </c>
      <c r="BG265" s="427" t="str">
        <f>IF(AND($A265&gt;=SYear_O,$A265&lt;=EYear_O,BG$3&gt;0),IF($A265=SYear_O,BG$168*(1+Data_All!BG104%),BG264*(1+Data_All!BG104%)),"")</f>
        <v/>
      </c>
      <c r="BH265" s="427" t="str">
        <f>IF(AND($A265&gt;=SYear_O,$A265&lt;=EYear_O,BH$3&gt;0),IF($A265=SYear_O,BH$168*(1+Data_All!BH104%),BH264*(1+Data_All!BH104%)),"")</f>
        <v/>
      </c>
      <c r="BI265" s="427" t="str">
        <f>IF(AND($A265&gt;=SYear_O,$A265&lt;=EYear_O,BI$3&gt;0),IF($A265=SYear_O,BI$168*(1+Data_All!BI104%),BI264*(1+Data_All!BI104%)),"")</f>
        <v/>
      </c>
      <c r="BJ265" s="427" t="str">
        <f>IF(AND($A265&gt;=SYear_O,$A265&lt;=EYear_O,BJ$3&gt;0),IF($A265=SYear_O,BJ$168*(1+Data_All!BJ104%),BJ264*(1+Data_All!BJ104%)),"")</f>
        <v/>
      </c>
      <c r="BK265" s="427" t="str">
        <f>IF(AND($A265&gt;=SYear_O,$A265&lt;=EYear_O,BK$3&gt;0),IF($A265=SYear_O,BK$168*(1+Data_All!BK104%),BK264*(1+Data_All!BK104%)),"")</f>
        <v/>
      </c>
      <c r="BL265" s="427" t="str">
        <f>IF(AND($A265&gt;=SYear_O,$A265&lt;=EYear_O,BL$3&gt;0),IF($A265=SYear_O,BL$168*(1+Data_All!BL104%),BL264*(1+Data_All!BL104%)),"")</f>
        <v/>
      </c>
      <c r="BM265" s="427" t="str">
        <f>IF(AND($A265&gt;=SYear_O,$A265&lt;=EYear_O,BM$3&gt;0),IF($A265=SYear_O,BM$168*(1+Data_All!BM104%),BM264*(1+Data_All!BM104%)),"")</f>
        <v/>
      </c>
      <c r="BN265" s="427" t="str">
        <f>IF(AND($A265&gt;=SYear_O,$A265&lt;=EYear_O,BN$3&gt;0),IF($A265=SYear_O,BN$168*(1+Data_All!BN104%),BN264*(1+Data_All!BN104%)),"")</f>
        <v/>
      </c>
      <c r="BO265" s="427" t="str">
        <f>IF(AND($A265&gt;=SYear_O,$A265&lt;=EYear_O,BO$3&gt;0),IF($A265=SYear_O,BO$168*(1+Data_All!BO104%),BO264*(1+Data_All!BO104%)),"")</f>
        <v/>
      </c>
      <c r="BP265" s="427" t="str">
        <f>IF(AND($A265&gt;=SYear_O,$A265&lt;=EYear_O,BP$3&gt;0),IF($A265=SYear_O,BP$168*(1+Data_All!BP104%),BP264*(1+Data_All!BP104%)),"")</f>
        <v/>
      </c>
      <c r="BQ265" s="427" t="str">
        <f>IF(AND($A265&gt;=SYear_O,$A265&lt;=EYear_O,BQ$3&gt;0),IF($A265=SYear_O,BQ$168*(1+Data_All!BQ104%),BQ264*(1+Data_All!BQ104%)),"")</f>
        <v/>
      </c>
      <c r="BR265" s="427" t="str">
        <f>IF(AND($A265&gt;=SYear_O,$A265&lt;=EYear_O,BR$3&gt;0),IF($A265=SYear_O,BR$168*(1+Data_All!BR104%),BR264*(1+Data_All!BR104%)),"")</f>
        <v/>
      </c>
      <c r="BS265" s="427" t="str">
        <f>IF(AND($A265&gt;=SYear_O,$A265&lt;=EYear_O,BS$3&gt;0),IF($A265=SYear_O,BS$168*(1+Data_All!BS104%),BS264*(1+Data_All!BS104%)),"")</f>
        <v/>
      </c>
      <c r="BT265" s="427" t="str">
        <f>IF(AND($A265&gt;=SYear_O,$A265&lt;=EYear_O,BT$3&gt;0),IF($A265=SYear_O,BT$168*(1+Data_All!BT104%),BT264*(1+Data_All!BT104%)),"")</f>
        <v/>
      </c>
      <c r="BU265" s="427" t="str">
        <f>IF(AND($A265&gt;=SYear_O,$A265&lt;=EYear_O,BU$3&gt;0),IF($A265=SYear_O,BU$168*(1+Data_All!BU104%),BU264*(1+Data_All!BU104%)),"")</f>
        <v/>
      </c>
      <c r="BV265" s="427" t="str">
        <f>IF(AND($A265&gt;=SYear_O,$A265&lt;=EYear_O,BV$3&gt;0),IF($A265=SYear_O,BV$168*(1+Data_All!BV104%),BV264*(1+Data_All!BV104%)),"")</f>
        <v/>
      </c>
      <c r="BW265" s="427" t="str">
        <f>IF(AND($A265&gt;=SYear_O,$A265&lt;=EYear_O,BW$3&gt;0),IF($A265=SYear_O,BW$168*(1+Data_All!BW104%),BW264*(1+Data_All!BW104%)),"")</f>
        <v/>
      </c>
      <c r="BX265" s="427">
        <f>IF(AND($A265&gt;=SYear_O,$A265&lt;=EYear_O,BX$3&gt;0),IF($A265=SYear_O,BX$168*(1+Data_All!BX104%),BX264*(1+Data_All!BX104%)),"")</f>
        <v>14996621.748121422</v>
      </c>
      <c r="BY265" s="427">
        <f>IF(AND($A265&gt;=SYear_O,$A265&lt;=EYear_O,BY$3&gt;0),IF($A265=SYear_O,BY$168*(1+Data_All!BY104%),BY264*(1+Data_All!BY104%)),"")</f>
        <v>120498.8024672039</v>
      </c>
      <c r="BZ265" s="427" t="str">
        <f>IF(AND($A265&gt;=SYear_O,$A265&lt;=EYear_O,BZ$3&gt;0),IF($A265=SYear_O,BZ$168*(1+Data_All!BZ104%),BZ264*(1+Data_All!BZ104%)),"")</f>
        <v/>
      </c>
      <c r="CA265" s="565">
        <f t="shared" ref="CA265:CA296" si="138">IF(AND($A265&gt;=SYear_O,$A265&lt;=EYear_O),IF($A265=SYear_O,100*(CB265-$CB$168)/$CB$168,100*(CB265-CB264)/CB264),"")</f>
        <v>15.858260962718274</v>
      </c>
      <c r="CB265" s="427">
        <f t="shared" ref="CB265:CB296" si="139">IF(AND($A265&gt;=SYear_O,$A265&lt;=EYear_O),SUM(B265:BZ265),"")</f>
        <v>15117120.550588626</v>
      </c>
      <c r="CC265" s="565">
        <f>IF(AND($A265&gt;=SYear_O,$A265&lt;=EYear_O),(CA265-Data_All!CA104)/(1+Data_All!CA104%),"")</f>
        <v>11.781137409778029</v>
      </c>
      <c r="CD265" s="436">
        <f t="shared" ref="CD265:CD296" si="140">IF(AND($A265&gt;=SYear_O,$A265&lt;=EYear_O),IF($A265=SYear_O,$CD$4*(1+CC265%),$CD264*(1+CC265%)),"")</f>
        <v>5525534.0963897463</v>
      </c>
      <c r="CE265" s="438">
        <f t="shared" ref="CE265:CE296" si="141">IF(AND($A265&gt;=SYear_O,$A265&lt;=EYear_O),IF($A265=SYear_O,$CE$166,$CE264*(1+CA265%)),"")</f>
        <v>1371.1113262824051</v>
      </c>
      <c r="CF265" s="438">
        <f>IF(AND($A265&gt;=SYear_O,$A265&lt;=EYear_O),MAX($CE$169:CE265),"")</f>
        <v>1371.1113262824051</v>
      </c>
      <c r="CG265" s="209">
        <f t="shared" ref="CG265:CG296" si="142">IF(AND($A265&gt;=SYear_O,$A265&lt;=EYear_O),1-(CE265/CF265),"")</f>
        <v>0</v>
      </c>
      <c r="CN265" s="61">
        <f t="shared" ref="CN265:CN295" si="143">IF(AND($A265&gt;=SYear_O,$A265&lt;=EYear_O),IF($A265=SYear_O,($CB265/CB$168)-1,($CB265/$CB264)-1),"")</f>
        <v>0.15858260962718274</v>
      </c>
      <c r="CO265" s="61">
        <f t="shared" ref="CO265:CO311" si="144">IF(AND($A265&gt;=SYear_O,$A265&lt;=EYear_O),IF($A265=SYear_O,(($CB267/$CB$168)^(1/(1+($A267-$A265)))-1),(($CB267/$CB264)^(1/(1+($A267-$A265)))-1)),"")</f>
        <v>5.4851213489835571E-2</v>
      </c>
      <c r="CP265" s="61">
        <f t="shared" ref="CP265:CP309" si="145">IF(AND($A265&gt;=SYear_O,$A265&lt;=EYear_O),IF($A265=SYear_O,(($CB269/$CB$168)^(1/(1+($A269-$A265)))-1),(($CB269/$CB264)^(1/(1+($A269-$A265)))-1)),"")</f>
        <v>7.4043611757325989E-2</v>
      </c>
      <c r="CQ265" s="61">
        <f t="shared" ref="CQ265:CQ304" si="146">IF(AND($A265&gt;=SYear_O,$A265&lt;=EYear_O),IF($A265=SYear_O,(($CB274/$CB$168)^(1/(1+($A274-$A265)))-1),(($CB274/$CB264)^(1/(1+($A274-$A265)))-1)),"")</f>
        <v>5.630643433745619E-2</v>
      </c>
      <c r="CR265" s="61">
        <f t="shared" ref="CR265:CR294" si="147">IF(AND($A265&gt;=SYear_O,$A265&lt;=EYear_O),IF($A265=SYear_O,(($CB279/$CB$168)^(1/(1+($A279-$A265)))-1),(($CB279/$CB264)^(1/(1+($A279-$A265)))-1)),"")</f>
        <v>6.3121606787305495E-2</v>
      </c>
      <c r="CU265" s="61">
        <f t="shared" ref="CU265:CU313" si="148">IF(AND($A265&gt;=SYear_O,$A265&lt;=EYear_O),IF($A265=SYear_O,($CD265/$CD$168)-1,($CD265/$CD264)-1),"")</f>
        <v>0.1178113740977802</v>
      </c>
      <c r="CV265" s="61">
        <f t="shared" ref="CV265:CV311" si="149">IF(AND($A265&gt;=SYear_O,$A265&lt;=EYear_O),IF($A265=SYear_O,(($CD267/$CD$168)^(1/(1+($A267-$A265)))-1),(($CD267/$CD264)^(1/(1+($A267-$A265)))-1)),"")</f>
        <v>7.1463261463096117E-3</v>
      </c>
      <c r="CW265" s="61">
        <f t="shared" ref="CW265:CW309" si="150">IF(AND($A265&gt;=SYear_O,$A265&lt;=EYear_O),IF($A265=SYear_O,(($CD269/$CD$168)^(1/(1+($A269-$A265)))-1),(($CD269/$CD264)^(1/(1+($A269-$A265)))-1)),"")</f>
        <v>2.7289221754772441E-2</v>
      </c>
      <c r="CX265" s="61">
        <f t="shared" ref="CX265:CX304" si="151">IF(AND($A265&gt;=SYear_O,$A265&lt;=EYear_O),IF($A265=SYear_O,(($CD274/$CD$168)^(1/(1+($A274-$A265)))-1),(($CD274/$CD264)^(1/(1+($A274-$A265)))-1)),"")</f>
        <v>-2.2603839520672908E-3</v>
      </c>
      <c r="CY265" s="61">
        <f t="shared" ref="CY265:CY294" si="152">IF(AND($A265&gt;=SYear_O,$A265&lt;=EYear_O),IF($A265=SYear_O,(($CD279/$CD$168)^(1/(1+($A279-$A265)))-1),(($CD279/$CD264)^(1/(1+($A279-$A265)))-1)),"")</f>
        <v>-8.7402293708209733E-3</v>
      </c>
    </row>
    <row r="266" spans="1:103">
      <c r="A266" s="204">
        <f t="shared" si="107"/>
        <v>1968</v>
      </c>
      <c r="B266" s="427" t="str">
        <f>IF(AND($A266&gt;=SYear_O,$A266&lt;=EYear_O,B$3&gt;0),IF($A266=SYear_O,B$168*(1+Data_All!B105%),B265*(1+Data_All!B105%)),"")</f>
        <v/>
      </c>
      <c r="C266" s="427" t="str">
        <f>IF(AND($A266&gt;=SYear_O,$A266&lt;=EYear_O,C$3&gt;0),IF($A266=SYear_O,C$168*(1+Data_All!C105%),C265*(1+Data_All!C105%)),"")</f>
        <v/>
      </c>
      <c r="D266" s="427" t="str">
        <f>IF(AND($A266&gt;=SYear_O,$A266&lt;=EYear_O,D$3&gt;0),IF($A266=SYear_O,D$168*(1+Data_All!D105%),D265*(1+Data_All!D105%)),"")</f>
        <v/>
      </c>
      <c r="E266" s="427" t="str">
        <f>IF(AND($A266&gt;=SYear_O,$A266&lt;=EYear_O,E$3&gt;0),IF($A266=SYear_O,E$168*(1+Data_All!E105%),E265*(1+Data_All!E105%)),"")</f>
        <v/>
      </c>
      <c r="F266" s="427" t="str">
        <f>IF(AND($A266&gt;=SYear_O,$A266&lt;=EYear_O,F$3&gt;0),IF($A266=SYear_O,F$168*(1+Data_All!F105%),F265*(1+Data_All!F105%)),"")</f>
        <v/>
      </c>
      <c r="G266" s="427" t="str">
        <f>IF(AND($A266&gt;=SYear_O,$A266&lt;=EYear_O,G$3&gt;0),IF($A266=SYear_O,G$168*(1+Data_All!G105%),G265*(1+Data_All!G105%)),"")</f>
        <v/>
      </c>
      <c r="H266" s="427" t="str">
        <f>IF(AND($A266&gt;=SYear_O,$A266&lt;=EYear_O,H$3&gt;0),IF($A266=SYear_O,H$168*(1+Data_All!H105%),H265*(1+Data_All!H105%)),"")</f>
        <v/>
      </c>
      <c r="I266" s="427" t="str">
        <f>IF(AND($A266&gt;=SYear_O,$A266&lt;=EYear_O,I$3&gt;0),IF($A266=SYear_O,I$168*(1+Data_All!I105%),I265*(1+Data_All!I105%)),"")</f>
        <v/>
      </c>
      <c r="J266" s="427" t="str">
        <f>IF(AND($A266&gt;=SYear_O,$A266&lt;=EYear_O,J$3&gt;0),IF($A266=SYear_O,J$168*(1+Data_All!J105%),J265*(1+Data_All!J105%)),"")</f>
        <v/>
      </c>
      <c r="K266" s="427" t="str">
        <f>IF(AND($A266&gt;=SYear_O,$A266&lt;=EYear_O,K$3&gt;0),IF($A266=SYear_O,K$168*(1+Data_All!K105%),K265*(1+Data_All!K105%)),"")</f>
        <v/>
      </c>
      <c r="L266" s="427" t="str">
        <f>IF(AND($A266&gt;=SYear_O,$A266&lt;=EYear_O,L$3&gt;0),IF($A266=SYear_O,L$168*(1+Data_All!L105%),L265*(1+Data_All!L105%)),"")</f>
        <v/>
      </c>
      <c r="M266" s="427" t="str">
        <f>IF(AND($A266&gt;=SYear_O,$A266&lt;=EYear_O,M$3&gt;0),IF($A266=SYear_O,M$168*(1+Data_All!M105%),M265*(1+Data_All!M105%)),"")</f>
        <v/>
      </c>
      <c r="N266" s="427" t="str">
        <f>IF(AND($A266&gt;=SYear_O,$A266&lt;=EYear_O,N$3&gt;0),IF($A266=SYear_O,N$168*(1+Data_All!N105%),N265*(1+Data_All!N105%)),"")</f>
        <v/>
      </c>
      <c r="O266" s="427" t="str">
        <f>IF(AND($A266&gt;=SYear_O,$A266&lt;=EYear_O,O$3&gt;0),IF($A266=SYear_O,O$168*(1+Data_All!O105%),O265*(1+Data_All!O105%)),"")</f>
        <v/>
      </c>
      <c r="P266" s="427" t="str">
        <f>IF(AND($A266&gt;=SYear_O,$A266&lt;=EYear_O,P$3&gt;0),IF($A266=SYear_O,P$168*(1+Data_All!P105%),P265*(1+Data_All!P105%)),"")</f>
        <v/>
      </c>
      <c r="Q266" s="427" t="str">
        <f>IF(AND($A266&gt;=SYear_O,$A266&lt;=EYear_O,Q$3&gt;0),IF($A266=SYear_O,Q$168*(1+Data_All!Q105%),Q265*(1+Data_All!Q105%)),"")</f>
        <v/>
      </c>
      <c r="R266" s="427" t="str">
        <f>IF(AND($A266&gt;=SYear_O,$A266&lt;=EYear_O,R$3&gt;0),IF($A266=SYear_O,R$168*(1+Data_All!R105%),R265*(1+Data_All!R105%)),"")</f>
        <v/>
      </c>
      <c r="S266" s="427" t="str">
        <f>IF(AND($A266&gt;=SYear_O,$A266&lt;=EYear_O,S$3&gt;0),IF($A266=SYear_O,S$168*(1+Data_All!S105%),S265*(1+Data_All!S105%)),"")</f>
        <v/>
      </c>
      <c r="T266" s="427" t="str">
        <f>IF(AND($A266&gt;=SYear_O,$A266&lt;=EYear_O,T$3&gt;0),IF($A266=SYear_O,T$168*(1+Data_All!T105%),T265*(1+Data_All!T105%)),"")</f>
        <v/>
      </c>
      <c r="U266" s="427" t="str">
        <f>IF(AND($A266&gt;=SYear_O,$A266&lt;=EYear_O,U$3&gt;0),IF($A266=SYear_O,U$168*(1+Data_All!U105%),U265*(1+Data_All!U105%)),"")</f>
        <v/>
      </c>
      <c r="V266" s="427" t="str">
        <f>IF(AND($A266&gt;=SYear_O,$A266&lt;=EYear_O,V$3&gt;0),IF($A266=SYear_O,V$168*(1+Data_All!V105%),V265*(1+Data_All!V105%)),"")</f>
        <v/>
      </c>
      <c r="W266" s="427" t="str">
        <f>IF(AND($A266&gt;=SYear_O,$A266&lt;=EYear_O,W$3&gt;0),IF($A266=SYear_O,W$168*(1+Data_All!W105%),W265*(1+Data_All!W105%)),"")</f>
        <v/>
      </c>
      <c r="X266" s="427" t="str">
        <f>IF(AND($A266&gt;=SYear_O,$A266&lt;=EYear_O,X$3&gt;0),IF($A266=SYear_O,X$168*(1+Data_All!X105%),X265*(1+Data_All!X105%)),"")</f>
        <v/>
      </c>
      <c r="Y266" s="427" t="str">
        <f>IF(AND($A266&gt;=SYear_O,$A266&lt;=EYear_O,Y$3&gt;0),IF($A266=SYear_O,Y$168*(1+Data_All!Y105%),Y265*(1+Data_All!Y105%)),"")</f>
        <v/>
      </c>
      <c r="Z266" s="427" t="str">
        <f>IF(AND($A266&gt;=SYear_O,$A266&lt;=EYear_O,Z$3&gt;0),IF($A266=SYear_O,Z$168*(1+Data_All!Z105%),Z265*(1+Data_All!Z105%)),"")</f>
        <v/>
      </c>
      <c r="AA266" s="427" t="str">
        <f>IF(AND($A266&gt;=SYear_O,$A266&lt;=EYear_O,AA$3&gt;0),IF($A266=SYear_O,AA$168*(1+Data_All!AA105%),AA265*(1+Data_All!AA105%)),"")</f>
        <v/>
      </c>
      <c r="AB266" s="427" t="str">
        <f>IF(AND($A266&gt;=SYear_O,$A266&lt;=EYear_O,AB$3&gt;0),IF($A266=SYear_O,AB$168*(1+Data_All!AB105%),AB265*(1+Data_All!AB105%)),"")</f>
        <v/>
      </c>
      <c r="AC266" s="427" t="str">
        <f>IF(AND($A266&gt;=SYear_O,$A266&lt;=EYear_O,AC$3&gt;0),IF($A266=SYear_O,AC$168*(1+Data_All!AC105%),AC265*(1+Data_All!AC105%)),"")</f>
        <v/>
      </c>
      <c r="AD266" s="427" t="str">
        <f>IF(AND($A266&gt;=SYear_O,$A266&lt;=EYear_O,AD$3&gt;0),IF($A266=SYear_O,AD$168*(1+Data_All!AD105%),AD265*(1+Data_All!AD105%)),"")</f>
        <v/>
      </c>
      <c r="AE266" s="427" t="str">
        <f>IF(AND($A266&gt;=SYear_O,$A266&lt;=EYear_O,AE$3&gt;0),IF($A266=SYear_O,AE$168*(1+Data_All!AE105%),AE265*(1+Data_All!AE105%)),"")</f>
        <v/>
      </c>
      <c r="AF266" s="427" t="str">
        <f>IF(AND($A266&gt;=SYear_O,$A266&lt;=EYear_O,AF$3&gt;0),IF($A266=SYear_O,AF$168*(1+Data_All!AF105%),AF265*(1+Data_All!AF105%)),"")</f>
        <v/>
      </c>
      <c r="AG266" s="427" t="str">
        <f>IF(AND($A266&gt;=SYear_O,$A266&lt;=EYear_O,AG$3&gt;0),IF($A266=SYear_O,AG$168*(1+Data_All!AG105%),AG265*(1+Data_All!AG105%)),"")</f>
        <v/>
      </c>
      <c r="AH266" s="427" t="str">
        <f>IF(AND($A266&gt;=SYear_O,$A266&lt;=EYear_O,AH$3&gt;0),IF($A266=SYear_O,AH$168*(1+Data_All!AH105%),AH265*(1+Data_All!AH105%)),"")</f>
        <v/>
      </c>
      <c r="AI266" s="427" t="str">
        <f>IF(AND($A266&gt;=SYear_O,$A266&lt;=EYear_O,AI$3&gt;0),IF($A266=SYear_O,AI$168*(1+Data_All!AI105%),AI265*(1+Data_All!AI105%)),"")</f>
        <v/>
      </c>
      <c r="AJ266" s="427" t="str">
        <f>IF(AND($A266&gt;=SYear_O,$A266&lt;=EYear_O,AJ$3&gt;0),IF($A266=SYear_O,AJ$168*(1+Data_All!AJ105%),AJ265*(1+Data_All!AJ105%)),"")</f>
        <v/>
      </c>
      <c r="AK266" s="427" t="str">
        <f>IF(AND($A266&gt;=SYear_O,$A266&lt;=EYear_O,AK$3&gt;0),IF($A266=SYear_O,AK$168*(1+Data_All!AK105%),AK265*(1+Data_All!AK105%)),"")</f>
        <v/>
      </c>
      <c r="AL266" s="427" t="str">
        <f>IF(AND($A266&gt;=SYear_O,$A266&lt;=EYear_O,AL$3&gt;0),IF($A266=SYear_O,AL$168*(1+Data_All!AL105%),AL265*(1+Data_All!AL105%)),"")</f>
        <v/>
      </c>
      <c r="AM266" s="427" t="str">
        <f>IF(AND($A266&gt;=SYear_O,$A266&lt;=EYear_O,AM$3&gt;0),IF($A266=SYear_O,AM$168*(1+Data_All!AM105%),AM265*(1+Data_All!AM105%)),"")</f>
        <v/>
      </c>
      <c r="AN266" s="427" t="str">
        <f>IF(AND($A266&gt;=SYear_O,$A266&lt;=EYear_O,AN$3&gt;0),IF($A266=SYear_O,AN$168*(1+Data_All!AN105%),AN265*(1+Data_All!AN105%)),"")</f>
        <v/>
      </c>
      <c r="AO266" s="427" t="str">
        <f>IF(AND($A266&gt;=SYear_O,$A266&lt;=EYear_O,AO$3&gt;0),IF($A266=SYear_O,AO$168*(1+Data_All!AO105%),AO265*(1+Data_All!AO105%)),"")</f>
        <v/>
      </c>
      <c r="AP266" s="427" t="str">
        <f>IF(AND($A266&gt;=SYear_O,$A266&lt;=EYear_O,AP$3&gt;0),IF($A266=SYear_O,AP$168*(1+Data_All!AP105%),AP265*(1+Data_All!AP105%)),"")</f>
        <v/>
      </c>
      <c r="AQ266" s="427" t="str">
        <f>IF(AND($A266&gt;=SYear_O,$A266&lt;=EYear_O,AQ$3&gt;0),IF($A266=SYear_O,AQ$168*(1+Data_All!AQ105%),AQ265*(1+Data_All!AQ105%)),"")</f>
        <v/>
      </c>
      <c r="AR266" s="427" t="str">
        <f>IF(AND($A266&gt;=SYear_O,$A266&lt;=EYear_O,AR$3&gt;0),IF($A266=SYear_O,AR$168*(1+Data_All!AR105%),AR265*(1+Data_All!AR105%)),"")</f>
        <v/>
      </c>
      <c r="AS266" s="427" t="str">
        <f>IF(AND($A266&gt;=SYear_O,$A266&lt;=EYear_O,AS$3&gt;0),IF($A266=SYear_O,AS$168*(1+Data_All!AS105%),AS265*(1+Data_All!AS105%)),"")</f>
        <v/>
      </c>
      <c r="AT266" s="427" t="str">
        <f>IF(AND($A266&gt;=SYear_O,$A266&lt;=EYear_O,AT$3&gt;0),IF($A266=SYear_O,AT$168*(1+Data_All!AT105%),AT265*(1+Data_All!AT105%)),"")</f>
        <v/>
      </c>
      <c r="AU266" s="427" t="str">
        <f>IF(AND($A266&gt;=SYear_O,$A266&lt;=EYear_O,AU$3&gt;0),IF($A266=SYear_O,AU$168*(1+Data_All!AU105%),AU265*(1+Data_All!AU105%)),"")</f>
        <v/>
      </c>
      <c r="AV266" s="427" t="str">
        <f>IF(AND($A266&gt;=SYear_O,$A266&lt;=EYear_O,AV$3&gt;0),IF($A266=SYear_O,AV$168*(1+Data_All!AV105%),AV265*(1+Data_All!AV105%)),"")</f>
        <v/>
      </c>
      <c r="AW266" s="427" t="str">
        <f>IF(AND($A266&gt;=SYear_O,$A266&lt;=EYear_O,AW$3&gt;0),IF($A266=SYear_O,AW$168*(1+Data_All!AW105%),AW265*(1+Data_All!AW105%)),"")</f>
        <v/>
      </c>
      <c r="AX266" s="427" t="str">
        <f>IF(AND($A266&gt;=SYear_O,$A266&lt;=EYear_O,AX$3&gt;0),IF($A266=SYear_O,AX$168*(1+Data_All!AX105%),AX265*(1+Data_All!AX105%)),"")</f>
        <v/>
      </c>
      <c r="AY266" s="427" t="str">
        <f>IF(AND($A266&gt;=SYear_O,$A266&lt;=EYear_O,AY$3&gt;0),IF($A266=SYear_O,AY$168*(1+Data_All!AY105%),AY265*(1+Data_All!AY105%)),"")</f>
        <v/>
      </c>
      <c r="AZ266" s="427" t="str">
        <f>IF(AND($A266&gt;=SYear_O,$A266&lt;=EYear_O,AZ$3&gt;0),IF($A266=SYear_O,AZ$168*(1+Data_All!AZ105%),AZ265*(1+Data_All!AZ105%)),"")</f>
        <v/>
      </c>
      <c r="BA266" s="427" t="str">
        <f>IF(AND($A266&gt;=SYear_O,$A266&lt;=EYear_O,BA$3&gt;0),IF($A266=SYear_O,BA$168*(1+Data_All!BA105%),BA265*(1+Data_All!BA105%)),"")</f>
        <v/>
      </c>
      <c r="BB266" s="427" t="str">
        <f>IF(AND($A266&gt;=SYear_O,$A266&lt;=EYear_O,BB$3&gt;0),IF($A266=SYear_O,BB$168*(1+Data_All!BB105%),BB265*(1+Data_All!BB105%)),"")</f>
        <v/>
      </c>
      <c r="BC266" s="427" t="str">
        <f>IF(AND($A266&gt;=SYear_O,$A266&lt;=EYear_O,BC$3&gt;0),IF($A266=SYear_O,BC$168*(1+Data_All!BC105%),BC265*(1+Data_All!BC105%)),"")</f>
        <v/>
      </c>
      <c r="BD266" s="427" t="str">
        <f>IF(AND($A266&gt;=SYear_O,$A266&lt;=EYear_O,BD$3&gt;0),IF($A266=SYear_O,BD$168*(1+Data_All!BD105%),BD265*(1+Data_All!BD105%)),"")</f>
        <v/>
      </c>
      <c r="BE266" s="427" t="str">
        <f>IF(AND($A266&gt;=SYear_O,$A266&lt;=EYear_O,BE$3&gt;0),IF($A266=SYear_O,BE$168*(1+Data_All!BE105%),BE265*(1+Data_All!BE105%)),"")</f>
        <v/>
      </c>
      <c r="BF266" s="427" t="str">
        <f>IF(AND($A266&gt;=SYear_O,$A266&lt;=EYear_O,BF$3&gt;0),IF($A266=SYear_O,BF$168*(1+Data_All!BF105%),BF265*(1+Data_All!BF105%)),"")</f>
        <v/>
      </c>
      <c r="BG266" s="427" t="str">
        <f>IF(AND($A266&gt;=SYear_O,$A266&lt;=EYear_O,BG$3&gt;0),IF($A266=SYear_O,BG$168*(1+Data_All!BG105%),BG265*(1+Data_All!BG105%)),"")</f>
        <v/>
      </c>
      <c r="BH266" s="427" t="str">
        <f>IF(AND($A266&gt;=SYear_O,$A266&lt;=EYear_O,BH$3&gt;0),IF($A266=SYear_O,BH$168*(1+Data_All!BH105%),BH265*(1+Data_All!BH105%)),"")</f>
        <v/>
      </c>
      <c r="BI266" s="427" t="str">
        <f>IF(AND($A266&gt;=SYear_O,$A266&lt;=EYear_O,BI$3&gt;0),IF($A266=SYear_O,BI$168*(1+Data_All!BI105%),BI265*(1+Data_All!BI105%)),"")</f>
        <v/>
      </c>
      <c r="BJ266" s="427" t="str">
        <f>IF(AND($A266&gt;=SYear_O,$A266&lt;=EYear_O,BJ$3&gt;0),IF($A266=SYear_O,BJ$168*(1+Data_All!BJ105%),BJ265*(1+Data_All!BJ105%)),"")</f>
        <v/>
      </c>
      <c r="BK266" s="427" t="str">
        <f>IF(AND($A266&gt;=SYear_O,$A266&lt;=EYear_O,BK$3&gt;0),IF($A266=SYear_O,BK$168*(1+Data_All!BK105%),BK265*(1+Data_All!BK105%)),"")</f>
        <v/>
      </c>
      <c r="BL266" s="427" t="str">
        <f>IF(AND($A266&gt;=SYear_O,$A266&lt;=EYear_O,BL$3&gt;0),IF($A266=SYear_O,BL$168*(1+Data_All!BL105%),BL265*(1+Data_All!BL105%)),"")</f>
        <v/>
      </c>
      <c r="BM266" s="427" t="str">
        <f>IF(AND($A266&gt;=SYear_O,$A266&lt;=EYear_O,BM$3&gt;0),IF($A266=SYear_O,BM$168*(1+Data_All!BM105%),BM265*(1+Data_All!BM105%)),"")</f>
        <v/>
      </c>
      <c r="BN266" s="427" t="str">
        <f>IF(AND($A266&gt;=SYear_O,$A266&lt;=EYear_O,BN$3&gt;0),IF($A266=SYear_O,BN$168*(1+Data_All!BN105%),BN265*(1+Data_All!BN105%)),"")</f>
        <v/>
      </c>
      <c r="BO266" s="427" t="str">
        <f>IF(AND($A266&gt;=SYear_O,$A266&lt;=EYear_O,BO$3&gt;0),IF($A266=SYear_O,BO$168*(1+Data_All!BO105%),BO265*(1+Data_All!BO105%)),"")</f>
        <v/>
      </c>
      <c r="BP266" s="427" t="str">
        <f>IF(AND($A266&gt;=SYear_O,$A266&lt;=EYear_O,BP$3&gt;0),IF($A266=SYear_O,BP$168*(1+Data_All!BP105%),BP265*(1+Data_All!BP105%)),"")</f>
        <v/>
      </c>
      <c r="BQ266" s="427" t="str">
        <f>IF(AND($A266&gt;=SYear_O,$A266&lt;=EYear_O,BQ$3&gt;0),IF($A266=SYear_O,BQ$168*(1+Data_All!BQ105%),BQ265*(1+Data_All!BQ105%)),"")</f>
        <v/>
      </c>
      <c r="BR266" s="427" t="str">
        <f>IF(AND($A266&gt;=SYear_O,$A266&lt;=EYear_O,BR$3&gt;0),IF($A266=SYear_O,BR$168*(1+Data_All!BR105%),BR265*(1+Data_All!BR105%)),"")</f>
        <v/>
      </c>
      <c r="BS266" s="427" t="str">
        <f>IF(AND($A266&gt;=SYear_O,$A266&lt;=EYear_O,BS$3&gt;0),IF($A266=SYear_O,BS$168*(1+Data_All!BS105%),BS265*(1+Data_All!BS105%)),"")</f>
        <v/>
      </c>
      <c r="BT266" s="427" t="str">
        <f>IF(AND($A266&gt;=SYear_O,$A266&lt;=EYear_O,BT$3&gt;0),IF($A266=SYear_O,BT$168*(1+Data_All!BT105%),BT265*(1+Data_All!BT105%)),"")</f>
        <v/>
      </c>
      <c r="BU266" s="427" t="str">
        <f>IF(AND($A266&gt;=SYear_O,$A266&lt;=EYear_O,BU$3&gt;0),IF($A266=SYear_O,BU$168*(1+Data_All!BU105%),BU265*(1+Data_All!BU105%)),"")</f>
        <v/>
      </c>
      <c r="BV266" s="427" t="str">
        <f>IF(AND($A266&gt;=SYear_O,$A266&lt;=EYear_O,BV$3&gt;0),IF($A266=SYear_O,BV$168*(1+Data_All!BV105%),BV265*(1+Data_All!BV105%)),"")</f>
        <v/>
      </c>
      <c r="BW266" s="427" t="str">
        <f>IF(AND($A266&gt;=SYear_O,$A266&lt;=EYear_O,BW$3&gt;0),IF($A266=SYear_O,BW$168*(1+Data_All!BW105%),BW265*(1+Data_All!BW105%)),"")</f>
        <v/>
      </c>
      <c r="BX266" s="427">
        <f>IF(AND($A266&gt;=SYear_O,$A266&lt;=EYear_O,BX$3&gt;0),IF($A266=SYear_O,BX$168*(1+Data_All!BX105%),BX265*(1+Data_All!BX105%)),"")</f>
        <v>16585594.612216357</v>
      </c>
      <c r="BY266" s="427">
        <f>IF(AND($A266&gt;=SYear_O,$A266&lt;=EYear_O,BY$3&gt;0),IF($A266=SYear_O,BY$168*(1+Data_All!BY105%),BY265*(1+Data_All!BY105%)),"")</f>
        <v>123815.41769233969</v>
      </c>
      <c r="BZ266" s="427" t="str">
        <f>IF(AND($A266&gt;=SYear_O,$A266&lt;=EYear_O,BZ$3&gt;0),IF($A266=SYear_O,BZ$168*(1+Data_All!BZ105%),BZ265*(1+Data_All!BZ105%)),"")</f>
        <v/>
      </c>
      <c r="CA266" s="565">
        <f t="shared" si="138"/>
        <v>10.533020981023199</v>
      </c>
      <c r="CB266" s="427">
        <f t="shared" si="139"/>
        <v>16709410.029908696</v>
      </c>
      <c r="CC266" s="565">
        <f>IF(AND($A266&gt;=SYear_O,$A266&lt;=EYear_O),(CA266-Data_All!CA105)/(1+Data_All!CA105%),"")</f>
        <v>5.8757307711486302</v>
      </c>
      <c r="CD266" s="436">
        <f t="shared" si="140"/>
        <v>5850199.6035616277</v>
      </c>
      <c r="CE266" s="438">
        <f t="shared" si="141"/>
        <v>1515.5307699529162</v>
      </c>
      <c r="CF266" s="438">
        <f>IF(AND($A266&gt;=SYear_O,$A266&lt;=EYear_O),MAX($CE$169:CE266),"")</f>
        <v>1515.5307699529162</v>
      </c>
      <c r="CG266" s="209">
        <f t="shared" si="142"/>
        <v>0</v>
      </c>
      <c r="CN266" s="61">
        <f t="shared" si="143"/>
        <v>0.105330209810232</v>
      </c>
      <c r="CO266" s="61">
        <f t="shared" si="144"/>
        <v>2.7488261838158445E-2</v>
      </c>
      <c r="CP266" s="61">
        <f t="shared" si="145"/>
        <v>7.719467194223073E-2</v>
      </c>
      <c r="CQ266" s="61">
        <f t="shared" si="146"/>
        <v>3.1714074698306893E-2</v>
      </c>
      <c r="CR266" s="61">
        <f t="shared" si="147"/>
        <v>7.0711104804356939E-2</v>
      </c>
      <c r="CU266" s="61">
        <f t="shared" si="148"/>
        <v>5.875730771148624E-2</v>
      </c>
      <c r="CV266" s="61">
        <f t="shared" si="149"/>
        <v>-2.4110516089869916E-2</v>
      </c>
      <c r="CW266" s="61">
        <f t="shared" si="150"/>
        <v>3.0783092553492652E-2</v>
      </c>
      <c r="CX266" s="61">
        <f t="shared" si="151"/>
        <v>-2.8314698850882336E-2</v>
      </c>
      <c r="CY266" s="61">
        <f t="shared" si="152"/>
        <v>-1.7807415386247305E-3</v>
      </c>
    </row>
    <row r="267" spans="1:103">
      <c r="A267" s="204">
        <f t="shared" si="107"/>
        <v>1969</v>
      </c>
      <c r="B267" s="427" t="str">
        <f>IF(AND($A267&gt;=SYear_O,$A267&lt;=EYear_O,B$3&gt;0),IF($A267=SYear_O,B$168*(1+Data_All!B106%),B266*(1+Data_All!B106%)),"")</f>
        <v/>
      </c>
      <c r="C267" s="427" t="str">
        <f>IF(AND($A267&gt;=SYear_O,$A267&lt;=EYear_O,C$3&gt;0),IF($A267=SYear_O,C$168*(1+Data_All!C106%),C266*(1+Data_All!C106%)),"")</f>
        <v/>
      </c>
      <c r="D267" s="427" t="str">
        <f>IF(AND($A267&gt;=SYear_O,$A267&lt;=EYear_O,D$3&gt;0),IF($A267=SYear_O,D$168*(1+Data_All!D106%),D266*(1+Data_All!D106%)),"")</f>
        <v/>
      </c>
      <c r="E267" s="427" t="str">
        <f>IF(AND($A267&gt;=SYear_O,$A267&lt;=EYear_O,E$3&gt;0),IF($A267=SYear_O,E$168*(1+Data_All!E106%),E266*(1+Data_All!E106%)),"")</f>
        <v/>
      </c>
      <c r="F267" s="427" t="str">
        <f>IF(AND($A267&gt;=SYear_O,$A267&lt;=EYear_O,F$3&gt;0),IF($A267=SYear_O,F$168*(1+Data_All!F106%),F266*(1+Data_All!F106%)),"")</f>
        <v/>
      </c>
      <c r="G267" s="427" t="str">
        <f>IF(AND($A267&gt;=SYear_O,$A267&lt;=EYear_O,G$3&gt;0),IF($A267=SYear_O,G$168*(1+Data_All!G106%),G266*(1+Data_All!G106%)),"")</f>
        <v/>
      </c>
      <c r="H267" s="427" t="str">
        <f>IF(AND($A267&gt;=SYear_O,$A267&lt;=EYear_O,H$3&gt;0),IF($A267=SYear_O,H$168*(1+Data_All!H106%),H266*(1+Data_All!H106%)),"")</f>
        <v/>
      </c>
      <c r="I267" s="427" t="str">
        <f>IF(AND($A267&gt;=SYear_O,$A267&lt;=EYear_O,I$3&gt;0),IF($A267=SYear_O,I$168*(1+Data_All!I106%),I266*(1+Data_All!I106%)),"")</f>
        <v/>
      </c>
      <c r="J267" s="427" t="str">
        <f>IF(AND($A267&gt;=SYear_O,$A267&lt;=EYear_O,J$3&gt;0),IF($A267=SYear_O,J$168*(1+Data_All!J106%),J266*(1+Data_All!J106%)),"")</f>
        <v/>
      </c>
      <c r="K267" s="427" t="str">
        <f>IF(AND($A267&gt;=SYear_O,$A267&lt;=EYear_O,K$3&gt;0),IF($A267=SYear_O,K$168*(1+Data_All!K106%),K266*(1+Data_All!K106%)),"")</f>
        <v/>
      </c>
      <c r="L267" s="427" t="str">
        <f>IF(AND($A267&gt;=SYear_O,$A267&lt;=EYear_O,L$3&gt;0),IF($A267=SYear_O,L$168*(1+Data_All!L106%),L266*(1+Data_All!L106%)),"")</f>
        <v/>
      </c>
      <c r="M267" s="427" t="str">
        <f>IF(AND($A267&gt;=SYear_O,$A267&lt;=EYear_O,M$3&gt;0),IF($A267=SYear_O,M$168*(1+Data_All!M106%),M266*(1+Data_All!M106%)),"")</f>
        <v/>
      </c>
      <c r="N267" s="427" t="str">
        <f>IF(AND($A267&gt;=SYear_O,$A267&lt;=EYear_O,N$3&gt;0),IF($A267=SYear_O,N$168*(1+Data_All!N106%),N266*(1+Data_All!N106%)),"")</f>
        <v/>
      </c>
      <c r="O267" s="427" t="str">
        <f>IF(AND($A267&gt;=SYear_O,$A267&lt;=EYear_O,O$3&gt;0),IF($A267=SYear_O,O$168*(1+Data_All!O106%),O266*(1+Data_All!O106%)),"")</f>
        <v/>
      </c>
      <c r="P267" s="427" t="str">
        <f>IF(AND($A267&gt;=SYear_O,$A267&lt;=EYear_O,P$3&gt;0),IF($A267=SYear_O,P$168*(1+Data_All!P106%),P266*(1+Data_All!P106%)),"")</f>
        <v/>
      </c>
      <c r="Q267" s="427" t="str">
        <f>IF(AND($A267&gt;=SYear_O,$A267&lt;=EYear_O,Q$3&gt;0),IF($A267=SYear_O,Q$168*(1+Data_All!Q106%),Q266*(1+Data_All!Q106%)),"")</f>
        <v/>
      </c>
      <c r="R267" s="427" t="str">
        <f>IF(AND($A267&gt;=SYear_O,$A267&lt;=EYear_O,R$3&gt;0),IF($A267=SYear_O,R$168*(1+Data_All!R106%),R266*(1+Data_All!R106%)),"")</f>
        <v/>
      </c>
      <c r="S267" s="427" t="str">
        <f>IF(AND($A267&gt;=SYear_O,$A267&lt;=EYear_O,S$3&gt;0),IF($A267=SYear_O,S$168*(1+Data_All!S106%),S266*(1+Data_All!S106%)),"")</f>
        <v/>
      </c>
      <c r="T267" s="427" t="str">
        <f>IF(AND($A267&gt;=SYear_O,$A267&lt;=EYear_O,T$3&gt;0),IF($A267=SYear_O,T$168*(1+Data_All!T106%),T266*(1+Data_All!T106%)),"")</f>
        <v/>
      </c>
      <c r="U267" s="427" t="str">
        <f>IF(AND($A267&gt;=SYear_O,$A267&lt;=EYear_O,U$3&gt;0),IF($A267=SYear_O,U$168*(1+Data_All!U106%),U266*(1+Data_All!U106%)),"")</f>
        <v/>
      </c>
      <c r="V267" s="427" t="str">
        <f>IF(AND($A267&gt;=SYear_O,$A267&lt;=EYear_O,V$3&gt;0),IF($A267=SYear_O,V$168*(1+Data_All!V106%),V266*(1+Data_All!V106%)),"")</f>
        <v/>
      </c>
      <c r="W267" s="427" t="str">
        <f>IF(AND($A267&gt;=SYear_O,$A267&lt;=EYear_O,W$3&gt;0),IF($A267=SYear_O,W$168*(1+Data_All!W106%),W266*(1+Data_All!W106%)),"")</f>
        <v/>
      </c>
      <c r="X267" s="427" t="str">
        <f>IF(AND($A267&gt;=SYear_O,$A267&lt;=EYear_O,X$3&gt;0),IF($A267=SYear_O,X$168*(1+Data_All!X106%),X266*(1+Data_All!X106%)),"")</f>
        <v/>
      </c>
      <c r="Y267" s="427" t="str">
        <f>IF(AND($A267&gt;=SYear_O,$A267&lt;=EYear_O,Y$3&gt;0),IF($A267=SYear_O,Y$168*(1+Data_All!Y106%),Y266*(1+Data_All!Y106%)),"")</f>
        <v/>
      </c>
      <c r="Z267" s="427" t="str">
        <f>IF(AND($A267&gt;=SYear_O,$A267&lt;=EYear_O,Z$3&gt;0),IF($A267=SYear_O,Z$168*(1+Data_All!Z106%),Z266*(1+Data_All!Z106%)),"")</f>
        <v/>
      </c>
      <c r="AA267" s="427" t="str">
        <f>IF(AND($A267&gt;=SYear_O,$A267&lt;=EYear_O,AA$3&gt;0),IF($A267=SYear_O,AA$168*(1+Data_All!AA106%),AA266*(1+Data_All!AA106%)),"")</f>
        <v/>
      </c>
      <c r="AB267" s="427" t="str">
        <f>IF(AND($A267&gt;=SYear_O,$A267&lt;=EYear_O,AB$3&gt;0),IF($A267=SYear_O,AB$168*(1+Data_All!AB106%),AB266*(1+Data_All!AB106%)),"")</f>
        <v/>
      </c>
      <c r="AC267" s="427" t="str">
        <f>IF(AND($A267&gt;=SYear_O,$A267&lt;=EYear_O,AC$3&gt;0),IF($A267=SYear_O,AC$168*(1+Data_All!AC106%),AC266*(1+Data_All!AC106%)),"")</f>
        <v/>
      </c>
      <c r="AD267" s="427" t="str">
        <f>IF(AND($A267&gt;=SYear_O,$A267&lt;=EYear_O,AD$3&gt;0),IF($A267=SYear_O,AD$168*(1+Data_All!AD106%),AD266*(1+Data_All!AD106%)),"")</f>
        <v/>
      </c>
      <c r="AE267" s="427" t="str">
        <f>IF(AND($A267&gt;=SYear_O,$A267&lt;=EYear_O,AE$3&gt;0),IF($A267=SYear_O,AE$168*(1+Data_All!AE106%),AE266*(1+Data_All!AE106%)),"")</f>
        <v/>
      </c>
      <c r="AF267" s="427" t="str">
        <f>IF(AND($A267&gt;=SYear_O,$A267&lt;=EYear_O,AF$3&gt;0),IF($A267=SYear_O,AF$168*(1+Data_All!AF106%),AF266*(1+Data_All!AF106%)),"")</f>
        <v/>
      </c>
      <c r="AG267" s="427" t="str">
        <f>IF(AND($A267&gt;=SYear_O,$A267&lt;=EYear_O,AG$3&gt;0),IF($A267=SYear_O,AG$168*(1+Data_All!AG106%),AG266*(1+Data_All!AG106%)),"")</f>
        <v/>
      </c>
      <c r="AH267" s="427" t="str">
        <f>IF(AND($A267&gt;=SYear_O,$A267&lt;=EYear_O,AH$3&gt;0),IF($A267=SYear_O,AH$168*(1+Data_All!AH106%),AH266*(1+Data_All!AH106%)),"")</f>
        <v/>
      </c>
      <c r="AI267" s="427" t="str">
        <f>IF(AND($A267&gt;=SYear_O,$A267&lt;=EYear_O,AI$3&gt;0),IF($A267=SYear_O,AI$168*(1+Data_All!AI106%),AI266*(1+Data_All!AI106%)),"")</f>
        <v/>
      </c>
      <c r="AJ267" s="427" t="str">
        <f>IF(AND($A267&gt;=SYear_O,$A267&lt;=EYear_O,AJ$3&gt;0),IF($A267=SYear_O,AJ$168*(1+Data_All!AJ106%),AJ266*(1+Data_All!AJ106%)),"")</f>
        <v/>
      </c>
      <c r="AK267" s="427" t="str">
        <f>IF(AND($A267&gt;=SYear_O,$A267&lt;=EYear_O,AK$3&gt;0),IF($A267=SYear_O,AK$168*(1+Data_All!AK106%),AK266*(1+Data_All!AK106%)),"")</f>
        <v/>
      </c>
      <c r="AL267" s="427" t="str">
        <f>IF(AND($A267&gt;=SYear_O,$A267&lt;=EYear_O,AL$3&gt;0),IF($A267=SYear_O,AL$168*(1+Data_All!AL106%),AL266*(1+Data_All!AL106%)),"")</f>
        <v/>
      </c>
      <c r="AM267" s="427" t="str">
        <f>IF(AND($A267&gt;=SYear_O,$A267&lt;=EYear_O,AM$3&gt;0),IF($A267=SYear_O,AM$168*(1+Data_All!AM106%),AM266*(1+Data_All!AM106%)),"")</f>
        <v/>
      </c>
      <c r="AN267" s="427" t="str">
        <f>IF(AND($A267&gt;=SYear_O,$A267&lt;=EYear_O,AN$3&gt;0),IF($A267=SYear_O,AN$168*(1+Data_All!AN106%),AN266*(1+Data_All!AN106%)),"")</f>
        <v/>
      </c>
      <c r="AO267" s="427" t="str">
        <f>IF(AND($A267&gt;=SYear_O,$A267&lt;=EYear_O,AO$3&gt;0),IF($A267=SYear_O,AO$168*(1+Data_All!AO106%),AO266*(1+Data_All!AO106%)),"")</f>
        <v/>
      </c>
      <c r="AP267" s="427" t="str">
        <f>IF(AND($A267&gt;=SYear_O,$A267&lt;=EYear_O,AP$3&gt;0),IF($A267=SYear_O,AP$168*(1+Data_All!AP106%),AP266*(1+Data_All!AP106%)),"")</f>
        <v/>
      </c>
      <c r="AQ267" s="427" t="str">
        <f>IF(AND($A267&gt;=SYear_O,$A267&lt;=EYear_O,AQ$3&gt;0),IF($A267=SYear_O,AQ$168*(1+Data_All!AQ106%),AQ266*(1+Data_All!AQ106%)),"")</f>
        <v/>
      </c>
      <c r="AR267" s="427" t="str">
        <f>IF(AND($A267&gt;=SYear_O,$A267&lt;=EYear_O,AR$3&gt;0),IF($A267=SYear_O,AR$168*(1+Data_All!AR106%),AR266*(1+Data_All!AR106%)),"")</f>
        <v/>
      </c>
      <c r="AS267" s="427" t="str">
        <f>IF(AND($A267&gt;=SYear_O,$A267&lt;=EYear_O,AS$3&gt;0),IF($A267=SYear_O,AS$168*(1+Data_All!AS106%),AS266*(1+Data_All!AS106%)),"")</f>
        <v/>
      </c>
      <c r="AT267" s="427" t="str">
        <f>IF(AND($A267&gt;=SYear_O,$A267&lt;=EYear_O,AT$3&gt;0),IF($A267=SYear_O,AT$168*(1+Data_All!AT106%),AT266*(1+Data_All!AT106%)),"")</f>
        <v/>
      </c>
      <c r="AU267" s="427" t="str">
        <f>IF(AND($A267&gt;=SYear_O,$A267&lt;=EYear_O,AU$3&gt;0),IF($A267=SYear_O,AU$168*(1+Data_All!AU106%),AU266*(1+Data_All!AU106%)),"")</f>
        <v/>
      </c>
      <c r="AV267" s="427" t="str">
        <f>IF(AND($A267&gt;=SYear_O,$A267&lt;=EYear_O,AV$3&gt;0),IF($A267=SYear_O,AV$168*(1+Data_All!AV106%),AV266*(1+Data_All!AV106%)),"")</f>
        <v/>
      </c>
      <c r="AW267" s="427" t="str">
        <f>IF(AND($A267&gt;=SYear_O,$A267&lt;=EYear_O,AW$3&gt;0),IF($A267=SYear_O,AW$168*(1+Data_All!AW106%),AW266*(1+Data_All!AW106%)),"")</f>
        <v/>
      </c>
      <c r="AX267" s="427" t="str">
        <f>IF(AND($A267&gt;=SYear_O,$A267&lt;=EYear_O,AX$3&gt;0),IF($A267=SYear_O,AX$168*(1+Data_All!AX106%),AX266*(1+Data_All!AX106%)),"")</f>
        <v/>
      </c>
      <c r="AY267" s="427" t="str">
        <f>IF(AND($A267&gt;=SYear_O,$A267&lt;=EYear_O,AY$3&gt;0),IF($A267=SYear_O,AY$168*(1+Data_All!AY106%),AY266*(1+Data_All!AY106%)),"")</f>
        <v/>
      </c>
      <c r="AZ267" s="427" t="str">
        <f>IF(AND($A267&gt;=SYear_O,$A267&lt;=EYear_O,AZ$3&gt;0),IF($A267=SYear_O,AZ$168*(1+Data_All!AZ106%),AZ266*(1+Data_All!AZ106%)),"")</f>
        <v/>
      </c>
      <c r="BA267" s="427" t="str">
        <f>IF(AND($A267&gt;=SYear_O,$A267&lt;=EYear_O,BA$3&gt;0),IF($A267=SYear_O,BA$168*(1+Data_All!BA106%),BA266*(1+Data_All!BA106%)),"")</f>
        <v/>
      </c>
      <c r="BB267" s="427" t="str">
        <f>IF(AND($A267&gt;=SYear_O,$A267&lt;=EYear_O,BB$3&gt;0),IF($A267=SYear_O,BB$168*(1+Data_All!BB106%),BB266*(1+Data_All!BB106%)),"")</f>
        <v/>
      </c>
      <c r="BC267" s="427" t="str">
        <f>IF(AND($A267&gt;=SYear_O,$A267&lt;=EYear_O,BC$3&gt;0),IF($A267=SYear_O,BC$168*(1+Data_All!BC106%),BC266*(1+Data_All!BC106%)),"")</f>
        <v/>
      </c>
      <c r="BD267" s="427" t="str">
        <f>IF(AND($A267&gt;=SYear_O,$A267&lt;=EYear_O,BD$3&gt;0),IF($A267=SYear_O,BD$168*(1+Data_All!BD106%),BD266*(1+Data_All!BD106%)),"")</f>
        <v/>
      </c>
      <c r="BE267" s="427" t="str">
        <f>IF(AND($A267&gt;=SYear_O,$A267&lt;=EYear_O,BE$3&gt;0),IF($A267=SYear_O,BE$168*(1+Data_All!BE106%),BE266*(1+Data_All!BE106%)),"")</f>
        <v/>
      </c>
      <c r="BF267" s="427" t="str">
        <f>IF(AND($A267&gt;=SYear_O,$A267&lt;=EYear_O,BF$3&gt;0),IF($A267=SYear_O,BF$168*(1+Data_All!BF106%),BF266*(1+Data_All!BF106%)),"")</f>
        <v/>
      </c>
      <c r="BG267" s="427" t="str">
        <f>IF(AND($A267&gt;=SYear_O,$A267&lt;=EYear_O,BG$3&gt;0),IF($A267=SYear_O,BG$168*(1+Data_All!BG106%),BG266*(1+Data_All!BG106%)),"")</f>
        <v/>
      </c>
      <c r="BH267" s="427" t="str">
        <f>IF(AND($A267&gt;=SYear_O,$A267&lt;=EYear_O,BH$3&gt;0),IF($A267=SYear_O,BH$168*(1+Data_All!BH106%),BH266*(1+Data_All!BH106%)),"")</f>
        <v/>
      </c>
      <c r="BI267" s="427" t="str">
        <f>IF(AND($A267&gt;=SYear_O,$A267&lt;=EYear_O,BI$3&gt;0),IF($A267=SYear_O,BI$168*(1+Data_All!BI106%),BI266*(1+Data_All!BI106%)),"")</f>
        <v/>
      </c>
      <c r="BJ267" s="427" t="str">
        <f>IF(AND($A267&gt;=SYear_O,$A267&lt;=EYear_O,BJ$3&gt;0),IF($A267=SYear_O,BJ$168*(1+Data_All!BJ106%),BJ266*(1+Data_All!BJ106%)),"")</f>
        <v/>
      </c>
      <c r="BK267" s="427" t="str">
        <f>IF(AND($A267&gt;=SYear_O,$A267&lt;=EYear_O,BK$3&gt;0),IF($A267=SYear_O,BK$168*(1+Data_All!BK106%),BK266*(1+Data_All!BK106%)),"")</f>
        <v/>
      </c>
      <c r="BL267" s="427" t="str">
        <f>IF(AND($A267&gt;=SYear_O,$A267&lt;=EYear_O,BL$3&gt;0),IF($A267=SYear_O,BL$168*(1+Data_All!BL106%),BL266*(1+Data_All!BL106%)),"")</f>
        <v/>
      </c>
      <c r="BM267" s="427" t="str">
        <f>IF(AND($A267&gt;=SYear_O,$A267&lt;=EYear_O,BM$3&gt;0),IF($A267=SYear_O,BM$168*(1+Data_All!BM106%),BM266*(1+Data_All!BM106%)),"")</f>
        <v/>
      </c>
      <c r="BN267" s="427" t="str">
        <f>IF(AND($A267&gt;=SYear_O,$A267&lt;=EYear_O,BN$3&gt;0),IF($A267=SYear_O,BN$168*(1+Data_All!BN106%),BN266*(1+Data_All!BN106%)),"")</f>
        <v/>
      </c>
      <c r="BO267" s="427" t="str">
        <f>IF(AND($A267&gt;=SYear_O,$A267&lt;=EYear_O,BO$3&gt;0),IF($A267=SYear_O,BO$168*(1+Data_All!BO106%),BO266*(1+Data_All!BO106%)),"")</f>
        <v/>
      </c>
      <c r="BP267" s="427" t="str">
        <f>IF(AND($A267&gt;=SYear_O,$A267&lt;=EYear_O,BP$3&gt;0),IF($A267=SYear_O,BP$168*(1+Data_All!BP106%),BP266*(1+Data_All!BP106%)),"")</f>
        <v/>
      </c>
      <c r="BQ267" s="427" t="str">
        <f>IF(AND($A267&gt;=SYear_O,$A267&lt;=EYear_O,BQ$3&gt;0),IF($A267=SYear_O,BQ$168*(1+Data_All!BQ106%),BQ266*(1+Data_All!BQ106%)),"")</f>
        <v/>
      </c>
      <c r="BR267" s="427" t="str">
        <f>IF(AND($A267&gt;=SYear_O,$A267&lt;=EYear_O,BR$3&gt;0),IF($A267=SYear_O,BR$168*(1+Data_All!BR106%),BR266*(1+Data_All!BR106%)),"")</f>
        <v/>
      </c>
      <c r="BS267" s="427" t="str">
        <f>IF(AND($A267&gt;=SYear_O,$A267&lt;=EYear_O,BS$3&gt;0),IF($A267=SYear_O,BS$168*(1+Data_All!BS106%),BS266*(1+Data_All!BS106%)),"")</f>
        <v/>
      </c>
      <c r="BT267" s="427" t="str">
        <f>IF(AND($A267&gt;=SYear_O,$A267&lt;=EYear_O,BT$3&gt;0),IF($A267=SYear_O,BT$168*(1+Data_All!BT106%),BT266*(1+Data_All!BT106%)),"")</f>
        <v/>
      </c>
      <c r="BU267" s="427" t="str">
        <f>IF(AND($A267&gt;=SYear_O,$A267&lt;=EYear_O,BU$3&gt;0),IF($A267=SYear_O,BU$168*(1+Data_All!BU106%),BU266*(1+Data_All!BU106%)),"")</f>
        <v/>
      </c>
      <c r="BV267" s="427" t="str">
        <f>IF(AND($A267&gt;=SYear_O,$A267&lt;=EYear_O,BV$3&gt;0),IF($A267=SYear_O,BV$168*(1+Data_All!BV106%),BV266*(1+Data_All!BV106%)),"")</f>
        <v/>
      </c>
      <c r="BW267" s="427" t="str">
        <f>IF(AND($A267&gt;=SYear_O,$A267&lt;=EYear_O,BW$3&gt;0),IF($A267=SYear_O,BW$168*(1+Data_All!BW106%),BW266*(1+Data_All!BW106%)),"")</f>
        <v/>
      </c>
      <c r="BX267" s="427">
        <f>IF(AND($A267&gt;=SYear_O,$A267&lt;=EYear_O,BX$3&gt;0),IF($A267=SYear_O,BX$168*(1+Data_All!BX106%),BX266*(1+Data_All!BX106%)),"")</f>
        <v>15192625.719363611</v>
      </c>
      <c r="BY267" s="427">
        <f>IF(AND($A267&gt;=SYear_O,$A267&lt;=EYear_O,BY$3&gt;0),IF($A267=SYear_O,BY$168*(1+Data_All!BY106%),BY266*(1+Data_All!BY106%)),"")</f>
        <v>122328.09293042425</v>
      </c>
      <c r="BZ267" s="427" t="str">
        <f>IF(AND($A267&gt;=SYear_O,$A267&lt;=EYear_O,BZ$3&gt;0),IF($A267=SYear_O,BZ$168*(1+Data_All!BZ106%),BZ266*(1+Data_All!BZ106%)),"")</f>
        <v/>
      </c>
      <c r="CA267" s="565">
        <f t="shared" si="138"/>
        <v>-8.3453348449686686</v>
      </c>
      <c r="CB267" s="427">
        <f t="shared" si="139"/>
        <v>15314953.812294036</v>
      </c>
      <c r="CC267" s="565">
        <f>IF(AND($A267&gt;=SYear_O,$A267&lt;=EYear_O),(CA267-Data_All!CA106)/(1+Data_All!CA106%),"")</f>
        <v>-13.679733346055134</v>
      </c>
      <c r="CD267" s="436">
        <f t="shared" si="140"/>
        <v>5049907.897582422</v>
      </c>
      <c r="CE267" s="438">
        <f t="shared" si="141"/>
        <v>1389.0546525218135</v>
      </c>
      <c r="CF267" s="438">
        <f>IF(AND($A267&gt;=SYear_O,$A267&lt;=EYear_O),MAX($CE$169:CE267),"")</f>
        <v>1515.5307699529162</v>
      </c>
      <c r="CG267" s="209">
        <f t="shared" si="142"/>
        <v>8.345334844968666E-2</v>
      </c>
      <c r="CN267" s="61">
        <f t="shared" si="143"/>
        <v>-8.345334844968666E-2</v>
      </c>
      <c r="CO267" s="61">
        <f t="shared" si="144"/>
        <v>3.7282009124144366E-2</v>
      </c>
      <c r="CP267" s="61">
        <f t="shared" si="145"/>
        <v>2.0036011448219648E-2</v>
      </c>
      <c r="CQ267" s="61">
        <f t="shared" si="146"/>
        <v>3.6669148022470344E-2</v>
      </c>
      <c r="CR267" s="61">
        <f t="shared" si="147"/>
        <v>7.667399105210615E-2</v>
      </c>
      <c r="CU267" s="61">
        <f t="shared" si="148"/>
        <v>-0.13679733346055145</v>
      </c>
      <c r="CV267" s="61">
        <f t="shared" si="149"/>
        <v>-1.1220233519146139E-2</v>
      </c>
      <c r="CW267" s="61">
        <f t="shared" si="150"/>
        <v>-3.1773179089508385E-2</v>
      </c>
      <c r="CX267" s="61">
        <f t="shared" si="151"/>
        <v>-2.7865610323728585E-2</v>
      </c>
      <c r="CY267" s="61">
        <f t="shared" si="152"/>
        <v>4.1692671299733419E-3</v>
      </c>
    </row>
    <row r="268" spans="1:103">
      <c r="A268" s="204">
        <f t="shared" si="107"/>
        <v>1970</v>
      </c>
      <c r="B268" s="427" t="str">
        <f>IF(AND($A268&gt;=SYear_O,$A268&lt;=EYear_O,B$3&gt;0),IF($A268=SYear_O,B$168*(1+Data_All!B107%),B267*(1+Data_All!B107%)),"")</f>
        <v/>
      </c>
      <c r="C268" s="427" t="str">
        <f>IF(AND($A268&gt;=SYear_O,$A268&lt;=EYear_O,C$3&gt;0),IF($A268=SYear_O,C$168*(1+Data_All!C107%),C267*(1+Data_All!C107%)),"")</f>
        <v/>
      </c>
      <c r="D268" s="427" t="str">
        <f>IF(AND($A268&gt;=SYear_O,$A268&lt;=EYear_O,D$3&gt;0),IF($A268=SYear_O,D$168*(1+Data_All!D107%),D267*(1+Data_All!D107%)),"")</f>
        <v/>
      </c>
      <c r="E268" s="427" t="str">
        <f>IF(AND($A268&gt;=SYear_O,$A268&lt;=EYear_O,E$3&gt;0),IF($A268=SYear_O,E$168*(1+Data_All!E107%),E267*(1+Data_All!E107%)),"")</f>
        <v/>
      </c>
      <c r="F268" s="427" t="str">
        <f>IF(AND($A268&gt;=SYear_O,$A268&lt;=EYear_O,F$3&gt;0),IF($A268=SYear_O,F$168*(1+Data_All!F107%),F267*(1+Data_All!F107%)),"")</f>
        <v/>
      </c>
      <c r="G268" s="427" t="str">
        <f>IF(AND($A268&gt;=SYear_O,$A268&lt;=EYear_O,G$3&gt;0),IF($A268=SYear_O,G$168*(1+Data_All!G107%),G267*(1+Data_All!G107%)),"")</f>
        <v/>
      </c>
      <c r="H268" s="427" t="str">
        <f>IF(AND($A268&gt;=SYear_O,$A268&lt;=EYear_O,H$3&gt;0),IF($A268=SYear_O,H$168*(1+Data_All!H107%),H267*(1+Data_All!H107%)),"")</f>
        <v/>
      </c>
      <c r="I268" s="427" t="str">
        <f>IF(AND($A268&gt;=SYear_O,$A268&lt;=EYear_O,I$3&gt;0),IF($A268=SYear_O,I$168*(1+Data_All!I107%),I267*(1+Data_All!I107%)),"")</f>
        <v/>
      </c>
      <c r="J268" s="427" t="str">
        <f>IF(AND($A268&gt;=SYear_O,$A268&lt;=EYear_O,J$3&gt;0),IF($A268=SYear_O,J$168*(1+Data_All!J107%),J267*(1+Data_All!J107%)),"")</f>
        <v/>
      </c>
      <c r="K268" s="427" t="str">
        <f>IF(AND($A268&gt;=SYear_O,$A268&lt;=EYear_O,K$3&gt;0),IF($A268=SYear_O,K$168*(1+Data_All!K107%),K267*(1+Data_All!K107%)),"")</f>
        <v/>
      </c>
      <c r="L268" s="427" t="str">
        <f>IF(AND($A268&gt;=SYear_O,$A268&lt;=EYear_O,L$3&gt;0),IF($A268=SYear_O,L$168*(1+Data_All!L107%),L267*(1+Data_All!L107%)),"")</f>
        <v/>
      </c>
      <c r="M268" s="427" t="str">
        <f>IF(AND($A268&gt;=SYear_O,$A268&lt;=EYear_O,M$3&gt;0),IF($A268=SYear_O,M$168*(1+Data_All!M107%),M267*(1+Data_All!M107%)),"")</f>
        <v/>
      </c>
      <c r="N268" s="427" t="str">
        <f>IF(AND($A268&gt;=SYear_O,$A268&lt;=EYear_O,N$3&gt;0),IF($A268=SYear_O,N$168*(1+Data_All!N107%),N267*(1+Data_All!N107%)),"")</f>
        <v/>
      </c>
      <c r="O268" s="427" t="str">
        <f>IF(AND($A268&gt;=SYear_O,$A268&lt;=EYear_O,O$3&gt;0),IF($A268=SYear_O,O$168*(1+Data_All!O107%),O267*(1+Data_All!O107%)),"")</f>
        <v/>
      </c>
      <c r="P268" s="427" t="str">
        <f>IF(AND($A268&gt;=SYear_O,$A268&lt;=EYear_O,P$3&gt;0),IF($A268=SYear_O,P$168*(1+Data_All!P107%),P267*(1+Data_All!P107%)),"")</f>
        <v/>
      </c>
      <c r="Q268" s="427" t="str">
        <f>IF(AND($A268&gt;=SYear_O,$A268&lt;=EYear_O,Q$3&gt;0),IF($A268=SYear_O,Q$168*(1+Data_All!Q107%),Q267*(1+Data_All!Q107%)),"")</f>
        <v/>
      </c>
      <c r="R268" s="427" t="str">
        <f>IF(AND($A268&gt;=SYear_O,$A268&lt;=EYear_O,R$3&gt;0),IF($A268=SYear_O,R$168*(1+Data_All!R107%),R267*(1+Data_All!R107%)),"")</f>
        <v/>
      </c>
      <c r="S268" s="427" t="str">
        <f>IF(AND($A268&gt;=SYear_O,$A268&lt;=EYear_O,S$3&gt;0),IF($A268=SYear_O,S$168*(1+Data_All!S107%),S267*(1+Data_All!S107%)),"")</f>
        <v/>
      </c>
      <c r="T268" s="427" t="str">
        <f>IF(AND($A268&gt;=SYear_O,$A268&lt;=EYear_O,T$3&gt;0),IF($A268=SYear_O,T$168*(1+Data_All!T107%),T267*(1+Data_All!T107%)),"")</f>
        <v/>
      </c>
      <c r="U268" s="427" t="str">
        <f>IF(AND($A268&gt;=SYear_O,$A268&lt;=EYear_O,U$3&gt;0),IF($A268=SYear_O,U$168*(1+Data_All!U107%),U267*(1+Data_All!U107%)),"")</f>
        <v/>
      </c>
      <c r="V268" s="427" t="str">
        <f>IF(AND($A268&gt;=SYear_O,$A268&lt;=EYear_O,V$3&gt;0),IF($A268=SYear_O,V$168*(1+Data_All!V107%),V267*(1+Data_All!V107%)),"")</f>
        <v/>
      </c>
      <c r="W268" s="427" t="str">
        <f>IF(AND($A268&gt;=SYear_O,$A268&lt;=EYear_O,W$3&gt;0),IF($A268=SYear_O,W$168*(1+Data_All!W107%),W267*(1+Data_All!W107%)),"")</f>
        <v/>
      </c>
      <c r="X268" s="427" t="str">
        <f>IF(AND($A268&gt;=SYear_O,$A268&lt;=EYear_O,X$3&gt;0),IF($A268=SYear_O,X$168*(1+Data_All!X107%),X267*(1+Data_All!X107%)),"")</f>
        <v/>
      </c>
      <c r="Y268" s="427" t="str">
        <f>IF(AND($A268&gt;=SYear_O,$A268&lt;=EYear_O,Y$3&gt;0),IF($A268=SYear_O,Y$168*(1+Data_All!Y107%),Y267*(1+Data_All!Y107%)),"")</f>
        <v/>
      </c>
      <c r="Z268" s="427" t="str">
        <f>IF(AND($A268&gt;=SYear_O,$A268&lt;=EYear_O,Z$3&gt;0),IF($A268=SYear_O,Z$168*(1+Data_All!Z107%),Z267*(1+Data_All!Z107%)),"")</f>
        <v/>
      </c>
      <c r="AA268" s="427" t="str">
        <f>IF(AND($A268&gt;=SYear_O,$A268&lt;=EYear_O,AA$3&gt;0),IF($A268=SYear_O,AA$168*(1+Data_All!AA107%),AA267*(1+Data_All!AA107%)),"")</f>
        <v/>
      </c>
      <c r="AB268" s="427" t="str">
        <f>IF(AND($A268&gt;=SYear_O,$A268&lt;=EYear_O,AB$3&gt;0),IF($A268=SYear_O,AB$168*(1+Data_All!AB107%),AB267*(1+Data_All!AB107%)),"")</f>
        <v/>
      </c>
      <c r="AC268" s="427" t="str">
        <f>IF(AND($A268&gt;=SYear_O,$A268&lt;=EYear_O,AC$3&gt;0),IF($A268=SYear_O,AC$168*(1+Data_All!AC107%),AC267*(1+Data_All!AC107%)),"")</f>
        <v/>
      </c>
      <c r="AD268" s="427" t="str">
        <f>IF(AND($A268&gt;=SYear_O,$A268&lt;=EYear_O,AD$3&gt;0),IF($A268=SYear_O,AD$168*(1+Data_All!AD107%),AD267*(1+Data_All!AD107%)),"")</f>
        <v/>
      </c>
      <c r="AE268" s="427" t="str">
        <f>IF(AND($A268&gt;=SYear_O,$A268&lt;=EYear_O,AE$3&gt;0),IF($A268=SYear_O,AE$168*(1+Data_All!AE107%),AE267*(1+Data_All!AE107%)),"")</f>
        <v/>
      </c>
      <c r="AF268" s="427" t="str">
        <f>IF(AND($A268&gt;=SYear_O,$A268&lt;=EYear_O,AF$3&gt;0),IF($A268=SYear_O,AF$168*(1+Data_All!AF107%),AF267*(1+Data_All!AF107%)),"")</f>
        <v/>
      </c>
      <c r="AG268" s="427" t="str">
        <f>IF(AND($A268&gt;=SYear_O,$A268&lt;=EYear_O,AG$3&gt;0),IF($A268=SYear_O,AG$168*(1+Data_All!AG107%),AG267*(1+Data_All!AG107%)),"")</f>
        <v/>
      </c>
      <c r="AH268" s="427" t="str">
        <f>IF(AND($A268&gt;=SYear_O,$A268&lt;=EYear_O,AH$3&gt;0),IF($A268=SYear_O,AH$168*(1+Data_All!AH107%),AH267*(1+Data_All!AH107%)),"")</f>
        <v/>
      </c>
      <c r="AI268" s="427" t="str">
        <f>IF(AND($A268&gt;=SYear_O,$A268&lt;=EYear_O,AI$3&gt;0),IF($A268=SYear_O,AI$168*(1+Data_All!AI107%),AI267*(1+Data_All!AI107%)),"")</f>
        <v/>
      </c>
      <c r="AJ268" s="427" t="str">
        <f>IF(AND($A268&gt;=SYear_O,$A268&lt;=EYear_O,AJ$3&gt;0),IF($A268=SYear_O,AJ$168*(1+Data_All!AJ107%),AJ267*(1+Data_All!AJ107%)),"")</f>
        <v/>
      </c>
      <c r="AK268" s="427" t="str">
        <f>IF(AND($A268&gt;=SYear_O,$A268&lt;=EYear_O,AK$3&gt;0),IF($A268=SYear_O,AK$168*(1+Data_All!AK107%),AK267*(1+Data_All!AK107%)),"")</f>
        <v/>
      </c>
      <c r="AL268" s="427" t="str">
        <f>IF(AND($A268&gt;=SYear_O,$A268&lt;=EYear_O,AL$3&gt;0),IF($A268=SYear_O,AL$168*(1+Data_All!AL107%),AL267*(1+Data_All!AL107%)),"")</f>
        <v/>
      </c>
      <c r="AM268" s="427" t="str">
        <f>IF(AND($A268&gt;=SYear_O,$A268&lt;=EYear_O,AM$3&gt;0),IF($A268=SYear_O,AM$168*(1+Data_All!AM107%),AM267*(1+Data_All!AM107%)),"")</f>
        <v/>
      </c>
      <c r="AN268" s="427" t="str">
        <f>IF(AND($A268&gt;=SYear_O,$A268&lt;=EYear_O,AN$3&gt;0),IF($A268=SYear_O,AN$168*(1+Data_All!AN107%),AN267*(1+Data_All!AN107%)),"")</f>
        <v/>
      </c>
      <c r="AO268" s="427" t="str">
        <f>IF(AND($A268&gt;=SYear_O,$A268&lt;=EYear_O,AO$3&gt;0),IF($A268=SYear_O,AO$168*(1+Data_All!AO107%),AO267*(1+Data_All!AO107%)),"")</f>
        <v/>
      </c>
      <c r="AP268" s="427" t="str">
        <f>IF(AND($A268&gt;=SYear_O,$A268&lt;=EYear_O,AP$3&gt;0),IF($A268=SYear_O,AP$168*(1+Data_All!AP107%),AP267*(1+Data_All!AP107%)),"")</f>
        <v/>
      </c>
      <c r="AQ268" s="427" t="str">
        <f>IF(AND($A268&gt;=SYear_O,$A268&lt;=EYear_O,AQ$3&gt;0),IF($A268=SYear_O,AQ$168*(1+Data_All!AQ107%),AQ267*(1+Data_All!AQ107%)),"")</f>
        <v/>
      </c>
      <c r="AR268" s="427" t="str">
        <f>IF(AND($A268&gt;=SYear_O,$A268&lt;=EYear_O,AR$3&gt;0),IF($A268=SYear_O,AR$168*(1+Data_All!AR107%),AR267*(1+Data_All!AR107%)),"")</f>
        <v/>
      </c>
      <c r="AS268" s="427" t="str">
        <f>IF(AND($A268&gt;=SYear_O,$A268&lt;=EYear_O,AS$3&gt;0),IF($A268=SYear_O,AS$168*(1+Data_All!AS107%),AS267*(1+Data_All!AS107%)),"")</f>
        <v/>
      </c>
      <c r="AT268" s="427" t="str">
        <f>IF(AND($A268&gt;=SYear_O,$A268&lt;=EYear_O,AT$3&gt;0),IF($A268=SYear_O,AT$168*(1+Data_All!AT107%),AT267*(1+Data_All!AT107%)),"")</f>
        <v/>
      </c>
      <c r="AU268" s="427" t="str">
        <f>IF(AND($A268&gt;=SYear_O,$A268&lt;=EYear_O,AU$3&gt;0),IF($A268=SYear_O,AU$168*(1+Data_All!AU107%),AU267*(1+Data_All!AU107%)),"")</f>
        <v/>
      </c>
      <c r="AV268" s="427" t="str">
        <f>IF(AND($A268&gt;=SYear_O,$A268&lt;=EYear_O,AV$3&gt;0),IF($A268=SYear_O,AV$168*(1+Data_All!AV107%),AV267*(1+Data_All!AV107%)),"")</f>
        <v/>
      </c>
      <c r="AW268" s="427" t="str">
        <f>IF(AND($A268&gt;=SYear_O,$A268&lt;=EYear_O,AW$3&gt;0),IF($A268=SYear_O,AW$168*(1+Data_All!AW107%),AW267*(1+Data_All!AW107%)),"")</f>
        <v/>
      </c>
      <c r="AX268" s="427" t="str">
        <f>IF(AND($A268&gt;=SYear_O,$A268&lt;=EYear_O,AX$3&gt;0),IF($A268=SYear_O,AX$168*(1+Data_All!AX107%),AX267*(1+Data_All!AX107%)),"")</f>
        <v/>
      </c>
      <c r="AY268" s="427" t="str">
        <f>IF(AND($A268&gt;=SYear_O,$A268&lt;=EYear_O,AY$3&gt;0),IF($A268=SYear_O,AY$168*(1+Data_All!AY107%),AY267*(1+Data_All!AY107%)),"")</f>
        <v/>
      </c>
      <c r="AZ268" s="427" t="str">
        <f>IF(AND($A268&gt;=SYear_O,$A268&lt;=EYear_O,AZ$3&gt;0),IF($A268=SYear_O,AZ$168*(1+Data_All!AZ107%),AZ267*(1+Data_All!AZ107%)),"")</f>
        <v/>
      </c>
      <c r="BA268" s="427" t="str">
        <f>IF(AND($A268&gt;=SYear_O,$A268&lt;=EYear_O,BA$3&gt;0),IF($A268=SYear_O,BA$168*(1+Data_All!BA107%),BA267*(1+Data_All!BA107%)),"")</f>
        <v/>
      </c>
      <c r="BB268" s="427" t="str">
        <f>IF(AND($A268&gt;=SYear_O,$A268&lt;=EYear_O,BB$3&gt;0),IF($A268=SYear_O,BB$168*(1+Data_All!BB107%),BB267*(1+Data_All!BB107%)),"")</f>
        <v/>
      </c>
      <c r="BC268" s="427" t="str">
        <f>IF(AND($A268&gt;=SYear_O,$A268&lt;=EYear_O,BC$3&gt;0),IF($A268=SYear_O,BC$168*(1+Data_All!BC107%),BC267*(1+Data_All!BC107%)),"")</f>
        <v/>
      </c>
      <c r="BD268" s="427" t="str">
        <f>IF(AND($A268&gt;=SYear_O,$A268&lt;=EYear_O,BD$3&gt;0),IF($A268=SYear_O,BD$168*(1+Data_All!BD107%),BD267*(1+Data_All!BD107%)),"")</f>
        <v/>
      </c>
      <c r="BE268" s="427" t="str">
        <f>IF(AND($A268&gt;=SYear_O,$A268&lt;=EYear_O,BE$3&gt;0),IF($A268=SYear_O,BE$168*(1+Data_All!BE107%),BE267*(1+Data_All!BE107%)),"")</f>
        <v/>
      </c>
      <c r="BF268" s="427" t="str">
        <f>IF(AND($A268&gt;=SYear_O,$A268&lt;=EYear_O,BF$3&gt;0),IF($A268=SYear_O,BF$168*(1+Data_All!BF107%),BF267*(1+Data_All!BF107%)),"")</f>
        <v/>
      </c>
      <c r="BG268" s="427" t="str">
        <f>IF(AND($A268&gt;=SYear_O,$A268&lt;=EYear_O,BG$3&gt;0),IF($A268=SYear_O,BG$168*(1+Data_All!BG107%),BG267*(1+Data_All!BG107%)),"")</f>
        <v/>
      </c>
      <c r="BH268" s="427" t="str">
        <f>IF(AND($A268&gt;=SYear_O,$A268&lt;=EYear_O,BH$3&gt;0),IF($A268=SYear_O,BH$168*(1+Data_All!BH107%),BH267*(1+Data_All!BH107%)),"")</f>
        <v/>
      </c>
      <c r="BI268" s="427" t="str">
        <f>IF(AND($A268&gt;=SYear_O,$A268&lt;=EYear_O,BI$3&gt;0),IF($A268=SYear_O,BI$168*(1+Data_All!BI107%),BI267*(1+Data_All!BI107%)),"")</f>
        <v/>
      </c>
      <c r="BJ268" s="427" t="str">
        <f>IF(AND($A268&gt;=SYear_O,$A268&lt;=EYear_O,BJ$3&gt;0),IF($A268=SYear_O,BJ$168*(1+Data_All!BJ107%),BJ267*(1+Data_All!BJ107%)),"")</f>
        <v/>
      </c>
      <c r="BK268" s="427" t="str">
        <f>IF(AND($A268&gt;=SYear_O,$A268&lt;=EYear_O,BK$3&gt;0),IF($A268=SYear_O,BK$168*(1+Data_All!BK107%),BK267*(1+Data_All!BK107%)),"")</f>
        <v/>
      </c>
      <c r="BL268" s="427" t="str">
        <f>IF(AND($A268&gt;=SYear_O,$A268&lt;=EYear_O,BL$3&gt;0),IF($A268=SYear_O,BL$168*(1+Data_All!BL107%),BL267*(1+Data_All!BL107%)),"")</f>
        <v/>
      </c>
      <c r="BM268" s="427" t="str">
        <f>IF(AND($A268&gt;=SYear_O,$A268&lt;=EYear_O,BM$3&gt;0),IF($A268=SYear_O,BM$168*(1+Data_All!BM107%),BM267*(1+Data_All!BM107%)),"")</f>
        <v/>
      </c>
      <c r="BN268" s="427" t="str">
        <f>IF(AND($A268&gt;=SYear_O,$A268&lt;=EYear_O,BN$3&gt;0),IF($A268=SYear_O,BN$168*(1+Data_All!BN107%),BN267*(1+Data_All!BN107%)),"")</f>
        <v/>
      </c>
      <c r="BO268" s="427" t="str">
        <f>IF(AND($A268&gt;=SYear_O,$A268&lt;=EYear_O,BO$3&gt;0),IF($A268=SYear_O,BO$168*(1+Data_All!BO107%),BO267*(1+Data_All!BO107%)),"")</f>
        <v/>
      </c>
      <c r="BP268" s="427" t="str">
        <f>IF(AND($A268&gt;=SYear_O,$A268&lt;=EYear_O,BP$3&gt;0),IF($A268=SYear_O,BP$168*(1+Data_All!BP107%),BP267*(1+Data_All!BP107%)),"")</f>
        <v/>
      </c>
      <c r="BQ268" s="427" t="str">
        <f>IF(AND($A268&gt;=SYear_O,$A268&lt;=EYear_O,BQ$3&gt;0),IF($A268=SYear_O,BQ$168*(1+Data_All!BQ107%),BQ267*(1+Data_All!BQ107%)),"")</f>
        <v/>
      </c>
      <c r="BR268" s="427" t="str">
        <f>IF(AND($A268&gt;=SYear_O,$A268&lt;=EYear_O,BR$3&gt;0),IF($A268=SYear_O,BR$168*(1+Data_All!BR107%),BR267*(1+Data_All!BR107%)),"")</f>
        <v/>
      </c>
      <c r="BS268" s="427" t="str">
        <f>IF(AND($A268&gt;=SYear_O,$A268&lt;=EYear_O,BS$3&gt;0),IF($A268=SYear_O,BS$168*(1+Data_All!BS107%),BS267*(1+Data_All!BS107%)),"")</f>
        <v/>
      </c>
      <c r="BT268" s="427" t="str">
        <f>IF(AND($A268&gt;=SYear_O,$A268&lt;=EYear_O,BT$3&gt;0),IF($A268=SYear_O,BT$168*(1+Data_All!BT107%),BT267*(1+Data_All!BT107%)),"")</f>
        <v/>
      </c>
      <c r="BU268" s="427" t="str">
        <f>IF(AND($A268&gt;=SYear_O,$A268&lt;=EYear_O,BU$3&gt;0),IF($A268=SYear_O,BU$168*(1+Data_All!BU107%),BU267*(1+Data_All!BU107%)),"")</f>
        <v/>
      </c>
      <c r="BV268" s="427" t="str">
        <f>IF(AND($A268&gt;=SYear_O,$A268&lt;=EYear_O,BV$3&gt;0),IF($A268=SYear_O,BV$168*(1+Data_All!BV107%),BV267*(1+Data_All!BV107%)),"")</f>
        <v/>
      </c>
      <c r="BW268" s="427" t="str">
        <f>IF(AND($A268&gt;=SYear_O,$A268&lt;=EYear_O,BW$3&gt;0),IF($A268=SYear_O,BW$168*(1+Data_All!BW107%),BW267*(1+Data_All!BW107%)),"")</f>
        <v/>
      </c>
      <c r="BX268" s="427">
        <f>IF(AND($A268&gt;=SYear_O,$A268&lt;=EYear_O,BX$3&gt;0),IF($A268=SYear_O,BX$168*(1+Data_All!BX107%),BX267*(1+Data_All!BX107%)),"")</f>
        <v>16255823.532965405</v>
      </c>
      <c r="BY268" s="427">
        <f>IF(AND($A268&gt;=SYear_O,$A268&lt;=EYear_O,BY$3&gt;0),IF($A268=SYear_O,BY$168*(1+Data_All!BY107%),BY267*(1+Data_All!BY107%)),"")</f>
        <v>142508.80258749836</v>
      </c>
      <c r="BZ268" s="427" t="str">
        <f>IF(AND($A268&gt;=SYear_O,$A268&lt;=EYear_O,BZ$3&gt;0),IF($A268=SYear_O,BZ$168*(1+Data_All!BZ107%),BZ267*(1+Data_All!BZ107%)),"")</f>
        <v/>
      </c>
      <c r="CA268" s="565">
        <f t="shared" si="138"/>
        <v>7.0739914500374637</v>
      </c>
      <c r="CB268" s="427">
        <f t="shared" si="139"/>
        <v>16398332.335552903</v>
      </c>
      <c r="CC268" s="565">
        <f>IF(AND($A268&gt;=SYear_O,$A268&lt;=EYear_O),(CA268-Data_All!CA107)/(1+Data_All!CA107%),"")</f>
        <v>1.693388864608435</v>
      </c>
      <c r="CD268" s="436">
        <f t="shared" si="140"/>
        <v>5135422.4755930649</v>
      </c>
      <c r="CE268" s="438">
        <f t="shared" si="141"/>
        <v>1487.3162598775543</v>
      </c>
      <c r="CF268" s="438">
        <f>IF(AND($A268&gt;=SYear_O,$A268&lt;=EYear_O),MAX($CE$169:CE268),"")</f>
        <v>1515.5307699529162</v>
      </c>
      <c r="CG268" s="209">
        <f t="shared" si="142"/>
        <v>1.861691668341281E-2</v>
      </c>
      <c r="CN268" s="61">
        <f t="shared" si="143"/>
        <v>7.0739914500374645E-2</v>
      </c>
      <c r="CO268" s="61">
        <f t="shared" si="144"/>
        <v>0.12704551740541037</v>
      </c>
      <c r="CP268" s="61">
        <f t="shared" si="145"/>
        <v>-8.6466980032288143E-3</v>
      </c>
      <c r="CQ268" s="61">
        <f t="shared" si="146"/>
        <v>6.2046269558761358E-2</v>
      </c>
      <c r="CR268" s="61">
        <f t="shared" si="147"/>
        <v>8.8316328151515355E-2</v>
      </c>
      <c r="CU268" s="61">
        <f t="shared" si="148"/>
        <v>1.6933888646084361E-2</v>
      </c>
      <c r="CV268" s="61">
        <f t="shared" si="149"/>
        <v>8.3866381645655741E-2</v>
      </c>
      <c r="CW268" s="61">
        <f t="shared" si="150"/>
        <v>-6.954934515762845E-2</v>
      </c>
      <c r="CX268" s="61">
        <f t="shared" si="151"/>
        <v>-1.0506190729818843E-2</v>
      </c>
      <c r="CY268" s="61">
        <f t="shared" si="152"/>
        <v>1.6465650106374463E-2</v>
      </c>
    </row>
    <row r="269" spans="1:103">
      <c r="A269" s="204">
        <f t="shared" si="107"/>
        <v>1971</v>
      </c>
      <c r="B269" s="427" t="str">
        <f>IF(AND($A269&gt;=SYear_O,$A269&lt;=EYear_O,B$3&gt;0),IF($A269=SYear_O,B$168*(1+Data_All!B108%),B268*(1+Data_All!B108%)),"")</f>
        <v/>
      </c>
      <c r="C269" s="427" t="str">
        <f>IF(AND($A269&gt;=SYear_O,$A269&lt;=EYear_O,C$3&gt;0),IF($A269=SYear_O,C$168*(1+Data_All!C108%),C268*(1+Data_All!C108%)),"")</f>
        <v/>
      </c>
      <c r="D269" s="427" t="str">
        <f>IF(AND($A269&gt;=SYear_O,$A269&lt;=EYear_O,D$3&gt;0),IF($A269=SYear_O,D$168*(1+Data_All!D108%),D268*(1+Data_All!D108%)),"")</f>
        <v/>
      </c>
      <c r="E269" s="427" t="str">
        <f>IF(AND($A269&gt;=SYear_O,$A269&lt;=EYear_O,E$3&gt;0),IF($A269=SYear_O,E$168*(1+Data_All!E108%),E268*(1+Data_All!E108%)),"")</f>
        <v/>
      </c>
      <c r="F269" s="427" t="str">
        <f>IF(AND($A269&gt;=SYear_O,$A269&lt;=EYear_O,F$3&gt;0),IF($A269=SYear_O,F$168*(1+Data_All!F108%),F268*(1+Data_All!F108%)),"")</f>
        <v/>
      </c>
      <c r="G269" s="427" t="str">
        <f>IF(AND($A269&gt;=SYear_O,$A269&lt;=EYear_O,G$3&gt;0),IF($A269=SYear_O,G$168*(1+Data_All!G108%),G268*(1+Data_All!G108%)),"")</f>
        <v/>
      </c>
      <c r="H269" s="427" t="str">
        <f>IF(AND($A269&gt;=SYear_O,$A269&lt;=EYear_O,H$3&gt;0),IF($A269=SYear_O,H$168*(1+Data_All!H108%),H268*(1+Data_All!H108%)),"")</f>
        <v/>
      </c>
      <c r="I269" s="427" t="str">
        <f>IF(AND($A269&gt;=SYear_O,$A269&lt;=EYear_O,I$3&gt;0),IF($A269=SYear_O,I$168*(1+Data_All!I108%),I268*(1+Data_All!I108%)),"")</f>
        <v/>
      </c>
      <c r="J269" s="427" t="str">
        <f>IF(AND($A269&gt;=SYear_O,$A269&lt;=EYear_O,J$3&gt;0),IF($A269=SYear_O,J$168*(1+Data_All!J108%),J268*(1+Data_All!J108%)),"")</f>
        <v/>
      </c>
      <c r="K269" s="427" t="str">
        <f>IF(AND($A269&gt;=SYear_O,$A269&lt;=EYear_O,K$3&gt;0),IF($A269=SYear_O,K$168*(1+Data_All!K108%),K268*(1+Data_All!K108%)),"")</f>
        <v/>
      </c>
      <c r="L269" s="427" t="str">
        <f>IF(AND($A269&gt;=SYear_O,$A269&lt;=EYear_O,L$3&gt;0),IF($A269=SYear_O,L$168*(1+Data_All!L108%),L268*(1+Data_All!L108%)),"")</f>
        <v/>
      </c>
      <c r="M269" s="427" t="str">
        <f>IF(AND($A269&gt;=SYear_O,$A269&lt;=EYear_O,M$3&gt;0),IF($A269=SYear_O,M$168*(1+Data_All!M108%),M268*(1+Data_All!M108%)),"")</f>
        <v/>
      </c>
      <c r="N269" s="427" t="str">
        <f>IF(AND($A269&gt;=SYear_O,$A269&lt;=EYear_O,N$3&gt;0),IF($A269=SYear_O,N$168*(1+Data_All!N108%),N268*(1+Data_All!N108%)),"")</f>
        <v/>
      </c>
      <c r="O269" s="427" t="str">
        <f>IF(AND($A269&gt;=SYear_O,$A269&lt;=EYear_O,O$3&gt;0),IF($A269=SYear_O,O$168*(1+Data_All!O108%),O268*(1+Data_All!O108%)),"")</f>
        <v/>
      </c>
      <c r="P269" s="427" t="str">
        <f>IF(AND($A269&gt;=SYear_O,$A269&lt;=EYear_O,P$3&gt;0),IF($A269=SYear_O,P$168*(1+Data_All!P108%),P268*(1+Data_All!P108%)),"")</f>
        <v/>
      </c>
      <c r="Q269" s="427" t="str">
        <f>IF(AND($A269&gt;=SYear_O,$A269&lt;=EYear_O,Q$3&gt;0),IF($A269=SYear_O,Q$168*(1+Data_All!Q108%),Q268*(1+Data_All!Q108%)),"")</f>
        <v/>
      </c>
      <c r="R269" s="427" t="str">
        <f>IF(AND($A269&gt;=SYear_O,$A269&lt;=EYear_O,R$3&gt;0),IF($A269=SYear_O,R$168*(1+Data_All!R108%),R268*(1+Data_All!R108%)),"")</f>
        <v/>
      </c>
      <c r="S269" s="427" t="str">
        <f>IF(AND($A269&gt;=SYear_O,$A269&lt;=EYear_O,S$3&gt;0),IF($A269=SYear_O,S$168*(1+Data_All!S108%),S268*(1+Data_All!S108%)),"")</f>
        <v/>
      </c>
      <c r="T269" s="427" t="str">
        <f>IF(AND($A269&gt;=SYear_O,$A269&lt;=EYear_O,T$3&gt;0),IF($A269=SYear_O,T$168*(1+Data_All!T108%),T268*(1+Data_All!T108%)),"")</f>
        <v/>
      </c>
      <c r="U269" s="427" t="str">
        <f>IF(AND($A269&gt;=SYear_O,$A269&lt;=EYear_O,U$3&gt;0),IF($A269=SYear_O,U$168*(1+Data_All!U108%),U268*(1+Data_All!U108%)),"")</f>
        <v/>
      </c>
      <c r="V269" s="427" t="str">
        <f>IF(AND($A269&gt;=SYear_O,$A269&lt;=EYear_O,V$3&gt;0),IF($A269=SYear_O,V$168*(1+Data_All!V108%),V268*(1+Data_All!V108%)),"")</f>
        <v/>
      </c>
      <c r="W269" s="427" t="str">
        <f>IF(AND($A269&gt;=SYear_O,$A269&lt;=EYear_O,W$3&gt;0),IF($A269=SYear_O,W$168*(1+Data_All!W108%),W268*(1+Data_All!W108%)),"")</f>
        <v/>
      </c>
      <c r="X269" s="427" t="str">
        <f>IF(AND($A269&gt;=SYear_O,$A269&lt;=EYear_O,X$3&gt;0),IF($A269=SYear_O,X$168*(1+Data_All!X108%),X268*(1+Data_All!X108%)),"")</f>
        <v/>
      </c>
      <c r="Y269" s="427" t="str">
        <f>IF(AND($A269&gt;=SYear_O,$A269&lt;=EYear_O,Y$3&gt;0),IF($A269=SYear_O,Y$168*(1+Data_All!Y108%),Y268*(1+Data_All!Y108%)),"")</f>
        <v/>
      </c>
      <c r="Z269" s="427" t="str">
        <f>IF(AND($A269&gt;=SYear_O,$A269&lt;=EYear_O,Z$3&gt;0),IF($A269=SYear_O,Z$168*(1+Data_All!Z108%),Z268*(1+Data_All!Z108%)),"")</f>
        <v/>
      </c>
      <c r="AA269" s="427" t="str">
        <f>IF(AND($A269&gt;=SYear_O,$A269&lt;=EYear_O,AA$3&gt;0),IF($A269=SYear_O,AA$168*(1+Data_All!AA108%),AA268*(1+Data_All!AA108%)),"")</f>
        <v/>
      </c>
      <c r="AB269" s="427" t="str">
        <f>IF(AND($A269&gt;=SYear_O,$A269&lt;=EYear_O,AB$3&gt;0),IF($A269=SYear_O,AB$168*(1+Data_All!AB108%),AB268*(1+Data_All!AB108%)),"")</f>
        <v/>
      </c>
      <c r="AC269" s="427" t="str">
        <f>IF(AND($A269&gt;=SYear_O,$A269&lt;=EYear_O,AC$3&gt;0),IF($A269=SYear_O,AC$168*(1+Data_All!AC108%),AC268*(1+Data_All!AC108%)),"")</f>
        <v/>
      </c>
      <c r="AD269" s="427" t="str">
        <f>IF(AND($A269&gt;=SYear_O,$A269&lt;=EYear_O,AD$3&gt;0),IF($A269=SYear_O,AD$168*(1+Data_All!AD108%),AD268*(1+Data_All!AD108%)),"")</f>
        <v/>
      </c>
      <c r="AE269" s="427" t="str">
        <f>IF(AND($A269&gt;=SYear_O,$A269&lt;=EYear_O,AE$3&gt;0),IF($A269=SYear_O,AE$168*(1+Data_All!AE108%),AE268*(1+Data_All!AE108%)),"")</f>
        <v/>
      </c>
      <c r="AF269" s="427" t="str">
        <f>IF(AND($A269&gt;=SYear_O,$A269&lt;=EYear_O,AF$3&gt;0),IF($A269=SYear_O,AF$168*(1+Data_All!AF108%),AF268*(1+Data_All!AF108%)),"")</f>
        <v/>
      </c>
      <c r="AG269" s="427" t="str">
        <f>IF(AND($A269&gt;=SYear_O,$A269&lt;=EYear_O,AG$3&gt;0),IF($A269=SYear_O,AG$168*(1+Data_All!AG108%),AG268*(1+Data_All!AG108%)),"")</f>
        <v/>
      </c>
      <c r="AH269" s="427" t="str">
        <f>IF(AND($A269&gt;=SYear_O,$A269&lt;=EYear_O,AH$3&gt;0),IF($A269=SYear_O,AH$168*(1+Data_All!AH108%),AH268*(1+Data_All!AH108%)),"")</f>
        <v/>
      </c>
      <c r="AI269" s="427" t="str">
        <f>IF(AND($A269&gt;=SYear_O,$A269&lt;=EYear_O,AI$3&gt;0),IF($A269=SYear_O,AI$168*(1+Data_All!AI108%),AI268*(1+Data_All!AI108%)),"")</f>
        <v/>
      </c>
      <c r="AJ269" s="427" t="str">
        <f>IF(AND($A269&gt;=SYear_O,$A269&lt;=EYear_O,AJ$3&gt;0),IF($A269=SYear_O,AJ$168*(1+Data_All!AJ108%),AJ268*(1+Data_All!AJ108%)),"")</f>
        <v/>
      </c>
      <c r="AK269" s="427" t="str">
        <f>IF(AND($A269&gt;=SYear_O,$A269&lt;=EYear_O,AK$3&gt;0),IF($A269=SYear_O,AK$168*(1+Data_All!AK108%),AK268*(1+Data_All!AK108%)),"")</f>
        <v/>
      </c>
      <c r="AL269" s="427" t="str">
        <f>IF(AND($A269&gt;=SYear_O,$A269&lt;=EYear_O,AL$3&gt;0),IF($A269=SYear_O,AL$168*(1+Data_All!AL108%),AL268*(1+Data_All!AL108%)),"")</f>
        <v/>
      </c>
      <c r="AM269" s="427" t="str">
        <f>IF(AND($A269&gt;=SYear_O,$A269&lt;=EYear_O,AM$3&gt;0),IF($A269=SYear_O,AM$168*(1+Data_All!AM108%),AM268*(1+Data_All!AM108%)),"")</f>
        <v/>
      </c>
      <c r="AN269" s="427" t="str">
        <f>IF(AND($A269&gt;=SYear_O,$A269&lt;=EYear_O,AN$3&gt;0),IF($A269=SYear_O,AN$168*(1+Data_All!AN108%),AN268*(1+Data_All!AN108%)),"")</f>
        <v/>
      </c>
      <c r="AO269" s="427" t="str">
        <f>IF(AND($A269&gt;=SYear_O,$A269&lt;=EYear_O,AO$3&gt;0),IF($A269=SYear_O,AO$168*(1+Data_All!AO108%),AO268*(1+Data_All!AO108%)),"")</f>
        <v/>
      </c>
      <c r="AP269" s="427" t="str">
        <f>IF(AND($A269&gt;=SYear_O,$A269&lt;=EYear_O,AP$3&gt;0),IF($A269=SYear_O,AP$168*(1+Data_All!AP108%),AP268*(1+Data_All!AP108%)),"")</f>
        <v/>
      </c>
      <c r="AQ269" s="427" t="str">
        <f>IF(AND($A269&gt;=SYear_O,$A269&lt;=EYear_O,AQ$3&gt;0),IF($A269=SYear_O,AQ$168*(1+Data_All!AQ108%),AQ268*(1+Data_All!AQ108%)),"")</f>
        <v/>
      </c>
      <c r="AR269" s="427" t="str">
        <f>IF(AND($A269&gt;=SYear_O,$A269&lt;=EYear_O,AR$3&gt;0),IF($A269=SYear_O,AR$168*(1+Data_All!AR108%),AR268*(1+Data_All!AR108%)),"")</f>
        <v/>
      </c>
      <c r="AS269" s="427" t="str">
        <f>IF(AND($A269&gt;=SYear_O,$A269&lt;=EYear_O,AS$3&gt;0),IF($A269=SYear_O,AS$168*(1+Data_All!AS108%),AS268*(1+Data_All!AS108%)),"")</f>
        <v/>
      </c>
      <c r="AT269" s="427" t="str">
        <f>IF(AND($A269&gt;=SYear_O,$A269&lt;=EYear_O,AT$3&gt;0),IF($A269=SYear_O,AT$168*(1+Data_All!AT108%),AT268*(1+Data_All!AT108%)),"")</f>
        <v/>
      </c>
      <c r="AU269" s="427" t="str">
        <f>IF(AND($A269&gt;=SYear_O,$A269&lt;=EYear_O,AU$3&gt;0),IF($A269=SYear_O,AU$168*(1+Data_All!AU108%),AU268*(1+Data_All!AU108%)),"")</f>
        <v/>
      </c>
      <c r="AV269" s="427" t="str">
        <f>IF(AND($A269&gt;=SYear_O,$A269&lt;=EYear_O,AV$3&gt;0),IF($A269=SYear_O,AV$168*(1+Data_All!AV108%),AV268*(1+Data_All!AV108%)),"")</f>
        <v/>
      </c>
      <c r="AW269" s="427" t="str">
        <f>IF(AND($A269&gt;=SYear_O,$A269&lt;=EYear_O,AW$3&gt;0),IF($A269=SYear_O,AW$168*(1+Data_All!AW108%),AW268*(1+Data_All!AW108%)),"")</f>
        <v/>
      </c>
      <c r="AX269" s="427" t="str">
        <f>IF(AND($A269&gt;=SYear_O,$A269&lt;=EYear_O,AX$3&gt;0),IF($A269=SYear_O,AX$168*(1+Data_All!AX108%),AX268*(1+Data_All!AX108%)),"")</f>
        <v/>
      </c>
      <c r="AY269" s="427" t="str">
        <f>IF(AND($A269&gt;=SYear_O,$A269&lt;=EYear_O,AY$3&gt;0),IF($A269=SYear_O,AY$168*(1+Data_All!AY108%),AY268*(1+Data_All!AY108%)),"")</f>
        <v/>
      </c>
      <c r="AZ269" s="427" t="str">
        <f>IF(AND($A269&gt;=SYear_O,$A269&lt;=EYear_O,AZ$3&gt;0),IF($A269=SYear_O,AZ$168*(1+Data_All!AZ108%),AZ268*(1+Data_All!AZ108%)),"")</f>
        <v/>
      </c>
      <c r="BA269" s="427" t="str">
        <f>IF(AND($A269&gt;=SYear_O,$A269&lt;=EYear_O,BA$3&gt;0),IF($A269=SYear_O,BA$168*(1+Data_All!BA108%),BA268*(1+Data_All!BA108%)),"")</f>
        <v/>
      </c>
      <c r="BB269" s="427" t="str">
        <f>IF(AND($A269&gt;=SYear_O,$A269&lt;=EYear_O,BB$3&gt;0),IF($A269=SYear_O,BB$168*(1+Data_All!BB108%),BB268*(1+Data_All!BB108%)),"")</f>
        <v/>
      </c>
      <c r="BC269" s="427" t="str">
        <f>IF(AND($A269&gt;=SYear_O,$A269&lt;=EYear_O,BC$3&gt;0),IF($A269=SYear_O,BC$168*(1+Data_All!BC108%),BC268*(1+Data_All!BC108%)),"")</f>
        <v/>
      </c>
      <c r="BD269" s="427" t="str">
        <f>IF(AND($A269&gt;=SYear_O,$A269&lt;=EYear_O,BD$3&gt;0),IF($A269=SYear_O,BD$168*(1+Data_All!BD108%),BD268*(1+Data_All!BD108%)),"")</f>
        <v/>
      </c>
      <c r="BE269" s="427" t="str">
        <f>IF(AND($A269&gt;=SYear_O,$A269&lt;=EYear_O,BE$3&gt;0),IF($A269=SYear_O,BE$168*(1+Data_All!BE108%),BE268*(1+Data_All!BE108%)),"")</f>
        <v/>
      </c>
      <c r="BF269" s="427" t="str">
        <f>IF(AND($A269&gt;=SYear_O,$A269&lt;=EYear_O,BF$3&gt;0),IF($A269=SYear_O,BF$168*(1+Data_All!BF108%),BF268*(1+Data_All!BF108%)),"")</f>
        <v/>
      </c>
      <c r="BG269" s="427" t="str">
        <f>IF(AND($A269&gt;=SYear_O,$A269&lt;=EYear_O,BG$3&gt;0),IF($A269=SYear_O,BG$168*(1+Data_All!BG108%),BG268*(1+Data_All!BG108%)),"")</f>
        <v/>
      </c>
      <c r="BH269" s="427" t="str">
        <f>IF(AND($A269&gt;=SYear_O,$A269&lt;=EYear_O,BH$3&gt;0),IF($A269=SYear_O,BH$168*(1+Data_All!BH108%),BH268*(1+Data_All!BH108%)),"")</f>
        <v/>
      </c>
      <c r="BI269" s="427" t="str">
        <f>IF(AND($A269&gt;=SYear_O,$A269&lt;=EYear_O,BI$3&gt;0),IF($A269=SYear_O,BI$168*(1+Data_All!BI108%),BI268*(1+Data_All!BI108%)),"")</f>
        <v/>
      </c>
      <c r="BJ269" s="427" t="str">
        <f>IF(AND($A269&gt;=SYear_O,$A269&lt;=EYear_O,BJ$3&gt;0),IF($A269=SYear_O,BJ$168*(1+Data_All!BJ108%),BJ268*(1+Data_All!BJ108%)),"")</f>
        <v/>
      </c>
      <c r="BK269" s="427" t="str">
        <f>IF(AND($A269&gt;=SYear_O,$A269&lt;=EYear_O,BK$3&gt;0),IF($A269=SYear_O,BK$168*(1+Data_All!BK108%),BK268*(1+Data_All!BK108%)),"")</f>
        <v/>
      </c>
      <c r="BL269" s="427" t="str">
        <f>IF(AND($A269&gt;=SYear_O,$A269&lt;=EYear_O,BL$3&gt;0),IF($A269=SYear_O,BL$168*(1+Data_All!BL108%),BL268*(1+Data_All!BL108%)),"")</f>
        <v/>
      </c>
      <c r="BM269" s="427" t="str">
        <f>IF(AND($A269&gt;=SYear_O,$A269&lt;=EYear_O,BM$3&gt;0),IF($A269=SYear_O,BM$168*(1+Data_All!BM108%),BM268*(1+Data_All!BM108%)),"")</f>
        <v/>
      </c>
      <c r="BN269" s="427" t="str">
        <f>IF(AND($A269&gt;=SYear_O,$A269&lt;=EYear_O,BN$3&gt;0),IF($A269=SYear_O,BN$168*(1+Data_All!BN108%),BN268*(1+Data_All!BN108%)),"")</f>
        <v/>
      </c>
      <c r="BO269" s="427" t="str">
        <f>IF(AND($A269&gt;=SYear_O,$A269&lt;=EYear_O,BO$3&gt;0),IF($A269=SYear_O,BO$168*(1+Data_All!BO108%),BO268*(1+Data_All!BO108%)),"")</f>
        <v/>
      </c>
      <c r="BP269" s="427" t="str">
        <f>IF(AND($A269&gt;=SYear_O,$A269&lt;=EYear_O,BP$3&gt;0),IF($A269=SYear_O,BP$168*(1+Data_All!BP108%),BP268*(1+Data_All!BP108%)),"")</f>
        <v/>
      </c>
      <c r="BQ269" s="427" t="str">
        <f>IF(AND($A269&gt;=SYear_O,$A269&lt;=EYear_O,BQ$3&gt;0),IF($A269=SYear_O,BQ$168*(1+Data_All!BQ108%),BQ268*(1+Data_All!BQ108%)),"")</f>
        <v/>
      </c>
      <c r="BR269" s="427" t="str">
        <f>IF(AND($A269&gt;=SYear_O,$A269&lt;=EYear_O,BR$3&gt;0),IF($A269=SYear_O,BR$168*(1+Data_All!BR108%),BR268*(1+Data_All!BR108%)),"")</f>
        <v/>
      </c>
      <c r="BS269" s="427" t="str">
        <f>IF(AND($A269&gt;=SYear_O,$A269&lt;=EYear_O,BS$3&gt;0),IF($A269=SYear_O,BS$168*(1+Data_All!BS108%),BS268*(1+Data_All!BS108%)),"")</f>
        <v/>
      </c>
      <c r="BT269" s="427" t="str">
        <f>IF(AND($A269&gt;=SYear_O,$A269&lt;=EYear_O,BT$3&gt;0),IF($A269=SYear_O,BT$168*(1+Data_All!BT108%),BT268*(1+Data_All!BT108%)),"")</f>
        <v/>
      </c>
      <c r="BU269" s="427" t="str">
        <f>IF(AND($A269&gt;=SYear_O,$A269&lt;=EYear_O,BU$3&gt;0),IF($A269=SYear_O,BU$168*(1+Data_All!BU108%),BU268*(1+Data_All!BU108%)),"")</f>
        <v/>
      </c>
      <c r="BV269" s="427" t="str">
        <f>IF(AND($A269&gt;=SYear_O,$A269&lt;=EYear_O,BV$3&gt;0),IF($A269=SYear_O,BV$168*(1+Data_All!BV108%),BV268*(1+Data_All!BV108%)),"")</f>
        <v/>
      </c>
      <c r="BW269" s="427" t="str">
        <f>IF(AND($A269&gt;=SYear_O,$A269&lt;=EYear_O,BW$3&gt;0),IF($A269=SYear_O,BW$168*(1+Data_All!BW108%),BW268*(1+Data_All!BW108%)),"")</f>
        <v/>
      </c>
      <c r="BX269" s="427">
        <f>IF(AND($A269&gt;=SYear_O,$A269&lt;=EYear_O,BX$3&gt;0),IF($A269=SYear_O,BX$168*(1+Data_All!BX108%),BX268*(1+Data_All!BX108%)),"")</f>
        <v>18495367.945251152</v>
      </c>
      <c r="BY269" s="427">
        <f>IF(AND($A269&gt;=SYear_O,$A269&lt;=EYear_O,BY$3&gt;0),IF($A269=SYear_O,BY$168*(1+Data_All!BY108%),BY268*(1+Data_All!BY108%)),"")</f>
        <v>153464.7422971692</v>
      </c>
      <c r="BZ269" s="427" t="str">
        <f>IF(AND($A269&gt;=SYear_O,$A269&lt;=EYear_O,BZ$3&gt;0),IF($A269=SYear_O,BZ$168*(1+Data_All!BZ108%),BZ268*(1+Data_All!BZ108%)),"")</f>
        <v/>
      </c>
      <c r="CA269" s="565">
        <f t="shared" si="138"/>
        <v>13.723958668139394</v>
      </c>
      <c r="CB269" s="427">
        <f t="shared" si="139"/>
        <v>18648832.687548321</v>
      </c>
      <c r="CC269" s="565">
        <f>IF(AND($A269&gt;=SYear_O,$A269&lt;=EYear_O),(CA269-Data_All!CA108)/(1+Data_All!CA108%),"")</f>
        <v>10.126850486422081</v>
      </c>
      <c r="CD269" s="436">
        <f t="shared" si="140"/>
        <v>5655479.0315424902</v>
      </c>
      <c r="CE269" s="438">
        <f t="shared" si="141"/>
        <v>1691.4349286476668</v>
      </c>
      <c r="CF269" s="438">
        <f>IF(AND($A269&gt;=SYear_O,$A269&lt;=EYear_O),MAX($CE$169:CE269),"")</f>
        <v>1691.4349286476668</v>
      </c>
      <c r="CG269" s="209">
        <f t="shared" si="142"/>
        <v>0</v>
      </c>
      <c r="CN269" s="61">
        <f t="shared" si="143"/>
        <v>0.13723958668139402</v>
      </c>
      <c r="CO269" s="61">
        <f t="shared" si="144"/>
        <v>4.0110909219890356E-2</v>
      </c>
      <c r="CP269" s="61">
        <f t="shared" si="145"/>
        <v>4.3248422960288968E-2</v>
      </c>
      <c r="CQ269" s="61">
        <f t="shared" si="146"/>
        <v>7.8884629672435702E-2</v>
      </c>
      <c r="CR269" s="61">
        <f t="shared" si="147"/>
        <v>0.10012046422565168</v>
      </c>
      <c r="CU269" s="61">
        <f t="shared" si="148"/>
        <v>0.10126850486422079</v>
      </c>
      <c r="CV269" s="61">
        <f t="shared" si="149"/>
        <v>-1.0323289582258033E-2</v>
      </c>
      <c r="CW269" s="61">
        <f t="shared" si="150"/>
        <v>-2.3874283392325224E-2</v>
      </c>
      <c r="CX269" s="61">
        <f t="shared" si="151"/>
        <v>-1.4674336658705434E-3</v>
      </c>
      <c r="CY269" s="61">
        <f t="shared" si="152"/>
        <v>2.8468759207884498E-2</v>
      </c>
    </row>
    <row r="270" spans="1:103">
      <c r="A270" s="204">
        <f t="shared" si="107"/>
        <v>1972</v>
      </c>
      <c r="B270" s="427" t="str">
        <f>IF(AND($A270&gt;=SYear_O,$A270&lt;=EYear_O,B$3&gt;0),IF($A270=SYear_O,B$168*(1+Data_All!B109%),B269*(1+Data_All!B109%)),"")</f>
        <v/>
      </c>
      <c r="C270" s="427" t="str">
        <f>IF(AND($A270&gt;=SYear_O,$A270&lt;=EYear_O,C$3&gt;0),IF($A270=SYear_O,C$168*(1+Data_All!C109%),C269*(1+Data_All!C109%)),"")</f>
        <v/>
      </c>
      <c r="D270" s="427" t="str">
        <f>IF(AND($A270&gt;=SYear_O,$A270&lt;=EYear_O,D$3&gt;0),IF($A270=SYear_O,D$168*(1+Data_All!D109%),D269*(1+Data_All!D109%)),"")</f>
        <v/>
      </c>
      <c r="E270" s="427" t="str">
        <f>IF(AND($A270&gt;=SYear_O,$A270&lt;=EYear_O,E$3&gt;0),IF($A270=SYear_O,E$168*(1+Data_All!E109%),E269*(1+Data_All!E109%)),"")</f>
        <v/>
      </c>
      <c r="F270" s="427" t="str">
        <f>IF(AND($A270&gt;=SYear_O,$A270&lt;=EYear_O,F$3&gt;0),IF($A270=SYear_O,F$168*(1+Data_All!F109%),F269*(1+Data_All!F109%)),"")</f>
        <v/>
      </c>
      <c r="G270" s="427" t="str">
        <f>IF(AND($A270&gt;=SYear_O,$A270&lt;=EYear_O,G$3&gt;0),IF($A270=SYear_O,G$168*(1+Data_All!G109%),G269*(1+Data_All!G109%)),"")</f>
        <v/>
      </c>
      <c r="H270" s="427" t="str">
        <f>IF(AND($A270&gt;=SYear_O,$A270&lt;=EYear_O,H$3&gt;0),IF($A270=SYear_O,H$168*(1+Data_All!H109%),H269*(1+Data_All!H109%)),"")</f>
        <v/>
      </c>
      <c r="I270" s="427" t="str">
        <f>IF(AND($A270&gt;=SYear_O,$A270&lt;=EYear_O,I$3&gt;0),IF($A270=SYear_O,I$168*(1+Data_All!I109%),I269*(1+Data_All!I109%)),"")</f>
        <v/>
      </c>
      <c r="J270" s="427" t="str">
        <f>IF(AND($A270&gt;=SYear_O,$A270&lt;=EYear_O,J$3&gt;0),IF($A270=SYear_O,J$168*(1+Data_All!J109%),J269*(1+Data_All!J109%)),"")</f>
        <v/>
      </c>
      <c r="K270" s="427" t="str">
        <f>IF(AND($A270&gt;=SYear_O,$A270&lt;=EYear_O,K$3&gt;0),IF($A270=SYear_O,K$168*(1+Data_All!K109%),K269*(1+Data_All!K109%)),"")</f>
        <v/>
      </c>
      <c r="L270" s="427" t="str">
        <f>IF(AND($A270&gt;=SYear_O,$A270&lt;=EYear_O,L$3&gt;0),IF($A270=SYear_O,L$168*(1+Data_All!L109%),L269*(1+Data_All!L109%)),"")</f>
        <v/>
      </c>
      <c r="M270" s="427" t="str">
        <f>IF(AND($A270&gt;=SYear_O,$A270&lt;=EYear_O,M$3&gt;0),IF($A270=SYear_O,M$168*(1+Data_All!M109%),M269*(1+Data_All!M109%)),"")</f>
        <v/>
      </c>
      <c r="N270" s="427" t="str">
        <f>IF(AND($A270&gt;=SYear_O,$A270&lt;=EYear_O,N$3&gt;0),IF($A270=SYear_O,N$168*(1+Data_All!N109%),N269*(1+Data_All!N109%)),"")</f>
        <v/>
      </c>
      <c r="O270" s="427" t="str">
        <f>IF(AND($A270&gt;=SYear_O,$A270&lt;=EYear_O,O$3&gt;0),IF($A270=SYear_O,O$168*(1+Data_All!O109%),O269*(1+Data_All!O109%)),"")</f>
        <v/>
      </c>
      <c r="P270" s="427" t="str">
        <f>IF(AND($A270&gt;=SYear_O,$A270&lt;=EYear_O,P$3&gt;0),IF($A270=SYear_O,P$168*(1+Data_All!P109%),P269*(1+Data_All!P109%)),"")</f>
        <v/>
      </c>
      <c r="Q270" s="427" t="str">
        <f>IF(AND($A270&gt;=SYear_O,$A270&lt;=EYear_O,Q$3&gt;0),IF($A270=SYear_O,Q$168*(1+Data_All!Q109%),Q269*(1+Data_All!Q109%)),"")</f>
        <v/>
      </c>
      <c r="R270" s="427" t="str">
        <f>IF(AND($A270&gt;=SYear_O,$A270&lt;=EYear_O,R$3&gt;0),IF($A270=SYear_O,R$168*(1+Data_All!R109%),R269*(1+Data_All!R109%)),"")</f>
        <v/>
      </c>
      <c r="S270" s="427" t="str">
        <f>IF(AND($A270&gt;=SYear_O,$A270&lt;=EYear_O,S$3&gt;0),IF($A270=SYear_O,S$168*(1+Data_All!S109%),S269*(1+Data_All!S109%)),"")</f>
        <v/>
      </c>
      <c r="T270" s="427" t="str">
        <f>IF(AND($A270&gt;=SYear_O,$A270&lt;=EYear_O,T$3&gt;0),IF($A270=SYear_O,T$168*(1+Data_All!T109%),T269*(1+Data_All!T109%)),"")</f>
        <v/>
      </c>
      <c r="U270" s="427" t="str">
        <f>IF(AND($A270&gt;=SYear_O,$A270&lt;=EYear_O,U$3&gt;0),IF($A270=SYear_O,U$168*(1+Data_All!U109%),U269*(1+Data_All!U109%)),"")</f>
        <v/>
      </c>
      <c r="V270" s="427" t="str">
        <f>IF(AND($A270&gt;=SYear_O,$A270&lt;=EYear_O,V$3&gt;0),IF($A270=SYear_O,V$168*(1+Data_All!V109%),V269*(1+Data_All!V109%)),"")</f>
        <v/>
      </c>
      <c r="W270" s="427" t="str">
        <f>IF(AND($A270&gt;=SYear_O,$A270&lt;=EYear_O,W$3&gt;0),IF($A270=SYear_O,W$168*(1+Data_All!W109%),W269*(1+Data_All!W109%)),"")</f>
        <v/>
      </c>
      <c r="X270" s="427" t="str">
        <f>IF(AND($A270&gt;=SYear_O,$A270&lt;=EYear_O,X$3&gt;0),IF($A270=SYear_O,X$168*(1+Data_All!X109%),X269*(1+Data_All!X109%)),"")</f>
        <v/>
      </c>
      <c r="Y270" s="427" t="str">
        <f>IF(AND($A270&gt;=SYear_O,$A270&lt;=EYear_O,Y$3&gt;0),IF($A270=SYear_O,Y$168*(1+Data_All!Y109%),Y269*(1+Data_All!Y109%)),"")</f>
        <v/>
      </c>
      <c r="Z270" s="427" t="str">
        <f>IF(AND($A270&gt;=SYear_O,$A270&lt;=EYear_O,Z$3&gt;0),IF($A270=SYear_O,Z$168*(1+Data_All!Z109%),Z269*(1+Data_All!Z109%)),"")</f>
        <v/>
      </c>
      <c r="AA270" s="427" t="str">
        <f>IF(AND($A270&gt;=SYear_O,$A270&lt;=EYear_O,AA$3&gt;0),IF($A270=SYear_O,AA$168*(1+Data_All!AA109%),AA269*(1+Data_All!AA109%)),"")</f>
        <v/>
      </c>
      <c r="AB270" s="427" t="str">
        <f>IF(AND($A270&gt;=SYear_O,$A270&lt;=EYear_O,AB$3&gt;0),IF($A270=SYear_O,AB$168*(1+Data_All!AB109%),AB269*(1+Data_All!AB109%)),"")</f>
        <v/>
      </c>
      <c r="AC270" s="427" t="str">
        <f>IF(AND($A270&gt;=SYear_O,$A270&lt;=EYear_O,AC$3&gt;0),IF($A270=SYear_O,AC$168*(1+Data_All!AC109%),AC269*(1+Data_All!AC109%)),"")</f>
        <v/>
      </c>
      <c r="AD270" s="427" t="str">
        <f>IF(AND($A270&gt;=SYear_O,$A270&lt;=EYear_O,AD$3&gt;0),IF($A270=SYear_O,AD$168*(1+Data_All!AD109%),AD269*(1+Data_All!AD109%)),"")</f>
        <v/>
      </c>
      <c r="AE270" s="427" t="str">
        <f>IF(AND($A270&gt;=SYear_O,$A270&lt;=EYear_O,AE$3&gt;0),IF($A270=SYear_O,AE$168*(1+Data_All!AE109%),AE269*(1+Data_All!AE109%)),"")</f>
        <v/>
      </c>
      <c r="AF270" s="427" t="str">
        <f>IF(AND($A270&gt;=SYear_O,$A270&lt;=EYear_O,AF$3&gt;0),IF($A270=SYear_O,AF$168*(1+Data_All!AF109%),AF269*(1+Data_All!AF109%)),"")</f>
        <v/>
      </c>
      <c r="AG270" s="427" t="str">
        <f>IF(AND($A270&gt;=SYear_O,$A270&lt;=EYear_O,AG$3&gt;0),IF($A270=SYear_O,AG$168*(1+Data_All!AG109%),AG269*(1+Data_All!AG109%)),"")</f>
        <v/>
      </c>
      <c r="AH270" s="427" t="str">
        <f>IF(AND($A270&gt;=SYear_O,$A270&lt;=EYear_O,AH$3&gt;0),IF($A270=SYear_O,AH$168*(1+Data_All!AH109%),AH269*(1+Data_All!AH109%)),"")</f>
        <v/>
      </c>
      <c r="AI270" s="427" t="str">
        <f>IF(AND($A270&gt;=SYear_O,$A270&lt;=EYear_O,AI$3&gt;0),IF($A270=SYear_O,AI$168*(1+Data_All!AI109%),AI269*(1+Data_All!AI109%)),"")</f>
        <v/>
      </c>
      <c r="AJ270" s="427" t="str">
        <f>IF(AND($A270&gt;=SYear_O,$A270&lt;=EYear_O,AJ$3&gt;0),IF($A270=SYear_O,AJ$168*(1+Data_All!AJ109%),AJ269*(1+Data_All!AJ109%)),"")</f>
        <v/>
      </c>
      <c r="AK270" s="427" t="str">
        <f>IF(AND($A270&gt;=SYear_O,$A270&lt;=EYear_O,AK$3&gt;0),IF($A270=SYear_O,AK$168*(1+Data_All!AK109%),AK269*(1+Data_All!AK109%)),"")</f>
        <v/>
      </c>
      <c r="AL270" s="427" t="str">
        <f>IF(AND($A270&gt;=SYear_O,$A270&lt;=EYear_O,AL$3&gt;0),IF($A270=SYear_O,AL$168*(1+Data_All!AL109%),AL269*(1+Data_All!AL109%)),"")</f>
        <v/>
      </c>
      <c r="AM270" s="427" t="str">
        <f>IF(AND($A270&gt;=SYear_O,$A270&lt;=EYear_O,AM$3&gt;0),IF($A270=SYear_O,AM$168*(1+Data_All!AM109%),AM269*(1+Data_All!AM109%)),"")</f>
        <v/>
      </c>
      <c r="AN270" s="427" t="str">
        <f>IF(AND($A270&gt;=SYear_O,$A270&lt;=EYear_O,AN$3&gt;0),IF($A270=SYear_O,AN$168*(1+Data_All!AN109%),AN269*(1+Data_All!AN109%)),"")</f>
        <v/>
      </c>
      <c r="AO270" s="427" t="str">
        <f>IF(AND($A270&gt;=SYear_O,$A270&lt;=EYear_O,AO$3&gt;0),IF($A270=SYear_O,AO$168*(1+Data_All!AO109%),AO269*(1+Data_All!AO109%)),"")</f>
        <v/>
      </c>
      <c r="AP270" s="427" t="str">
        <f>IF(AND($A270&gt;=SYear_O,$A270&lt;=EYear_O,AP$3&gt;0),IF($A270=SYear_O,AP$168*(1+Data_All!AP109%),AP269*(1+Data_All!AP109%)),"")</f>
        <v/>
      </c>
      <c r="AQ270" s="427" t="str">
        <f>IF(AND($A270&gt;=SYear_O,$A270&lt;=EYear_O,AQ$3&gt;0),IF($A270=SYear_O,AQ$168*(1+Data_All!AQ109%),AQ269*(1+Data_All!AQ109%)),"")</f>
        <v/>
      </c>
      <c r="AR270" s="427" t="str">
        <f>IF(AND($A270&gt;=SYear_O,$A270&lt;=EYear_O,AR$3&gt;0),IF($A270=SYear_O,AR$168*(1+Data_All!AR109%),AR269*(1+Data_All!AR109%)),"")</f>
        <v/>
      </c>
      <c r="AS270" s="427" t="str">
        <f>IF(AND($A270&gt;=SYear_O,$A270&lt;=EYear_O,AS$3&gt;0),IF($A270=SYear_O,AS$168*(1+Data_All!AS109%),AS269*(1+Data_All!AS109%)),"")</f>
        <v/>
      </c>
      <c r="AT270" s="427" t="str">
        <f>IF(AND($A270&gt;=SYear_O,$A270&lt;=EYear_O,AT$3&gt;0),IF($A270=SYear_O,AT$168*(1+Data_All!AT109%),AT269*(1+Data_All!AT109%)),"")</f>
        <v/>
      </c>
      <c r="AU270" s="427" t="str">
        <f>IF(AND($A270&gt;=SYear_O,$A270&lt;=EYear_O,AU$3&gt;0),IF($A270=SYear_O,AU$168*(1+Data_All!AU109%),AU269*(1+Data_All!AU109%)),"")</f>
        <v/>
      </c>
      <c r="AV270" s="427" t="str">
        <f>IF(AND($A270&gt;=SYear_O,$A270&lt;=EYear_O,AV$3&gt;0),IF($A270=SYear_O,AV$168*(1+Data_All!AV109%),AV269*(1+Data_All!AV109%)),"")</f>
        <v/>
      </c>
      <c r="AW270" s="427" t="str">
        <f>IF(AND($A270&gt;=SYear_O,$A270&lt;=EYear_O,AW$3&gt;0),IF($A270=SYear_O,AW$168*(1+Data_All!AW109%),AW269*(1+Data_All!AW109%)),"")</f>
        <v/>
      </c>
      <c r="AX270" s="427" t="str">
        <f>IF(AND($A270&gt;=SYear_O,$A270&lt;=EYear_O,AX$3&gt;0),IF($A270=SYear_O,AX$168*(1+Data_All!AX109%),AX269*(1+Data_All!AX109%)),"")</f>
        <v/>
      </c>
      <c r="AY270" s="427" t="str">
        <f>IF(AND($A270&gt;=SYear_O,$A270&lt;=EYear_O,AY$3&gt;0),IF($A270=SYear_O,AY$168*(1+Data_All!AY109%),AY269*(1+Data_All!AY109%)),"")</f>
        <v/>
      </c>
      <c r="AZ270" s="427" t="str">
        <f>IF(AND($A270&gt;=SYear_O,$A270&lt;=EYear_O,AZ$3&gt;0),IF($A270=SYear_O,AZ$168*(1+Data_All!AZ109%),AZ269*(1+Data_All!AZ109%)),"")</f>
        <v/>
      </c>
      <c r="BA270" s="427" t="str">
        <f>IF(AND($A270&gt;=SYear_O,$A270&lt;=EYear_O,BA$3&gt;0),IF($A270=SYear_O,BA$168*(1+Data_All!BA109%),BA269*(1+Data_All!BA109%)),"")</f>
        <v/>
      </c>
      <c r="BB270" s="427" t="str">
        <f>IF(AND($A270&gt;=SYear_O,$A270&lt;=EYear_O,BB$3&gt;0),IF($A270=SYear_O,BB$168*(1+Data_All!BB109%),BB269*(1+Data_All!BB109%)),"")</f>
        <v/>
      </c>
      <c r="BC270" s="427" t="str">
        <f>IF(AND($A270&gt;=SYear_O,$A270&lt;=EYear_O,BC$3&gt;0),IF($A270=SYear_O,BC$168*(1+Data_All!BC109%),BC269*(1+Data_All!BC109%)),"")</f>
        <v/>
      </c>
      <c r="BD270" s="427" t="str">
        <f>IF(AND($A270&gt;=SYear_O,$A270&lt;=EYear_O,BD$3&gt;0),IF($A270=SYear_O,BD$168*(1+Data_All!BD109%),BD269*(1+Data_All!BD109%)),"")</f>
        <v/>
      </c>
      <c r="BE270" s="427" t="str">
        <f>IF(AND($A270&gt;=SYear_O,$A270&lt;=EYear_O,BE$3&gt;0),IF($A270=SYear_O,BE$168*(1+Data_All!BE109%),BE269*(1+Data_All!BE109%)),"")</f>
        <v/>
      </c>
      <c r="BF270" s="427" t="str">
        <f>IF(AND($A270&gt;=SYear_O,$A270&lt;=EYear_O,BF$3&gt;0),IF($A270=SYear_O,BF$168*(1+Data_All!BF109%),BF269*(1+Data_All!BF109%)),"")</f>
        <v/>
      </c>
      <c r="BG270" s="427" t="str">
        <f>IF(AND($A270&gt;=SYear_O,$A270&lt;=EYear_O,BG$3&gt;0),IF($A270=SYear_O,BG$168*(1+Data_All!BG109%),BG269*(1+Data_All!BG109%)),"")</f>
        <v/>
      </c>
      <c r="BH270" s="427" t="str">
        <f>IF(AND($A270&gt;=SYear_O,$A270&lt;=EYear_O,BH$3&gt;0),IF($A270=SYear_O,BH$168*(1+Data_All!BH109%),BH269*(1+Data_All!BH109%)),"")</f>
        <v/>
      </c>
      <c r="BI270" s="427" t="str">
        <f>IF(AND($A270&gt;=SYear_O,$A270&lt;=EYear_O,BI$3&gt;0),IF($A270=SYear_O,BI$168*(1+Data_All!BI109%),BI269*(1+Data_All!BI109%)),"")</f>
        <v/>
      </c>
      <c r="BJ270" s="427" t="str">
        <f>IF(AND($A270&gt;=SYear_O,$A270&lt;=EYear_O,BJ$3&gt;0),IF($A270=SYear_O,BJ$168*(1+Data_All!BJ109%),BJ269*(1+Data_All!BJ109%)),"")</f>
        <v/>
      </c>
      <c r="BK270" s="427" t="str">
        <f>IF(AND($A270&gt;=SYear_O,$A270&lt;=EYear_O,BK$3&gt;0),IF($A270=SYear_O,BK$168*(1+Data_All!BK109%),BK269*(1+Data_All!BK109%)),"")</f>
        <v/>
      </c>
      <c r="BL270" s="427" t="str">
        <f>IF(AND($A270&gt;=SYear_O,$A270&lt;=EYear_O,BL$3&gt;0),IF($A270=SYear_O,BL$168*(1+Data_All!BL109%),BL269*(1+Data_All!BL109%)),"")</f>
        <v/>
      </c>
      <c r="BM270" s="427" t="str">
        <f>IF(AND($A270&gt;=SYear_O,$A270&lt;=EYear_O,BM$3&gt;0),IF($A270=SYear_O,BM$168*(1+Data_All!BM109%),BM269*(1+Data_All!BM109%)),"")</f>
        <v/>
      </c>
      <c r="BN270" s="427" t="str">
        <f>IF(AND($A270&gt;=SYear_O,$A270&lt;=EYear_O,BN$3&gt;0),IF($A270=SYear_O,BN$168*(1+Data_All!BN109%),BN269*(1+Data_All!BN109%)),"")</f>
        <v/>
      </c>
      <c r="BO270" s="427" t="str">
        <f>IF(AND($A270&gt;=SYear_O,$A270&lt;=EYear_O,BO$3&gt;0),IF($A270=SYear_O,BO$168*(1+Data_All!BO109%),BO269*(1+Data_All!BO109%)),"")</f>
        <v/>
      </c>
      <c r="BP270" s="427" t="str">
        <f>IF(AND($A270&gt;=SYear_O,$A270&lt;=EYear_O,BP$3&gt;0),IF($A270=SYear_O,BP$168*(1+Data_All!BP109%),BP269*(1+Data_All!BP109%)),"")</f>
        <v/>
      </c>
      <c r="BQ270" s="427" t="str">
        <f>IF(AND($A270&gt;=SYear_O,$A270&lt;=EYear_O,BQ$3&gt;0),IF($A270=SYear_O,BQ$168*(1+Data_All!BQ109%),BQ269*(1+Data_All!BQ109%)),"")</f>
        <v/>
      </c>
      <c r="BR270" s="427" t="str">
        <f>IF(AND($A270&gt;=SYear_O,$A270&lt;=EYear_O,BR$3&gt;0),IF($A270=SYear_O,BR$168*(1+Data_All!BR109%),BR269*(1+Data_All!BR109%)),"")</f>
        <v/>
      </c>
      <c r="BS270" s="427" t="str">
        <f>IF(AND($A270&gt;=SYear_O,$A270&lt;=EYear_O,BS$3&gt;0),IF($A270=SYear_O,BS$168*(1+Data_All!BS109%),BS269*(1+Data_All!BS109%)),"")</f>
        <v/>
      </c>
      <c r="BT270" s="427" t="str">
        <f>IF(AND($A270&gt;=SYear_O,$A270&lt;=EYear_O,BT$3&gt;0),IF($A270=SYear_O,BT$168*(1+Data_All!BT109%),BT269*(1+Data_All!BT109%)),"")</f>
        <v/>
      </c>
      <c r="BU270" s="427" t="str">
        <f>IF(AND($A270&gt;=SYear_O,$A270&lt;=EYear_O,BU$3&gt;0),IF($A270=SYear_O,BU$168*(1+Data_All!BU109%),BU269*(1+Data_All!BU109%)),"")</f>
        <v/>
      </c>
      <c r="BV270" s="427" t="str">
        <f>IF(AND($A270&gt;=SYear_O,$A270&lt;=EYear_O,BV$3&gt;0),IF($A270=SYear_O,BV$168*(1+Data_All!BV109%),BV269*(1+Data_All!BV109%)),"")</f>
        <v/>
      </c>
      <c r="BW270" s="427" t="str">
        <f>IF(AND($A270&gt;=SYear_O,$A270&lt;=EYear_O,BW$3&gt;0),IF($A270=SYear_O,BW$168*(1+Data_All!BW109%),BW269*(1+Data_All!BW109%)),"")</f>
        <v/>
      </c>
      <c r="BX270" s="427">
        <f>IF(AND($A270&gt;=SYear_O,$A270&lt;=EYear_O,BX$3&gt;0),IF($A270=SYear_O,BX$168*(1+Data_All!BX109%),BX269*(1+Data_All!BX109%)),"")</f>
        <v>21766523.534406416</v>
      </c>
      <c r="BY270" s="427">
        <f>IF(AND($A270&gt;=SYear_O,$A270&lt;=EYear_O,BY$3&gt;0),IF($A270=SYear_O,BY$168*(1+Data_All!BY109%),BY269*(1+Data_All!BY109%)),"")</f>
        <v>158499.55800262306</v>
      </c>
      <c r="BZ270" s="427" t="str">
        <f>IF(AND($A270&gt;=SYear_O,$A270&lt;=EYear_O,BZ$3&gt;0),IF($A270=SYear_O,BZ$168*(1+Data_All!BZ109%),BZ269*(1+Data_All!BZ109%)),"")</f>
        <v/>
      </c>
      <c r="CA270" s="565">
        <f t="shared" si="138"/>
        <v>17.567804160998275</v>
      </c>
      <c r="CB270" s="427">
        <f t="shared" si="139"/>
        <v>21925023.092409041</v>
      </c>
      <c r="CC270" s="565">
        <f>IF(AND($A270&gt;=SYear_O,$A270&lt;=EYear_O),(CA270-Data_All!CA109)/(1+Data_All!CA109%),"")</f>
        <v>13.694982376871279</v>
      </c>
      <c r="CD270" s="436">
        <f t="shared" si="140"/>
        <v>6429995.8882398847</v>
      </c>
      <c r="CE270" s="438">
        <f t="shared" si="141"/>
        <v>1988.5829044232098</v>
      </c>
      <c r="CF270" s="438">
        <f>IF(AND($A270&gt;=SYear_O,$A270&lt;=EYear_O),MAX($CE$169:CE270),"")</f>
        <v>1988.5829044232098</v>
      </c>
      <c r="CG270" s="209">
        <f t="shared" si="142"/>
        <v>0</v>
      </c>
      <c r="CN270" s="61">
        <f t="shared" si="143"/>
        <v>0.17567804160998279</v>
      </c>
      <c r="CO270" s="61">
        <f t="shared" si="144"/>
        <v>-7.6999133534813469E-2</v>
      </c>
      <c r="CP270" s="61">
        <f t="shared" si="145"/>
        <v>3.8862175621612982E-2</v>
      </c>
      <c r="CQ270" s="61">
        <f t="shared" si="146"/>
        <v>5.7702325075155603E-2</v>
      </c>
      <c r="CR270" s="61">
        <f t="shared" si="147"/>
        <v>0.11050879367339062</v>
      </c>
      <c r="CU270" s="61">
        <f t="shared" si="148"/>
        <v>0.13694982376871279</v>
      </c>
      <c r="CV270" s="61">
        <f t="shared" si="149"/>
        <v>-0.14606083971958383</v>
      </c>
      <c r="CW270" s="61">
        <f t="shared" si="150"/>
        <v>-3.0960005857910811E-2</v>
      </c>
      <c r="CX270" s="61">
        <f t="shared" si="151"/>
        <v>-2.6278283806785652E-2</v>
      </c>
      <c r="CY270" s="61">
        <f t="shared" si="152"/>
        <v>3.9650351715699417E-2</v>
      </c>
    </row>
    <row r="271" spans="1:103">
      <c r="A271" s="204">
        <f t="shared" si="107"/>
        <v>1973</v>
      </c>
      <c r="B271" s="427" t="str">
        <f>IF(AND($A271&gt;=SYear_O,$A271&lt;=EYear_O,B$3&gt;0),IF($A271=SYear_O,B$168*(1+Data_All!B110%),B270*(1+Data_All!B110%)),"")</f>
        <v/>
      </c>
      <c r="C271" s="427" t="str">
        <f>IF(AND($A271&gt;=SYear_O,$A271&lt;=EYear_O,C$3&gt;0),IF($A271=SYear_O,C$168*(1+Data_All!C110%),C270*(1+Data_All!C110%)),"")</f>
        <v/>
      </c>
      <c r="D271" s="427" t="str">
        <f>IF(AND($A271&gt;=SYear_O,$A271&lt;=EYear_O,D$3&gt;0),IF($A271=SYear_O,D$168*(1+Data_All!D110%),D270*(1+Data_All!D110%)),"")</f>
        <v/>
      </c>
      <c r="E271" s="427" t="str">
        <f>IF(AND($A271&gt;=SYear_O,$A271&lt;=EYear_O,E$3&gt;0),IF($A271=SYear_O,E$168*(1+Data_All!E110%),E270*(1+Data_All!E110%)),"")</f>
        <v/>
      </c>
      <c r="F271" s="427" t="str">
        <f>IF(AND($A271&gt;=SYear_O,$A271&lt;=EYear_O,F$3&gt;0),IF($A271=SYear_O,F$168*(1+Data_All!F110%),F270*(1+Data_All!F110%)),"")</f>
        <v/>
      </c>
      <c r="G271" s="427" t="str">
        <f>IF(AND($A271&gt;=SYear_O,$A271&lt;=EYear_O,G$3&gt;0),IF($A271=SYear_O,G$168*(1+Data_All!G110%),G270*(1+Data_All!G110%)),"")</f>
        <v/>
      </c>
      <c r="H271" s="427" t="str">
        <f>IF(AND($A271&gt;=SYear_O,$A271&lt;=EYear_O,H$3&gt;0),IF($A271=SYear_O,H$168*(1+Data_All!H110%),H270*(1+Data_All!H110%)),"")</f>
        <v/>
      </c>
      <c r="I271" s="427" t="str">
        <f>IF(AND($A271&gt;=SYear_O,$A271&lt;=EYear_O,I$3&gt;0),IF($A271=SYear_O,I$168*(1+Data_All!I110%),I270*(1+Data_All!I110%)),"")</f>
        <v/>
      </c>
      <c r="J271" s="427" t="str">
        <f>IF(AND($A271&gt;=SYear_O,$A271&lt;=EYear_O,J$3&gt;0),IF($A271=SYear_O,J$168*(1+Data_All!J110%),J270*(1+Data_All!J110%)),"")</f>
        <v/>
      </c>
      <c r="K271" s="427" t="str">
        <f>IF(AND($A271&gt;=SYear_O,$A271&lt;=EYear_O,K$3&gt;0),IF($A271=SYear_O,K$168*(1+Data_All!K110%),K270*(1+Data_All!K110%)),"")</f>
        <v/>
      </c>
      <c r="L271" s="427" t="str">
        <f>IF(AND($A271&gt;=SYear_O,$A271&lt;=EYear_O,L$3&gt;0),IF($A271=SYear_O,L$168*(1+Data_All!L110%),L270*(1+Data_All!L110%)),"")</f>
        <v/>
      </c>
      <c r="M271" s="427" t="str">
        <f>IF(AND($A271&gt;=SYear_O,$A271&lt;=EYear_O,M$3&gt;0),IF($A271=SYear_O,M$168*(1+Data_All!M110%),M270*(1+Data_All!M110%)),"")</f>
        <v/>
      </c>
      <c r="N271" s="427" t="str">
        <f>IF(AND($A271&gt;=SYear_O,$A271&lt;=EYear_O,N$3&gt;0),IF($A271=SYear_O,N$168*(1+Data_All!N110%),N270*(1+Data_All!N110%)),"")</f>
        <v/>
      </c>
      <c r="O271" s="427" t="str">
        <f>IF(AND($A271&gt;=SYear_O,$A271&lt;=EYear_O,O$3&gt;0),IF($A271=SYear_O,O$168*(1+Data_All!O110%),O270*(1+Data_All!O110%)),"")</f>
        <v/>
      </c>
      <c r="P271" s="427" t="str">
        <f>IF(AND($A271&gt;=SYear_O,$A271&lt;=EYear_O,P$3&gt;0),IF($A271=SYear_O,P$168*(1+Data_All!P110%),P270*(1+Data_All!P110%)),"")</f>
        <v/>
      </c>
      <c r="Q271" s="427" t="str">
        <f>IF(AND($A271&gt;=SYear_O,$A271&lt;=EYear_O,Q$3&gt;0),IF($A271=SYear_O,Q$168*(1+Data_All!Q110%),Q270*(1+Data_All!Q110%)),"")</f>
        <v/>
      </c>
      <c r="R271" s="427" t="str">
        <f>IF(AND($A271&gt;=SYear_O,$A271&lt;=EYear_O,R$3&gt;0),IF($A271=SYear_O,R$168*(1+Data_All!R110%),R270*(1+Data_All!R110%)),"")</f>
        <v/>
      </c>
      <c r="S271" s="427" t="str">
        <f>IF(AND($A271&gt;=SYear_O,$A271&lt;=EYear_O,S$3&gt;0),IF($A271=SYear_O,S$168*(1+Data_All!S110%),S270*(1+Data_All!S110%)),"")</f>
        <v/>
      </c>
      <c r="T271" s="427" t="str">
        <f>IF(AND($A271&gt;=SYear_O,$A271&lt;=EYear_O,T$3&gt;0),IF($A271=SYear_O,T$168*(1+Data_All!T110%),T270*(1+Data_All!T110%)),"")</f>
        <v/>
      </c>
      <c r="U271" s="427" t="str">
        <f>IF(AND($A271&gt;=SYear_O,$A271&lt;=EYear_O,U$3&gt;0),IF($A271=SYear_O,U$168*(1+Data_All!U110%),U270*(1+Data_All!U110%)),"")</f>
        <v/>
      </c>
      <c r="V271" s="427" t="str">
        <f>IF(AND($A271&gt;=SYear_O,$A271&lt;=EYear_O,V$3&gt;0),IF($A271=SYear_O,V$168*(1+Data_All!V110%),V270*(1+Data_All!V110%)),"")</f>
        <v/>
      </c>
      <c r="W271" s="427" t="str">
        <f>IF(AND($A271&gt;=SYear_O,$A271&lt;=EYear_O,W$3&gt;0),IF($A271=SYear_O,W$168*(1+Data_All!W110%),W270*(1+Data_All!W110%)),"")</f>
        <v/>
      </c>
      <c r="X271" s="427" t="str">
        <f>IF(AND($A271&gt;=SYear_O,$A271&lt;=EYear_O,X$3&gt;0),IF($A271=SYear_O,X$168*(1+Data_All!X110%),X270*(1+Data_All!X110%)),"")</f>
        <v/>
      </c>
      <c r="Y271" s="427" t="str">
        <f>IF(AND($A271&gt;=SYear_O,$A271&lt;=EYear_O,Y$3&gt;0),IF($A271=SYear_O,Y$168*(1+Data_All!Y110%),Y270*(1+Data_All!Y110%)),"")</f>
        <v/>
      </c>
      <c r="Z271" s="427" t="str">
        <f>IF(AND($A271&gt;=SYear_O,$A271&lt;=EYear_O,Z$3&gt;0),IF($A271=SYear_O,Z$168*(1+Data_All!Z110%),Z270*(1+Data_All!Z110%)),"")</f>
        <v/>
      </c>
      <c r="AA271" s="427" t="str">
        <f>IF(AND($A271&gt;=SYear_O,$A271&lt;=EYear_O,AA$3&gt;0),IF($A271=SYear_O,AA$168*(1+Data_All!AA110%),AA270*(1+Data_All!AA110%)),"")</f>
        <v/>
      </c>
      <c r="AB271" s="427" t="str">
        <f>IF(AND($A271&gt;=SYear_O,$A271&lt;=EYear_O,AB$3&gt;0),IF($A271=SYear_O,AB$168*(1+Data_All!AB110%),AB270*(1+Data_All!AB110%)),"")</f>
        <v/>
      </c>
      <c r="AC271" s="427" t="str">
        <f>IF(AND($A271&gt;=SYear_O,$A271&lt;=EYear_O,AC$3&gt;0),IF($A271=SYear_O,AC$168*(1+Data_All!AC110%),AC270*(1+Data_All!AC110%)),"")</f>
        <v/>
      </c>
      <c r="AD271" s="427" t="str">
        <f>IF(AND($A271&gt;=SYear_O,$A271&lt;=EYear_O,AD$3&gt;0),IF($A271=SYear_O,AD$168*(1+Data_All!AD110%),AD270*(1+Data_All!AD110%)),"")</f>
        <v/>
      </c>
      <c r="AE271" s="427" t="str">
        <f>IF(AND($A271&gt;=SYear_O,$A271&lt;=EYear_O,AE$3&gt;0),IF($A271=SYear_O,AE$168*(1+Data_All!AE110%),AE270*(1+Data_All!AE110%)),"")</f>
        <v/>
      </c>
      <c r="AF271" s="427" t="str">
        <f>IF(AND($A271&gt;=SYear_O,$A271&lt;=EYear_O,AF$3&gt;0),IF($A271=SYear_O,AF$168*(1+Data_All!AF110%),AF270*(1+Data_All!AF110%)),"")</f>
        <v/>
      </c>
      <c r="AG271" s="427" t="str">
        <f>IF(AND($A271&gt;=SYear_O,$A271&lt;=EYear_O,AG$3&gt;0),IF($A271=SYear_O,AG$168*(1+Data_All!AG110%),AG270*(1+Data_All!AG110%)),"")</f>
        <v/>
      </c>
      <c r="AH271" s="427" t="str">
        <f>IF(AND($A271&gt;=SYear_O,$A271&lt;=EYear_O,AH$3&gt;0),IF($A271=SYear_O,AH$168*(1+Data_All!AH110%),AH270*(1+Data_All!AH110%)),"")</f>
        <v/>
      </c>
      <c r="AI271" s="427" t="str">
        <f>IF(AND($A271&gt;=SYear_O,$A271&lt;=EYear_O,AI$3&gt;0),IF($A271=SYear_O,AI$168*(1+Data_All!AI110%),AI270*(1+Data_All!AI110%)),"")</f>
        <v/>
      </c>
      <c r="AJ271" s="427" t="str">
        <f>IF(AND($A271&gt;=SYear_O,$A271&lt;=EYear_O,AJ$3&gt;0),IF($A271=SYear_O,AJ$168*(1+Data_All!AJ110%),AJ270*(1+Data_All!AJ110%)),"")</f>
        <v/>
      </c>
      <c r="AK271" s="427" t="str">
        <f>IF(AND($A271&gt;=SYear_O,$A271&lt;=EYear_O,AK$3&gt;0),IF($A271=SYear_O,AK$168*(1+Data_All!AK110%),AK270*(1+Data_All!AK110%)),"")</f>
        <v/>
      </c>
      <c r="AL271" s="427" t="str">
        <f>IF(AND($A271&gt;=SYear_O,$A271&lt;=EYear_O,AL$3&gt;0),IF($A271=SYear_O,AL$168*(1+Data_All!AL110%),AL270*(1+Data_All!AL110%)),"")</f>
        <v/>
      </c>
      <c r="AM271" s="427" t="str">
        <f>IF(AND($A271&gt;=SYear_O,$A271&lt;=EYear_O,AM$3&gt;0),IF($A271=SYear_O,AM$168*(1+Data_All!AM110%),AM270*(1+Data_All!AM110%)),"")</f>
        <v/>
      </c>
      <c r="AN271" s="427" t="str">
        <f>IF(AND($A271&gt;=SYear_O,$A271&lt;=EYear_O,AN$3&gt;0),IF($A271=SYear_O,AN$168*(1+Data_All!AN110%),AN270*(1+Data_All!AN110%)),"")</f>
        <v/>
      </c>
      <c r="AO271" s="427" t="str">
        <f>IF(AND($A271&gt;=SYear_O,$A271&lt;=EYear_O,AO$3&gt;0),IF($A271=SYear_O,AO$168*(1+Data_All!AO110%),AO270*(1+Data_All!AO110%)),"")</f>
        <v/>
      </c>
      <c r="AP271" s="427" t="str">
        <f>IF(AND($A271&gt;=SYear_O,$A271&lt;=EYear_O,AP$3&gt;0),IF($A271=SYear_O,AP$168*(1+Data_All!AP110%),AP270*(1+Data_All!AP110%)),"")</f>
        <v/>
      </c>
      <c r="AQ271" s="427" t="str">
        <f>IF(AND($A271&gt;=SYear_O,$A271&lt;=EYear_O,AQ$3&gt;0),IF($A271=SYear_O,AQ$168*(1+Data_All!AQ110%),AQ270*(1+Data_All!AQ110%)),"")</f>
        <v/>
      </c>
      <c r="AR271" s="427" t="str">
        <f>IF(AND($A271&gt;=SYear_O,$A271&lt;=EYear_O,AR$3&gt;0),IF($A271=SYear_O,AR$168*(1+Data_All!AR110%),AR270*(1+Data_All!AR110%)),"")</f>
        <v/>
      </c>
      <c r="AS271" s="427" t="str">
        <f>IF(AND($A271&gt;=SYear_O,$A271&lt;=EYear_O,AS$3&gt;0),IF($A271=SYear_O,AS$168*(1+Data_All!AS110%),AS270*(1+Data_All!AS110%)),"")</f>
        <v/>
      </c>
      <c r="AT271" s="427" t="str">
        <f>IF(AND($A271&gt;=SYear_O,$A271&lt;=EYear_O,AT$3&gt;0),IF($A271=SYear_O,AT$168*(1+Data_All!AT110%),AT270*(1+Data_All!AT110%)),"")</f>
        <v/>
      </c>
      <c r="AU271" s="427" t="str">
        <f>IF(AND($A271&gt;=SYear_O,$A271&lt;=EYear_O,AU$3&gt;0),IF($A271=SYear_O,AU$168*(1+Data_All!AU110%),AU270*(1+Data_All!AU110%)),"")</f>
        <v/>
      </c>
      <c r="AV271" s="427" t="str">
        <f>IF(AND($A271&gt;=SYear_O,$A271&lt;=EYear_O,AV$3&gt;0),IF($A271=SYear_O,AV$168*(1+Data_All!AV110%),AV270*(1+Data_All!AV110%)),"")</f>
        <v/>
      </c>
      <c r="AW271" s="427" t="str">
        <f>IF(AND($A271&gt;=SYear_O,$A271&lt;=EYear_O,AW$3&gt;0),IF($A271=SYear_O,AW$168*(1+Data_All!AW110%),AW270*(1+Data_All!AW110%)),"")</f>
        <v/>
      </c>
      <c r="AX271" s="427" t="str">
        <f>IF(AND($A271&gt;=SYear_O,$A271&lt;=EYear_O,AX$3&gt;0),IF($A271=SYear_O,AX$168*(1+Data_All!AX110%),AX270*(1+Data_All!AX110%)),"")</f>
        <v/>
      </c>
      <c r="AY271" s="427" t="str">
        <f>IF(AND($A271&gt;=SYear_O,$A271&lt;=EYear_O,AY$3&gt;0),IF($A271=SYear_O,AY$168*(1+Data_All!AY110%),AY270*(1+Data_All!AY110%)),"")</f>
        <v/>
      </c>
      <c r="AZ271" s="427" t="str">
        <f>IF(AND($A271&gt;=SYear_O,$A271&lt;=EYear_O,AZ$3&gt;0),IF($A271=SYear_O,AZ$168*(1+Data_All!AZ110%),AZ270*(1+Data_All!AZ110%)),"")</f>
        <v/>
      </c>
      <c r="BA271" s="427" t="str">
        <f>IF(AND($A271&gt;=SYear_O,$A271&lt;=EYear_O,BA$3&gt;0),IF($A271=SYear_O,BA$168*(1+Data_All!BA110%),BA270*(1+Data_All!BA110%)),"")</f>
        <v/>
      </c>
      <c r="BB271" s="427" t="str">
        <f>IF(AND($A271&gt;=SYear_O,$A271&lt;=EYear_O,BB$3&gt;0),IF($A271=SYear_O,BB$168*(1+Data_All!BB110%),BB270*(1+Data_All!BB110%)),"")</f>
        <v/>
      </c>
      <c r="BC271" s="427" t="str">
        <f>IF(AND($A271&gt;=SYear_O,$A271&lt;=EYear_O,BC$3&gt;0),IF($A271=SYear_O,BC$168*(1+Data_All!BC110%),BC270*(1+Data_All!BC110%)),"")</f>
        <v/>
      </c>
      <c r="BD271" s="427" t="str">
        <f>IF(AND($A271&gt;=SYear_O,$A271&lt;=EYear_O,BD$3&gt;0),IF($A271=SYear_O,BD$168*(1+Data_All!BD110%),BD270*(1+Data_All!BD110%)),"")</f>
        <v/>
      </c>
      <c r="BE271" s="427" t="str">
        <f>IF(AND($A271&gt;=SYear_O,$A271&lt;=EYear_O,BE$3&gt;0),IF($A271=SYear_O,BE$168*(1+Data_All!BE110%),BE270*(1+Data_All!BE110%)),"")</f>
        <v/>
      </c>
      <c r="BF271" s="427" t="str">
        <f>IF(AND($A271&gt;=SYear_O,$A271&lt;=EYear_O,BF$3&gt;0),IF($A271=SYear_O,BF$168*(1+Data_All!BF110%),BF270*(1+Data_All!BF110%)),"")</f>
        <v/>
      </c>
      <c r="BG271" s="427" t="str">
        <f>IF(AND($A271&gt;=SYear_O,$A271&lt;=EYear_O,BG$3&gt;0),IF($A271=SYear_O,BG$168*(1+Data_All!BG110%),BG270*(1+Data_All!BG110%)),"")</f>
        <v/>
      </c>
      <c r="BH271" s="427" t="str">
        <f>IF(AND($A271&gt;=SYear_O,$A271&lt;=EYear_O,BH$3&gt;0),IF($A271=SYear_O,BH$168*(1+Data_All!BH110%),BH270*(1+Data_All!BH110%)),"")</f>
        <v/>
      </c>
      <c r="BI271" s="427" t="str">
        <f>IF(AND($A271&gt;=SYear_O,$A271&lt;=EYear_O,BI$3&gt;0),IF($A271=SYear_O,BI$168*(1+Data_All!BI110%),BI270*(1+Data_All!BI110%)),"")</f>
        <v/>
      </c>
      <c r="BJ271" s="427" t="str">
        <f>IF(AND($A271&gt;=SYear_O,$A271&lt;=EYear_O,BJ$3&gt;0),IF($A271=SYear_O,BJ$168*(1+Data_All!BJ110%),BJ270*(1+Data_All!BJ110%)),"")</f>
        <v/>
      </c>
      <c r="BK271" s="427" t="str">
        <f>IF(AND($A271&gt;=SYear_O,$A271&lt;=EYear_O,BK$3&gt;0),IF($A271=SYear_O,BK$168*(1+Data_All!BK110%),BK270*(1+Data_All!BK110%)),"")</f>
        <v/>
      </c>
      <c r="BL271" s="427" t="str">
        <f>IF(AND($A271&gt;=SYear_O,$A271&lt;=EYear_O,BL$3&gt;0),IF($A271=SYear_O,BL$168*(1+Data_All!BL110%),BL270*(1+Data_All!BL110%)),"")</f>
        <v/>
      </c>
      <c r="BM271" s="427" t="str">
        <f>IF(AND($A271&gt;=SYear_O,$A271&lt;=EYear_O,BM$3&gt;0),IF($A271=SYear_O,BM$168*(1+Data_All!BM110%),BM270*(1+Data_All!BM110%)),"")</f>
        <v/>
      </c>
      <c r="BN271" s="427" t="str">
        <f>IF(AND($A271&gt;=SYear_O,$A271&lt;=EYear_O,BN$3&gt;0),IF($A271=SYear_O,BN$168*(1+Data_All!BN110%),BN270*(1+Data_All!BN110%)),"")</f>
        <v/>
      </c>
      <c r="BO271" s="427" t="str">
        <f>IF(AND($A271&gt;=SYear_O,$A271&lt;=EYear_O,BO$3&gt;0),IF($A271=SYear_O,BO$168*(1+Data_All!BO110%),BO270*(1+Data_All!BO110%)),"")</f>
        <v/>
      </c>
      <c r="BP271" s="427" t="str">
        <f>IF(AND($A271&gt;=SYear_O,$A271&lt;=EYear_O,BP$3&gt;0),IF($A271=SYear_O,BP$168*(1+Data_All!BP110%),BP270*(1+Data_All!BP110%)),"")</f>
        <v/>
      </c>
      <c r="BQ271" s="427" t="str">
        <f>IF(AND($A271&gt;=SYear_O,$A271&lt;=EYear_O,BQ$3&gt;0),IF($A271=SYear_O,BQ$168*(1+Data_All!BQ110%),BQ270*(1+Data_All!BQ110%)),"")</f>
        <v/>
      </c>
      <c r="BR271" s="427" t="str">
        <f>IF(AND($A271&gt;=SYear_O,$A271&lt;=EYear_O,BR$3&gt;0),IF($A271=SYear_O,BR$168*(1+Data_All!BR110%),BR270*(1+Data_All!BR110%)),"")</f>
        <v/>
      </c>
      <c r="BS271" s="427" t="str">
        <f>IF(AND($A271&gt;=SYear_O,$A271&lt;=EYear_O,BS$3&gt;0),IF($A271=SYear_O,BS$168*(1+Data_All!BS110%),BS270*(1+Data_All!BS110%)),"")</f>
        <v/>
      </c>
      <c r="BT271" s="427" t="str">
        <f>IF(AND($A271&gt;=SYear_O,$A271&lt;=EYear_O,BT$3&gt;0),IF($A271=SYear_O,BT$168*(1+Data_All!BT110%),BT270*(1+Data_All!BT110%)),"")</f>
        <v/>
      </c>
      <c r="BU271" s="427" t="str">
        <f>IF(AND($A271&gt;=SYear_O,$A271&lt;=EYear_O,BU$3&gt;0),IF($A271=SYear_O,BU$168*(1+Data_All!BU110%),BU270*(1+Data_All!BU110%)),"")</f>
        <v/>
      </c>
      <c r="BV271" s="427" t="str">
        <f>IF(AND($A271&gt;=SYear_O,$A271&lt;=EYear_O,BV$3&gt;0),IF($A271=SYear_O,BV$168*(1+Data_All!BV110%),BV270*(1+Data_All!BV110%)),"")</f>
        <v/>
      </c>
      <c r="BW271" s="427" t="str">
        <f>IF(AND($A271&gt;=SYear_O,$A271&lt;=EYear_O,BW$3&gt;0),IF($A271=SYear_O,BW$168*(1+Data_All!BW110%),BW270*(1+Data_All!BW110%)),"")</f>
        <v/>
      </c>
      <c r="BX271" s="427">
        <f>IF(AND($A271&gt;=SYear_O,$A271&lt;=EYear_O,BX$3&gt;0),IF($A271=SYear_O,BX$168*(1+Data_All!BX110%),BX270*(1+Data_All!BX110%)),"")</f>
        <v>18287041.263621807</v>
      </c>
      <c r="BY271" s="427">
        <f>IF(AND($A271&gt;=SYear_O,$A271&lt;=EYear_O,BY$3&gt;0),IF($A271=SYear_O,BY$168*(1+Data_All!BY110%),BY270*(1+Data_All!BY110%)),"")</f>
        <v>164754.4729718373</v>
      </c>
      <c r="BZ271" s="427" t="str">
        <f>IF(AND($A271&gt;=SYear_O,$A271&lt;=EYear_O,BZ$3&gt;0),IF($A271=SYear_O,BZ$168*(1+Data_All!BZ110%),BZ270*(1+Data_All!BZ110%)),"")</f>
        <v/>
      </c>
      <c r="CA271" s="565">
        <f t="shared" si="138"/>
        <v>-15.841385166056718</v>
      </c>
      <c r="CB271" s="427">
        <f t="shared" si="139"/>
        <v>18451795.736593645</v>
      </c>
      <c r="CC271" s="565">
        <f>IF(AND($A271&gt;=SYear_O,$A271&lt;=EYear_O),(CA271-Data_All!CA110)/(1+Data_All!CA110%),"")</f>
        <v>-22.581360812930967</v>
      </c>
      <c r="CD271" s="436">
        <f t="shared" si="140"/>
        <v>4978015.3164598113</v>
      </c>
      <c r="CE271" s="438">
        <f t="shared" si="141"/>
        <v>1673.5638271871715</v>
      </c>
      <c r="CF271" s="438">
        <f>IF(AND($A271&gt;=SYear_O,$A271&lt;=EYear_O),MAX($CE$169:CE271),"")</f>
        <v>1988.5829044232098</v>
      </c>
      <c r="CG271" s="209">
        <f t="shared" si="142"/>
        <v>0.15841385166056721</v>
      </c>
      <c r="CN271" s="61">
        <f t="shared" si="143"/>
        <v>-0.15841385166056721</v>
      </c>
      <c r="CO271" s="61">
        <f t="shared" si="144"/>
        <v>-2.590921200211882E-2</v>
      </c>
      <c r="CP271" s="61">
        <f t="shared" si="145"/>
        <v>-1.1846271007485365E-2</v>
      </c>
      <c r="CQ271" s="61">
        <f t="shared" si="146"/>
        <v>6.7483970017824912E-2</v>
      </c>
      <c r="CR271" s="61">
        <f t="shared" si="147"/>
        <v>9.714626118560199E-2</v>
      </c>
      <c r="CU271" s="61">
        <f t="shared" si="148"/>
        <v>-0.22581360812930962</v>
      </c>
      <c r="CV271" s="61">
        <f t="shared" si="149"/>
        <v>-0.10882139447111272</v>
      </c>
      <c r="CW271" s="61">
        <f t="shared" si="150"/>
        <v>-8.4024242064046462E-2</v>
      </c>
      <c r="CX271" s="61">
        <f t="shared" si="151"/>
        <v>-1.7674827077311717E-2</v>
      </c>
      <c r="CY271" s="61">
        <f t="shared" si="152"/>
        <v>2.6463243119419833E-2</v>
      </c>
    </row>
    <row r="272" spans="1:103">
      <c r="A272" s="204">
        <f t="shared" si="107"/>
        <v>1974</v>
      </c>
      <c r="B272" s="427" t="str">
        <f>IF(AND($A272&gt;=SYear_O,$A272&lt;=EYear_O,B$3&gt;0),IF($A272=SYear_O,B$168*(1+Data_All!B111%),B271*(1+Data_All!B111%)),"")</f>
        <v/>
      </c>
      <c r="C272" s="427" t="str">
        <f>IF(AND($A272&gt;=SYear_O,$A272&lt;=EYear_O,C$3&gt;0),IF($A272=SYear_O,C$168*(1+Data_All!C111%),C271*(1+Data_All!C111%)),"")</f>
        <v/>
      </c>
      <c r="D272" s="427" t="str">
        <f>IF(AND($A272&gt;=SYear_O,$A272&lt;=EYear_O,D$3&gt;0),IF($A272=SYear_O,D$168*(1+Data_All!D111%),D271*(1+Data_All!D111%)),"")</f>
        <v/>
      </c>
      <c r="E272" s="427" t="str">
        <f>IF(AND($A272&gt;=SYear_O,$A272&lt;=EYear_O,E$3&gt;0),IF($A272=SYear_O,E$168*(1+Data_All!E111%),E271*(1+Data_All!E111%)),"")</f>
        <v/>
      </c>
      <c r="F272" s="427" t="str">
        <f>IF(AND($A272&gt;=SYear_O,$A272&lt;=EYear_O,F$3&gt;0),IF($A272=SYear_O,F$168*(1+Data_All!F111%),F271*(1+Data_All!F111%)),"")</f>
        <v/>
      </c>
      <c r="G272" s="427" t="str">
        <f>IF(AND($A272&gt;=SYear_O,$A272&lt;=EYear_O,G$3&gt;0),IF($A272=SYear_O,G$168*(1+Data_All!G111%),G271*(1+Data_All!G111%)),"")</f>
        <v/>
      </c>
      <c r="H272" s="427" t="str">
        <f>IF(AND($A272&gt;=SYear_O,$A272&lt;=EYear_O,H$3&gt;0),IF($A272=SYear_O,H$168*(1+Data_All!H111%),H271*(1+Data_All!H111%)),"")</f>
        <v/>
      </c>
      <c r="I272" s="427" t="str">
        <f>IF(AND($A272&gt;=SYear_O,$A272&lt;=EYear_O,I$3&gt;0),IF($A272=SYear_O,I$168*(1+Data_All!I111%),I271*(1+Data_All!I111%)),"")</f>
        <v/>
      </c>
      <c r="J272" s="427" t="str">
        <f>IF(AND($A272&gt;=SYear_O,$A272&lt;=EYear_O,J$3&gt;0),IF($A272=SYear_O,J$168*(1+Data_All!J111%),J271*(1+Data_All!J111%)),"")</f>
        <v/>
      </c>
      <c r="K272" s="427" t="str">
        <f>IF(AND($A272&gt;=SYear_O,$A272&lt;=EYear_O,K$3&gt;0),IF($A272=SYear_O,K$168*(1+Data_All!K111%),K271*(1+Data_All!K111%)),"")</f>
        <v/>
      </c>
      <c r="L272" s="427" t="str">
        <f>IF(AND($A272&gt;=SYear_O,$A272&lt;=EYear_O,L$3&gt;0),IF($A272=SYear_O,L$168*(1+Data_All!L111%),L271*(1+Data_All!L111%)),"")</f>
        <v/>
      </c>
      <c r="M272" s="427" t="str">
        <f>IF(AND($A272&gt;=SYear_O,$A272&lt;=EYear_O,M$3&gt;0),IF($A272=SYear_O,M$168*(1+Data_All!M111%),M271*(1+Data_All!M111%)),"")</f>
        <v/>
      </c>
      <c r="N272" s="427" t="str">
        <f>IF(AND($A272&gt;=SYear_O,$A272&lt;=EYear_O,N$3&gt;0),IF($A272=SYear_O,N$168*(1+Data_All!N111%),N271*(1+Data_All!N111%)),"")</f>
        <v/>
      </c>
      <c r="O272" s="427" t="str">
        <f>IF(AND($A272&gt;=SYear_O,$A272&lt;=EYear_O,O$3&gt;0),IF($A272=SYear_O,O$168*(1+Data_All!O111%),O271*(1+Data_All!O111%)),"")</f>
        <v/>
      </c>
      <c r="P272" s="427" t="str">
        <f>IF(AND($A272&gt;=SYear_O,$A272&lt;=EYear_O,P$3&gt;0),IF($A272=SYear_O,P$168*(1+Data_All!P111%),P271*(1+Data_All!P111%)),"")</f>
        <v/>
      </c>
      <c r="Q272" s="427" t="str">
        <f>IF(AND($A272&gt;=SYear_O,$A272&lt;=EYear_O,Q$3&gt;0),IF($A272=SYear_O,Q$168*(1+Data_All!Q111%),Q271*(1+Data_All!Q111%)),"")</f>
        <v/>
      </c>
      <c r="R272" s="427" t="str">
        <f>IF(AND($A272&gt;=SYear_O,$A272&lt;=EYear_O,R$3&gt;0),IF($A272=SYear_O,R$168*(1+Data_All!R111%),R271*(1+Data_All!R111%)),"")</f>
        <v/>
      </c>
      <c r="S272" s="427" t="str">
        <f>IF(AND($A272&gt;=SYear_O,$A272&lt;=EYear_O,S$3&gt;0),IF($A272=SYear_O,S$168*(1+Data_All!S111%),S271*(1+Data_All!S111%)),"")</f>
        <v/>
      </c>
      <c r="T272" s="427" t="str">
        <f>IF(AND($A272&gt;=SYear_O,$A272&lt;=EYear_O,T$3&gt;0),IF($A272=SYear_O,T$168*(1+Data_All!T111%),T271*(1+Data_All!T111%)),"")</f>
        <v/>
      </c>
      <c r="U272" s="427" t="str">
        <f>IF(AND($A272&gt;=SYear_O,$A272&lt;=EYear_O,U$3&gt;0),IF($A272=SYear_O,U$168*(1+Data_All!U111%),U271*(1+Data_All!U111%)),"")</f>
        <v/>
      </c>
      <c r="V272" s="427" t="str">
        <f>IF(AND($A272&gt;=SYear_O,$A272&lt;=EYear_O,V$3&gt;0),IF($A272=SYear_O,V$168*(1+Data_All!V111%),V271*(1+Data_All!V111%)),"")</f>
        <v/>
      </c>
      <c r="W272" s="427" t="str">
        <f>IF(AND($A272&gt;=SYear_O,$A272&lt;=EYear_O,W$3&gt;0),IF($A272=SYear_O,W$168*(1+Data_All!W111%),W271*(1+Data_All!W111%)),"")</f>
        <v/>
      </c>
      <c r="X272" s="427" t="str">
        <f>IF(AND($A272&gt;=SYear_O,$A272&lt;=EYear_O,X$3&gt;0),IF($A272=SYear_O,X$168*(1+Data_All!X111%),X271*(1+Data_All!X111%)),"")</f>
        <v/>
      </c>
      <c r="Y272" s="427" t="str">
        <f>IF(AND($A272&gt;=SYear_O,$A272&lt;=EYear_O,Y$3&gt;0),IF($A272=SYear_O,Y$168*(1+Data_All!Y111%),Y271*(1+Data_All!Y111%)),"")</f>
        <v/>
      </c>
      <c r="Z272" s="427" t="str">
        <f>IF(AND($A272&gt;=SYear_O,$A272&lt;=EYear_O,Z$3&gt;0),IF($A272=SYear_O,Z$168*(1+Data_All!Z111%),Z271*(1+Data_All!Z111%)),"")</f>
        <v/>
      </c>
      <c r="AA272" s="427" t="str">
        <f>IF(AND($A272&gt;=SYear_O,$A272&lt;=EYear_O,AA$3&gt;0),IF($A272=SYear_O,AA$168*(1+Data_All!AA111%),AA271*(1+Data_All!AA111%)),"")</f>
        <v/>
      </c>
      <c r="AB272" s="427" t="str">
        <f>IF(AND($A272&gt;=SYear_O,$A272&lt;=EYear_O,AB$3&gt;0),IF($A272=SYear_O,AB$168*(1+Data_All!AB111%),AB271*(1+Data_All!AB111%)),"")</f>
        <v/>
      </c>
      <c r="AC272" s="427" t="str">
        <f>IF(AND($A272&gt;=SYear_O,$A272&lt;=EYear_O,AC$3&gt;0),IF($A272=SYear_O,AC$168*(1+Data_All!AC111%),AC271*(1+Data_All!AC111%)),"")</f>
        <v/>
      </c>
      <c r="AD272" s="427" t="str">
        <f>IF(AND($A272&gt;=SYear_O,$A272&lt;=EYear_O,AD$3&gt;0),IF($A272=SYear_O,AD$168*(1+Data_All!AD111%),AD271*(1+Data_All!AD111%)),"")</f>
        <v/>
      </c>
      <c r="AE272" s="427" t="str">
        <f>IF(AND($A272&gt;=SYear_O,$A272&lt;=EYear_O,AE$3&gt;0),IF($A272=SYear_O,AE$168*(1+Data_All!AE111%),AE271*(1+Data_All!AE111%)),"")</f>
        <v/>
      </c>
      <c r="AF272" s="427" t="str">
        <f>IF(AND($A272&gt;=SYear_O,$A272&lt;=EYear_O,AF$3&gt;0),IF($A272=SYear_O,AF$168*(1+Data_All!AF111%),AF271*(1+Data_All!AF111%)),"")</f>
        <v/>
      </c>
      <c r="AG272" s="427" t="str">
        <f>IF(AND($A272&gt;=SYear_O,$A272&lt;=EYear_O,AG$3&gt;0),IF($A272=SYear_O,AG$168*(1+Data_All!AG111%),AG271*(1+Data_All!AG111%)),"")</f>
        <v/>
      </c>
      <c r="AH272" s="427" t="str">
        <f>IF(AND($A272&gt;=SYear_O,$A272&lt;=EYear_O,AH$3&gt;0),IF($A272=SYear_O,AH$168*(1+Data_All!AH111%),AH271*(1+Data_All!AH111%)),"")</f>
        <v/>
      </c>
      <c r="AI272" s="427" t="str">
        <f>IF(AND($A272&gt;=SYear_O,$A272&lt;=EYear_O,AI$3&gt;0),IF($A272=SYear_O,AI$168*(1+Data_All!AI111%),AI271*(1+Data_All!AI111%)),"")</f>
        <v/>
      </c>
      <c r="AJ272" s="427" t="str">
        <f>IF(AND($A272&gt;=SYear_O,$A272&lt;=EYear_O,AJ$3&gt;0),IF($A272=SYear_O,AJ$168*(1+Data_All!AJ111%),AJ271*(1+Data_All!AJ111%)),"")</f>
        <v/>
      </c>
      <c r="AK272" s="427" t="str">
        <f>IF(AND($A272&gt;=SYear_O,$A272&lt;=EYear_O,AK$3&gt;0),IF($A272=SYear_O,AK$168*(1+Data_All!AK111%),AK271*(1+Data_All!AK111%)),"")</f>
        <v/>
      </c>
      <c r="AL272" s="427" t="str">
        <f>IF(AND($A272&gt;=SYear_O,$A272&lt;=EYear_O,AL$3&gt;0),IF($A272=SYear_O,AL$168*(1+Data_All!AL111%),AL271*(1+Data_All!AL111%)),"")</f>
        <v/>
      </c>
      <c r="AM272" s="427" t="str">
        <f>IF(AND($A272&gt;=SYear_O,$A272&lt;=EYear_O,AM$3&gt;0),IF($A272=SYear_O,AM$168*(1+Data_All!AM111%),AM271*(1+Data_All!AM111%)),"")</f>
        <v/>
      </c>
      <c r="AN272" s="427" t="str">
        <f>IF(AND($A272&gt;=SYear_O,$A272&lt;=EYear_O,AN$3&gt;0),IF($A272=SYear_O,AN$168*(1+Data_All!AN111%),AN271*(1+Data_All!AN111%)),"")</f>
        <v/>
      </c>
      <c r="AO272" s="427" t="str">
        <f>IF(AND($A272&gt;=SYear_O,$A272&lt;=EYear_O,AO$3&gt;0),IF($A272=SYear_O,AO$168*(1+Data_All!AO111%),AO271*(1+Data_All!AO111%)),"")</f>
        <v/>
      </c>
      <c r="AP272" s="427" t="str">
        <f>IF(AND($A272&gt;=SYear_O,$A272&lt;=EYear_O,AP$3&gt;0),IF($A272=SYear_O,AP$168*(1+Data_All!AP111%),AP271*(1+Data_All!AP111%)),"")</f>
        <v/>
      </c>
      <c r="AQ272" s="427" t="str">
        <f>IF(AND($A272&gt;=SYear_O,$A272&lt;=EYear_O,AQ$3&gt;0),IF($A272=SYear_O,AQ$168*(1+Data_All!AQ111%),AQ271*(1+Data_All!AQ111%)),"")</f>
        <v/>
      </c>
      <c r="AR272" s="427" t="str">
        <f>IF(AND($A272&gt;=SYear_O,$A272&lt;=EYear_O,AR$3&gt;0),IF($A272=SYear_O,AR$168*(1+Data_All!AR111%),AR271*(1+Data_All!AR111%)),"")</f>
        <v/>
      </c>
      <c r="AS272" s="427" t="str">
        <f>IF(AND($A272&gt;=SYear_O,$A272&lt;=EYear_O,AS$3&gt;0),IF($A272=SYear_O,AS$168*(1+Data_All!AS111%),AS271*(1+Data_All!AS111%)),"")</f>
        <v/>
      </c>
      <c r="AT272" s="427" t="str">
        <f>IF(AND($A272&gt;=SYear_O,$A272&lt;=EYear_O,AT$3&gt;0),IF($A272=SYear_O,AT$168*(1+Data_All!AT111%),AT271*(1+Data_All!AT111%)),"")</f>
        <v/>
      </c>
      <c r="AU272" s="427" t="str">
        <f>IF(AND($A272&gt;=SYear_O,$A272&lt;=EYear_O,AU$3&gt;0),IF($A272=SYear_O,AU$168*(1+Data_All!AU111%),AU271*(1+Data_All!AU111%)),"")</f>
        <v/>
      </c>
      <c r="AV272" s="427" t="str">
        <f>IF(AND($A272&gt;=SYear_O,$A272&lt;=EYear_O,AV$3&gt;0),IF($A272=SYear_O,AV$168*(1+Data_All!AV111%),AV271*(1+Data_All!AV111%)),"")</f>
        <v/>
      </c>
      <c r="AW272" s="427" t="str">
        <f>IF(AND($A272&gt;=SYear_O,$A272&lt;=EYear_O,AW$3&gt;0),IF($A272=SYear_O,AW$168*(1+Data_All!AW111%),AW271*(1+Data_All!AW111%)),"")</f>
        <v/>
      </c>
      <c r="AX272" s="427" t="str">
        <f>IF(AND($A272&gt;=SYear_O,$A272&lt;=EYear_O,AX$3&gt;0),IF($A272=SYear_O,AX$168*(1+Data_All!AX111%),AX271*(1+Data_All!AX111%)),"")</f>
        <v/>
      </c>
      <c r="AY272" s="427" t="str">
        <f>IF(AND($A272&gt;=SYear_O,$A272&lt;=EYear_O,AY$3&gt;0),IF($A272=SYear_O,AY$168*(1+Data_All!AY111%),AY271*(1+Data_All!AY111%)),"")</f>
        <v/>
      </c>
      <c r="AZ272" s="427" t="str">
        <f>IF(AND($A272&gt;=SYear_O,$A272&lt;=EYear_O,AZ$3&gt;0),IF($A272=SYear_O,AZ$168*(1+Data_All!AZ111%),AZ271*(1+Data_All!AZ111%)),"")</f>
        <v/>
      </c>
      <c r="BA272" s="427" t="str">
        <f>IF(AND($A272&gt;=SYear_O,$A272&lt;=EYear_O,BA$3&gt;0),IF($A272=SYear_O,BA$168*(1+Data_All!BA111%),BA271*(1+Data_All!BA111%)),"")</f>
        <v/>
      </c>
      <c r="BB272" s="427" t="str">
        <f>IF(AND($A272&gt;=SYear_O,$A272&lt;=EYear_O,BB$3&gt;0),IF($A272=SYear_O,BB$168*(1+Data_All!BB111%),BB271*(1+Data_All!BB111%)),"")</f>
        <v/>
      </c>
      <c r="BC272" s="427" t="str">
        <f>IF(AND($A272&gt;=SYear_O,$A272&lt;=EYear_O,BC$3&gt;0),IF($A272=SYear_O,BC$168*(1+Data_All!BC111%),BC271*(1+Data_All!BC111%)),"")</f>
        <v/>
      </c>
      <c r="BD272" s="427" t="str">
        <f>IF(AND($A272&gt;=SYear_O,$A272&lt;=EYear_O,BD$3&gt;0),IF($A272=SYear_O,BD$168*(1+Data_All!BD111%),BD271*(1+Data_All!BD111%)),"")</f>
        <v/>
      </c>
      <c r="BE272" s="427" t="str">
        <f>IF(AND($A272&gt;=SYear_O,$A272&lt;=EYear_O,BE$3&gt;0),IF($A272=SYear_O,BE$168*(1+Data_All!BE111%),BE271*(1+Data_All!BE111%)),"")</f>
        <v/>
      </c>
      <c r="BF272" s="427" t="str">
        <f>IF(AND($A272&gt;=SYear_O,$A272&lt;=EYear_O,BF$3&gt;0),IF($A272=SYear_O,BF$168*(1+Data_All!BF111%),BF271*(1+Data_All!BF111%)),"")</f>
        <v/>
      </c>
      <c r="BG272" s="427" t="str">
        <f>IF(AND($A272&gt;=SYear_O,$A272&lt;=EYear_O,BG$3&gt;0),IF($A272=SYear_O,BG$168*(1+Data_All!BG111%),BG271*(1+Data_All!BG111%)),"")</f>
        <v/>
      </c>
      <c r="BH272" s="427" t="str">
        <f>IF(AND($A272&gt;=SYear_O,$A272&lt;=EYear_O,BH$3&gt;0),IF($A272=SYear_O,BH$168*(1+Data_All!BH111%),BH271*(1+Data_All!BH111%)),"")</f>
        <v/>
      </c>
      <c r="BI272" s="427" t="str">
        <f>IF(AND($A272&gt;=SYear_O,$A272&lt;=EYear_O,BI$3&gt;0),IF($A272=SYear_O,BI$168*(1+Data_All!BI111%),BI271*(1+Data_All!BI111%)),"")</f>
        <v/>
      </c>
      <c r="BJ272" s="427" t="str">
        <f>IF(AND($A272&gt;=SYear_O,$A272&lt;=EYear_O,BJ$3&gt;0),IF($A272=SYear_O,BJ$168*(1+Data_All!BJ111%),BJ271*(1+Data_All!BJ111%)),"")</f>
        <v/>
      </c>
      <c r="BK272" s="427" t="str">
        <f>IF(AND($A272&gt;=SYear_O,$A272&lt;=EYear_O,BK$3&gt;0),IF($A272=SYear_O,BK$168*(1+Data_All!BK111%),BK271*(1+Data_All!BK111%)),"")</f>
        <v/>
      </c>
      <c r="BL272" s="427" t="str">
        <f>IF(AND($A272&gt;=SYear_O,$A272&lt;=EYear_O,BL$3&gt;0),IF($A272=SYear_O,BL$168*(1+Data_All!BL111%),BL271*(1+Data_All!BL111%)),"")</f>
        <v/>
      </c>
      <c r="BM272" s="427" t="str">
        <f>IF(AND($A272&gt;=SYear_O,$A272&lt;=EYear_O,BM$3&gt;0),IF($A272=SYear_O,BM$168*(1+Data_All!BM111%),BM271*(1+Data_All!BM111%)),"")</f>
        <v/>
      </c>
      <c r="BN272" s="427" t="str">
        <f>IF(AND($A272&gt;=SYear_O,$A272&lt;=EYear_O,BN$3&gt;0),IF($A272=SYear_O,BN$168*(1+Data_All!BN111%),BN271*(1+Data_All!BN111%)),"")</f>
        <v/>
      </c>
      <c r="BO272" s="427" t="str">
        <f>IF(AND($A272&gt;=SYear_O,$A272&lt;=EYear_O,BO$3&gt;0),IF($A272=SYear_O,BO$168*(1+Data_All!BO111%),BO271*(1+Data_All!BO111%)),"")</f>
        <v/>
      </c>
      <c r="BP272" s="427" t="str">
        <f>IF(AND($A272&gt;=SYear_O,$A272&lt;=EYear_O,BP$3&gt;0),IF($A272=SYear_O,BP$168*(1+Data_All!BP111%),BP271*(1+Data_All!BP111%)),"")</f>
        <v/>
      </c>
      <c r="BQ272" s="427" t="str">
        <f>IF(AND($A272&gt;=SYear_O,$A272&lt;=EYear_O,BQ$3&gt;0),IF($A272=SYear_O,BQ$168*(1+Data_All!BQ111%),BQ271*(1+Data_All!BQ111%)),"")</f>
        <v/>
      </c>
      <c r="BR272" s="427" t="str">
        <f>IF(AND($A272&gt;=SYear_O,$A272&lt;=EYear_O,BR$3&gt;0),IF($A272=SYear_O,BR$168*(1+Data_All!BR111%),BR271*(1+Data_All!BR111%)),"")</f>
        <v/>
      </c>
      <c r="BS272" s="427" t="str">
        <f>IF(AND($A272&gt;=SYear_O,$A272&lt;=EYear_O,BS$3&gt;0),IF($A272=SYear_O,BS$168*(1+Data_All!BS111%),BS271*(1+Data_All!BS111%)),"")</f>
        <v/>
      </c>
      <c r="BT272" s="427" t="str">
        <f>IF(AND($A272&gt;=SYear_O,$A272&lt;=EYear_O,BT$3&gt;0),IF($A272=SYear_O,BT$168*(1+Data_All!BT111%),BT271*(1+Data_All!BT111%)),"")</f>
        <v/>
      </c>
      <c r="BU272" s="427" t="str">
        <f>IF(AND($A272&gt;=SYear_O,$A272&lt;=EYear_O,BU$3&gt;0),IF($A272=SYear_O,BU$168*(1+Data_All!BU111%),BU271*(1+Data_All!BU111%)),"")</f>
        <v/>
      </c>
      <c r="BV272" s="427" t="str">
        <f>IF(AND($A272&gt;=SYear_O,$A272&lt;=EYear_O,BV$3&gt;0),IF($A272=SYear_O,BV$168*(1+Data_All!BV111%),BV271*(1+Data_All!BV111%)),"")</f>
        <v/>
      </c>
      <c r="BW272" s="427" t="str">
        <f>IF(AND($A272&gt;=SYear_O,$A272&lt;=EYear_O,BW$3&gt;0),IF($A272=SYear_O,BW$168*(1+Data_All!BW111%),BW271*(1+Data_All!BW111%)),"")</f>
        <v/>
      </c>
      <c r="BX272" s="427">
        <f>IF(AND($A272&gt;=SYear_O,$A272&lt;=EYear_O,BX$3&gt;0),IF($A272=SYear_O,BX$168*(1+Data_All!BX111%),BX271*(1+Data_All!BX111%)),"")</f>
        <v>14491114.999869283</v>
      </c>
      <c r="BY272" s="427">
        <f>IF(AND($A272&gt;=SYear_O,$A272&lt;=EYear_O,BY$3&gt;0),IF($A272=SYear_O,BY$168*(1+Data_All!BY111%),BY271*(1+Data_All!BY111%)),"")</f>
        <v>173071.61422278089</v>
      </c>
      <c r="BZ272" s="427" t="str">
        <f>IF(AND($A272&gt;=SYear_O,$A272&lt;=EYear_O,BZ$3&gt;0),IF($A272=SYear_O,BZ$168*(1+Data_All!BZ111%),BZ271*(1+Data_All!BZ111%)),"")</f>
        <v/>
      </c>
      <c r="CA272" s="565">
        <f t="shared" si="138"/>
        <v>-20.527048838883388</v>
      </c>
      <c r="CB272" s="427">
        <f t="shared" si="139"/>
        <v>14664186.614092065</v>
      </c>
      <c r="CC272" s="565">
        <f>IF(AND($A272&gt;=SYear_O,$A272&lt;=EYear_O),(CA272-Data_All!CA111)/(1+Data_All!CA111%),"")</f>
        <v>-29.255292029988681</v>
      </c>
      <c r="CD272" s="436">
        <f t="shared" si="140"/>
        <v>3521682.3983319281</v>
      </c>
      <c r="CE272" s="438">
        <f t="shared" si="141"/>
        <v>1330.0305630305747</v>
      </c>
      <c r="CF272" s="438">
        <f>IF(AND($A272&gt;=SYear_O,$A272&lt;=EYear_O),MAX($CE$169:CE272),"")</f>
        <v>1988.5829044232098</v>
      </c>
      <c r="CG272" s="209">
        <f t="shared" si="142"/>
        <v>0.33116665135148027</v>
      </c>
      <c r="CN272" s="61">
        <f t="shared" si="143"/>
        <v>-0.20527048838883388</v>
      </c>
      <c r="CO272" s="61">
        <f t="shared" si="144"/>
        <v>6.9385345416548727E-2</v>
      </c>
      <c r="CP272" s="61">
        <f t="shared" si="145"/>
        <v>5.3573511523214767E-2</v>
      </c>
      <c r="CQ272" s="61">
        <f t="shared" si="146"/>
        <v>0.10616160720931811</v>
      </c>
      <c r="CR272" s="61">
        <f t="shared" si="147"/>
        <v>0.1219904570510808</v>
      </c>
      <c r="CU272" s="61">
        <f t="shared" si="148"/>
        <v>-0.29255292029988689</v>
      </c>
      <c r="CV272" s="61">
        <f t="shared" si="149"/>
        <v>-9.8357880988180213E-3</v>
      </c>
      <c r="CW272" s="61">
        <f t="shared" si="150"/>
        <v>-2.3942271396113268E-2</v>
      </c>
      <c r="CX272" s="61">
        <f t="shared" si="151"/>
        <v>2.2637781758838571E-2</v>
      </c>
      <c r="CY272" s="61">
        <f t="shared" si="152"/>
        <v>5.2525981141081646E-2</v>
      </c>
    </row>
    <row r="273" spans="1:103">
      <c r="A273" s="204">
        <f t="shared" si="107"/>
        <v>1975</v>
      </c>
      <c r="B273" s="427" t="str">
        <f>IF(AND($A273&gt;=SYear_O,$A273&lt;=EYear_O,B$3&gt;0),IF($A273=SYear_O,B$168*(1+Data_All!B112%),B272*(1+Data_All!B112%)),"")</f>
        <v/>
      </c>
      <c r="C273" s="427" t="str">
        <f>IF(AND($A273&gt;=SYear_O,$A273&lt;=EYear_O,C$3&gt;0),IF($A273=SYear_O,C$168*(1+Data_All!C112%),C272*(1+Data_All!C112%)),"")</f>
        <v/>
      </c>
      <c r="D273" s="427" t="str">
        <f>IF(AND($A273&gt;=SYear_O,$A273&lt;=EYear_O,D$3&gt;0),IF($A273=SYear_O,D$168*(1+Data_All!D112%),D272*(1+Data_All!D112%)),"")</f>
        <v/>
      </c>
      <c r="E273" s="427" t="str">
        <f>IF(AND($A273&gt;=SYear_O,$A273&lt;=EYear_O,E$3&gt;0),IF($A273=SYear_O,E$168*(1+Data_All!E112%),E272*(1+Data_All!E112%)),"")</f>
        <v/>
      </c>
      <c r="F273" s="427" t="str">
        <f>IF(AND($A273&gt;=SYear_O,$A273&lt;=EYear_O,F$3&gt;0),IF($A273=SYear_O,F$168*(1+Data_All!F112%),F272*(1+Data_All!F112%)),"")</f>
        <v/>
      </c>
      <c r="G273" s="427" t="str">
        <f>IF(AND($A273&gt;=SYear_O,$A273&lt;=EYear_O,G$3&gt;0),IF($A273=SYear_O,G$168*(1+Data_All!G112%),G272*(1+Data_All!G112%)),"")</f>
        <v/>
      </c>
      <c r="H273" s="427" t="str">
        <f>IF(AND($A273&gt;=SYear_O,$A273&lt;=EYear_O,H$3&gt;0),IF($A273=SYear_O,H$168*(1+Data_All!H112%),H272*(1+Data_All!H112%)),"")</f>
        <v/>
      </c>
      <c r="I273" s="427" t="str">
        <f>IF(AND($A273&gt;=SYear_O,$A273&lt;=EYear_O,I$3&gt;0),IF($A273=SYear_O,I$168*(1+Data_All!I112%),I272*(1+Data_All!I112%)),"")</f>
        <v/>
      </c>
      <c r="J273" s="427" t="str">
        <f>IF(AND($A273&gt;=SYear_O,$A273&lt;=EYear_O,J$3&gt;0),IF($A273=SYear_O,J$168*(1+Data_All!J112%),J272*(1+Data_All!J112%)),"")</f>
        <v/>
      </c>
      <c r="K273" s="427" t="str">
        <f>IF(AND($A273&gt;=SYear_O,$A273&lt;=EYear_O,K$3&gt;0),IF($A273=SYear_O,K$168*(1+Data_All!K112%),K272*(1+Data_All!K112%)),"")</f>
        <v/>
      </c>
      <c r="L273" s="427" t="str">
        <f>IF(AND($A273&gt;=SYear_O,$A273&lt;=EYear_O,L$3&gt;0),IF($A273=SYear_O,L$168*(1+Data_All!L112%),L272*(1+Data_All!L112%)),"")</f>
        <v/>
      </c>
      <c r="M273" s="427" t="str">
        <f>IF(AND($A273&gt;=SYear_O,$A273&lt;=EYear_O,M$3&gt;0),IF($A273=SYear_O,M$168*(1+Data_All!M112%),M272*(1+Data_All!M112%)),"")</f>
        <v/>
      </c>
      <c r="N273" s="427" t="str">
        <f>IF(AND($A273&gt;=SYear_O,$A273&lt;=EYear_O,N$3&gt;0),IF($A273=SYear_O,N$168*(1+Data_All!N112%),N272*(1+Data_All!N112%)),"")</f>
        <v/>
      </c>
      <c r="O273" s="427" t="str">
        <f>IF(AND($A273&gt;=SYear_O,$A273&lt;=EYear_O,O$3&gt;0),IF($A273=SYear_O,O$168*(1+Data_All!O112%),O272*(1+Data_All!O112%)),"")</f>
        <v/>
      </c>
      <c r="P273" s="427" t="str">
        <f>IF(AND($A273&gt;=SYear_O,$A273&lt;=EYear_O,P$3&gt;0),IF($A273=SYear_O,P$168*(1+Data_All!P112%),P272*(1+Data_All!P112%)),"")</f>
        <v/>
      </c>
      <c r="Q273" s="427" t="str">
        <f>IF(AND($A273&gt;=SYear_O,$A273&lt;=EYear_O,Q$3&gt;0),IF($A273=SYear_O,Q$168*(1+Data_All!Q112%),Q272*(1+Data_All!Q112%)),"")</f>
        <v/>
      </c>
      <c r="R273" s="427" t="str">
        <f>IF(AND($A273&gt;=SYear_O,$A273&lt;=EYear_O,R$3&gt;0),IF($A273=SYear_O,R$168*(1+Data_All!R112%),R272*(1+Data_All!R112%)),"")</f>
        <v/>
      </c>
      <c r="S273" s="427" t="str">
        <f>IF(AND($A273&gt;=SYear_O,$A273&lt;=EYear_O,S$3&gt;0),IF($A273=SYear_O,S$168*(1+Data_All!S112%),S272*(1+Data_All!S112%)),"")</f>
        <v/>
      </c>
      <c r="T273" s="427" t="str">
        <f>IF(AND($A273&gt;=SYear_O,$A273&lt;=EYear_O,T$3&gt;0),IF($A273=SYear_O,T$168*(1+Data_All!T112%),T272*(1+Data_All!T112%)),"")</f>
        <v/>
      </c>
      <c r="U273" s="427" t="str">
        <f>IF(AND($A273&gt;=SYear_O,$A273&lt;=EYear_O,U$3&gt;0),IF($A273=SYear_O,U$168*(1+Data_All!U112%),U272*(1+Data_All!U112%)),"")</f>
        <v/>
      </c>
      <c r="V273" s="427" t="str">
        <f>IF(AND($A273&gt;=SYear_O,$A273&lt;=EYear_O,V$3&gt;0),IF($A273=SYear_O,V$168*(1+Data_All!V112%),V272*(1+Data_All!V112%)),"")</f>
        <v/>
      </c>
      <c r="W273" s="427" t="str">
        <f>IF(AND($A273&gt;=SYear_O,$A273&lt;=EYear_O,W$3&gt;0),IF($A273=SYear_O,W$168*(1+Data_All!W112%),W272*(1+Data_All!W112%)),"")</f>
        <v/>
      </c>
      <c r="X273" s="427" t="str">
        <f>IF(AND($A273&gt;=SYear_O,$A273&lt;=EYear_O,X$3&gt;0),IF($A273=SYear_O,X$168*(1+Data_All!X112%),X272*(1+Data_All!X112%)),"")</f>
        <v/>
      </c>
      <c r="Y273" s="427" t="str">
        <f>IF(AND($A273&gt;=SYear_O,$A273&lt;=EYear_O,Y$3&gt;0),IF($A273=SYear_O,Y$168*(1+Data_All!Y112%),Y272*(1+Data_All!Y112%)),"")</f>
        <v/>
      </c>
      <c r="Z273" s="427" t="str">
        <f>IF(AND($A273&gt;=SYear_O,$A273&lt;=EYear_O,Z$3&gt;0),IF($A273=SYear_O,Z$168*(1+Data_All!Z112%),Z272*(1+Data_All!Z112%)),"")</f>
        <v/>
      </c>
      <c r="AA273" s="427" t="str">
        <f>IF(AND($A273&gt;=SYear_O,$A273&lt;=EYear_O,AA$3&gt;0),IF($A273=SYear_O,AA$168*(1+Data_All!AA112%),AA272*(1+Data_All!AA112%)),"")</f>
        <v/>
      </c>
      <c r="AB273" s="427" t="str">
        <f>IF(AND($A273&gt;=SYear_O,$A273&lt;=EYear_O,AB$3&gt;0),IF($A273=SYear_O,AB$168*(1+Data_All!AB112%),AB272*(1+Data_All!AB112%)),"")</f>
        <v/>
      </c>
      <c r="AC273" s="427" t="str">
        <f>IF(AND($A273&gt;=SYear_O,$A273&lt;=EYear_O,AC$3&gt;0),IF($A273=SYear_O,AC$168*(1+Data_All!AC112%),AC272*(1+Data_All!AC112%)),"")</f>
        <v/>
      </c>
      <c r="AD273" s="427" t="str">
        <f>IF(AND($A273&gt;=SYear_O,$A273&lt;=EYear_O,AD$3&gt;0),IF($A273=SYear_O,AD$168*(1+Data_All!AD112%),AD272*(1+Data_All!AD112%)),"")</f>
        <v/>
      </c>
      <c r="AE273" s="427" t="str">
        <f>IF(AND($A273&gt;=SYear_O,$A273&lt;=EYear_O,AE$3&gt;0),IF($A273=SYear_O,AE$168*(1+Data_All!AE112%),AE272*(1+Data_All!AE112%)),"")</f>
        <v/>
      </c>
      <c r="AF273" s="427" t="str">
        <f>IF(AND($A273&gt;=SYear_O,$A273&lt;=EYear_O,AF$3&gt;0),IF($A273=SYear_O,AF$168*(1+Data_All!AF112%),AF272*(1+Data_All!AF112%)),"")</f>
        <v/>
      </c>
      <c r="AG273" s="427" t="str">
        <f>IF(AND($A273&gt;=SYear_O,$A273&lt;=EYear_O,AG$3&gt;0),IF($A273=SYear_O,AG$168*(1+Data_All!AG112%),AG272*(1+Data_All!AG112%)),"")</f>
        <v/>
      </c>
      <c r="AH273" s="427" t="str">
        <f>IF(AND($A273&gt;=SYear_O,$A273&lt;=EYear_O,AH$3&gt;0),IF($A273=SYear_O,AH$168*(1+Data_All!AH112%),AH272*(1+Data_All!AH112%)),"")</f>
        <v/>
      </c>
      <c r="AI273" s="427" t="str">
        <f>IF(AND($A273&gt;=SYear_O,$A273&lt;=EYear_O,AI$3&gt;0),IF($A273=SYear_O,AI$168*(1+Data_All!AI112%),AI272*(1+Data_All!AI112%)),"")</f>
        <v/>
      </c>
      <c r="AJ273" s="427" t="str">
        <f>IF(AND($A273&gt;=SYear_O,$A273&lt;=EYear_O,AJ$3&gt;0),IF($A273=SYear_O,AJ$168*(1+Data_All!AJ112%),AJ272*(1+Data_All!AJ112%)),"")</f>
        <v/>
      </c>
      <c r="AK273" s="427" t="str">
        <f>IF(AND($A273&gt;=SYear_O,$A273&lt;=EYear_O,AK$3&gt;0),IF($A273=SYear_O,AK$168*(1+Data_All!AK112%),AK272*(1+Data_All!AK112%)),"")</f>
        <v/>
      </c>
      <c r="AL273" s="427" t="str">
        <f>IF(AND($A273&gt;=SYear_O,$A273&lt;=EYear_O,AL$3&gt;0),IF($A273=SYear_O,AL$168*(1+Data_All!AL112%),AL272*(1+Data_All!AL112%)),"")</f>
        <v/>
      </c>
      <c r="AM273" s="427" t="str">
        <f>IF(AND($A273&gt;=SYear_O,$A273&lt;=EYear_O,AM$3&gt;0),IF($A273=SYear_O,AM$168*(1+Data_All!AM112%),AM272*(1+Data_All!AM112%)),"")</f>
        <v/>
      </c>
      <c r="AN273" s="427" t="str">
        <f>IF(AND($A273&gt;=SYear_O,$A273&lt;=EYear_O,AN$3&gt;0),IF($A273=SYear_O,AN$168*(1+Data_All!AN112%),AN272*(1+Data_All!AN112%)),"")</f>
        <v/>
      </c>
      <c r="AO273" s="427" t="str">
        <f>IF(AND($A273&gt;=SYear_O,$A273&lt;=EYear_O,AO$3&gt;0),IF($A273=SYear_O,AO$168*(1+Data_All!AO112%),AO272*(1+Data_All!AO112%)),"")</f>
        <v/>
      </c>
      <c r="AP273" s="427" t="str">
        <f>IF(AND($A273&gt;=SYear_O,$A273&lt;=EYear_O,AP$3&gt;0),IF($A273=SYear_O,AP$168*(1+Data_All!AP112%),AP272*(1+Data_All!AP112%)),"")</f>
        <v/>
      </c>
      <c r="AQ273" s="427" t="str">
        <f>IF(AND($A273&gt;=SYear_O,$A273&lt;=EYear_O,AQ$3&gt;0),IF($A273=SYear_O,AQ$168*(1+Data_All!AQ112%),AQ272*(1+Data_All!AQ112%)),"")</f>
        <v/>
      </c>
      <c r="AR273" s="427" t="str">
        <f>IF(AND($A273&gt;=SYear_O,$A273&lt;=EYear_O,AR$3&gt;0),IF($A273=SYear_O,AR$168*(1+Data_All!AR112%),AR272*(1+Data_All!AR112%)),"")</f>
        <v/>
      </c>
      <c r="AS273" s="427" t="str">
        <f>IF(AND($A273&gt;=SYear_O,$A273&lt;=EYear_O,AS$3&gt;0),IF($A273=SYear_O,AS$168*(1+Data_All!AS112%),AS272*(1+Data_All!AS112%)),"")</f>
        <v/>
      </c>
      <c r="AT273" s="427" t="str">
        <f>IF(AND($A273&gt;=SYear_O,$A273&lt;=EYear_O,AT$3&gt;0),IF($A273=SYear_O,AT$168*(1+Data_All!AT112%),AT272*(1+Data_All!AT112%)),"")</f>
        <v/>
      </c>
      <c r="AU273" s="427" t="str">
        <f>IF(AND($A273&gt;=SYear_O,$A273&lt;=EYear_O,AU$3&gt;0),IF($A273=SYear_O,AU$168*(1+Data_All!AU112%),AU272*(1+Data_All!AU112%)),"")</f>
        <v/>
      </c>
      <c r="AV273" s="427" t="str">
        <f>IF(AND($A273&gt;=SYear_O,$A273&lt;=EYear_O,AV$3&gt;0),IF($A273=SYear_O,AV$168*(1+Data_All!AV112%),AV272*(1+Data_All!AV112%)),"")</f>
        <v/>
      </c>
      <c r="AW273" s="427" t="str">
        <f>IF(AND($A273&gt;=SYear_O,$A273&lt;=EYear_O,AW$3&gt;0),IF($A273=SYear_O,AW$168*(1+Data_All!AW112%),AW272*(1+Data_All!AW112%)),"")</f>
        <v/>
      </c>
      <c r="AX273" s="427" t="str">
        <f>IF(AND($A273&gt;=SYear_O,$A273&lt;=EYear_O,AX$3&gt;0),IF($A273=SYear_O,AX$168*(1+Data_All!AX112%),AX272*(1+Data_All!AX112%)),"")</f>
        <v/>
      </c>
      <c r="AY273" s="427" t="str">
        <f>IF(AND($A273&gt;=SYear_O,$A273&lt;=EYear_O,AY$3&gt;0),IF($A273=SYear_O,AY$168*(1+Data_All!AY112%),AY272*(1+Data_All!AY112%)),"")</f>
        <v/>
      </c>
      <c r="AZ273" s="427" t="str">
        <f>IF(AND($A273&gt;=SYear_O,$A273&lt;=EYear_O,AZ$3&gt;0),IF($A273=SYear_O,AZ$168*(1+Data_All!AZ112%),AZ272*(1+Data_All!AZ112%)),"")</f>
        <v/>
      </c>
      <c r="BA273" s="427" t="str">
        <f>IF(AND($A273&gt;=SYear_O,$A273&lt;=EYear_O,BA$3&gt;0),IF($A273=SYear_O,BA$168*(1+Data_All!BA112%),BA272*(1+Data_All!BA112%)),"")</f>
        <v/>
      </c>
      <c r="BB273" s="427" t="str">
        <f>IF(AND($A273&gt;=SYear_O,$A273&lt;=EYear_O,BB$3&gt;0),IF($A273=SYear_O,BB$168*(1+Data_All!BB112%),BB272*(1+Data_All!BB112%)),"")</f>
        <v/>
      </c>
      <c r="BC273" s="427" t="str">
        <f>IF(AND($A273&gt;=SYear_O,$A273&lt;=EYear_O,BC$3&gt;0),IF($A273=SYear_O,BC$168*(1+Data_All!BC112%),BC272*(1+Data_All!BC112%)),"")</f>
        <v/>
      </c>
      <c r="BD273" s="427" t="str">
        <f>IF(AND($A273&gt;=SYear_O,$A273&lt;=EYear_O,BD$3&gt;0),IF($A273=SYear_O,BD$168*(1+Data_All!BD112%),BD272*(1+Data_All!BD112%)),"")</f>
        <v/>
      </c>
      <c r="BE273" s="427" t="str">
        <f>IF(AND($A273&gt;=SYear_O,$A273&lt;=EYear_O,BE$3&gt;0),IF($A273=SYear_O,BE$168*(1+Data_All!BE112%),BE272*(1+Data_All!BE112%)),"")</f>
        <v/>
      </c>
      <c r="BF273" s="427" t="str">
        <f>IF(AND($A273&gt;=SYear_O,$A273&lt;=EYear_O,BF$3&gt;0),IF($A273=SYear_O,BF$168*(1+Data_All!BF112%),BF272*(1+Data_All!BF112%)),"")</f>
        <v/>
      </c>
      <c r="BG273" s="427" t="str">
        <f>IF(AND($A273&gt;=SYear_O,$A273&lt;=EYear_O,BG$3&gt;0),IF($A273=SYear_O,BG$168*(1+Data_All!BG112%),BG272*(1+Data_All!BG112%)),"")</f>
        <v/>
      </c>
      <c r="BH273" s="427" t="str">
        <f>IF(AND($A273&gt;=SYear_O,$A273&lt;=EYear_O,BH$3&gt;0),IF($A273=SYear_O,BH$168*(1+Data_All!BH112%),BH272*(1+Data_All!BH112%)),"")</f>
        <v/>
      </c>
      <c r="BI273" s="427" t="str">
        <f>IF(AND($A273&gt;=SYear_O,$A273&lt;=EYear_O,BI$3&gt;0),IF($A273=SYear_O,BI$168*(1+Data_All!BI112%),BI272*(1+Data_All!BI112%)),"")</f>
        <v/>
      </c>
      <c r="BJ273" s="427" t="str">
        <f>IF(AND($A273&gt;=SYear_O,$A273&lt;=EYear_O,BJ$3&gt;0),IF($A273=SYear_O,BJ$168*(1+Data_All!BJ112%),BJ272*(1+Data_All!BJ112%)),"")</f>
        <v/>
      </c>
      <c r="BK273" s="427" t="str">
        <f>IF(AND($A273&gt;=SYear_O,$A273&lt;=EYear_O,BK$3&gt;0),IF($A273=SYear_O,BK$168*(1+Data_All!BK112%),BK272*(1+Data_All!BK112%)),"")</f>
        <v/>
      </c>
      <c r="BL273" s="427" t="str">
        <f>IF(AND($A273&gt;=SYear_O,$A273&lt;=EYear_O,BL$3&gt;0),IF($A273=SYear_O,BL$168*(1+Data_All!BL112%),BL272*(1+Data_All!BL112%)),"")</f>
        <v/>
      </c>
      <c r="BM273" s="427" t="str">
        <f>IF(AND($A273&gt;=SYear_O,$A273&lt;=EYear_O,BM$3&gt;0),IF($A273=SYear_O,BM$168*(1+Data_All!BM112%),BM272*(1+Data_All!BM112%)),"")</f>
        <v/>
      </c>
      <c r="BN273" s="427" t="str">
        <f>IF(AND($A273&gt;=SYear_O,$A273&lt;=EYear_O,BN$3&gt;0),IF($A273=SYear_O,BN$168*(1+Data_All!BN112%),BN272*(1+Data_All!BN112%)),"")</f>
        <v/>
      </c>
      <c r="BO273" s="427" t="str">
        <f>IF(AND($A273&gt;=SYear_O,$A273&lt;=EYear_O,BO$3&gt;0),IF($A273=SYear_O,BO$168*(1+Data_All!BO112%),BO272*(1+Data_All!BO112%)),"")</f>
        <v/>
      </c>
      <c r="BP273" s="427" t="str">
        <f>IF(AND($A273&gt;=SYear_O,$A273&lt;=EYear_O,BP$3&gt;0),IF($A273=SYear_O,BP$168*(1+Data_All!BP112%),BP272*(1+Data_All!BP112%)),"")</f>
        <v/>
      </c>
      <c r="BQ273" s="427" t="str">
        <f>IF(AND($A273&gt;=SYear_O,$A273&lt;=EYear_O,BQ$3&gt;0),IF($A273=SYear_O,BQ$168*(1+Data_All!BQ112%),BQ272*(1+Data_All!BQ112%)),"")</f>
        <v/>
      </c>
      <c r="BR273" s="427" t="str">
        <f>IF(AND($A273&gt;=SYear_O,$A273&lt;=EYear_O,BR$3&gt;0),IF($A273=SYear_O,BR$168*(1+Data_All!BR112%),BR272*(1+Data_All!BR112%)),"")</f>
        <v/>
      </c>
      <c r="BS273" s="427" t="str">
        <f>IF(AND($A273&gt;=SYear_O,$A273&lt;=EYear_O,BS$3&gt;0),IF($A273=SYear_O,BS$168*(1+Data_All!BS112%),BS272*(1+Data_All!BS112%)),"")</f>
        <v/>
      </c>
      <c r="BT273" s="427" t="str">
        <f>IF(AND($A273&gt;=SYear_O,$A273&lt;=EYear_O,BT$3&gt;0),IF($A273=SYear_O,BT$168*(1+Data_All!BT112%),BT272*(1+Data_All!BT112%)),"")</f>
        <v/>
      </c>
      <c r="BU273" s="427" t="str">
        <f>IF(AND($A273&gt;=SYear_O,$A273&lt;=EYear_O,BU$3&gt;0),IF($A273=SYear_O,BU$168*(1+Data_All!BU112%),BU272*(1+Data_All!BU112%)),"")</f>
        <v/>
      </c>
      <c r="BV273" s="427" t="str">
        <f>IF(AND($A273&gt;=SYear_O,$A273&lt;=EYear_O,BV$3&gt;0),IF($A273=SYear_O,BV$168*(1+Data_All!BV112%),BV272*(1+Data_All!BV112%)),"")</f>
        <v/>
      </c>
      <c r="BW273" s="427" t="str">
        <f>IF(AND($A273&gt;=SYear_O,$A273&lt;=EYear_O,BW$3&gt;0),IF($A273=SYear_O,BW$168*(1+Data_All!BW112%),BW272*(1+Data_All!BW112%)),"")</f>
        <v/>
      </c>
      <c r="BX273" s="427">
        <f>IF(AND($A273&gt;=SYear_O,$A273&lt;=EYear_O,BX$3&gt;0),IF($A273=SYear_O,BX$168*(1+Data_All!BX112%),BX272*(1+Data_All!BX112%)),"")</f>
        <v>20079061.495133102</v>
      </c>
      <c r="BY273" s="427">
        <f>IF(AND($A273&gt;=SYear_O,$A273&lt;=EYear_O,BY$3&gt;0),IF($A273=SYear_O,BY$168*(1+Data_All!BY112%),BY272*(1+Data_All!BY112%)),"")</f>
        <v>185554.0178892049</v>
      </c>
      <c r="BZ273" s="427" t="str">
        <f>IF(AND($A273&gt;=SYear_O,$A273&lt;=EYear_O,BZ$3&gt;0),IF($A273=SYear_O,BZ$168*(1+Data_All!BZ112%),BZ272*(1+Data_All!BZ112%)),"")</f>
        <v/>
      </c>
      <c r="CA273" s="565">
        <f t="shared" si="138"/>
        <v>38.191200414404939</v>
      </c>
      <c r="CB273" s="427">
        <f t="shared" si="139"/>
        <v>20264615.513022307</v>
      </c>
      <c r="CC273" s="565">
        <f>IF(AND($A273&gt;=SYear_O,$A273&lt;=EYear_O),(CA273-Data_All!CA112)/(1+Data_All!CA112%),"")</f>
        <v>29.227446874011111</v>
      </c>
      <c r="CD273" s="436">
        <f t="shared" si="140"/>
        <v>4550980.2503757924</v>
      </c>
      <c r="CE273" s="438">
        <f t="shared" si="141"/>
        <v>1837.98520093042</v>
      </c>
      <c r="CF273" s="438">
        <f>IF(AND($A273&gt;=SYear_O,$A273&lt;=EYear_O),MAX($CE$169:CE273),"")</f>
        <v>1988.5829044232098</v>
      </c>
      <c r="CG273" s="209">
        <f t="shared" si="142"/>
        <v>7.5731166730748312E-2</v>
      </c>
      <c r="CN273" s="61">
        <f t="shared" si="143"/>
        <v>0.38191200414404936</v>
      </c>
      <c r="CO273" s="61">
        <f t="shared" si="144"/>
        <v>0.12098951377252254</v>
      </c>
      <c r="CP273" s="61">
        <f t="shared" si="145"/>
        <v>0.13778032151786301</v>
      </c>
      <c r="CQ273" s="61">
        <f t="shared" si="146"/>
        <v>0.14029833124071955</v>
      </c>
      <c r="CR273" s="61">
        <f t="shared" si="147"/>
        <v>0.15509778118031892</v>
      </c>
      <c r="CU273" s="61">
        <f t="shared" si="148"/>
        <v>0.29227446874011109</v>
      </c>
      <c r="CV273" s="61">
        <f t="shared" si="149"/>
        <v>5.5909756148288192E-2</v>
      </c>
      <c r="CW273" s="61">
        <f t="shared" si="150"/>
        <v>5.2283636416896595E-2</v>
      </c>
      <c r="CX273" s="61">
        <f t="shared" si="151"/>
        <v>6.2410581136458587E-2</v>
      </c>
      <c r="CY273" s="61">
        <f t="shared" si="152"/>
        <v>8.8718412245771372E-2</v>
      </c>
    </row>
    <row r="274" spans="1:103">
      <c r="A274" s="204">
        <f t="shared" si="107"/>
        <v>1976</v>
      </c>
      <c r="B274" s="427" t="str">
        <f>IF(AND($A274&gt;=SYear_O,$A274&lt;=EYear_O,B$3&gt;0),IF($A274=SYear_O,B$168*(1+Data_All!B113%),B273*(1+Data_All!B113%)),"")</f>
        <v/>
      </c>
      <c r="C274" s="427" t="str">
        <f>IF(AND($A274&gt;=SYear_O,$A274&lt;=EYear_O,C$3&gt;0),IF($A274=SYear_O,C$168*(1+Data_All!C113%),C273*(1+Data_All!C113%)),"")</f>
        <v/>
      </c>
      <c r="D274" s="427" t="str">
        <f>IF(AND($A274&gt;=SYear_O,$A274&lt;=EYear_O,D$3&gt;0),IF($A274=SYear_O,D$168*(1+Data_All!D113%),D273*(1+Data_All!D113%)),"")</f>
        <v/>
      </c>
      <c r="E274" s="427" t="str">
        <f>IF(AND($A274&gt;=SYear_O,$A274&lt;=EYear_O,E$3&gt;0),IF($A274=SYear_O,E$168*(1+Data_All!E113%),E273*(1+Data_All!E113%)),"")</f>
        <v/>
      </c>
      <c r="F274" s="427" t="str">
        <f>IF(AND($A274&gt;=SYear_O,$A274&lt;=EYear_O,F$3&gt;0),IF($A274=SYear_O,F$168*(1+Data_All!F113%),F273*(1+Data_All!F113%)),"")</f>
        <v/>
      </c>
      <c r="G274" s="427" t="str">
        <f>IF(AND($A274&gt;=SYear_O,$A274&lt;=EYear_O,G$3&gt;0),IF($A274=SYear_O,G$168*(1+Data_All!G113%),G273*(1+Data_All!G113%)),"")</f>
        <v/>
      </c>
      <c r="H274" s="427" t="str">
        <f>IF(AND($A274&gt;=SYear_O,$A274&lt;=EYear_O,H$3&gt;0),IF($A274=SYear_O,H$168*(1+Data_All!H113%),H273*(1+Data_All!H113%)),"")</f>
        <v/>
      </c>
      <c r="I274" s="427" t="str">
        <f>IF(AND($A274&gt;=SYear_O,$A274&lt;=EYear_O,I$3&gt;0),IF($A274=SYear_O,I$168*(1+Data_All!I113%),I273*(1+Data_All!I113%)),"")</f>
        <v/>
      </c>
      <c r="J274" s="427" t="str">
        <f>IF(AND($A274&gt;=SYear_O,$A274&lt;=EYear_O,J$3&gt;0),IF($A274=SYear_O,J$168*(1+Data_All!J113%),J273*(1+Data_All!J113%)),"")</f>
        <v/>
      </c>
      <c r="K274" s="427" t="str">
        <f>IF(AND($A274&gt;=SYear_O,$A274&lt;=EYear_O,K$3&gt;0),IF($A274=SYear_O,K$168*(1+Data_All!K113%),K273*(1+Data_All!K113%)),"")</f>
        <v/>
      </c>
      <c r="L274" s="427" t="str">
        <f>IF(AND($A274&gt;=SYear_O,$A274&lt;=EYear_O,L$3&gt;0),IF($A274=SYear_O,L$168*(1+Data_All!L113%),L273*(1+Data_All!L113%)),"")</f>
        <v/>
      </c>
      <c r="M274" s="427" t="str">
        <f>IF(AND($A274&gt;=SYear_O,$A274&lt;=EYear_O,M$3&gt;0),IF($A274=SYear_O,M$168*(1+Data_All!M113%),M273*(1+Data_All!M113%)),"")</f>
        <v/>
      </c>
      <c r="N274" s="427" t="str">
        <f>IF(AND($A274&gt;=SYear_O,$A274&lt;=EYear_O,N$3&gt;0),IF($A274=SYear_O,N$168*(1+Data_All!N113%),N273*(1+Data_All!N113%)),"")</f>
        <v/>
      </c>
      <c r="O274" s="427" t="str">
        <f>IF(AND($A274&gt;=SYear_O,$A274&lt;=EYear_O,O$3&gt;0),IF($A274=SYear_O,O$168*(1+Data_All!O113%),O273*(1+Data_All!O113%)),"")</f>
        <v/>
      </c>
      <c r="P274" s="427" t="str">
        <f>IF(AND($A274&gt;=SYear_O,$A274&lt;=EYear_O,P$3&gt;0),IF($A274=SYear_O,P$168*(1+Data_All!P113%),P273*(1+Data_All!P113%)),"")</f>
        <v/>
      </c>
      <c r="Q274" s="427" t="str">
        <f>IF(AND($A274&gt;=SYear_O,$A274&lt;=EYear_O,Q$3&gt;0),IF($A274=SYear_O,Q$168*(1+Data_All!Q113%),Q273*(1+Data_All!Q113%)),"")</f>
        <v/>
      </c>
      <c r="R274" s="427" t="str">
        <f>IF(AND($A274&gt;=SYear_O,$A274&lt;=EYear_O,R$3&gt;0),IF($A274=SYear_O,R$168*(1+Data_All!R113%),R273*(1+Data_All!R113%)),"")</f>
        <v/>
      </c>
      <c r="S274" s="427" t="str">
        <f>IF(AND($A274&gt;=SYear_O,$A274&lt;=EYear_O,S$3&gt;0),IF($A274=SYear_O,S$168*(1+Data_All!S113%),S273*(1+Data_All!S113%)),"")</f>
        <v/>
      </c>
      <c r="T274" s="427" t="str">
        <f>IF(AND($A274&gt;=SYear_O,$A274&lt;=EYear_O,T$3&gt;0),IF($A274=SYear_O,T$168*(1+Data_All!T113%),T273*(1+Data_All!T113%)),"")</f>
        <v/>
      </c>
      <c r="U274" s="427" t="str">
        <f>IF(AND($A274&gt;=SYear_O,$A274&lt;=EYear_O,U$3&gt;0),IF($A274=SYear_O,U$168*(1+Data_All!U113%),U273*(1+Data_All!U113%)),"")</f>
        <v/>
      </c>
      <c r="V274" s="427" t="str">
        <f>IF(AND($A274&gt;=SYear_O,$A274&lt;=EYear_O,V$3&gt;0),IF($A274=SYear_O,V$168*(1+Data_All!V113%),V273*(1+Data_All!V113%)),"")</f>
        <v/>
      </c>
      <c r="W274" s="427" t="str">
        <f>IF(AND($A274&gt;=SYear_O,$A274&lt;=EYear_O,W$3&gt;0),IF($A274=SYear_O,W$168*(1+Data_All!W113%),W273*(1+Data_All!W113%)),"")</f>
        <v/>
      </c>
      <c r="X274" s="427" t="str">
        <f>IF(AND($A274&gt;=SYear_O,$A274&lt;=EYear_O,X$3&gt;0),IF($A274=SYear_O,X$168*(1+Data_All!X113%),X273*(1+Data_All!X113%)),"")</f>
        <v/>
      </c>
      <c r="Y274" s="427" t="str">
        <f>IF(AND($A274&gt;=SYear_O,$A274&lt;=EYear_O,Y$3&gt;0),IF($A274=SYear_O,Y$168*(1+Data_All!Y113%),Y273*(1+Data_All!Y113%)),"")</f>
        <v/>
      </c>
      <c r="Z274" s="427" t="str">
        <f>IF(AND($A274&gt;=SYear_O,$A274&lt;=EYear_O,Z$3&gt;0),IF($A274=SYear_O,Z$168*(1+Data_All!Z113%),Z273*(1+Data_All!Z113%)),"")</f>
        <v/>
      </c>
      <c r="AA274" s="427" t="str">
        <f>IF(AND($A274&gt;=SYear_O,$A274&lt;=EYear_O,AA$3&gt;0),IF($A274=SYear_O,AA$168*(1+Data_All!AA113%),AA273*(1+Data_All!AA113%)),"")</f>
        <v/>
      </c>
      <c r="AB274" s="427" t="str">
        <f>IF(AND($A274&gt;=SYear_O,$A274&lt;=EYear_O,AB$3&gt;0),IF($A274=SYear_O,AB$168*(1+Data_All!AB113%),AB273*(1+Data_All!AB113%)),"")</f>
        <v/>
      </c>
      <c r="AC274" s="427" t="str">
        <f>IF(AND($A274&gt;=SYear_O,$A274&lt;=EYear_O,AC$3&gt;0),IF($A274=SYear_O,AC$168*(1+Data_All!AC113%),AC273*(1+Data_All!AC113%)),"")</f>
        <v/>
      </c>
      <c r="AD274" s="427" t="str">
        <f>IF(AND($A274&gt;=SYear_O,$A274&lt;=EYear_O,AD$3&gt;0),IF($A274=SYear_O,AD$168*(1+Data_All!AD113%),AD273*(1+Data_All!AD113%)),"")</f>
        <v/>
      </c>
      <c r="AE274" s="427" t="str">
        <f>IF(AND($A274&gt;=SYear_O,$A274&lt;=EYear_O,AE$3&gt;0),IF($A274=SYear_O,AE$168*(1+Data_All!AE113%),AE273*(1+Data_All!AE113%)),"")</f>
        <v/>
      </c>
      <c r="AF274" s="427" t="str">
        <f>IF(AND($A274&gt;=SYear_O,$A274&lt;=EYear_O,AF$3&gt;0),IF($A274=SYear_O,AF$168*(1+Data_All!AF113%),AF273*(1+Data_All!AF113%)),"")</f>
        <v/>
      </c>
      <c r="AG274" s="427" t="str">
        <f>IF(AND($A274&gt;=SYear_O,$A274&lt;=EYear_O,AG$3&gt;0),IF($A274=SYear_O,AG$168*(1+Data_All!AG113%),AG273*(1+Data_All!AG113%)),"")</f>
        <v/>
      </c>
      <c r="AH274" s="427" t="str">
        <f>IF(AND($A274&gt;=SYear_O,$A274&lt;=EYear_O,AH$3&gt;0),IF($A274=SYear_O,AH$168*(1+Data_All!AH113%),AH273*(1+Data_All!AH113%)),"")</f>
        <v/>
      </c>
      <c r="AI274" s="427" t="str">
        <f>IF(AND($A274&gt;=SYear_O,$A274&lt;=EYear_O,AI$3&gt;0),IF($A274=SYear_O,AI$168*(1+Data_All!AI113%),AI273*(1+Data_All!AI113%)),"")</f>
        <v/>
      </c>
      <c r="AJ274" s="427" t="str">
        <f>IF(AND($A274&gt;=SYear_O,$A274&lt;=EYear_O,AJ$3&gt;0),IF($A274=SYear_O,AJ$168*(1+Data_All!AJ113%),AJ273*(1+Data_All!AJ113%)),"")</f>
        <v/>
      </c>
      <c r="AK274" s="427" t="str">
        <f>IF(AND($A274&gt;=SYear_O,$A274&lt;=EYear_O,AK$3&gt;0),IF($A274=SYear_O,AK$168*(1+Data_All!AK113%),AK273*(1+Data_All!AK113%)),"")</f>
        <v/>
      </c>
      <c r="AL274" s="427" t="str">
        <f>IF(AND($A274&gt;=SYear_O,$A274&lt;=EYear_O,AL$3&gt;0),IF($A274=SYear_O,AL$168*(1+Data_All!AL113%),AL273*(1+Data_All!AL113%)),"")</f>
        <v/>
      </c>
      <c r="AM274" s="427" t="str">
        <f>IF(AND($A274&gt;=SYear_O,$A274&lt;=EYear_O,AM$3&gt;0),IF($A274=SYear_O,AM$168*(1+Data_All!AM113%),AM273*(1+Data_All!AM113%)),"")</f>
        <v/>
      </c>
      <c r="AN274" s="427" t="str">
        <f>IF(AND($A274&gt;=SYear_O,$A274&lt;=EYear_O,AN$3&gt;0),IF($A274=SYear_O,AN$168*(1+Data_All!AN113%),AN273*(1+Data_All!AN113%)),"")</f>
        <v/>
      </c>
      <c r="AO274" s="427" t="str">
        <f>IF(AND($A274&gt;=SYear_O,$A274&lt;=EYear_O,AO$3&gt;0),IF($A274=SYear_O,AO$168*(1+Data_All!AO113%),AO273*(1+Data_All!AO113%)),"")</f>
        <v/>
      </c>
      <c r="AP274" s="427" t="str">
        <f>IF(AND($A274&gt;=SYear_O,$A274&lt;=EYear_O,AP$3&gt;0),IF($A274=SYear_O,AP$168*(1+Data_All!AP113%),AP273*(1+Data_All!AP113%)),"")</f>
        <v/>
      </c>
      <c r="AQ274" s="427" t="str">
        <f>IF(AND($A274&gt;=SYear_O,$A274&lt;=EYear_O,AQ$3&gt;0),IF($A274=SYear_O,AQ$168*(1+Data_All!AQ113%),AQ273*(1+Data_All!AQ113%)),"")</f>
        <v/>
      </c>
      <c r="AR274" s="427" t="str">
        <f>IF(AND($A274&gt;=SYear_O,$A274&lt;=EYear_O,AR$3&gt;0),IF($A274=SYear_O,AR$168*(1+Data_All!AR113%),AR273*(1+Data_All!AR113%)),"")</f>
        <v/>
      </c>
      <c r="AS274" s="427" t="str">
        <f>IF(AND($A274&gt;=SYear_O,$A274&lt;=EYear_O,AS$3&gt;0),IF($A274=SYear_O,AS$168*(1+Data_All!AS113%),AS273*(1+Data_All!AS113%)),"")</f>
        <v/>
      </c>
      <c r="AT274" s="427" t="str">
        <f>IF(AND($A274&gt;=SYear_O,$A274&lt;=EYear_O,AT$3&gt;0),IF($A274=SYear_O,AT$168*(1+Data_All!AT113%),AT273*(1+Data_All!AT113%)),"")</f>
        <v/>
      </c>
      <c r="AU274" s="427" t="str">
        <f>IF(AND($A274&gt;=SYear_O,$A274&lt;=EYear_O,AU$3&gt;0),IF($A274=SYear_O,AU$168*(1+Data_All!AU113%),AU273*(1+Data_All!AU113%)),"")</f>
        <v/>
      </c>
      <c r="AV274" s="427" t="str">
        <f>IF(AND($A274&gt;=SYear_O,$A274&lt;=EYear_O,AV$3&gt;0),IF($A274=SYear_O,AV$168*(1+Data_All!AV113%),AV273*(1+Data_All!AV113%)),"")</f>
        <v/>
      </c>
      <c r="AW274" s="427" t="str">
        <f>IF(AND($A274&gt;=SYear_O,$A274&lt;=EYear_O,AW$3&gt;0),IF($A274=SYear_O,AW$168*(1+Data_All!AW113%),AW273*(1+Data_All!AW113%)),"")</f>
        <v/>
      </c>
      <c r="AX274" s="427" t="str">
        <f>IF(AND($A274&gt;=SYear_O,$A274&lt;=EYear_O,AX$3&gt;0),IF($A274=SYear_O,AX$168*(1+Data_All!AX113%),AX273*(1+Data_All!AX113%)),"")</f>
        <v/>
      </c>
      <c r="AY274" s="427" t="str">
        <f>IF(AND($A274&gt;=SYear_O,$A274&lt;=EYear_O,AY$3&gt;0),IF($A274=SYear_O,AY$168*(1+Data_All!AY113%),AY273*(1+Data_All!AY113%)),"")</f>
        <v/>
      </c>
      <c r="AZ274" s="427" t="str">
        <f>IF(AND($A274&gt;=SYear_O,$A274&lt;=EYear_O,AZ$3&gt;0),IF($A274=SYear_O,AZ$168*(1+Data_All!AZ113%),AZ273*(1+Data_All!AZ113%)),"")</f>
        <v/>
      </c>
      <c r="BA274" s="427" t="str">
        <f>IF(AND($A274&gt;=SYear_O,$A274&lt;=EYear_O,BA$3&gt;0),IF($A274=SYear_O,BA$168*(1+Data_All!BA113%),BA273*(1+Data_All!BA113%)),"")</f>
        <v/>
      </c>
      <c r="BB274" s="427" t="str">
        <f>IF(AND($A274&gt;=SYear_O,$A274&lt;=EYear_O,BB$3&gt;0),IF($A274=SYear_O,BB$168*(1+Data_All!BB113%),BB273*(1+Data_All!BB113%)),"")</f>
        <v/>
      </c>
      <c r="BC274" s="427" t="str">
        <f>IF(AND($A274&gt;=SYear_O,$A274&lt;=EYear_O,BC$3&gt;0),IF($A274=SYear_O,BC$168*(1+Data_All!BC113%),BC273*(1+Data_All!BC113%)),"")</f>
        <v/>
      </c>
      <c r="BD274" s="427" t="str">
        <f>IF(AND($A274&gt;=SYear_O,$A274&lt;=EYear_O,BD$3&gt;0),IF($A274=SYear_O,BD$168*(1+Data_All!BD113%),BD273*(1+Data_All!BD113%)),"")</f>
        <v/>
      </c>
      <c r="BE274" s="427" t="str">
        <f>IF(AND($A274&gt;=SYear_O,$A274&lt;=EYear_O,BE$3&gt;0),IF($A274=SYear_O,BE$168*(1+Data_All!BE113%),BE273*(1+Data_All!BE113%)),"")</f>
        <v/>
      </c>
      <c r="BF274" s="427" t="str">
        <f>IF(AND($A274&gt;=SYear_O,$A274&lt;=EYear_O,BF$3&gt;0),IF($A274=SYear_O,BF$168*(1+Data_All!BF113%),BF273*(1+Data_All!BF113%)),"")</f>
        <v/>
      </c>
      <c r="BG274" s="427" t="str">
        <f>IF(AND($A274&gt;=SYear_O,$A274&lt;=EYear_O,BG$3&gt;0),IF($A274=SYear_O,BG$168*(1+Data_All!BG113%),BG273*(1+Data_All!BG113%)),"")</f>
        <v/>
      </c>
      <c r="BH274" s="427" t="str">
        <f>IF(AND($A274&gt;=SYear_O,$A274&lt;=EYear_O,BH$3&gt;0),IF($A274=SYear_O,BH$168*(1+Data_All!BH113%),BH273*(1+Data_All!BH113%)),"")</f>
        <v/>
      </c>
      <c r="BI274" s="427" t="str">
        <f>IF(AND($A274&gt;=SYear_O,$A274&lt;=EYear_O,BI$3&gt;0),IF($A274=SYear_O,BI$168*(1+Data_All!BI113%),BI273*(1+Data_All!BI113%)),"")</f>
        <v/>
      </c>
      <c r="BJ274" s="427" t="str">
        <f>IF(AND($A274&gt;=SYear_O,$A274&lt;=EYear_O,BJ$3&gt;0),IF($A274=SYear_O,BJ$168*(1+Data_All!BJ113%),BJ273*(1+Data_All!BJ113%)),"")</f>
        <v/>
      </c>
      <c r="BK274" s="427" t="str">
        <f>IF(AND($A274&gt;=SYear_O,$A274&lt;=EYear_O,BK$3&gt;0),IF($A274=SYear_O,BK$168*(1+Data_All!BK113%),BK273*(1+Data_All!BK113%)),"")</f>
        <v/>
      </c>
      <c r="BL274" s="427" t="str">
        <f>IF(AND($A274&gt;=SYear_O,$A274&lt;=EYear_O,BL$3&gt;0),IF($A274=SYear_O,BL$168*(1+Data_All!BL113%),BL273*(1+Data_All!BL113%)),"")</f>
        <v/>
      </c>
      <c r="BM274" s="427" t="str">
        <f>IF(AND($A274&gt;=SYear_O,$A274&lt;=EYear_O,BM$3&gt;0),IF($A274=SYear_O,BM$168*(1+Data_All!BM113%),BM273*(1+Data_All!BM113%)),"")</f>
        <v/>
      </c>
      <c r="BN274" s="427" t="str">
        <f>IF(AND($A274&gt;=SYear_O,$A274&lt;=EYear_O,BN$3&gt;0),IF($A274=SYear_O,BN$168*(1+Data_All!BN113%),BN273*(1+Data_All!BN113%)),"")</f>
        <v/>
      </c>
      <c r="BO274" s="427" t="str">
        <f>IF(AND($A274&gt;=SYear_O,$A274&lt;=EYear_O,BO$3&gt;0),IF($A274=SYear_O,BO$168*(1+Data_All!BO113%),BO273*(1+Data_All!BO113%)),"")</f>
        <v/>
      </c>
      <c r="BP274" s="427" t="str">
        <f>IF(AND($A274&gt;=SYear_O,$A274&lt;=EYear_O,BP$3&gt;0),IF($A274=SYear_O,BP$168*(1+Data_All!BP113%),BP273*(1+Data_All!BP113%)),"")</f>
        <v/>
      </c>
      <c r="BQ274" s="427" t="str">
        <f>IF(AND($A274&gt;=SYear_O,$A274&lt;=EYear_O,BQ$3&gt;0),IF($A274=SYear_O,BQ$168*(1+Data_All!BQ113%),BQ273*(1+Data_All!BQ113%)),"")</f>
        <v/>
      </c>
      <c r="BR274" s="427" t="str">
        <f>IF(AND($A274&gt;=SYear_O,$A274&lt;=EYear_O,BR$3&gt;0),IF($A274=SYear_O,BR$168*(1+Data_All!BR113%),BR273*(1+Data_All!BR113%)),"")</f>
        <v/>
      </c>
      <c r="BS274" s="427" t="str">
        <f>IF(AND($A274&gt;=SYear_O,$A274&lt;=EYear_O,BS$3&gt;0),IF($A274=SYear_O,BS$168*(1+Data_All!BS113%),BS273*(1+Data_All!BS113%)),"")</f>
        <v/>
      </c>
      <c r="BT274" s="427" t="str">
        <f>IF(AND($A274&gt;=SYear_O,$A274&lt;=EYear_O,BT$3&gt;0),IF($A274=SYear_O,BT$168*(1+Data_All!BT113%),BT273*(1+Data_All!BT113%)),"")</f>
        <v/>
      </c>
      <c r="BU274" s="427" t="str">
        <f>IF(AND($A274&gt;=SYear_O,$A274&lt;=EYear_O,BU$3&gt;0),IF($A274=SYear_O,BU$168*(1+Data_All!BU113%),BU273*(1+Data_All!BU113%)),"")</f>
        <v/>
      </c>
      <c r="BV274" s="427" t="str">
        <f>IF(AND($A274&gt;=SYear_O,$A274&lt;=EYear_O,BV$3&gt;0),IF($A274=SYear_O,BV$168*(1+Data_All!BV113%),BV273*(1+Data_All!BV113%)),"")</f>
        <v/>
      </c>
      <c r="BW274" s="427" t="str">
        <f>IF(AND($A274&gt;=SYear_O,$A274&lt;=EYear_O,BW$3&gt;0),IF($A274=SYear_O,BW$168*(1+Data_All!BW113%),BW273*(1+Data_All!BW113%)),"")</f>
        <v/>
      </c>
      <c r="BX274" s="427">
        <f>IF(AND($A274&gt;=SYear_O,$A274&lt;=EYear_O,BX$3&gt;0),IF($A274=SYear_O,BX$168*(1+Data_All!BX113%),BX273*(1+Data_All!BX113%)),"")</f>
        <v>22359359.620741855</v>
      </c>
      <c r="BY274" s="427">
        <f>IF(AND($A274&gt;=SYear_O,$A274&lt;=EYear_O,BY$3&gt;0),IF($A274=SYear_O,BY$168*(1+Data_All!BY113%),BY273*(1+Data_All!BY113%)),"")</f>
        <v>205951.37254559388</v>
      </c>
      <c r="BZ274" s="427" t="str">
        <f>IF(AND($A274&gt;=SYear_O,$A274&lt;=EYear_O,BZ$3&gt;0),IF($A274=SYear_O,BZ$168*(1+Data_All!BZ113%),BZ273*(1+Data_All!BZ113%)),"")</f>
        <v/>
      </c>
      <c r="CA274" s="565">
        <f t="shared" si="138"/>
        <v>11.35326490051925</v>
      </c>
      <c r="CB274" s="427">
        <f t="shared" si="139"/>
        <v>22565310.993287448</v>
      </c>
      <c r="CC274" s="565">
        <f>IF(AND($A274&gt;=SYear_O,$A274&lt;=EYear_O),(CA274-Data_All!CA113)/(1+Data_All!CA113%),"")</f>
        <v>6.1873917865776402</v>
      </c>
      <c r="CD274" s="436">
        <f t="shared" si="140"/>
        <v>4832567.2285963148</v>
      </c>
      <c r="CE274" s="438">
        <f t="shared" si="141"/>
        <v>2046.6565296243914</v>
      </c>
      <c r="CF274" s="438">
        <f>IF(AND($A274&gt;=SYear_O,$A274&lt;=EYear_O),MAX($CE$169:CE274),"")</f>
        <v>2046.6565296243914</v>
      </c>
      <c r="CG274" s="209">
        <f t="shared" si="142"/>
        <v>0</v>
      </c>
      <c r="CN274" s="61">
        <f t="shared" si="143"/>
        <v>0.11353264900519244</v>
      </c>
      <c r="CO274" s="61">
        <f t="shared" si="144"/>
        <v>5.7324174902652958E-2</v>
      </c>
      <c r="CP274" s="61">
        <f t="shared" si="145"/>
        <v>0.11573812960150121</v>
      </c>
      <c r="CQ274" s="61">
        <f t="shared" si="146"/>
        <v>0.12970876079670357</v>
      </c>
      <c r="CR274" s="61">
        <f t="shared" si="147"/>
        <v>0.12996946276341603</v>
      </c>
      <c r="CU274" s="61">
        <f t="shared" si="148"/>
        <v>6.187391786577634E-2</v>
      </c>
      <c r="CV274" s="61">
        <f t="shared" si="149"/>
        <v>-1.0438173318714883E-2</v>
      </c>
      <c r="CW274" s="61">
        <f t="shared" si="150"/>
        <v>2.1453762631032935E-2</v>
      </c>
      <c r="CX274" s="61">
        <f t="shared" si="151"/>
        <v>5.5683609582863225E-2</v>
      </c>
      <c r="CY274" s="61">
        <f t="shared" si="152"/>
        <v>6.558761672279112E-2</v>
      </c>
    </row>
    <row r="275" spans="1:103">
      <c r="A275" s="204">
        <f t="shared" si="107"/>
        <v>1977</v>
      </c>
      <c r="B275" s="427" t="str">
        <f>IF(AND($A275&gt;=SYear_O,$A275&lt;=EYear_O,B$3&gt;0),IF($A275=SYear_O,B$168*(1+Data_All!B114%),B274*(1+Data_All!B114%)),"")</f>
        <v/>
      </c>
      <c r="C275" s="427" t="str">
        <f>IF(AND($A275&gt;=SYear_O,$A275&lt;=EYear_O,C$3&gt;0),IF($A275=SYear_O,C$168*(1+Data_All!C114%),C274*(1+Data_All!C114%)),"")</f>
        <v/>
      </c>
      <c r="D275" s="427" t="str">
        <f>IF(AND($A275&gt;=SYear_O,$A275&lt;=EYear_O,D$3&gt;0),IF($A275=SYear_O,D$168*(1+Data_All!D114%),D274*(1+Data_All!D114%)),"")</f>
        <v/>
      </c>
      <c r="E275" s="427" t="str">
        <f>IF(AND($A275&gt;=SYear_O,$A275&lt;=EYear_O,E$3&gt;0),IF($A275=SYear_O,E$168*(1+Data_All!E114%),E274*(1+Data_All!E114%)),"")</f>
        <v/>
      </c>
      <c r="F275" s="427" t="str">
        <f>IF(AND($A275&gt;=SYear_O,$A275&lt;=EYear_O,F$3&gt;0),IF($A275=SYear_O,F$168*(1+Data_All!F114%),F274*(1+Data_All!F114%)),"")</f>
        <v/>
      </c>
      <c r="G275" s="427" t="str">
        <f>IF(AND($A275&gt;=SYear_O,$A275&lt;=EYear_O,G$3&gt;0),IF($A275=SYear_O,G$168*(1+Data_All!G114%),G274*(1+Data_All!G114%)),"")</f>
        <v/>
      </c>
      <c r="H275" s="427" t="str">
        <f>IF(AND($A275&gt;=SYear_O,$A275&lt;=EYear_O,H$3&gt;0),IF($A275=SYear_O,H$168*(1+Data_All!H114%),H274*(1+Data_All!H114%)),"")</f>
        <v/>
      </c>
      <c r="I275" s="427" t="str">
        <f>IF(AND($A275&gt;=SYear_O,$A275&lt;=EYear_O,I$3&gt;0),IF($A275=SYear_O,I$168*(1+Data_All!I114%),I274*(1+Data_All!I114%)),"")</f>
        <v/>
      </c>
      <c r="J275" s="427" t="str">
        <f>IF(AND($A275&gt;=SYear_O,$A275&lt;=EYear_O,J$3&gt;0),IF($A275=SYear_O,J$168*(1+Data_All!J114%),J274*(1+Data_All!J114%)),"")</f>
        <v/>
      </c>
      <c r="K275" s="427" t="str">
        <f>IF(AND($A275&gt;=SYear_O,$A275&lt;=EYear_O,K$3&gt;0),IF($A275=SYear_O,K$168*(1+Data_All!K114%),K274*(1+Data_All!K114%)),"")</f>
        <v/>
      </c>
      <c r="L275" s="427" t="str">
        <f>IF(AND($A275&gt;=SYear_O,$A275&lt;=EYear_O,L$3&gt;0),IF($A275=SYear_O,L$168*(1+Data_All!L114%),L274*(1+Data_All!L114%)),"")</f>
        <v/>
      </c>
      <c r="M275" s="427" t="str">
        <f>IF(AND($A275&gt;=SYear_O,$A275&lt;=EYear_O,M$3&gt;0),IF($A275=SYear_O,M$168*(1+Data_All!M114%),M274*(1+Data_All!M114%)),"")</f>
        <v/>
      </c>
      <c r="N275" s="427" t="str">
        <f>IF(AND($A275&gt;=SYear_O,$A275&lt;=EYear_O,N$3&gt;0),IF($A275=SYear_O,N$168*(1+Data_All!N114%),N274*(1+Data_All!N114%)),"")</f>
        <v/>
      </c>
      <c r="O275" s="427" t="str">
        <f>IF(AND($A275&gt;=SYear_O,$A275&lt;=EYear_O,O$3&gt;0),IF($A275=SYear_O,O$168*(1+Data_All!O114%),O274*(1+Data_All!O114%)),"")</f>
        <v/>
      </c>
      <c r="P275" s="427" t="str">
        <f>IF(AND($A275&gt;=SYear_O,$A275&lt;=EYear_O,P$3&gt;0),IF($A275=SYear_O,P$168*(1+Data_All!P114%),P274*(1+Data_All!P114%)),"")</f>
        <v/>
      </c>
      <c r="Q275" s="427" t="str">
        <f>IF(AND($A275&gt;=SYear_O,$A275&lt;=EYear_O,Q$3&gt;0),IF($A275=SYear_O,Q$168*(1+Data_All!Q114%),Q274*(1+Data_All!Q114%)),"")</f>
        <v/>
      </c>
      <c r="R275" s="427" t="str">
        <f>IF(AND($A275&gt;=SYear_O,$A275&lt;=EYear_O,R$3&gt;0),IF($A275=SYear_O,R$168*(1+Data_All!R114%),R274*(1+Data_All!R114%)),"")</f>
        <v/>
      </c>
      <c r="S275" s="427" t="str">
        <f>IF(AND($A275&gt;=SYear_O,$A275&lt;=EYear_O,S$3&gt;0),IF($A275=SYear_O,S$168*(1+Data_All!S114%),S274*(1+Data_All!S114%)),"")</f>
        <v/>
      </c>
      <c r="T275" s="427" t="str">
        <f>IF(AND($A275&gt;=SYear_O,$A275&lt;=EYear_O,T$3&gt;0),IF($A275=SYear_O,T$168*(1+Data_All!T114%),T274*(1+Data_All!T114%)),"")</f>
        <v/>
      </c>
      <c r="U275" s="427" t="str">
        <f>IF(AND($A275&gt;=SYear_O,$A275&lt;=EYear_O,U$3&gt;0),IF($A275=SYear_O,U$168*(1+Data_All!U114%),U274*(1+Data_All!U114%)),"")</f>
        <v/>
      </c>
      <c r="V275" s="427" t="str">
        <f>IF(AND($A275&gt;=SYear_O,$A275&lt;=EYear_O,V$3&gt;0),IF($A275=SYear_O,V$168*(1+Data_All!V114%),V274*(1+Data_All!V114%)),"")</f>
        <v/>
      </c>
      <c r="W275" s="427" t="str">
        <f>IF(AND($A275&gt;=SYear_O,$A275&lt;=EYear_O,W$3&gt;0),IF($A275=SYear_O,W$168*(1+Data_All!W114%),W274*(1+Data_All!W114%)),"")</f>
        <v/>
      </c>
      <c r="X275" s="427" t="str">
        <f>IF(AND($A275&gt;=SYear_O,$A275&lt;=EYear_O,X$3&gt;0),IF($A275=SYear_O,X$168*(1+Data_All!X114%),X274*(1+Data_All!X114%)),"")</f>
        <v/>
      </c>
      <c r="Y275" s="427" t="str">
        <f>IF(AND($A275&gt;=SYear_O,$A275&lt;=EYear_O,Y$3&gt;0),IF($A275=SYear_O,Y$168*(1+Data_All!Y114%),Y274*(1+Data_All!Y114%)),"")</f>
        <v/>
      </c>
      <c r="Z275" s="427" t="str">
        <f>IF(AND($A275&gt;=SYear_O,$A275&lt;=EYear_O,Z$3&gt;0),IF($A275=SYear_O,Z$168*(1+Data_All!Z114%),Z274*(1+Data_All!Z114%)),"")</f>
        <v/>
      </c>
      <c r="AA275" s="427" t="str">
        <f>IF(AND($A275&gt;=SYear_O,$A275&lt;=EYear_O,AA$3&gt;0),IF($A275=SYear_O,AA$168*(1+Data_All!AA114%),AA274*(1+Data_All!AA114%)),"")</f>
        <v/>
      </c>
      <c r="AB275" s="427" t="str">
        <f>IF(AND($A275&gt;=SYear_O,$A275&lt;=EYear_O,AB$3&gt;0),IF($A275=SYear_O,AB$168*(1+Data_All!AB114%),AB274*(1+Data_All!AB114%)),"")</f>
        <v/>
      </c>
      <c r="AC275" s="427" t="str">
        <f>IF(AND($A275&gt;=SYear_O,$A275&lt;=EYear_O,AC$3&gt;0),IF($A275=SYear_O,AC$168*(1+Data_All!AC114%),AC274*(1+Data_All!AC114%)),"")</f>
        <v/>
      </c>
      <c r="AD275" s="427" t="str">
        <f>IF(AND($A275&gt;=SYear_O,$A275&lt;=EYear_O,AD$3&gt;0),IF($A275=SYear_O,AD$168*(1+Data_All!AD114%),AD274*(1+Data_All!AD114%)),"")</f>
        <v/>
      </c>
      <c r="AE275" s="427" t="str">
        <f>IF(AND($A275&gt;=SYear_O,$A275&lt;=EYear_O,AE$3&gt;0),IF($A275=SYear_O,AE$168*(1+Data_All!AE114%),AE274*(1+Data_All!AE114%)),"")</f>
        <v/>
      </c>
      <c r="AF275" s="427" t="str">
        <f>IF(AND($A275&gt;=SYear_O,$A275&lt;=EYear_O,AF$3&gt;0),IF($A275=SYear_O,AF$168*(1+Data_All!AF114%),AF274*(1+Data_All!AF114%)),"")</f>
        <v/>
      </c>
      <c r="AG275" s="427" t="str">
        <f>IF(AND($A275&gt;=SYear_O,$A275&lt;=EYear_O,AG$3&gt;0),IF($A275=SYear_O,AG$168*(1+Data_All!AG114%),AG274*(1+Data_All!AG114%)),"")</f>
        <v/>
      </c>
      <c r="AH275" s="427" t="str">
        <f>IF(AND($A275&gt;=SYear_O,$A275&lt;=EYear_O,AH$3&gt;0),IF($A275=SYear_O,AH$168*(1+Data_All!AH114%),AH274*(1+Data_All!AH114%)),"")</f>
        <v/>
      </c>
      <c r="AI275" s="427" t="str">
        <f>IF(AND($A275&gt;=SYear_O,$A275&lt;=EYear_O,AI$3&gt;0),IF($A275=SYear_O,AI$168*(1+Data_All!AI114%),AI274*(1+Data_All!AI114%)),"")</f>
        <v/>
      </c>
      <c r="AJ275" s="427" t="str">
        <f>IF(AND($A275&gt;=SYear_O,$A275&lt;=EYear_O,AJ$3&gt;0),IF($A275=SYear_O,AJ$168*(1+Data_All!AJ114%),AJ274*(1+Data_All!AJ114%)),"")</f>
        <v/>
      </c>
      <c r="AK275" s="427" t="str">
        <f>IF(AND($A275&gt;=SYear_O,$A275&lt;=EYear_O,AK$3&gt;0),IF($A275=SYear_O,AK$168*(1+Data_All!AK114%),AK274*(1+Data_All!AK114%)),"")</f>
        <v/>
      </c>
      <c r="AL275" s="427" t="str">
        <f>IF(AND($A275&gt;=SYear_O,$A275&lt;=EYear_O,AL$3&gt;0),IF($A275=SYear_O,AL$168*(1+Data_All!AL114%),AL274*(1+Data_All!AL114%)),"")</f>
        <v/>
      </c>
      <c r="AM275" s="427" t="str">
        <f>IF(AND($A275&gt;=SYear_O,$A275&lt;=EYear_O,AM$3&gt;0),IF($A275=SYear_O,AM$168*(1+Data_All!AM114%),AM274*(1+Data_All!AM114%)),"")</f>
        <v/>
      </c>
      <c r="AN275" s="427" t="str">
        <f>IF(AND($A275&gt;=SYear_O,$A275&lt;=EYear_O,AN$3&gt;0),IF($A275=SYear_O,AN$168*(1+Data_All!AN114%),AN274*(1+Data_All!AN114%)),"")</f>
        <v/>
      </c>
      <c r="AO275" s="427" t="str">
        <f>IF(AND($A275&gt;=SYear_O,$A275&lt;=EYear_O,AO$3&gt;0),IF($A275=SYear_O,AO$168*(1+Data_All!AO114%),AO274*(1+Data_All!AO114%)),"")</f>
        <v/>
      </c>
      <c r="AP275" s="427" t="str">
        <f>IF(AND($A275&gt;=SYear_O,$A275&lt;=EYear_O,AP$3&gt;0),IF($A275=SYear_O,AP$168*(1+Data_All!AP114%),AP274*(1+Data_All!AP114%)),"")</f>
        <v/>
      </c>
      <c r="AQ275" s="427" t="str">
        <f>IF(AND($A275&gt;=SYear_O,$A275&lt;=EYear_O,AQ$3&gt;0),IF($A275=SYear_O,AQ$168*(1+Data_All!AQ114%),AQ274*(1+Data_All!AQ114%)),"")</f>
        <v/>
      </c>
      <c r="AR275" s="427" t="str">
        <f>IF(AND($A275&gt;=SYear_O,$A275&lt;=EYear_O,AR$3&gt;0),IF($A275=SYear_O,AR$168*(1+Data_All!AR114%),AR274*(1+Data_All!AR114%)),"")</f>
        <v/>
      </c>
      <c r="AS275" s="427" t="str">
        <f>IF(AND($A275&gt;=SYear_O,$A275&lt;=EYear_O,AS$3&gt;0),IF($A275=SYear_O,AS$168*(1+Data_All!AS114%),AS274*(1+Data_All!AS114%)),"")</f>
        <v/>
      </c>
      <c r="AT275" s="427" t="str">
        <f>IF(AND($A275&gt;=SYear_O,$A275&lt;=EYear_O,AT$3&gt;0),IF($A275=SYear_O,AT$168*(1+Data_All!AT114%),AT274*(1+Data_All!AT114%)),"")</f>
        <v/>
      </c>
      <c r="AU275" s="427" t="str">
        <f>IF(AND($A275&gt;=SYear_O,$A275&lt;=EYear_O,AU$3&gt;0),IF($A275=SYear_O,AU$168*(1+Data_All!AU114%),AU274*(1+Data_All!AU114%)),"")</f>
        <v/>
      </c>
      <c r="AV275" s="427" t="str">
        <f>IF(AND($A275&gt;=SYear_O,$A275&lt;=EYear_O,AV$3&gt;0),IF($A275=SYear_O,AV$168*(1+Data_All!AV114%),AV274*(1+Data_All!AV114%)),"")</f>
        <v/>
      </c>
      <c r="AW275" s="427" t="str">
        <f>IF(AND($A275&gt;=SYear_O,$A275&lt;=EYear_O,AW$3&gt;0),IF($A275=SYear_O,AW$168*(1+Data_All!AW114%),AW274*(1+Data_All!AW114%)),"")</f>
        <v/>
      </c>
      <c r="AX275" s="427" t="str">
        <f>IF(AND($A275&gt;=SYear_O,$A275&lt;=EYear_O,AX$3&gt;0),IF($A275=SYear_O,AX$168*(1+Data_All!AX114%),AX274*(1+Data_All!AX114%)),"")</f>
        <v/>
      </c>
      <c r="AY275" s="427" t="str">
        <f>IF(AND($A275&gt;=SYear_O,$A275&lt;=EYear_O,AY$3&gt;0),IF($A275=SYear_O,AY$168*(1+Data_All!AY114%),AY274*(1+Data_All!AY114%)),"")</f>
        <v/>
      </c>
      <c r="AZ275" s="427" t="str">
        <f>IF(AND($A275&gt;=SYear_O,$A275&lt;=EYear_O,AZ$3&gt;0),IF($A275=SYear_O,AZ$168*(1+Data_All!AZ114%),AZ274*(1+Data_All!AZ114%)),"")</f>
        <v/>
      </c>
      <c r="BA275" s="427" t="str">
        <f>IF(AND($A275&gt;=SYear_O,$A275&lt;=EYear_O,BA$3&gt;0),IF($A275=SYear_O,BA$168*(1+Data_All!BA114%),BA274*(1+Data_All!BA114%)),"")</f>
        <v/>
      </c>
      <c r="BB275" s="427" t="str">
        <f>IF(AND($A275&gt;=SYear_O,$A275&lt;=EYear_O,BB$3&gt;0),IF($A275=SYear_O,BB$168*(1+Data_All!BB114%),BB274*(1+Data_All!BB114%)),"")</f>
        <v/>
      </c>
      <c r="BC275" s="427" t="str">
        <f>IF(AND($A275&gt;=SYear_O,$A275&lt;=EYear_O,BC$3&gt;0),IF($A275=SYear_O,BC$168*(1+Data_All!BC114%),BC274*(1+Data_All!BC114%)),"")</f>
        <v/>
      </c>
      <c r="BD275" s="427" t="str">
        <f>IF(AND($A275&gt;=SYear_O,$A275&lt;=EYear_O,BD$3&gt;0),IF($A275=SYear_O,BD$168*(1+Data_All!BD114%),BD274*(1+Data_All!BD114%)),"")</f>
        <v/>
      </c>
      <c r="BE275" s="427" t="str">
        <f>IF(AND($A275&gt;=SYear_O,$A275&lt;=EYear_O,BE$3&gt;0),IF($A275=SYear_O,BE$168*(1+Data_All!BE114%),BE274*(1+Data_All!BE114%)),"")</f>
        <v/>
      </c>
      <c r="BF275" s="427" t="str">
        <f>IF(AND($A275&gt;=SYear_O,$A275&lt;=EYear_O,BF$3&gt;0),IF($A275=SYear_O,BF$168*(1+Data_All!BF114%),BF274*(1+Data_All!BF114%)),"")</f>
        <v/>
      </c>
      <c r="BG275" s="427" t="str">
        <f>IF(AND($A275&gt;=SYear_O,$A275&lt;=EYear_O,BG$3&gt;0),IF($A275=SYear_O,BG$168*(1+Data_All!BG114%),BG274*(1+Data_All!BG114%)),"")</f>
        <v/>
      </c>
      <c r="BH275" s="427" t="str">
        <f>IF(AND($A275&gt;=SYear_O,$A275&lt;=EYear_O,BH$3&gt;0),IF($A275=SYear_O,BH$168*(1+Data_All!BH114%),BH274*(1+Data_All!BH114%)),"")</f>
        <v/>
      </c>
      <c r="BI275" s="427" t="str">
        <f>IF(AND($A275&gt;=SYear_O,$A275&lt;=EYear_O,BI$3&gt;0),IF($A275=SYear_O,BI$168*(1+Data_All!BI114%),BI274*(1+Data_All!BI114%)),"")</f>
        <v/>
      </c>
      <c r="BJ275" s="427" t="str">
        <f>IF(AND($A275&gt;=SYear_O,$A275&lt;=EYear_O,BJ$3&gt;0),IF($A275=SYear_O,BJ$168*(1+Data_All!BJ114%),BJ274*(1+Data_All!BJ114%)),"")</f>
        <v/>
      </c>
      <c r="BK275" s="427" t="str">
        <f>IF(AND($A275&gt;=SYear_O,$A275&lt;=EYear_O,BK$3&gt;0),IF($A275=SYear_O,BK$168*(1+Data_All!BK114%),BK274*(1+Data_All!BK114%)),"")</f>
        <v/>
      </c>
      <c r="BL275" s="427" t="str">
        <f>IF(AND($A275&gt;=SYear_O,$A275&lt;=EYear_O,BL$3&gt;0),IF($A275=SYear_O,BL$168*(1+Data_All!BL114%),BL274*(1+Data_All!BL114%)),"")</f>
        <v/>
      </c>
      <c r="BM275" s="427" t="str">
        <f>IF(AND($A275&gt;=SYear_O,$A275&lt;=EYear_O,BM$3&gt;0),IF($A275=SYear_O,BM$168*(1+Data_All!BM114%),BM274*(1+Data_All!BM114%)),"")</f>
        <v/>
      </c>
      <c r="BN275" s="427" t="str">
        <f>IF(AND($A275&gt;=SYear_O,$A275&lt;=EYear_O,BN$3&gt;0),IF($A275=SYear_O,BN$168*(1+Data_All!BN114%),BN274*(1+Data_All!BN114%)),"")</f>
        <v/>
      </c>
      <c r="BO275" s="427" t="str">
        <f>IF(AND($A275&gt;=SYear_O,$A275&lt;=EYear_O,BO$3&gt;0),IF($A275=SYear_O,BO$168*(1+Data_All!BO114%),BO274*(1+Data_All!BO114%)),"")</f>
        <v/>
      </c>
      <c r="BP275" s="427" t="str">
        <f>IF(AND($A275&gt;=SYear_O,$A275&lt;=EYear_O,BP$3&gt;0),IF($A275=SYear_O,BP$168*(1+Data_All!BP114%),BP274*(1+Data_All!BP114%)),"")</f>
        <v/>
      </c>
      <c r="BQ275" s="427" t="str">
        <f>IF(AND($A275&gt;=SYear_O,$A275&lt;=EYear_O,BQ$3&gt;0),IF($A275=SYear_O,BQ$168*(1+Data_All!BQ114%),BQ274*(1+Data_All!BQ114%)),"")</f>
        <v/>
      </c>
      <c r="BR275" s="427" t="str">
        <f>IF(AND($A275&gt;=SYear_O,$A275&lt;=EYear_O,BR$3&gt;0),IF($A275=SYear_O,BR$168*(1+Data_All!BR114%),BR274*(1+Data_All!BR114%)),"")</f>
        <v/>
      </c>
      <c r="BS275" s="427" t="str">
        <f>IF(AND($A275&gt;=SYear_O,$A275&lt;=EYear_O,BS$3&gt;0),IF($A275=SYear_O,BS$168*(1+Data_All!BS114%),BS274*(1+Data_All!BS114%)),"")</f>
        <v/>
      </c>
      <c r="BT275" s="427" t="str">
        <f>IF(AND($A275&gt;=SYear_O,$A275&lt;=EYear_O,BT$3&gt;0),IF($A275=SYear_O,BT$168*(1+Data_All!BT114%),BT274*(1+Data_All!BT114%)),"")</f>
        <v/>
      </c>
      <c r="BU275" s="427" t="str">
        <f>IF(AND($A275&gt;=SYear_O,$A275&lt;=EYear_O,BU$3&gt;0),IF($A275=SYear_O,BU$168*(1+Data_All!BU114%),BU274*(1+Data_All!BU114%)),"")</f>
        <v/>
      </c>
      <c r="BV275" s="427" t="str">
        <f>IF(AND($A275&gt;=SYear_O,$A275&lt;=EYear_O,BV$3&gt;0),IF($A275=SYear_O,BV$168*(1+Data_All!BV114%),BV274*(1+Data_All!BV114%)),"")</f>
        <v/>
      </c>
      <c r="BW275" s="427" t="str">
        <f>IF(AND($A275&gt;=SYear_O,$A275&lt;=EYear_O,BW$3&gt;0),IF($A275=SYear_O,BW$168*(1+Data_All!BW114%),BW274*(1+Data_All!BW114%)),"")</f>
        <v/>
      </c>
      <c r="BX275" s="427">
        <f>IF(AND($A275&gt;=SYear_O,$A275&lt;=EYear_O,BX$3&gt;0),IF($A275=SYear_O,BX$168*(1+Data_All!BX114%),BX274*(1+Data_All!BX114%)),"")</f>
        <v>20444566.180529974</v>
      </c>
      <c r="BY275" s="427">
        <f>IF(AND($A275&gt;=SYear_O,$A275&lt;=EYear_O,BY$3&gt;0),IF($A275=SYear_O,BY$168*(1+Data_All!BY114%),BY274*(1+Data_All!BY114%)),"")</f>
        <v>212214.04106653368</v>
      </c>
      <c r="BZ275" s="427" t="str">
        <f>IF(AND($A275&gt;=SYear_O,$A275&lt;=EYear_O,BZ$3&gt;0),IF($A275=SYear_O,BZ$168*(1+Data_All!BZ114%),BZ274*(1+Data_All!BZ114%)),"")</f>
        <v/>
      </c>
      <c r="CA275" s="565">
        <f t="shared" si="138"/>
        <v>-8.4578084133592188</v>
      </c>
      <c r="CB275" s="427">
        <f t="shared" si="139"/>
        <v>20656780.221596509</v>
      </c>
      <c r="CC275" s="565">
        <f>IF(AND($A275&gt;=SYear_O,$A275&lt;=EYear_O),(CA275-Data_All!CA114)/(1+Data_All!CA114%),"")</f>
        <v>-14.206834938124098</v>
      </c>
      <c r="CD275" s="436">
        <f t="shared" si="140"/>
        <v>4146012.3791557578</v>
      </c>
      <c r="CE275" s="438">
        <f t="shared" si="141"/>
        <v>1873.5542414692538</v>
      </c>
      <c r="CF275" s="438">
        <f>IF(AND($A275&gt;=SYear_O,$A275&lt;=EYear_O),MAX($CE$169:CE275),"")</f>
        <v>2046.6565296243914</v>
      </c>
      <c r="CG275" s="209">
        <f t="shared" si="142"/>
        <v>8.4578084133592135E-2</v>
      </c>
      <c r="CN275" s="61">
        <f t="shared" si="143"/>
        <v>-8.4578084133592246E-2</v>
      </c>
      <c r="CO275" s="61">
        <f t="shared" si="144"/>
        <v>7.4079057476970078E-2</v>
      </c>
      <c r="CP275" s="61">
        <f t="shared" si="145"/>
        <v>7.6884147601181896E-2</v>
      </c>
      <c r="CQ275" s="61">
        <f t="shared" si="146"/>
        <v>0.14816429102763196</v>
      </c>
      <c r="CR275" s="61">
        <f t="shared" si="147"/>
        <v>0.14255223457390787</v>
      </c>
      <c r="CU275" s="61">
        <f t="shared" si="148"/>
        <v>-0.14206834938124102</v>
      </c>
      <c r="CV275" s="61">
        <f t="shared" si="149"/>
        <v>-2.0332301047531476E-2</v>
      </c>
      <c r="CW275" s="61">
        <f t="shared" si="150"/>
        <v>-2.1573942956130576E-2</v>
      </c>
      <c r="CX275" s="61">
        <f t="shared" si="151"/>
        <v>7.6862135068156201E-2</v>
      </c>
      <c r="CY275" s="61">
        <f t="shared" si="152"/>
        <v>7.8698261004614301E-2</v>
      </c>
    </row>
    <row r="276" spans="1:103">
      <c r="A276" s="204">
        <f t="shared" si="107"/>
        <v>1978</v>
      </c>
      <c r="B276" s="427" t="str">
        <f>IF(AND($A276&gt;=SYear_O,$A276&lt;=EYear_O,B$3&gt;0),IF($A276=SYear_O,B$168*(1+Data_All!B115%),B275*(1+Data_All!B115%)),"")</f>
        <v/>
      </c>
      <c r="C276" s="427" t="str">
        <f>IF(AND($A276&gt;=SYear_O,$A276&lt;=EYear_O,C$3&gt;0),IF($A276=SYear_O,C$168*(1+Data_All!C115%),C275*(1+Data_All!C115%)),"")</f>
        <v/>
      </c>
      <c r="D276" s="427" t="str">
        <f>IF(AND($A276&gt;=SYear_O,$A276&lt;=EYear_O,D$3&gt;0),IF($A276=SYear_O,D$168*(1+Data_All!D115%),D275*(1+Data_All!D115%)),"")</f>
        <v/>
      </c>
      <c r="E276" s="427" t="str">
        <f>IF(AND($A276&gt;=SYear_O,$A276&lt;=EYear_O,E$3&gt;0),IF($A276=SYear_O,E$168*(1+Data_All!E115%),E275*(1+Data_All!E115%)),"")</f>
        <v/>
      </c>
      <c r="F276" s="427" t="str">
        <f>IF(AND($A276&gt;=SYear_O,$A276&lt;=EYear_O,F$3&gt;0),IF($A276=SYear_O,F$168*(1+Data_All!F115%),F275*(1+Data_All!F115%)),"")</f>
        <v/>
      </c>
      <c r="G276" s="427" t="str">
        <f>IF(AND($A276&gt;=SYear_O,$A276&lt;=EYear_O,G$3&gt;0),IF($A276=SYear_O,G$168*(1+Data_All!G115%),G275*(1+Data_All!G115%)),"")</f>
        <v/>
      </c>
      <c r="H276" s="427" t="str">
        <f>IF(AND($A276&gt;=SYear_O,$A276&lt;=EYear_O,H$3&gt;0),IF($A276=SYear_O,H$168*(1+Data_All!H115%),H275*(1+Data_All!H115%)),"")</f>
        <v/>
      </c>
      <c r="I276" s="427" t="str">
        <f>IF(AND($A276&gt;=SYear_O,$A276&lt;=EYear_O,I$3&gt;0),IF($A276=SYear_O,I$168*(1+Data_All!I115%),I275*(1+Data_All!I115%)),"")</f>
        <v/>
      </c>
      <c r="J276" s="427" t="str">
        <f>IF(AND($A276&gt;=SYear_O,$A276&lt;=EYear_O,J$3&gt;0),IF($A276=SYear_O,J$168*(1+Data_All!J115%),J275*(1+Data_All!J115%)),"")</f>
        <v/>
      </c>
      <c r="K276" s="427" t="str">
        <f>IF(AND($A276&gt;=SYear_O,$A276&lt;=EYear_O,K$3&gt;0),IF($A276=SYear_O,K$168*(1+Data_All!K115%),K275*(1+Data_All!K115%)),"")</f>
        <v/>
      </c>
      <c r="L276" s="427" t="str">
        <f>IF(AND($A276&gt;=SYear_O,$A276&lt;=EYear_O,L$3&gt;0),IF($A276=SYear_O,L$168*(1+Data_All!L115%),L275*(1+Data_All!L115%)),"")</f>
        <v/>
      </c>
      <c r="M276" s="427" t="str">
        <f>IF(AND($A276&gt;=SYear_O,$A276&lt;=EYear_O,M$3&gt;0),IF($A276=SYear_O,M$168*(1+Data_All!M115%),M275*(1+Data_All!M115%)),"")</f>
        <v/>
      </c>
      <c r="N276" s="427" t="str">
        <f>IF(AND($A276&gt;=SYear_O,$A276&lt;=EYear_O,N$3&gt;0),IF($A276=SYear_O,N$168*(1+Data_All!N115%),N275*(1+Data_All!N115%)),"")</f>
        <v/>
      </c>
      <c r="O276" s="427" t="str">
        <f>IF(AND($A276&gt;=SYear_O,$A276&lt;=EYear_O,O$3&gt;0),IF($A276=SYear_O,O$168*(1+Data_All!O115%),O275*(1+Data_All!O115%)),"")</f>
        <v/>
      </c>
      <c r="P276" s="427" t="str">
        <f>IF(AND($A276&gt;=SYear_O,$A276&lt;=EYear_O,P$3&gt;0),IF($A276=SYear_O,P$168*(1+Data_All!P115%),P275*(1+Data_All!P115%)),"")</f>
        <v/>
      </c>
      <c r="Q276" s="427" t="str">
        <f>IF(AND($A276&gt;=SYear_O,$A276&lt;=EYear_O,Q$3&gt;0),IF($A276=SYear_O,Q$168*(1+Data_All!Q115%),Q275*(1+Data_All!Q115%)),"")</f>
        <v/>
      </c>
      <c r="R276" s="427" t="str">
        <f>IF(AND($A276&gt;=SYear_O,$A276&lt;=EYear_O,R$3&gt;0),IF($A276=SYear_O,R$168*(1+Data_All!R115%),R275*(1+Data_All!R115%)),"")</f>
        <v/>
      </c>
      <c r="S276" s="427" t="str">
        <f>IF(AND($A276&gt;=SYear_O,$A276&lt;=EYear_O,S$3&gt;0),IF($A276=SYear_O,S$168*(1+Data_All!S115%),S275*(1+Data_All!S115%)),"")</f>
        <v/>
      </c>
      <c r="T276" s="427" t="str">
        <f>IF(AND($A276&gt;=SYear_O,$A276&lt;=EYear_O,T$3&gt;0),IF($A276=SYear_O,T$168*(1+Data_All!T115%),T275*(1+Data_All!T115%)),"")</f>
        <v/>
      </c>
      <c r="U276" s="427" t="str">
        <f>IF(AND($A276&gt;=SYear_O,$A276&lt;=EYear_O,U$3&gt;0),IF($A276=SYear_O,U$168*(1+Data_All!U115%),U275*(1+Data_All!U115%)),"")</f>
        <v/>
      </c>
      <c r="V276" s="427" t="str">
        <f>IF(AND($A276&gt;=SYear_O,$A276&lt;=EYear_O,V$3&gt;0),IF($A276=SYear_O,V$168*(1+Data_All!V115%),V275*(1+Data_All!V115%)),"")</f>
        <v/>
      </c>
      <c r="W276" s="427" t="str">
        <f>IF(AND($A276&gt;=SYear_O,$A276&lt;=EYear_O,W$3&gt;0),IF($A276=SYear_O,W$168*(1+Data_All!W115%),W275*(1+Data_All!W115%)),"")</f>
        <v/>
      </c>
      <c r="X276" s="427" t="str">
        <f>IF(AND($A276&gt;=SYear_O,$A276&lt;=EYear_O,X$3&gt;0),IF($A276=SYear_O,X$168*(1+Data_All!X115%),X275*(1+Data_All!X115%)),"")</f>
        <v/>
      </c>
      <c r="Y276" s="427" t="str">
        <f>IF(AND($A276&gt;=SYear_O,$A276&lt;=EYear_O,Y$3&gt;0),IF($A276=SYear_O,Y$168*(1+Data_All!Y115%),Y275*(1+Data_All!Y115%)),"")</f>
        <v/>
      </c>
      <c r="Z276" s="427" t="str">
        <f>IF(AND($A276&gt;=SYear_O,$A276&lt;=EYear_O,Z$3&gt;0),IF($A276=SYear_O,Z$168*(1+Data_All!Z115%),Z275*(1+Data_All!Z115%)),"")</f>
        <v/>
      </c>
      <c r="AA276" s="427" t="str">
        <f>IF(AND($A276&gt;=SYear_O,$A276&lt;=EYear_O,AA$3&gt;0),IF($A276=SYear_O,AA$168*(1+Data_All!AA115%),AA275*(1+Data_All!AA115%)),"")</f>
        <v/>
      </c>
      <c r="AB276" s="427" t="str">
        <f>IF(AND($A276&gt;=SYear_O,$A276&lt;=EYear_O,AB$3&gt;0),IF($A276=SYear_O,AB$168*(1+Data_All!AB115%),AB275*(1+Data_All!AB115%)),"")</f>
        <v/>
      </c>
      <c r="AC276" s="427" t="str">
        <f>IF(AND($A276&gt;=SYear_O,$A276&lt;=EYear_O,AC$3&gt;0),IF($A276=SYear_O,AC$168*(1+Data_All!AC115%),AC275*(1+Data_All!AC115%)),"")</f>
        <v/>
      </c>
      <c r="AD276" s="427" t="str">
        <f>IF(AND($A276&gt;=SYear_O,$A276&lt;=EYear_O,AD$3&gt;0),IF($A276=SYear_O,AD$168*(1+Data_All!AD115%),AD275*(1+Data_All!AD115%)),"")</f>
        <v/>
      </c>
      <c r="AE276" s="427" t="str">
        <f>IF(AND($A276&gt;=SYear_O,$A276&lt;=EYear_O,AE$3&gt;0),IF($A276=SYear_O,AE$168*(1+Data_All!AE115%),AE275*(1+Data_All!AE115%)),"")</f>
        <v/>
      </c>
      <c r="AF276" s="427" t="str">
        <f>IF(AND($A276&gt;=SYear_O,$A276&lt;=EYear_O,AF$3&gt;0),IF($A276=SYear_O,AF$168*(1+Data_All!AF115%),AF275*(1+Data_All!AF115%)),"")</f>
        <v/>
      </c>
      <c r="AG276" s="427" t="str">
        <f>IF(AND($A276&gt;=SYear_O,$A276&lt;=EYear_O,AG$3&gt;0),IF($A276=SYear_O,AG$168*(1+Data_All!AG115%),AG275*(1+Data_All!AG115%)),"")</f>
        <v/>
      </c>
      <c r="AH276" s="427" t="str">
        <f>IF(AND($A276&gt;=SYear_O,$A276&lt;=EYear_O,AH$3&gt;0),IF($A276=SYear_O,AH$168*(1+Data_All!AH115%),AH275*(1+Data_All!AH115%)),"")</f>
        <v/>
      </c>
      <c r="AI276" s="427" t="str">
        <f>IF(AND($A276&gt;=SYear_O,$A276&lt;=EYear_O,AI$3&gt;0),IF($A276=SYear_O,AI$168*(1+Data_All!AI115%),AI275*(1+Data_All!AI115%)),"")</f>
        <v/>
      </c>
      <c r="AJ276" s="427" t="str">
        <f>IF(AND($A276&gt;=SYear_O,$A276&lt;=EYear_O,AJ$3&gt;0),IF($A276=SYear_O,AJ$168*(1+Data_All!AJ115%),AJ275*(1+Data_All!AJ115%)),"")</f>
        <v/>
      </c>
      <c r="AK276" s="427" t="str">
        <f>IF(AND($A276&gt;=SYear_O,$A276&lt;=EYear_O,AK$3&gt;0),IF($A276=SYear_O,AK$168*(1+Data_All!AK115%),AK275*(1+Data_All!AK115%)),"")</f>
        <v/>
      </c>
      <c r="AL276" s="427" t="str">
        <f>IF(AND($A276&gt;=SYear_O,$A276&lt;=EYear_O,AL$3&gt;0),IF($A276=SYear_O,AL$168*(1+Data_All!AL115%),AL275*(1+Data_All!AL115%)),"")</f>
        <v/>
      </c>
      <c r="AM276" s="427" t="str">
        <f>IF(AND($A276&gt;=SYear_O,$A276&lt;=EYear_O,AM$3&gt;0),IF($A276=SYear_O,AM$168*(1+Data_All!AM115%),AM275*(1+Data_All!AM115%)),"")</f>
        <v/>
      </c>
      <c r="AN276" s="427" t="str">
        <f>IF(AND($A276&gt;=SYear_O,$A276&lt;=EYear_O,AN$3&gt;0),IF($A276=SYear_O,AN$168*(1+Data_All!AN115%),AN275*(1+Data_All!AN115%)),"")</f>
        <v/>
      </c>
      <c r="AO276" s="427" t="str">
        <f>IF(AND($A276&gt;=SYear_O,$A276&lt;=EYear_O,AO$3&gt;0),IF($A276=SYear_O,AO$168*(1+Data_All!AO115%),AO275*(1+Data_All!AO115%)),"")</f>
        <v/>
      </c>
      <c r="AP276" s="427" t="str">
        <f>IF(AND($A276&gt;=SYear_O,$A276&lt;=EYear_O,AP$3&gt;0),IF($A276=SYear_O,AP$168*(1+Data_All!AP115%),AP275*(1+Data_All!AP115%)),"")</f>
        <v/>
      </c>
      <c r="AQ276" s="427" t="str">
        <f>IF(AND($A276&gt;=SYear_O,$A276&lt;=EYear_O,AQ$3&gt;0),IF($A276=SYear_O,AQ$168*(1+Data_All!AQ115%),AQ275*(1+Data_All!AQ115%)),"")</f>
        <v/>
      </c>
      <c r="AR276" s="427" t="str">
        <f>IF(AND($A276&gt;=SYear_O,$A276&lt;=EYear_O,AR$3&gt;0),IF($A276=SYear_O,AR$168*(1+Data_All!AR115%),AR275*(1+Data_All!AR115%)),"")</f>
        <v/>
      </c>
      <c r="AS276" s="427" t="str">
        <f>IF(AND($A276&gt;=SYear_O,$A276&lt;=EYear_O,AS$3&gt;0),IF($A276=SYear_O,AS$168*(1+Data_All!AS115%),AS275*(1+Data_All!AS115%)),"")</f>
        <v/>
      </c>
      <c r="AT276" s="427" t="str">
        <f>IF(AND($A276&gt;=SYear_O,$A276&lt;=EYear_O,AT$3&gt;0),IF($A276=SYear_O,AT$168*(1+Data_All!AT115%),AT275*(1+Data_All!AT115%)),"")</f>
        <v/>
      </c>
      <c r="AU276" s="427" t="str">
        <f>IF(AND($A276&gt;=SYear_O,$A276&lt;=EYear_O,AU$3&gt;0),IF($A276=SYear_O,AU$168*(1+Data_All!AU115%),AU275*(1+Data_All!AU115%)),"")</f>
        <v/>
      </c>
      <c r="AV276" s="427" t="str">
        <f>IF(AND($A276&gt;=SYear_O,$A276&lt;=EYear_O,AV$3&gt;0),IF($A276=SYear_O,AV$168*(1+Data_All!AV115%),AV275*(1+Data_All!AV115%)),"")</f>
        <v/>
      </c>
      <c r="AW276" s="427" t="str">
        <f>IF(AND($A276&gt;=SYear_O,$A276&lt;=EYear_O,AW$3&gt;0),IF($A276=SYear_O,AW$168*(1+Data_All!AW115%),AW275*(1+Data_All!AW115%)),"")</f>
        <v/>
      </c>
      <c r="AX276" s="427" t="str">
        <f>IF(AND($A276&gt;=SYear_O,$A276&lt;=EYear_O,AX$3&gt;0),IF($A276=SYear_O,AX$168*(1+Data_All!AX115%),AX275*(1+Data_All!AX115%)),"")</f>
        <v/>
      </c>
      <c r="AY276" s="427" t="str">
        <f>IF(AND($A276&gt;=SYear_O,$A276&lt;=EYear_O,AY$3&gt;0),IF($A276=SYear_O,AY$168*(1+Data_All!AY115%),AY275*(1+Data_All!AY115%)),"")</f>
        <v/>
      </c>
      <c r="AZ276" s="427" t="str">
        <f>IF(AND($A276&gt;=SYear_O,$A276&lt;=EYear_O,AZ$3&gt;0),IF($A276=SYear_O,AZ$168*(1+Data_All!AZ115%),AZ275*(1+Data_All!AZ115%)),"")</f>
        <v/>
      </c>
      <c r="BA276" s="427" t="str">
        <f>IF(AND($A276&gt;=SYear_O,$A276&lt;=EYear_O,BA$3&gt;0),IF($A276=SYear_O,BA$168*(1+Data_All!BA115%),BA275*(1+Data_All!BA115%)),"")</f>
        <v/>
      </c>
      <c r="BB276" s="427" t="str">
        <f>IF(AND($A276&gt;=SYear_O,$A276&lt;=EYear_O,BB$3&gt;0),IF($A276=SYear_O,BB$168*(1+Data_All!BB115%),BB275*(1+Data_All!BB115%)),"")</f>
        <v/>
      </c>
      <c r="BC276" s="427" t="str">
        <f>IF(AND($A276&gt;=SYear_O,$A276&lt;=EYear_O,BC$3&gt;0),IF($A276=SYear_O,BC$168*(1+Data_All!BC115%),BC275*(1+Data_All!BC115%)),"")</f>
        <v/>
      </c>
      <c r="BD276" s="427" t="str">
        <f>IF(AND($A276&gt;=SYear_O,$A276&lt;=EYear_O,BD$3&gt;0),IF($A276=SYear_O,BD$168*(1+Data_All!BD115%),BD275*(1+Data_All!BD115%)),"")</f>
        <v/>
      </c>
      <c r="BE276" s="427" t="str">
        <f>IF(AND($A276&gt;=SYear_O,$A276&lt;=EYear_O,BE$3&gt;0),IF($A276=SYear_O,BE$168*(1+Data_All!BE115%),BE275*(1+Data_All!BE115%)),"")</f>
        <v/>
      </c>
      <c r="BF276" s="427" t="str">
        <f>IF(AND($A276&gt;=SYear_O,$A276&lt;=EYear_O,BF$3&gt;0),IF($A276=SYear_O,BF$168*(1+Data_All!BF115%),BF275*(1+Data_All!BF115%)),"")</f>
        <v/>
      </c>
      <c r="BG276" s="427" t="str">
        <f>IF(AND($A276&gt;=SYear_O,$A276&lt;=EYear_O,BG$3&gt;0),IF($A276=SYear_O,BG$168*(1+Data_All!BG115%),BG275*(1+Data_All!BG115%)),"")</f>
        <v/>
      </c>
      <c r="BH276" s="427" t="str">
        <f>IF(AND($A276&gt;=SYear_O,$A276&lt;=EYear_O,BH$3&gt;0),IF($A276=SYear_O,BH$168*(1+Data_All!BH115%),BH275*(1+Data_All!BH115%)),"")</f>
        <v/>
      </c>
      <c r="BI276" s="427" t="str">
        <f>IF(AND($A276&gt;=SYear_O,$A276&lt;=EYear_O,BI$3&gt;0),IF($A276=SYear_O,BI$168*(1+Data_All!BI115%),BI275*(1+Data_All!BI115%)),"")</f>
        <v/>
      </c>
      <c r="BJ276" s="427" t="str">
        <f>IF(AND($A276&gt;=SYear_O,$A276&lt;=EYear_O,BJ$3&gt;0),IF($A276=SYear_O,BJ$168*(1+Data_All!BJ115%),BJ275*(1+Data_All!BJ115%)),"")</f>
        <v/>
      </c>
      <c r="BK276" s="427" t="str">
        <f>IF(AND($A276&gt;=SYear_O,$A276&lt;=EYear_O,BK$3&gt;0),IF($A276=SYear_O,BK$168*(1+Data_All!BK115%),BK275*(1+Data_All!BK115%)),"")</f>
        <v/>
      </c>
      <c r="BL276" s="427" t="str">
        <f>IF(AND($A276&gt;=SYear_O,$A276&lt;=EYear_O,BL$3&gt;0),IF($A276=SYear_O,BL$168*(1+Data_All!BL115%),BL275*(1+Data_All!BL115%)),"")</f>
        <v/>
      </c>
      <c r="BM276" s="427" t="str">
        <f>IF(AND($A276&gt;=SYear_O,$A276&lt;=EYear_O,BM$3&gt;0),IF($A276=SYear_O,BM$168*(1+Data_All!BM115%),BM275*(1+Data_All!BM115%)),"")</f>
        <v/>
      </c>
      <c r="BN276" s="427" t="str">
        <f>IF(AND($A276&gt;=SYear_O,$A276&lt;=EYear_O,BN$3&gt;0),IF($A276=SYear_O,BN$168*(1+Data_All!BN115%),BN275*(1+Data_All!BN115%)),"")</f>
        <v/>
      </c>
      <c r="BO276" s="427" t="str">
        <f>IF(AND($A276&gt;=SYear_O,$A276&lt;=EYear_O,BO$3&gt;0),IF($A276=SYear_O,BO$168*(1+Data_All!BO115%),BO275*(1+Data_All!BO115%)),"")</f>
        <v/>
      </c>
      <c r="BP276" s="427" t="str">
        <f>IF(AND($A276&gt;=SYear_O,$A276&lt;=EYear_O,BP$3&gt;0),IF($A276=SYear_O,BP$168*(1+Data_All!BP115%),BP275*(1+Data_All!BP115%)),"")</f>
        <v/>
      </c>
      <c r="BQ276" s="427" t="str">
        <f>IF(AND($A276&gt;=SYear_O,$A276&lt;=EYear_O,BQ$3&gt;0),IF($A276=SYear_O,BQ$168*(1+Data_All!BQ115%),BQ275*(1+Data_All!BQ115%)),"")</f>
        <v/>
      </c>
      <c r="BR276" s="427" t="str">
        <f>IF(AND($A276&gt;=SYear_O,$A276&lt;=EYear_O,BR$3&gt;0),IF($A276=SYear_O,BR$168*(1+Data_All!BR115%),BR275*(1+Data_All!BR115%)),"")</f>
        <v/>
      </c>
      <c r="BS276" s="427" t="str">
        <f>IF(AND($A276&gt;=SYear_O,$A276&lt;=EYear_O,BS$3&gt;0),IF($A276=SYear_O,BS$168*(1+Data_All!BS115%),BS275*(1+Data_All!BS115%)),"")</f>
        <v/>
      </c>
      <c r="BT276" s="427" t="str">
        <f>IF(AND($A276&gt;=SYear_O,$A276&lt;=EYear_O,BT$3&gt;0),IF($A276=SYear_O,BT$168*(1+Data_All!BT115%),BT275*(1+Data_All!BT115%)),"")</f>
        <v/>
      </c>
      <c r="BU276" s="427" t="str">
        <f>IF(AND($A276&gt;=SYear_O,$A276&lt;=EYear_O,BU$3&gt;0),IF($A276=SYear_O,BU$168*(1+Data_All!BU115%),BU275*(1+Data_All!BU115%)),"")</f>
        <v/>
      </c>
      <c r="BV276" s="427" t="str">
        <f>IF(AND($A276&gt;=SYear_O,$A276&lt;=EYear_O,BV$3&gt;0),IF($A276=SYear_O,BV$168*(1+Data_All!BV115%),BV275*(1+Data_All!BV115%)),"")</f>
        <v/>
      </c>
      <c r="BW276" s="427" t="str">
        <f>IF(AND($A276&gt;=SYear_O,$A276&lt;=EYear_O,BW$3&gt;0),IF($A276=SYear_O,BW$168*(1+Data_All!BW115%),BW275*(1+Data_All!BW115%)),"")</f>
        <v/>
      </c>
      <c r="BX276" s="427">
        <f>IF(AND($A276&gt;=SYear_O,$A276&lt;=EYear_O,BX$3&gt;0),IF($A276=SYear_O,BX$168*(1+Data_All!BX115%),BX275*(1+Data_All!BX115%)),"")</f>
        <v>23736084.702447988</v>
      </c>
      <c r="BY276" s="427">
        <f>IF(AND($A276&gt;=SYear_O,$A276&lt;=EYear_O,BY$3&gt;0),IF($A276=SYear_O,BY$168*(1+Data_All!BY115%),BY275*(1+Data_All!BY115%)),"")</f>
        <v>217077.45301723163</v>
      </c>
      <c r="BZ276" s="427" t="str">
        <f>IF(AND($A276&gt;=SYear_O,$A276&lt;=EYear_O,BZ$3&gt;0),IF($A276=SYear_O,BZ$168*(1+Data_All!BZ115%),BZ275*(1+Data_All!BZ115%)),"")</f>
        <v/>
      </c>
      <c r="CA276" s="565">
        <f t="shared" si="138"/>
        <v>15.957869031410651</v>
      </c>
      <c r="CB276" s="427">
        <f t="shared" si="139"/>
        <v>23953162.155465219</v>
      </c>
      <c r="CC276" s="565">
        <f>IF(AND($A276&gt;=SYear_O,$A276&lt;=EYear_O),(CA276-Data_All!CA115)/(1+Data_All!CA115%),"")</f>
        <v>6.3660807511167166</v>
      </c>
      <c r="CD276" s="436">
        <f t="shared" si="140"/>
        <v>4409950.8751641084</v>
      </c>
      <c r="CE276" s="438">
        <f t="shared" si="141"/>
        <v>2172.5335735553567</v>
      </c>
      <c r="CF276" s="438">
        <f>IF(AND($A276&gt;=SYear_O,$A276&lt;=EYear_O),MAX($CE$169:CE276),"")</f>
        <v>2172.5335735553567</v>
      </c>
      <c r="CG276" s="209">
        <f t="shared" si="142"/>
        <v>0</v>
      </c>
      <c r="CN276" s="61">
        <f t="shared" si="143"/>
        <v>0.15957869031410654</v>
      </c>
      <c r="CO276" s="61">
        <f t="shared" si="144"/>
        <v>0.19260247104043415</v>
      </c>
      <c r="CP276" s="61">
        <f t="shared" si="145"/>
        <v>0.15318294391990128</v>
      </c>
      <c r="CQ276" s="61">
        <f t="shared" si="146"/>
        <v>0.15607107244002072</v>
      </c>
      <c r="CR276" s="61">
        <f t="shared" si="147"/>
        <v>0.15491935144096036</v>
      </c>
      <c r="CU276" s="61">
        <f t="shared" si="148"/>
        <v>6.3660807511167095E-2</v>
      </c>
      <c r="CV276" s="61">
        <f t="shared" si="149"/>
        <v>6.8700402633066204E-2</v>
      </c>
      <c r="CW276" s="61">
        <f t="shared" si="150"/>
        <v>5.3480659282973297E-2</v>
      </c>
      <c r="CX276" s="61">
        <f t="shared" si="151"/>
        <v>8.6608538602676255E-2</v>
      </c>
      <c r="CY276" s="61">
        <f t="shared" si="152"/>
        <v>9.3013699457211496E-2</v>
      </c>
    </row>
    <row r="277" spans="1:103">
      <c r="A277" s="204">
        <f t="shared" si="107"/>
        <v>1979</v>
      </c>
      <c r="B277" s="427" t="str">
        <f>IF(AND($A277&gt;=SYear_O,$A277&lt;=EYear_O,B$3&gt;0),IF($A277=SYear_O,B$168*(1+Data_All!B116%),B276*(1+Data_All!B116%)),"")</f>
        <v/>
      </c>
      <c r="C277" s="427" t="str">
        <f>IF(AND($A277&gt;=SYear_O,$A277&lt;=EYear_O,C$3&gt;0),IF($A277=SYear_O,C$168*(1+Data_All!C116%),C276*(1+Data_All!C116%)),"")</f>
        <v/>
      </c>
      <c r="D277" s="427" t="str">
        <f>IF(AND($A277&gt;=SYear_O,$A277&lt;=EYear_O,D$3&gt;0),IF($A277=SYear_O,D$168*(1+Data_All!D116%),D276*(1+Data_All!D116%)),"")</f>
        <v/>
      </c>
      <c r="E277" s="427" t="str">
        <f>IF(AND($A277&gt;=SYear_O,$A277&lt;=EYear_O,E$3&gt;0),IF($A277=SYear_O,E$168*(1+Data_All!E116%),E276*(1+Data_All!E116%)),"")</f>
        <v/>
      </c>
      <c r="F277" s="427" t="str">
        <f>IF(AND($A277&gt;=SYear_O,$A277&lt;=EYear_O,F$3&gt;0),IF($A277=SYear_O,F$168*(1+Data_All!F116%),F276*(1+Data_All!F116%)),"")</f>
        <v/>
      </c>
      <c r="G277" s="427" t="str">
        <f>IF(AND($A277&gt;=SYear_O,$A277&lt;=EYear_O,G$3&gt;0),IF($A277=SYear_O,G$168*(1+Data_All!G116%),G276*(1+Data_All!G116%)),"")</f>
        <v/>
      </c>
      <c r="H277" s="427" t="str">
        <f>IF(AND($A277&gt;=SYear_O,$A277&lt;=EYear_O,H$3&gt;0),IF($A277=SYear_O,H$168*(1+Data_All!H116%),H276*(1+Data_All!H116%)),"")</f>
        <v/>
      </c>
      <c r="I277" s="427" t="str">
        <f>IF(AND($A277&gt;=SYear_O,$A277&lt;=EYear_O,I$3&gt;0),IF($A277=SYear_O,I$168*(1+Data_All!I116%),I276*(1+Data_All!I116%)),"")</f>
        <v/>
      </c>
      <c r="J277" s="427" t="str">
        <f>IF(AND($A277&gt;=SYear_O,$A277&lt;=EYear_O,J$3&gt;0),IF($A277=SYear_O,J$168*(1+Data_All!J116%),J276*(1+Data_All!J116%)),"")</f>
        <v/>
      </c>
      <c r="K277" s="427" t="str">
        <f>IF(AND($A277&gt;=SYear_O,$A277&lt;=EYear_O,K$3&gt;0),IF($A277=SYear_O,K$168*(1+Data_All!K116%),K276*(1+Data_All!K116%)),"")</f>
        <v/>
      </c>
      <c r="L277" s="427" t="str">
        <f>IF(AND($A277&gt;=SYear_O,$A277&lt;=EYear_O,L$3&gt;0),IF($A277=SYear_O,L$168*(1+Data_All!L116%),L276*(1+Data_All!L116%)),"")</f>
        <v/>
      </c>
      <c r="M277" s="427" t="str">
        <f>IF(AND($A277&gt;=SYear_O,$A277&lt;=EYear_O,M$3&gt;0),IF($A277=SYear_O,M$168*(1+Data_All!M116%),M276*(1+Data_All!M116%)),"")</f>
        <v/>
      </c>
      <c r="N277" s="427" t="str">
        <f>IF(AND($A277&gt;=SYear_O,$A277&lt;=EYear_O,N$3&gt;0),IF($A277=SYear_O,N$168*(1+Data_All!N116%),N276*(1+Data_All!N116%)),"")</f>
        <v/>
      </c>
      <c r="O277" s="427" t="str">
        <f>IF(AND($A277&gt;=SYear_O,$A277&lt;=EYear_O,O$3&gt;0),IF($A277=SYear_O,O$168*(1+Data_All!O116%),O276*(1+Data_All!O116%)),"")</f>
        <v/>
      </c>
      <c r="P277" s="427" t="str">
        <f>IF(AND($A277&gt;=SYear_O,$A277&lt;=EYear_O,P$3&gt;0),IF($A277=SYear_O,P$168*(1+Data_All!P116%),P276*(1+Data_All!P116%)),"")</f>
        <v/>
      </c>
      <c r="Q277" s="427" t="str">
        <f>IF(AND($A277&gt;=SYear_O,$A277&lt;=EYear_O,Q$3&gt;0),IF($A277=SYear_O,Q$168*(1+Data_All!Q116%),Q276*(1+Data_All!Q116%)),"")</f>
        <v/>
      </c>
      <c r="R277" s="427" t="str">
        <f>IF(AND($A277&gt;=SYear_O,$A277&lt;=EYear_O,R$3&gt;0),IF($A277=SYear_O,R$168*(1+Data_All!R116%),R276*(1+Data_All!R116%)),"")</f>
        <v/>
      </c>
      <c r="S277" s="427" t="str">
        <f>IF(AND($A277&gt;=SYear_O,$A277&lt;=EYear_O,S$3&gt;0),IF($A277=SYear_O,S$168*(1+Data_All!S116%),S276*(1+Data_All!S116%)),"")</f>
        <v/>
      </c>
      <c r="T277" s="427" t="str">
        <f>IF(AND($A277&gt;=SYear_O,$A277&lt;=EYear_O,T$3&gt;0),IF($A277=SYear_O,T$168*(1+Data_All!T116%),T276*(1+Data_All!T116%)),"")</f>
        <v/>
      </c>
      <c r="U277" s="427" t="str">
        <f>IF(AND($A277&gt;=SYear_O,$A277&lt;=EYear_O,U$3&gt;0),IF($A277=SYear_O,U$168*(1+Data_All!U116%),U276*(1+Data_All!U116%)),"")</f>
        <v/>
      </c>
      <c r="V277" s="427" t="str">
        <f>IF(AND($A277&gt;=SYear_O,$A277&lt;=EYear_O,V$3&gt;0),IF($A277=SYear_O,V$168*(1+Data_All!V116%),V276*(1+Data_All!V116%)),"")</f>
        <v/>
      </c>
      <c r="W277" s="427" t="str">
        <f>IF(AND($A277&gt;=SYear_O,$A277&lt;=EYear_O,W$3&gt;0),IF($A277=SYear_O,W$168*(1+Data_All!W116%),W276*(1+Data_All!W116%)),"")</f>
        <v/>
      </c>
      <c r="X277" s="427" t="str">
        <f>IF(AND($A277&gt;=SYear_O,$A277&lt;=EYear_O,X$3&gt;0),IF($A277=SYear_O,X$168*(1+Data_All!X116%),X276*(1+Data_All!X116%)),"")</f>
        <v/>
      </c>
      <c r="Y277" s="427" t="str">
        <f>IF(AND($A277&gt;=SYear_O,$A277&lt;=EYear_O,Y$3&gt;0),IF($A277=SYear_O,Y$168*(1+Data_All!Y116%),Y276*(1+Data_All!Y116%)),"")</f>
        <v/>
      </c>
      <c r="Z277" s="427" t="str">
        <f>IF(AND($A277&gt;=SYear_O,$A277&lt;=EYear_O,Z$3&gt;0),IF($A277=SYear_O,Z$168*(1+Data_All!Z116%),Z276*(1+Data_All!Z116%)),"")</f>
        <v/>
      </c>
      <c r="AA277" s="427" t="str">
        <f>IF(AND($A277&gt;=SYear_O,$A277&lt;=EYear_O,AA$3&gt;0),IF($A277=SYear_O,AA$168*(1+Data_All!AA116%),AA276*(1+Data_All!AA116%)),"")</f>
        <v/>
      </c>
      <c r="AB277" s="427" t="str">
        <f>IF(AND($A277&gt;=SYear_O,$A277&lt;=EYear_O,AB$3&gt;0),IF($A277=SYear_O,AB$168*(1+Data_All!AB116%),AB276*(1+Data_All!AB116%)),"")</f>
        <v/>
      </c>
      <c r="AC277" s="427" t="str">
        <f>IF(AND($A277&gt;=SYear_O,$A277&lt;=EYear_O,AC$3&gt;0),IF($A277=SYear_O,AC$168*(1+Data_All!AC116%),AC276*(1+Data_All!AC116%)),"")</f>
        <v/>
      </c>
      <c r="AD277" s="427" t="str">
        <f>IF(AND($A277&gt;=SYear_O,$A277&lt;=EYear_O,AD$3&gt;0),IF($A277=SYear_O,AD$168*(1+Data_All!AD116%),AD276*(1+Data_All!AD116%)),"")</f>
        <v/>
      </c>
      <c r="AE277" s="427" t="str">
        <f>IF(AND($A277&gt;=SYear_O,$A277&lt;=EYear_O,AE$3&gt;0),IF($A277=SYear_O,AE$168*(1+Data_All!AE116%),AE276*(1+Data_All!AE116%)),"")</f>
        <v/>
      </c>
      <c r="AF277" s="427" t="str">
        <f>IF(AND($A277&gt;=SYear_O,$A277&lt;=EYear_O,AF$3&gt;0),IF($A277=SYear_O,AF$168*(1+Data_All!AF116%),AF276*(1+Data_All!AF116%)),"")</f>
        <v/>
      </c>
      <c r="AG277" s="427" t="str">
        <f>IF(AND($A277&gt;=SYear_O,$A277&lt;=EYear_O,AG$3&gt;0),IF($A277=SYear_O,AG$168*(1+Data_All!AG116%),AG276*(1+Data_All!AG116%)),"")</f>
        <v/>
      </c>
      <c r="AH277" s="427" t="str">
        <f>IF(AND($A277&gt;=SYear_O,$A277&lt;=EYear_O,AH$3&gt;0),IF($A277=SYear_O,AH$168*(1+Data_All!AH116%),AH276*(1+Data_All!AH116%)),"")</f>
        <v/>
      </c>
      <c r="AI277" s="427" t="str">
        <f>IF(AND($A277&gt;=SYear_O,$A277&lt;=EYear_O,AI$3&gt;0),IF($A277=SYear_O,AI$168*(1+Data_All!AI116%),AI276*(1+Data_All!AI116%)),"")</f>
        <v/>
      </c>
      <c r="AJ277" s="427" t="str">
        <f>IF(AND($A277&gt;=SYear_O,$A277&lt;=EYear_O,AJ$3&gt;0),IF($A277=SYear_O,AJ$168*(1+Data_All!AJ116%),AJ276*(1+Data_All!AJ116%)),"")</f>
        <v/>
      </c>
      <c r="AK277" s="427" t="str">
        <f>IF(AND($A277&gt;=SYear_O,$A277&lt;=EYear_O,AK$3&gt;0),IF($A277=SYear_O,AK$168*(1+Data_All!AK116%),AK276*(1+Data_All!AK116%)),"")</f>
        <v/>
      </c>
      <c r="AL277" s="427" t="str">
        <f>IF(AND($A277&gt;=SYear_O,$A277&lt;=EYear_O,AL$3&gt;0),IF($A277=SYear_O,AL$168*(1+Data_All!AL116%),AL276*(1+Data_All!AL116%)),"")</f>
        <v/>
      </c>
      <c r="AM277" s="427" t="str">
        <f>IF(AND($A277&gt;=SYear_O,$A277&lt;=EYear_O,AM$3&gt;0),IF($A277=SYear_O,AM$168*(1+Data_All!AM116%),AM276*(1+Data_All!AM116%)),"")</f>
        <v/>
      </c>
      <c r="AN277" s="427" t="str">
        <f>IF(AND($A277&gt;=SYear_O,$A277&lt;=EYear_O,AN$3&gt;0),IF($A277=SYear_O,AN$168*(1+Data_All!AN116%),AN276*(1+Data_All!AN116%)),"")</f>
        <v/>
      </c>
      <c r="AO277" s="427" t="str">
        <f>IF(AND($A277&gt;=SYear_O,$A277&lt;=EYear_O,AO$3&gt;0),IF($A277=SYear_O,AO$168*(1+Data_All!AO116%),AO276*(1+Data_All!AO116%)),"")</f>
        <v/>
      </c>
      <c r="AP277" s="427" t="str">
        <f>IF(AND($A277&gt;=SYear_O,$A277&lt;=EYear_O,AP$3&gt;0),IF($A277=SYear_O,AP$168*(1+Data_All!AP116%),AP276*(1+Data_All!AP116%)),"")</f>
        <v/>
      </c>
      <c r="AQ277" s="427" t="str">
        <f>IF(AND($A277&gt;=SYear_O,$A277&lt;=EYear_O,AQ$3&gt;0),IF($A277=SYear_O,AQ$168*(1+Data_All!AQ116%),AQ276*(1+Data_All!AQ116%)),"")</f>
        <v/>
      </c>
      <c r="AR277" s="427" t="str">
        <f>IF(AND($A277&gt;=SYear_O,$A277&lt;=EYear_O,AR$3&gt;0),IF($A277=SYear_O,AR$168*(1+Data_All!AR116%),AR276*(1+Data_All!AR116%)),"")</f>
        <v/>
      </c>
      <c r="AS277" s="427" t="str">
        <f>IF(AND($A277&gt;=SYear_O,$A277&lt;=EYear_O,AS$3&gt;0),IF($A277=SYear_O,AS$168*(1+Data_All!AS116%),AS276*(1+Data_All!AS116%)),"")</f>
        <v/>
      </c>
      <c r="AT277" s="427" t="str">
        <f>IF(AND($A277&gt;=SYear_O,$A277&lt;=EYear_O,AT$3&gt;0),IF($A277=SYear_O,AT$168*(1+Data_All!AT116%),AT276*(1+Data_All!AT116%)),"")</f>
        <v/>
      </c>
      <c r="AU277" s="427" t="str">
        <f>IF(AND($A277&gt;=SYear_O,$A277&lt;=EYear_O,AU$3&gt;0),IF($A277=SYear_O,AU$168*(1+Data_All!AU116%),AU276*(1+Data_All!AU116%)),"")</f>
        <v/>
      </c>
      <c r="AV277" s="427" t="str">
        <f>IF(AND($A277&gt;=SYear_O,$A277&lt;=EYear_O,AV$3&gt;0),IF($A277=SYear_O,AV$168*(1+Data_All!AV116%),AV276*(1+Data_All!AV116%)),"")</f>
        <v/>
      </c>
      <c r="AW277" s="427" t="str">
        <f>IF(AND($A277&gt;=SYear_O,$A277&lt;=EYear_O,AW$3&gt;0),IF($A277=SYear_O,AW$168*(1+Data_All!AW116%),AW276*(1+Data_All!AW116%)),"")</f>
        <v/>
      </c>
      <c r="AX277" s="427" t="str">
        <f>IF(AND($A277&gt;=SYear_O,$A277&lt;=EYear_O,AX$3&gt;0),IF($A277=SYear_O,AX$168*(1+Data_All!AX116%),AX276*(1+Data_All!AX116%)),"")</f>
        <v/>
      </c>
      <c r="AY277" s="427" t="str">
        <f>IF(AND($A277&gt;=SYear_O,$A277&lt;=EYear_O,AY$3&gt;0),IF($A277=SYear_O,AY$168*(1+Data_All!AY116%),AY276*(1+Data_All!AY116%)),"")</f>
        <v/>
      </c>
      <c r="AZ277" s="427" t="str">
        <f>IF(AND($A277&gt;=SYear_O,$A277&lt;=EYear_O,AZ$3&gt;0),IF($A277=SYear_O,AZ$168*(1+Data_All!AZ116%),AZ276*(1+Data_All!AZ116%)),"")</f>
        <v/>
      </c>
      <c r="BA277" s="427" t="str">
        <f>IF(AND($A277&gt;=SYear_O,$A277&lt;=EYear_O,BA$3&gt;0),IF($A277=SYear_O,BA$168*(1+Data_All!BA116%),BA276*(1+Data_All!BA116%)),"")</f>
        <v/>
      </c>
      <c r="BB277" s="427" t="str">
        <f>IF(AND($A277&gt;=SYear_O,$A277&lt;=EYear_O,BB$3&gt;0),IF($A277=SYear_O,BB$168*(1+Data_All!BB116%),BB276*(1+Data_All!BB116%)),"")</f>
        <v/>
      </c>
      <c r="BC277" s="427" t="str">
        <f>IF(AND($A277&gt;=SYear_O,$A277&lt;=EYear_O,BC$3&gt;0),IF($A277=SYear_O,BC$168*(1+Data_All!BC116%),BC276*(1+Data_All!BC116%)),"")</f>
        <v/>
      </c>
      <c r="BD277" s="427" t="str">
        <f>IF(AND($A277&gt;=SYear_O,$A277&lt;=EYear_O,BD$3&gt;0),IF($A277=SYear_O,BD$168*(1+Data_All!BD116%),BD276*(1+Data_All!BD116%)),"")</f>
        <v/>
      </c>
      <c r="BE277" s="427" t="str">
        <f>IF(AND($A277&gt;=SYear_O,$A277&lt;=EYear_O,BE$3&gt;0),IF($A277=SYear_O,BE$168*(1+Data_All!BE116%),BE276*(1+Data_All!BE116%)),"")</f>
        <v/>
      </c>
      <c r="BF277" s="427" t="str">
        <f>IF(AND($A277&gt;=SYear_O,$A277&lt;=EYear_O,BF$3&gt;0),IF($A277=SYear_O,BF$168*(1+Data_All!BF116%),BF276*(1+Data_All!BF116%)),"")</f>
        <v/>
      </c>
      <c r="BG277" s="427" t="str">
        <f>IF(AND($A277&gt;=SYear_O,$A277&lt;=EYear_O,BG$3&gt;0),IF($A277=SYear_O,BG$168*(1+Data_All!BG116%),BG276*(1+Data_All!BG116%)),"")</f>
        <v/>
      </c>
      <c r="BH277" s="427" t="str">
        <f>IF(AND($A277&gt;=SYear_O,$A277&lt;=EYear_O,BH$3&gt;0),IF($A277=SYear_O,BH$168*(1+Data_All!BH116%),BH276*(1+Data_All!BH116%)),"")</f>
        <v/>
      </c>
      <c r="BI277" s="427" t="str">
        <f>IF(AND($A277&gt;=SYear_O,$A277&lt;=EYear_O,BI$3&gt;0),IF($A277=SYear_O,BI$168*(1+Data_All!BI116%),BI276*(1+Data_All!BI116%)),"")</f>
        <v/>
      </c>
      <c r="BJ277" s="427" t="str">
        <f>IF(AND($A277&gt;=SYear_O,$A277&lt;=EYear_O,BJ$3&gt;0),IF($A277=SYear_O,BJ$168*(1+Data_All!BJ116%),BJ276*(1+Data_All!BJ116%)),"")</f>
        <v/>
      </c>
      <c r="BK277" s="427" t="str">
        <f>IF(AND($A277&gt;=SYear_O,$A277&lt;=EYear_O,BK$3&gt;0),IF($A277=SYear_O,BK$168*(1+Data_All!BK116%),BK276*(1+Data_All!BK116%)),"")</f>
        <v/>
      </c>
      <c r="BL277" s="427" t="str">
        <f>IF(AND($A277&gt;=SYear_O,$A277&lt;=EYear_O,BL$3&gt;0),IF($A277=SYear_O,BL$168*(1+Data_All!BL116%),BL276*(1+Data_All!BL116%)),"")</f>
        <v/>
      </c>
      <c r="BM277" s="427" t="str">
        <f>IF(AND($A277&gt;=SYear_O,$A277&lt;=EYear_O,BM$3&gt;0),IF($A277=SYear_O,BM$168*(1+Data_All!BM116%),BM276*(1+Data_All!BM116%)),"")</f>
        <v/>
      </c>
      <c r="BN277" s="427" t="str">
        <f>IF(AND($A277&gt;=SYear_O,$A277&lt;=EYear_O,BN$3&gt;0),IF($A277=SYear_O,BN$168*(1+Data_All!BN116%),BN276*(1+Data_All!BN116%)),"")</f>
        <v/>
      </c>
      <c r="BO277" s="427" t="str">
        <f>IF(AND($A277&gt;=SYear_O,$A277&lt;=EYear_O,BO$3&gt;0),IF($A277=SYear_O,BO$168*(1+Data_All!BO116%),BO276*(1+Data_All!BO116%)),"")</f>
        <v/>
      </c>
      <c r="BP277" s="427" t="str">
        <f>IF(AND($A277&gt;=SYear_O,$A277&lt;=EYear_O,BP$3&gt;0),IF($A277=SYear_O,BP$168*(1+Data_All!BP116%),BP276*(1+Data_All!BP116%)),"")</f>
        <v/>
      </c>
      <c r="BQ277" s="427" t="str">
        <f>IF(AND($A277&gt;=SYear_O,$A277&lt;=EYear_O,BQ$3&gt;0),IF($A277=SYear_O,BQ$168*(1+Data_All!BQ116%),BQ276*(1+Data_All!BQ116%)),"")</f>
        <v/>
      </c>
      <c r="BR277" s="427" t="str">
        <f>IF(AND($A277&gt;=SYear_O,$A277&lt;=EYear_O,BR$3&gt;0),IF($A277=SYear_O,BR$168*(1+Data_All!BR116%),BR276*(1+Data_All!BR116%)),"")</f>
        <v/>
      </c>
      <c r="BS277" s="427" t="str">
        <f>IF(AND($A277&gt;=SYear_O,$A277&lt;=EYear_O,BS$3&gt;0),IF($A277=SYear_O,BS$168*(1+Data_All!BS116%),BS276*(1+Data_All!BS116%)),"")</f>
        <v/>
      </c>
      <c r="BT277" s="427" t="str">
        <f>IF(AND($A277&gt;=SYear_O,$A277&lt;=EYear_O,BT$3&gt;0),IF($A277=SYear_O,BT$168*(1+Data_All!BT116%),BT276*(1+Data_All!BT116%)),"")</f>
        <v/>
      </c>
      <c r="BU277" s="427" t="str">
        <f>IF(AND($A277&gt;=SYear_O,$A277&lt;=EYear_O,BU$3&gt;0),IF($A277=SYear_O,BU$168*(1+Data_All!BU116%),BU276*(1+Data_All!BU116%)),"")</f>
        <v/>
      </c>
      <c r="BV277" s="427" t="str">
        <f>IF(AND($A277&gt;=SYear_O,$A277&lt;=EYear_O,BV$3&gt;0),IF($A277=SYear_O,BV$168*(1+Data_All!BV116%),BV276*(1+Data_All!BV116%)),"")</f>
        <v/>
      </c>
      <c r="BW277" s="427" t="str">
        <f>IF(AND($A277&gt;=SYear_O,$A277&lt;=EYear_O,BW$3&gt;0),IF($A277=SYear_O,BW$168*(1+Data_All!BW116%),BW276*(1+Data_All!BW116%)),"")</f>
        <v/>
      </c>
      <c r="BX277" s="427">
        <f>IF(AND($A277&gt;=SYear_O,$A277&lt;=EYear_O,BX$3&gt;0),IF($A277=SYear_O,BX$168*(1+Data_All!BX116%),BX276*(1+Data_All!BX116%)),"")</f>
        <v>27737725.298658509</v>
      </c>
      <c r="BY277" s="427">
        <f>IF(AND($A277&gt;=SYear_O,$A277&lt;=EYear_O,BY$3&gt;0),IF($A277=SYear_O,BY$168*(1+Data_All!BY116%),BY276*(1+Data_All!BY116%)),"")</f>
        <v>223105.37735552251</v>
      </c>
      <c r="BZ277" s="427" t="str">
        <f>IF(AND($A277&gt;=SYear_O,$A277&lt;=EYear_O,BZ$3&gt;0),IF($A277=SYear_O,BZ$168*(1+Data_All!BZ116%),BZ276*(1+Data_All!BZ116%)),"")</f>
        <v/>
      </c>
      <c r="CA277" s="565">
        <f t="shared" si="138"/>
        <v>16.731271197253648</v>
      </c>
      <c r="CB277" s="427">
        <f t="shared" si="139"/>
        <v>27960830.676014032</v>
      </c>
      <c r="CC277" s="565">
        <f>IF(AND($A277&gt;=SYear_O,$A277&lt;=EYear_O),(CA277-Data_All!CA116)/(1+Data_All!CA116%),"")</f>
        <v>3.0339903527258429</v>
      </c>
      <c r="CD277" s="436">
        <f t="shared" si="140"/>
        <v>4543748.3592765369</v>
      </c>
      <c r="CE277" s="438">
        <f t="shared" si="141"/>
        <v>2536.0260575982893</v>
      </c>
      <c r="CF277" s="438">
        <f>IF(AND($A277&gt;=SYear_O,$A277&lt;=EYear_O),MAX($CE$169:CE277),"")</f>
        <v>2536.0260575982893</v>
      </c>
      <c r="CG277" s="209">
        <f t="shared" si="142"/>
        <v>0</v>
      </c>
      <c r="CN277" s="61">
        <f t="shared" si="143"/>
        <v>0.16731271197253639</v>
      </c>
      <c r="CO277" s="61">
        <f t="shared" si="144"/>
        <v>0.10910959595391656</v>
      </c>
      <c r="CP277" s="61">
        <f t="shared" si="145"/>
        <v>0.16137458647273584</v>
      </c>
      <c r="CQ277" s="61">
        <f t="shared" si="146"/>
        <v>0.15784739537045378</v>
      </c>
      <c r="CR277" s="61">
        <f t="shared" si="147"/>
        <v>0.15194550884479452</v>
      </c>
      <c r="CU277" s="61">
        <f t="shared" si="148"/>
        <v>3.0339903527258461E-2</v>
      </c>
      <c r="CV277" s="61">
        <f t="shared" si="149"/>
        <v>-5.8282890805280152E-3</v>
      </c>
      <c r="CW277" s="61">
        <f t="shared" si="150"/>
        <v>7.1440758095825396E-2</v>
      </c>
      <c r="CX277" s="61">
        <f t="shared" si="151"/>
        <v>9.2978163219177956E-2</v>
      </c>
      <c r="CY277" s="61">
        <f t="shared" si="152"/>
        <v>9.4512381616330687E-2</v>
      </c>
    </row>
    <row r="278" spans="1:103">
      <c r="A278" s="204">
        <f t="shared" si="107"/>
        <v>1980</v>
      </c>
      <c r="B278" s="427" t="str">
        <f>IF(AND($A278&gt;=SYear_O,$A278&lt;=EYear_O,B$3&gt;0),IF($A278=SYear_O,B$168*(1+Data_All!B117%),B277*(1+Data_All!B117%)),"")</f>
        <v/>
      </c>
      <c r="C278" s="427" t="str">
        <f>IF(AND($A278&gt;=SYear_O,$A278&lt;=EYear_O,C$3&gt;0),IF($A278=SYear_O,C$168*(1+Data_All!C117%),C277*(1+Data_All!C117%)),"")</f>
        <v/>
      </c>
      <c r="D278" s="427" t="str">
        <f>IF(AND($A278&gt;=SYear_O,$A278&lt;=EYear_O,D$3&gt;0),IF($A278=SYear_O,D$168*(1+Data_All!D117%),D277*(1+Data_All!D117%)),"")</f>
        <v/>
      </c>
      <c r="E278" s="427" t="str">
        <f>IF(AND($A278&gt;=SYear_O,$A278&lt;=EYear_O,E$3&gt;0),IF($A278=SYear_O,E$168*(1+Data_All!E117%),E277*(1+Data_All!E117%)),"")</f>
        <v/>
      </c>
      <c r="F278" s="427" t="str">
        <f>IF(AND($A278&gt;=SYear_O,$A278&lt;=EYear_O,F$3&gt;0),IF($A278=SYear_O,F$168*(1+Data_All!F117%),F277*(1+Data_All!F117%)),"")</f>
        <v/>
      </c>
      <c r="G278" s="427" t="str">
        <f>IF(AND($A278&gt;=SYear_O,$A278&lt;=EYear_O,G$3&gt;0),IF($A278=SYear_O,G$168*(1+Data_All!G117%),G277*(1+Data_All!G117%)),"")</f>
        <v/>
      </c>
      <c r="H278" s="427" t="str">
        <f>IF(AND($A278&gt;=SYear_O,$A278&lt;=EYear_O,H$3&gt;0),IF($A278=SYear_O,H$168*(1+Data_All!H117%),H277*(1+Data_All!H117%)),"")</f>
        <v/>
      </c>
      <c r="I278" s="427" t="str">
        <f>IF(AND($A278&gt;=SYear_O,$A278&lt;=EYear_O,I$3&gt;0),IF($A278=SYear_O,I$168*(1+Data_All!I117%),I277*(1+Data_All!I117%)),"")</f>
        <v/>
      </c>
      <c r="J278" s="427" t="str">
        <f>IF(AND($A278&gt;=SYear_O,$A278&lt;=EYear_O,J$3&gt;0),IF($A278=SYear_O,J$168*(1+Data_All!J117%),J277*(1+Data_All!J117%)),"")</f>
        <v/>
      </c>
      <c r="K278" s="427" t="str">
        <f>IF(AND($A278&gt;=SYear_O,$A278&lt;=EYear_O,K$3&gt;0),IF($A278=SYear_O,K$168*(1+Data_All!K117%),K277*(1+Data_All!K117%)),"")</f>
        <v/>
      </c>
      <c r="L278" s="427" t="str">
        <f>IF(AND($A278&gt;=SYear_O,$A278&lt;=EYear_O,L$3&gt;0),IF($A278=SYear_O,L$168*(1+Data_All!L117%),L277*(1+Data_All!L117%)),"")</f>
        <v/>
      </c>
      <c r="M278" s="427" t="str">
        <f>IF(AND($A278&gt;=SYear_O,$A278&lt;=EYear_O,M$3&gt;0),IF($A278=SYear_O,M$168*(1+Data_All!M117%),M277*(1+Data_All!M117%)),"")</f>
        <v/>
      </c>
      <c r="N278" s="427" t="str">
        <f>IF(AND($A278&gt;=SYear_O,$A278&lt;=EYear_O,N$3&gt;0),IF($A278=SYear_O,N$168*(1+Data_All!N117%),N277*(1+Data_All!N117%)),"")</f>
        <v/>
      </c>
      <c r="O278" s="427" t="str">
        <f>IF(AND($A278&gt;=SYear_O,$A278&lt;=EYear_O,O$3&gt;0),IF($A278=SYear_O,O$168*(1+Data_All!O117%),O277*(1+Data_All!O117%)),"")</f>
        <v/>
      </c>
      <c r="P278" s="427" t="str">
        <f>IF(AND($A278&gt;=SYear_O,$A278&lt;=EYear_O,P$3&gt;0),IF($A278=SYear_O,P$168*(1+Data_All!P117%),P277*(1+Data_All!P117%)),"")</f>
        <v/>
      </c>
      <c r="Q278" s="427" t="str">
        <f>IF(AND($A278&gt;=SYear_O,$A278&lt;=EYear_O,Q$3&gt;0),IF($A278=SYear_O,Q$168*(1+Data_All!Q117%),Q277*(1+Data_All!Q117%)),"")</f>
        <v/>
      </c>
      <c r="R278" s="427" t="str">
        <f>IF(AND($A278&gt;=SYear_O,$A278&lt;=EYear_O,R$3&gt;0),IF($A278=SYear_O,R$168*(1+Data_All!R117%),R277*(1+Data_All!R117%)),"")</f>
        <v/>
      </c>
      <c r="S278" s="427" t="str">
        <f>IF(AND($A278&gt;=SYear_O,$A278&lt;=EYear_O,S$3&gt;0),IF($A278=SYear_O,S$168*(1+Data_All!S117%),S277*(1+Data_All!S117%)),"")</f>
        <v/>
      </c>
      <c r="T278" s="427" t="str">
        <f>IF(AND($A278&gt;=SYear_O,$A278&lt;=EYear_O,T$3&gt;0),IF($A278=SYear_O,T$168*(1+Data_All!T117%),T277*(1+Data_All!T117%)),"")</f>
        <v/>
      </c>
      <c r="U278" s="427" t="str">
        <f>IF(AND($A278&gt;=SYear_O,$A278&lt;=EYear_O,U$3&gt;0),IF($A278=SYear_O,U$168*(1+Data_All!U117%),U277*(1+Data_All!U117%)),"")</f>
        <v/>
      </c>
      <c r="V278" s="427" t="str">
        <f>IF(AND($A278&gt;=SYear_O,$A278&lt;=EYear_O,V$3&gt;0),IF($A278=SYear_O,V$168*(1+Data_All!V117%),V277*(1+Data_All!V117%)),"")</f>
        <v/>
      </c>
      <c r="W278" s="427" t="str">
        <f>IF(AND($A278&gt;=SYear_O,$A278&lt;=EYear_O,W$3&gt;0),IF($A278=SYear_O,W$168*(1+Data_All!W117%),W277*(1+Data_All!W117%)),"")</f>
        <v/>
      </c>
      <c r="X278" s="427" t="str">
        <f>IF(AND($A278&gt;=SYear_O,$A278&lt;=EYear_O,X$3&gt;0),IF($A278=SYear_O,X$168*(1+Data_All!X117%),X277*(1+Data_All!X117%)),"")</f>
        <v/>
      </c>
      <c r="Y278" s="427" t="str">
        <f>IF(AND($A278&gt;=SYear_O,$A278&lt;=EYear_O,Y$3&gt;0),IF($A278=SYear_O,Y$168*(1+Data_All!Y117%),Y277*(1+Data_All!Y117%)),"")</f>
        <v/>
      </c>
      <c r="Z278" s="427" t="str">
        <f>IF(AND($A278&gt;=SYear_O,$A278&lt;=EYear_O,Z$3&gt;0),IF($A278=SYear_O,Z$168*(1+Data_All!Z117%),Z277*(1+Data_All!Z117%)),"")</f>
        <v/>
      </c>
      <c r="AA278" s="427" t="str">
        <f>IF(AND($A278&gt;=SYear_O,$A278&lt;=EYear_O,AA$3&gt;0),IF($A278=SYear_O,AA$168*(1+Data_All!AA117%),AA277*(1+Data_All!AA117%)),"")</f>
        <v/>
      </c>
      <c r="AB278" s="427" t="str">
        <f>IF(AND($A278&gt;=SYear_O,$A278&lt;=EYear_O,AB$3&gt;0),IF($A278=SYear_O,AB$168*(1+Data_All!AB117%),AB277*(1+Data_All!AB117%)),"")</f>
        <v/>
      </c>
      <c r="AC278" s="427" t="str">
        <f>IF(AND($A278&gt;=SYear_O,$A278&lt;=EYear_O,AC$3&gt;0),IF($A278=SYear_O,AC$168*(1+Data_All!AC117%),AC277*(1+Data_All!AC117%)),"")</f>
        <v/>
      </c>
      <c r="AD278" s="427" t="str">
        <f>IF(AND($A278&gt;=SYear_O,$A278&lt;=EYear_O,AD$3&gt;0),IF($A278=SYear_O,AD$168*(1+Data_All!AD117%),AD277*(1+Data_All!AD117%)),"")</f>
        <v/>
      </c>
      <c r="AE278" s="427" t="str">
        <f>IF(AND($A278&gt;=SYear_O,$A278&lt;=EYear_O,AE$3&gt;0),IF($A278=SYear_O,AE$168*(1+Data_All!AE117%),AE277*(1+Data_All!AE117%)),"")</f>
        <v/>
      </c>
      <c r="AF278" s="427" t="str">
        <f>IF(AND($A278&gt;=SYear_O,$A278&lt;=EYear_O,AF$3&gt;0),IF($A278=SYear_O,AF$168*(1+Data_All!AF117%),AF277*(1+Data_All!AF117%)),"")</f>
        <v/>
      </c>
      <c r="AG278" s="427" t="str">
        <f>IF(AND($A278&gt;=SYear_O,$A278&lt;=EYear_O,AG$3&gt;0),IF($A278=SYear_O,AG$168*(1+Data_All!AG117%),AG277*(1+Data_All!AG117%)),"")</f>
        <v/>
      </c>
      <c r="AH278" s="427" t="str">
        <f>IF(AND($A278&gt;=SYear_O,$A278&lt;=EYear_O,AH$3&gt;0),IF($A278=SYear_O,AH$168*(1+Data_All!AH117%),AH277*(1+Data_All!AH117%)),"")</f>
        <v/>
      </c>
      <c r="AI278" s="427" t="str">
        <f>IF(AND($A278&gt;=SYear_O,$A278&lt;=EYear_O,AI$3&gt;0),IF($A278=SYear_O,AI$168*(1+Data_All!AI117%),AI277*(1+Data_All!AI117%)),"")</f>
        <v/>
      </c>
      <c r="AJ278" s="427" t="str">
        <f>IF(AND($A278&gt;=SYear_O,$A278&lt;=EYear_O,AJ$3&gt;0),IF($A278=SYear_O,AJ$168*(1+Data_All!AJ117%),AJ277*(1+Data_All!AJ117%)),"")</f>
        <v/>
      </c>
      <c r="AK278" s="427" t="str">
        <f>IF(AND($A278&gt;=SYear_O,$A278&lt;=EYear_O,AK$3&gt;0),IF($A278=SYear_O,AK$168*(1+Data_All!AK117%),AK277*(1+Data_All!AK117%)),"")</f>
        <v/>
      </c>
      <c r="AL278" s="427" t="str">
        <f>IF(AND($A278&gt;=SYear_O,$A278&lt;=EYear_O,AL$3&gt;0),IF($A278=SYear_O,AL$168*(1+Data_All!AL117%),AL277*(1+Data_All!AL117%)),"")</f>
        <v/>
      </c>
      <c r="AM278" s="427" t="str">
        <f>IF(AND($A278&gt;=SYear_O,$A278&lt;=EYear_O,AM$3&gt;0),IF($A278=SYear_O,AM$168*(1+Data_All!AM117%),AM277*(1+Data_All!AM117%)),"")</f>
        <v/>
      </c>
      <c r="AN278" s="427" t="str">
        <f>IF(AND($A278&gt;=SYear_O,$A278&lt;=EYear_O,AN$3&gt;0),IF($A278=SYear_O,AN$168*(1+Data_All!AN117%),AN277*(1+Data_All!AN117%)),"")</f>
        <v/>
      </c>
      <c r="AO278" s="427" t="str">
        <f>IF(AND($A278&gt;=SYear_O,$A278&lt;=EYear_O,AO$3&gt;0),IF($A278=SYear_O,AO$168*(1+Data_All!AO117%),AO277*(1+Data_All!AO117%)),"")</f>
        <v/>
      </c>
      <c r="AP278" s="427" t="str">
        <f>IF(AND($A278&gt;=SYear_O,$A278&lt;=EYear_O,AP$3&gt;0),IF($A278=SYear_O,AP$168*(1+Data_All!AP117%),AP277*(1+Data_All!AP117%)),"")</f>
        <v/>
      </c>
      <c r="AQ278" s="427" t="str">
        <f>IF(AND($A278&gt;=SYear_O,$A278&lt;=EYear_O,AQ$3&gt;0),IF($A278=SYear_O,AQ$168*(1+Data_All!AQ117%),AQ277*(1+Data_All!AQ117%)),"")</f>
        <v/>
      </c>
      <c r="AR278" s="427" t="str">
        <f>IF(AND($A278&gt;=SYear_O,$A278&lt;=EYear_O,AR$3&gt;0),IF($A278=SYear_O,AR$168*(1+Data_All!AR117%),AR277*(1+Data_All!AR117%)),"")</f>
        <v/>
      </c>
      <c r="AS278" s="427" t="str">
        <f>IF(AND($A278&gt;=SYear_O,$A278&lt;=EYear_O,AS$3&gt;0),IF($A278=SYear_O,AS$168*(1+Data_All!AS117%),AS277*(1+Data_All!AS117%)),"")</f>
        <v/>
      </c>
      <c r="AT278" s="427" t="str">
        <f>IF(AND($A278&gt;=SYear_O,$A278&lt;=EYear_O,AT$3&gt;0),IF($A278=SYear_O,AT$168*(1+Data_All!AT117%),AT277*(1+Data_All!AT117%)),"")</f>
        <v/>
      </c>
      <c r="AU278" s="427" t="str">
        <f>IF(AND($A278&gt;=SYear_O,$A278&lt;=EYear_O,AU$3&gt;0),IF($A278=SYear_O,AU$168*(1+Data_All!AU117%),AU277*(1+Data_All!AU117%)),"")</f>
        <v/>
      </c>
      <c r="AV278" s="427" t="str">
        <f>IF(AND($A278&gt;=SYear_O,$A278&lt;=EYear_O,AV$3&gt;0),IF($A278=SYear_O,AV$168*(1+Data_All!AV117%),AV277*(1+Data_All!AV117%)),"")</f>
        <v/>
      </c>
      <c r="AW278" s="427" t="str">
        <f>IF(AND($A278&gt;=SYear_O,$A278&lt;=EYear_O,AW$3&gt;0),IF($A278=SYear_O,AW$168*(1+Data_All!AW117%),AW277*(1+Data_All!AW117%)),"")</f>
        <v/>
      </c>
      <c r="AX278" s="427" t="str">
        <f>IF(AND($A278&gt;=SYear_O,$A278&lt;=EYear_O,AX$3&gt;0),IF($A278=SYear_O,AX$168*(1+Data_All!AX117%),AX277*(1+Data_All!AX117%)),"")</f>
        <v/>
      </c>
      <c r="AY278" s="427" t="str">
        <f>IF(AND($A278&gt;=SYear_O,$A278&lt;=EYear_O,AY$3&gt;0),IF($A278=SYear_O,AY$168*(1+Data_All!AY117%),AY277*(1+Data_All!AY117%)),"")</f>
        <v/>
      </c>
      <c r="AZ278" s="427" t="str">
        <f>IF(AND($A278&gt;=SYear_O,$A278&lt;=EYear_O,AZ$3&gt;0),IF($A278=SYear_O,AZ$168*(1+Data_All!AZ117%),AZ277*(1+Data_All!AZ117%)),"")</f>
        <v/>
      </c>
      <c r="BA278" s="427" t="str">
        <f>IF(AND($A278&gt;=SYear_O,$A278&lt;=EYear_O,BA$3&gt;0),IF($A278=SYear_O,BA$168*(1+Data_All!BA117%),BA277*(1+Data_All!BA117%)),"")</f>
        <v/>
      </c>
      <c r="BB278" s="427" t="str">
        <f>IF(AND($A278&gt;=SYear_O,$A278&lt;=EYear_O,BB$3&gt;0),IF($A278=SYear_O,BB$168*(1+Data_All!BB117%),BB277*(1+Data_All!BB117%)),"")</f>
        <v/>
      </c>
      <c r="BC278" s="427" t="str">
        <f>IF(AND($A278&gt;=SYear_O,$A278&lt;=EYear_O,BC$3&gt;0),IF($A278=SYear_O,BC$168*(1+Data_All!BC117%),BC277*(1+Data_All!BC117%)),"")</f>
        <v/>
      </c>
      <c r="BD278" s="427" t="str">
        <f>IF(AND($A278&gt;=SYear_O,$A278&lt;=EYear_O,BD$3&gt;0),IF($A278=SYear_O,BD$168*(1+Data_All!BD117%),BD277*(1+Data_All!BD117%)),"")</f>
        <v/>
      </c>
      <c r="BE278" s="427" t="str">
        <f>IF(AND($A278&gt;=SYear_O,$A278&lt;=EYear_O,BE$3&gt;0),IF($A278=SYear_O,BE$168*(1+Data_All!BE117%),BE277*(1+Data_All!BE117%)),"")</f>
        <v/>
      </c>
      <c r="BF278" s="427" t="str">
        <f>IF(AND($A278&gt;=SYear_O,$A278&lt;=EYear_O,BF$3&gt;0),IF($A278=SYear_O,BF$168*(1+Data_All!BF117%),BF277*(1+Data_All!BF117%)),"")</f>
        <v/>
      </c>
      <c r="BG278" s="427" t="str">
        <f>IF(AND($A278&gt;=SYear_O,$A278&lt;=EYear_O,BG$3&gt;0),IF($A278=SYear_O,BG$168*(1+Data_All!BG117%),BG277*(1+Data_All!BG117%)),"")</f>
        <v/>
      </c>
      <c r="BH278" s="427" t="str">
        <f>IF(AND($A278&gt;=SYear_O,$A278&lt;=EYear_O,BH$3&gt;0),IF($A278=SYear_O,BH$168*(1+Data_All!BH117%),BH277*(1+Data_All!BH117%)),"")</f>
        <v/>
      </c>
      <c r="BI278" s="427" t="str">
        <f>IF(AND($A278&gt;=SYear_O,$A278&lt;=EYear_O,BI$3&gt;0),IF($A278=SYear_O,BI$168*(1+Data_All!BI117%),BI277*(1+Data_All!BI117%)),"")</f>
        <v/>
      </c>
      <c r="BJ278" s="427" t="str">
        <f>IF(AND($A278&gt;=SYear_O,$A278&lt;=EYear_O,BJ$3&gt;0),IF($A278=SYear_O,BJ$168*(1+Data_All!BJ117%),BJ277*(1+Data_All!BJ117%)),"")</f>
        <v/>
      </c>
      <c r="BK278" s="427" t="str">
        <f>IF(AND($A278&gt;=SYear_O,$A278&lt;=EYear_O,BK$3&gt;0),IF($A278=SYear_O,BK$168*(1+Data_All!BK117%),BK277*(1+Data_All!BK117%)),"")</f>
        <v/>
      </c>
      <c r="BL278" s="427" t="str">
        <f>IF(AND($A278&gt;=SYear_O,$A278&lt;=EYear_O,BL$3&gt;0),IF($A278=SYear_O,BL$168*(1+Data_All!BL117%),BL277*(1+Data_All!BL117%)),"")</f>
        <v/>
      </c>
      <c r="BM278" s="427" t="str">
        <f>IF(AND($A278&gt;=SYear_O,$A278&lt;=EYear_O,BM$3&gt;0),IF($A278=SYear_O,BM$168*(1+Data_All!BM117%),BM277*(1+Data_All!BM117%)),"")</f>
        <v/>
      </c>
      <c r="BN278" s="427" t="str">
        <f>IF(AND($A278&gt;=SYear_O,$A278&lt;=EYear_O,BN$3&gt;0),IF($A278=SYear_O,BN$168*(1+Data_All!BN117%),BN277*(1+Data_All!BN117%)),"")</f>
        <v/>
      </c>
      <c r="BO278" s="427" t="str">
        <f>IF(AND($A278&gt;=SYear_O,$A278&lt;=EYear_O,BO$3&gt;0),IF($A278=SYear_O,BO$168*(1+Data_All!BO117%),BO277*(1+Data_All!BO117%)),"")</f>
        <v/>
      </c>
      <c r="BP278" s="427" t="str">
        <f>IF(AND($A278&gt;=SYear_O,$A278&lt;=EYear_O,BP$3&gt;0),IF($A278=SYear_O,BP$168*(1+Data_All!BP117%),BP277*(1+Data_All!BP117%)),"")</f>
        <v/>
      </c>
      <c r="BQ278" s="427" t="str">
        <f>IF(AND($A278&gt;=SYear_O,$A278&lt;=EYear_O,BQ$3&gt;0),IF($A278=SYear_O,BQ$168*(1+Data_All!BQ117%),BQ277*(1+Data_All!BQ117%)),"")</f>
        <v/>
      </c>
      <c r="BR278" s="427" t="str">
        <f>IF(AND($A278&gt;=SYear_O,$A278&lt;=EYear_O,BR$3&gt;0),IF($A278=SYear_O,BR$168*(1+Data_All!BR117%),BR277*(1+Data_All!BR117%)),"")</f>
        <v/>
      </c>
      <c r="BS278" s="427" t="str">
        <f>IF(AND($A278&gt;=SYear_O,$A278&lt;=EYear_O,BS$3&gt;0),IF($A278=SYear_O,BS$168*(1+Data_All!BS117%),BS277*(1+Data_All!BS117%)),"")</f>
        <v/>
      </c>
      <c r="BT278" s="427" t="str">
        <f>IF(AND($A278&gt;=SYear_O,$A278&lt;=EYear_O,BT$3&gt;0),IF($A278=SYear_O,BT$168*(1+Data_All!BT117%),BT277*(1+Data_All!BT117%)),"")</f>
        <v/>
      </c>
      <c r="BU278" s="427" t="str">
        <f>IF(AND($A278&gt;=SYear_O,$A278&lt;=EYear_O,BU$3&gt;0),IF($A278=SYear_O,BU$168*(1+Data_All!BU117%),BU277*(1+Data_All!BU117%)),"")</f>
        <v/>
      </c>
      <c r="BV278" s="427" t="str">
        <f>IF(AND($A278&gt;=SYear_O,$A278&lt;=EYear_O,BV$3&gt;0),IF($A278=SYear_O,BV$168*(1+Data_All!BV117%),BV277*(1+Data_All!BV117%)),"")</f>
        <v/>
      </c>
      <c r="BW278" s="427" t="str">
        <f>IF(AND($A278&gt;=SYear_O,$A278&lt;=EYear_O,BW$3&gt;0),IF($A278=SYear_O,BW$168*(1+Data_All!BW117%),BW277*(1+Data_All!BW117%)),"")</f>
        <v/>
      </c>
      <c r="BX278" s="427">
        <f>IF(AND($A278&gt;=SYear_O,$A278&lt;=EYear_O,BX$3&gt;0),IF($A278=SYear_O,BX$168*(1+Data_All!BX117%),BX277*(1+Data_All!BX117%)),"")</f>
        <v>34807880.588097394</v>
      </c>
      <c r="BY278" s="427">
        <f>IF(AND($A278&gt;=SYear_O,$A278&lt;=EYear_O,BY$3&gt;0),IF($A278=SYear_O,BY$168*(1+Data_All!BY117%),BY277*(1+Data_All!BY117%)),"")</f>
        <v>230961.30727954558</v>
      </c>
      <c r="BZ278" s="427" t="str">
        <f>IF(AND($A278&gt;=SYear_O,$A278&lt;=EYear_O,BZ$3&gt;0),IF($A278=SYear_O,BZ$168*(1+Data_All!BZ117%),BZ277*(1+Data_All!BZ117%)),"")</f>
        <v/>
      </c>
      <c r="CA278" s="565">
        <f t="shared" si="138"/>
        <v>25.314023397147199</v>
      </c>
      <c r="CB278" s="427">
        <f t="shared" si="139"/>
        <v>35038841.895376936</v>
      </c>
      <c r="CC278" s="565">
        <f>IF(AND($A278&gt;=SYear_O,$A278&lt;=EYear_O),(CA278-Data_All!CA117)/(1+Data_All!CA117%),"")</f>
        <v>11.37410885934173</v>
      </c>
      <c r="CD278" s="436">
        <f t="shared" si="140"/>
        <v>5060559.2439552043</v>
      </c>
      <c r="CE278" s="438">
        <f t="shared" si="141"/>
        <v>3177.9962871764701</v>
      </c>
      <c r="CF278" s="438">
        <f>IF(AND($A278&gt;=SYear_O,$A278&lt;=EYear_O),MAX($CE$169:CE278),"")</f>
        <v>3177.9962871764701</v>
      </c>
      <c r="CG278" s="209">
        <f t="shared" si="142"/>
        <v>0</v>
      </c>
      <c r="CN278" s="61">
        <f t="shared" si="143"/>
        <v>0.2531402339714719</v>
      </c>
      <c r="CO278" s="61">
        <f t="shared" si="144"/>
        <v>0.14639566999898812</v>
      </c>
      <c r="CP278" s="61">
        <f t="shared" si="145"/>
        <v>0.14282191354454343</v>
      </c>
      <c r="CQ278" s="61">
        <f t="shared" si="146"/>
        <v>0.16385510362688915</v>
      </c>
      <c r="CR278" s="61">
        <f t="shared" si="147"/>
        <v>0.14097520297646504</v>
      </c>
      <c r="CU278" s="61">
        <f t="shared" si="148"/>
        <v>0.11374108859341736</v>
      </c>
      <c r="CV278" s="61">
        <f t="shared" si="149"/>
        <v>5.7912428060147736E-2</v>
      </c>
      <c r="CW278" s="61">
        <f t="shared" si="150"/>
        <v>7.2634985329687041E-2</v>
      </c>
      <c r="CX278" s="61">
        <f t="shared" si="151"/>
        <v>0.10740618072018271</v>
      </c>
      <c r="CY278" s="61">
        <f t="shared" si="152"/>
        <v>9.1225342638051155E-2</v>
      </c>
    </row>
    <row r="279" spans="1:103">
      <c r="A279" s="204">
        <f t="shared" si="107"/>
        <v>1981</v>
      </c>
      <c r="B279" s="427" t="str">
        <f>IF(AND($A279&gt;=SYear_O,$A279&lt;=EYear_O,B$3&gt;0),IF($A279=SYear_O,B$168*(1+Data_All!B118%),B278*(1+Data_All!B118%)),"")</f>
        <v/>
      </c>
      <c r="C279" s="427" t="str">
        <f>IF(AND($A279&gt;=SYear_O,$A279&lt;=EYear_O,C$3&gt;0),IF($A279=SYear_O,C$168*(1+Data_All!C118%),C278*(1+Data_All!C118%)),"")</f>
        <v/>
      </c>
      <c r="D279" s="427" t="str">
        <f>IF(AND($A279&gt;=SYear_O,$A279&lt;=EYear_O,D$3&gt;0),IF($A279=SYear_O,D$168*(1+Data_All!D118%),D278*(1+Data_All!D118%)),"")</f>
        <v/>
      </c>
      <c r="E279" s="427" t="str">
        <f>IF(AND($A279&gt;=SYear_O,$A279&lt;=EYear_O,E$3&gt;0),IF($A279=SYear_O,E$168*(1+Data_All!E118%),E278*(1+Data_All!E118%)),"")</f>
        <v/>
      </c>
      <c r="F279" s="427" t="str">
        <f>IF(AND($A279&gt;=SYear_O,$A279&lt;=EYear_O,F$3&gt;0),IF($A279=SYear_O,F$168*(1+Data_All!F118%),F278*(1+Data_All!F118%)),"")</f>
        <v/>
      </c>
      <c r="G279" s="427" t="str">
        <f>IF(AND($A279&gt;=SYear_O,$A279&lt;=EYear_O,G$3&gt;0),IF($A279=SYear_O,G$168*(1+Data_All!G118%),G278*(1+Data_All!G118%)),"")</f>
        <v/>
      </c>
      <c r="H279" s="427" t="str">
        <f>IF(AND($A279&gt;=SYear_O,$A279&lt;=EYear_O,H$3&gt;0),IF($A279=SYear_O,H$168*(1+Data_All!H118%),H278*(1+Data_All!H118%)),"")</f>
        <v/>
      </c>
      <c r="I279" s="427" t="str">
        <f>IF(AND($A279&gt;=SYear_O,$A279&lt;=EYear_O,I$3&gt;0),IF($A279=SYear_O,I$168*(1+Data_All!I118%),I278*(1+Data_All!I118%)),"")</f>
        <v/>
      </c>
      <c r="J279" s="427" t="str">
        <f>IF(AND($A279&gt;=SYear_O,$A279&lt;=EYear_O,J$3&gt;0),IF($A279=SYear_O,J$168*(1+Data_All!J118%),J278*(1+Data_All!J118%)),"")</f>
        <v/>
      </c>
      <c r="K279" s="427" t="str">
        <f>IF(AND($A279&gt;=SYear_O,$A279&lt;=EYear_O,K$3&gt;0),IF($A279=SYear_O,K$168*(1+Data_All!K118%),K278*(1+Data_All!K118%)),"")</f>
        <v/>
      </c>
      <c r="L279" s="427" t="str">
        <f>IF(AND($A279&gt;=SYear_O,$A279&lt;=EYear_O,L$3&gt;0),IF($A279=SYear_O,L$168*(1+Data_All!L118%),L278*(1+Data_All!L118%)),"")</f>
        <v/>
      </c>
      <c r="M279" s="427" t="str">
        <f>IF(AND($A279&gt;=SYear_O,$A279&lt;=EYear_O,M$3&gt;0),IF($A279=SYear_O,M$168*(1+Data_All!M118%),M278*(1+Data_All!M118%)),"")</f>
        <v/>
      </c>
      <c r="N279" s="427" t="str">
        <f>IF(AND($A279&gt;=SYear_O,$A279&lt;=EYear_O,N$3&gt;0),IF($A279=SYear_O,N$168*(1+Data_All!N118%),N278*(1+Data_All!N118%)),"")</f>
        <v/>
      </c>
      <c r="O279" s="427" t="str">
        <f>IF(AND($A279&gt;=SYear_O,$A279&lt;=EYear_O,O$3&gt;0),IF($A279=SYear_O,O$168*(1+Data_All!O118%),O278*(1+Data_All!O118%)),"")</f>
        <v/>
      </c>
      <c r="P279" s="427" t="str">
        <f>IF(AND($A279&gt;=SYear_O,$A279&lt;=EYear_O,P$3&gt;0),IF($A279=SYear_O,P$168*(1+Data_All!P118%),P278*(1+Data_All!P118%)),"")</f>
        <v/>
      </c>
      <c r="Q279" s="427" t="str">
        <f>IF(AND($A279&gt;=SYear_O,$A279&lt;=EYear_O,Q$3&gt;0),IF($A279=SYear_O,Q$168*(1+Data_All!Q118%),Q278*(1+Data_All!Q118%)),"")</f>
        <v/>
      </c>
      <c r="R279" s="427" t="str">
        <f>IF(AND($A279&gt;=SYear_O,$A279&lt;=EYear_O,R$3&gt;0),IF($A279=SYear_O,R$168*(1+Data_All!R118%),R278*(1+Data_All!R118%)),"")</f>
        <v/>
      </c>
      <c r="S279" s="427" t="str">
        <f>IF(AND($A279&gt;=SYear_O,$A279&lt;=EYear_O,S$3&gt;0),IF($A279=SYear_O,S$168*(1+Data_All!S118%),S278*(1+Data_All!S118%)),"")</f>
        <v/>
      </c>
      <c r="T279" s="427" t="str">
        <f>IF(AND($A279&gt;=SYear_O,$A279&lt;=EYear_O,T$3&gt;0),IF($A279=SYear_O,T$168*(1+Data_All!T118%),T278*(1+Data_All!T118%)),"")</f>
        <v/>
      </c>
      <c r="U279" s="427" t="str">
        <f>IF(AND($A279&gt;=SYear_O,$A279&lt;=EYear_O,U$3&gt;0),IF($A279=SYear_O,U$168*(1+Data_All!U118%),U278*(1+Data_All!U118%)),"")</f>
        <v/>
      </c>
      <c r="V279" s="427" t="str">
        <f>IF(AND($A279&gt;=SYear_O,$A279&lt;=EYear_O,V$3&gt;0),IF($A279=SYear_O,V$168*(1+Data_All!V118%),V278*(1+Data_All!V118%)),"")</f>
        <v/>
      </c>
      <c r="W279" s="427" t="str">
        <f>IF(AND($A279&gt;=SYear_O,$A279&lt;=EYear_O,W$3&gt;0),IF($A279=SYear_O,W$168*(1+Data_All!W118%),W278*(1+Data_All!W118%)),"")</f>
        <v/>
      </c>
      <c r="X279" s="427" t="str">
        <f>IF(AND($A279&gt;=SYear_O,$A279&lt;=EYear_O,X$3&gt;0),IF($A279=SYear_O,X$168*(1+Data_All!X118%),X278*(1+Data_All!X118%)),"")</f>
        <v/>
      </c>
      <c r="Y279" s="427" t="str">
        <f>IF(AND($A279&gt;=SYear_O,$A279&lt;=EYear_O,Y$3&gt;0),IF($A279=SYear_O,Y$168*(1+Data_All!Y118%),Y278*(1+Data_All!Y118%)),"")</f>
        <v/>
      </c>
      <c r="Z279" s="427" t="str">
        <f>IF(AND($A279&gt;=SYear_O,$A279&lt;=EYear_O,Z$3&gt;0),IF($A279=SYear_O,Z$168*(1+Data_All!Z118%),Z278*(1+Data_All!Z118%)),"")</f>
        <v/>
      </c>
      <c r="AA279" s="427" t="str">
        <f>IF(AND($A279&gt;=SYear_O,$A279&lt;=EYear_O,AA$3&gt;0),IF($A279=SYear_O,AA$168*(1+Data_All!AA118%),AA278*(1+Data_All!AA118%)),"")</f>
        <v/>
      </c>
      <c r="AB279" s="427" t="str">
        <f>IF(AND($A279&gt;=SYear_O,$A279&lt;=EYear_O,AB$3&gt;0),IF($A279=SYear_O,AB$168*(1+Data_All!AB118%),AB278*(1+Data_All!AB118%)),"")</f>
        <v/>
      </c>
      <c r="AC279" s="427" t="str">
        <f>IF(AND($A279&gt;=SYear_O,$A279&lt;=EYear_O,AC$3&gt;0),IF($A279=SYear_O,AC$168*(1+Data_All!AC118%),AC278*(1+Data_All!AC118%)),"")</f>
        <v/>
      </c>
      <c r="AD279" s="427" t="str">
        <f>IF(AND($A279&gt;=SYear_O,$A279&lt;=EYear_O,AD$3&gt;0),IF($A279=SYear_O,AD$168*(1+Data_All!AD118%),AD278*(1+Data_All!AD118%)),"")</f>
        <v/>
      </c>
      <c r="AE279" s="427" t="str">
        <f>IF(AND($A279&gt;=SYear_O,$A279&lt;=EYear_O,AE$3&gt;0),IF($A279=SYear_O,AE$168*(1+Data_All!AE118%),AE278*(1+Data_All!AE118%)),"")</f>
        <v/>
      </c>
      <c r="AF279" s="427" t="str">
        <f>IF(AND($A279&gt;=SYear_O,$A279&lt;=EYear_O,AF$3&gt;0),IF($A279=SYear_O,AF$168*(1+Data_All!AF118%),AF278*(1+Data_All!AF118%)),"")</f>
        <v/>
      </c>
      <c r="AG279" s="427" t="str">
        <f>IF(AND($A279&gt;=SYear_O,$A279&lt;=EYear_O,AG$3&gt;0),IF($A279=SYear_O,AG$168*(1+Data_All!AG118%),AG278*(1+Data_All!AG118%)),"")</f>
        <v/>
      </c>
      <c r="AH279" s="427" t="str">
        <f>IF(AND($A279&gt;=SYear_O,$A279&lt;=EYear_O,AH$3&gt;0),IF($A279=SYear_O,AH$168*(1+Data_All!AH118%),AH278*(1+Data_All!AH118%)),"")</f>
        <v/>
      </c>
      <c r="AI279" s="427" t="str">
        <f>IF(AND($A279&gt;=SYear_O,$A279&lt;=EYear_O,AI$3&gt;0),IF($A279=SYear_O,AI$168*(1+Data_All!AI118%),AI278*(1+Data_All!AI118%)),"")</f>
        <v/>
      </c>
      <c r="AJ279" s="427" t="str">
        <f>IF(AND($A279&gt;=SYear_O,$A279&lt;=EYear_O,AJ$3&gt;0),IF($A279=SYear_O,AJ$168*(1+Data_All!AJ118%),AJ278*(1+Data_All!AJ118%)),"")</f>
        <v/>
      </c>
      <c r="AK279" s="427" t="str">
        <f>IF(AND($A279&gt;=SYear_O,$A279&lt;=EYear_O,AK$3&gt;0),IF($A279=SYear_O,AK$168*(1+Data_All!AK118%),AK278*(1+Data_All!AK118%)),"")</f>
        <v/>
      </c>
      <c r="AL279" s="427" t="str">
        <f>IF(AND($A279&gt;=SYear_O,$A279&lt;=EYear_O,AL$3&gt;0),IF($A279=SYear_O,AL$168*(1+Data_All!AL118%),AL278*(1+Data_All!AL118%)),"")</f>
        <v/>
      </c>
      <c r="AM279" s="427" t="str">
        <f>IF(AND($A279&gt;=SYear_O,$A279&lt;=EYear_O,AM$3&gt;0),IF($A279=SYear_O,AM$168*(1+Data_All!AM118%),AM278*(1+Data_All!AM118%)),"")</f>
        <v/>
      </c>
      <c r="AN279" s="427" t="str">
        <f>IF(AND($A279&gt;=SYear_O,$A279&lt;=EYear_O,AN$3&gt;0),IF($A279=SYear_O,AN$168*(1+Data_All!AN118%),AN278*(1+Data_All!AN118%)),"")</f>
        <v/>
      </c>
      <c r="AO279" s="427" t="str">
        <f>IF(AND($A279&gt;=SYear_O,$A279&lt;=EYear_O,AO$3&gt;0),IF($A279=SYear_O,AO$168*(1+Data_All!AO118%),AO278*(1+Data_All!AO118%)),"")</f>
        <v/>
      </c>
      <c r="AP279" s="427" t="str">
        <f>IF(AND($A279&gt;=SYear_O,$A279&lt;=EYear_O,AP$3&gt;0),IF($A279=SYear_O,AP$168*(1+Data_All!AP118%),AP278*(1+Data_All!AP118%)),"")</f>
        <v/>
      </c>
      <c r="AQ279" s="427" t="str">
        <f>IF(AND($A279&gt;=SYear_O,$A279&lt;=EYear_O,AQ$3&gt;0),IF($A279=SYear_O,AQ$168*(1+Data_All!AQ118%),AQ278*(1+Data_All!AQ118%)),"")</f>
        <v/>
      </c>
      <c r="AR279" s="427" t="str">
        <f>IF(AND($A279&gt;=SYear_O,$A279&lt;=EYear_O,AR$3&gt;0),IF($A279=SYear_O,AR$168*(1+Data_All!AR118%),AR278*(1+Data_All!AR118%)),"")</f>
        <v/>
      </c>
      <c r="AS279" s="427" t="str">
        <f>IF(AND($A279&gt;=SYear_O,$A279&lt;=EYear_O,AS$3&gt;0),IF($A279=SYear_O,AS$168*(1+Data_All!AS118%),AS278*(1+Data_All!AS118%)),"")</f>
        <v/>
      </c>
      <c r="AT279" s="427" t="str">
        <f>IF(AND($A279&gt;=SYear_O,$A279&lt;=EYear_O,AT$3&gt;0),IF($A279=SYear_O,AT$168*(1+Data_All!AT118%),AT278*(1+Data_All!AT118%)),"")</f>
        <v/>
      </c>
      <c r="AU279" s="427" t="str">
        <f>IF(AND($A279&gt;=SYear_O,$A279&lt;=EYear_O,AU$3&gt;0),IF($A279=SYear_O,AU$168*(1+Data_All!AU118%),AU278*(1+Data_All!AU118%)),"")</f>
        <v/>
      </c>
      <c r="AV279" s="427" t="str">
        <f>IF(AND($A279&gt;=SYear_O,$A279&lt;=EYear_O,AV$3&gt;0),IF($A279=SYear_O,AV$168*(1+Data_All!AV118%),AV278*(1+Data_All!AV118%)),"")</f>
        <v/>
      </c>
      <c r="AW279" s="427" t="str">
        <f>IF(AND($A279&gt;=SYear_O,$A279&lt;=EYear_O,AW$3&gt;0),IF($A279=SYear_O,AW$168*(1+Data_All!AW118%),AW278*(1+Data_All!AW118%)),"")</f>
        <v/>
      </c>
      <c r="AX279" s="427" t="str">
        <f>IF(AND($A279&gt;=SYear_O,$A279&lt;=EYear_O,AX$3&gt;0),IF($A279=SYear_O,AX$168*(1+Data_All!AX118%),AX278*(1+Data_All!AX118%)),"")</f>
        <v/>
      </c>
      <c r="AY279" s="427" t="str">
        <f>IF(AND($A279&gt;=SYear_O,$A279&lt;=EYear_O,AY$3&gt;0),IF($A279=SYear_O,AY$168*(1+Data_All!AY118%),AY278*(1+Data_All!AY118%)),"")</f>
        <v/>
      </c>
      <c r="AZ279" s="427" t="str">
        <f>IF(AND($A279&gt;=SYear_O,$A279&lt;=EYear_O,AZ$3&gt;0),IF($A279=SYear_O,AZ$168*(1+Data_All!AZ118%),AZ278*(1+Data_All!AZ118%)),"")</f>
        <v/>
      </c>
      <c r="BA279" s="427" t="str">
        <f>IF(AND($A279&gt;=SYear_O,$A279&lt;=EYear_O,BA$3&gt;0),IF($A279=SYear_O,BA$168*(1+Data_All!BA118%),BA278*(1+Data_All!BA118%)),"")</f>
        <v/>
      </c>
      <c r="BB279" s="427" t="str">
        <f>IF(AND($A279&gt;=SYear_O,$A279&lt;=EYear_O,BB$3&gt;0),IF($A279=SYear_O,BB$168*(1+Data_All!BB118%),BB278*(1+Data_All!BB118%)),"")</f>
        <v/>
      </c>
      <c r="BC279" s="427" t="str">
        <f>IF(AND($A279&gt;=SYear_O,$A279&lt;=EYear_O,BC$3&gt;0),IF($A279=SYear_O,BC$168*(1+Data_All!BC118%),BC278*(1+Data_All!BC118%)),"")</f>
        <v/>
      </c>
      <c r="BD279" s="427" t="str">
        <f>IF(AND($A279&gt;=SYear_O,$A279&lt;=EYear_O,BD$3&gt;0),IF($A279=SYear_O,BD$168*(1+Data_All!BD118%),BD278*(1+Data_All!BD118%)),"")</f>
        <v/>
      </c>
      <c r="BE279" s="427" t="str">
        <f>IF(AND($A279&gt;=SYear_O,$A279&lt;=EYear_O,BE$3&gt;0),IF($A279=SYear_O,BE$168*(1+Data_All!BE118%),BE278*(1+Data_All!BE118%)),"")</f>
        <v/>
      </c>
      <c r="BF279" s="427" t="str">
        <f>IF(AND($A279&gt;=SYear_O,$A279&lt;=EYear_O,BF$3&gt;0),IF($A279=SYear_O,BF$168*(1+Data_All!BF118%),BF278*(1+Data_All!BF118%)),"")</f>
        <v/>
      </c>
      <c r="BG279" s="427" t="str">
        <f>IF(AND($A279&gt;=SYear_O,$A279&lt;=EYear_O,BG$3&gt;0),IF($A279=SYear_O,BG$168*(1+Data_All!BG118%),BG278*(1+Data_All!BG118%)),"")</f>
        <v/>
      </c>
      <c r="BH279" s="427" t="str">
        <f>IF(AND($A279&gt;=SYear_O,$A279&lt;=EYear_O,BH$3&gt;0),IF($A279=SYear_O,BH$168*(1+Data_All!BH118%),BH278*(1+Data_All!BH118%)),"")</f>
        <v/>
      </c>
      <c r="BI279" s="427" t="str">
        <f>IF(AND($A279&gt;=SYear_O,$A279&lt;=EYear_O,BI$3&gt;0),IF($A279=SYear_O,BI$168*(1+Data_All!BI118%),BI278*(1+Data_All!BI118%)),"")</f>
        <v/>
      </c>
      <c r="BJ279" s="427" t="str">
        <f>IF(AND($A279&gt;=SYear_O,$A279&lt;=EYear_O,BJ$3&gt;0),IF($A279=SYear_O,BJ$168*(1+Data_All!BJ118%),BJ278*(1+Data_All!BJ118%)),"")</f>
        <v/>
      </c>
      <c r="BK279" s="427" t="str">
        <f>IF(AND($A279&gt;=SYear_O,$A279&lt;=EYear_O,BK$3&gt;0),IF($A279=SYear_O,BK$168*(1+Data_All!BK118%),BK278*(1+Data_All!BK118%)),"")</f>
        <v/>
      </c>
      <c r="BL279" s="427" t="str">
        <f>IF(AND($A279&gt;=SYear_O,$A279&lt;=EYear_O,BL$3&gt;0),IF($A279=SYear_O,BL$168*(1+Data_All!BL118%),BL278*(1+Data_All!BL118%)),"")</f>
        <v/>
      </c>
      <c r="BM279" s="427" t="str">
        <f>IF(AND($A279&gt;=SYear_O,$A279&lt;=EYear_O,BM$3&gt;0),IF($A279=SYear_O,BM$168*(1+Data_All!BM118%),BM278*(1+Data_All!BM118%)),"")</f>
        <v/>
      </c>
      <c r="BN279" s="427" t="str">
        <f>IF(AND($A279&gt;=SYear_O,$A279&lt;=EYear_O,BN$3&gt;0),IF($A279=SYear_O,BN$168*(1+Data_All!BN118%),BN278*(1+Data_All!BN118%)),"")</f>
        <v/>
      </c>
      <c r="BO279" s="427" t="str">
        <f>IF(AND($A279&gt;=SYear_O,$A279&lt;=EYear_O,BO$3&gt;0),IF($A279=SYear_O,BO$168*(1+Data_All!BO118%),BO278*(1+Data_All!BO118%)),"")</f>
        <v/>
      </c>
      <c r="BP279" s="427" t="str">
        <f>IF(AND($A279&gt;=SYear_O,$A279&lt;=EYear_O,BP$3&gt;0),IF($A279=SYear_O,BP$168*(1+Data_All!BP118%),BP278*(1+Data_All!BP118%)),"")</f>
        <v/>
      </c>
      <c r="BQ279" s="427" t="str">
        <f>IF(AND($A279&gt;=SYear_O,$A279&lt;=EYear_O,BQ$3&gt;0),IF($A279=SYear_O,BQ$168*(1+Data_All!BQ118%),BQ278*(1+Data_All!BQ118%)),"")</f>
        <v/>
      </c>
      <c r="BR279" s="427" t="str">
        <f>IF(AND($A279&gt;=SYear_O,$A279&lt;=EYear_O,BR$3&gt;0),IF($A279=SYear_O,BR$168*(1+Data_All!BR118%),BR278*(1+Data_All!BR118%)),"")</f>
        <v/>
      </c>
      <c r="BS279" s="427" t="str">
        <f>IF(AND($A279&gt;=SYear_O,$A279&lt;=EYear_O,BS$3&gt;0),IF($A279=SYear_O,BS$168*(1+Data_All!BS118%),BS278*(1+Data_All!BS118%)),"")</f>
        <v/>
      </c>
      <c r="BT279" s="427" t="str">
        <f>IF(AND($A279&gt;=SYear_O,$A279&lt;=EYear_O,BT$3&gt;0),IF($A279=SYear_O,BT$168*(1+Data_All!BT118%),BT278*(1+Data_All!BT118%)),"")</f>
        <v/>
      </c>
      <c r="BU279" s="427" t="str">
        <f>IF(AND($A279&gt;=SYear_O,$A279&lt;=EYear_O,BU$3&gt;0),IF($A279=SYear_O,BU$168*(1+Data_All!BU118%),BU278*(1+Data_All!BU118%)),"")</f>
        <v/>
      </c>
      <c r="BV279" s="427" t="str">
        <f>IF(AND($A279&gt;=SYear_O,$A279&lt;=EYear_O,BV$3&gt;0),IF($A279=SYear_O,BV$168*(1+Data_All!BV118%),BV278*(1+Data_All!BV118%)),"")</f>
        <v/>
      </c>
      <c r="BW279" s="427" t="str">
        <f>IF(AND($A279&gt;=SYear_O,$A279&lt;=EYear_O,BW$3&gt;0),IF($A279=SYear_O,BW$168*(1+Data_All!BW118%),BW278*(1+Data_All!BW118%)),"")</f>
        <v/>
      </c>
      <c r="BX279" s="427">
        <f>IF(AND($A279&gt;=SYear_O,$A279&lt;=EYear_O,BX$3&gt;0),IF($A279=SYear_O,BX$168*(1+Data_All!BX118%),BX278*(1+Data_All!BX118%)),"")</f>
        <v>32436222.333392102</v>
      </c>
      <c r="BY279" s="427">
        <f>IF(AND($A279&gt;=SYear_O,$A279&lt;=EYear_O,BY$3&gt;0),IF($A279=SYear_O,BY$168*(1+Data_All!BY118%),BY278*(1+Data_All!BY118%)),"")</f>
        <v>244093.34133061755</v>
      </c>
      <c r="BZ279" s="427" t="str">
        <f>IF(AND($A279&gt;=SYear_O,$A279&lt;=EYear_O,BZ$3&gt;0),IF($A279=SYear_O,BZ$168*(1+Data_All!BZ118%),BZ278*(1+Data_All!BZ118%)),"")</f>
        <v/>
      </c>
      <c r="CA279" s="565">
        <f t="shared" si="138"/>
        <v>-6.7311762977114906</v>
      </c>
      <c r="CB279" s="427">
        <f t="shared" si="139"/>
        <v>32680315.67472272</v>
      </c>
      <c r="CC279" s="565">
        <f>IF(AND($A279&gt;=SYear_O,$A279&lt;=EYear_O),(CA279-Data_All!CA118)/(1+Data_All!CA118%),"")</f>
        <v>-14.371282069069165</v>
      </c>
      <c r="CD279" s="436">
        <f t="shared" si="140"/>
        <v>4333292.000734048</v>
      </c>
      <c r="CE279" s="438">
        <f t="shared" si="141"/>
        <v>2964.0797543518961</v>
      </c>
      <c r="CF279" s="438">
        <f>IF(AND($A279&gt;=SYear_O,$A279&lt;=EYear_O),MAX($CE$169:CE279),"")</f>
        <v>3177.9962871764701</v>
      </c>
      <c r="CG279" s="209">
        <f t="shared" si="142"/>
        <v>6.7311762977114942E-2</v>
      </c>
      <c r="CN279" s="61">
        <f t="shared" si="143"/>
        <v>-6.7311762977114942E-2</v>
      </c>
      <c r="CO279" s="61">
        <f t="shared" si="144"/>
        <v>0.13038113547363173</v>
      </c>
      <c r="CP279" s="61">
        <f t="shared" si="145"/>
        <v>0.14385432420118893</v>
      </c>
      <c r="CQ279" s="61">
        <f t="shared" si="146"/>
        <v>0.13715305601604633</v>
      </c>
      <c r="CR279" s="61">
        <f t="shared" si="147"/>
        <v>0.14662160326826257</v>
      </c>
      <c r="CU279" s="61">
        <f t="shared" si="148"/>
        <v>-0.14371282069069169</v>
      </c>
      <c r="CV279" s="61">
        <f t="shared" si="149"/>
        <v>7.1581855259960303E-2</v>
      </c>
      <c r="CW279" s="61">
        <f t="shared" si="150"/>
        <v>9.1060529916975552E-2</v>
      </c>
      <c r="CX279" s="61">
        <f t="shared" si="151"/>
        <v>8.8364558715785968E-2</v>
      </c>
      <c r="CY279" s="61">
        <f t="shared" si="152"/>
        <v>0.10343548887646925</v>
      </c>
    </row>
    <row r="280" spans="1:103">
      <c r="A280" s="204">
        <f t="shared" si="107"/>
        <v>1982</v>
      </c>
      <c r="B280" s="427" t="str">
        <f>IF(AND($A280&gt;=SYear_O,$A280&lt;=EYear_O,B$3&gt;0),IF($A280=SYear_O,B$168*(1+Data_All!B119%),B279*(1+Data_All!B119%)),"")</f>
        <v/>
      </c>
      <c r="C280" s="427" t="str">
        <f>IF(AND($A280&gt;=SYear_O,$A280&lt;=EYear_O,C$3&gt;0),IF($A280=SYear_O,C$168*(1+Data_All!C119%),C279*(1+Data_All!C119%)),"")</f>
        <v/>
      </c>
      <c r="D280" s="427" t="str">
        <f>IF(AND($A280&gt;=SYear_O,$A280&lt;=EYear_O,D$3&gt;0),IF($A280=SYear_O,D$168*(1+Data_All!D119%),D279*(1+Data_All!D119%)),"")</f>
        <v/>
      </c>
      <c r="E280" s="427" t="str">
        <f>IF(AND($A280&gt;=SYear_O,$A280&lt;=EYear_O,E$3&gt;0),IF($A280=SYear_O,E$168*(1+Data_All!E119%),E279*(1+Data_All!E119%)),"")</f>
        <v/>
      </c>
      <c r="F280" s="427" t="str">
        <f>IF(AND($A280&gt;=SYear_O,$A280&lt;=EYear_O,F$3&gt;0),IF($A280=SYear_O,F$168*(1+Data_All!F119%),F279*(1+Data_All!F119%)),"")</f>
        <v/>
      </c>
      <c r="G280" s="427" t="str">
        <f>IF(AND($A280&gt;=SYear_O,$A280&lt;=EYear_O,G$3&gt;0),IF($A280=SYear_O,G$168*(1+Data_All!G119%),G279*(1+Data_All!G119%)),"")</f>
        <v/>
      </c>
      <c r="H280" s="427" t="str">
        <f>IF(AND($A280&gt;=SYear_O,$A280&lt;=EYear_O,H$3&gt;0),IF($A280=SYear_O,H$168*(1+Data_All!H119%),H279*(1+Data_All!H119%)),"")</f>
        <v/>
      </c>
      <c r="I280" s="427" t="str">
        <f>IF(AND($A280&gt;=SYear_O,$A280&lt;=EYear_O,I$3&gt;0),IF($A280=SYear_O,I$168*(1+Data_All!I119%),I279*(1+Data_All!I119%)),"")</f>
        <v/>
      </c>
      <c r="J280" s="427" t="str">
        <f>IF(AND($A280&gt;=SYear_O,$A280&lt;=EYear_O,J$3&gt;0),IF($A280=SYear_O,J$168*(1+Data_All!J119%),J279*(1+Data_All!J119%)),"")</f>
        <v/>
      </c>
      <c r="K280" s="427" t="str">
        <f>IF(AND($A280&gt;=SYear_O,$A280&lt;=EYear_O,K$3&gt;0),IF($A280=SYear_O,K$168*(1+Data_All!K119%),K279*(1+Data_All!K119%)),"")</f>
        <v/>
      </c>
      <c r="L280" s="427" t="str">
        <f>IF(AND($A280&gt;=SYear_O,$A280&lt;=EYear_O,L$3&gt;0),IF($A280=SYear_O,L$168*(1+Data_All!L119%),L279*(1+Data_All!L119%)),"")</f>
        <v/>
      </c>
      <c r="M280" s="427" t="str">
        <f>IF(AND($A280&gt;=SYear_O,$A280&lt;=EYear_O,M$3&gt;0),IF($A280=SYear_O,M$168*(1+Data_All!M119%),M279*(1+Data_All!M119%)),"")</f>
        <v/>
      </c>
      <c r="N280" s="427" t="str">
        <f>IF(AND($A280&gt;=SYear_O,$A280&lt;=EYear_O,N$3&gt;0),IF($A280=SYear_O,N$168*(1+Data_All!N119%),N279*(1+Data_All!N119%)),"")</f>
        <v/>
      </c>
      <c r="O280" s="427" t="str">
        <f>IF(AND($A280&gt;=SYear_O,$A280&lt;=EYear_O,O$3&gt;0),IF($A280=SYear_O,O$168*(1+Data_All!O119%),O279*(1+Data_All!O119%)),"")</f>
        <v/>
      </c>
      <c r="P280" s="427" t="str">
        <f>IF(AND($A280&gt;=SYear_O,$A280&lt;=EYear_O,P$3&gt;0),IF($A280=SYear_O,P$168*(1+Data_All!P119%),P279*(1+Data_All!P119%)),"")</f>
        <v/>
      </c>
      <c r="Q280" s="427" t="str">
        <f>IF(AND($A280&gt;=SYear_O,$A280&lt;=EYear_O,Q$3&gt;0),IF($A280=SYear_O,Q$168*(1+Data_All!Q119%),Q279*(1+Data_All!Q119%)),"")</f>
        <v/>
      </c>
      <c r="R280" s="427" t="str">
        <f>IF(AND($A280&gt;=SYear_O,$A280&lt;=EYear_O,R$3&gt;0),IF($A280=SYear_O,R$168*(1+Data_All!R119%),R279*(1+Data_All!R119%)),"")</f>
        <v/>
      </c>
      <c r="S280" s="427" t="str">
        <f>IF(AND($A280&gt;=SYear_O,$A280&lt;=EYear_O,S$3&gt;0),IF($A280=SYear_O,S$168*(1+Data_All!S119%),S279*(1+Data_All!S119%)),"")</f>
        <v/>
      </c>
      <c r="T280" s="427" t="str">
        <f>IF(AND($A280&gt;=SYear_O,$A280&lt;=EYear_O,T$3&gt;0),IF($A280=SYear_O,T$168*(1+Data_All!T119%),T279*(1+Data_All!T119%)),"")</f>
        <v/>
      </c>
      <c r="U280" s="427" t="str">
        <f>IF(AND($A280&gt;=SYear_O,$A280&lt;=EYear_O,U$3&gt;0),IF($A280=SYear_O,U$168*(1+Data_All!U119%),U279*(1+Data_All!U119%)),"")</f>
        <v/>
      </c>
      <c r="V280" s="427" t="str">
        <f>IF(AND($A280&gt;=SYear_O,$A280&lt;=EYear_O,V$3&gt;0),IF($A280=SYear_O,V$168*(1+Data_All!V119%),V279*(1+Data_All!V119%)),"")</f>
        <v/>
      </c>
      <c r="W280" s="427" t="str">
        <f>IF(AND($A280&gt;=SYear_O,$A280&lt;=EYear_O,W$3&gt;0),IF($A280=SYear_O,W$168*(1+Data_All!W119%),W279*(1+Data_All!W119%)),"")</f>
        <v/>
      </c>
      <c r="X280" s="427" t="str">
        <f>IF(AND($A280&gt;=SYear_O,$A280&lt;=EYear_O,X$3&gt;0),IF($A280=SYear_O,X$168*(1+Data_All!X119%),X279*(1+Data_All!X119%)),"")</f>
        <v/>
      </c>
      <c r="Y280" s="427" t="str">
        <f>IF(AND($A280&gt;=SYear_O,$A280&lt;=EYear_O,Y$3&gt;0),IF($A280=SYear_O,Y$168*(1+Data_All!Y119%),Y279*(1+Data_All!Y119%)),"")</f>
        <v/>
      </c>
      <c r="Z280" s="427" t="str">
        <f>IF(AND($A280&gt;=SYear_O,$A280&lt;=EYear_O,Z$3&gt;0),IF($A280=SYear_O,Z$168*(1+Data_All!Z119%),Z279*(1+Data_All!Z119%)),"")</f>
        <v/>
      </c>
      <c r="AA280" s="427" t="str">
        <f>IF(AND($A280&gt;=SYear_O,$A280&lt;=EYear_O,AA$3&gt;0),IF($A280=SYear_O,AA$168*(1+Data_All!AA119%),AA279*(1+Data_All!AA119%)),"")</f>
        <v/>
      </c>
      <c r="AB280" s="427" t="str">
        <f>IF(AND($A280&gt;=SYear_O,$A280&lt;=EYear_O,AB$3&gt;0),IF($A280=SYear_O,AB$168*(1+Data_All!AB119%),AB279*(1+Data_All!AB119%)),"")</f>
        <v/>
      </c>
      <c r="AC280" s="427" t="str">
        <f>IF(AND($A280&gt;=SYear_O,$A280&lt;=EYear_O,AC$3&gt;0),IF($A280=SYear_O,AC$168*(1+Data_All!AC119%),AC279*(1+Data_All!AC119%)),"")</f>
        <v/>
      </c>
      <c r="AD280" s="427" t="str">
        <f>IF(AND($A280&gt;=SYear_O,$A280&lt;=EYear_O,AD$3&gt;0),IF($A280=SYear_O,AD$168*(1+Data_All!AD119%),AD279*(1+Data_All!AD119%)),"")</f>
        <v/>
      </c>
      <c r="AE280" s="427" t="str">
        <f>IF(AND($A280&gt;=SYear_O,$A280&lt;=EYear_O,AE$3&gt;0),IF($A280=SYear_O,AE$168*(1+Data_All!AE119%),AE279*(1+Data_All!AE119%)),"")</f>
        <v/>
      </c>
      <c r="AF280" s="427" t="str">
        <f>IF(AND($A280&gt;=SYear_O,$A280&lt;=EYear_O,AF$3&gt;0),IF($A280=SYear_O,AF$168*(1+Data_All!AF119%),AF279*(1+Data_All!AF119%)),"")</f>
        <v/>
      </c>
      <c r="AG280" s="427" t="str">
        <f>IF(AND($A280&gt;=SYear_O,$A280&lt;=EYear_O,AG$3&gt;0),IF($A280=SYear_O,AG$168*(1+Data_All!AG119%),AG279*(1+Data_All!AG119%)),"")</f>
        <v/>
      </c>
      <c r="AH280" s="427" t="str">
        <f>IF(AND($A280&gt;=SYear_O,$A280&lt;=EYear_O,AH$3&gt;0),IF($A280=SYear_O,AH$168*(1+Data_All!AH119%),AH279*(1+Data_All!AH119%)),"")</f>
        <v/>
      </c>
      <c r="AI280" s="427" t="str">
        <f>IF(AND($A280&gt;=SYear_O,$A280&lt;=EYear_O,AI$3&gt;0),IF($A280=SYear_O,AI$168*(1+Data_All!AI119%),AI279*(1+Data_All!AI119%)),"")</f>
        <v/>
      </c>
      <c r="AJ280" s="427" t="str">
        <f>IF(AND($A280&gt;=SYear_O,$A280&lt;=EYear_O,AJ$3&gt;0),IF($A280=SYear_O,AJ$168*(1+Data_All!AJ119%),AJ279*(1+Data_All!AJ119%)),"")</f>
        <v/>
      </c>
      <c r="AK280" s="427" t="str">
        <f>IF(AND($A280&gt;=SYear_O,$A280&lt;=EYear_O,AK$3&gt;0),IF($A280=SYear_O,AK$168*(1+Data_All!AK119%),AK279*(1+Data_All!AK119%)),"")</f>
        <v/>
      </c>
      <c r="AL280" s="427" t="str">
        <f>IF(AND($A280&gt;=SYear_O,$A280&lt;=EYear_O,AL$3&gt;0),IF($A280=SYear_O,AL$168*(1+Data_All!AL119%),AL279*(1+Data_All!AL119%)),"")</f>
        <v/>
      </c>
      <c r="AM280" s="427" t="str">
        <f>IF(AND($A280&gt;=SYear_O,$A280&lt;=EYear_O,AM$3&gt;0),IF($A280=SYear_O,AM$168*(1+Data_All!AM119%),AM279*(1+Data_All!AM119%)),"")</f>
        <v/>
      </c>
      <c r="AN280" s="427" t="str">
        <f>IF(AND($A280&gt;=SYear_O,$A280&lt;=EYear_O,AN$3&gt;0),IF($A280=SYear_O,AN$168*(1+Data_All!AN119%),AN279*(1+Data_All!AN119%)),"")</f>
        <v/>
      </c>
      <c r="AO280" s="427" t="str">
        <f>IF(AND($A280&gt;=SYear_O,$A280&lt;=EYear_O,AO$3&gt;0),IF($A280=SYear_O,AO$168*(1+Data_All!AO119%),AO279*(1+Data_All!AO119%)),"")</f>
        <v/>
      </c>
      <c r="AP280" s="427" t="str">
        <f>IF(AND($A280&gt;=SYear_O,$A280&lt;=EYear_O,AP$3&gt;0),IF($A280=SYear_O,AP$168*(1+Data_All!AP119%),AP279*(1+Data_All!AP119%)),"")</f>
        <v/>
      </c>
      <c r="AQ280" s="427" t="str">
        <f>IF(AND($A280&gt;=SYear_O,$A280&lt;=EYear_O,AQ$3&gt;0),IF($A280=SYear_O,AQ$168*(1+Data_All!AQ119%),AQ279*(1+Data_All!AQ119%)),"")</f>
        <v/>
      </c>
      <c r="AR280" s="427" t="str">
        <f>IF(AND($A280&gt;=SYear_O,$A280&lt;=EYear_O,AR$3&gt;0),IF($A280=SYear_O,AR$168*(1+Data_All!AR119%),AR279*(1+Data_All!AR119%)),"")</f>
        <v/>
      </c>
      <c r="AS280" s="427" t="str">
        <f>IF(AND($A280&gt;=SYear_O,$A280&lt;=EYear_O,AS$3&gt;0),IF($A280=SYear_O,AS$168*(1+Data_All!AS119%),AS279*(1+Data_All!AS119%)),"")</f>
        <v/>
      </c>
      <c r="AT280" s="427" t="str">
        <f>IF(AND($A280&gt;=SYear_O,$A280&lt;=EYear_O,AT$3&gt;0),IF($A280=SYear_O,AT$168*(1+Data_All!AT119%),AT279*(1+Data_All!AT119%)),"")</f>
        <v/>
      </c>
      <c r="AU280" s="427" t="str">
        <f>IF(AND($A280&gt;=SYear_O,$A280&lt;=EYear_O,AU$3&gt;0),IF($A280=SYear_O,AU$168*(1+Data_All!AU119%),AU279*(1+Data_All!AU119%)),"")</f>
        <v/>
      </c>
      <c r="AV280" s="427" t="str">
        <f>IF(AND($A280&gt;=SYear_O,$A280&lt;=EYear_O,AV$3&gt;0),IF($A280=SYear_O,AV$168*(1+Data_All!AV119%),AV279*(1+Data_All!AV119%)),"")</f>
        <v/>
      </c>
      <c r="AW280" s="427" t="str">
        <f>IF(AND($A280&gt;=SYear_O,$A280&lt;=EYear_O,AW$3&gt;0),IF($A280=SYear_O,AW$168*(1+Data_All!AW119%),AW279*(1+Data_All!AW119%)),"")</f>
        <v/>
      </c>
      <c r="AX280" s="427" t="str">
        <f>IF(AND($A280&gt;=SYear_O,$A280&lt;=EYear_O,AX$3&gt;0),IF($A280=SYear_O,AX$168*(1+Data_All!AX119%),AX279*(1+Data_All!AX119%)),"")</f>
        <v/>
      </c>
      <c r="AY280" s="427" t="str">
        <f>IF(AND($A280&gt;=SYear_O,$A280&lt;=EYear_O,AY$3&gt;0),IF($A280=SYear_O,AY$168*(1+Data_All!AY119%),AY279*(1+Data_All!AY119%)),"")</f>
        <v/>
      </c>
      <c r="AZ280" s="427" t="str">
        <f>IF(AND($A280&gt;=SYear_O,$A280&lt;=EYear_O,AZ$3&gt;0),IF($A280=SYear_O,AZ$168*(1+Data_All!AZ119%),AZ279*(1+Data_All!AZ119%)),"")</f>
        <v/>
      </c>
      <c r="BA280" s="427" t="str">
        <f>IF(AND($A280&gt;=SYear_O,$A280&lt;=EYear_O,BA$3&gt;0),IF($A280=SYear_O,BA$168*(1+Data_All!BA119%),BA279*(1+Data_All!BA119%)),"")</f>
        <v/>
      </c>
      <c r="BB280" s="427" t="str">
        <f>IF(AND($A280&gt;=SYear_O,$A280&lt;=EYear_O,BB$3&gt;0),IF($A280=SYear_O,BB$168*(1+Data_All!BB119%),BB279*(1+Data_All!BB119%)),"")</f>
        <v/>
      </c>
      <c r="BC280" s="427" t="str">
        <f>IF(AND($A280&gt;=SYear_O,$A280&lt;=EYear_O,BC$3&gt;0),IF($A280=SYear_O,BC$168*(1+Data_All!BC119%),BC279*(1+Data_All!BC119%)),"")</f>
        <v/>
      </c>
      <c r="BD280" s="427" t="str">
        <f>IF(AND($A280&gt;=SYear_O,$A280&lt;=EYear_O,BD$3&gt;0),IF($A280=SYear_O,BD$168*(1+Data_All!BD119%),BD279*(1+Data_All!BD119%)),"")</f>
        <v/>
      </c>
      <c r="BE280" s="427" t="str">
        <f>IF(AND($A280&gt;=SYear_O,$A280&lt;=EYear_O,BE$3&gt;0),IF($A280=SYear_O,BE$168*(1+Data_All!BE119%),BE279*(1+Data_All!BE119%)),"")</f>
        <v/>
      </c>
      <c r="BF280" s="427" t="str">
        <f>IF(AND($A280&gt;=SYear_O,$A280&lt;=EYear_O,BF$3&gt;0),IF($A280=SYear_O,BF$168*(1+Data_All!BF119%),BF279*(1+Data_All!BF119%)),"")</f>
        <v/>
      </c>
      <c r="BG280" s="427" t="str">
        <f>IF(AND($A280&gt;=SYear_O,$A280&lt;=EYear_O,BG$3&gt;0),IF($A280=SYear_O,BG$168*(1+Data_All!BG119%),BG279*(1+Data_All!BG119%)),"")</f>
        <v/>
      </c>
      <c r="BH280" s="427" t="str">
        <f>IF(AND($A280&gt;=SYear_O,$A280&lt;=EYear_O,BH$3&gt;0),IF($A280=SYear_O,BH$168*(1+Data_All!BH119%),BH279*(1+Data_All!BH119%)),"")</f>
        <v/>
      </c>
      <c r="BI280" s="427" t="str">
        <f>IF(AND($A280&gt;=SYear_O,$A280&lt;=EYear_O,BI$3&gt;0),IF($A280=SYear_O,BI$168*(1+Data_All!BI119%),BI279*(1+Data_All!BI119%)),"")</f>
        <v/>
      </c>
      <c r="BJ280" s="427" t="str">
        <f>IF(AND($A280&gt;=SYear_O,$A280&lt;=EYear_O,BJ$3&gt;0),IF($A280=SYear_O,BJ$168*(1+Data_All!BJ119%),BJ279*(1+Data_All!BJ119%)),"")</f>
        <v/>
      </c>
      <c r="BK280" s="427" t="str">
        <f>IF(AND($A280&gt;=SYear_O,$A280&lt;=EYear_O,BK$3&gt;0),IF($A280=SYear_O,BK$168*(1+Data_All!BK119%),BK279*(1+Data_All!BK119%)),"")</f>
        <v/>
      </c>
      <c r="BL280" s="427" t="str">
        <f>IF(AND($A280&gt;=SYear_O,$A280&lt;=EYear_O,BL$3&gt;0),IF($A280=SYear_O,BL$168*(1+Data_All!BL119%),BL279*(1+Data_All!BL119%)),"")</f>
        <v/>
      </c>
      <c r="BM280" s="427" t="str">
        <f>IF(AND($A280&gt;=SYear_O,$A280&lt;=EYear_O,BM$3&gt;0),IF($A280=SYear_O,BM$168*(1+Data_All!BM119%),BM279*(1+Data_All!BM119%)),"")</f>
        <v/>
      </c>
      <c r="BN280" s="427" t="str">
        <f>IF(AND($A280&gt;=SYear_O,$A280&lt;=EYear_O,BN$3&gt;0),IF($A280=SYear_O,BN$168*(1+Data_All!BN119%),BN279*(1+Data_All!BN119%)),"")</f>
        <v/>
      </c>
      <c r="BO280" s="427" t="str">
        <f>IF(AND($A280&gt;=SYear_O,$A280&lt;=EYear_O,BO$3&gt;0),IF($A280=SYear_O,BO$168*(1+Data_All!BO119%),BO279*(1+Data_All!BO119%)),"")</f>
        <v/>
      </c>
      <c r="BP280" s="427" t="str">
        <f>IF(AND($A280&gt;=SYear_O,$A280&lt;=EYear_O,BP$3&gt;0),IF($A280=SYear_O,BP$168*(1+Data_All!BP119%),BP279*(1+Data_All!BP119%)),"")</f>
        <v/>
      </c>
      <c r="BQ280" s="427" t="str">
        <f>IF(AND($A280&gt;=SYear_O,$A280&lt;=EYear_O,BQ$3&gt;0),IF($A280=SYear_O,BQ$168*(1+Data_All!BQ119%),BQ279*(1+Data_All!BQ119%)),"")</f>
        <v/>
      </c>
      <c r="BR280" s="427" t="str">
        <f>IF(AND($A280&gt;=SYear_O,$A280&lt;=EYear_O,BR$3&gt;0),IF($A280=SYear_O,BR$168*(1+Data_All!BR119%),BR279*(1+Data_All!BR119%)),"")</f>
        <v/>
      </c>
      <c r="BS280" s="427" t="str">
        <f>IF(AND($A280&gt;=SYear_O,$A280&lt;=EYear_O,BS$3&gt;0),IF($A280=SYear_O,BS$168*(1+Data_All!BS119%),BS279*(1+Data_All!BS119%)),"")</f>
        <v/>
      </c>
      <c r="BT280" s="427" t="str">
        <f>IF(AND($A280&gt;=SYear_O,$A280&lt;=EYear_O,BT$3&gt;0),IF($A280=SYear_O,BT$168*(1+Data_All!BT119%),BT279*(1+Data_All!BT119%)),"")</f>
        <v/>
      </c>
      <c r="BU280" s="427" t="str">
        <f>IF(AND($A280&gt;=SYear_O,$A280&lt;=EYear_O,BU$3&gt;0),IF($A280=SYear_O,BU$168*(1+Data_All!BU119%),BU279*(1+Data_All!BU119%)),"")</f>
        <v/>
      </c>
      <c r="BV280" s="427" t="str">
        <f>IF(AND($A280&gt;=SYear_O,$A280&lt;=EYear_O,BV$3&gt;0),IF($A280=SYear_O,BV$168*(1+Data_All!BV119%),BV279*(1+Data_All!BV119%)),"")</f>
        <v/>
      </c>
      <c r="BW280" s="427" t="str">
        <f>IF(AND($A280&gt;=SYear_O,$A280&lt;=EYear_O,BW$3&gt;0),IF($A280=SYear_O,BW$168*(1+Data_All!BW119%),BW279*(1+Data_All!BW119%)),"")</f>
        <v/>
      </c>
      <c r="BX280" s="427">
        <f>IF(AND($A280&gt;=SYear_O,$A280&lt;=EYear_O,BX$3&gt;0),IF($A280=SYear_O,BX$168*(1+Data_All!BX119%),BX279*(1+Data_All!BX119%)),"")</f>
        <v>41800909.306521855</v>
      </c>
      <c r="BY280" s="427">
        <f>IF(AND($A280&gt;=SYear_O,$A280&lt;=EYear_O,BY$3&gt;0),IF($A280=SYear_O,BY$168*(1+Data_All!BY119%),BY279*(1+Data_All!BY119%)),"")</f>
        <v>325426.04100957885</v>
      </c>
      <c r="BZ280" s="427" t="str">
        <f>IF(AND($A280&gt;=SYear_O,$A280&lt;=EYear_O,BZ$3&gt;0),IF($A280=SYear_O,BZ$168*(1+Data_All!BZ119%),BZ279*(1+Data_All!BZ119%)),"")</f>
        <v/>
      </c>
      <c r="CA280" s="565">
        <f t="shared" si="138"/>
        <v>28.904309758901565</v>
      </c>
      <c r="CB280" s="427">
        <f t="shared" si="139"/>
        <v>42126335.347531438</v>
      </c>
      <c r="CC280" s="565">
        <f>IF(AND($A280&gt;=SYear_O,$A280&lt;=EYear_O),(CA280-Data_All!CA119)/(1+Data_All!CA119%),"")</f>
        <v>24.149642595663398</v>
      </c>
      <c r="CD280" s="436">
        <f t="shared" si="140"/>
        <v>5379766.5315377917</v>
      </c>
      <c r="CE280" s="438">
        <f t="shared" si="141"/>
        <v>3820.826548050657</v>
      </c>
      <c r="CF280" s="438">
        <f>IF(AND($A280&gt;=SYear_O,$A280&lt;=EYear_O),MAX($CE$169:CE280),"")</f>
        <v>3820.826548050657</v>
      </c>
      <c r="CG280" s="209">
        <f t="shared" si="142"/>
        <v>0</v>
      </c>
      <c r="CN280" s="61">
        <f t="shared" si="143"/>
        <v>0.2890430975890157</v>
      </c>
      <c r="CO280" s="61">
        <f t="shared" si="144"/>
        <v>0.18591130144012014</v>
      </c>
      <c r="CP280" s="61">
        <f t="shared" si="145"/>
        <v>0.2241625453652818</v>
      </c>
      <c r="CQ280" s="61">
        <f t="shared" si="146"/>
        <v>0.17687301293007307</v>
      </c>
      <c r="CR280" s="61">
        <f t="shared" si="147"/>
        <v>0.17047890953409928</v>
      </c>
      <c r="CU280" s="61">
        <f t="shared" si="148"/>
        <v>0.2414964259566339</v>
      </c>
      <c r="CV280" s="61">
        <f t="shared" si="149"/>
        <v>0.14187536084646069</v>
      </c>
      <c r="CW280" s="61">
        <f t="shared" si="150"/>
        <v>0.18520152810234669</v>
      </c>
      <c r="CX280" s="61">
        <f t="shared" si="151"/>
        <v>0.13262452903854083</v>
      </c>
      <c r="CY280" s="61">
        <f t="shared" si="152"/>
        <v>0.1303646588947196</v>
      </c>
    </row>
    <row r="281" spans="1:103">
      <c r="A281" s="204">
        <f t="shared" si="107"/>
        <v>1983</v>
      </c>
      <c r="B281" s="427" t="str">
        <f>IF(AND($A281&gt;=SYear_O,$A281&lt;=EYear_O,B$3&gt;0),IF($A281=SYear_O,B$168*(1+Data_All!B120%),B280*(1+Data_All!B120%)),"")</f>
        <v/>
      </c>
      <c r="C281" s="427" t="str">
        <f>IF(AND($A281&gt;=SYear_O,$A281&lt;=EYear_O,C$3&gt;0),IF($A281=SYear_O,C$168*(1+Data_All!C120%),C280*(1+Data_All!C120%)),"")</f>
        <v/>
      </c>
      <c r="D281" s="427" t="str">
        <f>IF(AND($A281&gt;=SYear_O,$A281&lt;=EYear_O,D$3&gt;0),IF($A281=SYear_O,D$168*(1+Data_All!D120%),D280*(1+Data_All!D120%)),"")</f>
        <v/>
      </c>
      <c r="E281" s="427" t="str">
        <f>IF(AND($A281&gt;=SYear_O,$A281&lt;=EYear_O,E$3&gt;0),IF($A281=SYear_O,E$168*(1+Data_All!E120%),E280*(1+Data_All!E120%)),"")</f>
        <v/>
      </c>
      <c r="F281" s="427" t="str">
        <f>IF(AND($A281&gt;=SYear_O,$A281&lt;=EYear_O,F$3&gt;0),IF($A281=SYear_O,F$168*(1+Data_All!F120%),F280*(1+Data_All!F120%)),"")</f>
        <v/>
      </c>
      <c r="G281" s="427" t="str">
        <f>IF(AND($A281&gt;=SYear_O,$A281&lt;=EYear_O,G$3&gt;0),IF($A281=SYear_O,G$168*(1+Data_All!G120%),G280*(1+Data_All!G120%)),"")</f>
        <v/>
      </c>
      <c r="H281" s="427" t="str">
        <f>IF(AND($A281&gt;=SYear_O,$A281&lt;=EYear_O,H$3&gt;0),IF($A281=SYear_O,H$168*(1+Data_All!H120%),H280*(1+Data_All!H120%)),"")</f>
        <v/>
      </c>
      <c r="I281" s="427" t="str">
        <f>IF(AND($A281&gt;=SYear_O,$A281&lt;=EYear_O,I$3&gt;0),IF($A281=SYear_O,I$168*(1+Data_All!I120%),I280*(1+Data_All!I120%)),"")</f>
        <v/>
      </c>
      <c r="J281" s="427" t="str">
        <f>IF(AND($A281&gt;=SYear_O,$A281&lt;=EYear_O,J$3&gt;0),IF($A281=SYear_O,J$168*(1+Data_All!J120%),J280*(1+Data_All!J120%)),"")</f>
        <v/>
      </c>
      <c r="K281" s="427" t="str">
        <f>IF(AND($A281&gt;=SYear_O,$A281&lt;=EYear_O,K$3&gt;0),IF($A281=SYear_O,K$168*(1+Data_All!K120%),K280*(1+Data_All!K120%)),"")</f>
        <v/>
      </c>
      <c r="L281" s="427" t="str">
        <f>IF(AND($A281&gt;=SYear_O,$A281&lt;=EYear_O,L$3&gt;0),IF($A281=SYear_O,L$168*(1+Data_All!L120%),L280*(1+Data_All!L120%)),"")</f>
        <v/>
      </c>
      <c r="M281" s="427" t="str">
        <f>IF(AND($A281&gt;=SYear_O,$A281&lt;=EYear_O,M$3&gt;0),IF($A281=SYear_O,M$168*(1+Data_All!M120%),M280*(1+Data_All!M120%)),"")</f>
        <v/>
      </c>
      <c r="N281" s="427" t="str">
        <f>IF(AND($A281&gt;=SYear_O,$A281&lt;=EYear_O,N$3&gt;0),IF($A281=SYear_O,N$168*(1+Data_All!N120%),N280*(1+Data_All!N120%)),"")</f>
        <v/>
      </c>
      <c r="O281" s="427" t="str">
        <f>IF(AND($A281&gt;=SYear_O,$A281&lt;=EYear_O,O$3&gt;0),IF($A281=SYear_O,O$168*(1+Data_All!O120%),O280*(1+Data_All!O120%)),"")</f>
        <v/>
      </c>
      <c r="P281" s="427" t="str">
        <f>IF(AND($A281&gt;=SYear_O,$A281&lt;=EYear_O,P$3&gt;0),IF($A281=SYear_O,P$168*(1+Data_All!P120%),P280*(1+Data_All!P120%)),"")</f>
        <v/>
      </c>
      <c r="Q281" s="427" t="str">
        <f>IF(AND($A281&gt;=SYear_O,$A281&lt;=EYear_O,Q$3&gt;0),IF($A281=SYear_O,Q$168*(1+Data_All!Q120%),Q280*(1+Data_All!Q120%)),"")</f>
        <v/>
      </c>
      <c r="R281" s="427" t="str">
        <f>IF(AND($A281&gt;=SYear_O,$A281&lt;=EYear_O,R$3&gt;0),IF($A281=SYear_O,R$168*(1+Data_All!R120%),R280*(1+Data_All!R120%)),"")</f>
        <v/>
      </c>
      <c r="S281" s="427" t="str">
        <f>IF(AND($A281&gt;=SYear_O,$A281&lt;=EYear_O,S$3&gt;0),IF($A281=SYear_O,S$168*(1+Data_All!S120%),S280*(1+Data_All!S120%)),"")</f>
        <v/>
      </c>
      <c r="T281" s="427" t="str">
        <f>IF(AND($A281&gt;=SYear_O,$A281&lt;=EYear_O,T$3&gt;0),IF($A281=SYear_O,T$168*(1+Data_All!T120%),T280*(1+Data_All!T120%)),"")</f>
        <v/>
      </c>
      <c r="U281" s="427" t="str">
        <f>IF(AND($A281&gt;=SYear_O,$A281&lt;=EYear_O,U$3&gt;0),IF($A281=SYear_O,U$168*(1+Data_All!U120%),U280*(1+Data_All!U120%)),"")</f>
        <v/>
      </c>
      <c r="V281" s="427" t="str">
        <f>IF(AND($A281&gt;=SYear_O,$A281&lt;=EYear_O,V$3&gt;0),IF($A281=SYear_O,V$168*(1+Data_All!V120%),V280*(1+Data_All!V120%)),"")</f>
        <v/>
      </c>
      <c r="W281" s="427" t="str">
        <f>IF(AND($A281&gt;=SYear_O,$A281&lt;=EYear_O,W$3&gt;0),IF($A281=SYear_O,W$168*(1+Data_All!W120%),W280*(1+Data_All!W120%)),"")</f>
        <v/>
      </c>
      <c r="X281" s="427" t="str">
        <f>IF(AND($A281&gt;=SYear_O,$A281&lt;=EYear_O,X$3&gt;0),IF($A281=SYear_O,X$168*(1+Data_All!X120%),X280*(1+Data_All!X120%)),"")</f>
        <v/>
      </c>
      <c r="Y281" s="427" t="str">
        <f>IF(AND($A281&gt;=SYear_O,$A281&lt;=EYear_O,Y$3&gt;0),IF($A281=SYear_O,Y$168*(1+Data_All!Y120%),Y280*(1+Data_All!Y120%)),"")</f>
        <v/>
      </c>
      <c r="Z281" s="427" t="str">
        <f>IF(AND($A281&gt;=SYear_O,$A281&lt;=EYear_O,Z$3&gt;0),IF($A281=SYear_O,Z$168*(1+Data_All!Z120%),Z280*(1+Data_All!Z120%)),"")</f>
        <v/>
      </c>
      <c r="AA281" s="427" t="str">
        <f>IF(AND($A281&gt;=SYear_O,$A281&lt;=EYear_O,AA$3&gt;0),IF($A281=SYear_O,AA$168*(1+Data_All!AA120%),AA280*(1+Data_All!AA120%)),"")</f>
        <v/>
      </c>
      <c r="AB281" s="427" t="str">
        <f>IF(AND($A281&gt;=SYear_O,$A281&lt;=EYear_O,AB$3&gt;0),IF($A281=SYear_O,AB$168*(1+Data_All!AB120%),AB280*(1+Data_All!AB120%)),"")</f>
        <v/>
      </c>
      <c r="AC281" s="427" t="str">
        <f>IF(AND($A281&gt;=SYear_O,$A281&lt;=EYear_O,AC$3&gt;0),IF($A281=SYear_O,AC$168*(1+Data_All!AC120%),AC280*(1+Data_All!AC120%)),"")</f>
        <v/>
      </c>
      <c r="AD281" s="427" t="str">
        <f>IF(AND($A281&gt;=SYear_O,$A281&lt;=EYear_O,AD$3&gt;0),IF($A281=SYear_O,AD$168*(1+Data_All!AD120%),AD280*(1+Data_All!AD120%)),"")</f>
        <v/>
      </c>
      <c r="AE281" s="427" t="str">
        <f>IF(AND($A281&gt;=SYear_O,$A281&lt;=EYear_O,AE$3&gt;0),IF($A281=SYear_O,AE$168*(1+Data_All!AE120%),AE280*(1+Data_All!AE120%)),"")</f>
        <v/>
      </c>
      <c r="AF281" s="427" t="str">
        <f>IF(AND($A281&gt;=SYear_O,$A281&lt;=EYear_O,AF$3&gt;0),IF($A281=SYear_O,AF$168*(1+Data_All!AF120%),AF280*(1+Data_All!AF120%)),"")</f>
        <v/>
      </c>
      <c r="AG281" s="427" t="str">
        <f>IF(AND($A281&gt;=SYear_O,$A281&lt;=EYear_O,AG$3&gt;0),IF($A281=SYear_O,AG$168*(1+Data_All!AG120%),AG280*(1+Data_All!AG120%)),"")</f>
        <v/>
      </c>
      <c r="AH281" s="427" t="str">
        <f>IF(AND($A281&gt;=SYear_O,$A281&lt;=EYear_O,AH$3&gt;0),IF($A281=SYear_O,AH$168*(1+Data_All!AH120%),AH280*(1+Data_All!AH120%)),"")</f>
        <v/>
      </c>
      <c r="AI281" s="427" t="str">
        <f>IF(AND($A281&gt;=SYear_O,$A281&lt;=EYear_O,AI$3&gt;0),IF($A281=SYear_O,AI$168*(1+Data_All!AI120%),AI280*(1+Data_All!AI120%)),"")</f>
        <v/>
      </c>
      <c r="AJ281" s="427" t="str">
        <f>IF(AND($A281&gt;=SYear_O,$A281&lt;=EYear_O,AJ$3&gt;0),IF($A281=SYear_O,AJ$168*(1+Data_All!AJ120%),AJ280*(1+Data_All!AJ120%)),"")</f>
        <v/>
      </c>
      <c r="AK281" s="427" t="str">
        <f>IF(AND($A281&gt;=SYear_O,$A281&lt;=EYear_O,AK$3&gt;0),IF($A281=SYear_O,AK$168*(1+Data_All!AK120%),AK280*(1+Data_All!AK120%)),"")</f>
        <v/>
      </c>
      <c r="AL281" s="427" t="str">
        <f>IF(AND($A281&gt;=SYear_O,$A281&lt;=EYear_O,AL$3&gt;0),IF($A281=SYear_O,AL$168*(1+Data_All!AL120%),AL280*(1+Data_All!AL120%)),"")</f>
        <v/>
      </c>
      <c r="AM281" s="427" t="str">
        <f>IF(AND($A281&gt;=SYear_O,$A281&lt;=EYear_O,AM$3&gt;0),IF($A281=SYear_O,AM$168*(1+Data_All!AM120%),AM280*(1+Data_All!AM120%)),"")</f>
        <v/>
      </c>
      <c r="AN281" s="427" t="str">
        <f>IF(AND($A281&gt;=SYear_O,$A281&lt;=EYear_O,AN$3&gt;0),IF($A281=SYear_O,AN$168*(1+Data_All!AN120%),AN280*(1+Data_All!AN120%)),"")</f>
        <v/>
      </c>
      <c r="AO281" s="427" t="str">
        <f>IF(AND($A281&gt;=SYear_O,$A281&lt;=EYear_O,AO$3&gt;0),IF($A281=SYear_O,AO$168*(1+Data_All!AO120%),AO280*(1+Data_All!AO120%)),"")</f>
        <v/>
      </c>
      <c r="AP281" s="427" t="str">
        <f>IF(AND($A281&gt;=SYear_O,$A281&lt;=EYear_O,AP$3&gt;0),IF($A281=SYear_O,AP$168*(1+Data_All!AP120%),AP280*(1+Data_All!AP120%)),"")</f>
        <v/>
      </c>
      <c r="AQ281" s="427" t="str">
        <f>IF(AND($A281&gt;=SYear_O,$A281&lt;=EYear_O,AQ$3&gt;0),IF($A281=SYear_O,AQ$168*(1+Data_All!AQ120%),AQ280*(1+Data_All!AQ120%)),"")</f>
        <v/>
      </c>
      <c r="AR281" s="427" t="str">
        <f>IF(AND($A281&gt;=SYear_O,$A281&lt;=EYear_O,AR$3&gt;0),IF($A281=SYear_O,AR$168*(1+Data_All!AR120%),AR280*(1+Data_All!AR120%)),"")</f>
        <v/>
      </c>
      <c r="AS281" s="427" t="str">
        <f>IF(AND($A281&gt;=SYear_O,$A281&lt;=EYear_O,AS$3&gt;0),IF($A281=SYear_O,AS$168*(1+Data_All!AS120%),AS280*(1+Data_All!AS120%)),"")</f>
        <v/>
      </c>
      <c r="AT281" s="427" t="str">
        <f>IF(AND($A281&gt;=SYear_O,$A281&lt;=EYear_O,AT$3&gt;0),IF($A281=SYear_O,AT$168*(1+Data_All!AT120%),AT280*(1+Data_All!AT120%)),"")</f>
        <v/>
      </c>
      <c r="AU281" s="427" t="str">
        <f>IF(AND($A281&gt;=SYear_O,$A281&lt;=EYear_O,AU$3&gt;0),IF($A281=SYear_O,AU$168*(1+Data_All!AU120%),AU280*(1+Data_All!AU120%)),"")</f>
        <v/>
      </c>
      <c r="AV281" s="427" t="str">
        <f>IF(AND($A281&gt;=SYear_O,$A281&lt;=EYear_O,AV$3&gt;0),IF($A281=SYear_O,AV$168*(1+Data_All!AV120%),AV280*(1+Data_All!AV120%)),"")</f>
        <v/>
      </c>
      <c r="AW281" s="427" t="str">
        <f>IF(AND($A281&gt;=SYear_O,$A281&lt;=EYear_O,AW$3&gt;0),IF($A281=SYear_O,AW$168*(1+Data_All!AW120%),AW280*(1+Data_All!AW120%)),"")</f>
        <v/>
      </c>
      <c r="AX281" s="427" t="str">
        <f>IF(AND($A281&gt;=SYear_O,$A281&lt;=EYear_O,AX$3&gt;0),IF($A281=SYear_O,AX$168*(1+Data_All!AX120%),AX280*(1+Data_All!AX120%)),"")</f>
        <v/>
      </c>
      <c r="AY281" s="427" t="str">
        <f>IF(AND($A281&gt;=SYear_O,$A281&lt;=EYear_O,AY$3&gt;0),IF($A281=SYear_O,AY$168*(1+Data_All!AY120%),AY280*(1+Data_All!AY120%)),"")</f>
        <v/>
      </c>
      <c r="AZ281" s="427" t="str">
        <f>IF(AND($A281&gt;=SYear_O,$A281&lt;=EYear_O,AZ$3&gt;0),IF($A281=SYear_O,AZ$168*(1+Data_All!AZ120%),AZ280*(1+Data_All!AZ120%)),"")</f>
        <v/>
      </c>
      <c r="BA281" s="427" t="str">
        <f>IF(AND($A281&gt;=SYear_O,$A281&lt;=EYear_O,BA$3&gt;0),IF($A281=SYear_O,BA$168*(1+Data_All!BA120%),BA280*(1+Data_All!BA120%)),"")</f>
        <v/>
      </c>
      <c r="BB281" s="427" t="str">
        <f>IF(AND($A281&gt;=SYear_O,$A281&lt;=EYear_O,BB$3&gt;0),IF($A281=SYear_O,BB$168*(1+Data_All!BB120%),BB280*(1+Data_All!BB120%)),"")</f>
        <v/>
      </c>
      <c r="BC281" s="427" t="str">
        <f>IF(AND($A281&gt;=SYear_O,$A281&lt;=EYear_O,BC$3&gt;0),IF($A281=SYear_O,BC$168*(1+Data_All!BC120%),BC280*(1+Data_All!BC120%)),"")</f>
        <v/>
      </c>
      <c r="BD281" s="427" t="str">
        <f>IF(AND($A281&gt;=SYear_O,$A281&lt;=EYear_O,BD$3&gt;0),IF($A281=SYear_O,BD$168*(1+Data_All!BD120%),BD280*(1+Data_All!BD120%)),"")</f>
        <v/>
      </c>
      <c r="BE281" s="427" t="str">
        <f>IF(AND($A281&gt;=SYear_O,$A281&lt;=EYear_O,BE$3&gt;0),IF($A281=SYear_O,BE$168*(1+Data_All!BE120%),BE280*(1+Data_All!BE120%)),"")</f>
        <v/>
      </c>
      <c r="BF281" s="427" t="str">
        <f>IF(AND($A281&gt;=SYear_O,$A281&lt;=EYear_O,BF$3&gt;0),IF($A281=SYear_O,BF$168*(1+Data_All!BF120%),BF280*(1+Data_All!BF120%)),"")</f>
        <v/>
      </c>
      <c r="BG281" s="427" t="str">
        <f>IF(AND($A281&gt;=SYear_O,$A281&lt;=EYear_O,BG$3&gt;0),IF($A281=SYear_O,BG$168*(1+Data_All!BG120%),BG280*(1+Data_All!BG120%)),"")</f>
        <v/>
      </c>
      <c r="BH281" s="427" t="str">
        <f>IF(AND($A281&gt;=SYear_O,$A281&lt;=EYear_O,BH$3&gt;0),IF($A281=SYear_O,BH$168*(1+Data_All!BH120%),BH280*(1+Data_All!BH120%)),"")</f>
        <v/>
      </c>
      <c r="BI281" s="427" t="str">
        <f>IF(AND($A281&gt;=SYear_O,$A281&lt;=EYear_O,BI$3&gt;0),IF($A281=SYear_O,BI$168*(1+Data_All!BI120%),BI280*(1+Data_All!BI120%)),"")</f>
        <v/>
      </c>
      <c r="BJ281" s="427" t="str">
        <f>IF(AND($A281&gt;=SYear_O,$A281&lt;=EYear_O,BJ$3&gt;0),IF($A281=SYear_O,BJ$168*(1+Data_All!BJ120%),BJ280*(1+Data_All!BJ120%)),"")</f>
        <v/>
      </c>
      <c r="BK281" s="427" t="str">
        <f>IF(AND($A281&gt;=SYear_O,$A281&lt;=EYear_O,BK$3&gt;0),IF($A281=SYear_O,BK$168*(1+Data_All!BK120%),BK280*(1+Data_All!BK120%)),"")</f>
        <v/>
      </c>
      <c r="BL281" s="427" t="str">
        <f>IF(AND($A281&gt;=SYear_O,$A281&lt;=EYear_O,BL$3&gt;0),IF($A281=SYear_O,BL$168*(1+Data_All!BL120%),BL280*(1+Data_All!BL120%)),"")</f>
        <v/>
      </c>
      <c r="BM281" s="427" t="str">
        <f>IF(AND($A281&gt;=SYear_O,$A281&lt;=EYear_O,BM$3&gt;0),IF($A281=SYear_O,BM$168*(1+Data_All!BM120%),BM280*(1+Data_All!BM120%)),"")</f>
        <v/>
      </c>
      <c r="BN281" s="427" t="str">
        <f>IF(AND($A281&gt;=SYear_O,$A281&lt;=EYear_O,BN$3&gt;0),IF($A281=SYear_O,BN$168*(1+Data_All!BN120%),BN280*(1+Data_All!BN120%)),"")</f>
        <v/>
      </c>
      <c r="BO281" s="427" t="str">
        <f>IF(AND($A281&gt;=SYear_O,$A281&lt;=EYear_O,BO$3&gt;0),IF($A281=SYear_O,BO$168*(1+Data_All!BO120%),BO280*(1+Data_All!BO120%)),"")</f>
        <v/>
      </c>
      <c r="BP281" s="427" t="str">
        <f>IF(AND($A281&gt;=SYear_O,$A281&lt;=EYear_O,BP$3&gt;0),IF($A281=SYear_O,BP$168*(1+Data_All!BP120%),BP280*(1+Data_All!BP120%)),"")</f>
        <v/>
      </c>
      <c r="BQ281" s="427" t="str">
        <f>IF(AND($A281&gt;=SYear_O,$A281&lt;=EYear_O,BQ$3&gt;0),IF($A281=SYear_O,BQ$168*(1+Data_All!BQ120%),BQ280*(1+Data_All!BQ120%)),"")</f>
        <v/>
      </c>
      <c r="BR281" s="427" t="str">
        <f>IF(AND($A281&gt;=SYear_O,$A281&lt;=EYear_O,BR$3&gt;0),IF($A281=SYear_O,BR$168*(1+Data_All!BR120%),BR280*(1+Data_All!BR120%)),"")</f>
        <v/>
      </c>
      <c r="BS281" s="427" t="str">
        <f>IF(AND($A281&gt;=SYear_O,$A281&lt;=EYear_O,BS$3&gt;0),IF($A281=SYear_O,BS$168*(1+Data_All!BS120%),BS280*(1+Data_All!BS120%)),"")</f>
        <v/>
      </c>
      <c r="BT281" s="427" t="str">
        <f>IF(AND($A281&gt;=SYear_O,$A281&lt;=EYear_O,BT$3&gt;0),IF($A281=SYear_O,BT$168*(1+Data_All!BT120%),BT280*(1+Data_All!BT120%)),"")</f>
        <v/>
      </c>
      <c r="BU281" s="427" t="str">
        <f>IF(AND($A281&gt;=SYear_O,$A281&lt;=EYear_O,BU$3&gt;0),IF($A281=SYear_O,BU$168*(1+Data_All!BU120%),BU280*(1+Data_All!BU120%)),"")</f>
        <v/>
      </c>
      <c r="BV281" s="427" t="str">
        <f>IF(AND($A281&gt;=SYear_O,$A281&lt;=EYear_O,BV$3&gt;0),IF($A281=SYear_O,BV$168*(1+Data_All!BV120%),BV280*(1+Data_All!BV120%)),"")</f>
        <v/>
      </c>
      <c r="BW281" s="427" t="str">
        <f>IF(AND($A281&gt;=SYear_O,$A281&lt;=EYear_O,BW$3&gt;0),IF($A281=SYear_O,BW$168*(1+Data_All!BW120%),BW280*(1+Data_All!BW120%)),"")</f>
        <v/>
      </c>
      <c r="BX281" s="427">
        <f>IF(AND($A281&gt;=SYear_O,$A281&lt;=EYear_O,BX$3&gt;0),IF($A281=SYear_O,BX$168*(1+Data_All!BX120%),BX280*(1+Data_All!BX120%)),"")</f>
        <v>50264238.902719975</v>
      </c>
      <c r="BY281" s="427">
        <f>IF(AND($A281&gt;=SYear_O,$A281&lt;=EYear_O,BY$3&gt;0),IF($A281=SYear_O,BY$168*(1+Data_All!BY120%),BY280*(1+Data_All!BY120%)),"")</f>
        <v>344375.46609926654</v>
      </c>
      <c r="BZ281" s="427" t="str">
        <f>IF(AND($A281&gt;=SYear_O,$A281&lt;=EYear_O,BZ$3&gt;0),IF($A281=SYear_O,BZ$168*(1+Data_All!BZ120%),BZ280*(1+Data_All!BZ120%)),"")</f>
        <v/>
      </c>
      <c r="CA281" s="565">
        <f t="shared" si="138"/>
        <v>20.135335654789777</v>
      </c>
      <c r="CB281" s="427">
        <f t="shared" si="139"/>
        <v>50608614.368819244</v>
      </c>
      <c r="CC281" s="565">
        <f>IF(AND($A281&gt;=SYear_O,$A281&lt;=EYear_O),(CA281-Data_All!CA120)/(1+Data_All!CA120%),"")</f>
        <v>15.747371766115313</v>
      </c>
      <c r="CD281" s="436">
        <f t="shared" si="140"/>
        <v>6226938.3674080949</v>
      </c>
      <c r="CE281" s="438">
        <f t="shared" si="141"/>
        <v>4590.1627982879745</v>
      </c>
      <c r="CF281" s="438">
        <f>IF(AND($A281&gt;=SYear_O,$A281&lt;=EYear_O),MAX($CE$169:CE281),"")</f>
        <v>4590.1627982879745</v>
      </c>
      <c r="CG281" s="209">
        <f t="shared" si="142"/>
        <v>0</v>
      </c>
      <c r="CN281" s="61">
        <f t="shared" si="143"/>
        <v>0.20135335654789777</v>
      </c>
      <c r="CO281" s="61">
        <f t="shared" si="144"/>
        <v>0.17656669710373163</v>
      </c>
      <c r="CP281" s="61">
        <f t="shared" si="145"/>
        <v>0.15896643423252987</v>
      </c>
      <c r="CQ281" s="61">
        <f t="shared" si="146"/>
        <v>0.15578853543022975</v>
      </c>
      <c r="CR281" s="61">
        <f t="shared" si="147"/>
        <v>0.16974339980169773</v>
      </c>
      <c r="CU281" s="61">
        <f t="shared" si="148"/>
        <v>0.15747371766115315</v>
      </c>
      <c r="CV281" s="61">
        <f t="shared" si="149"/>
        <v>0.13299093913189908</v>
      </c>
      <c r="CW281" s="61">
        <f t="shared" si="150"/>
        <v>0.12077816119364893</v>
      </c>
      <c r="CX281" s="61">
        <f t="shared" si="151"/>
        <v>0.11333310876637914</v>
      </c>
      <c r="CY281" s="61">
        <f t="shared" si="152"/>
        <v>0.1312145089470349</v>
      </c>
    </row>
    <row r="282" spans="1:103">
      <c r="A282" s="204">
        <f t="shared" si="107"/>
        <v>1984</v>
      </c>
      <c r="B282" s="427" t="str">
        <f>IF(AND($A282&gt;=SYear_O,$A282&lt;=EYear_O,B$3&gt;0),IF($A282=SYear_O,B$168*(1+Data_All!B121%),B281*(1+Data_All!B121%)),"")</f>
        <v/>
      </c>
      <c r="C282" s="427" t="str">
        <f>IF(AND($A282&gt;=SYear_O,$A282&lt;=EYear_O,C$3&gt;0),IF($A282=SYear_O,C$168*(1+Data_All!C121%),C281*(1+Data_All!C121%)),"")</f>
        <v/>
      </c>
      <c r="D282" s="427" t="str">
        <f>IF(AND($A282&gt;=SYear_O,$A282&lt;=EYear_O,D$3&gt;0),IF($A282=SYear_O,D$168*(1+Data_All!D121%),D281*(1+Data_All!D121%)),"")</f>
        <v/>
      </c>
      <c r="E282" s="427" t="str">
        <f>IF(AND($A282&gt;=SYear_O,$A282&lt;=EYear_O,E$3&gt;0),IF($A282=SYear_O,E$168*(1+Data_All!E121%),E281*(1+Data_All!E121%)),"")</f>
        <v/>
      </c>
      <c r="F282" s="427" t="str">
        <f>IF(AND($A282&gt;=SYear_O,$A282&lt;=EYear_O,F$3&gt;0),IF($A282=SYear_O,F$168*(1+Data_All!F121%),F281*(1+Data_All!F121%)),"")</f>
        <v/>
      </c>
      <c r="G282" s="427" t="str">
        <f>IF(AND($A282&gt;=SYear_O,$A282&lt;=EYear_O,G$3&gt;0),IF($A282=SYear_O,G$168*(1+Data_All!G121%),G281*(1+Data_All!G121%)),"")</f>
        <v/>
      </c>
      <c r="H282" s="427" t="str">
        <f>IF(AND($A282&gt;=SYear_O,$A282&lt;=EYear_O,H$3&gt;0),IF($A282=SYear_O,H$168*(1+Data_All!H121%),H281*(1+Data_All!H121%)),"")</f>
        <v/>
      </c>
      <c r="I282" s="427" t="str">
        <f>IF(AND($A282&gt;=SYear_O,$A282&lt;=EYear_O,I$3&gt;0),IF($A282=SYear_O,I$168*(1+Data_All!I121%),I281*(1+Data_All!I121%)),"")</f>
        <v/>
      </c>
      <c r="J282" s="427" t="str">
        <f>IF(AND($A282&gt;=SYear_O,$A282&lt;=EYear_O,J$3&gt;0),IF($A282=SYear_O,J$168*(1+Data_All!J121%),J281*(1+Data_All!J121%)),"")</f>
        <v/>
      </c>
      <c r="K282" s="427" t="str">
        <f>IF(AND($A282&gt;=SYear_O,$A282&lt;=EYear_O,K$3&gt;0),IF($A282=SYear_O,K$168*(1+Data_All!K121%),K281*(1+Data_All!K121%)),"")</f>
        <v/>
      </c>
      <c r="L282" s="427" t="str">
        <f>IF(AND($A282&gt;=SYear_O,$A282&lt;=EYear_O,L$3&gt;0),IF($A282=SYear_O,L$168*(1+Data_All!L121%),L281*(1+Data_All!L121%)),"")</f>
        <v/>
      </c>
      <c r="M282" s="427" t="str">
        <f>IF(AND($A282&gt;=SYear_O,$A282&lt;=EYear_O,M$3&gt;0),IF($A282=SYear_O,M$168*(1+Data_All!M121%),M281*(1+Data_All!M121%)),"")</f>
        <v/>
      </c>
      <c r="N282" s="427" t="str">
        <f>IF(AND($A282&gt;=SYear_O,$A282&lt;=EYear_O,N$3&gt;0),IF($A282=SYear_O,N$168*(1+Data_All!N121%),N281*(1+Data_All!N121%)),"")</f>
        <v/>
      </c>
      <c r="O282" s="427" t="str">
        <f>IF(AND($A282&gt;=SYear_O,$A282&lt;=EYear_O,O$3&gt;0),IF($A282=SYear_O,O$168*(1+Data_All!O121%),O281*(1+Data_All!O121%)),"")</f>
        <v/>
      </c>
      <c r="P282" s="427" t="str">
        <f>IF(AND($A282&gt;=SYear_O,$A282&lt;=EYear_O,P$3&gt;0),IF($A282=SYear_O,P$168*(1+Data_All!P121%),P281*(1+Data_All!P121%)),"")</f>
        <v/>
      </c>
      <c r="Q282" s="427" t="str">
        <f>IF(AND($A282&gt;=SYear_O,$A282&lt;=EYear_O,Q$3&gt;0),IF($A282=SYear_O,Q$168*(1+Data_All!Q121%),Q281*(1+Data_All!Q121%)),"")</f>
        <v/>
      </c>
      <c r="R282" s="427" t="str">
        <f>IF(AND($A282&gt;=SYear_O,$A282&lt;=EYear_O,R$3&gt;0),IF($A282=SYear_O,R$168*(1+Data_All!R121%),R281*(1+Data_All!R121%)),"")</f>
        <v/>
      </c>
      <c r="S282" s="427" t="str">
        <f>IF(AND($A282&gt;=SYear_O,$A282&lt;=EYear_O,S$3&gt;0),IF($A282=SYear_O,S$168*(1+Data_All!S121%),S281*(1+Data_All!S121%)),"")</f>
        <v/>
      </c>
      <c r="T282" s="427" t="str">
        <f>IF(AND($A282&gt;=SYear_O,$A282&lt;=EYear_O,T$3&gt;0),IF($A282=SYear_O,T$168*(1+Data_All!T121%),T281*(1+Data_All!T121%)),"")</f>
        <v/>
      </c>
      <c r="U282" s="427" t="str">
        <f>IF(AND($A282&gt;=SYear_O,$A282&lt;=EYear_O,U$3&gt;0),IF($A282=SYear_O,U$168*(1+Data_All!U121%),U281*(1+Data_All!U121%)),"")</f>
        <v/>
      </c>
      <c r="V282" s="427" t="str">
        <f>IF(AND($A282&gt;=SYear_O,$A282&lt;=EYear_O,V$3&gt;0),IF($A282=SYear_O,V$168*(1+Data_All!V121%),V281*(1+Data_All!V121%)),"")</f>
        <v/>
      </c>
      <c r="W282" s="427" t="str">
        <f>IF(AND($A282&gt;=SYear_O,$A282&lt;=EYear_O,W$3&gt;0),IF($A282=SYear_O,W$168*(1+Data_All!W121%),W281*(1+Data_All!W121%)),"")</f>
        <v/>
      </c>
      <c r="X282" s="427" t="str">
        <f>IF(AND($A282&gt;=SYear_O,$A282&lt;=EYear_O,X$3&gt;0),IF($A282=SYear_O,X$168*(1+Data_All!X121%),X281*(1+Data_All!X121%)),"")</f>
        <v/>
      </c>
      <c r="Y282" s="427" t="str">
        <f>IF(AND($A282&gt;=SYear_O,$A282&lt;=EYear_O,Y$3&gt;0),IF($A282=SYear_O,Y$168*(1+Data_All!Y121%),Y281*(1+Data_All!Y121%)),"")</f>
        <v/>
      </c>
      <c r="Z282" s="427" t="str">
        <f>IF(AND($A282&gt;=SYear_O,$A282&lt;=EYear_O,Z$3&gt;0),IF($A282=SYear_O,Z$168*(1+Data_All!Z121%),Z281*(1+Data_All!Z121%)),"")</f>
        <v/>
      </c>
      <c r="AA282" s="427" t="str">
        <f>IF(AND($A282&gt;=SYear_O,$A282&lt;=EYear_O,AA$3&gt;0),IF($A282=SYear_O,AA$168*(1+Data_All!AA121%),AA281*(1+Data_All!AA121%)),"")</f>
        <v/>
      </c>
      <c r="AB282" s="427" t="str">
        <f>IF(AND($A282&gt;=SYear_O,$A282&lt;=EYear_O,AB$3&gt;0),IF($A282=SYear_O,AB$168*(1+Data_All!AB121%),AB281*(1+Data_All!AB121%)),"")</f>
        <v/>
      </c>
      <c r="AC282" s="427" t="str">
        <f>IF(AND($A282&gt;=SYear_O,$A282&lt;=EYear_O,AC$3&gt;0),IF($A282=SYear_O,AC$168*(1+Data_All!AC121%),AC281*(1+Data_All!AC121%)),"")</f>
        <v/>
      </c>
      <c r="AD282" s="427" t="str">
        <f>IF(AND($A282&gt;=SYear_O,$A282&lt;=EYear_O,AD$3&gt;0),IF($A282=SYear_O,AD$168*(1+Data_All!AD121%),AD281*(1+Data_All!AD121%)),"")</f>
        <v/>
      </c>
      <c r="AE282" s="427" t="str">
        <f>IF(AND($A282&gt;=SYear_O,$A282&lt;=EYear_O,AE$3&gt;0),IF($A282=SYear_O,AE$168*(1+Data_All!AE121%),AE281*(1+Data_All!AE121%)),"")</f>
        <v/>
      </c>
      <c r="AF282" s="427" t="str">
        <f>IF(AND($A282&gt;=SYear_O,$A282&lt;=EYear_O,AF$3&gt;0),IF($A282=SYear_O,AF$168*(1+Data_All!AF121%),AF281*(1+Data_All!AF121%)),"")</f>
        <v/>
      </c>
      <c r="AG282" s="427" t="str">
        <f>IF(AND($A282&gt;=SYear_O,$A282&lt;=EYear_O,AG$3&gt;0),IF($A282=SYear_O,AG$168*(1+Data_All!AG121%),AG281*(1+Data_All!AG121%)),"")</f>
        <v/>
      </c>
      <c r="AH282" s="427" t="str">
        <f>IF(AND($A282&gt;=SYear_O,$A282&lt;=EYear_O,AH$3&gt;0),IF($A282=SYear_O,AH$168*(1+Data_All!AH121%),AH281*(1+Data_All!AH121%)),"")</f>
        <v/>
      </c>
      <c r="AI282" s="427" t="str">
        <f>IF(AND($A282&gt;=SYear_O,$A282&lt;=EYear_O,AI$3&gt;0),IF($A282=SYear_O,AI$168*(1+Data_All!AI121%),AI281*(1+Data_All!AI121%)),"")</f>
        <v/>
      </c>
      <c r="AJ282" s="427" t="str">
        <f>IF(AND($A282&gt;=SYear_O,$A282&lt;=EYear_O,AJ$3&gt;0),IF($A282=SYear_O,AJ$168*(1+Data_All!AJ121%),AJ281*(1+Data_All!AJ121%)),"")</f>
        <v/>
      </c>
      <c r="AK282" s="427" t="str">
        <f>IF(AND($A282&gt;=SYear_O,$A282&lt;=EYear_O,AK$3&gt;0),IF($A282=SYear_O,AK$168*(1+Data_All!AK121%),AK281*(1+Data_All!AK121%)),"")</f>
        <v/>
      </c>
      <c r="AL282" s="427" t="str">
        <f>IF(AND($A282&gt;=SYear_O,$A282&lt;=EYear_O,AL$3&gt;0),IF($A282=SYear_O,AL$168*(1+Data_All!AL121%),AL281*(1+Data_All!AL121%)),"")</f>
        <v/>
      </c>
      <c r="AM282" s="427" t="str">
        <f>IF(AND($A282&gt;=SYear_O,$A282&lt;=EYear_O,AM$3&gt;0),IF($A282=SYear_O,AM$168*(1+Data_All!AM121%),AM281*(1+Data_All!AM121%)),"")</f>
        <v/>
      </c>
      <c r="AN282" s="427" t="str">
        <f>IF(AND($A282&gt;=SYear_O,$A282&lt;=EYear_O,AN$3&gt;0),IF($A282=SYear_O,AN$168*(1+Data_All!AN121%),AN281*(1+Data_All!AN121%)),"")</f>
        <v/>
      </c>
      <c r="AO282" s="427" t="str">
        <f>IF(AND($A282&gt;=SYear_O,$A282&lt;=EYear_O,AO$3&gt;0),IF($A282=SYear_O,AO$168*(1+Data_All!AO121%),AO281*(1+Data_All!AO121%)),"")</f>
        <v/>
      </c>
      <c r="AP282" s="427" t="str">
        <f>IF(AND($A282&gt;=SYear_O,$A282&lt;=EYear_O,AP$3&gt;0),IF($A282=SYear_O,AP$168*(1+Data_All!AP121%),AP281*(1+Data_All!AP121%)),"")</f>
        <v/>
      </c>
      <c r="AQ282" s="427" t="str">
        <f>IF(AND($A282&gt;=SYear_O,$A282&lt;=EYear_O,AQ$3&gt;0),IF($A282=SYear_O,AQ$168*(1+Data_All!AQ121%),AQ281*(1+Data_All!AQ121%)),"")</f>
        <v/>
      </c>
      <c r="AR282" s="427" t="str">
        <f>IF(AND($A282&gt;=SYear_O,$A282&lt;=EYear_O,AR$3&gt;0),IF($A282=SYear_O,AR$168*(1+Data_All!AR121%),AR281*(1+Data_All!AR121%)),"")</f>
        <v/>
      </c>
      <c r="AS282" s="427" t="str">
        <f>IF(AND($A282&gt;=SYear_O,$A282&lt;=EYear_O,AS$3&gt;0),IF($A282=SYear_O,AS$168*(1+Data_All!AS121%),AS281*(1+Data_All!AS121%)),"")</f>
        <v/>
      </c>
      <c r="AT282" s="427" t="str">
        <f>IF(AND($A282&gt;=SYear_O,$A282&lt;=EYear_O,AT$3&gt;0),IF($A282=SYear_O,AT$168*(1+Data_All!AT121%),AT281*(1+Data_All!AT121%)),"")</f>
        <v/>
      </c>
      <c r="AU282" s="427" t="str">
        <f>IF(AND($A282&gt;=SYear_O,$A282&lt;=EYear_O,AU$3&gt;0),IF($A282=SYear_O,AU$168*(1+Data_All!AU121%),AU281*(1+Data_All!AU121%)),"")</f>
        <v/>
      </c>
      <c r="AV282" s="427" t="str">
        <f>IF(AND($A282&gt;=SYear_O,$A282&lt;=EYear_O,AV$3&gt;0),IF($A282=SYear_O,AV$168*(1+Data_All!AV121%),AV281*(1+Data_All!AV121%)),"")</f>
        <v/>
      </c>
      <c r="AW282" s="427" t="str">
        <f>IF(AND($A282&gt;=SYear_O,$A282&lt;=EYear_O,AW$3&gt;0),IF($A282=SYear_O,AW$168*(1+Data_All!AW121%),AW281*(1+Data_All!AW121%)),"")</f>
        <v/>
      </c>
      <c r="AX282" s="427" t="str">
        <f>IF(AND($A282&gt;=SYear_O,$A282&lt;=EYear_O,AX$3&gt;0),IF($A282=SYear_O,AX$168*(1+Data_All!AX121%),AX281*(1+Data_All!AX121%)),"")</f>
        <v/>
      </c>
      <c r="AY282" s="427" t="str">
        <f>IF(AND($A282&gt;=SYear_O,$A282&lt;=EYear_O,AY$3&gt;0),IF($A282=SYear_O,AY$168*(1+Data_All!AY121%),AY281*(1+Data_All!AY121%)),"")</f>
        <v/>
      </c>
      <c r="AZ282" s="427" t="str">
        <f>IF(AND($A282&gt;=SYear_O,$A282&lt;=EYear_O,AZ$3&gt;0),IF($A282=SYear_O,AZ$168*(1+Data_All!AZ121%),AZ281*(1+Data_All!AZ121%)),"")</f>
        <v/>
      </c>
      <c r="BA282" s="427" t="str">
        <f>IF(AND($A282&gt;=SYear_O,$A282&lt;=EYear_O,BA$3&gt;0),IF($A282=SYear_O,BA$168*(1+Data_All!BA121%),BA281*(1+Data_All!BA121%)),"")</f>
        <v/>
      </c>
      <c r="BB282" s="427" t="str">
        <f>IF(AND($A282&gt;=SYear_O,$A282&lt;=EYear_O,BB$3&gt;0),IF($A282=SYear_O,BB$168*(1+Data_All!BB121%),BB281*(1+Data_All!BB121%)),"")</f>
        <v/>
      </c>
      <c r="BC282" s="427" t="str">
        <f>IF(AND($A282&gt;=SYear_O,$A282&lt;=EYear_O,BC$3&gt;0),IF($A282=SYear_O,BC$168*(1+Data_All!BC121%),BC281*(1+Data_All!BC121%)),"")</f>
        <v/>
      </c>
      <c r="BD282" s="427" t="str">
        <f>IF(AND($A282&gt;=SYear_O,$A282&lt;=EYear_O,BD$3&gt;0),IF($A282=SYear_O,BD$168*(1+Data_All!BD121%),BD281*(1+Data_All!BD121%)),"")</f>
        <v/>
      </c>
      <c r="BE282" s="427" t="str">
        <f>IF(AND($A282&gt;=SYear_O,$A282&lt;=EYear_O,BE$3&gt;0),IF($A282=SYear_O,BE$168*(1+Data_All!BE121%),BE281*(1+Data_All!BE121%)),"")</f>
        <v/>
      </c>
      <c r="BF282" s="427" t="str">
        <f>IF(AND($A282&gt;=SYear_O,$A282&lt;=EYear_O,BF$3&gt;0),IF($A282=SYear_O,BF$168*(1+Data_All!BF121%),BF281*(1+Data_All!BF121%)),"")</f>
        <v/>
      </c>
      <c r="BG282" s="427" t="str">
        <f>IF(AND($A282&gt;=SYear_O,$A282&lt;=EYear_O,BG$3&gt;0),IF($A282=SYear_O,BG$168*(1+Data_All!BG121%),BG281*(1+Data_All!BG121%)),"")</f>
        <v/>
      </c>
      <c r="BH282" s="427" t="str">
        <f>IF(AND($A282&gt;=SYear_O,$A282&lt;=EYear_O,BH$3&gt;0),IF($A282=SYear_O,BH$168*(1+Data_All!BH121%),BH281*(1+Data_All!BH121%)),"")</f>
        <v/>
      </c>
      <c r="BI282" s="427" t="str">
        <f>IF(AND($A282&gt;=SYear_O,$A282&lt;=EYear_O,BI$3&gt;0),IF($A282=SYear_O,BI$168*(1+Data_All!BI121%),BI281*(1+Data_All!BI121%)),"")</f>
        <v/>
      </c>
      <c r="BJ282" s="427" t="str">
        <f>IF(AND($A282&gt;=SYear_O,$A282&lt;=EYear_O,BJ$3&gt;0),IF($A282=SYear_O,BJ$168*(1+Data_All!BJ121%),BJ281*(1+Data_All!BJ121%)),"")</f>
        <v/>
      </c>
      <c r="BK282" s="427" t="str">
        <f>IF(AND($A282&gt;=SYear_O,$A282&lt;=EYear_O,BK$3&gt;0),IF($A282=SYear_O,BK$168*(1+Data_All!BK121%),BK281*(1+Data_All!BK121%)),"")</f>
        <v/>
      </c>
      <c r="BL282" s="427" t="str">
        <f>IF(AND($A282&gt;=SYear_O,$A282&lt;=EYear_O,BL$3&gt;0),IF($A282=SYear_O,BL$168*(1+Data_All!BL121%),BL281*(1+Data_All!BL121%)),"")</f>
        <v/>
      </c>
      <c r="BM282" s="427" t="str">
        <f>IF(AND($A282&gt;=SYear_O,$A282&lt;=EYear_O,BM$3&gt;0),IF($A282=SYear_O,BM$168*(1+Data_All!BM121%),BM281*(1+Data_All!BM121%)),"")</f>
        <v/>
      </c>
      <c r="BN282" s="427" t="str">
        <f>IF(AND($A282&gt;=SYear_O,$A282&lt;=EYear_O,BN$3&gt;0),IF($A282=SYear_O,BN$168*(1+Data_All!BN121%),BN281*(1+Data_All!BN121%)),"")</f>
        <v/>
      </c>
      <c r="BO282" s="427" t="str">
        <f>IF(AND($A282&gt;=SYear_O,$A282&lt;=EYear_O,BO$3&gt;0),IF($A282=SYear_O,BO$168*(1+Data_All!BO121%),BO281*(1+Data_All!BO121%)),"")</f>
        <v/>
      </c>
      <c r="BP282" s="427" t="str">
        <f>IF(AND($A282&gt;=SYear_O,$A282&lt;=EYear_O,BP$3&gt;0),IF($A282=SYear_O,BP$168*(1+Data_All!BP121%),BP281*(1+Data_All!BP121%)),"")</f>
        <v/>
      </c>
      <c r="BQ282" s="427" t="str">
        <f>IF(AND($A282&gt;=SYear_O,$A282&lt;=EYear_O,BQ$3&gt;0),IF($A282=SYear_O,BQ$168*(1+Data_All!BQ121%),BQ281*(1+Data_All!BQ121%)),"")</f>
        <v/>
      </c>
      <c r="BR282" s="427" t="str">
        <f>IF(AND($A282&gt;=SYear_O,$A282&lt;=EYear_O,BR$3&gt;0),IF($A282=SYear_O,BR$168*(1+Data_All!BR121%),BR281*(1+Data_All!BR121%)),"")</f>
        <v/>
      </c>
      <c r="BS282" s="427" t="str">
        <f>IF(AND($A282&gt;=SYear_O,$A282&lt;=EYear_O,BS$3&gt;0),IF($A282=SYear_O,BS$168*(1+Data_All!BS121%),BS281*(1+Data_All!BS121%)),"")</f>
        <v/>
      </c>
      <c r="BT282" s="427" t="str">
        <f>IF(AND($A282&gt;=SYear_O,$A282&lt;=EYear_O,BT$3&gt;0),IF($A282=SYear_O,BT$168*(1+Data_All!BT121%),BT281*(1+Data_All!BT121%)),"")</f>
        <v/>
      </c>
      <c r="BU282" s="427" t="str">
        <f>IF(AND($A282&gt;=SYear_O,$A282&lt;=EYear_O,BU$3&gt;0),IF($A282=SYear_O,BU$168*(1+Data_All!BU121%),BU281*(1+Data_All!BU121%)),"")</f>
        <v/>
      </c>
      <c r="BV282" s="427" t="str">
        <f>IF(AND($A282&gt;=SYear_O,$A282&lt;=EYear_O,BV$3&gt;0),IF($A282=SYear_O,BV$168*(1+Data_All!BV121%),BV281*(1+Data_All!BV121%)),"")</f>
        <v/>
      </c>
      <c r="BW282" s="427" t="str">
        <f>IF(AND($A282&gt;=SYear_O,$A282&lt;=EYear_O,BW$3&gt;0),IF($A282=SYear_O,BW$168*(1+Data_All!BW121%),BW281*(1+Data_All!BW121%)),"")</f>
        <v/>
      </c>
      <c r="BX282" s="427">
        <f>IF(AND($A282&gt;=SYear_O,$A282&lt;=EYear_O,BX$3&gt;0),IF($A282=SYear_O,BX$168*(1+Data_All!BX121%),BX281*(1+Data_All!BX121%)),"")</f>
        <v>54115846.847967178</v>
      </c>
      <c r="BY282" s="427">
        <f>IF(AND($A282&gt;=SYear_O,$A282&lt;=EYear_O,BY$3&gt;0),IF($A282=SYear_O,BY$168*(1+Data_All!BY121%),BY281*(1+Data_All!BY121%)),"")</f>
        <v>389971.73012637428</v>
      </c>
      <c r="BZ282" s="427" t="str">
        <f>IF(AND($A282&gt;=SYear_O,$A282&lt;=EYear_O,BZ$3&gt;0),IF($A282=SYear_O,BZ$168*(1+Data_All!BZ121%),BZ281*(1+Data_All!BZ121%)),"")</f>
        <v/>
      </c>
      <c r="CA282" s="565">
        <f t="shared" si="138"/>
        <v>7.7006736064195334</v>
      </c>
      <c r="CB282" s="427">
        <f t="shared" si="139"/>
        <v>54505818.578093551</v>
      </c>
      <c r="CC282" s="565">
        <f>IF(AND($A282&gt;=SYear_O,$A282&lt;=EYear_O),(CA282-Data_All!CA121)/(1+Data_All!CA121%),"")</f>
        <v>3.6094799271633411</v>
      </c>
      <c r="CD282" s="436">
        <f t="shared" si="140"/>
        <v>6451698.4578565229</v>
      </c>
      <c r="CE282" s="438">
        <f t="shared" si="141"/>
        <v>4943.6362533874244</v>
      </c>
      <c r="CF282" s="438">
        <f>IF(AND($A282&gt;=SYear_O,$A282&lt;=EYear_O),MAX($CE$169:CE282),"")</f>
        <v>4943.6362533874244</v>
      </c>
      <c r="CG282" s="209">
        <f t="shared" si="142"/>
        <v>0</v>
      </c>
      <c r="CN282" s="61">
        <f t="shared" si="143"/>
        <v>7.700673606419528E-2</v>
      </c>
      <c r="CO282" s="61">
        <f t="shared" si="144"/>
        <v>0.21083717117918077</v>
      </c>
      <c r="CP282" s="61">
        <f t="shared" si="145"/>
        <v>0.15433091664057641</v>
      </c>
      <c r="CQ282" s="61">
        <f t="shared" si="146"/>
        <v>0.14725971662736681</v>
      </c>
      <c r="CR282" s="61">
        <f t="shared" si="147"/>
        <v>0.1766600563362406</v>
      </c>
      <c r="CU282" s="61">
        <f t="shared" si="148"/>
        <v>3.6094799271633393E-2</v>
      </c>
      <c r="CV282" s="61">
        <f t="shared" si="149"/>
        <v>0.17625495856428164</v>
      </c>
      <c r="CW282" s="61">
        <f t="shared" si="150"/>
        <v>0.11494849924976225</v>
      </c>
      <c r="CX282" s="61">
        <f t="shared" si="151"/>
        <v>0.10623383291520705</v>
      </c>
      <c r="CY282" s="61">
        <f t="shared" si="152"/>
        <v>0.13951411820395698</v>
      </c>
    </row>
    <row r="283" spans="1:103">
      <c r="A283" s="204">
        <f t="shared" si="107"/>
        <v>1985</v>
      </c>
      <c r="B283" s="427" t="str">
        <f>IF(AND($A283&gt;=SYear_O,$A283&lt;=EYear_O,B$3&gt;0),IF($A283=SYear_O,B$168*(1+Data_All!B122%),B282*(1+Data_All!B122%)),"")</f>
        <v/>
      </c>
      <c r="C283" s="427" t="str">
        <f>IF(AND($A283&gt;=SYear_O,$A283&lt;=EYear_O,C$3&gt;0),IF($A283=SYear_O,C$168*(1+Data_All!C122%),C282*(1+Data_All!C122%)),"")</f>
        <v/>
      </c>
      <c r="D283" s="427" t="str">
        <f>IF(AND($A283&gt;=SYear_O,$A283&lt;=EYear_O,D$3&gt;0),IF($A283=SYear_O,D$168*(1+Data_All!D122%),D282*(1+Data_All!D122%)),"")</f>
        <v/>
      </c>
      <c r="E283" s="427" t="str">
        <f>IF(AND($A283&gt;=SYear_O,$A283&lt;=EYear_O,E$3&gt;0),IF($A283=SYear_O,E$168*(1+Data_All!E122%),E282*(1+Data_All!E122%)),"")</f>
        <v/>
      </c>
      <c r="F283" s="427" t="str">
        <f>IF(AND($A283&gt;=SYear_O,$A283&lt;=EYear_O,F$3&gt;0),IF($A283=SYear_O,F$168*(1+Data_All!F122%),F282*(1+Data_All!F122%)),"")</f>
        <v/>
      </c>
      <c r="G283" s="427" t="str">
        <f>IF(AND($A283&gt;=SYear_O,$A283&lt;=EYear_O,G$3&gt;0),IF($A283=SYear_O,G$168*(1+Data_All!G122%),G282*(1+Data_All!G122%)),"")</f>
        <v/>
      </c>
      <c r="H283" s="427" t="str">
        <f>IF(AND($A283&gt;=SYear_O,$A283&lt;=EYear_O,H$3&gt;0),IF($A283=SYear_O,H$168*(1+Data_All!H122%),H282*(1+Data_All!H122%)),"")</f>
        <v/>
      </c>
      <c r="I283" s="427" t="str">
        <f>IF(AND($A283&gt;=SYear_O,$A283&lt;=EYear_O,I$3&gt;0),IF($A283=SYear_O,I$168*(1+Data_All!I122%),I282*(1+Data_All!I122%)),"")</f>
        <v/>
      </c>
      <c r="J283" s="427" t="str">
        <f>IF(AND($A283&gt;=SYear_O,$A283&lt;=EYear_O,J$3&gt;0),IF($A283=SYear_O,J$168*(1+Data_All!J122%),J282*(1+Data_All!J122%)),"")</f>
        <v/>
      </c>
      <c r="K283" s="427" t="str">
        <f>IF(AND($A283&gt;=SYear_O,$A283&lt;=EYear_O,K$3&gt;0),IF($A283=SYear_O,K$168*(1+Data_All!K122%),K282*(1+Data_All!K122%)),"")</f>
        <v/>
      </c>
      <c r="L283" s="427" t="str">
        <f>IF(AND($A283&gt;=SYear_O,$A283&lt;=EYear_O,L$3&gt;0),IF($A283=SYear_O,L$168*(1+Data_All!L122%),L282*(1+Data_All!L122%)),"")</f>
        <v/>
      </c>
      <c r="M283" s="427" t="str">
        <f>IF(AND($A283&gt;=SYear_O,$A283&lt;=EYear_O,M$3&gt;0),IF($A283=SYear_O,M$168*(1+Data_All!M122%),M282*(1+Data_All!M122%)),"")</f>
        <v/>
      </c>
      <c r="N283" s="427" t="str">
        <f>IF(AND($A283&gt;=SYear_O,$A283&lt;=EYear_O,N$3&gt;0),IF($A283=SYear_O,N$168*(1+Data_All!N122%),N282*(1+Data_All!N122%)),"")</f>
        <v/>
      </c>
      <c r="O283" s="427" t="str">
        <f>IF(AND($A283&gt;=SYear_O,$A283&lt;=EYear_O,O$3&gt;0),IF($A283=SYear_O,O$168*(1+Data_All!O122%),O282*(1+Data_All!O122%)),"")</f>
        <v/>
      </c>
      <c r="P283" s="427" t="str">
        <f>IF(AND($A283&gt;=SYear_O,$A283&lt;=EYear_O,P$3&gt;0),IF($A283=SYear_O,P$168*(1+Data_All!P122%),P282*(1+Data_All!P122%)),"")</f>
        <v/>
      </c>
      <c r="Q283" s="427" t="str">
        <f>IF(AND($A283&gt;=SYear_O,$A283&lt;=EYear_O,Q$3&gt;0),IF($A283=SYear_O,Q$168*(1+Data_All!Q122%),Q282*(1+Data_All!Q122%)),"")</f>
        <v/>
      </c>
      <c r="R283" s="427" t="str">
        <f>IF(AND($A283&gt;=SYear_O,$A283&lt;=EYear_O,R$3&gt;0),IF($A283=SYear_O,R$168*(1+Data_All!R122%),R282*(1+Data_All!R122%)),"")</f>
        <v/>
      </c>
      <c r="S283" s="427" t="str">
        <f>IF(AND($A283&gt;=SYear_O,$A283&lt;=EYear_O,S$3&gt;0),IF($A283=SYear_O,S$168*(1+Data_All!S122%),S282*(1+Data_All!S122%)),"")</f>
        <v/>
      </c>
      <c r="T283" s="427" t="str">
        <f>IF(AND($A283&gt;=SYear_O,$A283&lt;=EYear_O,T$3&gt;0),IF($A283=SYear_O,T$168*(1+Data_All!T122%),T282*(1+Data_All!T122%)),"")</f>
        <v/>
      </c>
      <c r="U283" s="427" t="str">
        <f>IF(AND($A283&gt;=SYear_O,$A283&lt;=EYear_O,U$3&gt;0),IF($A283=SYear_O,U$168*(1+Data_All!U122%),U282*(1+Data_All!U122%)),"")</f>
        <v/>
      </c>
      <c r="V283" s="427" t="str">
        <f>IF(AND($A283&gt;=SYear_O,$A283&lt;=EYear_O,V$3&gt;0),IF($A283=SYear_O,V$168*(1+Data_All!V122%),V282*(1+Data_All!V122%)),"")</f>
        <v/>
      </c>
      <c r="W283" s="427" t="str">
        <f>IF(AND($A283&gt;=SYear_O,$A283&lt;=EYear_O,W$3&gt;0),IF($A283=SYear_O,W$168*(1+Data_All!W122%),W282*(1+Data_All!W122%)),"")</f>
        <v/>
      </c>
      <c r="X283" s="427" t="str">
        <f>IF(AND($A283&gt;=SYear_O,$A283&lt;=EYear_O,X$3&gt;0),IF($A283=SYear_O,X$168*(1+Data_All!X122%),X282*(1+Data_All!X122%)),"")</f>
        <v/>
      </c>
      <c r="Y283" s="427" t="str">
        <f>IF(AND($A283&gt;=SYear_O,$A283&lt;=EYear_O,Y$3&gt;0),IF($A283=SYear_O,Y$168*(1+Data_All!Y122%),Y282*(1+Data_All!Y122%)),"")</f>
        <v/>
      </c>
      <c r="Z283" s="427" t="str">
        <f>IF(AND($A283&gt;=SYear_O,$A283&lt;=EYear_O,Z$3&gt;0),IF($A283=SYear_O,Z$168*(1+Data_All!Z122%),Z282*(1+Data_All!Z122%)),"")</f>
        <v/>
      </c>
      <c r="AA283" s="427" t="str">
        <f>IF(AND($A283&gt;=SYear_O,$A283&lt;=EYear_O,AA$3&gt;0),IF($A283=SYear_O,AA$168*(1+Data_All!AA122%),AA282*(1+Data_All!AA122%)),"")</f>
        <v/>
      </c>
      <c r="AB283" s="427" t="str">
        <f>IF(AND($A283&gt;=SYear_O,$A283&lt;=EYear_O,AB$3&gt;0),IF($A283=SYear_O,AB$168*(1+Data_All!AB122%),AB282*(1+Data_All!AB122%)),"")</f>
        <v/>
      </c>
      <c r="AC283" s="427" t="str">
        <f>IF(AND($A283&gt;=SYear_O,$A283&lt;=EYear_O,AC$3&gt;0),IF($A283=SYear_O,AC$168*(1+Data_All!AC122%),AC282*(1+Data_All!AC122%)),"")</f>
        <v/>
      </c>
      <c r="AD283" s="427" t="str">
        <f>IF(AND($A283&gt;=SYear_O,$A283&lt;=EYear_O,AD$3&gt;0),IF($A283=SYear_O,AD$168*(1+Data_All!AD122%),AD282*(1+Data_All!AD122%)),"")</f>
        <v/>
      </c>
      <c r="AE283" s="427" t="str">
        <f>IF(AND($A283&gt;=SYear_O,$A283&lt;=EYear_O,AE$3&gt;0),IF($A283=SYear_O,AE$168*(1+Data_All!AE122%),AE282*(1+Data_All!AE122%)),"")</f>
        <v/>
      </c>
      <c r="AF283" s="427" t="str">
        <f>IF(AND($A283&gt;=SYear_O,$A283&lt;=EYear_O,AF$3&gt;0),IF($A283=SYear_O,AF$168*(1+Data_All!AF122%),AF282*(1+Data_All!AF122%)),"")</f>
        <v/>
      </c>
      <c r="AG283" s="427" t="str">
        <f>IF(AND($A283&gt;=SYear_O,$A283&lt;=EYear_O,AG$3&gt;0),IF($A283=SYear_O,AG$168*(1+Data_All!AG122%),AG282*(1+Data_All!AG122%)),"")</f>
        <v/>
      </c>
      <c r="AH283" s="427" t="str">
        <f>IF(AND($A283&gt;=SYear_O,$A283&lt;=EYear_O,AH$3&gt;0),IF($A283=SYear_O,AH$168*(1+Data_All!AH122%),AH282*(1+Data_All!AH122%)),"")</f>
        <v/>
      </c>
      <c r="AI283" s="427" t="str">
        <f>IF(AND($A283&gt;=SYear_O,$A283&lt;=EYear_O,AI$3&gt;0),IF($A283=SYear_O,AI$168*(1+Data_All!AI122%),AI282*(1+Data_All!AI122%)),"")</f>
        <v/>
      </c>
      <c r="AJ283" s="427" t="str">
        <f>IF(AND($A283&gt;=SYear_O,$A283&lt;=EYear_O,AJ$3&gt;0),IF($A283=SYear_O,AJ$168*(1+Data_All!AJ122%),AJ282*(1+Data_All!AJ122%)),"")</f>
        <v/>
      </c>
      <c r="AK283" s="427" t="str">
        <f>IF(AND($A283&gt;=SYear_O,$A283&lt;=EYear_O,AK$3&gt;0),IF($A283=SYear_O,AK$168*(1+Data_All!AK122%),AK282*(1+Data_All!AK122%)),"")</f>
        <v/>
      </c>
      <c r="AL283" s="427" t="str">
        <f>IF(AND($A283&gt;=SYear_O,$A283&lt;=EYear_O,AL$3&gt;0),IF($A283=SYear_O,AL$168*(1+Data_All!AL122%),AL282*(1+Data_All!AL122%)),"")</f>
        <v/>
      </c>
      <c r="AM283" s="427" t="str">
        <f>IF(AND($A283&gt;=SYear_O,$A283&lt;=EYear_O,AM$3&gt;0),IF($A283=SYear_O,AM$168*(1+Data_All!AM122%),AM282*(1+Data_All!AM122%)),"")</f>
        <v/>
      </c>
      <c r="AN283" s="427" t="str">
        <f>IF(AND($A283&gt;=SYear_O,$A283&lt;=EYear_O,AN$3&gt;0),IF($A283=SYear_O,AN$168*(1+Data_All!AN122%),AN282*(1+Data_All!AN122%)),"")</f>
        <v/>
      </c>
      <c r="AO283" s="427" t="str">
        <f>IF(AND($A283&gt;=SYear_O,$A283&lt;=EYear_O,AO$3&gt;0),IF($A283=SYear_O,AO$168*(1+Data_All!AO122%),AO282*(1+Data_All!AO122%)),"")</f>
        <v/>
      </c>
      <c r="AP283" s="427" t="str">
        <f>IF(AND($A283&gt;=SYear_O,$A283&lt;=EYear_O,AP$3&gt;0),IF($A283=SYear_O,AP$168*(1+Data_All!AP122%),AP282*(1+Data_All!AP122%)),"")</f>
        <v/>
      </c>
      <c r="AQ283" s="427" t="str">
        <f>IF(AND($A283&gt;=SYear_O,$A283&lt;=EYear_O,AQ$3&gt;0),IF($A283=SYear_O,AQ$168*(1+Data_All!AQ122%),AQ282*(1+Data_All!AQ122%)),"")</f>
        <v/>
      </c>
      <c r="AR283" s="427" t="str">
        <f>IF(AND($A283&gt;=SYear_O,$A283&lt;=EYear_O,AR$3&gt;0),IF($A283=SYear_O,AR$168*(1+Data_All!AR122%),AR282*(1+Data_All!AR122%)),"")</f>
        <v/>
      </c>
      <c r="AS283" s="427" t="str">
        <f>IF(AND($A283&gt;=SYear_O,$A283&lt;=EYear_O,AS$3&gt;0),IF($A283=SYear_O,AS$168*(1+Data_All!AS122%),AS282*(1+Data_All!AS122%)),"")</f>
        <v/>
      </c>
      <c r="AT283" s="427" t="str">
        <f>IF(AND($A283&gt;=SYear_O,$A283&lt;=EYear_O,AT$3&gt;0),IF($A283=SYear_O,AT$168*(1+Data_All!AT122%),AT282*(1+Data_All!AT122%)),"")</f>
        <v/>
      </c>
      <c r="AU283" s="427" t="str">
        <f>IF(AND($A283&gt;=SYear_O,$A283&lt;=EYear_O,AU$3&gt;0),IF($A283=SYear_O,AU$168*(1+Data_All!AU122%),AU282*(1+Data_All!AU122%)),"")</f>
        <v/>
      </c>
      <c r="AV283" s="427" t="str">
        <f>IF(AND($A283&gt;=SYear_O,$A283&lt;=EYear_O,AV$3&gt;0),IF($A283=SYear_O,AV$168*(1+Data_All!AV122%),AV282*(1+Data_All!AV122%)),"")</f>
        <v/>
      </c>
      <c r="AW283" s="427" t="str">
        <f>IF(AND($A283&gt;=SYear_O,$A283&lt;=EYear_O,AW$3&gt;0),IF($A283=SYear_O,AW$168*(1+Data_All!AW122%),AW282*(1+Data_All!AW122%)),"")</f>
        <v/>
      </c>
      <c r="AX283" s="427" t="str">
        <f>IF(AND($A283&gt;=SYear_O,$A283&lt;=EYear_O,AX$3&gt;0),IF($A283=SYear_O,AX$168*(1+Data_All!AX122%),AX282*(1+Data_All!AX122%)),"")</f>
        <v/>
      </c>
      <c r="AY283" s="427" t="str">
        <f>IF(AND($A283&gt;=SYear_O,$A283&lt;=EYear_O,AY$3&gt;0),IF($A283=SYear_O,AY$168*(1+Data_All!AY122%),AY282*(1+Data_All!AY122%)),"")</f>
        <v/>
      </c>
      <c r="AZ283" s="427" t="str">
        <f>IF(AND($A283&gt;=SYear_O,$A283&lt;=EYear_O,AZ$3&gt;0),IF($A283=SYear_O,AZ$168*(1+Data_All!AZ122%),AZ282*(1+Data_All!AZ122%)),"")</f>
        <v/>
      </c>
      <c r="BA283" s="427" t="str">
        <f>IF(AND($A283&gt;=SYear_O,$A283&lt;=EYear_O,BA$3&gt;0),IF($A283=SYear_O,BA$168*(1+Data_All!BA122%),BA282*(1+Data_All!BA122%)),"")</f>
        <v/>
      </c>
      <c r="BB283" s="427" t="str">
        <f>IF(AND($A283&gt;=SYear_O,$A283&lt;=EYear_O,BB$3&gt;0),IF($A283=SYear_O,BB$168*(1+Data_All!BB122%),BB282*(1+Data_All!BB122%)),"")</f>
        <v/>
      </c>
      <c r="BC283" s="427" t="str">
        <f>IF(AND($A283&gt;=SYear_O,$A283&lt;=EYear_O,BC$3&gt;0),IF($A283=SYear_O,BC$168*(1+Data_All!BC122%),BC282*(1+Data_All!BC122%)),"")</f>
        <v/>
      </c>
      <c r="BD283" s="427" t="str">
        <f>IF(AND($A283&gt;=SYear_O,$A283&lt;=EYear_O,BD$3&gt;0),IF($A283=SYear_O,BD$168*(1+Data_All!BD122%),BD282*(1+Data_All!BD122%)),"")</f>
        <v/>
      </c>
      <c r="BE283" s="427" t="str">
        <f>IF(AND($A283&gt;=SYear_O,$A283&lt;=EYear_O,BE$3&gt;0),IF($A283=SYear_O,BE$168*(1+Data_All!BE122%),BE282*(1+Data_All!BE122%)),"")</f>
        <v/>
      </c>
      <c r="BF283" s="427" t="str">
        <f>IF(AND($A283&gt;=SYear_O,$A283&lt;=EYear_O,BF$3&gt;0),IF($A283=SYear_O,BF$168*(1+Data_All!BF122%),BF282*(1+Data_All!BF122%)),"")</f>
        <v/>
      </c>
      <c r="BG283" s="427" t="str">
        <f>IF(AND($A283&gt;=SYear_O,$A283&lt;=EYear_O,BG$3&gt;0),IF($A283=SYear_O,BG$168*(1+Data_All!BG122%),BG282*(1+Data_All!BG122%)),"")</f>
        <v/>
      </c>
      <c r="BH283" s="427" t="str">
        <f>IF(AND($A283&gt;=SYear_O,$A283&lt;=EYear_O,BH$3&gt;0),IF($A283=SYear_O,BH$168*(1+Data_All!BH122%),BH282*(1+Data_All!BH122%)),"")</f>
        <v/>
      </c>
      <c r="BI283" s="427" t="str">
        <f>IF(AND($A283&gt;=SYear_O,$A283&lt;=EYear_O,BI$3&gt;0),IF($A283=SYear_O,BI$168*(1+Data_All!BI122%),BI282*(1+Data_All!BI122%)),"")</f>
        <v/>
      </c>
      <c r="BJ283" s="427" t="str">
        <f>IF(AND($A283&gt;=SYear_O,$A283&lt;=EYear_O,BJ$3&gt;0),IF($A283=SYear_O,BJ$168*(1+Data_All!BJ122%),BJ282*(1+Data_All!BJ122%)),"")</f>
        <v/>
      </c>
      <c r="BK283" s="427" t="str">
        <f>IF(AND($A283&gt;=SYear_O,$A283&lt;=EYear_O,BK$3&gt;0),IF($A283=SYear_O,BK$168*(1+Data_All!BK122%),BK282*(1+Data_All!BK122%)),"")</f>
        <v/>
      </c>
      <c r="BL283" s="427" t="str">
        <f>IF(AND($A283&gt;=SYear_O,$A283&lt;=EYear_O,BL$3&gt;0),IF($A283=SYear_O,BL$168*(1+Data_All!BL122%),BL282*(1+Data_All!BL122%)),"")</f>
        <v/>
      </c>
      <c r="BM283" s="427" t="str">
        <f>IF(AND($A283&gt;=SYear_O,$A283&lt;=EYear_O,BM$3&gt;0),IF($A283=SYear_O,BM$168*(1+Data_All!BM122%),BM282*(1+Data_All!BM122%)),"")</f>
        <v/>
      </c>
      <c r="BN283" s="427" t="str">
        <f>IF(AND($A283&gt;=SYear_O,$A283&lt;=EYear_O,BN$3&gt;0),IF($A283=SYear_O,BN$168*(1+Data_All!BN122%),BN282*(1+Data_All!BN122%)),"")</f>
        <v/>
      </c>
      <c r="BO283" s="427" t="str">
        <f>IF(AND($A283&gt;=SYear_O,$A283&lt;=EYear_O,BO$3&gt;0),IF($A283=SYear_O,BO$168*(1+Data_All!BO122%),BO282*(1+Data_All!BO122%)),"")</f>
        <v/>
      </c>
      <c r="BP283" s="427" t="str">
        <f>IF(AND($A283&gt;=SYear_O,$A283&lt;=EYear_O,BP$3&gt;0),IF($A283=SYear_O,BP$168*(1+Data_All!BP122%),BP282*(1+Data_All!BP122%)),"")</f>
        <v/>
      </c>
      <c r="BQ283" s="427" t="str">
        <f>IF(AND($A283&gt;=SYear_O,$A283&lt;=EYear_O,BQ$3&gt;0),IF($A283=SYear_O,BQ$168*(1+Data_All!BQ122%),BQ282*(1+Data_All!BQ122%)),"")</f>
        <v/>
      </c>
      <c r="BR283" s="427" t="str">
        <f>IF(AND($A283&gt;=SYear_O,$A283&lt;=EYear_O,BR$3&gt;0),IF($A283=SYear_O,BR$168*(1+Data_All!BR122%),BR282*(1+Data_All!BR122%)),"")</f>
        <v/>
      </c>
      <c r="BS283" s="427" t="str">
        <f>IF(AND($A283&gt;=SYear_O,$A283&lt;=EYear_O,BS$3&gt;0),IF($A283=SYear_O,BS$168*(1+Data_All!BS122%),BS282*(1+Data_All!BS122%)),"")</f>
        <v/>
      </c>
      <c r="BT283" s="427" t="str">
        <f>IF(AND($A283&gt;=SYear_O,$A283&lt;=EYear_O,BT$3&gt;0),IF($A283=SYear_O,BT$168*(1+Data_All!BT122%),BT282*(1+Data_All!BT122%)),"")</f>
        <v/>
      </c>
      <c r="BU283" s="427" t="str">
        <f>IF(AND($A283&gt;=SYear_O,$A283&lt;=EYear_O,BU$3&gt;0),IF($A283=SYear_O,BU$168*(1+Data_All!BU122%),BU282*(1+Data_All!BU122%)),"")</f>
        <v/>
      </c>
      <c r="BV283" s="427" t="str">
        <f>IF(AND($A283&gt;=SYear_O,$A283&lt;=EYear_O,BV$3&gt;0),IF($A283=SYear_O,BV$168*(1+Data_All!BV122%),BV282*(1+Data_All!BV122%)),"")</f>
        <v/>
      </c>
      <c r="BW283" s="427" t="str">
        <f>IF(AND($A283&gt;=SYear_O,$A283&lt;=EYear_O,BW$3&gt;0),IF($A283=SYear_O,BW$168*(1+Data_All!BW122%),BW282*(1+Data_All!BW122%)),"")</f>
        <v/>
      </c>
      <c r="BX283" s="427">
        <f>IF(AND($A283&gt;=SYear_O,$A283&lt;=EYear_O,BX$3&gt;0),IF($A283=SYear_O,BX$168*(1+Data_All!BX122%),BX282*(1+Data_All!BX122%)),"")</f>
        <v>68142260.622208655</v>
      </c>
      <c r="BY283" s="427">
        <f>IF(AND($A283&gt;=SYear_O,$A283&lt;=EYear_O,BY$3&gt;0),IF($A283=SYear_O,BY$168*(1+Data_All!BY122%),BY282*(1+Data_All!BY122%)),"")</f>
        <v>470253.78893167799</v>
      </c>
      <c r="BZ283" s="427" t="str">
        <f>IF(AND($A283&gt;=SYear_O,$A283&lt;=EYear_O,BZ$3&gt;0),IF($A283=SYear_O,BZ$168*(1+Data_All!BZ122%),BZ282*(1+Data_All!BZ122%)),"")</f>
        <v/>
      </c>
      <c r="CA283" s="565">
        <f t="shared" si="138"/>
        <v>25.881082425787863</v>
      </c>
      <c r="CB283" s="427">
        <f t="shared" si="139"/>
        <v>68612514.411140338</v>
      </c>
      <c r="CC283" s="565">
        <f>IF(AND($A283&gt;=SYear_O,$A283&lt;=EYear_O),(CA283-Data_All!CA122)/(1+Data_All!CA122%),"")</f>
        <v>21.274272455951166</v>
      </c>
      <c r="CD283" s="436">
        <f t="shared" si="140"/>
        <v>7824250.3658173196</v>
      </c>
      <c r="CE283" s="438">
        <f t="shared" si="141"/>
        <v>6223.1028269577546</v>
      </c>
      <c r="CF283" s="438">
        <f>IF(AND($A283&gt;=SYear_O,$A283&lt;=EYear_O),MAX($CE$169:CE283),"")</f>
        <v>6223.1028269577546</v>
      </c>
      <c r="CG283" s="209">
        <f t="shared" si="142"/>
        <v>0</v>
      </c>
      <c r="CN283" s="61">
        <f t="shared" si="143"/>
        <v>0.2588108242578786</v>
      </c>
      <c r="CO283" s="61">
        <f t="shared" si="144"/>
        <v>0.17351425218298777</v>
      </c>
      <c r="CP283" s="61">
        <f t="shared" si="145"/>
        <v>0.18527540134148879</v>
      </c>
      <c r="CQ283" s="61">
        <f t="shared" si="146"/>
        <v>0.14005296704627468</v>
      </c>
      <c r="CR283" s="61">
        <f t="shared" si="147"/>
        <v>0.1821236293408155</v>
      </c>
      <c r="CU283" s="61">
        <f t="shared" si="148"/>
        <v>0.21274272455951171</v>
      </c>
      <c r="CV283" s="61">
        <f t="shared" si="149"/>
        <v>0.13822788900218796</v>
      </c>
      <c r="CW283" s="61">
        <f t="shared" si="150"/>
        <v>0.1433045405658937</v>
      </c>
      <c r="CX283" s="61">
        <f t="shared" si="151"/>
        <v>0.1006409989679804</v>
      </c>
      <c r="CY283" s="61">
        <f t="shared" si="152"/>
        <v>0.14573940222944604</v>
      </c>
    </row>
    <row r="284" spans="1:103">
      <c r="A284" s="204">
        <f t="shared" si="107"/>
        <v>1986</v>
      </c>
      <c r="B284" s="427" t="str">
        <f>IF(AND($A284&gt;=SYear_O,$A284&lt;=EYear_O,B$3&gt;0),IF($A284=SYear_O,B$168*(1+Data_All!B123%),B283*(1+Data_All!B123%)),"")</f>
        <v/>
      </c>
      <c r="C284" s="427" t="str">
        <f>IF(AND($A284&gt;=SYear_O,$A284&lt;=EYear_O,C$3&gt;0),IF($A284=SYear_O,C$168*(1+Data_All!C123%),C283*(1+Data_All!C123%)),"")</f>
        <v/>
      </c>
      <c r="D284" s="427" t="str">
        <f>IF(AND($A284&gt;=SYear_O,$A284&lt;=EYear_O,D$3&gt;0),IF($A284=SYear_O,D$168*(1+Data_All!D123%),D283*(1+Data_All!D123%)),"")</f>
        <v/>
      </c>
      <c r="E284" s="427" t="str">
        <f>IF(AND($A284&gt;=SYear_O,$A284&lt;=EYear_O,E$3&gt;0),IF($A284=SYear_O,E$168*(1+Data_All!E123%),E283*(1+Data_All!E123%)),"")</f>
        <v/>
      </c>
      <c r="F284" s="427" t="str">
        <f>IF(AND($A284&gt;=SYear_O,$A284&lt;=EYear_O,F$3&gt;0),IF($A284=SYear_O,F$168*(1+Data_All!F123%),F283*(1+Data_All!F123%)),"")</f>
        <v/>
      </c>
      <c r="G284" s="427" t="str">
        <f>IF(AND($A284&gt;=SYear_O,$A284&lt;=EYear_O,G$3&gt;0),IF($A284=SYear_O,G$168*(1+Data_All!G123%),G283*(1+Data_All!G123%)),"")</f>
        <v/>
      </c>
      <c r="H284" s="427" t="str">
        <f>IF(AND($A284&gt;=SYear_O,$A284&lt;=EYear_O,H$3&gt;0),IF($A284=SYear_O,H$168*(1+Data_All!H123%),H283*(1+Data_All!H123%)),"")</f>
        <v/>
      </c>
      <c r="I284" s="427" t="str">
        <f>IF(AND($A284&gt;=SYear_O,$A284&lt;=EYear_O,I$3&gt;0),IF($A284=SYear_O,I$168*(1+Data_All!I123%),I283*(1+Data_All!I123%)),"")</f>
        <v/>
      </c>
      <c r="J284" s="427" t="str">
        <f>IF(AND($A284&gt;=SYear_O,$A284&lt;=EYear_O,J$3&gt;0),IF($A284=SYear_O,J$168*(1+Data_All!J123%),J283*(1+Data_All!J123%)),"")</f>
        <v/>
      </c>
      <c r="K284" s="427" t="str">
        <f>IF(AND($A284&gt;=SYear_O,$A284&lt;=EYear_O,K$3&gt;0),IF($A284=SYear_O,K$168*(1+Data_All!K123%),K283*(1+Data_All!K123%)),"")</f>
        <v/>
      </c>
      <c r="L284" s="427" t="str">
        <f>IF(AND($A284&gt;=SYear_O,$A284&lt;=EYear_O,L$3&gt;0),IF($A284=SYear_O,L$168*(1+Data_All!L123%),L283*(1+Data_All!L123%)),"")</f>
        <v/>
      </c>
      <c r="M284" s="427" t="str">
        <f>IF(AND($A284&gt;=SYear_O,$A284&lt;=EYear_O,M$3&gt;0),IF($A284=SYear_O,M$168*(1+Data_All!M123%),M283*(1+Data_All!M123%)),"")</f>
        <v/>
      </c>
      <c r="N284" s="427" t="str">
        <f>IF(AND($A284&gt;=SYear_O,$A284&lt;=EYear_O,N$3&gt;0),IF($A284=SYear_O,N$168*(1+Data_All!N123%),N283*(1+Data_All!N123%)),"")</f>
        <v/>
      </c>
      <c r="O284" s="427" t="str">
        <f>IF(AND($A284&gt;=SYear_O,$A284&lt;=EYear_O,O$3&gt;0),IF($A284=SYear_O,O$168*(1+Data_All!O123%),O283*(1+Data_All!O123%)),"")</f>
        <v/>
      </c>
      <c r="P284" s="427" t="str">
        <f>IF(AND($A284&gt;=SYear_O,$A284&lt;=EYear_O,P$3&gt;0),IF($A284=SYear_O,P$168*(1+Data_All!P123%),P283*(1+Data_All!P123%)),"")</f>
        <v/>
      </c>
      <c r="Q284" s="427" t="str">
        <f>IF(AND($A284&gt;=SYear_O,$A284&lt;=EYear_O,Q$3&gt;0),IF($A284=SYear_O,Q$168*(1+Data_All!Q123%),Q283*(1+Data_All!Q123%)),"")</f>
        <v/>
      </c>
      <c r="R284" s="427" t="str">
        <f>IF(AND($A284&gt;=SYear_O,$A284&lt;=EYear_O,R$3&gt;0),IF($A284=SYear_O,R$168*(1+Data_All!R123%),R283*(1+Data_All!R123%)),"")</f>
        <v/>
      </c>
      <c r="S284" s="427" t="str">
        <f>IF(AND($A284&gt;=SYear_O,$A284&lt;=EYear_O,S$3&gt;0),IF($A284=SYear_O,S$168*(1+Data_All!S123%),S283*(1+Data_All!S123%)),"")</f>
        <v/>
      </c>
      <c r="T284" s="427" t="str">
        <f>IF(AND($A284&gt;=SYear_O,$A284&lt;=EYear_O,T$3&gt;0),IF($A284=SYear_O,T$168*(1+Data_All!T123%),T283*(1+Data_All!T123%)),"")</f>
        <v/>
      </c>
      <c r="U284" s="427" t="str">
        <f>IF(AND($A284&gt;=SYear_O,$A284&lt;=EYear_O,U$3&gt;0),IF($A284=SYear_O,U$168*(1+Data_All!U123%),U283*(1+Data_All!U123%)),"")</f>
        <v/>
      </c>
      <c r="V284" s="427" t="str">
        <f>IF(AND($A284&gt;=SYear_O,$A284&lt;=EYear_O,V$3&gt;0),IF($A284=SYear_O,V$168*(1+Data_All!V123%),V283*(1+Data_All!V123%)),"")</f>
        <v/>
      </c>
      <c r="W284" s="427" t="str">
        <f>IF(AND($A284&gt;=SYear_O,$A284&lt;=EYear_O,W$3&gt;0),IF($A284=SYear_O,W$168*(1+Data_All!W123%),W283*(1+Data_All!W123%)),"")</f>
        <v/>
      </c>
      <c r="X284" s="427" t="str">
        <f>IF(AND($A284&gt;=SYear_O,$A284&lt;=EYear_O,X$3&gt;0),IF($A284=SYear_O,X$168*(1+Data_All!X123%),X283*(1+Data_All!X123%)),"")</f>
        <v/>
      </c>
      <c r="Y284" s="427" t="str">
        <f>IF(AND($A284&gt;=SYear_O,$A284&lt;=EYear_O,Y$3&gt;0),IF($A284=SYear_O,Y$168*(1+Data_All!Y123%),Y283*(1+Data_All!Y123%)),"")</f>
        <v/>
      </c>
      <c r="Z284" s="427" t="str">
        <f>IF(AND($A284&gt;=SYear_O,$A284&lt;=EYear_O,Z$3&gt;0),IF($A284=SYear_O,Z$168*(1+Data_All!Z123%),Z283*(1+Data_All!Z123%)),"")</f>
        <v/>
      </c>
      <c r="AA284" s="427" t="str">
        <f>IF(AND($A284&gt;=SYear_O,$A284&lt;=EYear_O,AA$3&gt;0),IF($A284=SYear_O,AA$168*(1+Data_All!AA123%),AA283*(1+Data_All!AA123%)),"")</f>
        <v/>
      </c>
      <c r="AB284" s="427" t="str">
        <f>IF(AND($A284&gt;=SYear_O,$A284&lt;=EYear_O,AB$3&gt;0),IF($A284=SYear_O,AB$168*(1+Data_All!AB123%),AB283*(1+Data_All!AB123%)),"")</f>
        <v/>
      </c>
      <c r="AC284" s="427" t="str">
        <f>IF(AND($A284&gt;=SYear_O,$A284&lt;=EYear_O,AC$3&gt;0),IF($A284=SYear_O,AC$168*(1+Data_All!AC123%),AC283*(1+Data_All!AC123%)),"")</f>
        <v/>
      </c>
      <c r="AD284" s="427" t="str">
        <f>IF(AND($A284&gt;=SYear_O,$A284&lt;=EYear_O,AD$3&gt;0),IF($A284=SYear_O,AD$168*(1+Data_All!AD123%),AD283*(1+Data_All!AD123%)),"")</f>
        <v/>
      </c>
      <c r="AE284" s="427" t="str">
        <f>IF(AND($A284&gt;=SYear_O,$A284&lt;=EYear_O,AE$3&gt;0),IF($A284=SYear_O,AE$168*(1+Data_All!AE123%),AE283*(1+Data_All!AE123%)),"")</f>
        <v/>
      </c>
      <c r="AF284" s="427" t="str">
        <f>IF(AND($A284&gt;=SYear_O,$A284&lt;=EYear_O,AF$3&gt;0),IF($A284=SYear_O,AF$168*(1+Data_All!AF123%),AF283*(1+Data_All!AF123%)),"")</f>
        <v/>
      </c>
      <c r="AG284" s="427" t="str">
        <f>IF(AND($A284&gt;=SYear_O,$A284&lt;=EYear_O,AG$3&gt;0),IF($A284=SYear_O,AG$168*(1+Data_All!AG123%),AG283*(1+Data_All!AG123%)),"")</f>
        <v/>
      </c>
      <c r="AH284" s="427" t="str">
        <f>IF(AND($A284&gt;=SYear_O,$A284&lt;=EYear_O,AH$3&gt;0),IF($A284=SYear_O,AH$168*(1+Data_All!AH123%),AH283*(1+Data_All!AH123%)),"")</f>
        <v/>
      </c>
      <c r="AI284" s="427" t="str">
        <f>IF(AND($A284&gt;=SYear_O,$A284&lt;=EYear_O,AI$3&gt;0),IF($A284=SYear_O,AI$168*(1+Data_All!AI123%),AI283*(1+Data_All!AI123%)),"")</f>
        <v/>
      </c>
      <c r="AJ284" s="427" t="str">
        <f>IF(AND($A284&gt;=SYear_O,$A284&lt;=EYear_O,AJ$3&gt;0),IF($A284=SYear_O,AJ$168*(1+Data_All!AJ123%),AJ283*(1+Data_All!AJ123%)),"")</f>
        <v/>
      </c>
      <c r="AK284" s="427" t="str">
        <f>IF(AND($A284&gt;=SYear_O,$A284&lt;=EYear_O,AK$3&gt;0),IF($A284=SYear_O,AK$168*(1+Data_All!AK123%),AK283*(1+Data_All!AK123%)),"")</f>
        <v/>
      </c>
      <c r="AL284" s="427" t="str">
        <f>IF(AND($A284&gt;=SYear_O,$A284&lt;=EYear_O,AL$3&gt;0),IF($A284=SYear_O,AL$168*(1+Data_All!AL123%),AL283*(1+Data_All!AL123%)),"")</f>
        <v/>
      </c>
      <c r="AM284" s="427" t="str">
        <f>IF(AND($A284&gt;=SYear_O,$A284&lt;=EYear_O,AM$3&gt;0),IF($A284=SYear_O,AM$168*(1+Data_All!AM123%),AM283*(1+Data_All!AM123%)),"")</f>
        <v/>
      </c>
      <c r="AN284" s="427" t="str">
        <f>IF(AND($A284&gt;=SYear_O,$A284&lt;=EYear_O,AN$3&gt;0),IF($A284=SYear_O,AN$168*(1+Data_All!AN123%),AN283*(1+Data_All!AN123%)),"")</f>
        <v/>
      </c>
      <c r="AO284" s="427" t="str">
        <f>IF(AND($A284&gt;=SYear_O,$A284&lt;=EYear_O,AO$3&gt;0),IF($A284=SYear_O,AO$168*(1+Data_All!AO123%),AO283*(1+Data_All!AO123%)),"")</f>
        <v/>
      </c>
      <c r="AP284" s="427" t="str">
        <f>IF(AND($A284&gt;=SYear_O,$A284&lt;=EYear_O,AP$3&gt;0),IF($A284=SYear_O,AP$168*(1+Data_All!AP123%),AP283*(1+Data_All!AP123%)),"")</f>
        <v/>
      </c>
      <c r="AQ284" s="427" t="str">
        <f>IF(AND($A284&gt;=SYear_O,$A284&lt;=EYear_O,AQ$3&gt;0),IF($A284=SYear_O,AQ$168*(1+Data_All!AQ123%),AQ283*(1+Data_All!AQ123%)),"")</f>
        <v/>
      </c>
      <c r="AR284" s="427" t="str">
        <f>IF(AND($A284&gt;=SYear_O,$A284&lt;=EYear_O,AR$3&gt;0),IF($A284=SYear_O,AR$168*(1+Data_All!AR123%),AR283*(1+Data_All!AR123%)),"")</f>
        <v/>
      </c>
      <c r="AS284" s="427" t="str">
        <f>IF(AND($A284&gt;=SYear_O,$A284&lt;=EYear_O,AS$3&gt;0),IF($A284=SYear_O,AS$168*(1+Data_All!AS123%),AS283*(1+Data_All!AS123%)),"")</f>
        <v/>
      </c>
      <c r="AT284" s="427" t="str">
        <f>IF(AND($A284&gt;=SYear_O,$A284&lt;=EYear_O,AT$3&gt;0),IF($A284=SYear_O,AT$168*(1+Data_All!AT123%),AT283*(1+Data_All!AT123%)),"")</f>
        <v/>
      </c>
      <c r="AU284" s="427" t="str">
        <f>IF(AND($A284&gt;=SYear_O,$A284&lt;=EYear_O,AU$3&gt;0),IF($A284=SYear_O,AU$168*(1+Data_All!AU123%),AU283*(1+Data_All!AU123%)),"")</f>
        <v/>
      </c>
      <c r="AV284" s="427" t="str">
        <f>IF(AND($A284&gt;=SYear_O,$A284&lt;=EYear_O,AV$3&gt;0),IF($A284=SYear_O,AV$168*(1+Data_All!AV123%),AV283*(1+Data_All!AV123%)),"")</f>
        <v/>
      </c>
      <c r="AW284" s="427" t="str">
        <f>IF(AND($A284&gt;=SYear_O,$A284&lt;=EYear_O,AW$3&gt;0),IF($A284=SYear_O,AW$168*(1+Data_All!AW123%),AW283*(1+Data_All!AW123%)),"")</f>
        <v/>
      </c>
      <c r="AX284" s="427" t="str">
        <f>IF(AND($A284&gt;=SYear_O,$A284&lt;=EYear_O,AX$3&gt;0),IF($A284=SYear_O,AX$168*(1+Data_All!AX123%),AX283*(1+Data_All!AX123%)),"")</f>
        <v/>
      </c>
      <c r="AY284" s="427" t="str">
        <f>IF(AND($A284&gt;=SYear_O,$A284&lt;=EYear_O,AY$3&gt;0),IF($A284=SYear_O,AY$168*(1+Data_All!AY123%),AY283*(1+Data_All!AY123%)),"")</f>
        <v/>
      </c>
      <c r="AZ284" s="427" t="str">
        <f>IF(AND($A284&gt;=SYear_O,$A284&lt;=EYear_O,AZ$3&gt;0),IF($A284=SYear_O,AZ$168*(1+Data_All!AZ123%),AZ283*(1+Data_All!AZ123%)),"")</f>
        <v/>
      </c>
      <c r="BA284" s="427" t="str">
        <f>IF(AND($A284&gt;=SYear_O,$A284&lt;=EYear_O,BA$3&gt;0),IF($A284=SYear_O,BA$168*(1+Data_All!BA123%),BA283*(1+Data_All!BA123%)),"")</f>
        <v/>
      </c>
      <c r="BB284" s="427" t="str">
        <f>IF(AND($A284&gt;=SYear_O,$A284&lt;=EYear_O,BB$3&gt;0),IF($A284=SYear_O,BB$168*(1+Data_All!BB123%),BB283*(1+Data_All!BB123%)),"")</f>
        <v/>
      </c>
      <c r="BC284" s="427" t="str">
        <f>IF(AND($A284&gt;=SYear_O,$A284&lt;=EYear_O,BC$3&gt;0),IF($A284=SYear_O,BC$168*(1+Data_All!BC123%),BC283*(1+Data_All!BC123%)),"")</f>
        <v/>
      </c>
      <c r="BD284" s="427" t="str">
        <f>IF(AND($A284&gt;=SYear_O,$A284&lt;=EYear_O,BD$3&gt;0),IF($A284=SYear_O,BD$168*(1+Data_All!BD123%),BD283*(1+Data_All!BD123%)),"")</f>
        <v/>
      </c>
      <c r="BE284" s="427" t="str">
        <f>IF(AND($A284&gt;=SYear_O,$A284&lt;=EYear_O,BE$3&gt;0),IF($A284=SYear_O,BE$168*(1+Data_All!BE123%),BE283*(1+Data_All!BE123%)),"")</f>
        <v/>
      </c>
      <c r="BF284" s="427" t="str">
        <f>IF(AND($A284&gt;=SYear_O,$A284&lt;=EYear_O,BF$3&gt;0),IF($A284=SYear_O,BF$168*(1+Data_All!BF123%),BF283*(1+Data_All!BF123%)),"")</f>
        <v/>
      </c>
      <c r="BG284" s="427" t="str">
        <f>IF(AND($A284&gt;=SYear_O,$A284&lt;=EYear_O,BG$3&gt;0),IF($A284=SYear_O,BG$168*(1+Data_All!BG123%),BG283*(1+Data_All!BG123%)),"")</f>
        <v/>
      </c>
      <c r="BH284" s="427" t="str">
        <f>IF(AND($A284&gt;=SYear_O,$A284&lt;=EYear_O,BH$3&gt;0),IF($A284=SYear_O,BH$168*(1+Data_All!BH123%),BH283*(1+Data_All!BH123%)),"")</f>
        <v/>
      </c>
      <c r="BI284" s="427" t="str">
        <f>IF(AND($A284&gt;=SYear_O,$A284&lt;=EYear_O,BI$3&gt;0),IF($A284=SYear_O,BI$168*(1+Data_All!BI123%),BI283*(1+Data_All!BI123%)),"")</f>
        <v/>
      </c>
      <c r="BJ284" s="427" t="str">
        <f>IF(AND($A284&gt;=SYear_O,$A284&lt;=EYear_O,BJ$3&gt;0),IF($A284=SYear_O,BJ$168*(1+Data_All!BJ123%),BJ283*(1+Data_All!BJ123%)),"")</f>
        <v/>
      </c>
      <c r="BK284" s="427" t="str">
        <f>IF(AND($A284&gt;=SYear_O,$A284&lt;=EYear_O,BK$3&gt;0),IF($A284=SYear_O,BK$168*(1+Data_All!BK123%),BK283*(1+Data_All!BK123%)),"")</f>
        <v/>
      </c>
      <c r="BL284" s="427" t="str">
        <f>IF(AND($A284&gt;=SYear_O,$A284&lt;=EYear_O,BL$3&gt;0),IF($A284=SYear_O,BL$168*(1+Data_All!BL123%),BL283*(1+Data_All!BL123%)),"")</f>
        <v/>
      </c>
      <c r="BM284" s="427" t="str">
        <f>IF(AND($A284&gt;=SYear_O,$A284&lt;=EYear_O,BM$3&gt;0),IF($A284=SYear_O,BM$168*(1+Data_All!BM123%),BM283*(1+Data_All!BM123%)),"")</f>
        <v/>
      </c>
      <c r="BN284" s="427" t="str">
        <f>IF(AND($A284&gt;=SYear_O,$A284&lt;=EYear_O,BN$3&gt;0),IF($A284=SYear_O,BN$168*(1+Data_All!BN123%),BN283*(1+Data_All!BN123%)),"")</f>
        <v/>
      </c>
      <c r="BO284" s="427" t="str">
        <f>IF(AND($A284&gt;=SYear_O,$A284&lt;=EYear_O,BO$3&gt;0),IF($A284=SYear_O,BO$168*(1+Data_All!BO123%),BO283*(1+Data_All!BO123%)),"")</f>
        <v/>
      </c>
      <c r="BP284" s="427" t="str">
        <f>IF(AND($A284&gt;=SYear_O,$A284&lt;=EYear_O,BP$3&gt;0),IF($A284=SYear_O,BP$168*(1+Data_All!BP123%),BP283*(1+Data_All!BP123%)),"")</f>
        <v/>
      </c>
      <c r="BQ284" s="427" t="str">
        <f>IF(AND($A284&gt;=SYear_O,$A284&lt;=EYear_O,BQ$3&gt;0),IF($A284=SYear_O,BQ$168*(1+Data_All!BQ123%),BQ283*(1+Data_All!BQ123%)),"")</f>
        <v/>
      </c>
      <c r="BR284" s="427" t="str">
        <f>IF(AND($A284&gt;=SYear_O,$A284&lt;=EYear_O,BR$3&gt;0),IF($A284=SYear_O,BR$168*(1+Data_All!BR123%),BR283*(1+Data_All!BR123%)),"")</f>
        <v/>
      </c>
      <c r="BS284" s="427" t="str">
        <f>IF(AND($A284&gt;=SYear_O,$A284&lt;=EYear_O,BS$3&gt;0),IF($A284=SYear_O,BS$168*(1+Data_All!BS123%),BS283*(1+Data_All!BS123%)),"")</f>
        <v/>
      </c>
      <c r="BT284" s="427" t="str">
        <f>IF(AND($A284&gt;=SYear_O,$A284&lt;=EYear_O,BT$3&gt;0),IF($A284=SYear_O,BT$168*(1+Data_All!BT123%),BT283*(1+Data_All!BT123%)),"")</f>
        <v/>
      </c>
      <c r="BU284" s="427" t="str">
        <f>IF(AND($A284&gt;=SYear_O,$A284&lt;=EYear_O,BU$3&gt;0),IF($A284=SYear_O,BU$168*(1+Data_All!BU123%),BU283*(1+Data_All!BU123%)),"")</f>
        <v/>
      </c>
      <c r="BV284" s="427" t="str">
        <f>IF(AND($A284&gt;=SYear_O,$A284&lt;=EYear_O,BV$3&gt;0),IF($A284=SYear_O,BV$168*(1+Data_All!BV123%),BV283*(1+Data_All!BV123%)),"")</f>
        <v/>
      </c>
      <c r="BW284" s="427" t="str">
        <f>IF(AND($A284&gt;=SYear_O,$A284&lt;=EYear_O,BW$3&gt;0),IF($A284=SYear_O,BW$168*(1+Data_All!BW123%),BW283*(1+Data_All!BW123%)),"")</f>
        <v/>
      </c>
      <c r="BX284" s="427">
        <f>IF(AND($A284&gt;=SYear_O,$A284&lt;=EYear_O,BX$3&gt;0),IF($A284=SYear_O,BX$168*(1+Data_All!BX123%),BX283*(1+Data_All!BX123%)),"")</f>
        <v>89286359.936271191</v>
      </c>
      <c r="BY284" s="427">
        <f>IF(AND($A284&gt;=SYear_O,$A284&lt;=EYear_O,BY$3&gt;0),IF($A284=SYear_O,BY$168*(1+Data_All!BY123%),BY283*(1+Data_All!BY123%)),"")</f>
        <v>556109.61558377929</v>
      </c>
      <c r="BZ284" s="427" t="str">
        <f>IF(AND($A284&gt;=SYear_O,$A284&lt;=EYear_O,BZ$3&gt;0),IF($A284=SYear_O,BZ$168*(1+Data_All!BZ123%),BZ283*(1+Data_All!BZ123%)),"")</f>
        <v/>
      </c>
      <c r="CA284" s="565">
        <f t="shared" si="138"/>
        <v>30.941811887989356</v>
      </c>
      <c r="CB284" s="427">
        <f t="shared" si="139"/>
        <v>89842469.551854968</v>
      </c>
      <c r="CC284" s="565">
        <f>IF(AND($A284&gt;=SYear_O,$A284&lt;=EYear_O),(CA284-Data_All!CA123)/(1+Data_All!CA123%),"")</f>
        <v>29.519819360698982</v>
      </c>
      <c r="CD284" s="436">
        <f t="shared" si="140"/>
        <v>10133954.940135421</v>
      </c>
      <c r="CE284" s="438">
        <f t="shared" si="141"/>
        <v>8148.6435972711697</v>
      </c>
      <c r="CF284" s="438">
        <f>IF(AND($A284&gt;=SYear_O,$A284&lt;=EYear_O),MAX($CE$169:CE284),"")</f>
        <v>8148.6435972711697</v>
      </c>
      <c r="CG284" s="209">
        <f t="shared" si="142"/>
        <v>0</v>
      </c>
      <c r="CN284" s="61">
        <f t="shared" si="143"/>
        <v>0.30941811887989346</v>
      </c>
      <c r="CO284" s="61">
        <f t="shared" si="144"/>
        <v>0.14768908123769675</v>
      </c>
      <c r="CP284" s="61">
        <f t="shared" si="145"/>
        <v>0.13049104719666316</v>
      </c>
      <c r="CQ284" s="61">
        <f t="shared" si="146"/>
        <v>0.14800775232651286</v>
      </c>
      <c r="CR284" s="61">
        <f t="shared" si="147"/>
        <v>0.16004290080075978</v>
      </c>
      <c r="CU284" s="61">
        <f t="shared" si="148"/>
        <v>0.29519819360698984</v>
      </c>
      <c r="CV284" s="61">
        <f t="shared" si="149"/>
        <v>0.11096903628659538</v>
      </c>
      <c r="CW284" s="61">
        <f t="shared" si="150"/>
        <v>8.5675249162156852E-2</v>
      </c>
      <c r="CX284" s="61">
        <f t="shared" si="151"/>
        <v>0.10967550371320689</v>
      </c>
      <c r="CY284" s="61">
        <f t="shared" si="152"/>
        <v>0.12463633724363032</v>
      </c>
    </row>
    <row r="285" spans="1:103">
      <c r="A285" s="204">
        <f t="shared" si="107"/>
        <v>1987</v>
      </c>
      <c r="B285" s="427" t="str">
        <f>IF(AND($A285&gt;=SYear_O,$A285&lt;=EYear_O,B$3&gt;0),IF($A285=SYear_O,B$168*(1+Data_All!B124%),B284*(1+Data_All!B124%)),"")</f>
        <v/>
      </c>
      <c r="C285" s="427" t="str">
        <f>IF(AND($A285&gt;=SYear_O,$A285&lt;=EYear_O,C$3&gt;0),IF($A285=SYear_O,C$168*(1+Data_All!C124%),C284*(1+Data_All!C124%)),"")</f>
        <v/>
      </c>
      <c r="D285" s="427" t="str">
        <f>IF(AND($A285&gt;=SYear_O,$A285&lt;=EYear_O,D$3&gt;0),IF($A285=SYear_O,D$168*(1+Data_All!D124%),D284*(1+Data_All!D124%)),"")</f>
        <v/>
      </c>
      <c r="E285" s="427" t="str">
        <f>IF(AND($A285&gt;=SYear_O,$A285&lt;=EYear_O,E$3&gt;0),IF($A285=SYear_O,E$168*(1+Data_All!E124%),E284*(1+Data_All!E124%)),"")</f>
        <v/>
      </c>
      <c r="F285" s="427" t="str">
        <f>IF(AND($A285&gt;=SYear_O,$A285&lt;=EYear_O,F$3&gt;0),IF($A285=SYear_O,F$168*(1+Data_All!F124%),F284*(1+Data_All!F124%)),"")</f>
        <v/>
      </c>
      <c r="G285" s="427" t="str">
        <f>IF(AND($A285&gt;=SYear_O,$A285&lt;=EYear_O,G$3&gt;0),IF($A285=SYear_O,G$168*(1+Data_All!G124%),G284*(1+Data_All!G124%)),"")</f>
        <v/>
      </c>
      <c r="H285" s="427" t="str">
        <f>IF(AND($A285&gt;=SYear_O,$A285&lt;=EYear_O,H$3&gt;0),IF($A285=SYear_O,H$168*(1+Data_All!H124%),H284*(1+Data_All!H124%)),"")</f>
        <v/>
      </c>
      <c r="I285" s="427" t="str">
        <f>IF(AND($A285&gt;=SYear_O,$A285&lt;=EYear_O,I$3&gt;0),IF($A285=SYear_O,I$168*(1+Data_All!I124%),I284*(1+Data_All!I124%)),"")</f>
        <v/>
      </c>
      <c r="J285" s="427" t="str">
        <f>IF(AND($A285&gt;=SYear_O,$A285&lt;=EYear_O,J$3&gt;0),IF($A285=SYear_O,J$168*(1+Data_All!J124%),J284*(1+Data_All!J124%)),"")</f>
        <v/>
      </c>
      <c r="K285" s="427" t="str">
        <f>IF(AND($A285&gt;=SYear_O,$A285&lt;=EYear_O,K$3&gt;0),IF($A285=SYear_O,K$168*(1+Data_All!K124%),K284*(1+Data_All!K124%)),"")</f>
        <v/>
      </c>
      <c r="L285" s="427" t="str">
        <f>IF(AND($A285&gt;=SYear_O,$A285&lt;=EYear_O,L$3&gt;0),IF($A285=SYear_O,L$168*(1+Data_All!L124%),L284*(1+Data_All!L124%)),"")</f>
        <v/>
      </c>
      <c r="M285" s="427" t="str">
        <f>IF(AND($A285&gt;=SYear_O,$A285&lt;=EYear_O,M$3&gt;0),IF($A285=SYear_O,M$168*(1+Data_All!M124%),M284*(1+Data_All!M124%)),"")</f>
        <v/>
      </c>
      <c r="N285" s="427" t="str">
        <f>IF(AND($A285&gt;=SYear_O,$A285&lt;=EYear_O,N$3&gt;0),IF($A285=SYear_O,N$168*(1+Data_All!N124%),N284*(1+Data_All!N124%)),"")</f>
        <v/>
      </c>
      <c r="O285" s="427" t="str">
        <f>IF(AND($A285&gt;=SYear_O,$A285&lt;=EYear_O,O$3&gt;0),IF($A285=SYear_O,O$168*(1+Data_All!O124%),O284*(1+Data_All!O124%)),"")</f>
        <v/>
      </c>
      <c r="P285" s="427" t="str">
        <f>IF(AND($A285&gt;=SYear_O,$A285&lt;=EYear_O,P$3&gt;0),IF($A285=SYear_O,P$168*(1+Data_All!P124%),P284*(1+Data_All!P124%)),"")</f>
        <v/>
      </c>
      <c r="Q285" s="427" t="str">
        <f>IF(AND($A285&gt;=SYear_O,$A285&lt;=EYear_O,Q$3&gt;0),IF($A285=SYear_O,Q$168*(1+Data_All!Q124%),Q284*(1+Data_All!Q124%)),"")</f>
        <v/>
      </c>
      <c r="R285" s="427" t="str">
        <f>IF(AND($A285&gt;=SYear_O,$A285&lt;=EYear_O,R$3&gt;0),IF($A285=SYear_O,R$168*(1+Data_All!R124%),R284*(1+Data_All!R124%)),"")</f>
        <v/>
      </c>
      <c r="S285" s="427" t="str">
        <f>IF(AND($A285&gt;=SYear_O,$A285&lt;=EYear_O,S$3&gt;0),IF($A285=SYear_O,S$168*(1+Data_All!S124%),S284*(1+Data_All!S124%)),"")</f>
        <v/>
      </c>
      <c r="T285" s="427" t="str">
        <f>IF(AND($A285&gt;=SYear_O,$A285&lt;=EYear_O,T$3&gt;0),IF($A285=SYear_O,T$168*(1+Data_All!T124%),T284*(1+Data_All!T124%)),"")</f>
        <v/>
      </c>
      <c r="U285" s="427" t="str">
        <f>IF(AND($A285&gt;=SYear_O,$A285&lt;=EYear_O,U$3&gt;0),IF($A285=SYear_O,U$168*(1+Data_All!U124%),U284*(1+Data_All!U124%)),"")</f>
        <v/>
      </c>
      <c r="V285" s="427" t="str">
        <f>IF(AND($A285&gt;=SYear_O,$A285&lt;=EYear_O,V$3&gt;0),IF($A285=SYear_O,V$168*(1+Data_All!V124%),V284*(1+Data_All!V124%)),"")</f>
        <v/>
      </c>
      <c r="W285" s="427" t="str">
        <f>IF(AND($A285&gt;=SYear_O,$A285&lt;=EYear_O,W$3&gt;0),IF($A285=SYear_O,W$168*(1+Data_All!W124%),W284*(1+Data_All!W124%)),"")</f>
        <v/>
      </c>
      <c r="X285" s="427" t="str">
        <f>IF(AND($A285&gt;=SYear_O,$A285&lt;=EYear_O,X$3&gt;0),IF($A285=SYear_O,X$168*(1+Data_All!X124%),X284*(1+Data_All!X124%)),"")</f>
        <v/>
      </c>
      <c r="Y285" s="427" t="str">
        <f>IF(AND($A285&gt;=SYear_O,$A285&lt;=EYear_O,Y$3&gt;0),IF($A285=SYear_O,Y$168*(1+Data_All!Y124%),Y284*(1+Data_All!Y124%)),"")</f>
        <v/>
      </c>
      <c r="Z285" s="427" t="str">
        <f>IF(AND($A285&gt;=SYear_O,$A285&lt;=EYear_O,Z$3&gt;0),IF($A285=SYear_O,Z$168*(1+Data_All!Z124%),Z284*(1+Data_All!Z124%)),"")</f>
        <v/>
      </c>
      <c r="AA285" s="427" t="str">
        <f>IF(AND($A285&gt;=SYear_O,$A285&lt;=EYear_O,AA$3&gt;0),IF($A285=SYear_O,AA$168*(1+Data_All!AA124%),AA284*(1+Data_All!AA124%)),"")</f>
        <v/>
      </c>
      <c r="AB285" s="427" t="str">
        <f>IF(AND($A285&gt;=SYear_O,$A285&lt;=EYear_O,AB$3&gt;0),IF($A285=SYear_O,AB$168*(1+Data_All!AB124%),AB284*(1+Data_All!AB124%)),"")</f>
        <v/>
      </c>
      <c r="AC285" s="427" t="str">
        <f>IF(AND($A285&gt;=SYear_O,$A285&lt;=EYear_O,AC$3&gt;0),IF($A285=SYear_O,AC$168*(1+Data_All!AC124%),AC284*(1+Data_All!AC124%)),"")</f>
        <v/>
      </c>
      <c r="AD285" s="427" t="str">
        <f>IF(AND($A285&gt;=SYear_O,$A285&lt;=EYear_O,AD$3&gt;0),IF($A285=SYear_O,AD$168*(1+Data_All!AD124%),AD284*(1+Data_All!AD124%)),"")</f>
        <v/>
      </c>
      <c r="AE285" s="427" t="str">
        <f>IF(AND($A285&gt;=SYear_O,$A285&lt;=EYear_O,AE$3&gt;0),IF($A285=SYear_O,AE$168*(1+Data_All!AE124%),AE284*(1+Data_All!AE124%)),"")</f>
        <v/>
      </c>
      <c r="AF285" s="427" t="str">
        <f>IF(AND($A285&gt;=SYear_O,$A285&lt;=EYear_O,AF$3&gt;0),IF($A285=SYear_O,AF$168*(1+Data_All!AF124%),AF284*(1+Data_All!AF124%)),"")</f>
        <v/>
      </c>
      <c r="AG285" s="427" t="str">
        <f>IF(AND($A285&gt;=SYear_O,$A285&lt;=EYear_O,AG$3&gt;0),IF($A285=SYear_O,AG$168*(1+Data_All!AG124%),AG284*(1+Data_All!AG124%)),"")</f>
        <v/>
      </c>
      <c r="AH285" s="427" t="str">
        <f>IF(AND($A285&gt;=SYear_O,$A285&lt;=EYear_O,AH$3&gt;0),IF($A285=SYear_O,AH$168*(1+Data_All!AH124%),AH284*(1+Data_All!AH124%)),"")</f>
        <v/>
      </c>
      <c r="AI285" s="427" t="str">
        <f>IF(AND($A285&gt;=SYear_O,$A285&lt;=EYear_O,AI$3&gt;0),IF($A285=SYear_O,AI$168*(1+Data_All!AI124%),AI284*(1+Data_All!AI124%)),"")</f>
        <v/>
      </c>
      <c r="AJ285" s="427" t="str">
        <f>IF(AND($A285&gt;=SYear_O,$A285&lt;=EYear_O,AJ$3&gt;0),IF($A285=SYear_O,AJ$168*(1+Data_All!AJ124%),AJ284*(1+Data_All!AJ124%)),"")</f>
        <v/>
      </c>
      <c r="AK285" s="427" t="str">
        <f>IF(AND($A285&gt;=SYear_O,$A285&lt;=EYear_O,AK$3&gt;0),IF($A285=SYear_O,AK$168*(1+Data_All!AK124%),AK284*(1+Data_All!AK124%)),"")</f>
        <v/>
      </c>
      <c r="AL285" s="427" t="str">
        <f>IF(AND($A285&gt;=SYear_O,$A285&lt;=EYear_O,AL$3&gt;0),IF($A285=SYear_O,AL$168*(1+Data_All!AL124%),AL284*(1+Data_All!AL124%)),"")</f>
        <v/>
      </c>
      <c r="AM285" s="427" t="str">
        <f>IF(AND($A285&gt;=SYear_O,$A285&lt;=EYear_O,AM$3&gt;0),IF($A285=SYear_O,AM$168*(1+Data_All!AM124%),AM284*(1+Data_All!AM124%)),"")</f>
        <v/>
      </c>
      <c r="AN285" s="427" t="str">
        <f>IF(AND($A285&gt;=SYear_O,$A285&lt;=EYear_O,AN$3&gt;0),IF($A285=SYear_O,AN$168*(1+Data_All!AN124%),AN284*(1+Data_All!AN124%)),"")</f>
        <v/>
      </c>
      <c r="AO285" s="427" t="str">
        <f>IF(AND($A285&gt;=SYear_O,$A285&lt;=EYear_O,AO$3&gt;0),IF($A285=SYear_O,AO$168*(1+Data_All!AO124%),AO284*(1+Data_All!AO124%)),"")</f>
        <v/>
      </c>
      <c r="AP285" s="427" t="str">
        <f>IF(AND($A285&gt;=SYear_O,$A285&lt;=EYear_O,AP$3&gt;0),IF($A285=SYear_O,AP$168*(1+Data_All!AP124%),AP284*(1+Data_All!AP124%)),"")</f>
        <v/>
      </c>
      <c r="AQ285" s="427" t="str">
        <f>IF(AND($A285&gt;=SYear_O,$A285&lt;=EYear_O,AQ$3&gt;0),IF($A285=SYear_O,AQ$168*(1+Data_All!AQ124%),AQ284*(1+Data_All!AQ124%)),"")</f>
        <v/>
      </c>
      <c r="AR285" s="427" t="str">
        <f>IF(AND($A285&gt;=SYear_O,$A285&lt;=EYear_O,AR$3&gt;0),IF($A285=SYear_O,AR$168*(1+Data_All!AR124%),AR284*(1+Data_All!AR124%)),"")</f>
        <v/>
      </c>
      <c r="AS285" s="427" t="str">
        <f>IF(AND($A285&gt;=SYear_O,$A285&lt;=EYear_O,AS$3&gt;0),IF($A285=SYear_O,AS$168*(1+Data_All!AS124%),AS284*(1+Data_All!AS124%)),"")</f>
        <v/>
      </c>
      <c r="AT285" s="427" t="str">
        <f>IF(AND($A285&gt;=SYear_O,$A285&lt;=EYear_O,AT$3&gt;0),IF($A285=SYear_O,AT$168*(1+Data_All!AT124%),AT284*(1+Data_All!AT124%)),"")</f>
        <v/>
      </c>
      <c r="AU285" s="427" t="str">
        <f>IF(AND($A285&gt;=SYear_O,$A285&lt;=EYear_O,AU$3&gt;0),IF($A285=SYear_O,AU$168*(1+Data_All!AU124%),AU284*(1+Data_All!AU124%)),"")</f>
        <v/>
      </c>
      <c r="AV285" s="427" t="str">
        <f>IF(AND($A285&gt;=SYear_O,$A285&lt;=EYear_O,AV$3&gt;0),IF($A285=SYear_O,AV$168*(1+Data_All!AV124%),AV284*(1+Data_All!AV124%)),"")</f>
        <v/>
      </c>
      <c r="AW285" s="427" t="str">
        <f>IF(AND($A285&gt;=SYear_O,$A285&lt;=EYear_O,AW$3&gt;0),IF($A285=SYear_O,AW$168*(1+Data_All!AW124%),AW284*(1+Data_All!AW124%)),"")</f>
        <v/>
      </c>
      <c r="AX285" s="427" t="str">
        <f>IF(AND($A285&gt;=SYear_O,$A285&lt;=EYear_O,AX$3&gt;0),IF($A285=SYear_O,AX$168*(1+Data_All!AX124%),AX284*(1+Data_All!AX124%)),"")</f>
        <v/>
      </c>
      <c r="AY285" s="427" t="str">
        <f>IF(AND($A285&gt;=SYear_O,$A285&lt;=EYear_O,AY$3&gt;0),IF($A285=SYear_O,AY$168*(1+Data_All!AY124%),AY284*(1+Data_All!AY124%)),"")</f>
        <v/>
      </c>
      <c r="AZ285" s="427" t="str">
        <f>IF(AND($A285&gt;=SYear_O,$A285&lt;=EYear_O,AZ$3&gt;0),IF($A285=SYear_O,AZ$168*(1+Data_All!AZ124%),AZ284*(1+Data_All!AZ124%)),"")</f>
        <v/>
      </c>
      <c r="BA285" s="427" t="str">
        <f>IF(AND($A285&gt;=SYear_O,$A285&lt;=EYear_O,BA$3&gt;0),IF($A285=SYear_O,BA$168*(1+Data_All!BA124%),BA284*(1+Data_All!BA124%)),"")</f>
        <v/>
      </c>
      <c r="BB285" s="427" t="str">
        <f>IF(AND($A285&gt;=SYear_O,$A285&lt;=EYear_O,BB$3&gt;0),IF($A285=SYear_O,BB$168*(1+Data_All!BB124%),BB284*(1+Data_All!BB124%)),"")</f>
        <v/>
      </c>
      <c r="BC285" s="427" t="str">
        <f>IF(AND($A285&gt;=SYear_O,$A285&lt;=EYear_O,BC$3&gt;0),IF($A285=SYear_O,BC$168*(1+Data_All!BC124%),BC284*(1+Data_All!BC124%)),"")</f>
        <v/>
      </c>
      <c r="BD285" s="427" t="str">
        <f>IF(AND($A285&gt;=SYear_O,$A285&lt;=EYear_O,BD$3&gt;0),IF($A285=SYear_O,BD$168*(1+Data_All!BD124%),BD284*(1+Data_All!BD124%)),"")</f>
        <v/>
      </c>
      <c r="BE285" s="427" t="str">
        <f>IF(AND($A285&gt;=SYear_O,$A285&lt;=EYear_O,BE$3&gt;0),IF($A285=SYear_O,BE$168*(1+Data_All!BE124%),BE284*(1+Data_All!BE124%)),"")</f>
        <v/>
      </c>
      <c r="BF285" s="427" t="str">
        <f>IF(AND($A285&gt;=SYear_O,$A285&lt;=EYear_O,BF$3&gt;0),IF($A285=SYear_O,BF$168*(1+Data_All!BF124%),BF284*(1+Data_All!BF124%)),"")</f>
        <v/>
      </c>
      <c r="BG285" s="427" t="str">
        <f>IF(AND($A285&gt;=SYear_O,$A285&lt;=EYear_O,BG$3&gt;0),IF($A285=SYear_O,BG$168*(1+Data_All!BG124%),BG284*(1+Data_All!BG124%)),"")</f>
        <v/>
      </c>
      <c r="BH285" s="427" t="str">
        <f>IF(AND($A285&gt;=SYear_O,$A285&lt;=EYear_O,BH$3&gt;0),IF($A285=SYear_O,BH$168*(1+Data_All!BH124%),BH284*(1+Data_All!BH124%)),"")</f>
        <v/>
      </c>
      <c r="BI285" s="427" t="str">
        <f>IF(AND($A285&gt;=SYear_O,$A285&lt;=EYear_O,BI$3&gt;0),IF($A285=SYear_O,BI$168*(1+Data_All!BI124%),BI284*(1+Data_All!BI124%)),"")</f>
        <v/>
      </c>
      <c r="BJ285" s="427" t="str">
        <f>IF(AND($A285&gt;=SYear_O,$A285&lt;=EYear_O,BJ$3&gt;0),IF($A285=SYear_O,BJ$168*(1+Data_All!BJ124%),BJ284*(1+Data_All!BJ124%)),"")</f>
        <v/>
      </c>
      <c r="BK285" s="427" t="str">
        <f>IF(AND($A285&gt;=SYear_O,$A285&lt;=EYear_O,BK$3&gt;0),IF($A285=SYear_O,BK$168*(1+Data_All!BK124%),BK284*(1+Data_All!BK124%)),"")</f>
        <v/>
      </c>
      <c r="BL285" s="427" t="str">
        <f>IF(AND($A285&gt;=SYear_O,$A285&lt;=EYear_O,BL$3&gt;0),IF($A285=SYear_O,BL$168*(1+Data_All!BL124%),BL284*(1+Data_All!BL124%)),"")</f>
        <v/>
      </c>
      <c r="BM285" s="427" t="str">
        <f>IF(AND($A285&gt;=SYear_O,$A285&lt;=EYear_O,BM$3&gt;0),IF($A285=SYear_O,BM$168*(1+Data_All!BM124%),BM284*(1+Data_All!BM124%)),"")</f>
        <v/>
      </c>
      <c r="BN285" s="427" t="str">
        <f>IF(AND($A285&gt;=SYear_O,$A285&lt;=EYear_O,BN$3&gt;0),IF($A285=SYear_O,BN$168*(1+Data_All!BN124%),BN284*(1+Data_All!BN124%)),"")</f>
        <v/>
      </c>
      <c r="BO285" s="427" t="str">
        <f>IF(AND($A285&gt;=SYear_O,$A285&lt;=EYear_O,BO$3&gt;0),IF($A285=SYear_O,BO$168*(1+Data_All!BO124%),BO284*(1+Data_All!BO124%)),"")</f>
        <v/>
      </c>
      <c r="BP285" s="427" t="str">
        <f>IF(AND($A285&gt;=SYear_O,$A285&lt;=EYear_O,BP$3&gt;0),IF($A285=SYear_O,BP$168*(1+Data_All!BP124%),BP284*(1+Data_All!BP124%)),"")</f>
        <v/>
      </c>
      <c r="BQ285" s="427" t="str">
        <f>IF(AND($A285&gt;=SYear_O,$A285&lt;=EYear_O,BQ$3&gt;0),IF($A285=SYear_O,BQ$168*(1+Data_All!BQ124%),BQ284*(1+Data_All!BQ124%)),"")</f>
        <v/>
      </c>
      <c r="BR285" s="427" t="str">
        <f>IF(AND($A285&gt;=SYear_O,$A285&lt;=EYear_O,BR$3&gt;0),IF($A285=SYear_O,BR$168*(1+Data_All!BR124%),BR284*(1+Data_All!BR124%)),"")</f>
        <v/>
      </c>
      <c r="BS285" s="427" t="str">
        <f>IF(AND($A285&gt;=SYear_O,$A285&lt;=EYear_O,BS$3&gt;0),IF($A285=SYear_O,BS$168*(1+Data_All!BS124%),BS284*(1+Data_All!BS124%)),"")</f>
        <v/>
      </c>
      <c r="BT285" s="427" t="str">
        <f>IF(AND($A285&gt;=SYear_O,$A285&lt;=EYear_O,BT$3&gt;0),IF($A285=SYear_O,BT$168*(1+Data_All!BT124%),BT284*(1+Data_All!BT124%)),"")</f>
        <v/>
      </c>
      <c r="BU285" s="427" t="str">
        <f>IF(AND($A285&gt;=SYear_O,$A285&lt;=EYear_O,BU$3&gt;0),IF($A285=SYear_O,BU$168*(1+Data_All!BU124%),BU284*(1+Data_All!BU124%)),"")</f>
        <v/>
      </c>
      <c r="BV285" s="427" t="str">
        <f>IF(AND($A285&gt;=SYear_O,$A285&lt;=EYear_O,BV$3&gt;0),IF($A285=SYear_O,BV$168*(1+Data_All!BV124%),BV284*(1+Data_All!BV124%)),"")</f>
        <v/>
      </c>
      <c r="BW285" s="427" t="str">
        <f>IF(AND($A285&gt;=SYear_O,$A285&lt;=EYear_O,BW$3&gt;0),IF($A285=SYear_O,BW$168*(1+Data_All!BW124%),BW284*(1+Data_All!BW124%)),"")</f>
        <v/>
      </c>
      <c r="BX285" s="427">
        <f>IF(AND($A285&gt;=SYear_O,$A285&lt;=EYear_O,BX$3&gt;0),IF($A285=SYear_O,BX$168*(1+Data_All!BX124%),BX284*(1+Data_All!BX124%)),"")</f>
        <v>87524329.015446499</v>
      </c>
      <c r="BY285" s="427">
        <f>IF(AND($A285&gt;=SYear_O,$A285&lt;=EYear_O,BY$3&gt;0),IF($A285=SYear_O,BY$168*(1+Data_All!BY124%),BY284*(1+Data_All!BY124%)),"")</f>
        <v>561890.55297621759</v>
      </c>
      <c r="BZ285" s="427" t="str">
        <f>IF(AND($A285&gt;=SYear_O,$A285&lt;=EYear_O,BZ$3&gt;0),IF($A285=SYear_O,BZ$168*(1+Data_All!BZ124%),BZ284*(1+Data_All!BZ124%)),"")</f>
        <v/>
      </c>
      <c r="CA285" s="565">
        <f t="shared" si="138"/>
        <v>-1.9548104501052055</v>
      </c>
      <c r="CB285" s="427">
        <f t="shared" si="139"/>
        <v>88086219.56842272</v>
      </c>
      <c r="CC285" s="565">
        <f>IF(AND($A285&gt;=SYear_O,$A285&lt;=EYear_O),(CA285-Data_All!CA124)/(1+Data_All!CA124%),"")</f>
        <v>-6.1179077533503108</v>
      </c>
      <c r="CD285" s="436">
        <f t="shared" si="140"/>
        <v>9513968.9251318481</v>
      </c>
      <c r="CE285" s="438">
        <f t="shared" si="141"/>
        <v>7989.3530606898839</v>
      </c>
      <c r="CF285" s="438">
        <f>IF(AND($A285&gt;=SYear_O,$A285&lt;=EYear_O),MAX($CE$169:CE285),"")</f>
        <v>8148.6435972711697</v>
      </c>
      <c r="CG285" s="209">
        <f t="shared" si="142"/>
        <v>1.9548104501052044E-2</v>
      </c>
      <c r="CN285" s="61">
        <f t="shared" si="143"/>
        <v>-1.9548104501052044E-2</v>
      </c>
      <c r="CO285" s="61">
        <f t="shared" si="144"/>
        <v>0.12379177018025445</v>
      </c>
      <c r="CP285" s="61">
        <f t="shared" si="145"/>
        <v>0.13141028028252921</v>
      </c>
      <c r="CQ285" s="61">
        <f t="shared" si="146"/>
        <v>0.14452648045806793</v>
      </c>
      <c r="CR285" s="61">
        <f t="shared" si="147"/>
        <v>0.12850315410636948</v>
      </c>
      <c r="CU285" s="61">
        <f t="shared" si="148"/>
        <v>-6.1179077533503268E-2</v>
      </c>
      <c r="CV285" s="61">
        <f t="shared" si="149"/>
        <v>7.539557337371483E-2</v>
      </c>
      <c r="CW285" s="61">
        <f t="shared" si="150"/>
        <v>8.2379910388538091E-2</v>
      </c>
      <c r="CX285" s="61">
        <f t="shared" si="151"/>
        <v>0.10390513802346946</v>
      </c>
      <c r="CY285" s="61">
        <f t="shared" si="152"/>
        <v>9.3732605479600606E-2</v>
      </c>
    </row>
    <row r="286" spans="1:103">
      <c r="A286" s="204">
        <f t="shared" si="107"/>
        <v>1988</v>
      </c>
      <c r="B286" s="427" t="str">
        <f>IF(AND($A286&gt;=SYear_O,$A286&lt;=EYear_O,B$3&gt;0),IF($A286=SYear_O,B$168*(1+Data_All!B125%),B285*(1+Data_All!B125%)),"")</f>
        <v/>
      </c>
      <c r="C286" s="427" t="str">
        <f>IF(AND($A286&gt;=SYear_O,$A286&lt;=EYear_O,C$3&gt;0),IF($A286=SYear_O,C$168*(1+Data_All!C125%),C285*(1+Data_All!C125%)),"")</f>
        <v/>
      </c>
      <c r="D286" s="427" t="str">
        <f>IF(AND($A286&gt;=SYear_O,$A286&lt;=EYear_O,D$3&gt;0),IF($A286=SYear_O,D$168*(1+Data_All!D125%),D285*(1+Data_All!D125%)),"")</f>
        <v/>
      </c>
      <c r="E286" s="427" t="str">
        <f>IF(AND($A286&gt;=SYear_O,$A286&lt;=EYear_O,E$3&gt;0),IF($A286=SYear_O,E$168*(1+Data_All!E125%),E285*(1+Data_All!E125%)),"")</f>
        <v/>
      </c>
      <c r="F286" s="427" t="str">
        <f>IF(AND($A286&gt;=SYear_O,$A286&lt;=EYear_O,F$3&gt;0),IF($A286=SYear_O,F$168*(1+Data_All!F125%),F285*(1+Data_All!F125%)),"")</f>
        <v/>
      </c>
      <c r="G286" s="427" t="str">
        <f>IF(AND($A286&gt;=SYear_O,$A286&lt;=EYear_O,G$3&gt;0),IF($A286=SYear_O,G$168*(1+Data_All!G125%),G285*(1+Data_All!G125%)),"")</f>
        <v/>
      </c>
      <c r="H286" s="427" t="str">
        <f>IF(AND($A286&gt;=SYear_O,$A286&lt;=EYear_O,H$3&gt;0),IF($A286=SYear_O,H$168*(1+Data_All!H125%),H285*(1+Data_All!H125%)),"")</f>
        <v/>
      </c>
      <c r="I286" s="427" t="str">
        <f>IF(AND($A286&gt;=SYear_O,$A286&lt;=EYear_O,I$3&gt;0),IF($A286=SYear_O,I$168*(1+Data_All!I125%),I285*(1+Data_All!I125%)),"")</f>
        <v/>
      </c>
      <c r="J286" s="427" t="str">
        <f>IF(AND($A286&gt;=SYear_O,$A286&lt;=EYear_O,J$3&gt;0),IF($A286=SYear_O,J$168*(1+Data_All!J125%),J285*(1+Data_All!J125%)),"")</f>
        <v/>
      </c>
      <c r="K286" s="427" t="str">
        <f>IF(AND($A286&gt;=SYear_O,$A286&lt;=EYear_O,K$3&gt;0),IF($A286=SYear_O,K$168*(1+Data_All!K125%),K285*(1+Data_All!K125%)),"")</f>
        <v/>
      </c>
      <c r="L286" s="427" t="str">
        <f>IF(AND($A286&gt;=SYear_O,$A286&lt;=EYear_O,L$3&gt;0),IF($A286=SYear_O,L$168*(1+Data_All!L125%),L285*(1+Data_All!L125%)),"")</f>
        <v/>
      </c>
      <c r="M286" s="427" t="str">
        <f>IF(AND($A286&gt;=SYear_O,$A286&lt;=EYear_O,M$3&gt;0),IF($A286=SYear_O,M$168*(1+Data_All!M125%),M285*(1+Data_All!M125%)),"")</f>
        <v/>
      </c>
      <c r="N286" s="427" t="str">
        <f>IF(AND($A286&gt;=SYear_O,$A286&lt;=EYear_O,N$3&gt;0),IF($A286=SYear_O,N$168*(1+Data_All!N125%),N285*(1+Data_All!N125%)),"")</f>
        <v/>
      </c>
      <c r="O286" s="427" t="str">
        <f>IF(AND($A286&gt;=SYear_O,$A286&lt;=EYear_O,O$3&gt;0),IF($A286=SYear_O,O$168*(1+Data_All!O125%),O285*(1+Data_All!O125%)),"")</f>
        <v/>
      </c>
      <c r="P286" s="427" t="str">
        <f>IF(AND($A286&gt;=SYear_O,$A286&lt;=EYear_O,P$3&gt;0),IF($A286=SYear_O,P$168*(1+Data_All!P125%),P285*(1+Data_All!P125%)),"")</f>
        <v/>
      </c>
      <c r="Q286" s="427" t="str">
        <f>IF(AND($A286&gt;=SYear_O,$A286&lt;=EYear_O,Q$3&gt;0),IF($A286=SYear_O,Q$168*(1+Data_All!Q125%),Q285*(1+Data_All!Q125%)),"")</f>
        <v/>
      </c>
      <c r="R286" s="427" t="str">
        <f>IF(AND($A286&gt;=SYear_O,$A286&lt;=EYear_O,R$3&gt;0),IF($A286=SYear_O,R$168*(1+Data_All!R125%),R285*(1+Data_All!R125%)),"")</f>
        <v/>
      </c>
      <c r="S286" s="427" t="str">
        <f>IF(AND($A286&gt;=SYear_O,$A286&lt;=EYear_O,S$3&gt;0),IF($A286=SYear_O,S$168*(1+Data_All!S125%),S285*(1+Data_All!S125%)),"")</f>
        <v/>
      </c>
      <c r="T286" s="427" t="str">
        <f>IF(AND($A286&gt;=SYear_O,$A286&lt;=EYear_O,T$3&gt;0),IF($A286=SYear_O,T$168*(1+Data_All!T125%),T285*(1+Data_All!T125%)),"")</f>
        <v/>
      </c>
      <c r="U286" s="427" t="str">
        <f>IF(AND($A286&gt;=SYear_O,$A286&lt;=EYear_O,U$3&gt;0),IF($A286=SYear_O,U$168*(1+Data_All!U125%),U285*(1+Data_All!U125%)),"")</f>
        <v/>
      </c>
      <c r="V286" s="427" t="str">
        <f>IF(AND($A286&gt;=SYear_O,$A286&lt;=EYear_O,V$3&gt;0),IF($A286=SYear_O,V$168*(1+Data_All!V125%),V285*(1+Data_All!V125%)),"")</f>
        <v/>
      </c>
      <c r="W286" s="427" t="str">
        <f>IF(AND($A286&gt;=SYear_O,$A286&lt;=EYear_O,W$3&gt;0),IF($A286=SYear_O,W$168*(1+Data_All!W125%),W285*(1+Data_All!W125%)),"")</f>
        <v/>
      </c>
      <c r="X286" s="427" t="str">
        <f>IF(AND($A286&gt;=SYear_O,$A286&lt;=EYear_O,X$3&gt;0),IF($A286=SYear_O,X$168*(1+Data_All!X125%),X285*(1+Data_All!X125%)),"")</f>
        <v/>
      </c>
      <c r="Y286" s="427" t="str">
        <f>IF(AND($A286&gt;=SYear_O,$A286&lt;=EYear_O,Y$3&gt;0),IF($A286=SYear_O,Y$168*(1+Data_All!Y125%),Y285*(1+Data_All!Y125%)),"")</f>
        <v/>
      </c>
      <c r="Z286" s="427" t="str">
        <f>IF(AND($A286&gt;=SYear_O,$A286&lt;=EYear_O,Z$3&gt;0),IF($A286=SYear_O,Z$168*(1+Data_All!Z125%),Z285*(1+Data_All!Z125%)),"")</f>
        <v/>
      </c>
      <c r="AA286" s="427" t="str">
        <f>IF(AND($A286&gt;=SYear_O,$A286&lt;=EYear_O,AA$3&gt;0),IF($A286=SYear_O,AA$168*(1+Data_All!AA125%),AA285*(1+Data_All!AA125%)),"")</f>
        <v/>
      </c>
      <c r="AB286" s="427" t="str">
        <f>IF(AND($A286&gt;=SYear_O,$A286&lt;=EYear_O,AB$3&gt;0),IF($A286=SYear_O,AB$168*(1+Data_All!AB125%),AB285*(1+Data_All!AB125%)),"")</f>
        <v/>
      </c>
      <c r="AC286" s="427" t="str">
        <f>IF(AND($A286&gt;=SYear_O,$A286&lt;=EYear_O,AC$3&gt;0),IF($A286=SYear_O,AC$168*(1+Data_All!AC125%),AC285*(1+Data_All!AC125%)),"")</f>
        <v/>
      </c>
      <c r="AD286" s="427" t="str">
        <f>IF(AND($A286&gt;=SYear_O,$A286&lt;=EYear_O,AD$3&gt;0),IF($A286=SYear_O,AD$168*(1+Data_All!AD125%),AD285*(1+Data_All!AD125%)),"")</f>
        <v/>
      </c>
      <c r="AE286" s="427" t="str">
        <f>IF(AND($A286&gt;=SYear_O,$A286&lt;=EYear_O,AE$3&gt;0),IF($A286=SYear_O,AE$168*(1+Data_All!AE125%),AE285*(1+Data_All!AE125%)),"")</f>
        <v/>
      </c>
      <c r="AF286" s="427" t="str">
        <f>IF(AND($A286&gt;=SYear_O,$A286&lt;=EYear_O,AF$3&gt;0),IF($A286=SYear_O,AF$168*(1+Data_All!AF125%),AF285*(1+Data_All!AF125%)),"")</f>
        <v/>
      </c>
      <c r="AG286" s="427" t="str">
        <f>IF(AND($A286&gt;=SYear_O,$A286&lt;=EYear_O,AG$3&gt;0),IF($A286=SYear_O,AG$168*(1+Data_All!AG125%),AG285*(1+Data_All!AG125%)),"")</f>
        <v/>
      </c>
      <c r="AH286" s="427" t="str">
        <f>IF(AND($A286&gt;=SYear_O,$A286&lt;=EYear_O,AH$3&gt;0),IF($A286=SYear_O,AH$168*(1+Data_All!AH125%),AH285*(1+Data_All!AH125%)),"")</f>
        <v/>
      </c>
      <c r="AI286" s="427" t="str">
        <f>IF(AND($A286&gt;=SYear_O,$A286&lt;=EYear_O,AI$3&gt;0),IF($A286=SYear_O,AI$168*(1+Data_All!AI125%),AI285*(1+Data_All!AI125%)),"")</f>
        <v/>
      </c>
      <c r="AJ286" s="427" t="str">
        <f>IF(AND($A286&gt;=SYear_O,$A286&lt;=EYear_O,AJ$3&gt;0),IF($A286=SYear_O,AJ$168*(1+Data_All!AJ125%),AJ285*(1+Data_All!AJ125%)),"")</f>
        <v/>
      </c>
      <c r="AK286" s="427" t="str">
        <f>IF(AND($A286&gt;=SYear_O,$A286&lt;=EYear_O,AK$3&gt;0),IF($A286=SYear_O,AK$168*(1+Data_All!AK125%),AK285*(1+Data_All!AK125%)),"")</f>
        <v/>
      </c>
      <c r="AL286" s="427" t="str">
        <f>IF(AND($A286&gt;=SYear_O,$A286&lt;=EYear_O,AL$3&gt;0),IF($A286=SYear_O,AL$168*(1+Data_All!AL125%),AL285*(1+Data_All!AL125%)),"")</f>
        <v/>
      </c>
      <c r="AM286" s="427" t="str">
        <f>IF(AND($A286&gt;=SYear_O,$A286&lt;=EYear_O,AM$3&gt;0),IF($A286=SYear_O,AM$168*(1+Data_All!AM125%),AM285*(1+Data_All!AM125%)),"")</f>
        <v/>
      </c>
      <c r="AN286" s="427" t="str">
        <f>IF(AND($A286&gt;=SYear_O,$A286&lt;=EYear_O,AN$3&gt;0),IF($A286=SYear_O,AN$168*(1+Data_All!AN125%),AN285*(1+Data_All!AN125%)),"")</f>
        <v/>
      </c>
      <c r="AO286" s="427" t="str">
        <f>IF(AND($A286&gt;=SYear_O,$A286&lt;=EYear_O,AO$3&gt;0),IF($A286=SYear_O,AO$168*(1+Data_All!AO125%),AO285*(1+Data_All!AO125%)),"")</f>
        <v/>
      </c>
      <c r="AP286" s="427" t="str">
        <f>IF(AND($A286&gt;=SYear_O,$A286&lt;=EYear_O,AP$3&gt;0),IF($A286=SYear_O,AP$168*(1+Data_All!AP125%),AP285*(1+Data_All!AP125%)),"")</f>
        <v/>
      </c>
      <c r="AQ286" s="427" t="str">
        <f>IF(AND($A286&gt;=SYear_O,$A286&lt;=EYear_O,AQ$3&gt;0),IF($A286=SYear_O,AQ$168*(1+Data_All!AQ125%),AQ285*(1+Data_All!AQ125%)),"")</f>
        <v/>
      </c>
      <c r="AR286" s="427" t="str">
        <f>IF(AND($A286&gt;=SYear_O,$A286&lt;=EYear_O,AR$3&gt;0),IF($A286=SYear_O,AR$168*(1+Data_All!AR125%),AR285*(1+Data_All!AR125%)),"")</f>
        <v/>
      </c>
      <c r="AS286" s="427" t="str">
        <f>IF(AND($A286&gt;=SYear_O,$A286&lt;=EYear_O,AS$3&gt;0),IF($A286=SYear_O,AS$168*(1+Data_All!AS125%),AS285*(1+Data_All!AS125%)),"")</f>
        <v/>
      </c>
      <c r="AT286" s="427" t="str">
        <f>IF(AND($A286&gt;=SYear_O,$A286&lt;=EYear_O,AT$3&gt;0),IF($A286=SYear_O,AT$168*(1+Data_All!AT125%),AT285*(1+Data_All!AT125%)),"")</f>
        <v/>
      </c>
      <c r="AU286" s="427" t="str">
        <f>IF(AND($A286&gt;=SYear_O,$A286&lt;=EYear_O,AU$3&gt;0),IF($A286=SYear_O,AU$168*(1+Data_All!AU125%),AU285*(1+Data_All!AU125%)),"")</f>
        <v/>
      </c>
      <c r="AV286" s="427" t="str">
        <f>IF(AND($A286&gt;=SYear_O,$A286&lt;=EYear_O,AV$3&gt;0),IF($A286=SYear_O,AV$168*(1+Data_All!AV125%),AV285*(1+Data_All!AV125%)),"")</f>
        <v/>
      </c>
      <c r="AW286" s="427" t="str">
        <f>IF(AND($A286&gt;=SYear_O,$A286&lt;=EYear_O,AW$3&gt;0),IF($A286=SYear_O,AW$168*(1+Data_All!AW125%),AW285*(1+Data_All!AW125%)),"")</f>
        <v/>
      </c>
      <c r="AX286" s="427" t="str">
        <f>IF(AND($A286&gt;=SYear_O,$A286&lt;=EYear_O,AX$3&gt;0),IF($A286=SYear_O,AX$168*(1+Data_All!AX125%),AX285*(1+Data_All!AX125%)),"")</f>
        <v/>
      </c>
      <c r="AY286" s="427" t="str">
        <f>IF(AND($A286&gt;=SYear_O,$A286&lt;=EYear_O,AY$3&gt;0),IF($A286=SYear_O,AY$168*(1+Data_All!AY125%),AY285*(1+Data_All!AY125%)),"")</f>
        <v/>
      </c>
      <c r="AZ286" s="427" t="str">
        <f>IF(AND($A286&gt;=SYear_O,$A286&lt;=EYear_O,AZ$3&gt;0),IF($A286=SYear_O,AZ$168*(1+Data_All!AZ125%),AZ285*(1+Data_All!AZ125%)),"")</f>
        <v/>
      </c>
      <c r="BA286" s="427" t="str">
        <f>IF(AND($A286&gt;=SYear_O,$A286&lt;=EYear_O,BA$3&gt;0),IF($A286=SYear_O,BA$168*(1+Data_All!BA125%),BA285*(1+Data_All!BA125%)),"")</f>
        <v/>
      </c>
      <c r="BB286" s="427" t="str">
        <f>IF(AND($A286&gt;=SYear_O,$A286&lt;=EYear_O,BB$3&gt;0),IF($A286=SYear_O,BB$168*(1+Data_All!BB125%),BB285*(1+Data_All!BB125%)),"")</f>
        <v/>
      </c>
      <c r="BC286" s="427" t="str">
        <f>IF(AND($A286&gt;=SYear_O,$A286&lt;=EYear_O,BC$3&gt;0),IF($A286=SYear_O,BC$168*(1+Data_All!BC125%),BC285*(1+Data_All!BC125%)),"")</f>
        <v/>
      </c>
      <c r="BD286" s="427" t="str">
        <f>IF(AND($A286&gt;=SYear_O,$A286&lt;=EYear_O,BD$3&gt;0),IF($A286=SYear_O,BD$168*(1+Data_All!BD125%),BD285*(1+Data_All!BD125%)),"")</f>
        <v/>
      </c>
      <c r="BE286" s="427" t="str">
        <f>IF(AND($A286&gt;=SYear_O,$A286&lt;=EYear_O,BE$3&gt;0),IF($A286=SYear_O,BE$168*(1+Data_All!BE125%),BE285*(1+Data_All!BE125%)),"")</f>
        <v/>
      </c>
      <c r="BF286" s="427" t="str">
        <f>IF(AND($A286&gt;=SYear_O,$A286&lt;=EYear_O,BF$3&gt;0),IF($A286=SYear_O,BF$168*(1+Data_All!BF125%),BF285*(1+Data_All!BF125%)),"")</f>
        <v/>
      </c>
      <c r="BG286" s="427" t="str">
        <f>IF(AND($A286&gt;=SYear_O,$A286&lt;=EYear_O,BG$3&gt;0),IF($A286=SYear_O,BG$168*(1+Data_All!BG125%),BG285*(1+Data_All!BG125%)),"")</f>
        <v/>
      </c>
      <c r="BH286" s="427" t="str">
        <f>IF(AND($A286&gt;=SYear_O,$A286&lt;=EYear_O,BH$3&gt;0),IF($A286=SYear_O,BH$168*(1+Data_All!BH125%),BH285*(1+Data_All!BH125%)),"")</f>
        <v/>
      </c>
      <c r="BI286" s="427" t="str">
        <f>IF(AND($A286&gt;=SYear_O,$A286&lt;=EYear_O,BI$3&gt;0),IF($A286=SYear_O,BI$168*(1+Data_All!BI125%),BI285*(1+Data_All!BI125%)),"")</f>
        <v/>
      </c>
      <c r="BJ286" s="427" t="str">
        <f>IF(AND($A286&gt;=SYear_O,$A286&lt;=EYear_O,BJ$3&gt;0),IF($A286=SYear_O,BJ$168*(1+Data_All!BJ125%),BJ285*(1+Data_All!BJ125%)),"")</f>
        <v/>
      </c>
      <c r="BK286" s="427" t="str">
        <f>IF(AND($A286&gt;=SYear_O,$A286&lt;=EYear_O,BK$3&gt;0),IF($A286=SYear_O,BK$168*(1+Data_All!BK125%),BK285*(1+Data_All!BK125%)),"")</f>
        <v/>
      </c>
      <c r="BL286" s="427" t="str">
        <f>IF(AND($A286&gt;=SYear_O,$A286&lt;=EYear_O,BL$3&gt;0),IF($A286=SYear_O,BL$168*(1+Data_All!BL125%),BL285*(1+Data_All!BL125%)),"")</f>
        <v/>
      </c>
      <c r="BM286" s="427" t="str">
        <f>IF(AND($A286&gt;=SYear_O,$A286&lt;=EYear_O,BM$3&gt;0),IF($A286=SYear_O,BM$168*(1+Data_All!BM125%),BM285*(1+Data_All!BM125%)),"")</f>
        <v/>
      </c>
      <c r="BN286" s="427" t="str">
        <f>IF(AND($A286&gt;=SYear_O,$A286&lt;=EYear_O,BN$3&gt;0),IF($A286=SYear_O,BN$168*(1+Data_All!BN125%),BN285*(1+Data_All!BN125%)),"")</f>
        <v/>
      </c>
      <c r="BO286" s="427" t="str">
        <f>IF(AND($A286&gt;=SYear_O,$A286&lt;=EYear_O,BO$3&gt;0),IF($A286=SYear_O,BO$168*(1+Data_All!BO125%),BO285*(1+Data_All!BO125%)),"")</f>
        <v/>
      </c>
      <c r="BP286" s="427" t="str">
        <f>IF(AND($A286&gt;=SYear_O,$A286&lt;=EYear_O,BP$3&gt;0),IF($A286=SYear_O,BP$168*(1+Data_All!BP125%),BP285*(1+Data_All!BP125%)),"")</f>
        <v/>
      </c>
      <c r="BQ286" s="427" t="str">
        <f>IF(AND($A286&gt;=SYear_O,$A286&lt;=EYear_O,BQ$3&gt;0),IF($A286=SYear_O,BQ$168*(1+Data_All!BQ125%),BQ285*(1+Data_All!BQ125%)),"")</f>
        <v/>
      </c>
      <c r="BR286" s="427" t="str">
        <f>IF(AND($A286&gt;=SYear_O,$A286&lt;=EYear_O,BR$3&gt;0),IF($A286=SYear_O,BR$168*(1+Data_All!BR125%),BR285*(1+Data_All!BR125%)),"")</f>
        <v/>
      </c>
      <c r="BS286" s="427" t="str">
        <f>IF(AND($A286&gt;=SYear_O,$A286&lt;=EYear_O,BS$3&gt;0),IF($A286=SYear_O,BS$168*(1+Data_All!BS125%),BS285*(1+Data_All!BS125%)),"")</f>
        <v/>
      </c>
      <c r="BT286" s="427" t="str">
        <f>IF(AND($A286&gt;=SYear_O,$A286&lt;=EYear_O,BT$3&gt;0),IF($A286=SYear_O,BT$168*(1+Data_All!BT125%),BT285*(1+Data_All!BT125%)),"")</f>
        <v/>
      </c>
      <c r="BU286" s="427" t="str">
        <f>IF(AND($A286&gt;=SYear_O,$A286&lt;=EYear_O,BU$3&gt;0),IF($A286=SYear_O,BU$168*(1+Data_All!BU125%),BU285*(1+Data_All!BU125%)),"")</f>
        <v/>
      </c>
      <c r="BV286" s="427" t="str">
        <f>IF(AND($A286&gt;=SYear_O,$A286&lt;=EYear_O,BV$3&gt;0),IF($A286=SYear_O,BV$168*(1+Data_All!BV125%),BV285*(1+Data_All!BV125%)),"")</f>
        <v/>
      </c>
      <c r="BW286" s="427" t="str">
        <f>IF(AND($A286&gt;=SYear_O,$A286&lt;=EYear_O,BW$3&gt;0),IF($A286=SYear_O,BW$168*(1+Data_All!BW125%),BW285*(1+Data_All!BW125%)),"")</f>
        <v/>
      </c>
      <c r="BX286" s="427">
        <f>IF(AND($A286&gt;=SYear_O,$A286&lt;=EYear_O,BX$3&gt;0),IF($A286=SYear_O,BX$168*(1+Data_All!BX125%),BX285*(1+Data_All!BX125%)),"")</f>
        <v>103129712.81387292</v>
      </c>
      <c r="BY286" s="427">
        <f>IF(AND($A286&gt;=SYear_O,$A286&lt;=EYear_O,BY$3&gt;0),IF($A286=SYear_O,BY$168*(1+Data_All!BY125%),BY285*(1+Data_All!BY125%)),"")</f>
        <v>593529.67030709714</v>
      </c>
      <c r="BZ286" s="427" t="str">
        <f>IF(AND($A286&gt;=SYear_O,$A286&lt;=EYear_O,BZ$3&gt;0),IF($A286=SYear_O,BZ$168*(1+Data_All!BZ125%),BZ285*(1+Data_All!BZ125%)),"")</f>
        <v/>
      </c>
      <c r="CA286" s="565">
        <f t="shared" si="138"/>
        <v>17.751951431643551</v>
      </c>
      <c r="CB286" s="427">
        <f t="shared" si="139"/>
        <v>103723242.48418002</v>
      </c>
      <c r="CC286" s="565">
        <f>IF(AND($A286&gt;=SYear_O,$A286&lt;=EYear_O),(CA286-Data_All!CA125)/(1+Data_All!CA125%),"")</f>
        <v>12.768258881424629</v>
      </c>
      <c r="CD286" s="436">
        <f t="shared" si="140"/>
        <v>10728737.107390976</v>
      </c>
      <c r="CE286" s="438">
        <f t="shared" si="141"/>
        <v>9407.6191357260795</v>
      </c>
      <c r="CF286" s="438">
        <f>IF(AND($A286&gt;=SYear_O,$A286&lt;=EYear_O),MAX($CE$169:CE286),"")</f>
        <v>9407.6191357260795</v>
      </c>
      <c r="CG286" s="209">
        <f t="shared" si="142"/>
        <v>0</v>
      </c>
      <c r="CN286" s="61">
        <f t="shared" si="143"/>
        <v>0.17751951431643542</v>
      </c>
      <c r="CO286" s="61">
        <f t="shared" si="144"/>
        <v>0.12878267059618964</v>
      </c>
      <c r="CP286" s="61">
        <f t="shared" si="145"/>
        <v>0.15261935046165198</v>
      </c>
      <c r="CQ286" s="61">
        <f t="shared" si="146"/>
        <v>0.175169404255483</v>
      </c>
      <c r="CR286" s="61">
        <f t="shared" si="147"/>
        <v>0.1133693035156953</v>
      </c>
      <c r="CU286" s="61">
        <f t="shared" si="148"/>
        <v>0.12768258881424632</v>
      </c>
      <c r="CV286" s="61">
        <f t="shared" si="149"/>
        <v>7.4468196423433941E-2</v>
      </c>
      <c r="CW286" s="61">
        <f t="shared" si="150"/>
        <v>0.1059375119830217</v>
      </c>
      <c r="CX286" s="61">
        <f t="shared" si="151"/>
        <v>0.13646906900771749</v>
      </c>
      <c r="CY286" s="61">
        <f t="shared" si="152"/>
        <v>8.0497399771595646E-2</v>
      </c>
    </row>
    <row r="287" spans="1:103">
      <c r="A287" s="204">
        <f t="shared" si="107"/>
        <v>1989</v>
      </c>
      <c r="B287" s="427" t="str">
        <f>IF(AND($A287&gt;=SYear_O,$A287&lt;=EYear_O,B$3&gt;0),IF($A287=SYear_O,B$168*(1+Data_All!B126%),B286*(1+Data_All!B126%)),"")</f>
        <v/>
      </c>
      <c r="C287" s="427" t="str">
        <f>IF(AND($A287&gt;=SYear_O,$A287&lt;=EYear_O,C$3&gt;0),IF($A287=SYear_O,C$168*(1+Data_All!C126%),C286*(1+Data_All!C126%)),"")</f>
        <v/>
      </c>
      <c r="D287" s="427" t="str">
        <f>IF(AND($A287&gt;=SYear_O,$A287&lt;=EYear_O,D$3&gt;0),IF($A287=SYear_O,D$168*(1+Data_All!D126%),D286*(1+Data_All!D126%)),"")</f>
        <v/>
      </c>
      <c r="E287" s="427" t="str">
        <f>IF(AND($A287&gt;=SYear_O,$A287&lt;=EYear_O,E$3&gt;0),IF($A287=SYear_O,E$168*(1+Data_All!E126%),E286*(1+Data_All!E126%)),"")</f>
        <v/>
      </c>
      <c r="F287" s="427" t="str">
        <f>IF(AND($A287&gt;=SYear_O,$A287&lt;=EYear_O,F$3&gt;0),IF($A287=SYear_O,F$168*(1+Data_All!F126%),F286*(1+Data_All!F126%)),"")</f>
        <v/>
      </c>
      <c r="G287" s="427" t="str">
        <f>IF(AND($A287&gt;=SYear_O,$A287&lt;=EYear_O,G$3&gt;0),IF($A287=SYear_O,G$168*(1+Data_All!G126%),G286*(1+Data_All!G126%)),"")</f>
        <v/>
      </c>
      <c r="H287" s="427" t="str">
        <f>IF(AND($A287&gt;=SYear_O,$A287&lt;=EYear_O,H$3&gt;0),IF($A287=SYear_O,H$168*(1+Data_All!H126%),H286*(1+Data_All!H126%)),"")</f>
        <v/>
      </c>
      <c r="I287" s="427" t="str">
        <f>IF(AND($A287&gt;=SYear_O,$A287&lt;=EYear_O,I$3&gt;0),IF($A287=SYear_O,I$168*(1+Data_All!I126%),I286*(1+Data_All!I126%)),"")</f>
        <v/>
      </c>
      <c r="J287" s="427" t="str">
        <f>IF(AND($A287&gt;=SYear_O,$A287&lt;=EYear_O,J$3&gt;0),IF($A287=SYear_O,J$168*(1+Data_All!J126%),J286*(1+Data_All!J126%)),"")</f>
        <v/>
      </c>
      <c r="K287" s="427" t="str">
        <f>IF(AND($A287&gt;=SYear_O,$A287&lt;=EYear_O,K$3&gt;0),IF($A287=SYear_O,K$168*(1+Data_All!K126%),K286*(1+Data_All!K126%)),"")</f>
        <v/>
      </c>
      <c r="L287" s="427" t="str">
        <f>IF(AND($A287&gt;=SYear_O,$A287&lt;=EYear_O,L$3&gt;0),IF($A287=SYear_O,L$168*(1+Data_All!L126%),L286*(1+Data_All!L126%)),"")</f>
        <v/>
      </c>
      <c r="M287" s="427" t="str">
        <f>IF(AND($A287&gt;=SYear_O,$A287&lt;=EYear_O,M$3&gt;0),IF($A287=SYear_O,M$168*(1+Data_All!M126%),M286*(1+Data_All!M126%)),"")</f>
        <v/>
      </c>
      <c r="N287" s="427" t="str">
        <f>IF(AND($A287&gt;=SYear_O,$A287&lt;=EYear_O,N$3&gt;0),IF($A287=SYear_O,N$168*(1+Data_All!N126%),N286*(1+Data_All!N126%)),"")</f>
        <v/>
      </c>
      <c r="O287" s="427" t="str">
        <f>IF(AND($A287&gt;=SYear_O,$A287&lt;=EYear_O,O$3&gt;0),IF($A287=SYear_O,O$168*(1+Data_All!O126%),O286*(1+Data_All!O126%)),"")</f>
        <v/>
      </c>
      <c r="P287" s="427" t="str">
        <f>IF(AND($A287&gt;=SYear_O,$A287&lt;=EYear_O,P$3&gt;0),IF($A287=SYear_O,P$168*(1+Data_All!P126%),P286*(1+Data_All!P126%)),"")</f>
        <v/>
      </c>
      <c r="Q287" s="427" t="str">
        <f>IF(AND($A287&gt;=SYear_O,$A287&lt;=EYear_O,Q$3&gt;0),IF($A287=SYear_O,Q$168*(1+Data_All!Q126%),Q286*(1+Data_All!Q126%)),"")</f>
        <v/>
      </c>
      <c r="R287" s="427" t="str">
        <f>IF(AND($A287&gt;=SYear_O,$A287&lt;=EYear_O,R$3&gt;0),IF($A287=SYear_O,R$168*(1+Data_All!R126%),R286*(1+Data_All!R126%)),"")</f>
        <v/>
      </c>
      <c r="S287" s="427" t="str">
        <f>IF(AND($A287&gt;=SYear_O,$A287&lt;=EYear_O,S$3&gt;0),IF($A287=SYear_O,S$168*(1+Data_All!S126%),S286*(1+Data_All!S126%)),"")</f>
        <v/>
      </c>
      <c r="T287" s="427" t="str">
        <f>IF(AND($A287&gt;=SYear_O,$A287&lt;=EYear_O,T$3&gt;0),IF($A287=SYear_O,T$168*(1+Data_All!T126%),T286*(1+Data_All!T126%)),"")</f>
        <v/>
      </c>
      <c r="U287" s="427" t="str">
        <f>IF(AND($A287&gt;=SYear_O,$A287&lt;=EYear_O,U$3&gt;0),IF($A287=SYear_O,U$168*(1+Data_All!U126%),U286*(1+Data_All!U126%)),"")</f>
        <v/>
      </c>
      <c r="V287" s="427" t="str">
        <f>IF(AND($A287&gt;=SYear_O,$A287&lt;=EYear_O,V$3&gt;0),IF($A287=SYear_O,V$168*(1+Data_All!V126%),V286*(1+Data_All!V126%)),"")</f>
        <v/>
      </c>
      <c r="W287" s="427" t="str">
        <f>IF(AND($A287&gt;=SYear_O,$A287&lt;=EYear_O,W$3&gt;0),IF($A287=SYear_O,W$168*(1+Data_All!W126%),W286*(1+Data_All!W126%)),"")</f>
        <v/>
      </c>
      <c r="X287" s="427" t="str">
        <f>IF(AND($A287&gt;=SYear_O,$A287&lt;=EYear_O,X$3&gt;0),IF($A287=SYear_O,X$168*(1+Data_All!X126%),X286*(1+Data_All!X126%)),"")</f>
        <v/>
      </c>
      <c r="Y287" s="427" t="str">
        <f>IF(AND($A287&gt;=SYear_O,$A287&lt;=EYear_O,Y$3&gt;0),IF($A287=SYear_O,Y$168*(1+Data_All!Y126%),Y286*(1+Data_All!Y126%)),"")</f>
        <v/>
      </c>
      <c r="Z287" s="427" t="str">
        <f>IF(AND($A287&gt;=SYear_O,$A287&lt;=EYear_O,Z$3&gt;0),IF($A287=SYear_O,Z$168*(1+Data_All!Z126%),Z286*(1+Data_All!Z126%)),"")</f>
        <v/>
      </c>
      <c r="AA287" s="427" t="str">
        <f>IF(AND($A287&gt;=SYear_O,$A287&lt;=EYear_O,AA$3&gt;0),IF($A287=SYear_O,AA$168*(1+Data_All!AA126%),AA286*(1+Data_All!AA126%)),"")</f>
        <v/>
      </c>
      <c r="AB287" s="427" t="str">
        <f>IF(AND($A287&gt;=SYear_O,$A287&lt;=EYear_O,AB$3&gt;0),IF($A287=SYear_O,AB$168*(1+Data_All!AB126%),AB286*(1+Data_All!AB126%)),"")</f>
        <v/>
      </c>
      <c r="AC287" s="427" t="str">
        <f>IF(AND($A287&gt;=SYear_O,$A287&lt;=EYear_O,AC$3&gt;0),IF($A287=SYear_O,AC$168*(1+Data_All!AC126%),AC286*(1+Data_All!AC126%)),"")</f>
        <v/>
      </c>
      <c r="AD287" s="427" t="str">
        <f>IF(AND($A287&gt;=SYear_O,$A287&lt;=EYear_O,AD$3&gt;0),IF($A287=SYear_O,AD$168*(1+Data_All!AD126%),AD286*(1+Data_All!AD126%)),"")</f>
        <v/>
      </c>
      <c r="AE287" s="427" t="str">
        <f>IF(AND($A287&gt;=SYear_O,$A287&lt;=EYear_O,AE$3&gt;0),IF($A287=SYear_O,AE$168*(1+Data_All!AE126%),AE286*(1+Data_All!AE126%)),"")</f>
        <v/>
      </c>
      <c r="AF287" s="427" t="str">
        <f>IF(AND($A287&gt;=SYear_O,$A287&lt;=EYear_O,AF$3&gt;0),IF($A287=SYear_O,AF$168*(1+Data_All!AF126%),AF286*(1+Data_All!AF126%)),"")</f>
        <v/>
      </c>
      <c r="AG287" s="427" t="str">
        <f>IF(AND($A287&gt;=SYear_O,$A287&lt;=EYear_O,AG$3&gt;0),IF($A287=SYear_O,AG$168*(1+Data_All!AG126%),AG286*(1+Data_All!AG126%)),"")</f>
        <v/>
      </c>
      <c r="AH287" s="427" t="str">
        <f>IF(AND($A287&gt;=SYear_O,$A287&lt;=EYear_O,AH$3&gt;0),IF($A287=SYear_O,AH$168*(1+Data_All!AH126%),AH286*(1+Data_All!AH126%)),"")</f>
        <v/>
      </c>
      <c r="AI287" s="427" t="str">
        <f>IF(AND($A287&gt;=SYear_O,$A287&lt;=EYear_O,AI$3&gt;0),IF($A287=SYear_O,AI$168*(1+Data_All!AI126%),AI286*(1+Data_All!AI126%)),"")</f>
        <v/>
      </c>
      <c r="AJ287" s="427" t="str">
        <f>IF(AND($A287&gt;=SYear_O,$A287&lt;=EYear_O,AJ$3&gt;0),IF($A287=SYear_O,AJ$168*(1+Data_All!AJ126%),AJ286*(1+Data_All!AJ126%)),"")</f>
        <v/>
      </c>
      <c r="AK287" s="427" t="str">
        <f>IF(AND($A287&gt;=SYear_O,$A287&lt;=EYear_O,AK$3&gt;0),IF($A287=SYear_O,AK$168*(1+Data_All!AK126%),AK286*(1+Data_All!AK126%)),"")</f>
        <v/>
      </c>
      <c r="AL287" s="427" t="str">
        <f>IF(AND($A287&gt;=SYear_O,$A287&lt;=EYear_O,AL$3&gt;0),IF($A287=SYear_O,AL$168*(1+Data_All!AL126%),AL286*(1+Data_All!AL126%)),"")</f>
        <v/>
      </c>
      <c r="AM287" s="427" t="str">
        <f>IF(AND($A287&gt;=SYear_O,$A287&lt;=EYear_O,AM$3&gt;0),IF($A287=SYear_O,AM$168*(1+Data_All!AM126%),AM286*(1+Data_All!AM126%)),"")</f>
        <v/>
      </c>
      <c r="AN287" s="427" t="str">
        <f>IF(AND($A287&gt;=SYear_O,$A287&lt;=EYear_O,AN$3&gt;0),IF($A287=SYear_O,AN$168*(1+Data_All!AN126%),AN286*(1+Data_All!AN126%)),"")</f>
        <v/>
      </c>
      <c r="AO287" s="427" t="str">
        <f>IF(AND($A287&gt;=SYear_O,$A287&lt;=EYear_O,AO$3&gt;0),IF($A287=SYear_O,AO$168*(1+Data_All!AO126%),AO286*(1+Data_All!AO126%)),"")</f>
        <v/>
      </c>
      <c r="AP287" s="427" t="str">
        <f>IF(AND($A287&gt;=SYear_O,$A287&lt;=EYear_O,AP$3&gt;0),IF($A287=SYear_O,AP$168*(1+Data_All!AP126%),AP286*(1+Data_All!AP126%)),"")</f>
        <v/>
      </c>
      <c r="AQ287" s="427" t="str">
        <f>IF(AND($A287&gt;=SYear_O,$A287&lt;=EYear_O,AQ$3&gt;0),IF($A287=SYear_O,AQ$168*(1+Data_All!AQ126%),AQ286*(1+Data_All!AQ126%)),"")</f>
        <v/>
      </c>
      <c r="AR287" s="427" t="str">
        <f>IF(AND($A287&gt;=SYear_O,$A287&lt;=EYear_O,AR$3&gt;0),IF($A287=SYear_O,AR$168*(1+Data_All!AR126%),AR286*(1+Data_All!AR126%)),"")</f>
        <v/>
      </c>
      <c r="AS287" s="427" t="str">
        <f>IF(AND($A287&gt;=SYear_O,$A287&lt;=EYear_O,AS$3&gt;0),IF($A287=SYear_O,AS$168*(1+Data_All!AS126%),AS286*(1+Data_All!AS126%)),"")</f>
        <v/>
      </c>
      <c r="AT287" s="427" t="str">
        <f>IF(AND($A287&gt;=SYear_O,$A287&lt;=EYear_O,AT$3&gt;0),IF($A287=SYear_O,AT$168*(1+Data_All!AT126%),AT286*(1+Data_All!AT126%)),"")</f>
        <v/>
      </c>
      <c r="AU287" s="427" t="str">
        <f>IF(AND($A287&gt;=SYear_O,$A287&lt;=EYear_O,AU$3&gt;0),IF($A287=SYear_O,AU$168*(1+Data_All!AU126%),AU286*(1+Data_All!AU126%)),"")</f>
        <v/>
      </c>
      <c r="AV287" s="427" t="str">
        <f>IF(AND($A287&gt;=SYear_O,$A287&lt;=EYear_O,AV$3&gt;0),IF($A287=SYear_O,AV$168*(1+Data_All!AV126%),AV286*(1+Data_All!AV126%)),"")</f>
        <v/>
      </c>
      <c r="AW287" s="427" t="str">
        <f>IF(AND($A287&gt;=SYear_O,$A287&lt;=EYear_O,AW$3&gt;0),IF($A287=SYear_O,AW$168*(1+Data_All!AW126%),AW286*(1+Data_All!AW126%)),"")</f>
        <v/>
      </c>
      <c r="AX287" s="427" t="str">
        <f>IF(AND($A287&gt;=SYear_O,$A287&lt;=EYear_O,AX$3&gt;0),IF($A287=SYear_O,AX$168*(1+Data_All!AX126%),AX286*(1+Data_All!AX126%)),"")</f>
        <v/>
      </c>
      <c r="AY287" s="427" t="str">
        <f>IF(AND($A287&gt;=SYear_O,$A287&lt;=EYear_O,AY$3&gt;0),IF($A287=SYear_O,AY$168*(1+Data_All!AY126%),AY286*(1+Data_All!AY126%)),"")</f>
        <v/>
      </c>
      <c r="AZ287" s="427" t="str">
        <f>IF(AND($A287&gt;=SYear_O,$A287&lt;=EYear_O,AZ$3&gt;0),IF($A287=SYear_O,AZ$168*(1+Data_All!AZ126%),AZ286*(1+Data_All!AZ126%)),"")</f>
        <v/>
      </c>
      <c r="BA287" s="427" t="str">
        <f>IF(AND($A287&gt;=SYear_O,$A287&lt;=EYear_O,BA$3&gt;0),IF($A287=SYear_O,BA$168*(1+Data_All!BA126%),BA286*(1+Data_All!BA126%)),"")</f>
        <v/>
      </c>
      <c r="BB287" s="427" t="str">
        <f>IF(AND($A287&gt;=SYear_O,$A287&lt;=EYear_O,BB$3&gt;0),IF($A287=SYear_O,BB$168*(1+Data_All!BB126%),BB286*(1+Data_All!BB126%)),"")</f>
        <v/>
      </c>
      <c r="BC287" s="427" t="str">
        <f>IF(AND($A287&gt;=SYear_O,$A287&lt;=EYear_O,BC$3&gt;0),IF($A287=SYear_O,BC$168*(1+Data_All!BC126%),BC286*(1+Data_All!BC126%)),"")</f>
        <v/>
      </c>
      <c r="BD287" s="427" t="str">
        <f>IF(AND($A287&gt;=SYear_O,$A287&lt;=EYear_O,BD$3&gt;0),IF($A287=SYear_O,BD$168*(1+Data_All!BD126%),BD286*(1+Data_All!BD126%)),"")</f>
        <v/>
      </c>
      <c r="BE287" s="427" t="str">
        <f>IF(AND($A287&gt;=SYear_O,$A287&lt;=EYear_O,BE$3&gt;0),IF($A287=SYear_O,BE$168*(1+Data_All!BE126%),BE286*(1+Data_All!BE126%)),"")</f>
        <v/>
      </c>
      <c r="BF287" s="427" t="str">
        <f>IF(AND($A287&gt;=SYear_O,$A287&lt;=EYear_O,BF$3&gt;0),IF($A287=SYear_O,BF$168*(1+Data_All!BF126%),BF286*(1+Data_All!BF126%)),"")</f>
        <v/>
      </c>
      <c r="BG287" s="427" t="str">
        <f>IF(AND($A287&gt;=SYear_O,$A287&lt;=EYear_O,BG$3&gt;0),IF($A287=SYear_O,BG$168*(1+Data_All!BG126%),BG286*(1+Data_All!BG126%)),"")</f>
        <v/>
      </c>
      <c r="BH287" s="427" t="str">
        <f>IF(AND($A287&gt;=SYear_O,$A287&lt;=EYear_O,BH$3&gt;0),IF($A287=SYear_O,BH$168*(1+Data_All!BH126%),BH286*(1+Data_All!BH126%)),"")</f>
        <v/>
      </c>
      <c r="BI287" s="427" t="str">
        <f>IF(AND($A287&gt;=SYear_O,$A287&lt;=EYear_O,BI$3&gt;0),IF($A287=SYear_O,BI$168*(1+Data_All!BI126%),BI286*(1+Data_All!BI126%)),"")</f>
        <v/>
      </c>
      <c r="BJ287" s="427" t="str">
        <f>IF(AND($A287&gt;=SYear_O,$A287&lt;=EYear_O,BJ$3&gt;0),IF($A287=SYear_O,BJ$168*(1+Data_All!BJ126%),BJ286*(1+Data_All!BJ126%)),"")</f>
        <v/>
      </c>
      <c r="BK287" s="427" t="str">
        <f>IF(AND($A287&gt;=SYear_O,$A287&lt;=EYear_O,BK$3&gt;0),IF($A287=SYear_O,BK$168*(1+Data_All!BK126%),BK286*(1+Data_All!BK126%)),"")</f>
        <v/>
      </c>
      <c r="BL287" s="427" t="str">
        <f>IF(AND($A287&gt;=SYear_O,$A287&lt;=EYear_O,BL$3&gt;0),IF($A287=SYear_O,BL$168*(1+Data_All!BL126%),BL286*(1+Data_All!BL126%)),"")</f>
        <v/>
      </c>
      <c r="BM287" s="427" t="str">
        <f>IF(AND($A287&gt;=SYear_O,$A287&lt;=EYear_O,BM$3&gt;0),IF($A287=SYear_O,BM$168*(1+Data_All!BM126%),BM286*(1+Data_All!BM126%)),"")</f>
        <v/>
      </c>
      <c r="BN287" s="427" t="str">
        <f>IF(AND($A287&gt;=SYear_O,$A287&lt;=EYear_O,BN$3&gt;0),IF($A287=SYear_O,BN$168*(1+Data_All!BN126%),BN286*(1+Data_All!BN126%)),"")</f>
        <v/>
      </c>
      <c r="BO287" s="427" t="str">
        <f>IF(AND($A287&gt;=SYear_O,$A287&lt;=EYear_O,BO$3&gt;0),IF($A287=SYear_O,BO$168*(1+Data_All!BO126%),BO286*(1+Data_All!BO126%)),"")</f>
        <v/>
      </c>
      <c r="BP287" s="427" t="str">
        <f>IF(AND($A287&gt;=SYear_O,$A287&lt;=EYear_O,BP$3&gt;0),IF($A287=SYear_O,BP$168*(1+Data_All!BP126%),BP286*(1+Data_All!BP126%)),"")</f>
        <v/>
      </c>
      <c r="BQ287" s="427" t="str">
        <f>IF(AND($A287&gt;=SYear_O,$A287&lt;=EYear_O,BQ$3&gt;0),IF($A287=SYear_O,BQ$168*(1+Data_All!BQ126%),BQ286*(1+Data_All!BQ126%)),"")</f>
        <v/>
      </c>
      <c r="BR287" s="427" t="str">
        <f>IF(AND($A287&gt;=SYear_O,$A287&lt;=EYear_O,BR$3&gt;0),IF($A287=SYear_O,BR$168*(1+Data_All!BR126%),BR286*(1+Data_All!BR126%)),"")</f>
        <v/>
      </c>
      <c r="BS287" s="427" t="str">
        <f>IF(AND($A287&gt;=SYear_O,$A287&lt;=EYear_O,BS$3&gt;0),IF($A287=SYear_O,BS$168*(1+Data_All!BS126%),BS286*(1+Data_All!BS126%)),"")</f>
        <v/>
      </c>
      <c r="BT287" s="427" t="str">
        <f>IF(AND($A287&gt;=SYear_O,$A287&lt;=EYear_O,BT$3&gt;0),IF($A287=SYear_O,BT$168*(1+Data_All!BT126%),BT286*(1+Data_All!BT126%)),"")</f>
        <v/>
      </c>
      <c r="BU287" s="427" t="str">
        <f>IF(AND($A287&gt;=SYear_O,$A287&lt;=EYear_O,BU$3&gt;0),IF($A287=SYear_O,BU$168*(1+Data_All!BU126%),BU286*(1+Data_All!BU126%)),"")</f>
        <v/>
      </c>
      <c r="BV287" s="427" t="str">
        <f>IF(AND($A287&gt;=SYear_O,$A287&lt;=EYear_O,BV$3&gt;0),IF($A287=SYear_O,BV$168*(1+Data_All!BV126%),BV286*(1+Data_All!BV126%)),"")</f>
        <v/>
      </c>
      <c r="BW287" s="427" t="str">
        <f>IF(AND($A287&gt;=SYear_O,$A287&lt;=EYear_O,BW$3&gt;0),IF($A287=SYear_O,BW$168*(1+Data_All!BW126%),BW286*(1+Data_All!BW126%)),"")</f>
        <v/>
      </c>
      <c r="BX287" s="427">
        <f>IF(AND($A287&gt;=SYear_O,$A287&lt;=EYear_O,BX$3&gt;0),IF($A287=SYear_O,BX$168*(1+Data_All!BX126%),BX286*(1+Data_All!BX126%)),"")</f>
        <v>126837152.83951394</v>
      </c>
      <c r="BY287" s="427">
        <f>IF(AND($A287&gt;=SYear_O,$A287&lt;=EYear_O,BY$3&gt;0),IF($A287=SYear_O,BY$168*(1+Data_All!BY126%),BY286*(1+Data_All!BY126%)),"")</f>
        <v>671372.50022187969</v>
      </c>
      <c r="BZ287" s="427" t="str">
        <f>IF(AND($A287&gt;=SYear_O,$A287&lt;=EYear_O,BZ$3&gt;0),IF($A287=SYear_O,BZ$168*(1+Data_All!BZ126%),BZ286*(1+Data_All!BZ126%)),"")</f>
        <v/>
      </c>
      <c r="CA287" s="565">
        <f t="shared" si="138"/>
        <v>22.931487953805107</v>
      </c>
      <c r="CB287" s="427">
        <f t="shared" si="139"/>
        <v>127508525.33973582</v>
      </c>
      <c r="CC287" s="565">
        <f>IF(AND($A287&gt;=SYear_O,$A287&lt;=EYear_O),(CA287-Data_All!CA126)/(1+Data_All!CA126%),"")</f>
        <v>17.472199035951743</v>
      </c>
      <c r="CD287" s="436">
        <f t="shared" si="140"/>
        <v>12603283.408838339</v>
      </c>
      <c r="CE287" s="438">
        <f t="shared" si="141"/>
        <v>11564.92618457497</v>
      </c>
      <c r="CF287" s="438">
        <f>IF(AND($A287&gt;=SYear_O,$A287&lt;=EYear_O),MAX($CE$169:CE287),"")</f>
        <v>11564.92618457497</v>
      </c>
      <c r="CG287" s="209">
        <f t="shared" si="142"/>
        <v>0</v>
      </c>
      <c r="CN287" s="61">
        <f t="shared" si="143"/>
        <v>0.22931487953805108</v>
      </c>
      <c r="CO287" s="61">
        <f t="shared" si="144"/>
        <v>0.17103191938706064</v>
      </c>
      <c r="CP287" s="61">
        <f t="shared" si="145"/>
        <v>0.1402318333692627</v>
      </c>
      <c r="CQ287" s="61">
        <f t="shared" si="146"/>
        <v>0.18798608159381303</v>
      </c>
      <c r="CR287" s="61">
        <f t="shared" si="147"/>
        <v>0.11973157086934849</v>
      </c>
      <c r="CU287" s="61">
        <f t="shared" si="148"/>
        <v>0.17472199035951741</v>
      </c>
      <c r="CV287" s="61">
        <f t="shared" si="149"/>
        <v>0.11954870840851739</v>
      </c>
      <c r="CW287" s="61">
        <f t="shared" si="150"/>
        <v>9.7587282201573977E-2</v>
      </c>
      <c r="CX287" s="61">
        <f t="shared" si="151"/>
        <v>0.15199915844828493</v>
      </c>
      <c r="CY287" s="61">
        <f t="shared" si="152"/>
        <v>8.8457235750156959E-2</v>
      </c>
    </row>
    <row r="288" spans="1:103">
      <c r="A288" s="204">
        <f t="shared" si="107"/>
        <v>1990</v>
      </c>
      <c r="B288" s="427" t="str">
        <f>IF(AND($A288&gt;=SYear_O,$A288&lt;=EYear_O,B$3&gt;0),IF($A288=SYear_O,B$168*(1+Data_All!B127%),B287*(1+Data_All!B127%)),"")</f>
        <v/>
      </c>
      <c r="C288" s="427" t="str">
        <f>IF(AND($A288&gt;=SYear_O,$A288&lt;=EYear_O,C$3&gt;0),IF($A288=SYear_O,C$168*(1+Data_All!C127%),C287*(1+Data_All!C127%)),"")</f>
        <v/>
      </c>
      <c r="D288" s="427" t="str">
        <f>IF(AND($A288&gt;=SYear_O,$A288&lt;=EYear_O,D$3&gt;0),IF($A288=SYear_O,D$168*(1+Data_All!D127%),D287*(1+Data_All!D127%)),"")</f>
        <v/>
      </c>
      <c r="E288" s="427" t="str">
        <f>IF(AND($A288&gt;=SYear_O,$A288&lt;=EYear_O,E$3&gt;0),IF($A288=SYear_O,E$168*(1+Data_All!E127%),E287*(1+Data_All!E127%)),"")</f>
        <v/>
      </c>
      <c r="F288" s="427" t="str">
        <f>IF(AND($A288&gt;=SYear_O,$A288&lt;=EYear_O,F$3&gt;0),IF($A288=SYear_O,F$168*(1+Data_All!F127%),F287*(1+Data_All!F127%)),"")</f>
        <v/>
      </c>
      <c r="G288" s="427" t="str">
        <f>IF(AND($A288&gt;=SYear_O,$A288&lt;=EYear_O,G$3&gt;0),IF($A288=SYear_O,G$168*(1+Data_All!G127%),G287*(1+Data_All!G127%)),"")</f>
        <v/>
      </c>
      <c r="H288" s="427" t="str">
        <f>IF(AND($A288&gt;=SYear_O,$A288&lt;=EYear_O,H$3&gt;0),IF($A288=SYear_O,H$168*(1+Data_All!H127%),H287*(1+Data_All!H127%)),"")</f>
        <v/>
      </c>
      <c r="I288" s="427" t="str">
        <f>IF(AND($A288&gt;=SYear_O,$A288&lt;=EYear_O,I$3&gt;0),IF($A288=SYear_O,I$168*(1+Data_All!I127%),I287*(1+Data_All!I127%)),"")</f>
        <v/>
      </c>
      <c r="J288" s="427" t="str">
        <f>IF(AND($A288&gt;=SYear_O,$A288&lt;=EYear_O,J$3&gt;0),IF($A288=SYear_O,J$168*(1+Data_All!J127%),J287*(1+Data_All!J127%)),"")</f>
        <v/>
      </c>
      <c r="K288" s="427" t="str">
        <f>IF(AND($A288&gt;=SYear_O,$A288&lt;=EYear_O,K$3&gt;0),IF($A288=SYear_O,K$168*(1+Data_All!K127%),K287*(1+Data_All!K127%)),"")</f>
        <v/>
      </c>
      <c r="L288" s="427" t="str">
        <f>IF(AND($A288&gt;=SYear_O,$A288&lt;=EYear_O,L$3&gt;0),IF($A288=SYear_O,L$168*(1+Data_All!L127%),L287*(1+Data_All!L127%)),"")</f>
        <v/>
      </c>
      <c r="M288" s="427" t="str">
        <f>IF(AND($A288&gt;=SYear_O,$A288&lt;=EYear_O,M$3&gt;0),IF($A288=SYear_O,M$168*(1+Data_All!M127%),M287*(1+Data_All!M127%)),"")</f>
        <v/>
      </c>
      <c r="N288" s="427" t="str">
        <f>IF(AND($A288&gt;=SYear_O,$A288&lt;=EYear_O,N$3&gt;0),IF($A288=SYear_O,N$168*(1+Data_All!N127%),N287*(1+Data_All!N127%)),"")</f>
        <v/>
      </c>
      <c r="O288" s="427" t="str">
        <f>IF(AND($A288&gt;=SYear_O,$A288&lt;=EYear_O,O$3&gt;0),IF($A288=SYear_O,O$168*(1+Data_All!O127%),O287*(1+Data_All!O127%)),"")</f>
        <v/>
      </c>
      <c r="P288" s="427" t="str">
        <f>IF(AND($A288&gt;=SYear_O,$A288&lt;=EYear_O,P$3&gt;0),IF($A288=SYear_O,P$168*(1+Data_All!P127%),P287*(1+Data_All!P127%)),"")</f>
        <v/>
      </c>
      <c r="Q288" s="427" t="str">
        <f>IF(AND($A288&gt;=SYear_O,$A288&lt;=EYear_O,Q$3&gt;0),IF($A288=SYear_O,Q$168*(1+Data_All!Q127%),Q287*(1+Data_All!Q127%)),"")</f>
        <v/>
      </c>
      <c r="R288" s="427" t="str">
        <f>IF(AND($A288&gt;=SYear_O,$A288&lt;=EYear_O,R$3&gt;0),IF($A288=SYear_O,R$168*(1+Data_All!R127%),R287*(1+Data_All!R127%)),"")</f>
        <v/>
      </c>
      <c r="S288" s="427" t="str">
        <f>IF(AND($A288&gt;=SYear_O,$A288&lt;=EYear_O,S$3&gt;0),IF($A288=SYear_O,S$168*(1+Data_All!S127%),S287*(1+Data_All!S127%)),"")</f>
        <v/>
      </c>
      <c r="T288" s="427" t="str">
        <f>IF(AND($A288&gt;=SYear_O,$A288&lt;=EYear_O,T$3&gt;0),IF($A288=SYear_O,T$168*(1+Data_All!T127%),T287*(1+Data_All!T127%)),"")</f>
        <v/>
      </c>
      <c r="U288" s="427" t="str">
        <f>IF(AND($A288&gt;=SYear_O,$A288&lt;=EYear_O,U$3&gt;0),IF($A288=SYear_O,U$168*(1+Data_All!U127%),U287*(1+Data_All!U127%)),"")</f>
        <v/>
      </c>
      <c r="V288" s="427" t="str">
        <f>IF(AND($A288&gt;=SYear_O,$A288&lt;=EYear_O,V$3&gt;0),IF($A288=SYear_O,V$168*(1+Data_All!V127%),V287*(1+Data_All!V127%)),"")</f>
        <v/>
      </c>
      <c r="W288" s="427" t="str">
        <f>IF(AND($A288&gt;=SYear_O,$A288&lt;=EYear_O,W$3&gt;0),IF($A288=SYear_O,W$168*(1+Data_All!W127%),W287*(1+Data_All!W127%)),"")</f>
        <v/>
      </c>
      <c r="X288" s="427" t="str">
        <f>IF(AND($A288&gt;=SYear_O,$A288&lt;=EYear_O,X$3&gt;0),IF($A288=SYear_O,X$168*(1+Data_All!X127%),X287*(1+Data_All!X127%)),"")</f>
        <v/>
      </c>
      <c r="Y288" s="427" t="str">
        <f>IF(AND($A288&gt;=SYear_O,$A288&lt;=EYear_O,Y$3&gt;0),IF($A288=SYear_O,Y$168*(1+Data_All!Y127%),Y287*(1+Data_All!Y127%)),"")</f>
        <v/>
      </c>
      <c r="Z288" s="427" t="str">
        <f>IF(AND($A288&gt;=SYear_O,$A288&lt;=EYear_O,Z$3&gt;0),IF($A288=SYear_O,Z$168*(1+Data_All!Z127%),Z287*(1+Data_All!Z127%)),"")</f>
        <v/>
      </c>
      <c r="AA288" s="427" t="str">
        <f>IF(AND($A288&gt;=SYear_O,$A288&lt;=EYear_O,AA$3&gt;0),IF($A288=SYear_O,AA$168*(1+Data_All!AA127%),AA287*(1+Data_All!AA127%)),"")</f>
        <v/>
      </c>
      <c r="AB288" s="427" t="str">
        <f>IF(AND($A288&gt;=SYear_O,$A288&lt;=EYear_O,AB$3&gt;0),IF($A288=SYear_O,AB$168*(1+Data_All!AB127%),AB287*(1+Data_All!AB127%)),"")</f>
        <v/>
      </c>
      <c r="AC288" s="427" t="str">
        <f>IF(AND($A288&gt;=SYear_O,$A288&lt;=EYear_O,AC$3&gt;0),IF($A288=SYear_O,AC$168*(1+Data_All!AC127%),AC287*(1+Data_All!AC127%)),"")</f>
        <v/>
      </c>
      <c r="AD288" s="427" t="str">
        <f>IF(AND($A288&gt;=SYear_O,$A288&lt;=EYear_O,AD$3&gt;0),IF($A288=SYear_O,AD$168*(1+Data_All!AD127%),AD287*(1+Data_All!AD127%)),"")</f>
        <v/>
      </c>
      <c r="AE288" s="427" t="str">
        <f>IF(AND($A288&gt;=SYear_O,$A288&lt;=EYear_O,AE$3&gt;0),IF($A288=SYear_O,AE$168*(1+Data_All!AE127%),AE287*(1+Data_All!AE127%)),"")</f>
        <v/>
      </c>
      <c r="AF288" s="427" t="str">
        <f>IF(AND($A288&gt;=SYear_O,$A288&lt;=EYear_O,AF$3&gt;0),IF($A288=SYear_O,AF$168*(1+Data_All!AF127%),AF287*(1+Data_All!AF127%)),"")</f>
        <v/>
      </c>
      <c r="AG288" s="427" t="str">
        <f>IF(AND($A288&gt;=SYear_O,$A288&lt;=EYear_O,AG$3&gt;0),IF($A288=SYear_O,AG$168*(1+Data_All!AG127%),AG287*(1+Data_All!AG127%)),"")</f>
        <v/>
      </c>
      <c r="AH288" s="427" t="str">
        <f>IF(AND($A288&gt;=SYear_O,$A288&lt;=EYear_O,AH$3&gt;0),IF($A288=SYear_O,AH$168*(1+Data_All!AH127%),AH287*(1+Data_All!AH127%)),"")</f>
        <v/>
      </c>
      <c r="AI288" s="427" t="str">
        <f>IF(AND($A288&gt;=SYear_O,$A288&lt;=EYear_O,AI$3&gt;0),IF($A288=SYear_O,AI$168*(1+Data_All!AI127%),AI287*(1+Data_All!AI127%)),"")</f>
        <v/>
      </c>
      <c r="AJ288" s="427" t="str">
        <f>IF(AND($A288&gt;=SYear_O,$A288&lt;=EYear_O,AJ$3&gt;0),IF($A288=SYear_O,AJ$168*(1+Data_All!AJ127%),AJ287*(1+Data_All!AJ127%)),"")</f>
        <v/>
      </c>
      <c r="AK288" s="427" t="str">
        <f>IF(AND($A288&gt;=SYear_O,$A288&lt;=EYear_O,AK$3&gt;0),IF($A288=SYear_O,AK$168*(1+Data_All!AK127%),AK287*(1+Data_All!AK127%)),"")</f>
        <v/>
      </c>
      <c r="AL288" s="427" t="str">
        <f>IF(AND($A288&gt;=SYear_O,$A288&lt;=EYear_O,AL$3&gt;0),IF($A288=SYear_O,AL$168*(1+Data_All!AL127%),AL287*(1+Data_All!AL127%)),"")</f>
        <v/>
      </c>
      <c r="AM288" s="427" t="str">
        <f>IF(AND($A288&gt;=SYear_O,$A288&lt;=EYear_O,AM$3&gt;0),IF($A288=SYear_O,AM$168*(1+Data_All!AM127%),AM287*(1+Data_All!AM127%)),"")</f>
        <v/>
      </c>
      <c r="AN288" s="427" t="str">
        <f>IF(AND($A288&gt;=SYear_O,$A288&lt;=EYear_O,AN$3&gt;0),IF($A288=SYear_O,AN$168*(1+Data_All!AN127%),AN287*(1+Data_All!AN127%)),"")</f>
        <v/>
      </c>
      <c r="AO288" s="427" t="str">
        <f>IF(AND($A288&gt;=SYear_O,$A288&lt;=EYear_O,AO$3&gt;0),IF($A288=SYear_O,AO$168*(1+Data_All!AO127%),AO287*(1+Data_All!AO127%)),"")</f>
        <v/>
      </c>
      <c r="AP288" s="427" t="str">
        <f>IF(AND($A288&gt;=SYear_O,$A288&lt;=EYear_O,AP$3&gt;0),IF($A288=SYear_O,AP$168*(1+Data_All!AP127%),AP287*(1+Data_All!AP127%)),"")</f>
        <v/>
      </c>
      <c r="AQ288" s="427" t="str">
        <f>IF(AND($A288&gt;=SYear_O,$A288&lt;=EYear_O,AQ$3&gt;0),IF($A288=SYear_O,AQ$168*(1+Data_All!AQ127%),AQ287*(1+Data_All!AQ127%)),"")</f>
        <v/>
      </c>
      <c r="AR288" s="427" t="str">
        <f>IF(AND($A288&gt;=SYear_O,$A288&lt;=EYear_O,AR$3&gt;0),IF($A288=SYear_O,AR$168*(1+Data_All!AR127%),AR287*(1+Data_All!AR127%)),"")</f>
        <v/>
      </c>
      <c r="AS288" s="427" t="str">
        <f>IF(AND($A288&gt;=SYear_O,$A288&lt;=EYear_O,AS$3&gt;0),IF($A288=SYear_O,AS$168*(1+Data_All!AS127%),AS287*(1+Data_All!AS127%)),"")</f>
        <v/>
      </c>
      <c r="AT288" s="427" t="str">
        <f>IF(AND($A288&gt;=SYear_O,$A288&lt;=EYear_O,AT$3&gt;0),IF($A288=SYear_O,AT$168*(1+Data_All!AT127%),AT287*(1+Data_All!AT127%)),"")</f>
        <v/>
      </c>
      <c r="AU288" s="427" t="str">
        <f>IF(AND($A288&gt;=SYear_O,$A288&lt;=EYear_O,AU$3&gt;0),IF($A288=SYear_O,AU$168*(1+Data_All!AU127%),AU287*(1+Data_All!AU127%)),"")</f>
        <v/>
      </c>
      <c r="AV288" s="427" t="str">
        <f>IF(AND($A288&gt;=SYear_O,$A288&lt;=EYear_O,AV$3&gt;0),IF($A288=SYear_O,AV$168*(1+Data_All!AV127%),AV287*(1+Data_All!AV127%)),"")</f>
        <v/>
      </c>
      <c r="AW288" s="427" t="str">
        <f>IF(AND($A288&gt;=SYear_O,$A288&lt;=EYear_O,AW$3&gt;0),IF($A288=SYear_O,AW$168*(1+Data_All!AW127%),AW287*(1+Data_All!AW127%)),"")</f>
        <v/>
      </c>
      <c r="AX288" s="427" t="str">
        <f>IF(AND($A288&gt;=SYear_O,$A288&lt;=EYear_O,AX$3&gt;0),IF($A288=SYear_O,AX$168*(1+Data_All!AX127%),AX287*(1+Data_All!AX127%)),"")</f>
        <v/>
      </c>
      <c r="AY288" s="427" t="str">
        <f>IF(AND($A288&gt;=SYear_O,$A288&lt;=EYear_O,AY$3&gt;0),IF($A288=SYear_O,AY$168*(1+Data_All!AY127%),AY287*(1+Data_All!AY127%)),"")</f>
        <v/>
      </c>
      <c r="AZ288" s="427" t="str">
        <f>IF(AND($A288&gt;=SYear_O,$A288&lt;=EYear_O,AZ$3&gt;0),IF($A288=SYear_O,AZ$168*(1+Data_All!AZ127%),AZ287*(1+Data_All!AZ127%)),"")</f>
        <v/>
      </c>
      <c r="BA288" s="427" t="str">
        <f>IF(AND($A288&gt;=SYear_O,$A288&lt;=EYear_O,BA$3&gt;0),IF($A288=SYear_O,BA$168*(1+Data_All!BA127%),BA287*(1+Data_All!BA127%)),"")</f>
        <v/>
      </c>
      <c r="BB288" s="427" t="str">
        <f>IF(AND($A288&gt;=SYear_O,$A288&lt;=EYear_O,BB$3&gt;0),IF($A288=SYear_O,BB$168*(1+Data_All!BB127%),BB287*(1+Data_All!BB127%)),"")</f>
        <v/>
      </c>
      <c r="BC288" s="427" t="str">
        <f>IF(AND($A288&gt;=SYear_O,$A288&lt;=EYear_O,BC$3&gt;0),IF($A288=SYear_O,BC$168*(1+Data_All!BC127%),BC287*(1+Data_All!BC127%)),"")</f>
        <v/>
      </c>
      <c r="BD288" s="427" t="str">
        <f>IF(AND($A288&gt;=SYear_O,$A288&lt;=EYear_O,BD$3&gt;0),IF($A288=SYear_O,BD$168*(1+Data_All!BD127%),BD287*(1+Data_All!BD127%)),"")</f>
        <v/>
      </c>
      <c r="BE288" s="427" t="str">
        <f>IF(AND($A288&gt;=SYear_O,$A288&lt;=EYear_O,BE$3&gt;0),IF($A288=SYear_O,BE$168*(1+Data_All!BE127%),BE287*(1+Data_All!BE127%)),"")</f>
        <v/>
      </c>
      <c r="BF288" s="427" t="str">
        <f>IF(AND($A288&gt;=SYear_O,$A288&lt;=EYear_O,BF$3&gt;0),IF($A288=SYear_O,BF$168*(1+Data_All!BF127%),BF287*(1+Data_All!BF127%)),"")</f>
        <v/>
      </c>
      <c r="BG288" s="427" t="str">
        <f>IF(AND($A288&gt;=SYear_O,$A288&lt;=EYear_O,BG$3&gt;0),IF($A288=SYear_O,BG$168*(1+Data_All!BG127%),BG287*(1+Data_All!BG127%)),"")</f>
        <v/>
      </c>
      <c r="BH288" s="427" t="str">
        <f>IF(AND($A288&gt;=SYear_O,$A288&lt;=EYear_O,BH$3&gt;0),IF($A288=SYear_O,BH$168*(1+Data_All!BH127%),BH287*(1+Data_All!BH127%)),"")</f>
        <v/>
      </c>
      <c r="BI288" s="427" t="str">
        <f>IF(AND($A288&gt;=SYear_O,$A288&lt;=EYear_O,BI$3&gt;0),IF($A288=SYear_O,BI$168*(1+Data_All!BI127%),BI287*(1+Data_All!BI127%)),"")</f>
        <v/>
      </c>
      <c r="BJ288" s="427" t="str">
        <f>IF(AND($A288&gt;=SYear_O,$A288&lt;=EYear_O,BJ$3&gt;0),IF($A288=SYear_O,BJ$168*(1+Data_All!BJ127%),BJ287*(1+Data_All!BJ127%)),"")</f>
        <v/>
      </c>
      <c r="BK288" s="427" t="str">
        <f>IF(AND($A288&gt;=SYear_O,$A288&lt;=EYear_O,BK$3&gt;0),IF($A288=SYear_O,BK$168*(1+Data_All!BK127%),BK287*(1+Data_All!BK127%)),"")</f>
        <v/>
      </c>
      <c r="BL288" s="427" t="str">
        <f>IF(AND($A288&gt;=SYear_O,$A288&lt;=EYear_O,BL$3&gt;0),IF($A288=SYear_O,BL$168*(1+Data_All!BL127%),BL287*(1+Data_All!BL127%)),"")</f>
        <v/>
      </c>
      <c r="BM288" s="427" t="str">
        <f>IF(AND($A288&gt;=SYear_O,$A288&lt;=EYear_O,BM$3&gt;0),IF($A288=SYear_O,BM$168*(1+Data_All!BM127%),BM287*(1+Data_All!BM127%)),"")</f>
        <v/>
      </c>
      <c r="BN288" s="427" t="str">
        <f>IF(AND($A288&gt;=SYear_O,$A288&lt;=EYear_O,BN$3&gt;0),IF($A288=SYear_O,BN$168*(1+Data_All!BN127%),BN287*(1+Data_All!BN127%)),"")</f>
        <v/>
      </c>
      <c r="BO288" s="427" t="str">
        <f>IF(AND($A288&gt;=SYear_O,$A288&lt;=EYear_O,BO$3&gt;0),IF($A288=SYear_O,BO$168*(1+Data_All!BO127%),BO287*(1+Data_All!BO127%)),"")</f>
        <v/>
      </c>
      <c r="BP288" s="427" t="str">
        <f>IF(AND($A288&gt;=SYear_O,$A288&lt;=EYear_O,BP$3&gt;0),IF($A288=SYear_O,BP$168*(1+Data_All!BP127%),BP287*(1+Data_All!BP127%)),"")</f>
        <v/>
      </c>
      <c r="BQ288" s="427" t="str">
        <f>IF(AND($A288&gt;=SYear_O,$A288&lt;=EYear_O,BQ$3&gt;0),IF($A288=SYear_O,BQ$168*(1+Data_All!BQ127%),BQ287*(1+Data_All!BQ127%)),"")</f>
        <v/>
      </c>
      <c r="BR288" s="427" t="str">
        <f>IF(AND($A288&gt;=SYear_O,$A288&lt;=EYear_O,BR$3&gt;0),IF($A288=SYear_O,BR$168*(1+Data_All!BR127%),BR287*(1+Data_All!BR127%)),"")</f>
        <v/>
      </c>
      <c r="BS288" s="427" t="str">
        <f>IF(AND($A288&gt;=SYear_O,$A288&lt;=EYear_O,BS$3&gt;0),IF($A288=SYear_O,BS$168*(1+Data_All!BS127%),BS287*(1+Data_All!BS127%)),"")</f>
        <v/>
      </c>
      <c r="BT288" s="427" t="str">
        <f>IF(AND($A288&gt;=SYear_O,$A288&lt;=EYear_O,BT$3&gt;0),IF($A288=SYear_O,BT$168*(1+Data_All!BT127%),BT287*(1+Data_All!BT127%)),"")</f>
        <v/>
      </c>
      <c r="BU288" s="427" t="str">
        <f>IF(AND($A288&gt;=SYear_O,$A288&lt;=EYear_O,BU$3&gt;0),IF($A288=SYear_O,BU$168*(1+Data_All!BU127%),BU287*(1+Data_All!BU127%)),"")</f>
        <v/>
      </c>
      <c r="BV288" s="427" t="str">
        <f>IF(AND($A288&gt;=SYear_O,$A288&lt;=EYear_O,BV$3&gt;0),IF($A288=SYear_O,BV$168*(1+Data_All!BV127%),BV287*(1+Data_All!BV127%)),"")</f>
        <v/>
      </c>
      <c r="BW288" s="427" t="str">
        <f>IF(AND($A288&gt;=SYear_O,$A288&lt;=EYear_O,BW$3&gt;0),IF($A288=SYear_O,BW$168*(1+Data_All!BW127%),BW287*(1+Data_All!BW127%)),"")</f>
        <v/>
      </c>
      <c r="BX288" s="427">
        <f>IF(AND($A288&gt;=SYear_O,$A288&lt;=EYear_O,BX$3&gt;0),IF($A288=SYear_O,BX$168*(1+Data_All!BX127%),BX287*(1+Data_All!BX127%)),"")</f>
        <v>125952945.25581641</v>
      </c>
      <c r="BY288" s="427">
        <f>IF(AND($A288&gt;=SYear_O,$A288&lt;=EYear_O,BY$3&gt;0),IF($A288=SYear_O,BY$168*(1+Data_All!BY127%),BY287*(1+Data_All!BY127%)),"")</f>
        <v>736073.30182856519</v>
      </c>
      <c r="BZ288" s="427" t="str">
        <f>IF(AND($A288&gt;=SYear_O,$A288&lt;=EYear_O,BZ$3&gt;0),IF($A288=SYear_O,BZ$168*(1+Data_All!BZ127%),BZ287*(1+Data_All!BZ127%)),"")</f>
        <v/>
      </c>
      <c r="CA288" s="565">
        <f t="shared" si="138"/>
        <v>-0.64270744242970057</v>
      </c>
      <c r="CB288" s="427">
        <f t="shared" si="139"/>
        <v>126689018.55764498</v>
      </c>
      <c r="CC288" s="565">
        <f>IF(AND($A288&gt;=SYear_O,$A288&lt;=EYear_O),(CA288-Data_All!CA127)/(1+Data_All!CA127%),"")</f>
        <v>-6.3605785387921365</v>
      </c>
      <c r="CD288" s="436">
        <f t="shared" si="140"/>
        <v>11801641.669152617</v>
      </c>
      <c r="CE288" s="438">
        <f t="shared" si="141"/>
        <v>11490.597543275206</v>
      </c>
      <c r="CF288" s="438">
        <f>IF(AND($A288&gt;=SYear_O,$A288&lt;=EYear_O),MAX($CE$169:CE288),"")</f>
        <v>11564.92618457497</v>
      </c>
      <c r="CG288" s="209">
        <f t="shared" si="142"/>
        <v>6.427074424297019E-3</v>
      </c>
      <c r="CN288" s="61">
        <f t="shared" si="143"/>
        <v>-6.427074424297019E-3</v>
      </c>
      <c r="CO288" s="61">
        <f t="shared" si="144"/>
        <v>0.12012397630274796</v>
      </c>
      <c r="CP288" s="61">
        <f t="shared" si="145"/>
        <v>9.6555928014701475E-2</v>
      </c>
      <c r="CQ288" s="61">
        <f t="shared" si="146"/>
        <v>0.18055088756973547</v>
      </c>
      <c r="CR288" s="61">
        <f t="shared" si="147"/>
        <v>0.1087383782730269</v>
      </c>
      <c r="CU288" s="61">
        <f t="shared" si="148"/>
        <v>-6.3605785387921387E-2</v>
      </c>
      <c r="CV288" s="61">
        <f t="shared" si="149"/>
        <v>7.6904000932177752E-2</v>
      </c>
      <c r="CW288" s="61">
        <f t="shared" si="150"/>
        <v>5.9569489691373212E-2</v>
      </c>
      <c r="CX288" s="61">
        <f t="shared" si="151"/>
        <v>0.14695877691623171</v>
      </c>
      <c r="CY288" s="61">
        <f t="shared" si="152"/>
        <v>7.8733503076726219E-2</v>
      </c>
    </row>
    <row r="289" spans="1:103">
      <c r="A289" s="204">
        <f t="shared" si="107"/>
        <v>1991</v>
      </c>
      <c r="B289" s="427" t="str">
        <f>IF(AND($A289&gt;=SYear_O,$A289&lt;=EYear_O,B$3&gt;0),IF($A289=SYear_O,B$168*(1+Data_All!B128%),B288*(1+Data_All!B128%)),"")</f>
        <v/>
      </c>
      <c r="C289" s="427" t="str">
        <f>IF(AND($A289&gt;=SYear_O,$A289&lt;=EYear_O,C$3&gt;0),IF($A289=SYear_O,C$168*(1+Data_All!C128%),C288*(1+Data_All!C128%)),"")</f>
        <v/>
      </c>
      <c r="D289" s="427" t="str">
        <f>IF(AND($A289&gt;=SYear_O,$A289&lt;=EYear_O,D$3&gt;0),IF($A289=SYear_O,D$168*(1+Data_All!D128%),D288*(1+Data_All!D128%)),"")</f>
        <v/>
      </c>
      <c r="E289" s="427" t="str">
        <f>IF(AND($A289&gt;=SYear_O,$A289&lt;=EYear_O,E$3&gt;0),IF($A289=SYear_O,E$168*(1+Data_All!E128%),E288*(1+Data_All!E128%)),"")</f>
        <v/>
      </c>
      <c r="F289" s="427" t="str">
        <f>IF(AND($A289&gt;=SYear_O,$A289&lt;=EYear_O,F$3&gt;0),IF($A289=SYear_O,F$168*(1+Data_All!F128%),F288*(1+Data_All!F128%)),"")</f>
        <v/>
      </c>
      <c r="G289" s="427" t="str">
        <f>IF(AND($A289&gt;=SYear_O,$A289&lt;=EYear_O,G$3&gt;0),IF($A289=SYear_O,G$168*(1+Data_All!G128%),G288*(1+Data_All!G128%)),"")</f>
        <v/>
      </c>
      <c r="H289" s="427" t="str">
        <f>IF(AND($A289&gt;=SYear_O,$A289&lt;=EYear_O,H$3&gt;0),IF($A289=SYear_O,H$168*(1+Data_All!H128%),H288*(1+Data_All!H128%)),"")</f>
        <v/>
      </c>
      <c r="I289" s="427" t="str">
        <f>IF(AND($A289&gt;=SYear_O,$A289&lt;=EYear_O,I$3&gt;0),IF($A289=SYear_O,I$168*(1+Data_All!I128%),I288*(1+Data_All!I128%)),"")</f>
        <v/>
      </c>
      <c r="J289" s="427" t="str">
        <f>IF(AND($A289&gt;=SYear_O,$A289&lt;=EYear_O,J$3&gt;0),IF($A289=SYear_O,J$168*(1+Data_All!J128%),J288*(1+Data_All!J128%)),"")</f>
        <v/>
      </c>
      <c r="K289" s="427" t="str">
        <f>IF(AND($A289&gt;=SYear_O,$A289&lt;=EYear_O,K$3&gt;0),IF($A289=SYear_O,K$168*(1+Data_All!K128%),K288*(1+Data_All!K128%)),"")</f>
        <v/>
      </c>
      <c r="L289" s="427" t="str">
        <f>IF(AND($A289&gt;=SYear_O,$A289&lt;=EYear_O,L$3&gt;0),IF($A289=SYear_O,L$168*(1+Data_All!L128%),L288*(1+Data_All!L128%)),"")</f>
        <v/>
      </c>
      <c r="M289" s="427" t="str">
        <f>IF(AND($A289&gt;=SYear_O,$A289&lt;=EYear_O,M$3&gt;0),IF($A289=SYear_O,M$168*(1+Data_All!M128%),M288*(1+Data_All!M128%)),"")</f>
        <v/>
      </c>
      <c r="N289" s="427" t="str">
        <f>IF(AND($A289&gt;=SYear_O,$A289&lt;=EYear_O,N$3&gt;0),IF($A289=SYear_O,N$168*(1+Data_All!N128%),N288*(1+Data_All!N128%)),"")</f>
        <v/>
      </c>
      <c r="O289" s="427" t="str">
        <f>IF(AND($A289&gt;=SYear_O,$A289&lt;=EYear_O,O$3&gt;0),IF($A289=SYear_O,O$168*(1+Data_All!O128%),O288*(1+Data_All!O128%)),"")</f>
        <v/>
      </c>
      <c r="P289" s="427" t="str">
        <f>IF(AND($A289&gt;=SYear_O,$A289&lt;=EYear_O,P$3&gt;0),IF($A289=SYear_O,P$168*(1+Data_All!P128%),P288*(1+Data_All!P128%)),"")</f>
        <v/>
      </c>
      <c r="Q289" s="427" t="str">
        <f>IF(AND($A289&gt;=SYear_O,$A289&lt;=EYear_O,Q$3&gt;0),IF($A289=SYear_O,Q$168*(1+Data_All!Q128%),Q288*(1+Data_All!Q128%)),"")</f>
        <v/>
      </c>
      <c r="R289" s="427" t="str">
        <f>IF(AND($A289&gt;=SYear_O,$A289&lt;=EYear_O,R$3&gt;0),IF($A289=SYear_O,R$168*(1+Data_All!R128%),R288*(1+Data_All!R128%)),"")</f>
        <v/>
      </c>
      <c r="S289" s="427" t="str">
        <f>IF(AND($A289&gt;=SYear_O,$A289&lt;=EYear_O,S$3&gt;0),IF($A289=SYear_O,S$168*(1+Data_All!S128%),S288*(1+Data_All!S128%)),"")</f>
        <v/>
      </c>
      <c r="T289" s="427" t="str">
        <f>IF(AND($A289&gt;=SYear_O,$A289&lt;=EYear_O,T$3&gt;0),IF($A289=SYear_O,T$168*(1+Data_All!T128%),T288*(1+Data_All!T128%)),"")</f>
        <v/>
      </c>
      <c r="U289" s="427" t="str">
        <f>IF(AND($A289&gt;=SYear_O,$A289&lt;=EYear_O,U$3&gt;0),IF($A289=SYear_O,U$168*(1+Data_All!U128%),U288*(1+Data_All!U128%)),"")</f>
        <v/>
      </c>
      <c r="V289" s="427" t="str">
        <f>IF(AND($A289&gt;=SYear_O,$A289&lt;=EYear_O,V$3&gt;0),IF($A289=SYear_O,V$168*(1+Data_All!V128%),V288*(1+Data_All!V128%)),"")</f>
        <v/>
      </c>
      <c r="W289" s="427" t="str">
        <f>IF(AND($A289&gt;=SYear_O,$A289&lt;=EYear_O,W$3&gt;0),IF($A289=SYear_O,W$168*(1+Data_All!W128%),W288*(1+Data_All!W128%)),"")</f>
        <v/>
      </c>
      <c r="X289" s="427" t="str">
        <f>IF(AND($A289&gt;=SYear_O,$A289&lt;=EYear_O,X$3&gt;0),IF($A289=SYear_O,X$168*(1+Data_All!X128%),X288*(1+Data_All!X128%)),"")</f>
        <v/>
      </c>
      <c r="Y289" s="427" t="str">
        <f>IF(AND($A289&gt;=SYear_O,$A289&lt;=EYear_O,Y$3&gt;0),IF($A289=SYear_O,Y$168*(1+Data_All!Y128%),Y288*(1+Data_All!Y128%)),"")</f>
        <v/>
      </c>
      <c r="Z289" s="427" t="str">
        <f>IF(AND($A289&gt;=SYear_O,$A289&lt;=EYear_O,Z$3&gt;0),IF($A289=SYear_O,Z$168*(1+Data_All!Z128%),Z288*(1+Data_All!Z128%)),"")</f>
        <v/>
      </c>
      <c r="AA289" s="427" t="str">
        <f>IF(AND($A289&gt;=SYear_O,$A289&lt;=EYear_O,AA$3&gt;0),IF($A289=SYear_O,AA$168*(1+Data_All!AA128%),AA288*(1+Data_All!AA128%)),"")</f>
        <v/>
      </c>
      <c r="AB289" s="427" t="str">
        <f>IF(AND($A289&gt;=SYear_O,$A289&lt;=EYear_O,AB$3&gt;0),IF($A289=SYear_O,AB$168*(1+Data_All!AB128%),AB288*(1+Data_All!AB128%)),"")</f>
        <v/>
      </c>
      <c r="AC289" s="427" t="str">
        <f>IF(AND($A289&gt;=SYear_O,$A289&lt;=EYear_O,AC$3&gt;0),IF($A289=SYear_O,AC$168*(1+Data_All!AC128%),AC288*(1+Data_All!AC128%)),"")</f>
        <v/>
      </c>
      <c r="AD289" s="427" t="str">
        <f>IF(AND($A289&gt;=SYear_O,$A289&lt;=EYear_O,AD$3&gt;0),IF($A289=SYear_O,AD$168*(1+Data_All!AD128%),AD288*(1+Data_All!AD128%)),"")</f>
        <v/>
      </c>
      <c r="AE289" s="427" t="str">
        <f>IF(AND($A289&gt;=SYear_O,$A289&lt;=EYear_O,AE$3&gt;0),IF($A289=SYear_O,AE$168*(1+Data_All!AE128%),AE288*(1+Data_All!AE128%)),"")</f>
        <v/>
      </c>
      <c r="AF289" s="427" t="str">
        <f>IF(AND($A289&gt;=SYear_O,$A289&lt;=EYear_O,AF$3&gt;0),IF($A289=SYear_O,AF$168*(1+Data_All!AF128%),AF288*(1+Data_All!AF128%)),"")</f>
        <v/>
      </c>
      <c r="AG289" s="427" t="str">
        <f>IF(AND($A289&gt;=SYear_O,$A289&lt;=EYear_O,AG$3&gt;0),IF($A289=SYear_O,AG$168*(1+Data_All!AG128%),AG288*(1+Data_All!AG128%)),"")</f>
        <v/>
      </c>
      <c r="AH289" s="427" t="str">
        <f>IF(AND($A289&gt;=SYear_O,$A289&lt;=EYear_O,AH$3&gt;0),IF($A289=SYear_O,AH$168*(1+Data_All!AH128%),AH288*(1+Data_All!AH128%)),"")</f>
        <v/>
      </c>
      <c r="AI289" s="427" t="str">
        <f>IF(AND($A289&gt;=SYear_O,$A289&lt;=EYear_O,AI$3&gt;0),IF($A289=SYear_O,AI$168*(1+Data_All!AI128%),AI288*(1+Data_All!AI128%)),"")</f>
        <v/>
      </c>
      <c r="AJ289" s="427" t="str">
        <f>IF(AND($A289&gt;=SYear_O,$A289&lt;=EYear_O,AJ$3&gt;0),IF($A289=SYear_O,AJ$168*(1+Data_All!AJ128%),AJ288*(1+Data_All!AJ128%)),"")</f>
        <v/>
      </c>
      <c r="AK289" s="427" t="str">
        <f>IF(AND($A289&gt;=SYear_O,$A289&lt;=EYear_O,AK$3&gt;0),IF($A289=SYear_O,AK$168*(1+Data_All!AK128%),AK288*(1+Data_All!AK128%)),"")</f>
        <v/>
      </c>
      <c r="AL289" s="427" t="str">
        <f>IF(AND($A289&gt;=SYear_O,$A289&lt;=EYear_O,AL$3&gt;0),IF($A289=SYear_O,AL$168*(1+Data_All!AL128%),AL288*(1+Data_All!AL128%)),"")</f>
        <v/>
      </c>
      <c r="AM289" s="427" t="str">
        <f>IF(AND($A289&gt;=SYear_O,$A289&lt;=EYear_O,AM$3&gt;0),IF($A289=SYear_O,AM$168*(1+Data_All!AM128%),AM288*(1+Data_All!AM128%)),"")</f>
        <v/>
      </c>
      <c r="AN289" s="427" t="str">
        <f>IF(AND($A289&gt;=SYear_O,$A289&lt;=EYear_O,AN$3&gt;0),IF($A289=SYear_O,AN$168*(1+Data_All!AN128%),AN288*(1+Data_All!AN128%)),"")</f>
        <v/>
      </c>
      <c r="AO289" s="427" t="str">
        <f>IF(AND($A289&gt;=SYear_O,$A289&lt;=EYear_O,AO$3&gt;0),IF($A289=SYear_O,AO$168*(1+Data_All!AO128%),AO288*(1+Data_All!AO128%)),"")</f>
        <v/>
      </c>
      <c r="AP289" s="427" t="str">
        <f>IF(AND($A289&gt;=SYear_O,$A289&lt;=EYear_O,AP$3&gt;0),IF($A289=SYear_O,AP$168*(1+Data_All!AP128%),AP288*(1+Data_All!AP128%)),"")</f>
        <v/>
      </c>
      <c r="AQ289" s="427" t="str">
        <f>IF(AND($A289&gt;=SYear_O,$A289&lt;=EYear_O,AQ$3&gt;0),IF($A289=SYear_O,AQ$168*(1+Data_All!AQ128%),AQ288*(1+Data_All!AQ128%)),"")</f>
        <v/>
      </c>
      <c r="AR289" s="427" t="str">
        <f>IF(AND($A289&gt;=SYear_O,$A289&lt;=EYear_O,AR$3&gt;0),IF($A289=SYear_O,AR$168*(1+Data_All!AR128%),AR288*(1+Data_All!AR128%)),"")</f>
        <v/>
      </c>
      <c r="AS289" s="427" t="str">
        <f>IF(AND($A289&gt;=SYear_O,$A289&lt;=EYear_O,AS$3&gt;0),IF($A289=SYear_O,AS$168*(1+Data_All!AS128%),AS288*(1+Data_All!AS128%)),"")</f>
        <v/>
      </c>
      <c r="AT289" s="427" t="str">
        <f>IF(AND($A289&gt;=SYear_O,$A289&lt;=EYear_O,AT$3&gt;0),IF($A289=SYear_O,AT$168*(1+Data_All!AT128%),AT288*(1+Data_All!AT128%)),"")</f>
        <v/>
      </c>
      <c r="AU289" s="427" t="str">
        <f>IF(AND($A289&gt;=SYear_O,$A289&lt;=EYear_O,AU$3&gt;0),IF($A289=SYear_O,AU$168*(1+Data_All!AU128%),AU288*(1+Data_All!AU128%)),"")</f>
        <v/>
      </c>
      <c r="AV289" s="427" t="str">
        <f>IF(AND($A289&gt;=SYear_O,$A289&lt;=EYear_O,AV$3&gt;0),IF($A289=SYear_O,AV$168*(1+Data_All!AV128%),AV288*(1+Data_All!AV128%)),"")</f>
        <v/>
      </c>
      <c r="AW289" s="427" t="str">
        <f>IF(AND($A289&gt;=SYear_O,$A289&lt;=EYear_O,AW$3&gt;0),IF($A289=SYear_O,AW$168*(1+Data_All!AW128%),AW288*(1+Data_All!AW128%)),"")</f>
        <v/>
      </c>
      <c r="AX289" s="427" t="str">
        <f>IF(AND($A289&gt;=SYear_O,$A289&lt;=EYear_O,AX$3&gt;0),IF($A289=SYear_O,AX$168*(1+Data_All!AX128%),AX288*(1+Data_All!AX128%)),"")</f>
        <v/>
      </c>
      <c r="AY289" s="427" t="str">
        <f>IF(AND($A289&gt;=SYear_O,$A289&lt;=EYear_O,AY$3&gt;0),IF($A289=SYear_O,AY$168*(1+Data_All!AY128%),AY288*(1+Data_All!AY128%)),"")</f>
        <v/>
      </c>
      <c r="AZ289" s="427" t="str">
        <f>IF(AND($A289&gt;=SYear_O,$A289&lt;=EYear_O,AZ$3&gt;0),IF($A289=SYear_O,AZ$168*(1+Data_All!AZ128%),AZ288*(1+Data_All!AZ128%)),"")</f>
        <v/>
      </c>
      <c r="BA289" s="427" t="str">
        <f>IF(AND($A289&gt;=SYear_O,$A289&lt;=EYear_O,BA$3&gt;0),IF($A289=SYear_O,BA$168*(1+Data_All!BA128%),BA288*(1+Data_All!BA128%)),"")</f>
        <v/>
      </c>
      <c r="BB289" s="427" t="str">
        <f>IF(AND($A289&gt;=SYear_O,$A289&lt;=EYear_O,BB$3&gt;0),IF($A289=SYear_O,BB$168*(1+Data_All!BB128%),BB288*(1+Data_All!BB128%)),"")</f>
        <v/>
      </c>
      <c r="BC289" s="427" t="str">
        <f>IF(AND($A289&gt;=SYear_O,$A289&lt;=EYear_O,BC$3&gt;0),IF($A289=SYear_O,BC$168*(1+Data_All!BC128%),BC288*(1+Data_All!BC128%)),"")</f>
        <v/>
      </c>
      <c r="BD289" s="427" t="str">
        <f>IF(AND($A289&gt;=SYear_O,$A289&lt;=EYear_O,BD$3&gt;0),IF($A289=SYear_O,BD$168*(1+Data_All!BD128%),BD288*(1+Data_All!BD128%)),"")</f>
        <v/>
      </c>
      <c r="BE289" s="427" t="str">
        <f>IF(AND($A289&gt;=SYear_O,$A289&lt;=EYear_O,BE$3&gt;0),IF($A289=SYear_O,BE$168*(1+Data_All!BE128%),BE288*(1+Data_All!BE128%)),"")</f>
        <v/>
      </c>
      <c r="BF289" s="427" t="str">
        <f>IF(AND($A289&gt;=SYear_O,$A289&lt;=EYear_O,BF$3&gt;0),IF($A289=SYear_O,BF$168*(1+Data_All!BF128%),BF288*(1+Data_All!BF128%)),"")</f>
        <v/>
      </c>
      <c r="BG289" s="427" t="str">
        <f>IF(AND($A289&gt;=SYear_O,$A289&lt;=EYear_O,BG$3&gt;0),IF($A289=SYear_O,BG$168*(1+Data_All!BG128%),BG288*(1+Data_All!BG128%)),"")</f>
        <v/>
      </c>
      <c r="BH289" s="427" t="str">
        <f>IF(AND($A289&gt;=SYear_O,$A289&lt;=EYear_O,BH$3&gt;0),IF($A289=SYear_O,BH$168*(1+Data_All!BH128%),BH288*(1+Data_All!BH128%)),"")</f>
        <v/>
      </c>
      <c r="BI289" s="427" t="str">
        <f>IF(AND($A289&gt;=SYear_O,$A289&lt;=EYear_O,BI$3&gt;0),IF($A289=SYear_O,BI$168*(1+Data_All!BI128%),BI288*(1+Data_All!BI128%)),"")</f>
        <v/>
      </c>
      <c r="BJ289" s="427" t="str">
        <f>IF(AND($A289&gt;=SYear_O,$A289&lt;=EYear_O,BJ$3&gt;0),IF($A289=SYear_O,BJ$168*(1+Data_All!BJ128%),BJ288*(1+Data_All!BJ128%)),"")</f>
        <v/>
      </c>
      <c r="BK289" s="427" t="str">
        <f>IF(AND($A289&gt;=SYear_O,$A289&lt;=EYear_O,BK$3&gt;0),IF($A289=SYear_O,BK$168*(1+Data_All!BK128%),BK288*(1+Data_All!BK128%)),"")</f>
        <v/>
      </c>
      <c r="BL289" s="427" t="str">
        <f>IF(AND($A289&gt;=SYear_O,$A289&lt;=EYear_O,BL$3&gt;0),IF($A289=SYear_O,BL$168*(1+Data_All!BL128%),BL288*(1+Data_All!BL128%)),"")</f>
        <v/>
      </c>
      <c r="BM289" s="427" t="str">
        <f>IF(AND($A289&gt;=SYear_O,$A289&lt;=EYear_O,BM$3&gt;0),IF($A289=SYear_O,BM$168*(1+Data_All!BM128%),BM288*(1+Data_All!BM128%)),"")</f>
        <v/>
      </c>
      <c r="BN289" s="427" t="str">
        <f>IF(AND($A289&gt;=SYear_O,$A289&lt;=EYear_O,BN$3&gt;0),IF($A289=SYear_O,BN$168*(1+Data_All!BN128%),BN288*(1+Data_All!BN128%)),"")</f>
        <v/>
      </c>
      <c r="BO289" s="427" t="str">
        <f>IF(AND($A289&gt;=SYear_O,$A289&lt;=EYear_O,BO$3&gt;0),IF($A289=SYear_O,BO$168*(1+Data_All!BO128%),BO288*(1+Data_All!BO128%)),"")</f>
        <v/>
      </c>
      <c r="BP289" s="427" t="str">
        <f>IF(AND($A289&gt;=SYear_O,$A289&lt;=EYear_O,BP$3&gt;0),IF($A289=SYear_O,BP$168*(1+Data_All!BP128%),BP288*(1+Data_All!BP128%)),"")</f>
        <v/>
      </c>
      <c r="BQ289" s="427" t="str">
        <f>IF(AND($A289&gt;=SYear_O,$A289&lt;=EYear_O,BQ$3&gt;0),IF($A289=SYear_O,BQ$168*(1+Data_All!BQ128%),BQ288*(1+Data_All!BQ128%)),"")</f>
        <v/>
      </c>
      <c r="BR289" s="427" t="str">
        <f>IF(AND($A289&gt;=SYear_O,$A289&lt;=EYear_O,BR$3&gt;0),IF($A289=SYear_O,BR$168*(1+Data_All!BR128%),BR288*(1+Data_All!BR128%)),"")</f>
        <v/>
      </c>
      <c r="BS289" s="427" t="str">
        <f>IF(AND($A289&gt;=SYear_O,$A289&lt;=EYear_O,BS$3&gt;0),IF($A289=SYear_O,BS$168*(1+Data_All!BS128%),BS288*(1+Data_All!BS128%)),"")</f>
        <v/>
      </c>
      <c r="BT289" s="427" t="str">
        <f>IF(AND($A289&gt;=SYear_O,$A289&lt;=EYear_O,BT$3&gt;0),IF($A289=SYear_O,BT$168*(1+Data_All!BT128%),BT288*(1+Data_All!BT128%)),"")</f>
        <v/>
      </c>
      <c r="BU289" s="427" t="str">
        <f>IF(AND($A289&gt;=SYear_O,$A289&lt;=EYear_O,BU$3&gt;0),IF($A289=SYear_O,BU$168*(1+Data_All!BU128%),BU288*(1+Data_All!BU128%)),"")</f>
        <v/>
      </c>
      <c r="BV289" s="427" t="str">
        <f>IF(AND($A289&gt;=SYear_O,$A289&lt;=EYear_O,BV$3&gt;0),IF($A289=SYear_O,BV$168*(1+Data_All!BV128%),BV288*(1+Data_All!BV128%)),"")</f>
        <v/>
      </c>
      <c r="BW289" s="427" t="str">
        <f>IF(AND($A289&gt;=SYear_O,$A289&lt;=EYear_O,BW$3&gt;0),IF($A289=SYear_O,BW$168*(1+Data_All!BW128%),BW288*(1+Data_All!BW128%)),"")</f>
        <v/>
      </c>
      <c r="BX289" s="427">
        <f>IF(AND($A289&gt;=SYear_O,$A289&lt;=EYear_O,BX$3&gt;0),IF($A289=SYear_O,BX$168*(1+Data_All!BX128%),BX288*(1+Data_All!BX128%)),"")</f>
        <v>165723893.68405852</v>
      </c>
      <c r="BY289" s="427">
        <f>IF(AND($A289&gt;=SYear_O,$A289&lt;=EYear_O,BY$3&gt;0),IF($A289=SYear_O,BY$168*(1+Data_All!BY128%),BY288*(1+Data_All!BY128%)),"")</f>
        <v>840544.3056157151</v>
      </c>
      <c r="BZ289" s="427" t="str">
        <f>IF(AND($A289&gt;=SYear_O,$A289&lt;=EYear_O,BZ$3&gt;0),IF($A289=SYear_O,BZ$168*(1+Data_All!BZ128%),BZ288*(1+Data_All!BZ128%)),"")</f>
        <v/>
      </c>
      <c r="CA289" s="565">
        <f t="shared" si="138"/>
        <v>31.475040130558341</v>
      </c>
      <c r="CB289" s="427">
        <f t="shared" si="139"/>
        <v>166564437.98967424</v>
      </c>
      <c r="CC289" s="565">
        <f>IF(AND($A289&gt;=SYear_O,$A289&lt;=EYear_O),(CA289-Data_All!CA128)/(1+Data_All!CA128%),"")</f>
        <v>27.566065043282851</v>
      </c>
      <c r="CD289" s="436">
        <f t="shared" si="140"/>
        <v>15054889.887846399</v>
      </c>
      <c r="CE289" s="438">
        <f t="shared" si="141"/>
        <v>15107.267731262029</v>
      </c>
      <c r="CF289" s="438">
        <f>IF(AND($A289&gt;=SYear_O,$A289&lt;=EYear_O),MAX($CE$169:CE289),"")</f>
        <v>15107.267731262029</v>
      </c>
      <c r="CG289" s="209">
        <f t="shared" si="142"/>
        <v>0</v>
      </c>
      <c r="CN289" s="61">
        <f t="shared" si="143"/>
        <v>0.31475040130558352</v>
      </c>
      <c r="CO289" s="61">
        <f t="shared" si="144"/>
        <v>0.16421799300947693</v>
      </c>
      <c r="CP289" s="61">
        <f t="shared" si="145"/>
        <v>0.16579587487215464</v>
      </c>
      <c r="CQ289" s="61">
        <f t="shared" si="146"/>
        <v>0.1751072677578267</v>
      </c>
      <c r="CR289" s="61">
        <f t="shared" si="147"/>
        <v>0.11634759733299771</v>
      </c>
      <c r="CU289" s="61">
        <f t="shared" si="148"/>
        <v>0.2756606504328285</v>
      </c>
      <c r="CV289" s="61">
        <f t="shared" si="149"/>
        <v>0.1313591757953112</v>
      </c>
      <c r="CW289" s="61">
        <f t="shared" si="150"/>
        <v>0.13420631490995683</v>
      </c>
      <c r="CX289" s="61">
        <f t="shared" si="151"/>
        <v>0.14463810321578952</v>
      </c>
      <c r="CY289" s="61">
        <f t="shared" si="152"/>
        <v>8.7998199411039479E-2</v>
      </c>
    </row>
    <row r="290" spans="1:103">
      <c r="A290" s="204">
        <f t="shared" si="107"/>
        <v>1992</v>
      </c>
      <c r="B290" s="427" t="str">
        <f>IF(AND($A290&gt;=SYear_O,$A290&lt;=EYear_O,B$3&gt;0),IF($A290=SYear_O,B$168*(1+Data_All!B129%),B289*(1+Data_All!B129%)),"")</f>
        <v/>
      </c>
      <c r="C290" s="427" t="str">
        <f>IF(AND($A290&gt;=SYear_O,$A290&lt;=EYear_O,C$3&gt;0),IF($A290=SYear_O,C$168*(1+Data_All!C129%),C289*(1+Data_All!C129%)),"")</f>
        <v/>
      </c>
      <c r="D290" s="427" t="str">
        <f>IF(AND($A290&gt;=SYear_O,$A290&lt;=EYear_O,D$3&gt;0),IF($A290=SYear_O,D$168*(1+Data_All!D129%),D289*(1+Data_All!D129%)),"")</f>
        <v/>
      </c>
      <c r="E290" s="427" t="str">
        <f>IF(AND($A290&gt;=SYear_O,$A290&lt;=EYear_O,E$3&gt;0),IF($A290=SYear_O,E$168*(1+Data_All!E129%),E289*(1+Data_All!E129%)),"")</f>
        <v/>
      </c>
      <c r="F290" s="427" t="str">
        <f>IF(AND($A290&gt;=SYear_O,$A290&lt;=EYear_O,F$3&gt;0),IF($A290=SYear_O,F$168*(1+Data_All!F129%),F289*(1+Data_All!F129%)),"")</f>
        <v/>
      </c>
      <c r="G290" s="427" t="str">
        <f>IF(AND($A290&gt;=SYear_O,$A290&lt;=EYear_O,G$3&gt;0),IF($A290=SYear_O,G$168*(1+Data_All!G129%),G289*(1+Data_All!G129%)),"")</f>
        <v/>
      </c>
      <c r="H290" s="427" t="str">
        <f>IF(AND($A290&gt;=SYear_O,$A290&lt;=EYear_O,H$3&gt;0),IF($A290=SYear_O,H$168*(1+Data_All!H129%),H289*(1+Data_All!H129%)),"")</f>
        <v/>
      </c>
      <c r="I290" s="427" t="str">
        <f>IF(AND($A290&gt;=SYear_O,$A290&lt;=EYear_O,I$3&gt;0),IF($A290=SYear_O,I$168*(1+Data_All!I129%),I289*(1+Data_All!I129%)),"")</f>
        <v/>
      </c>
      <c r="J290" s="427" t="str">
        <f>IF(AND($A290&gt;=SYear_O,$A290&lt;=EYear_O,J$3&gt;0),IF($A290=SYear_O,J$168*(1+Data_All!J129%),J289*(1+Data_All!J129%)),"")</f>
        <v/>
      </c>
      <c r="K290" s="427" t="str">
        <f>IF(AND($A290&gt;=SYear_O,$A290&lt;=EYear_O,K$3&gt;0),IF($A290=SYear_O,K$168*(1+Data_All!K129%),K289*(1+Data_All!K129%)),"")</f>
        <v/>
      </c>
      <c r="L290" s="427" t="str">
        <f>IF(AND($A290&gt;=SYear_O,$A290&lt;=EYear_O,L$3&gt;0),IF($A290=SYear_O,L$168*(1+Data_All!L129%),L289*(1+Data_All!L129%)),"")</f>
        <v/>
      </c>
      <c r="M290" s="427" t="str">
        <f>IF(AND($A290&gt;=SYear_O,$A290&lt;=EYear_O,M$3&gt;0),IF($A290=SYear_O,M$168*(1+Data_All!M129%),M289*(1+Data_All!M129%)),"")</f>
        <v/>
      </c>
      <c r="N290" s="427" t="str">
        <f>IF(AND($A290&gt;=SYear_O,$A290&lt;=EYear_O,N$3&gt;0),IF($A290=SYear_O,N$168*(1+Data_All!N129%),N289*(1+Data_All!N129%)),"")</f>
        <v/>
      </c>
      <c r="O290" s="427" t="str">
        <f>IF(AND($A290&gt;=SYear_O,$A290&lt;=EYear_O,O$3&gt;0),IF($A290=SYear_O,O$168*(1+Data_All!O129%),O289*(1+Data_All!O129%)),"")</f>
        <v/>
      </c>
      <c r="P290" s="427" t="str">
        <f>IF(AND($A290&gt;=SYear_O,$A290&lt;=EYear_O,P$3&gt;0),IF($A290=SYear_O,P$168*(1+Data_All!P129%),P289*(1+Data_All!P129%)),"")</f>
        <v/>
      </c>
      <c r="Q290" s="427" t="str">
        <f>IF(AND($A290&gt;=SYear_O,$A290&lt;=EYear_O,Q$3&gt;0),IF($A290=SYear_O,Q$168*(1+Data_All!Q129%),Q289*(1+Data_All!Q129%)),"")</f>
        <v/>
      </c>
      <c r="R290" s="427" t="str">
        <f>IF(AND($A290&gt;=SYear_O,$A290&lt;=EYear_O,R$3&gt;0),IF($A290=SYear_O,R$168*(1+Data_All!R129%),R289*(1+Data_All!R129%)),"")</f>
        <v/>
      </c>
      <c r="S290" s="427" t="str">
        <f>IF(AND($A290&gt;=SYear_O,$A290&lt;=EYear_O,S$3&gt;0),IF($A290=SYear_O,S$168*(1+Data_All!S129%),S289*(1+Data_All!S129%)),"")</f>
        <v/>
      </c>
      <c r="T290" s="427" t="str">
        <f>IF(AND($A290&gt;=SYear_O,$A290&lt;=EYear_O,T$3&gt;0),IF($A290=SYear_O,T$168*(1+Data_All!T129%),T289*(1+Data_All!T129%)),"")</f>
        <v/>
      </c>
      <c r="U290" s="427" t="str">
        <f>IF(AND($A290&gt;=SYear_O,$A290&lt;=EYear_O,U$3&gt;0),IF($A290=SYear_O,U$168*(1+Data_All!U129%),U289*(1+Data_All!U129%)),"")</f>
        <v/>
      </c>
      <c r="V290" s="427" t="str">
        <f>IF(AND($A290&gt;=SYear_O,$A290&lt;=EYear_O,V$3&gt;0),IF($A290=SYear_O,V$168*(1+Data_All!V129%),V289*(1+Data_All!V129%)),"")</f>
        <v/>
      </c>
      <c r="W290" s="427" t="str">
        <f>IF(AND($A290&gt;=SYear_O,$A290&lt;=EYear_O,W$3&gt;0),IF($A290=SYear_O,W$168*(1+Data_All!W129%),W289*(1+Data_All!W129%)),"")</f>
        <v/>
      </c>
      <c r="X290" s="427" t="str">
        <f>IF(AND($A290&gt;=SYear_O,$A290&lt;=EYear_O,X$3&gt;0),IF($A290=SYear_O,X$168*(1+Data_All!X129%),X289*(1+Data_All!X129%)),"")</f>
        <v/>
      </c>
      <c r="Y290" s="427" t="str">
        <f>IF(AND($A290&gt;=SYear_O,$A290&lt;=EYear_O,Y$3&gt;0),IF($A290=SYear_O,Y$168*(1+Data_All!Y129%),Y289*(1+Data_All!Y129%)),"")</f>
        <v/>
      </c>
      <c r="Z290" s="427" t="str">
        <f>IF(AND($A290&gt;=SYear_O,$A290&lt;=EYear_O,Z$3&gt;0),IF($A290=SYear_O,Z$168*(1+Data_All!Z129%),Z289*(1+Data_All!Z129%)),"")</f>
        <v/>
      </c>
      <c r="AA290" s="427" t="str">
        <f>IF(AND($A290&gt;=SYear_O,$A290&lt;=EYear_O,AA$3&gt;0),IF($A290=SYear_O,AA$168*(1+Data_All!AA129%),AA289*(1+Data_All!AA129%)),"")</f>
        <v/>
      </c>
      <c r="AB290" s="427" t="str">
        <f>IF(AND($A290&gt;=SYear_O,$A290&lt;=EYear_O,AB$3&gt;0),IF($A290=SYear_O,AB$168*(1+Data_All!AB129%),AB289*(1+Data_All!AB129%)),"")</f>
        <v/>
      </c>
      <c r="AC290" s="427" t="str">
        <f>IF(AND($A290&gt;=SYear_O,$A290&lt;=EYear_O,AC$3&gt;0),IF($A290=SYear_O,AC$168*(1+Data_All!AC129%),AC289*(1+Data_All!AC129%)),"")</f>
        <v/>
      </c>
      <c r="AD290" s="427" t="str">
        <f>IF(AND($A290&gt;=SYear_O,$A290&lt;=EYear_O,AD$3&gt;0),IF($A290=SYear_O,AD$168*(1+Data_All!AD129%),AD289*(1+Data_All!AD129%)),"")</f>
        <v/>
      </c>
      <c r="AE290" s="427" t="str">
        <f>IF(AND($A290&gt;=SYear_O,$A290&lt;=EYear_O,AE$3&gt;0),IF($A290=SYear_O,AE$168*(1+Data_All!AE129%),AE289*(1+Data_All!AE129%)),"")</f>
        <v/>
      </c>
      <c r="AF290" s="427" t="str">
        <f>IF(AND($A290&gt;=SYear_O,$A290&lt;=EYear_O,AF$3&gt;0),IF($A290=SYear_O,AF$168*(1+Data_All!AF129%),AF289*(1+Data_All!AF129%)),"")</f>
        <v/>
      </c>
      <c r="AG290" s="427" t="str">
        <f>IF(AND($A290&gt;=SYear_O,$A290&lt;=EYear_O,AG$3&gt;0),IF($A290=SYear_O,AG$168*(1+Data_All!AG129%),AG289*(1+Data_All!AG129%)),"")</f>
        <v/>
      </c>
      <c r="AH290" s="427" t="str">
        <f>IF(AND($A290&gt;=SYear_O,$A290&lt;=EYear_O,AH$3&gt;0),IF($A290=SYear_O,AH$168*(1+Data_All!AH129%),AH289*(1+Data_All!AH129%)),"")</f>
        <v/>
      </c>
      <c r="AI290" s="427" t="str">
        <f>IF(AND($A290&gt;=SYear_O,$A290&lt;=EYear_O,AI$3&gt;0),IF($A290=SYear_O,AI$168*(1+Data_All!AI129%),AI289*(1+Data_All!AI129%)),"")</f>
        <v/>
      </c>
      <c r="AJ290" s="427" t="str">
        <f>IF(AND($A290&gt;=SYear_O,$A290&lt;=EYear_O,AJ$3&gt;0),IF($A290=SYear_O,AJ$168*(1+Data_All!AJ129%),AJ289*(1+Data_All!AJ129%)),"")</f>
        <v/>
      </c>
      <c r="AK290" s="427" t="str">
        <f>IF(AND($A290&gt;=SYear_O,$A290&lt;=EYear_O,AK$3&gt;0),IF($A290=SYear_O,AK$168*(1+Data_All!AK129%),AK289*(1+Data_All!AK129%)),"")</f>
        <v/>
      </c>
      <c r="AL290" s="427" t="str">
        <f>IF(AND($A290&gt;=SYear_O,$A290&lt;=EYear_O,AL$3&gt;0),IF($A290=SYear_O,AL$168*(1+Data_All!AL129%),AL289*(1+Data_All!AL129%)),"")</f>
        <v/>
      </c>
      <c r="AM290" s="427" t="str">
        <f>IF(AND($A290&gt;=SYear_O,$A290&lt;=EYear_O,AM$3&gt;0),IF($A290=SYear_O,AM$168*(1+Data_All!AM129%),AM289*(1+Data_All!AM129%)),"")</f>
        <v/>
      </c>
      <c r="AN290" s="427" t="str">
        <f>IF(AND($A290&gt;=SYear_O,$A290&lt;=EYear_O,AN$3&gt;0),IF($A290=SYear_O,AN$168*(1+Data_All!AN129%),AN289*(1+Data_All!AN129%)),"")</f>
        <v/>
      </c>
      <c r="AO290" s="427" t="str">
        <f>IF(AND($A290&gt;=SYear_O,$A290&lt;=EYear_O,AO$3&gt;0),IF($A290=SYear_O,AO$168*(1+Data_All!AO129%),AO289*(1+Data_All!AO129%)),"")</f>
        <v/>
      </c>
      <c r="AP290" s="427" t="str">
        <f>IF(AND($A290&gt;=SYear_O,$A290&lt;=EYear_O,AP$3&gt;0),IF($A290=SYear_O,AP$168*(1+Data_All!AP129%),AP289*(1+Data_All!AP129%)),"")</f>
        <v/>
      </c>
      <c r="AQ290" s="427" t="str">
        <f>IF(AND($A290&gt;=SYear_O,$A290&lt;=EYear_O,AQ$3&gt;0),IF($A290=SYear_O,AQ$168*(1+Data_All!AQ129%),AQ289*(1+Data_All!AQ129%)),"")</f>
        <v/>
      </c>
      <c r="AR290" s="427" t="str">
        <f>IF(AND($A290&gt;=SYear_O,$A290&lt;=EYear_O,AR$3&gt;0),IF($A290=SYear_O,AR$168*(1+Data_All!AR129%),AR289*(1+Data_All!AR129%)),"")</f>
        <v/>
      </c>
      <c r="AS290" s="427" t="str">
        <f>IF(AND($A290&gt;=SYear_O,$A290&lt;=EYear_O,AS$3&gt;0),IF($A290=SYear_O,AS$168*(1+Data_All!AS129%),AS289*(1+Data_All!AS129%)),"")</f>
        <v/>
      </c>
      <c r="AT290" s="427" t="str">
        <f>IF(AND($A290&gt;=SYear_O,$A290&lt;=EYear_O,AT$3&gt;0),IF($A290=SYear_O,AT$168*(1+Data_All!AT129%),AT289*(1+Data_All!AT129%)),"")</f>
        <v/>
      </c>
      <c r="AU290" s="427" t="str">
        <f>IF(AND($A290&gt;=SYear_O,$A290&lt;=EYear_O,AU$3&gt;0),IF($A290=SYear_O,AU$168*(1+Data_All!AU129%),AU289*(1+Data_All!AU129%)),"")</f>
        <v/>
      </c>
      <c r="AV290" s="427" t="str">
        <f>IF(AND($A290&gt;=SYear_O,$A290&lt;=EYear_O,AV$3&gt;0),IF($A290=SYear_O,AV$168*(1+Data_All!AV129%),AV289*(1+Data_All!AV129%)),"")</f>
        <v/>
      </c>
      <c r="AW290" s="427" t="str">
        <f>IF(AND($A290&gt;=SYear_O,$A290&lt;=EYear_O,AW$3&gt;0),IF($A290=SYear_O,AW$168*(1+Data_All!AW129%),AW289*(1+Data_All!AW129%)),"")</f>
        <v/>
      </c>
      <c r="AX290" s="427" t="str">
        <f>IF(AND($A290&gt;=SYear_O,$A290&lt;=EYear_O,AX$3&gt;0),IF($A290=SYear_O,AX$168*(1+Data_All!AX129%),AX289*(1+Data_All!AX129%)),"")</f>
        <v/>
      </c>
      <c r="AY290" s="427" t="str">
        <f>IF(AND($A290&gt;=SYear_O,$A290&lt;=EYear_O,AY$3&gt;0),IF($A290=SYear_O,AY$168*(1+Data_All!AY129%),AY289*(1+Data_All!AY129%)),"")</f>
        <v/>
      </c>
      <c r="AZ290" s="427" t="str">
        <f>IF(AND($A290&gt;=SYear_O,$A290&lt;=EYear_O,AZ$3&gt;0),IF($A290=SYear_O,AZ$168*(1+Data_All!AZ129%),AZ289*(1+Data_All!AZ129%)),"")</f>
        <v/>
      </c>
      <c r="BA290" s="427" t="str">
        <f>IF(AND($A290&gt;=SYear_O,$A290&lt;=EYear_O,BA$3&gt;0),IF($A290=SYear_O,BA$168*(1+Data_All!BA129%),BA289*(1+Data_All!BA129%)),"")</f>
        <v/>
      </c>
      <c r="BB290" s="427" t="str">
        <f>IF(AND($A290&gt;=SYear_O,$A290&lt;=EYear_O,BB$3&gt;0),IF($A290=SYear_O,BB$168*(1+Data_All!BB129%),BB289*(1+Data_All!BB129%)),"")</f>
        <v/>
      </c>
      <c r="BC290" s="427" t="str">
        <f>IF(AND($A290&gt;=SYear_O,$A290&lt;=EYear_O,BC$3&gt;0),IF($A290=SYear_O,BC$168*(1+Data_All!BC129%),BC289*(1+Data_All!BC129%)),"")</f>
        <v/>
      </c>
      <c r="BD290" s="427" t="str">
        <f>IF(AND($A290&gt;=SYear_O,$A290&lt;=EYear_O,BD$3&gt;0),IF($A290=SYear_O,BD$168*(1+Data_All!BD129%),BD289*(1+Data_All!BD129%)),"")</f>
        <v/>
      </c>
      <c r="BE290" s="427" t="str">
        <f>IF(AND($A290&gt;=SYear_O,$A290&lt;=EYear_O,BE$3&gt;0),IF($A290=SYear_O,BE$168*(1+Data_All!BE129%),BE289*(1+Data_All!BE129%)),"")</f>
        <v/>
      </c>
      <c r="BF290" s="427" t="str">
        <f>IF(AND($A290&gt;=SYear_O,$A290&lt;=EYear_O,BF$3&gt;0),IF($A290=SYear_O,BF$168*(1+Data_All!BF129%),BF289*(1+Data_All!BF129%)),"")</f>
        <v/>
      </c>
      <c r="BG290" s="427" t="str">
        <f>IF(AND($A290&gt;=SYear_O,$A290&lt;=EYear_O,BG$3&gt;0),IF($A290=SYear_O,BG$168*(1+Data_All!BG129%),BG289*(1+Data_All!BG129%)),"")</f>
        <v/>
      </c>
      <c r="BH290" s="427" t="str">
        <f>IF(AND($A290&gt;=SYear_O,$A290&lt;=EYear_O,BH$3&gt;0),IF($A290=SYear_O,BH$168*(1+Data_All!BH129%),BH289*(1+Data_All!BH129%)),"")</f>
        <v/>
      </c>
      <c r="BI290" s="427" t="str">
        <f>IF(AND($A290&gt;=SYear_O,$A290&lt;=EYear_O,BI$3&gt;0),IF($A290=SYear_O,BI$168*(1+Data_All!BI129%),BI289*(1+Data_All!BI129%)),"")</f>
        <v/>
      </c>
      <c r="BJ290" s="427" t="str">
        <f>IF(AND($A290&gt;=SYear_O,$A290&lt;=EYear_O,BJ$3&gt;0),IF($A290=SYear_O,BJ$168*(1+Data_All!BJ129%),BJ289*(1+Data_All!BJ129%)),"")</f>
        <v/>
      </c>
      <c r="BK290" s="427" t="str">
        <f>IF(AND($A290&gt;=SYear_O,$A290&lt;=EYear_O,BK$3&gt;0),IF($A290=SYear_O,BK$168*(1+Data_All!BK129%),BK289*(1+Data_All!BK129%)),"")</f>
        <v/>
      </c>
      <c r="BL290" s="427" t="str">
        <f>IF(AND($A290&gt;=SYear_O,$A290&lt;=EYear_O,BL$3&gt;0),IF($A290=SYear_O,BL$168*(1+Data_All!BL129%),BL289*(1+Data_All!BL129%)),"")</f>
        <v/>
      </c>
      <c r="BM290" s="427" t="str">
        <f>IF(AND($A290&gt;=SYear_O,$A290&lt;=EYear_O,BM$3&gt;0),IF($A290=SYear_O,BM$168*(1+Data_All!BM129%),BM289*(1+Data_All!BM129%)),"")</f>
        <v/>
      </c>
      <c r="BN290" s="427" t="str">
        <f>IF(AND($A290&gt;=SYear_O,$A290&lt;=EYear_O,BN$3&gt;0),IF($A290=SYear_O,BN$168*(1+Data_All!BN129%),BN289*(1+Data_All!BN129%)),"")</f>
        <v/>
      </c>
      <c r="BO290" s="427" t="str">
        <f>IF(AND($A290&gt;=SYear_O,$A290&lt;=EYear_O,BO$3&gt;0),IF($A290=SYear_O,BO$168*(1+Data_All!BO129%),BO289*(1+Data_All!BO129%)),"")</f>
        <v/>
      </c>
      <c r="BP290" s="427" t="str">
        <f>IF(AND($A290&gt;=SYear_O,$A290&lt;=EYear_O,BP$3&gt;0),IF($A290=SYear_O,BP$168*(1+Data_All!BP129%),BP289*(1+Data_All!BP129%)),"")</f>
        <v/>
      </c>
      <c r="BQ290" s="427" t="str">
        <f>IF(AND($A290&gt;=SYear_O,$A290&lt;=EYear_O,BQ$3&gt;0),IF($A290=SYear_O,BQ$168*(1+Data_All!BQ129%),BQ289*(1+Data_All!BQ129%)),"")</f>
        <v/>
      </c>
      <c r="BR290" s="427" t="str">
        <f>IF(AND($A290&gt;=SYear_O,$A290&lt;=EYear_O,BR$3&gt;0),IF($A290=SYear_O,BR$168*(1+Data_All!BR129%),BR289*(1+Data_All!BR129%)),"")</f>
        <v/>
      </c>
      <c r="BS290" s="427" t="str">
        <f>IF(AND($A290&gt;=SYear_O,$A290&lt;=EYear_O,BS$3&gt;0),IF($A290=SYear_O,BS$168*(1+Data_All!BS129%),BS289*(1+Data_All!BS129%)),"")</f>
        <v/>
      </c>
      <c r="BT290" s="427" t="str">
        <f>IF(AND($A290&gt;=SYear_O,$A290&lt;=EYear_O,BT$3&gt;0),IF($A290=SYear_O,BT$168*(1+Data_All!BT129%),BT289*(1+Data_All!BT129%)),"")</f>
        <v/>
      </c>
      <c r="BU290" s="427" t="str">
        <f>IF(AND($A290&gt;=SYear_O,$A290&lt;=EYear_O,BU$3&gt;0),IF($A290=SYear_O,BU$168*(1+Data_All!BU129%),BU289*(1+Data_All!BU129%)),"")</f>
        <v/>
      </c>
      <c r="BV290" s="427" t="str">
        <f>IF(AND($A290&gt;=SYear_O,$A290&lt;=EYear_O,BV$3&gt;0),IF($A290=SYear_O,BV$168*(1+Data_All!BV129%),BV289*(1+Data_All!BV129%)),"")</f>
        <v/>
      </c>
      <c r="BW290" s="427" t="str">
        <f>IF(AND($A290&gt;=SYear_O,$A290&lt;=EYear_O,BW$3&gt;0),IF($A290=SYear_O,BW$168*(1+Data_All!BW129%),BW289*(1+Data_All!BW129%)),"")</f>
        <v/>
      </c>
      <c r="BX290" s="427">
        <f>IF(AND($A290&gt;=SYear_O,$A290&lt;=EYear_O,BX$3&gt;0),IF($A290=SYear_O,BX$168*(1+Data_All!BX129%),BX289*(1+Data_All!BX129%)),"")</f>
        <v>178282234.31052068</v>
      </c>
      <c r="BY290" s="427">
        <f>IF(AND($A290&gt;=SYear_O,$A290&lt;=EYear_O,BY$3&gt;0),IF($A290=SYear_O,BY$168*(1+Data_All!BY129%),BY289*(1+Data_All!BY129%)),"")</f>
        <v>917558.56257373723</v>
      </c>
      <c r="BZ290" s="427" t="str">
        <f>IF(AND($A290&gt;=SYear_O,$A290&lt;=EYear_O,BZ$3&gt;0),IF($A290=SYear_O,BZ$168*(1+Data_All!BZ129%),BZ289*(1+Data_All!BZ129%)),"")</f>
        <v/>
      </c>
      <c r="CA290" s="565">
        <f t="shared" si="138"/>
        <v>7.5858658882536902</v>
      </c>
      <c r="CB290" s="427">
        <f t="shared" si="139"/>
        <v>179199792.87309441</v>
      </c>
      <c r="CC290" s="565">
        <f>IF(AND($A290&gt;=SYear_O,$A290&lt;=EYear_O),(CA290-Data_All!CA129)/(1+Data_All!CA129%),"")</f>
        <v>4.5531423959843869</v>
      </c>
      <c r="CD290" s="436">
        <f t="shared" si="140"/>
        <v>15740360.461998699</v>
      </c>
      <c r="CE290" s="438">
        <f t="shared" si="141"/>
        <v>16253.284800734993</v>
      </c>
      <c r="CF290" s="438">
        <f>IF(AND($A290&gt;=SYear_O,$A290&lt;=EYear_O),MAX($CE$169:CE290),"")</f>
        <v>16253.284800734993</v>
      </c>
      <c r="CG290" s="209">
        <f t="shared" si="142"/>
        <v>0</v>
      </c>
      <c r="CN290" s="61">
        <f t="shared" si="143"/>
        <v>7.5858658882536956E-2</v>
      </c>
      <c r="CO290" s="61">
        <f t="shared" si="144"/>
        <v>6.6686891725813435E-2</v>
      </c>
      <c r="CP290" s="61">
        <f t="shared" si="145"/>
        <v>0.15779473396920296</v>
      </c>
      <c r="CQ290" s="61">
        <f t="shared" si="146"/>
        <v>0.12705239338544616</v>
      </c>
      <c r="CR290" s="61">
        <f t="shared" si="147"/>
        <v>0.10532094750297261</v>
      </c>
      <c r="CU290" s="61">
        <f t="shared" si="148"/>
        <v>4.5531423959843886E-2</v>
      </c>
      <c r="CV290" s="61">
        <f t="shared" si="149"/>
        <v>3.7889488291513951E-2</v>
      </c>
      <c r="CW290" s="61">
        <f t="shared" si="150"/>
        <v>0.12585843663448681</v>
      </c>
      <c r="CX290" s="61">
        <f t="shared" si="151"/>
        <v>9.9453528154325621E-2</v>
      </c>
      <c r="CY290" s="61">
        <f t="shared" si="152"/>
        <v>7.7617430720527736E-2</v>
      </c>
    </row>
    <row r="291" spans="1:103">
      <c r="A291" s="204">
        <f t="shared" ref="A291:A314" si="153">A290+1</f>
        <v>1993</v>
      </c>
      <c r="B291" s="427" t="str">
        <f>IF(AND($A291&gt;=SYear_O,$A291&lt;=EYear_O,B$3&gt;0),IF($A291=SYear_O,B$168*(1+Data_All!B130%),B290*(1+Data_All!B130%)),"")</f>
        <v/>
      </c>
      <c r="C291" s="427" t="str">
        <f>IF(AND($A291&gt;=SYear_O,$A291&lt;=EYear_O,C$3&gt;0),IF($A291=SYear_O,C$168*(1+Data_All!C130%),C290*(1+Data_All!C130%)),"")</f>
        <v/>
      </c>
      <c r="D291" s="427" t="str">
        <f>IF(AND($A291&gt;=SYear_O,$A291&lt;=EYear_O,D$3&gt;0),IF($A291=SYear_O,D$168*(1+Data_All!D130%),D290*(1+Data_All!D130%)),"")</f>
        <v/>
      </c>
      <c r="E291" s="427" t="str">
        <f>IF(AND($A291&gt;=SYear_O,$A291&lt;=EYear_O,E$3&gt;0),IF($A291=SYear_O,E$168*(1+Data_All!E130%),E290*(1+Data_All!E130%)),"")</f>
        <v/>
      </c>
      <c r="F291" s="427" t="str">
        <f>IF(AND($A291&gt;=SYear_O,$A291&lt;=EYear_O,F$3&gt;0),IF($A291=SYear_O,F$168*(1+Data_All!F130%),F290*(1+Data_All!F130%)),"")</f>
        <v/>
      </c>
      <c r="G291" s="427" t="str">
        <f>IF(AND($A291&gt;=SYear_O,$A291&lt;=EYear_O,G$3&gt;0),IF($A291=SYear_O,G$168*(1+Data_All!G130%),G290*(1+Data_All!G130%)),"")</f>
        <v/>
      </c>
      <c r="H291" s="427" t="str">
        <f>IF(AND($A291&gt;=SYear_O,$A291&lt;=EYear_O,H$3&gt;0),IF($A291=SYear_O,H$168*(1+Data_All!H130%),H290*(1+Data_All!H130%)),"")</f>
        <v/>
      </c>
      <c r="I291" s="427" t="str">
        <f>IF(AND($A291&gt;=SYear_O,$A291&lt;=EYear_O,I$3&gt;0),IF($A291=SYear_O,I$168*(1+Data_All!I130%),I290*(1+Data_All!I130%)),"")</f>
        <v/>
      </c>
      <c r="J291" s="427" t="str">
        <f>IF(AND($A291&gt;=SYear_O,$A291&lt;=EYear_O,J$3&gt;0),IF($A291=SYear_O,J$168*(1+Data_All!J130%),J290*(1+Data_All!J130%)),"")</f>
        <v/>
      </c>
      <c r="K291" s="427" t="str">
        <f>IF(AND($A291&gt;=SYear_O,$A291&lt;=EYear_O,K$3&gt;0),IF($A291=SYear_O,K$168*(1+Data_All!K130%),K290*(1+Data_All!K130%)),"")</f>
        <v/>
      </c>
      <c r="L291" s="427" t="str">
        <f>IF(AND($A291&gt;=SYear_O,$A291&lt;=EYear_O,L$3&gt;0),IF($A291=SYear_O,L$168*(1+Data_All!L130%),L290*(1+Data_All!L130%)),"")</f>
        <v/>
      </c>
      <c r="M291" s="427" t="str">
        <f>IF(AND($A291&gt;=SYear_O,$A291&lt;=EYear_O,M$3&gt;0),IF($A291=SYear_O,M$168*(1+Data_All!M130%),M290*(1+Data_All!M130%)),"")</f>
        <v/>
      </c>
      <c r="N291" s="427" t="str">
        <f>IF(AND($A291&gt;=SYear_O,$A291&lt;=EYear_O,N$3&gt;0),IF($A291=SYear_O,N$168*(1+Data_All!N130%),N290*(1+Data_All!N130%)),"")</f>
        <v/>
      </c>
      <c r="O291" s="427" t="str">
        <f>IF(AND($A291&gt;=SYear_O,$A291&lt;=EYear_O,O$3&gt;0),IF($A291=SYear_O,O$168*(1+Data_All!O130%),O290*(1+Data_All!O130%)),"")</f>
        <v/>
      </c>
      <c r="P291" s="427" t="str">
        <f>IF(AND($A291&gt;=SYear_O,$A291&lt;=EYear_O,P$3&gt;0),IF($A291=SYear_O,P$168*(1+Data_All!P130%),P290*(1+Data_All!P130%)),"")</f>
        <v/>
      </c>
      <c r="Q291" s="427" t="str">
        <f>IF(AND($A291&gt;=SYear_O,$A291&lt;=EYear_O,Q$3&gt;0),IF($A291=SYear_O,Q$168*(1+Data_All!Q130%),Q290*(1+Data_All!Q130%)),"")</f>
        <v/>
      </c>
      <c r="R291" s="427" t="str">
        <f>IF(AND($A291&gt;=SYear_O,$A291&lt;=EYear_O,R$3&gt;0),IF($A291=SYear_O,R$168*(1+Data_All!R130%),R290*(1+Data_All!R130%)),"")</f>
        <v/>
      </c>
      <c r="S291" s="427" t="str">
        <f>IF(AND($A291&gt;=SYear_O,$A291&lt;=EYear_O,S$3&gt;0),IF($A291=SYear_O,S$168*(1+Data_All!S130%),S290*(1+Data_All!S130%)),"")</f>
        <v/>
      </c>
      <c r="T291" s="427" t="str">
        <f>IF(AND($A291&gt;=SYear_O,$A291&lt;=EYear_O,T$3&gt;0),IF($A291=SYear_O,T$168*(1+Data_All!T130%),T290*(1+Data_All!T130%)),"")</f>
        <v/>
      </c>
      <c r="U291" s="427" t="str">
        <f>IF(AND($A291&gt;=SYear_O,$A291&lt;=EYear_O,U$3&gt;0),IF($A291=SYear_O,U$168*(1+Data_All!U130%),U290*(1+Data_All!U130%)),"")</f>
        <v/>
      </c>
      <c r="V291" s="427" t="str">
        <f>IF(AND($A291&gt;=SYear_O,$A291&lt;=EYear_O,V$3&gt;0),IF($A291=SYear_O,V$168*(1+Data_All!V130%),V290*(1+Data_All!V130%)),"")</f>
        <v/>
      </c>
      <c r="W291" s="427" t="str">
        <f>IF(AND($A291&gt;=SYear_O,$A291&lt;=EYear_O,W$3&gt;0),IF($A291=SYear_O,W$168*(1+Data_All!W130%),W290*(1+Data_All!W130%)),"")</f>
        <v/>
      </c>
      <c r="X291" s="427" t="str">
        <f>IF(AND($A291&gt;=SYear_O,$A291&lt;=EYear_O,X$3&gt;0),IF($A291=SYear_O,X$168*(1+Data_All!X130%),X290*(1+Data_All!X130%)),"")</f>
        <v/>
      </c>
      <c r="Y291" s="427" t="str">
        <f>IF(AND($A291&gt;=SYear_O,$A291&lt;=EYear_O,Y$3&gt;0),IF($A291=SYear_O,Y$168*(1+Data_All!Y130%),Y290*(1+Data_All!Y130%)),"")</f>
        <v/>
      </c>
      <c r="Z291" s="427" t="str">
        <f>IF(AND($A291&gt;=SYear_O,$A291&lt;=EYear_O,Z$3&gt;0),IF($A291=SYear_O,Z$168*(1+Data_All!Z130%),Z290*(1+Data_All!Z130%)),"")</f>
        <v/>
      </c>
      <c r="AA291" s="427" t="str">
        <f>IF(AND($A291&gt;=SYear_O,$A291&lt;=EYear_O,AA$3&gt;0),IF($A291=SYear_O,AA$168*(1+Data_All!AA130%),AA290*(1+Data_All!AA130%)),"")</f>
        <v/>
      </c>
      <c r="AB291" s="427" t="str">
        <f>IF(AND($A291&gt;=SYear_O,$A291&lt;=EYear_O,AB$3&gt;0),IF($A291=SYear_O,AB$168*(1+Data_All!AB130%),AB290*(1+Data_All!AB130%)),"")</f>
        <v/>
      </c>
      <c r="AC291" s="427" t="str">
        <f>IF(AND($A291&gt;=SYear_O,$A291&lt;=EYear_O,AC$3&gt;0),IF($A291=SYear_O,AC$168*(1+Data_All!AC130%),AC290*(1+Data_All!AC130%)),"")</f>
        <v/>
      </c>
      <c r="AD291" s="427" t="str">
        <f>IF(AND($A291&gt;=SYear_O,$A291&lt;=EYear_O,AD$3&gt;0),IF($A291=SYear_O,AD$168*(1+Data_All!AD130%),AD290*(1+Data_All!AD130%)),"")</f>
        <v/>
      </c>
      <c r="AE291" s="427" t="str">
        <f>IF(AND($A291&gt;=SYear_O,$A291&lt;=EYear_O,AE$3&gt;0),IF($A291=SYear_O,AE$168*(1+Data_All!AE130%),AE290*(1+Data_All!AE130%)),"")</f>
        <v/>
      </c>
      <c r="AF291" s="427" t="str">
        <f>IF(AND($A291&gt;=SYear_O,$A291&lt;=EYear_O,AF$3&gt;0),IF($A291=SYear_O,AF$168*(1+Data_All!AF130%),AF290*(1+Data_All!AF130%)),"")</f>
        <v/>
      </c>
      <c r="AG291" s="427" t="str">
        <f>IF(AND($A291&gt;=SYear_O,$A291&lt;=EYear_O,AG$3&gt;0),IF($A291=SYear_O,AG$168*(1+Data_All!AG130%),AG290*(1+Data_All!AG130%)),"")</f>
        <v/>
      </c>
      <c r="AH291" s="427" t="str">
        <f>IF(AND($A291&gt;=SYear_O,$A291&lt;=EYear_O,AH$3&gt;0),IF($A291=SYear_O,AH$168*(1+Data_All!AH130%),AH290*(1+Data_All!AH130%)),"")</f>
        <v/>
      </c>
      <c r="AI291" s="427" t="str">
        <f>IF(AND($A291&gt;=SYear_O,$A291&lt;=EYear_O,AI$3&gt;0),IF($A291=SYear_O,AI$168*(1+Data_All!AI130%),AI290*(1+Data_All!AI130%)),"")</f>
        <v/>
      </c>
      <c r="AJ291" s="427" t="str">
        <f>IF(AND($A291&gt;=SYear_O,$A291&lt;=EYear_O,AJ$3&gt;0),IF($A291=SYear_O,AJ$168*(1+Data_All!AJ130%),AJ290*(1+Data_All!AJ130%)),"")</f>
        <v/>
      </c>
      <c r="AK291" s="427" t="str">
        <f>IF(AND($A291&gt;=SYear_O,$A291&lt;=EYear_O,AK$3&gt;0),IF($A291=SYear_O,AK$168*(1+Data_All!AK130%),AK290*(1+Data_All!AK130%)),"")</f>
        <v/>
      </c>
      <c r="AL291" s="427" t="str">
        <f>IF(AND($A291&gt;=SYear_O,$A291&lt;=EYear_O,AL$3&gt;0),IF($A291=SYear_O,AL$168*(1+Data_All!AL130%),AL290*(1+Data_All!AL130%)),"")</f>
        <v/>
      </c>
      <c r="AM291" s="427" t="str">
        <f>IF(AND($A291&gt;=SYear_O,$A291&lt;=EYear_O,AM$3&gt;0),IF($A291=SYear_O,AM$168*(1+Data_All!AM130%),AM290*(1+Data_All!AM130%)),"")</f>
        <v/>
      </c>
      <c r="AN291" s="427" t="str">
        <f>IF(AND($A291&gt;=SYear_O,$A291&lt;=EYear_O,AN$3&gt;0),IF($A291=SYear_O,AN$168*(1+Data_All!AN130%),AN290*(1+Data_All!AN130%)),"")</f>
        <v/>
      </c>
      <c r="AO291" s="427" t="str">
        <f>IF(AND($A291&gt;=SYear_O,$A291&lt;=EYear_O,AO$3&gt;0),IF($A291=SYear_O,AO$168*(1+Data_All!AO130%),AO290*(1+Data_All!AO130%)),"")</f>
        <v/>
      </c>
      <c r="AP291" s="427" t="str">
        <f>IF(AND($A291&gt;=SYear_O,$A291&lt;=EYear_O,AP$3&gt;0),IF($A291=SYear_O,AP$168*(1+Data_All!AP130%),AP290*(1+Data_All!AP130%)),"")</f>
        <v/>
      </c>
      <c r="AQ291" s="427" t="str">
        <f>IF(AND($A291&gt;=SYear_O,$A291&lt;=EYear_O,AQ$3&gt;0),IF($A291=SYear_O,AQ$168*(1+Data_All!AQ130%),AQ290*(1+Data_All!AQ130%)),"")</f>
        <v/>
      </c>
      <c r="AR291" s="427" t="str">
        <f>IF(AND($A291&gt;=SYear_O,$A291&lt;=EYear_O,AR$3&gt;0),IF($A291=SYear_O,AR$168*(1+Data_All!AR130%),AR290*(1+Data_All!AR130%)),"")</f>
        <v/>
      </c>
      <c r="AS291" s="427" t="str">
        <f>IF(AND($A291&gt;=SYear_O,$A291&lt;=EYear_O,AS$3&gt;0),IF($A291=SYear_O,AS$168*(1+Data_All!AS130%),AS290*(1+Data_All!AS130%)),"")</f>
        <v/>
      </c>
      <c r="AT291" s="427" t="str">
        <f>IF(AND($A291&gt;=SYear_O,$A291&lt;=EYear_O,AT$3&gt;0),IF($A291=SYear_O,AT$168*(1+Data_All!AT130%),AT290*(1+Data_All!AT130%)),"")</f>
        <v/>
      </c>
      <c r="AU291" s="427" t="str">
        <f>IF(AND($A291&gt;=SYear_O,$A291&lt;=EYear_O,AU$3&gt;0),IF($A291=SYear_O,AU$168*(1+Data_All!AU130%),AU290*(1+Data_All!AU130%)),"")</f>
        <v/>
      </c>
      <c r="AV291" s="427" t="str">
        <f>IF(AND($A291&gt;=SYear_O,$A291&lt;=EYear_O,AV$3&gt;0),IF($A291=SYear_O,AV$168*(1+Data_All!AV130%),AV290*(1+Data_All!AV130%)),"")</f>
        <v/>
      </c>
      <c r="AW291" s="427" t="str">
        <f>IF(AND($A291&gt;=SYear_O,$A291&lt;=EYear_O,AW$3&gt;0),IF($A291=SYear_O,AW$168*(1+Data_All!AW130%),AW290*(1+Data_All!AW130%)),"")</f>
        <v/>
      </c>
      <c r="AX291" s="427" t="str">
        <f>IF(AND($A291&gt;=SYear_O,$A291&lt;=EYear_O,AX$3&gt;0),IF($A291=SYear_O,AX$168*(1+Data_All!AX130%),AX290*(1+Data_All!AX130%)),"")</f>
        <v/>
      </c>
      <c r="AY291" s="427" t="str">
        <f>IF(AND($A291&gt;=SYear_O,$A291&lt;=EYear_O,AY$3&gt;0),IF($A291=SYear_O,AY$168*(1+Data_All!AY130%),AY290*(1+Data_All!AY130%)),"")</f>
        <v/>
      </c>
      <c r="AZ291" s="427" t="str">
        <f>IF(AND($A291&gt;=SYear_O,$A291&lt;=EYear_O,AZ$3&gt;0),IF($A291=SYear_O,AZ$168*(1+Data_All!AZ130%),AZ290*(1+Data_All!AZ130%)),"")</f>
        <v/>
      </c>
      <c r="BA291" s="427" t="str">
        <f>IF(AND($A291&gt;=SYear_O,$A291&lt;=EYear_O,BA$3&gt;0),IF($A291=SYear_O,BA$168*(1+Data_All!BA130%),BA290*(1+Data_All!BA130%)),"")</f>
        <v/>
      </c>
      <c r="BB291" s="427" t="str">
        <f>IF(AND($A291&gt;=SYear_O,$A291&lt;=EYear_O,BB$3&gt;0),IF($A291=SYear_O,BB$168*(1+Data_All!BB130%),BB290*(1+Data_All!BB130%)),"")</f>
        <v/>
      </c>
      <c r="BC291" s="427" t="str">
        <f>IF(AND($A291&gt;=SYear_O,$A291&lt;=EYear_O,BC$3&gt;0),IF($A291=SYear_O,BC$168*(1+Data_All!BC130%),BC290*(1+Data_All!BC130%)),"")</f>
        <v/>
      </c>
      <c r="BD291" s="427" t="str">
        <f>IF(AND($A291&gt;=SYear_O,$A291&lt;=EYear_O,BD$3&gt;0),IF($A291=SYear_O,BD$168*(1+Data_All!BD130%),BD290*(1+Data_All!BD130%)),"")</f>
        <v/>
      </c>
      <c r="BE291" s="427" t="str">
        <f>IF(AND($A291&gt;=SYear_O,$A291&lt;=EYear_O,BE$3&gt;0),IF($A291=SYear_O,BE$168*(1+Data_All!BE130%),BE290*(1+Data_All!BE130%)),"")</f>
        <v/>
      </c>
      <c r="BF291" s="427" t="str">
        <f>IF(AND($A291&gt;=SYear_O,$A291&lt;=EYear_O,BF$3&gt;0),IF($A291=SYear_O,BF$168*(1+Data_All!BF130%),BF290*(1+Data_All!BF130%)),"")</f>
        <v/>
      </c>
      <c r="BG291" s="427" t="str">
        <f>IF(AND($A291&gt;=SYear_O,$A291&lt;=EYear_O,BG$3&gt;0),IF($A291=SYear_O,BG$168*(1+Data_All!BG130%),BG290*(1+Data_All!BG130%)),"")</f>
        <v/>
      </c>
      <c r="BH291" s="427" t="str">
        <f>IF(AND($A291&gt;=SYear_O,$A291&lt;=EYear_O,BH$3&gt;0),IF($A291=SYear_O,BH$168*(1+Data_All!BH130%),BH290*(1+Data_All!BH130%)),"")</f>
        <v/>
      </c>
      <c r="BI291" s="427" t="str">
        <f>IF(AND($A291&gt;=SYear_O,$A291&lt;=EYear_O,BI$3&gt;0),IF($A291=SYear_O,BI$168*(1+Data_All!BI130%),BI290*(1+Data_All!BI130%)),"")</f>
        <v/>
      </c>
      <c r="BJ291" s="427" t="str">
        <f>IF(AND($A291&gt;=SYear_O,$A291&lt;=EYear_O,BJ$3&gt;0),IF($A291=SYear_O,BJ$168*(1+Data_All!BJ130%),BJ290*(1+Data_All!BJ130%)),"")</f>
        <v/>
      </c>
      <c r="BK291" s="427" t="str">
        <f>IF(AND($A291&gt;=SYear_O,$A291&lt;=EYear_O,BK$3&gt;0),IF($A291=SYear_O,BK$168*(1+Data_All!BK130%),BK290*(1+Data_All!BK130%)),"")</f>
        <v/>
      </c>
      <c r="BL291" s="427" t="str">
        <f>IF(AND($A291&gt;=SYear_O,$A291&lt;=EYear_O,BL$3&gt;0),IF($A291=SYear_O,BL$168*(1+Data_All!BL130%),BL290*(1+Data_All!BL130%)),"")</f>
        <v/>
      </c>
      <c r="BM291" s="427" t="str">
        <f>IF(AND($A291&gt;=SYear_O,$A291&lt;=EYear_O,BM$3&gt;0),IF($A291=SYear_O,BM$168*(1+Data_All!BM130%),BM290*(1+Data_All!BM130%)),"")</f>
        <v/>
      </c>
      <c r="BN291" s="427" t="str">
        <f>IF(AND($A291&gt;=SYear_O,$A291&lt;=EYear_O,BN$3&gt;0),IF($A291=SYear_O,BN$168*(1+Data_All!BN130%),BN290*(1+Data_All!BN130%)),"")</f>
        <v/>
      </c>
      <c r="BO291" s="427" t="str">
        <f>IF(AND($A291&gt;=SYear_O,$A291&lt;=EYear_O,BO$3&gt;0),IF($A291=SYear_O,BO$168*(1+Data_All!BO130%),BO290*(1+Data_All!BO130%)),"")</f>
        <v/>
      </c>
      <c r="BP291" s="427" t="str">
        <f>IF(AND($A291&gt;=SYear_O,$A291&lt;=EYear_O,BP$3&gt;0),IF($A291=SYear_O,BP$168*(1+Data_All!BP130%),BP290*(1+Data_All!BP130%)),"")</f>
        <v/>
      </c>
      <c r="BQ291" s="427" t="str">
        <f>IF(AND($A291&gt;=SYear_O,$A291&lt;=EYear_O,BQ$3&gt;0),IF($A291=SYear_O,BQ$168*(1+Data_All!BQ130%),BQ290*(1+Data_All!BQ130%)),"")</f>
        <v/>
      </c>
      <c r="BR291" s="427" t="str">
        <f>IF(AND($A291&gt;=SYear_O,$A291&lt;=EYear_O,BR$3&gt;0),IF($A291=SYear_O,BR$168*(1+Data_All!BR130%),BR290*(1+Data_All!BR130%)),"")</f>
        <v/>
      </c>
      <c r="BS291" s="427" t="str">
        <f>IF(AND($A291&gt;=SYear_O,$A291&lt;=EYear_O,BS$3&gt;0),IF($A291=SYear_O,BS$168*(1+Data_All!BS130%),BS290*(1+Data_All!BS130%)),"")</f>
        <v/>
      </c>
      <c r="BT291" s="427" t="str">
        <f>IF(AND($A291&gt;=SYear_O,$A291&lt;=EYear_O,BT$3&gt;0),IF($A291=SYear_O,BT$168*(1+Data_All!BT130%),BT290*(1+Data_All!BT130%)),"")</f>
        <v/>
      </c>
      <c r="BU291" s="427" t="str">
        <f>IF(AND($A291&gt;=SYear_O,$A291&lt;=EYear_O,BU$3&gt;0),IF($A291=SYear_O,BU$168*(1+Data_All!BU130%),BU290*(1+Data_All!BU130%)),"")</f>
        <v/>
      </c>
      <c r="BV291" s="427" t="str">
        <f>IF(AND($A291&gt;=SYear_O,$A291&lt;=EYear_O,BV$3&gt;0),IF($A291=SYear_O,BV$168*(1+Data_All!BV130%),BV290*(1+Data_All!BV130%)),"")</f>
        <v/>
      </c>
      <c r="BW291" s="427" t="str">
        <f>IF(AND($A291&gt;=SYear_O,$A291&lt;=EYear_O,BW$3&gt;0),IF($A291=SYear_O,BW$168*(1+Data_All!BW130%),BW290*(1+Data_All!BW130%)),"")</f>
        <v/>
      </c>
      <c r="BX291" s="427">
        <f>IF(AND($A291&gt;=SYear_O,$A291&lt;=EYear_O,BX$3&gt;0),IF($A291=SYear_O,BX$168*(1+Data_All!BX130%),BX290*(1+Data_All!BX130%)),"")</f>
        <v>198902889.30946746</v>
      </c>
      <c r="BY291" s="427">
        <f>IF(AND($A291&gt;=SYear_O,$A291&lt;=EYear_O,BY$3&gt;0),IF($A291=SYear_O,BY$168*(1+Data_All!BY130%),BY290*(1+Data_All!BY130%)),"")</f>
        <v>1010504.8895956825</v>
      </c>
      <c r="BZ291" s="427" t="str">
        <f>IF(AND($A291&gt;=SYear_O,$A291&lt;=EYear_O,BZ$3&gt;0),IF($A291=SYear_O,BZ$168*(1+Data_All!BZ130%),BZ290*(1+Data_All!BZ130%)),"")</f>
        <v/>
      </c>
      <c r="CA291" s="565">
        <f t="shared" si="138"/>
        <v>11.558942671679139</v>
      </c>
      <c r="CB291" s="427">
        <f t="shared" si="139"/>
        <v>199913394.19906315</v>
      </c>
      <c r="CC291" s="565">
        <f>IF(AND($A291&gt;=SYear_O,$A291&lt;=EYear_O),(CA291-Data_All!CA130)/(1+Data_All!CA130%),"")</f>
        <v>8.5748557277864776</v>
      </c>
      <c r="CD291" s="436">
        <f t="shared" si="140"/>
        <v>17090073.662648629</v>
      </c>
      <c r="CE291" s="438">
        <f t="shared" si="141"/>
        <v>18131.992673116689</v>
      </c>
      <c r="CF291" s="438">
        <f>IF(AND($A291&gt;=SYear_O,$A291&lt;=EYear_O),MAX($CE$169:CE291),"")</f>
        <v>18131.992673116689</v>
      </c>
      <c r="CG291" s="209">
        <f t="shared" si="142"/>
        <v>0</v>
      </c>
      <c r="CN291" s="61">
        <f t="shared" si="143"/>
        <v>0.1155894267167914</v>
      </c>
      <c r="CO291" s="61">
        <f t="shared" si="144"/>
        <v>0.15037123383420314</v>
      </c>
      <c r="CP291" s="61">
        <f t="shared" si="145"/>
        <v>0.19816063138715578</v>
      </c>
      <c r="CQ291" s="61">
        <f t="shared" si="146"/>
        <v>9.4248378567765245E-2</v>
      </c>
      <c r="CR291" s="61">
        <f t="shared" si="147"/>
        <v>9.9058216482681871E-2</v>
      </c>
      <c r="CU291" s="61">
        <f t="shared" si="148"/>
        <v>8.5748557277864457E-2</v>
      </c>
      <c r="CV291" s="61">
        <f t="shared" si="149"/>
        <v>0.12063113653834145</v>
      </c>
      <c r="CW291" s="61">
        <f t="shared" si="150"/>
        <v>0.16784350907440437</v>
      </c>
      <c r="CX291" s="61">
        <f t="shared" si="151"/>
        <v>6.7997643942582231E-2</v>
      </c>
      <c r="CY291" s="61">
        <f t="shared" si="152"/>
        <v>7.0697054193685327E-2</v>
      </c>
    </row>
    <row r="292" spans="1:103">
      <c r="A292" s="204">
        <f t="shared" si="153"/>
        <v>1994</v>
      </c>
      <c r="B292" s="427" t="str">
        <f>IF(AND($A292&gt;=SYear_O,$A292&lt;=EYear_O,B$3&gt;0),IF($A292=SYear_O,B$168*(1+Data_All!B131%),B291*(1+Data_All!B131%)),"")</f>
        <v/>
      </c>
      <c r="C292" s="427" t="str">
        <f>IF(AND($A292&gt;=SYear_O,$A292&lt;=EYear_O,C$3&gt;0),IF($A292=SYear_O,C$168*(1+Data_All!C131%),C291*(1+Data_All!C131%)),"")</f>
        <v/>
      </c>
      <c r="D292" s="427" t="str">
        <f>IF(AND($A292&gt;=SYear_O,$A292&lt;=EYear_O,D$3&gt;0),IF($A292=SYear_O,D$168*(1+Data_All!D131%),D291*(1+Data_All!D131%)),"")</f>
        <v/>
      </c>
      <c r="E292" s="427" t="str">
        <f>IF(AND($A292&gt;=SYear_O,$A292&lt;=EYear_O,E$3&gt;0),IF($A292=SYear_O,E$168*(1+Data_All!E131%),E291*(1+Data_All!E131%)),"")</f>
        <v/>
      </c>
      <c r="F292" s="427" t="str">
        <f>IF(AND($A292&gt;=SYear_O,$A292&lt;=EYear_O,F$3&gt;0),IF($A292=SYear_O,F$168*(1+Data_All!F131%),F291*(1+Data_All!F131%)),"")</f>
        <v/>
      </c>
      <c r="G292" s="427" t="str">
        <f>IF(AND($A292&gt;=SYear_O,$A292&lt;=EYear_O,G$3&gt;0),IF($A292=SYear_O,G$168*(1+Data_All!G131%),G291*(1+Data_All!G131%)),"")</f>
        <v/>
      </c>
      <c r="H292" s="427" t="str">
        <f>IF(AND($A292&gt;=SYear_O,$A292&lt;=EYear_O,H$3&gt;0),IF($A292=SYear_O,H$168*(1+Data_All!H131%),H291*(1+Data_All!H131%)),"")</f>
        <v/>
      </c>
      <c r="I292" s="427" t="str">
        <f>IF(AND($A292&gt;=SYear_O,$A292&lt;=EYear_O,I$3&gt;0),IF($A292=SYear_O,I$168*(1+Data_All!I131%),I291*(1+Data_All!I131%)),"")</f>
        <v/>
      </c>
      <c r="J292" s="427" t="str">
        <f>IF(AND($A292&gt;=SYear_O,$A292&lt;=EYear_O,J$3&gt;0),IF($A292=SYear_O,J$168*(1+Data_All!J131%),J291*(1+Data_All!J131%)),"")</f>
        <v/>
      </c>
      <c r="K292" s="427" t="str">
        <f>IF(AND($A292&gt;=SYear_O,$A292&lt;=EYear_O,K$3&gt;0),IF($A292=SYear_O,K$168*(1+Data_All!K131%),K291*(1+Data_All!K131%)),"")</f>
        <v/>
      </c>
      <c r="L292" s="427" t="str">
        <f>IF(AND($A292&gt;=SYear_O,$A292&lt;=EYear_O,L$3&gt;0),IF($A292=SYear_O,L$168*(1+Data_All!L131%),L291*(1+Data_All!L131%)),"")</f>
        <v/>
      </c>
      <c r="M292" s="427" t="str">
        <f>IF(AND($A292&gt;=SYear_O,$A292&lt;=EYear_O,M$3&gt;0),IF($A292=SYear_O,M$168*(1+Data_All!M131%),M291*(1+Data_All!M131%)),"")</f>
        <v/>
      </c>
      <c r="N292" s="427" t="str">
        <f>IF(AND($A292&gt;=SYear_O,$A292&lt;=EYear_O,N$3&gt;0),IF($A292=SYear_O,N$168*(1+Data_All!N131%),N291*(1+Data_All!N131%)),"")</f>
        <v/>
      </c>
      <c r="O292" s="427" t="str">
        <f>IF(AND($A292&gt;=SYear_O,$A292&lt;=EYear_O,O$3&gt;0),IF($A292=SYear_O,O$168*(1+Data_All!O131%),O291*(1+Data_All!O131%)),"")</f>
        <v/>
      </c>
      <c r="P292" s="427" t="str">
        <f>IF(AND($A292&gt;=SYear_O,$A292&lt;=EYear_O,P$3&gt;0),IF($A292=SYear_O,P$168*(1+Data_All!P131%),P291*(1+Data_All!P131%)),"")</f>
        <v/>
      </c>
      <c r="Q292" s="427" t="str">
        <f>IF(AND($A292&gt;=SYear_O,$A292&lt;=EYear_O,Q$3&gt;0),IF($A292=SYear_O,Q$168*(1+Data_All!Q131%),Q291*(1+Data_All!Q131%)),"")</f>
        <v/>
      </c>
      <c r="R292" s="427" t="str">
        <f>IF(AND($A292&gt;=SYear_O,$A292&lt;=EYear_O,R$3&gt;0),IF($A292=SYear_O,R$168*(1+Data_All!R131%),R291*(1+Data_All!R131%)),"")</f>
        <v/>
      </c>
      <c r="S292" s="427" t="str">
        <f>IF(AND($A292&gt;=SYear_O,$A292&lt;=EYear_O,S$3&gt;0),IF($A292=SYear_O,S$168*(1+Data_All!S131%),S291*(1+Data_All!S131%)),"")</f>
        <v/>
      </c>
      <c r="T292" s="427" t="str">
        <f>IF(AND($A292&gt;=SYear_O,$A292&lt;=EYear_O,T$3&gt;0),IF($A292=SYear_O,T$168*(1+Data_All!T131%),T291*(1+Data_All!T131%)),"")</f>
        <v/>
      </c>
      <c r="U292" s="427" t="str">
        <f>IF(AND($A292&gt;=SYear_O,$A292&lt;=EYear_O,U$3&gt;0),IF($A292=SYear_O,U$168*(1+Data_All!U131%),U291*(1+Data_All!U131%)),"")</f>
        <v/>
      </c>
      <c r="V292" s="427" t="str">
        <f>IF(AND($A292&gt;=SYear_O,$A292&lt;=EYear_O,V$3&gt;0),IF($A292=SYear_O,V$168*(1+Data_All!V131%),V291*(1+Data_All!V131%)),"")</f>
        <v/>
      </c>
      <c r="W292" s="427" t="str">
        <f>IF(AND($A292&gt;=SYear_O,$A292&lt;=EYear_O,W$3&gt;0),IF($A292=SYear_O,W$168*(1+Data_All!W131%),W291*(1+Data_All!W131%)),"")</f>
        <v/>
      </c>
      <c r="X292" s="427" t="str">
        <f>IF(AND($A292&gt;=SYear_O,$A292&lt;=EYear_O,X$3&gt;0),IF($A292=SYear_O,X$168*(1+Data_All!X131%),X291*(1+Data_All!X131%)),"")</f>
        <v/>
      </c>
      <c r="Y292" s="427" t="str">
        <f>IF(AND($A292&gt;=SYear_O,$A292&lt;=EYear_O,Y$3&gt;0),IF($A292=SYear_O,Y$168*(1+Data_All!Y131%),Y291*(1+Data_All!Y131%)),"")</f>
        <v/>
      </c>
      <c r="Z292" s="427" t="str">
        <f>IF(AND($A292&gt;=SYear_O,$A292&lt;=EYear_O,Z$3&gt;0),IF($A292=SYear_O,Z$168*(1+Data_All!Z131%),Z291*(1+Data_All!Z131%)),"")</f>
        <v/>
      </c>
      <c r="AA292" s="427" t="str">
        <f>IF(AND($A292&gt;=SYear_O,$A292&lt;=EYear_O,AA$3&gt;0),IF($A292=SYear_O,AA$168*(1+Data_All!AA131%),AA291*(1+Data_All!AA131%)),"")</f>
        <v/>
      </c>
      <c r="AB292" s="427" t="str">
        <f>IF(AND($A292&gt;=SYear_O,$A292&lt;=EYear_O,AB$3&gt;0),IF($A292=SYear_O,AB$168*(1+Data_All!AB131%),AB291*(1+Data_All!AB131%)),"")</f>
        <v/>
      </c>
      <c r="AC292" s="427" t="str">
        <f>IF(AND($A292&gt;=SYear_O,$A292&lt;=EYear_O,AC$3&gt;0),IF($A292=SYear_O,AC$168*(1+Data_All!AC131%),AC291*(1+Data_All!AC131%)),"")</f>
        <v/>
      </c>
      <c r="AD292" s="427" t="str">
        <f>IF(AND($A292&gt;=SYear_O,$A292&lt;=EYear_O,AD$3&gt;0),IF($A292=SYear_O,AD$168*(1+Data_All!AD131%),AD291*(1+Data_All!AD131%)),"")</f>
        <v/>
      </c>
      <c r="AE292" s="427" t="str">
        <f>IF(AND($A292&gt;=SYear_O,$A292&lt;=EYear_O,AE$3&gt;0),IF($A292=SYear_O,AE$168*(1+Data_All!AE131%),AE291*(1+Data_All!AE131%)),"")</f>
        <v/>
      </c>
      <c r="AF292" s="427" t="str">
        <f>IF(AND($A292&gt;=SYear_O,$A292&lt;=EYear_O,AF$3&gt;0),IF($A292=SYear_O,AF$168*(1+Data_All!AF131%),AF291*(1+Data_All!AF131%)),"")</f>
        <v/>
      </c>
      <c r="AG292" s="427" t="str">
        <f>IF(AND($A292&gt;=SYear_O,$A292&lt;=EYear_O,AG$3&gt;0),IF($A292=SYear_O,AG$168*(1+Data_All!AG131%),AG291*(1+Data_All!AG131%)),"")</f>
        <v/>
      </c>
      <c r="AH292" s="427" t="str">
        <f>IF(AND($A292&gt;=SYear_O,$A292&lt;=EYear_O,AH$3&gt;0),IF($A292=SYear_O,AH$168*(1+Data_All!AH131%),AH291*(1+Data_All!AH131%)),"")</f>
        <v/>
      </c>
      <c r="AI292" s="427" t="str">
        <f>IF(AND($A292&gt;=SYear_O,$A292&lt;=EYear_O,AI$3&gt;0),IF($A292=SYear_O,AI$168*(1+Data_All!AI131%),AI291*(1+Data_All!AI131%)),"")</f>
        <v/>
      </c>
      <c r="AJ292" s="427" t="str">
        <f>IF(AND($A292&gt;=SYear_O,$A292&lt;=EYear_O,AJ$3&gt;0),IF($A292=SYear_O,AJ$168*(1+Data_All!AJ131%),AJ291*(1+Data_All!AJ131%)),"")</f>
        <v/>
      </c>
      <c r="AK292" s="427" t="str">
        <f>IF(AND($A292&gt;=SYear_O,$A292&lt;=EYear_O,AK$3&gt;0),IF($A292=SYear_O,AK$168*(1+Data_All!AK131%),AK291*(1+Data_All!AK131%)),"")</f>
        <v/>
      </c>
      <c r="AL292" s="427" t="str">
        <f>IF(AND($A292&gt;=SYear_O,$A292&lt;=EYear_O,AL$3&gt;0),IF($A292=SYear_O,AL$168*(1+Data_All!AL131%),AL291*(1+Data_All!AL131%)),"")</f>
        <v/>
      </c>
      <c r="AM292" s="427" t="str">
        <f>IF(AND($A292&gt;=SYear_O,$A292&lt;=EYear_O,AM$3&gt;0),IF($A292=SYear_O,AM$168*(1+Data_All!AM131%),AM291*(1+Data_All!AM131%)),"")</f>
        <v/>
      </c>
      <c r="AN292" s="427" t="str">
        <f>IF(AND($A292&gt;=SYear_O,$A292&lt;=EYear_O,AN$3&gt;0),IF($A292=SYear_O,AN$168*(1+Data_All!AN131%),AN291*(1+Data_All!AN131%)),"")</f>
        <v/>
      </c>
      <c r="AO292" s="427" t="str">
        <f>IF(AND($A292&gt;=SYear_O,$A292&lt;=EYear_O,AO$3&gt;0),IF($A292=SYear_O,AO$168*(1+Data_All!AO131%),AO291*(1+Data_All!AO131%)),"")</f>
        <v/>
      </c>
      <c r="AP292" s="427" t="str">
        <f>IF(AND($A292&gt;=SYear_O,$A292&lt;=EYear_O,AP$3&gt;0),IF($A292=SYear_O,AP$168*(1+Data_All!AP131%),AP291*(1+Data_All!AP131%)),"")</f>
        <v/>
      </c>
      <c r="AQ292" s="427" t="str">
        <f>IF(AND($A292&gt;=SYear_O,$A292&lt;=EYear_O,AQ$3&gt;0),IF($A292=SYear_O,AQ$168*(1+Data_All!AQ131%),AQ291*(1+Data_All!AQ131%)),"")</f>
        <v/>
      </c>
      <c r="AR292" s="427" t="str">
        <f>IF(AND($A292&gt;=SYear_O,$A292&lt;=EYear_O,AR$3&gt;0),IF($A292=SYear_O,AR$168*(1+Data_All!AR131%),AR291*(1+Data_All!AR131%)),"")</f>
        <v/>
      </c>
      <c r="AS292" s="427" t="str">
        <f>IF(AND($A292&gt;=SYear_O,$A292&lt;=EYear_O,AS$3&gt;0),IF($A292=SYear_O,AS$168*(1+Data_All!AS131%),AS291*(1+Data_All!AS131%)),"")</f>
        <v/>
      </c>
      <c r="AT292" s="427" t="str">
        <f>IF(AND($A292&gt;=SYear_O,$A292&lt;=EYear_O,AT$3&gt;0),IF($A292=SYear_O,AT$168*(1+Data_All!AT131%),AT291*(1+Data_All!AT131%)),"")</f>
        <v/>
      </c>
      <c r="AU292" s="427" t="str">
        <f>IF(AND($A292&gt;=SYear_O,$A292&lt;=EYear_O,AU$3&gt;0),IF($A292=SYear_O,AU$168*(1+Data_All!AU131%),AU291*(1+Data_All!AU131%)),"")</f>
        <v/>
      </c>
      <c r="AV292" s="427" t="str">
        <f>IF(AND($A292&gt;=SYear_O,$A292&lt;=EYear_O,AV$3&gt;0),IF($A292=SYear_O,AV$168*(1+Data_All!AV131%),AV291*(1+Data_All!AV131%)),"")</f>
        <v/>
      </c>
      <c r="AW292" s="427" t="str">
        <f>IF(AND($A292&gt;=SYear_O,$A292&lt;=EYear_O,AW$3&gt;0),IF($A292=SYear_O,AW$168*(1+Data_All!AW131%),AW291*(1+Data_All!AW131%)),"")</f>
        <v/>
      </c>
      <c r="AX292" s="427" t="str">
        <f>IF(AND($A292&gt;=SYear_O,$A292&lt;=EYear_O,AX$3&gt;0),IF($A292=SYear_O,AX$168*(1+Data_All!AX131%),AX291*(1+Data_All!AX131%)),"")</f>
        <v/>
      </c>
      <c r="AY292" s="427" t="str">
        <f>IF(AND($A292&gt;=SYear_O,$A292&lt;=EYear_O,AY$3&gt;0),IF($A292=SYear_O,AY$168*(1+Data_All!AY131%),AY291*(1+Data_All!AY131%)),"")</f>
        <v/>
      </c>
      <c r="AZ292" s="427" t="str">
        <f>IF(AND($A292&gt;=SYear_O,$A292&lt;=EYear_O,AZ$3&gt;0),IF($A292=SYear_O,AZ$168*(1+Data_All!AZ131%),AZ291*(1+Data_All!AZ131%)),"")</f>
        <v/>
      </c>
      <c r="BA292" s="427" t="str">
        <f>IF(AND($A292&gt;=SYear_O,$A292&lt;=EYear_O,BA$3&gt;0),IF($A292=SYear_O,BA$168*(1+Data_All!BA131%),BA291*(1+Data_All!BA131%)),"")</f>
        <v/>
      </c>
      <c r="BB292" s="427" t="str">
        <f>IF(AND($A292&gt;=SYear_O,$A292&lt;=EYear_O,BB$3&gt;0),IF($A292=SYear_O,BB$168*(1+Data_All!BB131%),BB291*(1+Data_All!BB131%)),"")</f>
        <v/>
      </c>
      <c r="BC292" s="427" t="str">
        <f>IF(AND($A292&gt;=SYear_O,$A292&lt;=EYear_O,BC$3&gt;0),IF($A292=SYear_O,BC$168*(1+Data_All!BC131%),BC291*(1+Data_All!BC131%)),"")</f>
        <v/>
      </c>
      <c r="BD292" s="427" t="str">
        <f>IF(AND($A292&gt;=SYear_O,$A292&lt;=EYear_O,BD$3&gt;0),IF($A292=SYear_O,BD$168*(1+Data_All!BD131%),BD291*(1+Data_All!BD131%)),"")</f>
        <v/>
      </c>
      <c r="BE292" s="427" t="str">
        <f>IF(AND($A292&gt;=SYear_O,$A292&lt;=EYear_O,BE$3&gt;0),IF($A292=SYear_O,BE$168*(1+Data_All!BE131%),BE291*(1+Data_All!BE131%)),"")</f>
        <v/>
      </c>
      <c r="BF292" s="427" t="str">
        <f>IF(AND($A292&gt;=SYear_O,$A292&lt;=EYear_O,BF$3&gt;0),IF($A292=SYear_O,BF$168*(1+Data_All!BF131%),BF291*(1+Data_All!BF131%)),"")</f>
        <v/>
      </c>
      <c r="BG292" s="427" t="str">
        <f>IF(AND($A292&gt;=SYear_O,$A292&lt;=EYear_O,BG$3&gt;0),IF($A292=SYear_O,BG$168*(1+Data_All!BG131%),BG291*(1+Data_All!BG131%)),"")</f>
        <v/>
      </c>
      <c r="BH292" s="427" t="str">
        <f>IF(AND($A292&gt;=SYear_O,$A292&lt;=EYear_O,BH$3&gt;0),IF($A292=SYear_O,BH$168*(1+Data_All!BH131%),BH291*(1+Data_All!BH131%)),"")</f>
        <v/>
      </c>
      <c r="BI292" s="427" t="str">
        <f>IF(AND($A292&gt;=SYear_O,$A292&lt;=EYear_O,BI$3&gt;0),IF($A292=SYear_O,BI$168*(1+Data_All!BI131%),BI291*(1+Data_All!BI131%)),"")</f>
        <v/>
      </c>
      <c r="BJ292" s="427" t="str">
        <f>IF(AND($A292&gt;=SYear_O,$A292&lt;=EYear_O,BJ$3&gt;0),IF($A292=SYear_O,BJ$168*(1+Data_All!BJ131%),BJ291*(1+Data_All!BJ131%)),"")</f>
        <v/>
      </c>
      <c r="BK292" s="427" t="str">
        <f>IF(AND($A292&gt;=SYear_O,$A292&lt;=EYear_O,BK$3&gt;0),IF($A292=SYear_O,BK$168*(1+Data_All!BK131%),BK291*(1+Data_All!BK131%)),"")</f>
        <v/>
      </c>
      <c r="BL292" s="427" t="str">
        <f>IF(AND($A292&gt;=SYear_O,$A292&lt;=EYear_O,BL$3&gt;0),IF($A292=SYear_O,BL$168*(1+Data_All!BL131%),BL291*(1+Data_All!BL131%)),"")</f>
        <v/>
      </c>
      <c r="BM292" s="427" t="str">
        <f>IF(AND($A292&gt;=SYear_O,$A292&lt;=EYear_O,BM$3&gt;0),IF($A292=SYear_O,BM$168*(1+Data_All!BM131%),BM291*(1+Data_All!BM131%)),"")</f>
        <v/>
      </c>
      <c r="BN292" s="427" t="str">
        <f>IF(AND($A292&gt;=SYear_O,$A292&lt;=EYear_O,BN$3&gt;0),IF($A292=SYear_O,BN$168*(1+Data_All!BN131%),BN291*(1+Data_All!BN131%)),"")</f>
        <v/>
      </c>
      <c r="BO292" s="427" t="str">
        <f>IF(AND($A292&gt;=SYear_O,$A292&lt;=EYear_O,BO$3&gt;0),IF($A292=SYear_O,BO$168*(1+Data_All!BO131%),BO291*(1+Data_All!BO131%)),"")</f>
        <v/>
      </c>
      <c r="BP292" s="427" t="str">
        <f>IF(AND($A292&gt;=SYear_O,$A292&lt;=EYear_O,BP$3&gt;0),IF($A292=SYear_O,BP$168*(1+Data_All!BP131%),BP291*(1+Data_All!BP131%)),"")</f>
        <v/>
      </c>
      <c r="BQ292" s="427" t="str">
        <f>IF(AND($A292&gt;=SYear_O,$A292&lt;=EYear_O,BQ$3&gt;0),IF($A292=SYear_O,BQ$168*(1+Data_All!BQ131%),BQ291*(1+Data_All!BQ131%)),"")</f>
        <v/>
      </c>
      <c r="BR292" s="427" t="str">
        <f>IF(AND($A292&gt;=SYear_O,$A292&lt;=EYear_O,BR$3&gt;0),IF($A292=SYear_O,BR$168*(1+Data_All!BR131%),BR291*(1+Data_All!BR131%)),"")</f>
        <v/>
      </c>
      <c r="BS292" s="427" t="str">
        <f>IF(AND($A292&gt;=SYear_O,$A292&lt;=EYear_O,BS$3&gt;0),IF($A292=SYear_O,BS$168*(1+Data_All!BS131%),BS291*(1+Data_All!BS131%)),"")</f>
        <v/>
      </c>
      <c r="BT292" s="427" t="str">
        <f>IF(AND($A292&gt;=SYear_O,$A292&lt;=EYear_O,BT$3&gt;0),IF($A292=SYear_O,BT$168*(1+Data_All!BT131%),BT291*(1+Data_All!BT131%)),"")</f>
        <v/>
      </c>
      <c r="BU292" s="427" t="str">
        <f>IF(AND($A292&gt;=SYear_O,$A292&lt;=EYear_O,BU$3&gt;0),IF($A292=SYear_O,BU$168*(1+Data_All!BU131%),BU291*(1+Data_All!BU131%)),"")</f>
        <v/>
      </c>
      <c r="BV292" s="427" t="str">
        <f>IF(AND($A292&gt;=SYear_O,$A292&lt;=EYear_O,BV$3&gt;0),IF($A292=SYear_O,BV$168*(1+Data_All!BV131%),BV291*(1+Data_All!BV131%)),"")</f>
        <v/>
      </c>
      <c r="BW292" s="427" t="str">
        <f>IF(AND($A292&gt;=SYear_O,$A292&lt;=EYear_O,BW$3&gt;0),IF($A292=SYear_O,BW$168*(1+Data_All!BW131%),BW291*(1+Data_All!BW131%)),"")</f>
        <v/>
      </c>
      <c r="BX292" s="427">
        <f>IF(AND($A292&gt;=SYear_O,$A292&lt;=EYear_O,BX$3&gt;0),IF($A292=SYear_O,BX$168*(1+Data_All!BX131%),BX291*(1+Data_All!BX131%)),"")</f>
        <v>201190531.15780148</v>
      </c>
      <c r="BY292" s="427">
        <f>IF(AND($A292&gt;=SYear_O,$A292&lt;=EYear_O,BY$3&gt;0),IF($A292=SYear_O,BY$168*(1+Data_All!BY131%),BY291*(1+Data_All!BY131%)),"")</f>
        <v>968505.00118584465</v>
      </c>
      <c r="BZ292" s="427" t="str">
        <f>IF(AND($A292&gt;=SYear_O,$A292&lt;=EYear_O,BZ$3&gt;0),IF($A292=SYear_O,BZ$168*(1+Data_All!BZ131%),BZ291*(1+Data_All!BZ131%)),"")</f>
        <v/>
      </c>
      <c r="CA292" s="565">
        <f t="shared" si="138"/>
        <v>1.1233074046494704</v>
      </c>
      <c r="CB292" s="427">
        <f t="shared" si="139"/>
        <v>202159036.15898731</v>
      </c>
      <c r="CC292" s="565">
        <f>IF(AND($A292&gt;=SYear_O,$A292&lt;=EYear_O),(CA292-Data_All!CA131)/(1+Data_All!CA131%),"")</f>
        <v>-1.5111675377562102</v>
      </c>
      <c r="CD292" s="436">
        <f t="shared" si="140"/>
        <v>16831814.017280061</v>
      </c>
      <c r="CE292" s="438">
        <f t="shared" si="141"/>
        <v>18335.670689424311</v>
      </c>
      <c r="CF292" s="438">
        <f>IF(AND($A292&gt;=SYear_O,$A292&lt;=EYear_O),MAX($CE$169:CE292),"")</f>
        <v>18335.670689424311</v>
      </c>
      <c r="CG292" s="209">
        <f t="shared" si="142"/>
        <v>0</v>
      </c>
      <c r="CN292" s="61">
        <f t="shared" si="143"/>
        <v>1.1233074046494762E-2</v>
      </c>
      <c r="CO292" s="61">
        <f t="shared" si="144"/>
        <v>0.20124819154319828</v>
      </c>
      <c r="CP292" s="61">
        <f t="shared" si="145"/>
        <v>0.23774033381470283</v>
      </c>
      <c r="CQ292" s="61">
        <f t="shared" si="146"/>
        <v>0.10962007216475866</v>
      </c>
      <c r="CR292" s="61">
        <f t="shared" si="147"/>
        <v>6.016322769751592E-2</v>
      </c>
      <c r="CU292" s="61">
        <f t="shared" si="148"/>
        <v>-1.5111675377561973E-2</v>
      </c>
      <c r="CV292" s="61">
        <f t="shared" si="149"/>
        <v>0.16802156327855089</v>
      </c>
      <c r="CW292" s="61">
        <f t="shared" si="150"/>
        <v>0.20910845322807958</v>
      </c>
      <c r="CX292" s="61">
        <f t="shared" si="151"/>
        <v>8.3920732013458732E-2</v>
      </c>
      <c r="CY292" s="61">
        <f t="shared" si="152"/>
        <v>3.4611260279817646E-2</v>
      </c>
    </row>
    <row r="293" spans="1:103">
      <c r="A293" s="204">
        <f t="shared" si="153"/>
        <v>1995</v>
      </c>
      <c r="B293" s="427" t="str">
        <f>IF(AND($A293&gt;=SYear_O,$A293&lt;=EYear_O,B$3&gt;0),IF($A293=SYear_O,B$168*(1+Data_All!B132%),B292*(1+Data_All!B132%)),"")</f>
        <v/>
      </c>
      <c r="C293" s="427" t="str">
        <f>IF(AND($A293&gt;=SYear_O,$A293&lt;=EYear_O,C$3&gt;0),IF($A293=SYear_O,C$168*(1+Data_All!C132%),C292*(1+Data_All!C132%)),"")</f>
        <v/>
      </c>
      <c r="D293" s="427" t="str">
        <f>IF(AND($A293&gt;=SYear_O,$A293&lt;=EYear_O,D$3&gt;0),IF($A293=SYear_O,D$168*(1+Data_All!D132%),D292*(1+Data_All!D132%)),"")</f>
        <v/>
      </c>
      <c r="E293" s="427" t="str">
        <f>IF(AND($A293&gt;=SYear_O,$A293&lt;=EYear_O,E$3&gt;0),IF($A293=SYear_O,E$168*(1+Data_All!E132%),E292*(1+Data_All!E132%)),"")</f>
        <v/>
      </c>
      <c r="F293" s="427" t="str">
        <f>IF(AND($A293&gt;=SYear_O,$A293&lt;=EYear_O,F$3&gt;0),IF($A293=SYear_O,F$168*(1+Data_All!F132%),F292*(1+Data_All!F132%)),"")</f>
        <v/>
      </c>
      <c r="G293" s="427" t="str">
        <f>IF(AND($A293&gt;=SYear_O,$A293&lt;=EYear_O,G$3&gt;0),IF($A293=SYear_O,G$168*(1+Data_All!G132%),G292*(1+Data_All!G132%)),"")</f>
        <v/>
      </c>
      <c r="H293" s="427" t="str">
        <f>IF(AND($A293&gt;=SYear_O,$A293&lt;=EYear_O,H$3&gt;0),IF($A293=SYear_O,H$168*(1+Data_All!H132%),H292*(1+Data_All!H132%)),"")</f>
        <v/>
      </c>
      <c r="I293" s="427" t="str">
        <f>IF(AND($A293&gt;=SYear_O,$A293&lt;=EYear_O,I$3&gt;0),IF($A293=SYear_O,I$168*(1+Data_All!I132%),I292*(1+Data_All!I132%)),"")</f>
        <v/>
      </c>
      <c r="J293" s="427" t="str">
        <f>IF(AND($A293&gt;=SYear_O,$A293&lt;=EYear_O,J$3&gt;0),IF($A293=SYear_O,J$168*(1+Data_All!J132%),J292*(1+Data_All!J132%)),"")</f>
        <v/>
      </c>
      <c r="K293" s="427" t="str">
        <f>IF(AND($A293&gt;=SYear_O,$A293&lt;=EYear_O,K$3&gt;0),IF($A293=SYear_O,K$168*(1+Data_All!K132%),K292*(1+Data_All!K132%)),"")</f>
        <v/>
      </c>
      <c r="L293" s="427" t="str">
        <f>IF(AND($A293&gt;=SYear_O,$A293&lt;=EYear_O,L$3&gt;0),IF($A293=SYear_O,L$168*(1+Data_All!L132%),L292*(1+Data_All!L132%)),"")</f>
        <v/>
      </c>
      <c r="M293" s="427" t="str">
        <f>IF(AND($A293&gt;=SYear_O,$A293&lt;=EYear_O,M$3&gt;0),IF($A293=SYear_O,M$168*(1+Data_All!M132%),M292*(1+Data_All!M132%)),"")</f>
        <v/>
      </c>
      <c r="N293" s="427" t="str">
        <f>IF(AND($A293&gt;=SYear_O,$A293&lt;=EYear_O,N$3&gt;0),IF($A293=SYear_O,N$168*(1+Data_All!N132%),N292*(1+Data_All!N132%)),"")</f>
        <v/>
      </c>
      <c r="O293" s="427" t="str">
        <f>IF(AND($A293&gt;=SYear_O,$A293&lt;=EYear_O,O$3&gt;0),IF($A293=SYear_O,O$168*(1+Data_All!O132%),O292*(1+Data_All!O132%)),"")</f>
        <v/>
      </c>
      <c r="P293" s="427" t="str">
        <f>IF(AND($A293&gt;=SYear_O,$A293&lt;=EYear_O,P$3&gt;0),IF($A293=SYear_O,P$168*(1+Data_All!P132%),P292*(1+Data_All!P132%)),"")</f>
        <v/>
      </c>
      <c r="Q293" s="427" t="str">
        <f>IF(AND($A293&gt;=SYear_O,$A293&lt;=EYear_O,Q$3&gt;0),IF($A293=SYear_O,Q$168*(1+Data_All!Q132%),Q292*(1+Data_All!Q132%)),"")</f>
        <v/>
      </c>
      <c r="R293" s="427" t="str">
        <f>IF(AND($A293&gt;=SYear_O,$A293&lt;=EYear_O,R$3&gt;0),IF($A293=SYear_O,R$168*(1+Data_All!R132%),R292*(1+Data_All!R132%)),"")</f>
        <v/>
      </c>
      <c r="S293" s="427" t="str">
        <f>IF(AND($A293&gt;=SYear_O,$A293&lt;=EYear_O,S$3&gt;0),IF($A293=SYear_O,S$168*(1+Data_All!S132%),S292*(1+Data_All!S132%)),"")</f>
        <v/>
      </c>
      <c r="T293" s="427" t="str">
        <f>IF(AND($A293&gt;=SYear_O,$A293&lt;=EYear_O,T$3&gt;0),IF($A293=SYear_O,T$168*(1+Data_All!T132%),T292*(1+Data_All!T132%)),"")</f>
        <v/>
      </c>
      <c r="U293" s="427" t="str">
        <f>IF(AND($A293&gt;=SYear_O,$A293&lt;=EYear_O,U$3&gt;0),IF($A293=SYear_O,U$168*(1+Data_All!U132%),U292*(1+Data_All!U132%)),"")</f>
        <v/>
      </c>
      <c r="V293" s="427" t="str">
        <f>IF(AND($A293&gt;=SYear_O,$A293&lt;=EYear_O,V$3&gt;0),IF($A293=SYear_O,V$168*(1+Data_All!V132%),V292*(1+Data_All!V132%)),"")</f>
        <v/>
      </c>
      <c r="W293" s="427" t="str">
        <f>IF(AND($A293&gt;=SYear_O,$A293&lt;=EYear_O,W$3&gt;0),IF($A293=SYear_O,W$168*(1+Data_All!W132%),W292*(1+Data_All!W132%)),"")</f>
        <v/>
      </c>
      <c r="X293" s="427" t="str">
        <f>IF(AND($A293&gt;=SYear_O,$A293&lt;=EYear_O,X$3&gt;0),IF($A293=SYear_O,X$168*(1+Data_All!X132%),X292*(1+Data_All!X132%)),"")</f>
        <v/>
      </c>
      <c r="Y293" s="427" t="str">
        <f>IF(AND($A293&gt;=SYear_O,$A293&lt;=EYear_O,Y$3&gt;0),IF($A293=SYear_O,Y$168*(1+Data_All!Y132%),Y292*(1+Data_All!Y132%)),"")</f>
        <v/>
      </c>
      <c r="Z293" s="427" t="str">
        <f>IF(AND($A293&gt;=SYear_O,$A293&lt;=EYear_O,Z$3&gt;0),IF($A293=SYear_O,Z$168*(1+Data_All!Z132%),Z292*(1+Data_All!Z132%)),"")</f>
        <v/>
      </c>
      <c r="AA293" s="427" t="str">
        <f>IF(AND($A293&gt;=SYear_O,$A293&lt;=EYear_O,AA$3&gt;0),IF($A293=SYear_O,AA$168*(1+Data_All!AA132%),AA292*(1+Data_All!AA132%)),"")</f>
        <v/>
      </c>
      <c r="AB293" s="427" t="str">
        <f>IF(AND($A293&gt;=SYear_O,$A293&lt;=EYear_O,AB$3&gt;0),IF($A293=SYear_O,AB$168*(1+Data_All!AB132%),AB292*(1+Data_All!AB132%)),"")</f>
        <v/>
      </c>
      <c r="AC293" s="427" t="str">
        <f>IF(AND($A293&gt;=SYear_O,$A293&lt;=EYear_O,AC$3&gt;0),IF($A293=SYear_O,AC$168*(1+Data_All!AC132%),AC292*(1+Data_All!AC132%)),"")</f>
        <v/>
      </c>
      <c r="AD293" s="427" t="str">
        <f>IF(AND($A293&gt;=SYear_O,$A293&lt;=EYear_O,AD$3&gt;0),IF($A293=SYear_O,AD$168*(1+Data_All!AD132%),AD292*(1+Data_All!AD132%)),"")</f>
        <v/>
      </c>
      <c r="AE293" s="427" t="str">
        <f>IF(AND($A293&gt;=SYear_O,$A293&lt;=EYear_O,AE$3&gt;0),IF($A293=SYear_O,AE$168*(1+Data_All!AE132%),AE292*(1+Data_All!AE132%)),"")</f>
        <v/>
      </c>
      <c r="AF293" s="427" t="str">
        <f>IF(AND($A293&gt;=SYear_O,$A293&lt;=EYear_O,AF$3&gt;0),IF($A293=SYear_O,AF$168*(1+Data_All!AF132%),AF292*(1+Data_All!AF132%)),"")</f>
        <v/>
      </c>
      <c r="AG293" s="427" t="str">
        <f>IF(AND($A293&gt;=SYear_O,$A293&lt;=EYear_O,AG$3&gt;0),IF($A293=SYear_O,AG$168*(1+Data_All!AG132%),AG292*(1+Data_All!AG132%)),"")</f>
        <v/>
      </c>
      <c r="AH293" s="427" t="str">
        <f>IF(AND($A293&gt;=SYear_O,$A293&lt;=EYear_O,AH$3&gt;0),IF($A293=SYear_O,AH$168*(1+Data_All!AH132%),AH292*(1+Data_All!AH132%)),"")</f>
        <v/>
      </c>
      <c r="AI293" s="427" t="str">
        <f>IF(AND($A293&gt;=SYear_O,$A293&lt;=EYear_O,AI$3&gt;0),IF($A293=SYear_O,AI$168*(1+Data_All!AI132%),AI292*(1+Data_All!AI132%)),"")</f>
        <v/>
      </c>
      <c r="AJ293" s="427" t="str">
        <f>IF(AND($A293&gt;=SYear_O,$A293&lt;=EYear_O,AJ$3&gt;0),IF($A293=SYear_O,AJ$168*(1+Data_All!AJ132%),AJ292*(1+Data_All!AJ132%)),"")</f>
        <v/>
      </c>
      <c r="AK293" s="427" t="str">
        <f>IF(AND($A293&gt;=SYear_O,$A293&lt;=EYear_O,AK$3&gt;0),IF($A293=SYear_O,AK$168*(1+Data_All!AK132%),AK292*(1+Data_All!AK132%)),"")</f>
        <v/>
      </c>
      <c r="AL293" s="427" t="str">
        <f>IF(AND($A293&gt;=SYear_O,$A293&lt;=EYear_O,AL$3&gt;0),IF($A293=SYear_O,AL$168*(1+Data_All!AL132%),AL292*(1+Data_All!AL132%)),"")</f>
        <v/>
      </c>
      <c r="AM293" s="427" t="str">
        <f>IF(AND($A293&gt;=SYear_O,$A293&lt;=EYear_O,AM$3&gt;0),IF($A293=SYear_O,AM$168*(1+Data_All!AM132%),AM292*(1+Data_All!AM132%)),"")</f>
        <v/>
      </c>
      <c r="AN293" s="427" t="str">
        <f>IF(AND($A293&gt;=SYear_O,$A293&lt;=EYear_O,AN$3&gt;0),IF($A293=SYear_O,AN$168*(1+Data_All!AN132%),AN292*(1+Data_All!AN132%)),"")</f>
        <v/>
      </c>
      <c r="AO293" s="427" t="str">
        <f>IF(AND($A293&gt;=SYear_O,$A293&lt;=EYear_O,AO$3&gt;0),IF($A293=SYear_O,AO$168*(1+Data_All!AO132%),AO292*(1+Data_All!AO132%)),"")</f>
        <v/>
      </c>
      <c r="AP293" s="427" t="str">
        <f>IF(AND($A293&gt;=SYear_O,$A293&lt;=EYear_O,AP$3&gt;0),IF($A293=SYear_O,AP$168*(1+Data_All!AP132%),AP292*(1+Data_All!AP132%)),"")</f>
        <v/>
      </c>
      <c r="AQ293" s="427" t="str">
        <f>IF(AND($A293&gt;=SYear_O,$A293&lt;=EYear_O,AQ$3&gt;0),IF($A293=SYear_O,AQ$168*(1+Data_All!AQ132%),AQ292*(1+Data_All!AQ132%)),"")</f>
        <v/>
      </c>
      <c r="AR293" s="427" t="str">
        <f>IF(AND($A293&gt;=SYear_O,$A293&lt;=EYear_O,AR$3&gt;0),IF($A293=SYear_O,AR$168*(1+Data_All!AR132%),AR292*(1+Data_All!AR132%)),"")</f>
        <v/>
      </c>
      <c r="AS293" s="427" t="str">
        <f>IF(AND($A293&gt;=SYear_O,$A293&lt;=EYear_O,AS$3&gt;0),IF($A293=SYear_O,AS$168*(1+Data_All!AS132%),AS292*(1+Data_All!AS132%)),"")</f>
        <v/>
      </c>
      <c r="AT293" s="427" t="str">
        <f>IF(AND($A293&gt;=SYear_O,$A293&lt;=EYear_O,AT$3&gt;0),IF($A293=SYear_O,AT$168*(1+Data_All!AT132%),AT292*(1+Data_All!AT132%)),"")</f>
        <v/>
      </c>
      <c r="AU293" s="427" t="str">
        <f>IF(AND($A293&gt;=SYear_O,$A293&lt;=EYear_O,AU$3&gt;0),IF($A293=SYear_O,AU$168*(1+Data_All!AU132%),AU292*(1+Data_All!AU132%)),"")</f>
        <v/>
      </c>
      <c r="AV293" s="427" t="str">
        <f>IF(AND($A293&gt;=SYear_O,$A293&lt;=EYear_O,AV$3&gt;0),IF($A293=SYear_O,AV$168*(1+Data_All!AV132%),AV292*(1+Data_All!AV132%)),"")</f>
        <v/>
      </c>
      <c r="AW293" s="427" t="str">
        <f>IF(AND($A293&gt;=SYear_O,$A293&lt;=EYear_O,AW$3&gt;0),IF($A293=SYear_O,AW$168*(1+Data_All!AW132%),AW292*(1+Data_All!AW132%)),"")</f>
        <v/>
      </c>
      <c r="AX293" s="427" t="str">
        <f>IF(AND($A293&gt;=SYear_O,$A293&lt;=EYear_O,AX$3&gt;0),IF($A293=SYear_O,AX$168*(1+Data_All!AX132%),AX292*(1+Data_All!AX132%)),"")</f>
        <v/>
      </c>
      <c r="AY293" s="427" t="str">
        <f>IF(AND($A293&gt;=SYear_O,$A293&lt;=EYear_O,AY$3&gt;0),IF($A293=SYear_O,AY$168*(1+Data_All!AY132%),AY292*(1+Data_All!AY132%)),"")</f>
        <v/>
      </c>
      <c r="AZ293" s="427" t="str">
        <f>IF(AND($A293&gt;=SYear_O,$A293&lt;=EYear_O,AZ$3&gt;0),IF($A293=SYear_O,AZ$168*(1+Data_All!AZ132%),AZ292*(1+Data_All!AZ132%)),"")</f>
        <v/>
      </c>
      <c r="BA293" s="427" t="str">
        <f>IF(AND($A293&gt;=SYear_O,$A293&lt;=EYear_O,BA$3&gt;0),IF($A293=SYear_O,BA$168*(1+Data_All!BA132%),BA292*(1+Data_All!BA132%)),"")</f>
        <v/>
      </c>
      <c r="BB293" s="427" t="str">
        <f>IF(AND($A293&gt;=SYear_O,$A293&lt;=EYear_O,BB$3&gt;0),IF($A293=SYear_O,BB$168*(1+Data_All!BB132%),BB292*(1+Data_All!BB132%)),"")</f>
        <v/>
      </c>
      <c r="BC293" s="427" t="str">
        <f>IF(AND($A293&gt;=SYear_O,$A293&lt;=EYear_O,BC$3&gt;0),IF($A293=SYear_O,BC$168*(1+Data_All!BC132%),BC292*(1+Data_All!BC132%)),"")</f>
        <v/>
      </c>
      <c r="BD293" s="427" t="str">
        <f>IF(AND($A293&gt;=SYear_O,$A293&lt;=EYear_O,BD$3&gt;0),IF($A293=SYear_O,BD$168*(1+Data_All!BD132%),BD292*(1+Data_All!BD132%)),"")</f>
        <v/>
      </c>
      <c r="BE293" s="427" t="str">
        <f>IF(AND($A293&gt;=SYear_O,$A293&lt;=EYear_O,BE$3&gt;0),IF($A293=SYear_O,BE$168*(1+Data_All!BE132%),BE292*(1+Data_All!BE132%)),"")</f>
        <v/>
      </c>
      <c r="BF293" s="427" t="str">
        <f>IF(AND($A293&gt;=SYear_O,$A293&lt;=EYear_O,BF$3&gt;0),IF($A293=SYear_O,BF$168*(1+Data_All!BF132%),BF292*(1+Data_All!BF132%)),"")</f>
        <v/>
      </c>
      <c r="BG293" s="427" t="str">
        <f>IF(AND($A293&gt;=SYear_O,$A293&lt;=EYear_O,BG$3&gt;0),IF($A293=SYear_O,BG$168*(1+Data_All!BG132%),BG292*(1+Data_All!BG132%)),"")</f>
        <v/>
      </c>
      <c r="BH293" s="427" t="str">
        <f>IF(AND($A293&gt;=SYear_O,$A293&lt;=EYear_O,BH$3&gt;0),IF($A293=SYear_O,BH$168*(1+Data_All!BH132%),BH292*(1+Data_All!BH132%)),"")</f>
        <v/>
      </c>
      <c r="BI293" s="427" t="str">
        <f>IF(AND($A293&gt;=SYear_O,$A293&lt;=EYear_O,BI$3&gt;0),IF($A293=SYear_O,BI$168*(1+Data_All!BI132%),BI292*(1+Data_All!BI132%)),"")</f>
        <v/>
      </c>
      <c r="BJ293" s="427" t="str">
        <f>IF(AND($A293&gt;=SYear_O,$A293&lt;=EYear_O,BJ$3&gt;0),IF($A293=SYear_O,BJ$168*(1+Data_All!BJ132%),BJ292*(1+Data_All!BJ132%)),"")</f>
        <v/>
      </c>
      <c r="BK293" s="427" t="str">
        <f>IF(AND($A293&gt;=SYear_O,$A293&lt;=EYear_O,BK$3&gt;0),IF($A293=SYear_O,BK$168*(1+Data_All!BK132%),BK292*(1+Data_All!BK132%)),"")</f>
        <v/>
      </c>
      <c r="BL293" s="427" t="str">
        <f>IF(AND($A293&gt;=SYear_O,$A293&lt;=EYear_O,BL$3&gt;0),IF($A293=SYear_O,BL$168*(1+Data_All!BL132%),BL292*(1+Data_All!BL132%)),"")</f>
        <v/>
      </c>
      <c r="BM293" s="427" t="str">
        <f>IF(AND($A293&gt;=SYear_O,$A293&lt;=EYear_O,BM$3&gt;0),IF($A293=SYear_O,BM$168*(1+Data_All!BM132%),BM292*(1+Data_All!BM132%)),"")</f>
        <v/>
      </c>
      <c r="BN293" s="427" t="str">
        <f>IF(AND($A293&gt;=SYear_O,$A293&lt;=EYear_O,BN$3&gt;0),IF($A293=SYear_O,BN$168*(1+Data_All!BN132%),BN292*(1+Data_All!BN132%)),"")</f>
        <v/>
      </c>
      <c r="BO293" s="427" t="str">
        <f>IF(AND($A293&gt;=SYear_O,$A293&lt;=EYear_O,BO$3&gt;0),IF($A293=SYear_O,BO$168*(1+Data_All!BO132%),BO292*(1+Data_All!BO132%)),"")</f>
        <v/>
      </c>
      <c r="BP293" s="427" t="str">
        <f>IF(AND($A293&gt;=SYear_O,$A293&lt;=EYear_O,BP$3&gt;0),IF($A293=SYear_O,BP$168*(1+Data_All!BP132%),BP292*(1+Data_All!BP132%)),"")</f>
        <v/>
      </c>
      <c r="BQ293" s="427" t="str">
        <f>IF(AND($A293&gt;=SYear_O,$A293&lt;=EYear_O,BQ$3&gt;0),IF($A293=SYear_O,BQ$168*(1+Data_All!BQ132%),BQ292*(1+Data_All!BQ132%)),"")</f>
        <v/>
      </c>
      <c r="BR293" s="427" t="str">
        <f>IF(AND($A293&gt;=SYear_O,$A293&lt;=EYear_O,BR$3&gt;0),IF($A293=SYear_O,BR$168*(1+Data_All!BR132%),BR292*(1+Data_All!BR132%)),"")</f>
        <v/>
      </c>
      <c r="BS293" s="427" t="str">
        <f>IF(AND($A293&gt;=SYear_O,$A293&lt;=EYear_O,BS$3&gt;0),IF($A293=SYear_O,BS$168*(1+Data_All!BS132%),BS292*(1+Data_All!BS132%)),"")</f>
        <v/>
      </c>
      <c r="BT293" s="427" t="str">
        <f>IF(AND($A293&gt;=SYear_O,$A293&lt;=EYear_O,BT$3&gt;0),IF($A293=SYear_O,BT$168*(1+Data_All!BT132%),BT292*(1+Data_All!BT132%)),"")</f>
        <v/>
      </c>
      <c r="BU293" s="427" t="str">
        <f>IF(AND($A293&gt;=SYear_O,$A293&lt;=EYear_O,BU$3&gt;0),IF($A293=SYear_O,BU$168*(1+Data_All!BU132%),BU292*(1+Data_All!BU132%)),"")</f>
        <v/>
      </c>
      <c r="BV293" s="427" t="str">
        <f>IF(AND($A293&gt;=SYear_O,$A293&lt;=EYear_O,BV$3&gt;0),IF($A293=SYear_O,BV$168*(1+Data_All!BV132%),BV292*(1+Data_All!BV132%)),"")</f>
        <v/>
      </c>
      <c r="BW293" s="427" t="str">
        <f>IF(AND($A293&gt;=SYear_O,$A293&lt;=EYear_O,BW$3&gt;0),IF($A293=SYear_O,BW$168*(1+Data_All!BW132%),BW292*(1+Data_All!BW132%)),"")</f>
        <v/>
      </c>
      <c r="BX293" s="427">
        <f>IF(AND($A293&gt;=SYear_O,$A293&lt;=EYear_O,BX$3&gt;0),IF($A293=SYear_O,BX$168*(1+Data_All!BX132%),BX292*(1+Data_All!BX132%)),"")</f>
        <v>271660190.38934433</v>
      </c>
      <c r="BY293" s="427">
        <f>IF(AND($A293&gt;=SYear_O,$A293&lt;=EYear_O,BY$3&gt;0),IF($A293=SYear_O,BY$168*(1+Data_All!BY132%),BY292*(1+Data_All!BY132%)),"")</f>
        <v>1144317.8495015206</v>
      </c>
      <c r="BZ293" s="427" t="str">
        <f>IF(AND($A293&gt;=SYear_O,$A293&lt;=EYear_O,BZ$3&gt;0),IF($A293=SYear_O,BZ$168*(1+Data_All!BZ132%),BZ292*(1+Data_All!BZ132%)),"")</f>
        <v/>
      </c>
      <c r="CA293" s="565">
        <f t="shared" si="138"/>
        <v>34.945493123690831</v>
      </c>
      <c r="CB293" s="427">
        <f t="shared" si="139"/>
        <v>272804508.23884588</v>
      </c>
      <c r="CC293" s="565">
        <f>IF(AND($A293&gt;=SYear_O,$A293&lt;=EYear_O),(CA293-Data_All!CA132)/(1+Data_All!CA132%),"")</f>
        <v>31.604822935612475</v>
      </c>
      <c r="CD293" s="436">
        <f t="shared" si="140"/>
        <v>22151479.034293022</v>
      </c>
      <c r="CE293" s="438">
        <f t="shared" si="141"/>
        <v>24743.161229379675</v>
      </c>
      <c r="CF293" s="438">
        <f>IF(AND($A293&gt;=SYear_O,$A293&lt;=EYear_O),MAX($CE$169:CE293),"")</f>
        <v>24743.161229379675</v>
      </c>
      <c r="CG293" s="209">
        <f t="shared" si="142"/>
        <v>0</v>
      </c>
      <c r="CN293" s="61">
        <f t="shared" si="143"/>
        <v>0.34945493123690841</v>
      </c>
      <c r="CO293" s="61">
        <f t="shared" si="144"/>
        <v>0.29839407325798661</v>
      </c>
      <c r="CP293" s="61">
        <f t="shared" si="145"/>
        <v>0.27097976722898598</v>
      </c>
      <c r="CQ293" s="61">
        <f t="shared" si="146"/>
        <v>0.11488026375582194</v>
      </c>
      <c r="CR293" s="61">
        <f t="shared" si="147"/>
        <v>7.9281214072009387E-2</v>
      </c>
      <c r="CU293" s="61">
        <f t="shared" si="148"/>
        <v>0.31604822935612464</v>
      </c>
      <c r="CV293" s="61">
        <f t="shared" si="149"/>
        <v>0.26649166332836893</v>
      </c>
      <c r="CW293" s="61">
        <f t="shared" si="150"/>
        <v>0.24155560229311202</v>
      </c>
      <c r="CX293" s="61">
        <f t="shared" si="151"/>
        <v>8.8445100056393722E-2</v>
      </c>
      <c r="CY293" s="61">
        <f t="shared" si="152"/>
        <v>5.3236718612006406E-2</v>
      </c>
    </row>
    <row r="294" spans="1:103">
      <c r="A294" s="204">
        <f t="shared" si="153"/>
        <v>1996</v>
      </c>
      <c r="B294" s="427" t="str">
        <f>IF(AND($A294&gt;=SYear_O,$A294&lt;=EYear_O,B$3&gt;0),IF($A294=SYear_O,B$168*(1+Data_All!B133%),B293*(1+Data_All!B133%)),"")</f>
        <v/>
      </c>
      <c r="C294" s="427" t="str">
        <f>IF(AND($A294&gt;=SYear_O,$A294&lt;=EYear_O,C$3&gt;0),IF($A294=SYear_O,C$168*(1+Data_All!C133%),C293*(1+Data_All!C133%)),"")</f>
        <v/>
      </c>
      <c r="D294" s="427" t="str">
        <f>IF(AND($A294&gt;=SYear_O,$A294&lt;=EYear_O,D$3&gt;0),IF($A294=SYear_O,D$168*(1+Data_All!D133%),D293*(1+Data_All!D133%)),"")</f>
        <v/>
      </c>
      <c r="E294" s="427" t="str">
        <f>IF(AND($A294&gt;=SYear_O,$A294&lt;=EYear_O,E$3&gt;0),IF($A294=SYear_O,E$168*(1+Data_All!E133%),E293*(1+Data_All!E133%)),"")</f>
        <v/>
      </c>
      <c r="F294" s="427" t="str">
        <f>IF(AND($A294&gt;=SYear_O,$A294&lt;=EYear_O,F$3&gt;0),IF($A294=SYear_O,F$168*(1+Data_All!F133%),F293*(1+Data_All!F133%)),"")</f>
        <v/>
      </c>
      <c r="G294" s="427" t="str">
        <f>IF(AND($A294&gt;=SYear_O,$A294&lt;=EYear_O,G$3&gt;0),IF($A294=SYear_O,G$168*(1+Data_All!G133%),G293*(1+Data_All!G133%)),"")</f>
        <v/>
      </c>
      <c r="H294" s="427" t="str">
        <f>IF(AND($A294&gt;=SYear_O,$A294&lt;=EYear_O,H$3&gt;0),IF($A294=SYear_O,H$168*(1+Data_All!H133%),H293*(1+Data_All!H133%)),"")</f>
        <v/>
      </c>
      <c r="I294" s="427" t="str">
        <f>IF(AND($A294&gt;=SYear_O,$A294&lt;=EYear_O,I$3&gt;0),IF($A294=SYear_O,I$168*(1+Data_All!I133%),I293*(1+Data_All!I133%)),"")</f>
        <v/>
      </c>
      <c r="J294" s="427" t="str">
        <f>IF(AND($A294&gt;=SYear_O,$A294&lt;=EYear_O,J$3&gt;0),IF($A294=SYear_O,J$168*(1+Data_All!J133%),J293*(1+Data_All!J133%)),"")</f>
        <v/>
      </c>
      <c r="K294" s="427" t="str">
        <f>IF(AND($A294&gt;=SYear_O,$A294&lt;=EYear_O,K$3&gt;0),IF($A294=SYear_O,K$168*(1+Data_All!K133%),K293*(1+Data_All!K133%)),"")</f>
        <v/>
      </c>
      <c r="L294" s="427" t="str">
        <f>IF(AND($A294&gt;=SYear_O,$A294&lt;=EYear_O,L$3&gt;0),IF($A294=SYear_O,L$168*(1+Data_All!L133%),L293*(1+Data_All!L133%)),"")</f>
        <v/>
      </c>
      <c r="M294" s="427" t="str">
        <f>IF(AND($A294&gt;=SYear_O,$A294&lt;=EYear_O,M$3&gt;0),IF($A294=SYear_O,M$168*(1+Data_All!M133%),M293*(1+Data_All!M133%)),"")</f>
        <v/>
      </c>
      <c r="N294" s="427" t="str">
        <f>IF(AND($A294&gt;=SYear_O,$A294&lt;=EYear_O,N$3&gt;0),IF($A294=SYear_O,N$168*(1+Data_All!N133%),N293*(1+Data_All!N133%)),"")</f>
        <v/>
      </c>
      <c r="O294" s="427" t="str">
        <f>IF(AND($A294&gt;=SYear_O,$A294&lt;=EYear_O,O$3&gt;0),IF($A294=SYear_O,O$168*(1+Data_All!O133%),O293*(1+Data_All!O133%)),"")</f>
        <v/>
      </c>
      <c r="P294" s="427" t="str">
        <f>IF(AND($A294&gt;=SYear_O,$A294&lt;=EYear_O,P$3&gt;0),IF($A294=SYear_O,P$168*(1+Data_All!P133%),P293*(1+Data_All!P133%)),"")</f>
        <v/>
      </c>
      <c r="Q294" s="427" t="str">
        <f>IF(AND($A294&gt;=SYear_O,$A294&lt;=EYear_O,Q$3&gt;0),IF($A294=SYear_O,Q$168*(1+Data_All!Q133%),Q293*(1+Data_All!Q133%)),"")</f>
        <v/>
      </c>
      <c r="R294" s="427" t="str">
        <f>IF(AND($A294&gt;=SYear_O,$A294&lt;=EYear_O,R$3&gt;0),IF($A294=SYear_O,R$168*(1+Data_All!R133%),R293*(1+Data_All!R133%)),"")</f>
        <v/>
      </c>
      <c r="S294" s="427" t="str">
        <f>IF(AND($A294&gt;=SYear_O,$A294&lt;=EYear_O,S$3&gt;0),IF($A294=SYear_O,S$168*(1+Data_All!S133%),S293*(1+Data_All!S133%)),"")</f>
        <v/>
      </c>
      <c r="T294" s="427" t="str">
        <f>IF(AND($A294&gt;=SYear_O,$A294&lt;=EYear_O,T$3&gt;0),IF($A294=SYear_O,T$168*(1+Data_All!T133%),T293*(1+Data_All!T133%)),"")</f>
        <v/>
      </c>
      <c r="U294" s="427" t="str">
        <f>IF(AND($A294&gt;=SYear_O,$A294&lt;=EYear_O,U$3&gt;0),IF($A294=SYear_O,U$168*(1+Data_All!U133%),U293*(1+Data_All!U133%)),"")</f>
        <v/>
      </c>
      <c r="V294" s="427" t="str">
        <f>IF(AND($A294&gt;=SYear_O,$A294&lt;=EYear_O,V$3&gt;0),IF($A294=SYear_O,V$168*(1+Data_All!V133%),V293*(1+Data_All!V133%)),"")</f>
        <v/>
      </c>
      <c r="W294" s="427" t="str">
        <f>IF(AND($A294&gt;=SYear_O,$A294&lt;=EYear_O,W$3&gt;0),IF($A294=SYear_O,W$168*(1+Data_All!W133%),W293*(1+Data_All!W133%)),"")</f>
        <v/>
      </c>
      <c r="X294" s="427" t="str">
        <f>IF(AND($A294&gt;=SYear_O,$A294&lt;=EYear_O,X$3&gt;0),IF($A294=SYear_O,X$168*(1+Data_All!X133%),X293*(1+Data_All!X133%)),"")</f>
        <v/>
      </c>
      <c r="Y294" s="427" t="str">
        <f>IF(AND($A294&gt;=SYear_O,$A294&lt;=EYear_O,Y$3&gt;0),IF($A294=SYear_O,Y$168*(1+Data_All!Y133%),Y293*(1+Data_All!Y133%)),"")</f>
        <v/>
      </c>
      <c r="Z294" s="427" t="str">
        <f>IF(AND($A294&gt;=SYear_O,$A294&lt;=EYear_O,Z$3&gt;0),IF($A294=SYear_O,Z$168*(1+Data_All!Z133%),Z293*(1+Data_All!Z133%)),"")</f>
        <v/>
      </c>
      <c r="AA294" s="427" t="str">
        <f>IF(AND($A294&gt;=SYear_O,$A294&lt;=EYear_O,AA$3&gt;0),IF($A294=SYear_O,AA$168*(1+Data_All!AA133%),AA293*(1+Data_All!AA133%)),"")</f>
        <v/>
      </c>
      <c r="AB294" s="427" t="str">
        <f>IF(AND($A294&gt;=SYear_O,$A294&lt;=EYear_O,AB$3&gt;0),IF($A294=SYear_O,AB$168*(1+Data_All!AB133%),AB293*(1+Data_All!AB133%)),"")</f>
        <v/>
      </c>
      <c r="AC294" s="427" t="str">
        <f>IF(AND($A294&gt;=SYear_O,$A294&lt;=EYear_O,AC$3&gt;0),IF($A294=SYear_O,AC$168*(1+Data_All!AC133%),AC293*(1+Data_All!AC133%)),"")</f>
        <v/>
      </c>
      <c r="AD294" s="427" t="str">
        <f>IF(AND($A294&gt;=SYear_O,$A294&lt;=EYear_O,AD$3&gt;0),IF($A294=SYear_O,AD$168*(1+Data_All!AD133%),AD293*(1+Data_All!AD133%)),"")</f>
        <v/>
      </c>
      <c r="AE294" s="427" t="str">
        <f>IF(AND($A294&gt;=SYear_O,$A294&lt;=EYear_O,AE$3&gt;0),IF($A294=SYear_O,AE$168*(1+Data_All!AE133%),AE293*(1+Data_All!AE133%)),"")</f>
        <v/>
      </c>
      <c r="AF294" s="427" t="str">
        <f>IF(AND($A294&gt;=SYear_O,$A294&lt;=EYear_O,AF$3&gt;0),IF($A294=SYear_O,AF$168*(1+Data_All!AF133%),AF293*(1+Data_All!AF133%)),"")</f>
        <v/>
      </c>
      <c r="AG294" s="427" t="str">
        <f>IF(AND($A294&gt;=SYear_O,$A294&lt;=EYear_O,AG$3&gt;0),IF($A294=SYear_O,AG$168*(1+Data_All!AG133%),AG293*(1+Data_All!AG133%)),"")</f>
        <v/>
      </c>
      <c r="AH294" s="427" t="str">
        <f>IF(AND($A294&gt;=SYear_O,$A294&lt;=EYear_O,AH$3&gt;0),IF($A294=SYear_O,AH$168*(1+Data_All!AH133%),AH293*(1+Data_All!AH133%)),"")</f>
        <v/>
      </c>
      <c r="AI294" s="427" t="str">
        <f>IF(AND($A294&gt;=SYear_O,$A294&lt;=EYear_O,AI$3&gt;0),IF($A294=SYear_O,AI$168*(1+Data_All!AI133%),AI293*(1+Data_All!AI133%)),"")</f>
        <v/>
      </c>
      <c r="AJ294" s="427" t="str">
        <f>IF(AND($A294&gt;=SYear_O,$A294&lt;=EYear_O,AJ$3&gt;0),IF($A294=SYear_O,AJ$168*(1+Data_All!AJ133%),AJ293*(1+Data_All!AJ133%)),"")</f>
        <v/>
      </c>
      <c r="AK294" s="427" t="str">
        <f>IF(AND($A294&gt;=SYear_O,$A294&lt;=EYear_O,AK$3&gt;0),IF($A294=SYear_O,AK$168*(1+Data_All!AK133%),AK293*(1+Data_All!AK133%)),"")</f>
        <v/>
      </c>
      <c r="AL294" s="427" t="str">
        <f>IF(AND($A294&gt;=SYear_O,$A294&lt;=EYear_O,AL$3&gt;0),IF($A294=SYear_O,AL$168*(1+Data_All!AL133%),AL293*(1+Data_All!AL133%)),"")</f>
        <v/>
      </c>
      <c r="AM294" s="427" t="str">
        <f>IF(AND($A294&gt;=SYear_O,$A294&lt;=EYear_O,AM$3&gt;0),IF($A294=SYear_O,AM$168*(1+Data_All!AM133%),AM293*(1+Data_All!AM133%)),"")</f>
        <v/>
      </c>
      <c r="AN294" s="427" t="str">
        <f>IF(AND($A294&gt;=SYear_O,$A294&lt;=EYear_O,AN$3&gt;0),IF($A294=SYear_O,AN$168*(1+Data_All!AN133%),AN293*(1+Data_All!AN133%)),"")</f>
        <v/>
      </c>
      <c r="AO294" s="427" t="str">
        <f>IF(AND($A294&gt;=SYear_O,$A294&lt;=EYear_O,AO$3&gt;0),IF($A294=SYear_O,AO$168*(1+Data_All!AO133%),AO293*(1+Data_All!AO133%)),"")</f>
        <v/>
      </c>
      <c r="AP294" s="427" t="str">
        <f>IF(AND($A294&gt;=SYear_O,$A294&lt;=EYear_O,AP$3&gt;0),IF($A294=SYear_O,AP$168*(1+Data_All!AP133%),AP293*(1+Data_All!AP133%)),"")</f>
        <v/>
      </c>
      <c r="AQ294" s="427" t="str">
        <f>IF(AND($A294&gt;=SYear_O,$A294&lt;=EYear_O,AQ$3&gt;0),IF($A294=SYear_O,AQ$168*(1+Data_All!AQ133%),AQ293*(1+Data_All!AQ133%)),"")</f>
        <v/>
      </c>
      <c r="AR294" s="427" t="str">
        <f>IF(AND($A294&gt;=SYear_O,$A294&lt;=EYear_O,AR$3&gt;0),IF($A294=SYear_O,AR$168*(1+Data_All!AR133%),AR293*(1+Data_All!AR133%)),"")</f>
        <v/>
      </c>
      <c r="AS294" s="427" t="str">
        <f>IF(AND($A294&gt;=SYear_O,$A294&lt;=EYear_O,AS$3&gt;0),IF($A294=SYear_O,AS$168*(1+Data_All!AS133%),AS293*(1+Data_All!AS133%)),"")</f>
        <v/>
      </c>
      <c r="AT294" s="427" t="str">
        <f>IF(AND($A294&gt;=SYear_O,$A294&lt;=EYear_O,AT$3&gt;0),IF($A294=SYear_O,AT$168*(1+Data_All!AT133%),AT293*(1+Data_All!AT133%)),"")</f>
        <v/>
      </c>
      <c r="AU294" s="427" t="str">
        <f>IF(AND($A294&gt;=SYear_O,$A294&lt;=EYear_O,AU$3&gt;0),IF($A294=SYear_O,AU$168*(1+Data_All!AU133%),AU293*(1+Data_All!AU133%)),"")</f>
        <v/>
      </c>
      <c r="AV294" s="427" t="str">
        <f>IF(AND($A294&gt;=SYear_O,$A294&lt;=EYear_O,AV$3&gt;0),IF($A294=SYear_O,AV$168*(1+Data_All!AV133%),AV293*(1+Data_All!AV133%)),"")</f>
        <v/>
      </c>
      <c r="AW294" s="427" t="str">
        <f>IF(AND($A294&gt;=SYear_O,$A294&lt;=EYear_O,AW$3&gt;0),IF($A294=SYear_O,AW$168*(1+Data_All!AW133%),AW293*(1+Data_All!AW133%)),"")</f>
        <v/>
      </c>
      <c r="AX294" s="427" t="str">
        <f>IF(AND($A294&gt;=SYear_O,$A294&lt;=EYear_O,AX$3&gt;0),IF($A294=SYear_O,AX$168*(1+Data_All!AX133%),AX293*(1+Data_All!AX133%)),"")</f>
        <v/>
      </c>
      <c r="AY294" s="427" t="str">
        <f>IF(AND($A294&gt;=SYear_O,$A294&lt;=EYear_O,AY$3&gt;0),IF($A294=SYear_O,AY$168*(1+Data_All!AY133%),AY293*(1+Data_All!AY133%)),"")</f>
        <v/>
      </c>
      <c r="AZ294" s="427" t="str">
        <f>IF(AND($A294&gt;=SYear_O,$A294&lt;=EYear_O,AZ$3&gt;0),IF($A294=SYear_O,AZ$168*(1+Data_All!AZ133%),AZ293*(1+Data_All!AZ133%)),"")</f>
        <v/>
      </c>
      <c r="BA294" s="427" t="str">
        <f>IF(AND($A294&gt;=SYear_O,$A294&lt;=EYear_O,BA$3&gt;0),IF($A294=SYear_O,BA$168*(1+Data_All!BA133%),BA293*(1+Data_All!BA133%)),"")</f>
        <v/>
      </c>
      <c r="BB294" s="427" t="str">
        <f>IF(AND($A294&gt;=SYear_O,$A294&lt;=EYear_O,BB$3&gt;0),IF($A294=SYear_O,BB$168*(1+Data_All!BB133%),BB293*(1+Data_All!BB133%)),"")</f>
        <v/>
      </c>
      <c r="BC294" s="427" t="str">
        <f>IF(AND($A294&gt;=SYear_O,$A294&lt;=EYear_O,BC$3&gt;0),IF($A294=SYear_O,BC$168*(1+Data_All!BC133%),BC293*(1+Data_All!BC133%)),"")</f>
        <v/>
      </c>
      <c r="BD294" s="427" t="str">
        <f>IF(AND($A294&gt;=SYear_O,$A294&lt;=EYear_O,BD$3&gt;0),IF($A294=SYear_O,BD$168*(1+Data_All!BD133%),BD293*(1+Data_All!BD133%)),"")</f>
        <v/>
      </c>
      <c r="BE294" s="427" t="str">
        <f>IF(AND($A294&gt;=SYear_O,$A294&lt;=EYear_O,BE$3&gt;0),IF($A294=SYear_O,BE$168*(1+Data_All!BE133%),BE293*(1+Data_All!BE133%)),"")</f>
        <v/>
      </c>
      <c r="BF294" s="427" t="str">
        <f>IF(AND($A294&gt;=SYear_O,$A294&lt;=EYear_O,BF$3&gt;0),IF($A294=SYear_O,BF$168*(1+Data_All!BF133%),BF293*(1+Data_All!BF133%)),"")</f>
        <v/>
      </c>
      <c r="BG294" s="427" t="str">
        <f>IF(AND($A294&gt;=SYear_O,$A294&lt;=EYear_O,BG$3&gt;0),IF($A294=SYear_O,BG$168*(1+Data_All!BG133%),BG293*(1+Data_All!BG133%)),"")</f>
        <v/>
      </c>
      <c r="BH294" s="427" t="str">
        <f>IF(AND($A294&gt;=SYear_O,$A294&lt;=EYear_O,BH$3&gt;0),IF($A294=SYear_O,BH$168*(1+Data_All!BH133%),BH293*(1+Data_All!BH133%)),"")</f>
        <v/>
      </c>
      <c r="BI294" s="427" t="str">
        <f>IF(AND($A294&gt;=SYear_O,$A294&lt;=EYear_O,BI$3&gt;0),IF($A294=SYear_O,BI$168*(1+Data_All!BI133%),BI293*(1+Data_All!BI133%)),"")</f>
        <v/>
      </c>
      <c r="BJ294" s="427" t="str">
        <f>IF(AND($A294&gt;=SYear_O,$A294&lt;=EYear_O,BJ$3&gt;0),IF($A294=SYear_O,BJ$168*(1+Data_All!BJ133%),BJ293*(1+Data_All!BJ133%)),"")</f>
        <v/>
      </c>
      <c r="BK294" s="427" t="str">
        <f>IF(AND($A294&gt;=SYear_O,$A294&lt;=EYear_O,BK$3&gt;0),IF($A294=SYear_O,BK$168*(1+Data_All!BK133%),BK293*(1+Data_All!BK133%)),"")</f>
        <v/>
      </c>
      <c r="BL294" s="427" t="str">
        <f>IF(AND($A294&gt;=SYear_O,$A294&lt;=EYear_O,BL$3&gt;0),IF($A294=SYear_O,BL$168*(1+Data_All!BL133%),BL293*(1+Data_All!BL133%)),"")</f>
        <v/>
      </c>
      <c r="BM294" s="427" t="str">
        <f>IF(AND($A294&gt;=SYear_O,$A294&lt;=EYear_O,BM$3&gt;0),IF($A294=SYear_O,BM$168*(1+Data_All!BM133%),BM293*(1+Data_All!BM133%)),"")</f>
        <v/>
      </c>
      <c r="BN294" s="427" t="str">
        <f>IF(AND($A294&gt;=SYear_O,$A294&lt;=EYear_O,BN$3&gt;0),IF($A294=SYear_O,BN$168*(1+Data_All!BN133%),BN293*(1+Data_All!BN133%)),"")</f>
        <v/>
      </c>
      <c r="BO294" s="427" t="str">
        <f>IF(AND($A294&gt;=SYear_O,$A294&lt;=EYear_O,BO$3&gt;0),IF($A294=SYear_O,BO$168*(1+Data_All!BO133%),BO293*(1+Data_All!BO133%)),"")</f>
        <v/>
      </c>
      <c r="BP294" s="427" t="str">
        <f>IF(AND($A294&gt;=SYear_O,$A294&lt;=EYear_O,BP$3&gt;0),IF($A294=SYear_O,BP$168*(1+Data_All!BP133%),BP293*(1+Data_All!BP133%)),"")</f>
        <v/>
      </c>
      <c r="BQ294" s="427" t="str">
        <f>IF(AND($A294&gt;=SYear_O,$A294&lt;=EYear_O,BQ$3&gt;0),IF($A294=SYear_O,BQ$168*(1+Data_All!BQ133%),BQ293*(1+Data_All!BQ133%)),"")</f>
        <v/>
      </c>
      <c r="BR294" s="427" t="str">
        <f>IF(AND($A294&gt;=SYear_O,$A294&lt;=EYear_O,BR$3&gt;0),IF($A294=SYear_O,BR$168*(1+Data_All!BR133%),BR293*(1+Data_All!BR133%)),"")</f>
        <v/>
      </c>
      <c r="BS294" s="427" t="str">
        <f>IF(AND($A294&gt;=SYear_O,$A294&lt;=EYear_O,BS$3&gt;0),IF($A294=SYear_O,BS$168*(1+Data_All!BS133%),BS293*(1+Data_All!BS133%)),"")</f>
        <v/>
      </c>
      <c r="BT294" s="427" t="str">
        <f>IF(AND($A294&gt;=SYear_O,$A294&lt;=EYear_O,BT$3&gt;0),IF($A294=SYear_O,BT$168*(1+Data_All!BT133%),BT293*(1+Data_All!BT133%)),"")</f>
        <v/>
      </c>
      <c r="BU294" s="427" t="str">
        <f>IF(AND($A294&gt;=SYear_O,$A294&lt;=EYear_O,BU$3&gt;0),IF($A294=SYear_O,BU$168*(1+Data_All!BU133%),BU293*(1+Data_All!BU133%)),"")</f>
        <v/>
      </c>
      <c r="BV294" s="427" t="str">
        <f>IF(AND($A294&gt;=SYear_O,$A294&lt;=EYear_O,BV$3&gt;0),IF($A294=SYear_O,BV$168*(1+Data_All!BV133%),BV293*(1+Data_All!BV133%)),"")</f>
        <v/>
      </c>
      <c r="BW294" s="427" t="str">
        <f>IF(AND($A294&gt;=SYear_O,$A294&lt;=EYear_O,BW$3&gt;0),IF($A294=SYear_O,BW$168*(1+Data_All!BW133%),BW293*(1+Data_All!BW133%)),"")</f>
        <v/>
      </c>
      <c r="BX294" s="427">
        <f>IF(AND($A294&gt;=SYear_O,$A294&lt;=EYear_O,BX$3&gt;0),IF($A294=SYear_O,BX$168*(1+Data_All!BX133%),BX293*(1+Data_All!BX133%)),"")</f>
        <v>345365072.61632866</v>
      </c>
      <c r="BY294" s="427">
        <f>IF(AND($A294&gt;=SYear_O,$A294&lt;=EYear_O,BY$3&gt;0),IF($A294=SYear_O,BY$168*(1+Data_All!BY133%),BY293*(1+Data_All!BY133%)),"")</f>
        <v>1164364.7084086568</v>
      </c>
      <c r="BZ294" s="427" t="str">
        <f>IF(AND($A294&gt;=SYear_O,$A294&lt;=EYear_O,BZ$3&gt;0),IF($A294=SYear_O,BZ$168*(1+Data_All!BZ133%),BZ293*(1+Data_All!BZ133%)),"")</f>
        <v/>
      </c>
      <c r="CA294" s="565">
        <f t="shared" si="138"/>
        <v>27.024820653382957</v>
      </c>
      <c r="CB294" s="427">
        <f t="shared" si="139"/>
        <v>346529437.32473731</v>
      </c>
      <c r="CC294" s="565">
        <f>IF(AND($A294&gt;=SYear_O,$A294&lt;=EYear_O),(CA294-Data_All!CA133)/(1+Data_All!CA133%),"")</f>
        <v>22.940163747126626</v>
      </c>
      <c r="CD294" s="436">
        <f t="shared" si="140"/>
        <v>27233064.597170264</v>
      </c>
      <c r="CE294" s="438">
        <f t="shared" si="141"/>
        <v>31429.956175596919</v>
      </c>
      <c r="CF294" s="438">
        <f>IF(AND($A294&gt;=SYear_O,$A294&lt;=EYear_O),MAX($CE$169:CE294),"")</f>
        <v>31429.956175596919</v>
      </c>
      <c r="CG294" s="209">
        <f t="shared" si="142"/>
        <v>0</v>
      </c>
      <c r="CN294" s="61">
        <f t="shared" si="143"/>
        <v>0.27024820653382964</v>
      </c>
      <c r="CO294" s="61">
        <f t="shared" si="144"/>
        <v>0.28640984637281353</v>
      </c>
      <c r="CP294" s="61">
        <f t="shared" si="145"/>
        <v>0.18449303218601343</v>
      </c>
      <c r="CQ294" s="61">
        <f t="shared" si="146"/>
        <v>9.2415631491332029E-2</v>
      </c>
      <c r="CR294" s="61">
        <f t="shared" si="147"/>
        <v>6.8535707953886416E-2</v>
      </c>
      <c r="CU294" s="61">
        <f t="shared" si="148"/>
        <v>0.22940163747126618</v>
      </c>
      <c r="CV294" s="61">
        <f t="shared" si="149"/>
        <v>0.25860416421435617</v>
      </c>
      <c r="CW294" s="61">
        <f t="shared" si="150"/>
        <v>0.15516583721142041</v>
      </c>
      <c r="CX294" s="61">
        <f t="shared" si="151"/>
        <v>6.5604962790960286E-2</v>
      </c>
      <c r="CY294" s="61">
        <f t="shared" si="152"/>
        <v>4.3461274085014656E-2</v>
      </c>
    </row>
    <row r="295" spans="1:103">
      <c r="A295" s="204">
        <f t="shared" si="153"/>
        <v>1997</v>
      </c>
      <c r="B295" s="427" t="str">
        <f>IF(AND($A295&gt;=SYear_O,$A295&lt;=EYear_O,B$3&gt;0),IF($A295=SYear_O,B$168*(1+Data_All!B134%),B294*(1+Data_All!B134%)),"")</f>
        <v/>
      </c>
      <c r="C295" s="427" t="str">
        <f>IF(AND($A295&gt;=SYear_O,$A295&lt;=EYear_O,C$3&gt;0),IF($A295=SYear_O,C$168*(1+Data_All!C134%),C294*(1+Data_All!C134%)),"")</f>
        <v/>
      </c>
      <c r="D295" s="427" t="str">
        <f>IF(AND($A295&gt;=SYear_O,$A295&lt;=EYear_O,D$3&gt;0),IF($A295=SYear_O,D$168*(1+Data_All!D134%),D294*(1+Data_All!D134%)),"")</f>
        <v/>
      </c>
      <c r="E295" s="427" t="str">
        <f>IF(AND($A295&gt;=SYear_O,$A295&lt;=EYear_O,E$3&gt;0),IF($A295=SYear_O,E$168*(1+Data_All!E134%),E294*(1+Data_All!E134%)),"")</f>
        <v/>
      </c>
      <c r="F295" s="427" t="str">
        <f>IF(AND($A295&gt;=SYear_O,$A295&lt;=EYear_O,F$3&gt;0),IF($A295=SYear_O,F$168*(1+Data_All!F134%),F294*(1+Data_All!F134%)),"")</f>
        <v/>
      </c>
      <c r="G295" s="427" t="str">
        <f>IF(AND($A295&gt;=SYear_O,$A295&lt;=EYear_O,G$3&gt;0),IF($A295=SYear_O,G$168*(1+Data_All!G134%),G294*(1+Data_All!G134%)),"")</f>
        <v/>
      </c>
      <c r="H295" s="427" t="str">
        <f>IF(AND($A295&gt;=SYear_O,$A295&lt;=EYear_O,H$3&gt;0),IF($A295=SYear_O,H$168*(1+Data_All!H134%),H294*(1+Data_All!H134%)),"")</f>
        <v/>
      </c>
      <c r="I295" s="427" t="str">
        <f>IF(AND($A295&gt;=SYear_O,$A295&lt;=EYear_O,I$3&gt;0),IF($A295=SYear_O,I$168*(1+Data_All!I134%),I294*(1+Data_All!I134%)),"")</f>
        <v/>
      </c>
      <c r="J295" s="427" t="str">
        <f>IF(AND($A295&gt;=SYear_O,$A295&lt;=EYear_O,J$3&gt;0),IF($A295=SYear_O,J$168*(1+Data_All!J134%),J294*(1+Data_All!J134%)),"")</f>
        <v/>
      </c>
      <c r="K295" s="427" t="str">
        <f>IF(AND($A295&gt;=SYear_O,$A295&lt;=EYear_O,K$3&gt;0),IF($A295=SYear_O,K$168*(1+Data_All!K134%),K294*(1+Data_All!K134%)),"")</f>
        <v/>
      </c>
      <c r="L295" s="427" t="str">
        <f>IF(AND($A295&gt;=SYear_O,$A295&lt;=EYear_O,L$3&gt;0),IF($A295=SYear_O,L$168*(1+Data_All!L134%),L294*(1+Data_All!L134%)),"")</f>
        <v/>
      </c>
      <c r="M295" s="427" t="str">
        <f>IF(AND($A295&gt;=SYear_O,$A295&lt;=EYear_O,M$3&gt;0),IF($A295=SYear_O,M$168*(1+Data_All!M134%),M294*(1+Data_All!M134%)),"")</f>
        <v/>
      </c>
      <c r="N295" s="427" t="str">
        <f>IF(AND($A295&gt;=SYear_O,$A295&lt;=EYear_O,N$3&gt;0),IF($A295=SYear_O,N$168*(1+Data_All!N134%),N294*(1+Data_All!N134%)),"")</f>
        <v/>
      </c>
      <c r="O295" s="427" t="str">
        <f>IF(AND($A295&gt;=SYear_O,$A295&lt;=EYear_O,O$3&gt;0),IF($A295=SYear_O,O$168*(1+Data_All!O134%),O294*(1+Data_All!O134%)),"")</f>
        <v/>
      </c>
      <c r="P295" s="427" t="str">
        <f>IF(AND($A295&gt;=SYear_O,$A295&lt;=EYear_O,P$3&gt;0),IF($A295=SYear_O,P$168*(1+Data_All!P134%),P294*(1+Data_All!P134%)),"")</f>
        <v/>
      </c>
      <c r="Q295" s="427" t="str">
        <f>IF(AND($A295&gt;=SYear_O,$A295&lt;=EYear_O,Q$3&gt;0),IF($A295=SYear_O,Q$168*(1+Data_All!Q134%),Q294*(1+Data_All!Q134%)),"")</f>
        <v/>
      </c>
      <c r="R295" s="427" t="str">
        <f>IF(AND($A295&gt;=SYear_O,$A295&lt;=EYear_O,R$3&gt;0),IF($A295=SYear_O,R$168*(1+Data_All!R134%),R294*(1+Data_All!R134%)),"")</f>
        <v/>
      </c>
      <c r="S295" s="427" t="str">
        <f>IF(AND($A295&gt;=SYear_O,$A295&lt;=EYear_O,S$3&gt;0),IF($A295=SYear_O,S$168*(1+Data_All!S134%),S294*(1+Data_All!S134%)),"")</f>
        <v/>
      </c>
      <c r="T295" s="427" t="str">
        <f>IF(AND($A295&gt;=SYear_O,$A295&lt;=EYear_O,T$3&gt;0),IF($A295=SYear_O,T$168*(1+Data_All!T134%),T294*(1+Data_All!T134%)),"")</f>
        <v/>
      </c>
      <c r="U295" s="427" t="str">
        <f>IF(AND($A295&gt;=SYear_O,$A295&lt;=EYear_O,U$3&gt;0),IF($A295=SYear_O,U$168*(1+Data_All!U134%),U294*(1+Data_All!U134%)),"")</f>
        <v/>
      </c>
      <c r="V295" s="427" t="str">
        <f>IF(AND($A295&gt;=SYear_O,$A295&lt;=EYear_O,V$3&gt;0),IF($A295=SYear_O,V$168*(1+Data_All!V134%),V294*(1+Data_All!V134%)),"")</f>
        <v/>
      </c>
      <c r="W295" s="427" t="str">
        <f>IF(AND($A295&gt;=SYear_O,$A295&lt;=EYear_O,W$3&gt;0),IF($A295=SYear_O,W$168*(1+Data_All!W134%),W294*(1+Data_All!W134%)),"")</f>
        <v/>
      </c>
      <c r="X295" s="427" t="str">
        <f>IF(AND($A295&gt;=SYear_O,$A295&lt;=EYear_O,X$3&gt;0),IF($A295=SYear_O,X$168*(1+Data_All!X134%),X294*(1+Data_All!X134%)),"")</f>
        <v/>
      </c>
      <c r="Y295" s="427" t="str">
        <f>IF(AND($A295&gt;=SYear_O,$A295&lt;=EYear_O,Y$3&gt;0),IF($A295=SYear_O,Y$168*(1+Data_All!Y134%),Y294*(1+Data_All!Y134%)),"")</f>
        <v/>
      </c>
      <c r="Z295" s="427" t="str">
        <f>IF(AND($A295&gt;=SYear_O,$A295&lt;=EYear_O,Z$3&gt;0),IF($A295=SYear_O,Z$168*(1+Data_All!Z134%),Z294*(1+Data_All!Z134%)),"")</f>
        <v/>
      </c>
      <c r="AA295" s="427" t="str">
        <f>IF(AND($A295&gt;=SYear_O,$A295&lt;=EYear_O,AA$3&gt;0),IF($A295=SYear_O,AA$168*(1+Data_All!AA134%),AA294*(1+Data_All!AA134%)),"")</f>
        <v/>
      </c>
      <c r="AB295" s="427" t="str">
        <f>IF(AND($A295&gt;=SYear_O,$A295&lt;=EYear_O,AB$3&gt;0),IF($A295=SYear_O,AB$168*(1+Data_All!AB134%),AB294*(1+Data_All!AB134%)),"")</f>
        <v/>
      </c>
      <c r="AC295" s="427" t="str">
        <f>IF(AND($A295&gt;=SYear_O,$A295&lt;=EYear_O,AC$3&gt;0),IF($A295=SYear_O,AC$168*(1+Data_All!AC134%),AC294*(1+Data_All!AC134%)),"")</f>
        <v/>
      </c>
      <c r="AD295" s="427" t="str">
        <f>IF(AND($A295&gt;=SYear_O,$A295&lt;=EYear_O,AD$3&gt;0),IF($A295=SYear_O,AD$168*(1+Data_All!AD134%),AD294*(1+Data_All!AD134%)),"")</f>
        <v/>
      </c>
      <c r="AE295" s="427" t="str">
        <f>IF(AND($A295&gt;=SYear_O,$A295&lt;=EYear_O,AE$3&gt;0),IF($A295=SYear_O,AE$168*(1+Data_All!AE134%),AE294*(1+Data_All!AE134%)),"")</f>
        <v/>
      </c>
      <c r="AF295" s="427" t="str">
        <f>IF(AND($A295&gt;=SYear_O,$A295&lt;=EYear_O,AF$3&gt;0),IF($A295=SYear_O,AF$168*(1+Data_All!AF134%),AF294*(1+Data_All!AF134%)),"")</f>
        <v/>
      </c>
      <c r="AG295" s="427" t="str">
        <f>IF(AND($A295&gt;=SYear_O,$A295&lt;=EYear_O,AG$3&gt;0),IF($A295=SYear_O,AG$168*(1+Data_All!AG134%),AG294*(1+Data_All!AG134%)),"")</f>
        <v/>
      </c>
      <c r="AH295" s="427" t="str">
        <f>IF(AND($A295&gt;=SYear_O,$A295&lt;=EYear_O,AH$3&gt;0),IF($A295=SYear_O,AH$168*(1+Data_All!AH134%),AH294*(1+Data_All!AH134%)),"")</f>
        <v/>
      </c>
      <c r="AI295" s="427" t="str">
        <f>IF(AND($A295&gt;=SYear_O,$A295&lt;=EYear_O,AI$3&gt;0),IF($A295=SYear_O,AI$168*(1+Data_All!AI134%),AI294*(1+Data_All!AI134%)),"")</f>
        <v/>
      </c>
      <c r="AJ295" s="427" t="str">
        <f>IF(AND($A295&gt;=SYear_O,$A295&lt;=EYear_O,AJ$3&gt;0),IF($A295=SYear_O,AJ$168*(1+Data_All!AJ134%),AJ294*(1+Data_All!AJ134%)),"")</f>
        <v/>
      </c>
      <c r="AK295" s="427" t="str">
        <f>IF(AND($A295&gt;=SYear_O,$A295&lt;=EYear_O,AK$3&gt;0),IF($A295=SYear_O,AK$168*(1+Data_All!AK134%),AK294*(1+Data_All!AK134%)),"")</f>
        <v/>
      </c>
      <c r="AL295" s="427" t="str">
        <f>IF(AND($A295&gt;=SYear_O,$A295&lt;=EYear_O,AL$3&gt;0),IF($A295=SYear_O,AL$168*(1+Data_All!AL134%),AL294*(1+Data_All!AL134%)),"")</f>
        <v/>
      </c>
      <c r="AM295" s="427" t="str">
        <f>IF(AND($A295&gt;=SYear_O,$A295&lt;=EYear_O,AM$3&gt;0),IF($A295=SYear_O,AM$168*(1+Data_All!AM134%),AM294*(1+Data_All!AM134%)),"")</f>
        <v/>
      </c>
      <c r="AN295" s="427" t="str">
        <f>IF(AND($A295&gt;=SYear_O,$A295&lt;=EYear_O,AN$3&gt;0),IF($A295=SYear_O,AN$168*(1+Data_All!AN134%),AN294*(1+Data_All!AN134%)),"")</f>
        <v/>
      </c>
      <c r="AO295" s="427" t="str">
        <f>IF(AND($A295&gt;=SYear_O,$A295&lt;=EYear_O,AO$3&gt;0),IF($A295=SYear_O,AO$168*(1+Data_All!AO134%),AO294*(1+Data_All!AO134%)),"")</f>
        <v/>
      </c>
      <c r="AP295" s="427" t="str">
        <f>IF(AND($A295&gt;=SYear_O,$A295&lt;=EYear_O,AP$3&gt;0),IF($A295=SYear_O,AP$168*(1+Data_All!AP134%),AP294*(1+Data_All!AP134%)),"")</f>
        <v/>
      </c>
      <c r="AQ295" s="427" t="str">
        <f>IF(AND($A295&gt;=SYear_O,$A295&lt;=EYear_O,AQ$3&gt;0),IF($A295=SYear_O,AQ$168*(1+Data_All!AQ134%),AQ294*(1+Data_All!AQ134%)),"")</f>
        <v/>
      </c>
      <c r="AR295" s="427" t="str">
        <f>IF(AND($A295&gt;=SYear_O,$A295&lt;=EYear_O,AR$3&gt;0),IF($A295=SYear_O,AR$168*(1+Data_All!AR134%),AR294*(1+Data_All!AR134%)),"")</f>
        <v/>
      </c>
      <c r="AS295" s="427" t="str">
        <f>IF(AND($A295&gt;=SYear_O,$A295&lt;=EYear_O,AS$3&gt;0),IF($A295=SYear_O,AS$168*(1+Data_All!AS134%),AS294*(1+Data_All!AS134%)),"")</f>
        <v/>
      </c>
      <c r="AT295" s="427" t="str">
        <f>IF(AND($A295&gt;=SYear_O,$A295&lt;=EYear_O,AT$3&gt;0),IF($A295=SYear_O,AT$168*(1+Data_All!AT134%),AT294*(1+Data_All!AT134%)),"")</f>
        <v/>
      </c>
      <c r="AU295" s="427" t="str">
        <f>IF(AND($A295&gt;=SYear_O,$A295&lt;=EYear_O,AU$3&gt;0),IF($A295=SYear_O,AU$168*(1+Data_All!AU134%),AU294*(1+Data_All!AU134%)),"")</f>
        <v/>
      </c>
      <c r="AV295" s="427" t="str">
        <f>IF(AND($A295&gt;=SYear_O,$A295&lt;=EYear_O,AV$3&gt;0),IF($A295=SYear_O,AV$168*(1+Data_All!AV134%),AV294*(1+Data_All!AV134%)),"")</f>
        <v/>
      </c>
      <c r="AW295" s="427" t="str">
        <f>IF(AND($A295&gt;=SYear_O,$A295&lt;=EYear_O,AW$3&gt;0),IF($A295=SYear_O,AW$168*(1+Data_All!AW134%),AW294*(1+Data_All!AW134%)),"")</f>
        <v/>
      </c>
      <c r="AX295" s="427" t="str">
        <f>IF(AND($A295&gt;=SYear_O,$A295&lt;=EYear_O,AX$3&gt;0),IF($A295=SYear_O,AX$168*(1+Data_All!AX134%),AX294*(1+Data_All!AX134%)),"")</f>
        <v/>
      </c>
      <c r="AY295" s="427" t="str">
        <f>IF(AND($A295&gt;=SYear_O,$A295&lt;=EYear_O,AY$3&gt;0),IF($A295=SYear_O,AY$168*(1+Data_All!AY134%),AY294*(1+Data_All!AY134%)),"")</f>
        <v/>
      </c>
      <c r="AZ295" s="427" t="str">
        <f>IF(AND($A295&gt;=SYear_O,$A295&lt;=EYear_O,AZ$3&gt;0),IF($A295=SYear_O,AZ$168*(1+Data_All!AZ134%),AZ294*(1+Data_All!AZ134%)),"")</f>
        <v/>
      </c>
      <c r="BA295" s="427" t="str">
        <f>IF(AND($A295&gt;=SYear_O,$A295&lt;=EYear_O,BA$3&gt;0),IF($A295=SYear_O,BA$168*(1+Data_All!BA134%),BA294*(1+Data_All!BA134%)),"")</f>
        <v/>
      </c>
      <c r="BB295" s="427" t="str">
        <f>IF(AND($A295&gt;=SYear_O,$A295&lt;=EYear_O,BB$3&gt;0),IF($A295=SYear_O,BB$168*(1+Data_All!BB134%),BB294*(1+Data_All!BB134%)),"")</f>
        <v/>
      </c>
      <c r="BC295" s="427" t="str">
        <f>IF(AND($A295&gt;=SYear_O,$A295&lt;=EYear_O,BC$3&gt;0),IF($A295=SYear_O,BC$168*(1+Data_All!BC134%),BC294*(1+Data_All!BC134%)),"")</f>
        <v/>
      </c>
      <c r="BD295" s="427" t="str">
        <f>IF(AND($A295&gt;=SYear_O,$A295&lt;=EYear_O,BD$3&gt;0),IF($A295=SYear_O,BD$168*(1+Data_All!BD134%),BD294*(1+Data_All!BD134%)),"")</f>
        <v/>
      </c>
      <c r="BE295" s="427" t="str">
        <f>IF(AND($A295&gt;=SYear_O,$A295&lt;=EYear_O,BE$3&gt;0),IF($A295=SYear_O,BE$168*(1+Data_All!BE134%),BE294*(1+Data_All!BE134%)),"")</f>
        <v/>
      </c>
      <c r="BF295" s="427" t="str">
        <f>IF(AND($A295&gt;=SYear_O,$A295&lt;=EYear_O,BF$3&gt;0),IF($A295=SYear_O,BF$168*(1+Data_All!BF134%),BF294*(1+Data_All!BF134%)),"")</f>
        <v/>
      </c>
      <c r="BG295" s="427" t="str">
        <f>IF(AND($A295&gt;=SYear_O,$A295&lt;=EYear_O,BG$3&gt;0),IF($A295=SYear_O,BG$168*(1+Data_All!BG134%),BG294*(1+Data_All!BG134%)),"")</f>
        <v/>
      </c>
      <c r="BH295" s="427" t="str">
        <f>IF(AND($A295&gt;=SYear_O,$A295&lt;=EYear_O,BH$3&gt;0),IF($A295=SYear_O,BH$168*(1+Data_All!BH134%),BH294*(1+Data_All!BH134%)),"")</f>
        <v/>
      </c>
      <c r="BI295" s="427" t="str">
        <f>IF(AND($A295&gt;=SYear_O,$A295&lt;=EYear_O,BI$3&gt;0),IF($A295=SYear_O,BI$168*(1+Data_All!BI134%),BI294*(1+Data_All!BI134%)),"")</f>
        <v/>
      </c>
      <c r="BJ295" s="427" t="str">
        <f>IF(AND($A295&gt;=SYear_O,$A295&lt;=EYear_O,BJ$3&gt;0),IF($A295=SYear_O,BJ$168*(1+Data_All!BJ134%),BJ294*(1+Data_All!BJ134%)),"")</f>
        <v/>
      </c>
      <c r="BK295" s="427" t="str">
        <f>IF(AND($A295&gt;=SYear_O,$A295&lt;=EYear_O,BK$3&gt;0),IF($A295=SYear_O,BK$168*(1+Data_All!BK134%),BK294*(1+Data_All!BK134%)),"")</f>
        <v/>
      </c>
      <c r="BL295" s="427" t="str">
        <f>IF(AND($A295&gt;=SYear_O,$A295&lt;=EYear_O,BL$3&gt;0),IF($A295=SYear_O,BL$168*(1+Data_All!BL134%),BL294*(1+Data_All!BL134%)),"")</f>
        <v/>
      </c>
      <c r="BM295" s="427" t="str">
        <f>IF(AND($A295&gt;=SYear_O,$A295&lt;=EYear_O,BM$3&gt;0),IF($A295=SYear_O,BM$168*(1+Data_All!BM134%),BM294*(1+Data_All!BM134%)),"")</f>
        <v/>
      </c>
      <c r="BN295" s="427" t="str">
        <f>IF(AND($A295&gt;=SYear_O,$A295&lt;=EYear_O,BN$3&gt;0),IF($A295=SYear_O,BN$168*(1+Data_All!BN134%),BN294*(1+Data_All!BN134%)),"")</f>
        <v/>
      </c>
      <c r="BO295" s="427" t="str">
        <f>IF(AND($A295&gt;=SYear_O,$A295&lt;=EYear_O,BO$3&gt;0),IF($A295=SYear_O,BO$168*(1+Data_All!BO134%),BO294*(1+Data_All!BO134%)),"")</f>
        <v/>
      </c>
      <c r="BP295" s="427" t="str">
        <f>IF(AND($A295&gt;=SYear_O,$A295&lt;=EYear_O,BP$3&gt;0),IF($A295=SYear_O,BP$168*(1+Data_All!BP134%),BP294*(1+Data_All!BP134%)),"")</f>
        <v/>
      </c>
      <c r="BQ295" s="427" t="str">
        <f>IF(AND($A295&gt;=SYear_O,$A295&lt;=EYear_O,BQ$3&gt;0),IF($A295=SYear_O,BQ$168*(1+Data_All!BQ134%),BQ294*(1+Data_All!BQ134%)),"")</f>
        <v/>
      </c>
      <c r="BR295" s="427" t="str">
        <f>IF(AND($A295&gt;=SYear_O,$A295&lt;=EYear_O,BR$3&gt;0),IF($A295=SYear_O,BR$168*(1+Data_All!BR134%),BR294*(1+Data_All!BR134%)),"")</f>
        <v/>
      </c>
      <c r="BS295" s="427" t="str">
        <f>IF(AND($A295&gt;=SYear_O,$A295&lt;=EYear_O,BS$3&gt;0),IF($A295=SYear_O,BS$168*(1+Data_All!BS134%),BS294*(1+Data_All!BS134%)),"")</f>
        <v/>
      </c>
      <c r="BT295" s="427" t="str">
        <f>IF(AND($A295&gt;=SYear_O,$A295&lt;=EYear_O,BT$3&gt;0),IF($A295=SYear_O,BT$168*(1+Data_All!BT134%),BT294*(1+Data_All!BT134%)),"")</f>
        <v/>
      </c>
      <c r="BU295" s="427" t="str">
        <f>IF(AND($A295&gt;=SYear_O,$A295&lt;=EYear_O,BU$3&gt;0),IF($A295=SYear_O,BU$168*(1+Data_All!BU134%),BU294*(1+Data_All!BU134%)),"")</f>
        <v/>
      </c>
      <c r="BV295" s="427" t="str">
        <f>IF(AND($A295&gt;=SYear_O,$A295&lt;=EYear_O,BV$3&gt;0),IF($A295=SYear_O,BV$168*(1+Data_All!BV134%),BV294*(1+Data_All!BV134%)),"")</f>
        <v/>
      </c>
      <c r="BW295" s="427" t="str">
        <f>IF(AND($A295&gt;=SYear_O,$A295&lt;=EYear_O,BW$3&gt;0),IF($A295=SYear_O,BW$168*(1+Data_All!BW134%),BW294*(1+Data_All!BW134%)),"")</f>
        <v/>
      </c>
      <c r="BX295" s="427">
        <f>IF(AND($A295&gt;=SYear_O,$A295&lt;=EYear_O,BX$3&gt;0),IF($A295=SYear_O,BX$168*(1+Data_All!BX134%),BX294*(1+Data_All!BX134%)),"")</f>
        <v>441210168.0734247</v>
      </c>
      <c r="BY295" s="427">
        <f>IF(AND($A295&gt;=SYear_O,$A295&lt;=EYear_O,BY$3&gt;0),IF($A295=SYear_O,BY$168*(1+Data_All!BY134%),BY294*(1+Data_All!BY134%)),"")</f>
        <v>1289278.1732467501</v>
      </c>
      <c r="BZ295" s="427" t="str">
        <f>IF(AND($A295&gt;=SYear_O,$A295&lt;=EYear_O,BZ$3&gt;0),IF($A295=SYear_O,BZ$168*(1+Data_All!BZ134%),BZ294*(1+Data_All!BZ134%)),"")</f>
        <v/>
      </c>
      <c r="CA295" s="565">
        <f t="shared" si="138"/>
        <v>27.694619442099334</v>
      </c>
      <c r="CB295" s="427">
        <f t="shared" si="139"/>
        <v>442499446.24667144</v>
      </c>
      <c r="CC295" s="565">
        <f>IF(AND($A295&gt;=SYear_O,$A295&lt;=EYear_O),(CA295-Data_All!CA134)/(1+Data_All!CA134%),"")</f>
        <v>25.557139761419414</v>
      </c>
      <c r="CD295" s="436">
        <f t="shared" si="140"/>
        <v>34193056.977586702</v>
      </c>
      <c r="CE295" s="438">
        <f t="shared" si="141"/>
        <v>40134.36292924708</v>
      </c>
      <c r="CF295" s="438">
        <f>IF(AND($A295&gt;=SYear_O,$A295&lt;=EYear_O),MAX($CE$169:CE295),"")</f>
        <v>40134.36292924708</v>
      </c>
      <c r="CG295" s="209">
        <f t="shared" si="142"/>
        <v>0</v>
      </c>
      <c r="CN295" s="61">
        <f t="shared" si="143"/>
        <v>0.27694619442099344</v>
      </c>
      <c r="CO295" s="61">
        <f t="shared" si="144"/>
        <v>0.24608806604357891</v>
      </c>
      <c r="CP295" s="61">
        <f t="shared" si="145"/>
        <v>9.7126338691440939E-2</v>
      </c>
      <c r="CQ295" s="61">
        <f t="shared" si="146"/>
        <v>7.9982743067130491E-2</v>
      </c>
      <c r="CR295" s="61">
        <f>IF(AND($A295&gt;=SYear_O,$A295&lt;=EYear_O),IF($A295=SYear_O,(($CB311/$CB$168)^(1/(1+($A311-$A295)))-1),(($CB311/$CB294)^(1/(1+($A311-$A295)))-1)),"")</f>
        <v>7.0957738156117944E-2</v>
      </c>
      <c r="CU295" s="61">
        <f t="shared" si="148"/>
        <v>0.25557139761419423</v>
      </c>
      <c r="CV295" s="61">
        <f t="shared" si="149"/>
        <v>0.22167332827776209</v>
      </c>
      <c r="CW295" s="61">
        <f t="shared" si="150"/>
        <v>7.3667897523989057E-2</v>
      </c>
      <c r="CX295" s="61">
        <f t="shared" si="151"/>
        <v>5.427769429940188E-2</v>
      </c>
      <c r="CY295" s="61">
        <f>IF(AND($A295&gt;=SYear_O,$A295&lt;=EYear_O),IF($A295=SYear_O,(($CD311/$CD$168)^(1/(1+($A311-$A295)))-1),(($CD311/$CD294)^(1/(1+($A311-$A295)))-1)),"")</f>
        <v>4.6984686442035795E-2</v>
      </c>
    </row>
    <row r="296" spans="1:103">
      <c r="A296" s="204">
        <f t="shared" si="153"/>
        <v>1998</v>
      </c>
      <c r="B296" s="427" t="str">
        <f>IF(AND($A296&gt;=SYear_O,$A296&lt;=EYear_O,B$3&gt;0),IF($A296=SYear_O,B$168*(1+Data_All!B135%),B295*(1+Data_All!B135%)),"")</f>
        <v/>
      </c>
      <c r="C296" s="427" t="str">
        <f>IF(AND($A296&gt;=SYear_O,$A296&lt;=EYear_O,C$3&gt;0),IF($A296=SYear_O,C$168*(1+Data_All!C135%),C295*(1+Data_All!C135%)),"")</f>
        <v/>
      </c>
      <c r="D296" s="427" t="str">
        <f>IF(AND($A296&gt;=SYear_O,$A296&lt;=EYear_O,D$3&gt;0),IF($A296=SYear_O,D$168*(1+Data_All!D135%),D295*(1+Data_All!D135%)),"")</f>
        <v/>
      </c>
      <c r="E296" s="427" t="str">
        <f>IF(AND($A296&gt;=SYear_O,$A296&lt;=EYear_O,E$3&gt;0),IF($A296=SYear_O,E$168*(1+Data_All!E135%),E295*(1+Data_All!E135%)),"")</f>
        <v/>
      </c>
      <c r="F296" s="427" t="str">
        <f>IF(AND($A296&gt;=SYear_O,$A296&lt;=EYear_O,F$3&gt;0),IF($A296=SYear_O,F$168*(1+Data_All!F135%),F295*(1+Data_All!F135%)),"")</f>
        <v/>
      </c>
      <c r="G296" s="427" t="str">
        <f>IF(AND($A296&gt;=SYear_O,$A296&lt;=EYear_O,G$3&gt;0),IF($A296=SYear_O,G$168*(1+Data_All!G135%),G295*(1+Data_All!G135%)),"")</f>
        <v/>
      </c>
      <c r="H296" s="427" t="str">
        <f>IF(AND($A296&gt;=SYear_O,$A296&lt;=EYear_O,H$3&gt;0),IF($A296=SYear_O,H$168*(1+Data_All!H135%),H295*(1+Data_All!H135%)),"")</f>
        <v/>
      </c>
      <c r="I296" s="427" t="str">
        <f>IF(AND($A296&gt;=SYear_O,$A296&lt;=EYear_O,I$3&gt;0),IF($A296=SYear_O,I$168*(1+Data_All!I135%),I295*(1+Data_All!I135%)),"")</f>
        <v/>
      </c>
      <c r="J296" s="427" t="str">
        <f>IF(AND($A296&gt;=SYear_O,$A296&lt;=EYear_O,J$3&gt;0),IF($A296=SYear_O,J$168*(1+Data_All!J135%),J295*(1+Data_All!J135%)),"")</f>
        <v/>
      </c>
      <c r="K296" s="427" t="str">
        <f>IF(AND($A296&gt;=SYear_O,$A296&lt;=EYear_O,K$3&gt;0),IF($A296=SYear_O,K$168*(1+Data_All!K135%),K295*(1+Data_All!K135%)),"")</f>
        <v/>
      </c>
      <c r="L296" s="427" t="str">
        <f>IF(AND($A296&gt;=SYear_O,$A296&lt;=EYear_O,L$3&gt;0),IF($A296=SYear_O,L$168*(1+Data_All!L135%),L295*(1+Data_All!L135%)),"")</f>
        <v/>
      </c>
      <c r="M296" s="427" t="str">
        <f>IF(AND($A296&gt;=SYear_O,$A296&lt;=EYear_O,M$3&gt;0),IF($A296=SYear_O,M$168*(1+Data_All!M135%),M295*(1+Data_All!M135%)),"")</f>
        <v/>
      </c>
      <c r="N296" s="427" t="str">
        <f>IF(AND($A296&gt;=SYear_O,$A296&lt;=EYear_O,N$3&gt;0),IF($A296=SYear_O,N$168*(1+Data_All!N135%),N295*(1+Data_All!N135%)),"")</f>
        <v/>
      </c>
      <c r="O296" s="427" t="str">
        <f>IF(AND($A296&gt;=SYear_O,$A296&lt;=EYear_O,O$3&gt;0),IF($A296=SYear_O,O$168*(1+Data_All!O135%),O295*(1+Data_All!O135%)),"")</f>
        <v/>
      </c>
      <c r="P296" s="427" t="str">
        <f>IF(AND($A296&gt;=SYear_O,$A296&lt;=EYear_O,P$3&gt;0),IF($A296=SYear_O,P$168*(1+Data_All!P135%),P295*(1+Data_All!P135%)),"")</f>
        <v/>
      </c>
      <c r="Q296" s="427" t="str">
        <f>IF(AND($A296&gt;=SYear_O,$A296&lt;=EYear_O,Q$3&gt;0),IF($A296=SYear_O,Q$168*(1+Data_All!Q135%),Q295*(1+Data_All!Q135%)),"")</f>
        <v/>
      </c>
      <c r="R296" s="427" t="str">
        <f>IF(AND($A296&gt;=SYear_O,$A296&lt;=EYear_O,R$3&gt;0),IF($A296=SYear_O,R$168*(1+Data_All!R135%),R295*(1+Data_All!R135%)),"")</f>
        <v/>
      </c>
      <c r="S296" s="427" t="str">
        <f>IF(AND($A296&gt;=SYear_O,$A296&lt;=EYear_O,S$3&gt;0),IF($A296=SYear_O,S$168*(1+Data_All!S135%),S295*(1+Data_All!S135%)),"")</f>
        <v/>
      </c>
      <c r="T296" s="427" t="str">
        <f>IF(AND($A296&gt;=SYear_O,$A296&lt;=EYear_O,T$3&gt;0),IF($A296=SYear_O,T$168*(1+Data_All!T135%),T295*(1+Data_All!T135%)),"")</f>
        <v/>
      </c>
      <c r="U296" s="427" t="str">
        <f>IF(AND($A296&gt;=SYear_O,$A296&lt;=EYear_O,U$3&gt;0),IF($A296=SYear_O,U$168*(1+Data_All!U135%),U295*(1+Data_All!U135%)),"")</f>
        <v/>
      </c>
      <c r="V296" s="427" t="str">
        <f>IF(AND($A296&gt;=SYear_O,$A296&lt;=EYear_O,V$3&gt;0),IF($A296=SYear_O,V$168*(1+Data_All!V135%),V295*(1+Data_All!V135%)),"")</f>
        <v/>
      </c>
      <c r="W296" s="427" t="str">
        <f>IF(AND($A296&gt;=SYear_O,$A296&lt;=EYear_O,W$3&gt;0),IF($A296=SYear_O,W$168*(1+Data_All!W135%),W295*(1+Data_All!W135%)),"")</f>
        <v/>
      </c>
      <c r="X296" s="427" t="str">
        <f>IF(AND($A296&gt;=SYear_O,$A296&lt;=EYear_O,X$3&gt;0),IF($A296=SYear_O,X$168*(1+Data_All!X135%),X295*(1+Data_All!X135%)),"")</f>
        <v/>
      </c>
      <c r="Y296" s="427" t="str">
        <f>IF(AND($A296&gt;=SYear_O,$A296&lt;=EYear_O,Y$3&gt;0),IF($A296=SYear_O,Y$168*(1+Data_All!Y135%),Y295*(1+Data_All!Y135%)),"")</f>
        <v/>
      </c>
      <c r="Z296" s="427" t="str">
        <f>IF(AND($A296&gt;=SYear_O,$A296&lt;=EYear_O,Z$3&gt;0),IF($A296=SYear_O,Z$168*(1+Data_All!Z135%),Z295*(1+Data_All!Z135%)),"")</f>
        <v/>
      </c>
      <c r="AA296" s="427" t="str">
        <f>IF(AND($A296&gt;=SYear_O,$A296&lt;=EYear_O,AA$3&gt;0),IF($A296=SYear_O,AA$168*(1+Data_All!AA135%),AA295*(1+Data_All!AA135%)),"")</f>
        <v/>
      </c>
      <c r="AB296" s="427" t="str">
        <f>IF(AND($A296&gt;=SYear_O,$A296&lt;=EYear_O,AB$3&gt;0),IF($A296=SYear_O,AB$168*(1+Data_All!AB135%),AB295*(1+Data_All!AB135%)),"")</f>
        <v/>
      </c>
      <c r="AC296" s="427" t="str">
        <f>IF(AND($A296&gt;=SYear_O,$A296&lt;=EYear_O,AC$3&gt;0),IF($A296=SYear_O,AC$168*(1+Data_All!AC135%),AC295*(1+Data_All!AC135%)),"")</f>
        <v/>
      </c>
      <c r="AD296" s="427" t="str">
        <f>IF(AND($A296&gt;=SYear_O,$A296&lt;=EYear_O,AD$3&gt;0),IF($A296=SYear_O,AD$168*(1+Data_All!AD135%),AD295*(1+Data_All!AD135%)),"")</f>
        <v/>
      </c>
      <c r="AE296" s="427" t="str">
        <f>IF(AND($A296&gt;=SYear_O,$A296&lt;=EYear_O,AE$3&gt;0),IF($A296=SYear_O,AE$168*(1+Data_All!AE135%),AE295*(1+Data_All!AE135%)),"")</f>
        <v/>
      </c>
      <c r="AF296" s="427" t="str">
        <f>IF(AND($A296&gt;=SYear_O,$A296&lt;=EYear_O,AF$3&gt;0),IF($A296=SYear_O,AF$168*(1+Data_All!AF135%),AF295*(1+Data_All!AF135%)),"")</f>
        <v/>
      </c>
      <c r="AG296" s="427" t="str">
        <f>IF(AND($A296&gt;=SYear_O,$A296&lt;=EYear_O,AG$3&gt;0),IF($A296=SYear_O,AG$168*(1+Data_All!AG135%),AG295*(1+Data_All!AG135%)),"")</f>
        <v/>
      </c>
      <c r="AH296" s="427" t="str">
        <f>IF(AND($A296&gt;=SYear_O,$A296&lt;=EYear_O,AH$3&gt;0),IF($A296=SYear_O,AH$168*(1+Data_All!AH135%),AH295*(1+Data_All!AH135%)),"")</f>
        <v/>
      </c>
      <c r="AI296" s="427" t="str">
        <f>IF(AND($A296&gt;=SYear_O,$A296&lt;=EYear_O,AI$3&gt;0),IF($A296=SYear_O,AI$168*(1+Data_All!AI135%),AI295*(1+Data_All!AI135%)),"")</f>
        <v/>
      </c>
      <c r="AJ296" s="427" t="str">
        <f>IF(AND($A296&gt;=SYear_O,$A296&lt;=EYear_O,AJ$3&gt;0),IF($A296=SYear_O,AJ$168*(1+Data_All!AJ135%),AJ295*(1+Data_All!AJ135%)),"")</f>
        <v/>
      </c>
      <c r="AK296" s="427" t="str">
        <f>IF(AND($A296&gt;=SYear_O,$A296&lt;=EYear_O,AK$3&gt;0),IF($A296=SYear_O,AK$168*(1+Data_All!AK135%),AK295*(1+Data_All!AK135%)),"")</f>
        <v/>
      </c>
      <c r="AL296" s="427" t="str">
        <f>IF(AND($A296&gt;=SYear_O,$A296&lt;=EYear_O,AL$3&gt;0),IF($A296=SYear_O,AL$168*(1+Data_All!AL135%),AL295*(1+Data_All!AL135%)),"")</f>
        <v/>
      </c>
      <c r="AM296" s="427" t="str">
        <f>IF(AND($A296&gt;=SYear_O,$A296&lt;=EYear_O,AM$3&gt;0),IF($A296=SYear_O,AM$168*(1+Data_All!AM135%),AM295*(1+Data_All!AM135%)),"")</f>
        <v/>
      </c>
      <c r="AN296" s="427" t="str">
        <f>IF(AND($A296&gt;=SYear_O,$A296&lt;=EYear_O,AN$3&gt;0),IF($A296=SYear_O,AN$168*(1+Data_All!AN135%),AN295*(1+Data_All!AN135%)),"")</f>
        <v/>
      </c>
      <c r="AO296" s="427" t="str">
        <f>IF(AND($A296&gt;=SYear_O,$A296&lt;=EYear_O,AO$3&gt;0),IF($A296=SYear_O,AO$168*(1+Data_All!AO135%),AO295*(1+Data_All!AO135%)),"")</f>
        <v/>
      </c>
      <c r="AP296" s="427" t="str">
        <f>IF(AND($A296&gt;=SYear_O,$A296&lt;=EYear_O,AP$3&gt;0),IF($A296=SYear_O,AP$168*(1+Data_All!AP135%),AP295*(1+Data_All!AP135%)),"")</f>
        <v/>
      </c>
      <c r="AQ296" s="427" t="str">
        <f>IF(AND($A296&gt;=SYear_O,$A296&lt;=EYear_O,AQ$3&gt;0),IF($A296=SYear_O,AQ$168*(1+Data_All!AQ135%),AQ295*(1+Data_All!AQ135%)),"")</f>
        <v/>
      </c>
      <c r="AR296" s="427" t="str">
        <f>IF(AND($A296&gt;=SYear_O,$A296&lt;=EYear_O,AR$3&gt;0),IF($A296=SYear_O,AR$168*(1+Data_All!AR135%),AR295*(1+Data_All!AR135%)),"")</f>
        <v/>
      </c>
      <c r="AS296" s="427" t="str">
        <f>IF(AND($A296&gt;=SYear_O,$A296&lt;=EYear_O,AS$3&gt;0),IF($A296=SYear_O,AS$168*(1+Data_All!AS135%),AS295*(1+Data_All!AS135%)),"")</f>
        <v/>
      </c>
      <c r="AT296" s="427" t="str">
        <f>IF(AND($A296&gt;=SYear_O,$A296&lt;=EYear_O,AT$3&gt;0),IF($A296=SYear_O,AT$168*(1+Data_All!AT135%),AT295*(1+Data_All!AT135%)),"")</f>
        <v/>
      </c>
      <c r="AU296" s="427" t="str">
        <f>IF(AND($A296&gt;=SYear_O,$A296&lt;=EYear_O,AU$3&gt;0),IF($A296=SYear_O,AU$168*(1+Data_All!AU135%),AU295*(1+Data_All!AU135%)),"")</f>
        <v/>
      </c>
      <c r="AV296" s="427" t="str">
        <f>IF(AND($A296&gt;=SYear_O,$A296&lt;=EYear_O,AV$3&gt;0),IF($A296=SYear_O,AV$168*(1+Data_All!AV135%),AV295*(1+Data_All!AV135%)),"")</f>
        <v/>
      </c>
      <c r="AW296" s="427" t="str">
        <f>IF(AND($A296&gt;=SYear_O,$A296&lt;=EYear_O,AW$3&gt;0),IF($A296=SYear_O,AW$168*(1+Data_All!AW135%),AW295*(1+Data_All!AW135%)),"")</f>
        <v/>
      </c>
      <c r="AX296" s="427" t="str">
        <f>IF(AND($A296&gt;=SYear_O,$A296&lt;=EYear_O,AX$3&gt;0),IF($A296=SYear_O,AX$168*(1+Data_All!AX135%),AX295*(1+Data_All!AX135%)),"")</f>
        <v/>
      </c>
      <c r="AY296" s="427" t="str">
        <f>IF(AND($A296&gt;=SYear_O,$A296&lt;=EYear_O,AY$3&gt;0),IF($A296=SYear_O,AY$168*(1+Data_All!AY135%),AY295*(1+Data_All!AY135%)),"")</f>
        <v/>
      </c>
      <c r="AZ296" s="427" t="str">
        <f>IF(AND($A296&gt;=SYear_O,$A296&lt;=EYear_O,AZ$3&gt;0),IF($A296=SYear_O,AZ$168*(1+Data_All!AZ135%),AZ295*(1+Data_All!AZ135%)),"")</f>
        <v/>
      </c>
      <c r="BA296" s="427" t="str">
        <f>IF(AND($A296&gt;=SYear_O,$A296&lt;=EYear_O,BA$3&gt;0),IF($A296=SYear_O,BA$168*(1+Data_All!BA135%),BA295*(1+Data_All!BA135%)),"")</f>
        <v/>
      </c>
      <c r="BB296" s="427" t="str">
        <f>IF(AND($A296&gt;=SYear_O,$A296&lt;=EYear_O,BB$3&gt;0),IF($A296=SYear_O,BB$168*(1+Data_All!BB135%),BB295*(1+Data_All!BB135%)),"")</f>
        <v/>
      </c>
      <c r="BC296" s="427" t="str">
        <f>IF(AND($A296&gt;=SYear_O,$A296&lt;=EYear_O,BC$3&gt;0),IF($A296=SYear_O,BC$168*(1+Data_All!BC135%),BC295*(1+Data_All!BC135%)),"")</f>
        <v/>
      </c>
      <c r="BD296" s="427" t="str">
        <f>IF(AND($A296&gt;=SYear_O,$A296&lt;=EYear_O,BD$3&gt;0),IF($A296=SYear_O,BD$168*(1+Data_All!BD135%),BD295*(1+Data_All!BD135%)),"")</f>
        <v/>
      </c>
      <c r="BE296" s="427" t="str">
        <f>IF(AND($A296&gt;=SYear_O,$A296&lt;=EYear_O,BE$3&gt;0),IF($A296=SYear_O,BE$168*(1+Data_All!BE135%),BE295*(1+Data_All!BE135%)),"")</f>
        <v/>
      </c>
      <c r="BF296" s="427" t="str">
        <f>IF(AND($A296&gt;=SYear_O,$A296&lt;=EYear_O,BF$3&gt;0),IF($A296=SYear_O,BF$168*(1+Data_All!BF135%),BF295*(1+Data_All!BF135%)),"")</f>
        <v/>
      </c>
      <c r="BG296" s="427" t="str">
        <f>IF(AND($A296&gt;=SYear_O,$A296&lt;=EYear_O,BG$3&gt;0),IF($A296=SYear_O,BG$168*(1+Data_All!BG135%),BG295*(1+Data_All!BG135%)),"")</f>
        <v/>
      </c>
      <c r="BH296" s="427" t="str">
        <f>IF(AND($A296&gt;=SYear_O,$A296&lt;=EYear_O,BH$3&gt;0),IF($A296=SYear_O,BH$168*(1+Data_All!BH135%),BH295*(1+Data_All!BH135%)),"")</f>
        <v/>
      </c>
      <c r="BI296" s="427" t="str">
        <f>IF(AND($A296&gt;=SYear_O,$A296&lt;=EYear_O,BI$3&gt;0),IF($A296=SYear_O,BI$168*(1+Data_All!BI135%),BI295*(1+Data_All!BI135%)),"")</f>
        <v/>
      </c>
      <c r="BJ296" s="427" t="str">
        <f>IF(AND($A296&gt;=SYear_O,$A296&lt;=EYear_O,BJ$3&gt;0),IF($A296=SYear_O,BJ$168*(1+Data_All!BJ135%),BJ295*(1+Data_All!BJ135%)),"")</f>
        <v/>
      </c>
      <c r="BK296" s="427" t="str">
        <f>IF(AND($A296&gt;=SYear_O,$A296&lt;=EYear_O,BK$3&gt;0),IF($A296=SYear_O,BK$168*(1+Data_All!BK135%),BK295*(1+Data_All!BK135%)),"")</f>
        <v/>
      </c>
      <c r="BL296" s="427" t="str">
        <f>IF(AND($A296&gt;=SYear_O,$A296&lt;=EYear_O,BL$3&gt;0),IF($A296=SYear_O,BL$168*(1+Data_All!BL135%),BL295*(1+Data_All!BL135%)),"")</f>
        <v/>
      </c>
      <c r="BM296" s="427" t="str">
        <f>IF(AND($A296&gt;=SYear_O,$A296&lt;=EYear_O,BM$3&gt;0),IF($A296=SYear_O,BM$168*(1+Data_All!BM135%),BM295*(1+Data_All!BM135%)),"")</f>
        <v/>
      </c>
      <c r="BN296" s="427" t="str">
        <f>IF(AND($A296&gt;=SYear_O,$A296&lt;=EYear_O,BN$3&gt;0),IF($A296=SYear_O,BN$168*(1+Data_All!BN135%),BN295*(1+Data_All!BN135%)),"")</f>
        <v/>
      </c>
      <c r="BO296" s="427" t="str">
        <f>IF(AND($A296&gt;=SYear_O,$A296&lt;=EYear_O,BO$3&gt;0),IF($A296=SYear_O,BO$168*(1+Data_All!BO135%),BO295*(1+Data_All!BO135%)),"")</f>
        <v/>
      </c>
      <c r="BP296" s="427" t="str">
        <f>IF(AND($A296&gt;=SYear_O,$A296&lt;=EYear_O,BP$3&gt;0),IF($A296=SYear_O,BP$168*(1+Data_All!BP135%),BP295*(1+Data_All!BP135%)),"")</f>
        <v/>
      </c>
      <c r="BQ296" s="427" t="str">
        <f>IF(AND($A296&gt;=SYear_O,$A296&lt;=EYear_O,BQ$3&gt;0),IF($A296=SYear_O,BQ$168*(1+Data_All!BQ135%),BQ295*(1+Data_All!BQ135%)),"")</f>
        <v/>
      </c>
      <c r="BR296" s="427" t="str">
        <f>IF(AND($A296&gt;=SYear_O,$A296&lt;=EYear_O,BR$3&gt;0),IF($A296=SYear_O,BR$168*(1+Data_All!BR135%),BR295*(1+Data_All!BR135%)),"")</f>
        <v/>
      </c>
      <c r="BS296" s="427" t="str">
        <f>IF(AND($A296&gt;=SYear_O,$A296&lt;=EYear_O,BS$3&gt;0),IF($A296=SYear_O,BS$168*(1+Data_All!BS135%),BS295*(1+Data_All!BS135%)),"")</f>
        <v/>
      </c>
      <c r="BT296" s="427" t="str">
        <f>IF(AND($A296&gt;=SYear_O,$A296&lt;=EYear_O,BT$3&gt;0),IF($A296=SYear_O,BT$168*(1+Data_All!BT135%),BT295*(1+Data_All!BT135%)),"")</f>
        <v/>
      </c>
      <c r="BU296" s="427" t="str">
        <f>IF(AND($A296&gt;=SYear_O,$A296&lt;=EYear_O,BU$3&gt;0),IF($A296=SYear_O,BU$168*(1+Data_All!BU135%),BU295*(1+Data_All!BU135%)),"")</f>
        <v/>
      </c>
      <c r="BV296" s="427" t="str">
        <f>IF(AND($A296&gt;=SYear_O,$A296&lt;=EYear_O,BV$3&gt;0),IF($A296=SYear_O,BV$168*(1+Data_All!BV135%),BV295*(1+Data_All!BV135%)),"")</f>
        <v/>
      </c>
      <c r="BW296" s="427" t="str">
        <f>IF(AND($A296&gt;=SYear_O,$A296&lt;=EYear_O,BW$3&gt;0),IF($A296=SYear_O,BW$168*(1+Data_All!BW135%),BW295*(1+Data_All!BW135%)),"")</f>
        <v/>
      </c>
      <c r="BX296" s="427">
        <f>IF(AND($A296&gt;=SYear_O,$A296&lt;=EYear_O,BX$3&gt;0),IF($A296=SYear_O,BX$168*(1+Data_All!BX135%),BX295*(1+Data_All!BX135%)),"")</f>
        <v>579344820.53213751</v>
      </c>
      <c r="BY296" s="427">
        <f>IF(AND($A296&gt;=SYear_O,$A296&lt;=EYear_O,BY$3&gt;0),IF($A296=SYear_O,BY$168*(1+Data_All!BY135%),BY295*(1+Data_All!BY135%)),"")</f>
        <v>1405702.6352492173</v>
      </c>
      <c r="BZ296" s="427" t="str">
        <f>IF(AND($A296&gt;=SYear_O,$A296&lt;=EYear_O,BZ$3&gt;0),IF($A296=SYear_O,BZ$168*(1+Data_All!BZ135%),BZ295*(1+Data_All!BZ135%)),"")</f>
        <v/>
      </c>
      <c r="CA296" s="565">
        <f t="shared" si="138"/>
        <v>31.243220323409677</v>
      </c>
      <c r="CB296" s="427">
        <f t="shared" si="139"/>
        <v>580750523.16738677</v>
      </c>
      <c r="CC296" s="565">
        <f>IF(AND($A296&gt;=SYear_O,$A296&lt;=EYear_O),(CA296-Data_All!CA135)/(1+Data_All!CA135%),"")</f>
        <v>29.161265638596589</v>
      </c>
      <c r="CD296" s="436">
        <f t="shared" si="140"/>
        <v>44164185.152777441</v>
      </c>
      <c r="CE296" s="438">
        <f t="shared" si="141"/>
        <v>52673.630364628603</v>
      </c>
      <c r="CF296" s="438">
        <f>IF(AND($A296&gt;=SYear_O,$A296&lt;=EYear_O),MAX($CE$169:CE296),"")</f>
        <v>52673.630364628603</v>
      </c>
      <c r="CG296" s="209">
        <f t="shared" si="142"/>
        <v>0</v>
      </c>
      <c r="CN296" s="61">
        <f t="shared" ref="CN296:CN313" si="154">IF(AND($A296&gt;=SYear_O,$A296&lt;=EYear_O),IF($A296=SYear_O,($CB296/CB$168)-1,($CB296/$CB295)-1),"")</f>
        <v>0.31243220323409671</v>
      </c>
      <c r="CO296" s="61">
        <f t="shared" si="144"/>
        <v>0.12858373679430768</v>
      </c>
      <c r="CP296" s="61">
        <f t="shared" si="145"/>
        <v>-6.5193044113642795E-4</v>
      </c>
      <c r="CQ296" s="61">
        <f t="shared" si="146"/>
        <v>5.2624619133426975E-2</v>
      </c>
      <c r="CR296" s="61">
        <f>IF(AND($A296&gt;=SYear_O,$A296&lt;=EYear_O),IF($A296=SYear_O,(($CB312/$CB$168)^(1/(1+($A312-$A296)))-1),(($CB312/$CB295)^(1/(1+($A312-$A296)))-1)),"")</f>
        <v>6.3525373995609424E-2</v>
      </c>
      <c r="CU296" s="61">
        <f t="shared" si="148"/>
        <v>0.29161265638596578</v>
      </c>
      <c r="CV296" s="61">
        <f t="shared" si="149"/>
        <v>0.10042933883305483</v>
      </c>
      <c r="CW296" s="61">
        <f t="shared" si="150"/>
        <v>-2.3311806244549871E-2</v>
      </c>
      <c r="CX296" s="61">
        <f t="shared" si="151"/>
        <v>2.5197612402316105E-2</v>
      </c>
      <c r="CY296" s="61">
        <f>IF(AND($A296&gt;=SYear_O,$A296&lt;=EYear_O),IF($A296=SYear_O,(($CD312/$CD$168)^(1/(1+($A312-$A296)))-1),(($CD312/$CD295)^(1/(1+($A312-$A296)))-1)),"")</f>
        <v>4.0290341904789306E-2</v>
      </c>
    </row>
    <row r="297" spans="1:103">
      <c r="A297" s="204">
        <f t="shared" si="153"/>
        <v>1999</v>
      </c>
      <c r="B297" s="427" t="str">
        <f>IF(AND($A297&gt;=SYear_O,$A297&lt;=EYear_O,B$3&gt;0),IF($A297=SYear_O,B$168*(1+Data_All!B136%),B296*(1+Data_All!B136%)),"")</f>
        <v/>
      </c>
      <c r="C297" s="427" t="str">
        <f>IF(AND($A297&gt;=SYear_O,$A297&lt;=EYear_O,C$3&gt;0),IF($A297=SYear_O,C$168*(1+Data_All!C136%),C296*(1+Data_All!C136%)),"")</f>
        <v/>
      </c>
      <c r="D297" s="427" t="str">
        <f>IF(AND($A297&gt;=SYear_O,$A297&lt;=EYear_O,D$3&gt;0),IF($A297=SYear_O,D$168*(1+Data_All!D136%),D296*(1+Data_All!D136%)),"")</f>
        <v/>
      </c>
      <c r="E297" s="427" t="str">
        <f>IF(AND($A297&gt;=SYear_O,$A297&lt;=EYear_O,E$3&gt;0),IF($A297=SYear_O,E$168*(1+Data_All!E136%),E296*(1+Data_All!E136%)),"")</f>
        <v/>
      </c>
      <c r="F297" s="427" t="str">
        <f>IF(AND($A297&gt;=SYear_O,$A297&lt;=EYear_O,F$3&gt;0),IF($A297=SYear_O,F$168*(1+Data_All!F136%),F296*(1+Data_All!F136%)),"")</f>
        <v/>
      </c>
      <c r="G297" s="427" t="str">
        <f>IF(AND($A297&gt;=SYear_O,$A297&lt;=EYear_O,G$3&gt;0),IF($A297=SYear_O,G$168*(1+Data_All!G136%),G296*(1+Data_All!G136%)),"")</f>
        <v/>
      </c>
      <c r="H297" s="427" t="str">
        <f>IF(AND($A297&gt;=SYear_O,$A297&lt;=EYear_O,H$3&gt;0),IF($A297=SYear_O,H$168*(1+Data_All!H136%),H296*(1+Data_All!H136%)),"")</f>
        <v/>
      </c>
      <c r="I297" s="427" t="str">
        <f>IF(AND($A297&gt;=SYear_O,$A297&lt;=EYear_O,I$3&gt;0),IF($A297=SYear_O,I$168*(1+Data_All!I136%),I296*(1+Data_All!I136%)),"")</f>
        <v/>
      </c>
      <c r="J297" s="427" t="str">
        <f>IF(AND($A297&gt;=SYear_O,$A297&lt;=EYear_O,J$3&gt;0),IF($A297=SYear_O,J$168*(1+Data_All!J136%),J296*(1+Data_All!J136%)),"")</f>
        <v/>
      </c>
      <c r="K297" s="427" t="str">
        <f>IF(AND($A297&gt;=SYear_O,$A297&lt;=EYear_O,K$3&gt;0),IF($A297=SYear_O,K$168*(1+Data_All!K136%),K296*(1+Data_All!K136%)),"")</f>
        <v/>
      </c>
      <c r="L297" s="427" t="str">
        <f>IF(AND($A297&gt;=SYear_O,$A297&lt;=EYear_O,L$3&gt;0),IF($A297=SYear_O,L$168*(1+Data_All!L136%),L296*(1+Data_All!L136%)),"")</f>
        <v/>
      </c>
      <c r="M297" s="427" t="str">
        <f>IF(AND($A297&gt;=SYear_O,$A297&lt;=EYear_O,M$3&gt;0),IF($A297=SYear_O,M$168*(1+Data_All!M136%),M296*(1+Data_All!M136%)),"")</f>
        <v/>
      </c>
      <c r="N297" s="427" t="str">
        <f>IF(AND($A297&gt;=SYear_O,$A297&lt;=EYear_O,N$3&gt;0),IF($A297=SYear_O,N$168*(1+Data_All!N136%),N296*(1+Data_All!N136%)),"")</f>
        <v/>
      </c>
      <c r="O297" s="427" t="str">
        <f>IF(AND($A297&gt;=SYear_O,$A297&lt;=EYear_O,O$3&gt;0),IF($A297=SYear_O,O$168*(1+Data_All!O136%),O296*(1+Data_All!O136%)),"")</f>
        <v/>
      </c>
      <c r="P297" s="427" t="str">
        <f>IF(AND($A297&gt;=SYear_O,$A297&lt;=EYear_O,P$3&gt;0),IF($A297=SYear_O,P$168*(1+Data_All!P136%),P296*(1+Data_All!P136%)),"")</f>
        <v/>
      </c>
      <c r="Q297" s="427" t="str">
        <f>IF(AND($A297&gt;=SYear_O,$A297&lt;=EYear_O,Q$3&gt;0),IF($A297=SYear_O,Q$168*(1+Data_All!Q136%),Q296*(1+Data_All!Q136%)),"")</f>
        <v/>
      </c>
      <c r="R297" s="427" t="str">
        <f>IF(AND($A297&gt;=SYear_O,$A297&lt;=EYear_O,R$3&gt;0),IF($A297=SYear_O,R$168*(1+Data_All!R136%),R296*(1+Data_All!R136%)),"")</f>
        <v/>
      </c>
      <c r="S297" s="427" t="str">
        <f>IF(AND($A297&gt;=SYear_O,$A297&lt;=EYear_O,S$3&gt;0),IF($A297=SYear_O,S$168*(1+Data_All!S136%),S296*(1+Data_All!S136%)),"")</f>
        <v/>
      </c>
      <c r="T297" s="427" t="str">
        <f>IF(AND($A297&gt;=SYear_O,$A297&lt;=EYear_O,T$3&gt;0),IF($A297=SYear_O,T$168*(1+Data_All!T136%),T296*(1+Data_All!T136%)),"")</f>
        <v/>
      </c>
      <c r="U297" s="427" t="str">
        <f>IF(AND($A297&gt;=SYear_O,$A297&lt;=EYear_O,U$3&gt;0),IF($A297=SYear_O,U$168*(1+Data_All!U136%),U296*(1+Data_All!U136%)),"")</f>
        <v/>
      </c>
      <c r="V297" s="427" t="str">
        <f>IF(AND($A297&gt;=SYear_O,$A297&lt;=EYear_O,V$3&gt;0),IF($A297=SYear_O,V$168*(1+Data_All!V136%),V296*(1+Data_All!V136%)),"")</f>
        <v/>
      </c>
      <c r="W297" s="427" t="str">
        <f>IF(AND($A297&gt;=SYear_O,$A297&lt;=EYear_O,W$3&gt;0),IF($A297=SYear_O,W$168*(1+Data_All!W136%),W296*(1+Data_All!W136%)),"")</f>
        <v/>
      </c>
      <c r="X297" s="427" t="str">
        <f>IF(AND($A297&gt;=SYear_O,$A297&lt;=EYear_O,X$3&gt;0),IF($A297=SYear_O,X$168*(1+Data_All!X136%),X296*(1+Data_All!X136%)),"")</f>
        <v/>
      </c>
      <c r="Y297" s="427" t="str">
        <f>IF(AND($A297&gt;=SYear_O,$A297&lt;=EYear_O,Y$3&gt;0),IF($A297=SYear_O,Y$168*(1+Data_All!Y136%),Y296*(1+Data_All!Y136%)),"")</f>
        <v/>
      </c>
      <c r="Z297" s="427" t="str">
        <f>IF(AND($A297&gt;=SYear_O,$A297&lt;=EYear_O,Z$3&gt;0),IF($A297=SYear_O,Z$168*(1+Data_All!Z136%),Z296*(1+Data_All!Z136%)),"")</f>
        <v/>
      </c>
      <c r="AA297" s="427" t="str">
        <f>IF(AND($A297&gt;=SYear_O,$A297&lt;=EYear_O,AA$3&gt;0),IF($A297=SYear_O,AA$168*(1+Data_All!AA136%),AA296*(1+Data_All!AA136%)),"")</f>
        <v/>
      </c>
      <c r="AB297" s="427" t="str">
        <f>IF(AND($A297&gt;=SYear_O,$A297&lt;=EYear_O,AB$3&gt;0),IF($A297=SYear_O,AB$168*(1+Data_All!AB136%),AB296*(1+Data_All!AB136%)),"")</f>
        <v/>
      </c>
      <c r="AC297" s="427" t="str">
        <f>IF(AND($A297&gt;=SYear_O,$A297&lt;=EYear_O,AC$3&gt;0),IF($A297=SYear_O,AC$168*(1+Data_All!AC136%),AC296*(1+Data_All!AC136%)),"")</f>
        <v/>
      </c>
      <c r="AD297" s="427" t="str">
        <f>IF(AND($A297&gt;=SYear_O,$A297&lt;=EYear_O,AD$3&gt;0),IF($A297=SYear_O,AD$168*(1+Data_All!AD136%),AD296*(1+Data_All!AD136%)),"")</f>
        <v/>
      </c>
      <c r="AE297" s="427" t="str">
        <f>IF(AND($A297&gt;=SYear_O,$A297&lt;=EYear_O,AE$3&gt;0),IF($A297=SYear_O,AE$168*(1+Data_All!AE136%),AE296*(1+Data_All!AE136%)),"")</f>
        <v/>
      </c>
      <c r="AF297" s="427" t="str">
        <f>IF(AND($A297&gt;=SYear_O,$A297&lt;=EYear_O,AF$3&gt;0),IF($A297=SYear_O,AF$168*(1+Data_All!AF136%),AF296*(1+Data_All!AF136%)),"")</f>
        <v/>
      </c>
      <c r="AG297" s="427" t="str">
        <f>IF(AND($A297&gt;=SYear_O,$A297&lt;=EYear_O,AG$3&gt;0),IF($A297=SYear_O,AG$168*(1+Data_All!AG136%),AG296*(1+Data_All!AG136%)),"")</f>
        <v/>
      </c>
      <c r="AH297" s="427" t="str">
        <f>IF(AND($A297&gt;=SYear_O,$A297&lt;=EYear_O,AH$3&gt;0),IF($A297=SYear_O,AH$168*(1+Data_All!AH136%),AH296*(1+Data_All!AH136%)),"")</f>
        <v/>
      </c>
      <c r="AI297" s="427" t="str">
        <f>IF(AND($A297&gt;=SYear_O,$A297&lt;=EYear_O,AI$3&gt;0),IF($A297=SYear_O,AI$168*(1+Data_All!AI136%),AI296*(1+Data_All!AI136%)),"")</f>
        <v/>
      </c>
      <c r="AJ297" s="427" t="str">
        <f>IF(AND($A297&gt;=SYear_O,$A297&lt;=EYear_O,AJ$3&gt;0),IF($A297=SYear_O,AJ$168*(1+Data_All!AJ136%),AJ296*(1+Data_All!AJ136%)),"")</f>
        <v/>
      </c>
      <c r="AK297" s="427" t="str">
        <f>IF(AND($A297&gt;=SYear_O,$A297&lt;=EYear_O,AK$3&gt;0),IF($A297=SYear_O,AK$168*(1+Data_All!AK136%),AK296*(1+Data_All!AK136%)),"")</f>
        <v/>
      </c>
      <c r="AL297" s="427" t="str">
        <f>IF(AND($A297&gt;=SYear_O,$A297&lt;=EYear_O,AL$3&gt;0),IF($A297=SYear_O,AL$168*(1+Data_All!AL136%),AL296*(1+Data_All!AL136%)),"")</f>
        <v/>
      </c>
      <c r="AM297" s="427" t="str">
        <f>IF(AND($A297&gt;=SYear_O,$A297&lt;=EYear_O,AM$3&gt;0),IF($A297=SYear_O,AM$168*(1+Data_All!AM136%),AM296*(1+Data_All!AM136%)),"")</f>
        <v/>
      </c>
      <c r="AN297" s="427" t="str">
        <f>IF(AND($A297&gt;=SYear_O,$A297&lt;=EYear_O,AN$3&gt;0),IF($A297=SYear_O,AN$168*(1+Data_All!AN136%),AN296*(1+Data_All!AN136%)),"")</f>
        <v/>
      </c>
      <c r="AO297" s="427" t="str">
        <f>IF(AND($A297&gt;=SYear_O,$A297&lt;=EYear_O,AO$3&gt;0),IF($A297=SYear_O,AO$168*(1+Data_All!AO136%),AO296*(1+Data_All!AO136%)),"")</f>
        <v/>
      </c>
      <c r="AP297" s="427" t="str">
        <f>IF(AND($A297&gt;=SYear_O,$A297&lt;=EYear_O,AP$3&gt;0),IF($A297=SYear_O,AP$168*(1+Data_All!AP136%),AP296*(1+Data_All!AP136%)),"")</f>
        <v/>
      </c>
      <c r="AQ297" s="427" t="str">
        <f>IF(AND($A297&gt;=SYear_O,$A297&lt;=EYear_O,AQ$3&gt;0),IF($A297=SYear_O,AQ$168*(1+Data_All!AQ136%),AQ296*(1+Data_All!AQ136%)),"")</f>
        <v/>
      </c>
      <c r="AR297" s="427" t="str">
        <f>IF(AND($A297&gt;=SYear_O,$A297&lt;=EYear_O,AR$3&gt;0),IF($A297=SYear_O,AR$168*(1+Data_All!AR136%),AR296*(1+Data_All!AR136%)),"")</f>
        <v/>
      </c>
      <c r="AS297" s="427" t="str">
        <f>IF(AND($A297&gt;=SYear_O,$A297&lt;=EYear_O,AS$3&gt;0),IF($A297=SYear_O,AS$168*(1+Data_All!AS136%),AS296*(1+Data_All!AS136%)),"")</f>
        <v/>
      </c>
      <c r="AT297" s="427" t="str">
        <f>IF(AND($A297&gt;=SYear_O,$A297&lt;=EYear_O,AT$3&gt;0),IF($A297=SYear_O,AT$168*(1+Data_All!AT136%),AT296*(1+Data_All!AT136%)),"")</f>
        <v/>
      </c>
      <c r="AU297" s="427" t="str">
        <f>IF(AND($A297&gt;=SYear_O,$A297&lt;=EYear_O,AU$3&gt;0),IF($A297=SYear_O,AU$168*(1+Data_All!AU136%),AU296*(1+Data_All!AU136%)),"")</f>
        <v/>
      </c>
      <c r="AV297" s="427" t="str">
        <f>IF(AND($A297&gt;=SYear_O,$A297&lt;=EYear_O,AV$3&gt;0),IF($A297=SYear_O,AV$168*(1+Data_All!AV136%),AV296*(1+Data_All!AV136%)),"")</f>
        <v/>
      </c>
      <c r="AW297" s="427" t="str">
        <f>IF(AND($A297&gt;=SYear_O,$A297&lt;=EYear_O,AW$3&gt;0),IF($A297=SYear_O,AW$168*(1+Data_All!AW136%),AW296*(1+Data_All!AW136%)),"")</f>
        <v/>
      </c>
      <c r="AX297" s="427" t="str">
        <f>IF(AND($A297&gt;=SYear_O,$A297&lt;=EYear_O,AX$3&gt;0),IF($A297=SYear_O,AX$168*(1+Data_All!AX136%),AX296*(1+Data_All!AX136%)),"")</f>
        <v/>
      </c>
      <c r="AY297" s="427" t="str">
        <f>IF(AND($A297&gt;=SYear_O,$A297&lt;=EYear_O,AY$3&gt;0),IF($A297=SYear_O,AY$168*(1+Data_All!AY136%),AY296*(1+Data_All!AY136%)),"")</f>
        <v/>
      </c>
      <c r="AZ297" s="427" t="str">
        <f>IF(AND($A297&gt;=SYear_O,$A297&lt;=EYear_O,AZ$3&gt;0),IF($A297=SYear_O,AZ$168*(1+Data_All!AZ136%),AZ296*(1+Data_All!AZ136%)),"")</f>
        <v/>
      </c>
      <c r="BA297" s="427" t="str">
        <f>IF(AND($A297&gt;=SYear_O,$A297&lt;=EYear_O,BA$3&gt;0),IF($A297=SYear_O,BA$168*(1+Data_All!BA136%),BA296*(1+Data_All!BA136%)),"")</f>
        <v/>
      </c>
      <c r="BB297" s="427" t="str">
        <f>IF(AND($A297&gt;=SYear_O,$A297&lt;=EYear_O,BB$3&gt;0),IF($A297=SYear_O,BB$168*(1+Data_All!BB136%),BB296*(1+Data_All!BB136%)),"")</f>
        <v/>
      </c>
      <c r="BC297" s="427" t="str">
        <f>IF(AND($A297&gt;=SYear_O,$A297&lt;=EYear_O,BC$3&gt;0),IF($A297=SYear_O,BC$168*(1+Data_All!BC136%),BC296*(1+Data_All!BC136%)),"")</f>
        <v/>
      </c>
      <c r="BD297" s="427" t="str">
        <f>IF(AND($A297&gt;=SYear_O,$A297&lt;=EYear_O,BD$3&gt;0),IF($A297=SYear_O,BD$168*(1+Data_All!BD136%),BD296*(1+Data_All!BD136%)),"")</f>
        <v/>
      </c>
      <c r="BE297" s="427" t="str">
        <f>IF(AND($A297&gt;=SYear_O,$A297&lt;=EYear_O,BE$3&gt;0),IF($A297=SYear_O,BE$168*(1+Data_All!BE136%),BE296*(1+Data_All!BE136%)),"")</f>
        <v/>
      </c>
      <c r="BF297" s="427" t="str">
        <f>IF(AND($A297&gt;=SYear_O,$A297&lt;=EYear_O,BF$3&gt;0),IF($A297=SYear_O,BF$168*(1+Data_All!BF136%),BF296*(1+Data_All!BF136%)),"")</f>
        <v/>
      </c>
      <c r="BG297" s="427" t="str">
        <f>IF(AND($A297&gt;=SYear_O,$A297&lt;=EYear_O,BG$3&gt;0),IF($A297=SYear_O,BG$168*(1+Data_All!BG136%),BG296*(1+Data_All!BG136%)),"")</f>
        <v/>
      </c>
      <c r="BH297" s="427" t="str">
        <f>IF(AND($A297&gt;=SYear_O,$A297&lt;=EYear_O,BH$3&gt;0),IF($A297=SYear_O,BH$168*(1+Data_All!BH136%),BH296*(1+Data_All!BH136%)),"")</f>
        <v/>
      </c>
      <c r="BI297" s="427" t="str">
        <f>IF(AND($A297&gt;=SYear_O,$A297&lt;=EYear_O,BI$3&gt;0),IF($A297=SYear_O,BI$168*(1+Data_All!BI136%),BI296*(1+Data_All!BI136%)),"")</f>
        <v/>
      </c>
      <c r="BJ297" s="427" t="str">
        <f>IF(AND($A297&gt;=SYear_O,$A297&lt;=EYear_O,BJ$3&gt;0),IF($A297=SYear_O,BJ$168*(1+Data_All!BJ136%),BJ296*(1+Data_All!BJ136%)),"")</f>
        <v/>
      </c>
      <c r="BK297" s="427" t="str">
        <f>IF(AND($A297&gt;=SYear_O,$A297&lt;=EYear_O,BK$3&gt;0),IF($A297=SYear_O,BK$168*(1+Data_All!BK136%),BK296*(1+Data_All!BK136%)),"")</f>
        <v/>
      </c>
      <c r="BL297" s="427" t="str">
        <f>IF(AND($A297&gt;=SYear_O,$A297&lt;=EYear_O,BL$3&gt;0),IF($A297=SYear_O,BL$168*(1+Data_All!BL136%),BL296*(1+Data_All!BL136%)),"")</f>
        <v/>
      </c>
      <c r="BM297" s="427" t="str">
        <f>IF(AND($A297&gt;=SYear_O,$A297&lt;=EYear_O,BM$3&gt;0),IF($A297=SYear_O,BM$168*(1+Data_All!BM136%),BM296*(1+Data_All!BM136%)),"")</f>
        <v/>
      </c>
      <c r="BN297" s="427" t="str">
        <f>IF(AND($A297&gt;=SYear_O,$A297&lt;=EYear_O,BN$3&gt;0),IF($A297=SYear_O,BN$168*(1+Data_All!BN136%),BN296*(1+Data_All!BN136%)),"")</f>
        <v/>
      </c>
      <c r="BO297" s="427" t="str">
        <f>IF(AND($A297&gt;=SYear_O,$A297&lt;=EYear_O,BO$3&gt;0),IF($A297=SYear_O,BO$168*(1+Data_All!BO136%),BO296*(1+Data_All!BO136%)),"")</f>
        <v/>
      </c>
      <c r="BP297" s="427" t="str">
        <f>IF(AND($A297&gt;=SYear_O,$A297&lt;=EYear_O,BP$3&gt;0),IF($A297=SYear_O,BP$168*(1+Data_All!BP136%),BP296*(1+Data_All!BP136%)),"")</f>
        <v/>
      </c>
      <c r="BQ297" s="427" t="str">
        <f>IF(AND($A297&gt;=SYear_O,$A297&lt;=EYear_O,BQ$3&gt;0),IF($A297=SYear_O,BQ$168*(1+Data_All!BQ136%),BQ296*(1+Data_All!BQ136%)),"")</f>
        <v/>
      </c>
      <c r="BR297" s="427" t="str">
        <f>IF(AND($A297&gt;=SYear_O,$A297&lt;=EYear_O,BR$3&gt;0),IF($A297=SYear_O,BR$168*(1+Data_All!BR136%),BR296*(1+Data_All!BR136%)),"")</f>
        <v/>
      </c>
      <c r="BS297" s="427" t="str">
        <f>IF(AND($A297&gt;=SYear_O,$A297&lt;=EYear_O,BS$3&gt;0),IF($A297=SYear_O,BS$168*(1+Data_All!BS136%),BS296*(1+Data_All!BS136%)),"")</f>
        <v/>
      </c>
      <c r="BT297" s="427" t="str">
        <f>IF(AND($A297&gt;=SYear_O,$A297&lt;=EYear_O,BT$3&gt;0),IF($A297=SYear_O,BT$168*(1+Data_All!BT136%),BT296*(1+Data_All!BT136%)),"")</f>
        <v/>
      </c>
      <c r="BU297" s="427" t="str">
        <f>IF(AND($A297&gt;=SYear_O,$A297&lt;=EYear_O,BU$3&gt;0),IF($A297=SYear_O,BU$168*(1+Data_All!BU136%),BU296*(1+Data_All!BU136%)),"")</f>
        <v/>
      </c>
      <c r="BV297" s="427" t="str">
        <f>IF(AND($A297&gt;=SYear_O,$A297&lt;=EYear_O,BV$3&gt;0),IF($A297=SYear_O,BV$168*(1+Data_All!BV136%),BV296*(1+Data_All!BV136%)),"")</f>
        <v/>
      </c>
      <c r="BW297" s="427" t="str">
        <f>IF(AND($A297&gt;=SYear_O,$A297&lt;=EYear_O,BW$3&gt;0),IF($A297=SYear_O,BW$168*(1+Data_All!BW136%),BW296*(1+Data_All!BW136%)),"")</f>
        <v/>
      </c>
      <c r="BX297" s="427">
        <f>IF(AND($A297&gt;=SYear_O,$A297&lt;=EYear_O,BX$3&gt;0),IF($A297=SYear_O,BX$168*(1+Data_All!BX136%),BX296*(1+Data_All!BX136%)),"")</f>
        <v>669120372.65236294</v>
      </c>
      <c r="BY297" s="427">
        <f>IF(AND($A297&gt;=SYear_O,$A297&lt;=EYear_O,BY$3&gt;0),IF($A297=SYear_O,BY$168*(1+Data_All!BY136%),BY296*(1+Data_All!BY136%)),"")</f>
        <v>1360423.9191147543</v>
      </c>
      <c r="BZ297" s="427" t="str">
        <f>IF(AND($A297&gt;=SYear_O,$A297&lt;=EYear_O,BZ$3&gt;0),IF($A297=SYear_O,BZ$168*(1+Data_All!BZ136%),BZ296*(1+Data_All!BZ136%)),"")</f>
        <v/>
      </c>
      <c r="CA297" s="565">
        <f t="shared" ref="CA297:CA308" si="155">IF(AND($A297&gt;=SYear_O,$A297&lt;=EYear_O),IF($A297=SYear_O,100*(CB297-$CB$168)/$CB$168,100*(CB297-CB296)/CB296),"")</f>
        <v>15.450743447411133</v>
      </c>
      <c r="CB297" s="427">
        <f t="shared" ref="CB297:CB308" si="156">IF(AND($A297&gt;=SYear_O,$A297&lt;=EYear_O),SUM(B297:BZ297),"")</f>
        <v>670480796.57147765</v>
      </c>
      <c r="CC297" s="565">
        <f>IF(AND($A297&gt;=SYear_O,$A297&lt;=EYear_O),(CA297-Data_All!CA136)/(1+Data_All!CA136%),"")</f>
        <v>12.432423357282742</v>
      </c>
      <c r="CD297" s="436">
        <f t="shared" ref="CD297:CD308" si="157">IF(AND($A297&gt;=SYear_O,$A297&lt;=EYear_O),IF($A297=SYear_O,$CD$4*(1+CC297%),$CD296*(1+CC297%)),"")</f>
        <v>49654863.623264939</v>
      </c>
      <c r="CE297" s="438">
        <f t="shared" ref="CE297:CE308" si="158">IF(AND($A297&gt;=SYear_O,$A297&lt;=EYear_O),IF($A297=SYear_O,$CE$166,$CE296*(1+CA297%)),"")</f>
        <v>60812.097856705019</v>
      </c>
      <c r="CF297" s="438">
        <f>IF(AND($A297&gt;=SYear_O,$A297&lt;=EYear_O),MAX($CE$169:CE297),"")</f>
        <v>60812.097856705019</v>
      </c>
      <c r="CG297" s="209">
        <f t="shared" ref="CG297:CG308" si="159">IF(AND($A297&gt;=SYear_O,$A297&lt;=EYear_O),1-(CE297/CF297),"")</f>
        <v>0</v>
      </c>
      <c r="CN297" s="61">
        <f t="shared" si="154"/>
        <v>0.1545074344741113</v>
      </c>
      <c r="CO297" s="61">
        <f t="shared" si="144"/>
        <v>-1.7472812212193323E-2</v>
      </c>
      <c r="CP297" s="61">
        <f t="shared" si="145"/>
        <v>-5.2382790530840495E-3</v>
      </c>
      <c r="CQ297" s="61">
        <f t="shared" si="146"/>
        <v>-1.8829837133614302E-2</v>
      </c>
      <c r="CR297" s="61">
        <f>IF(AND($A297&gt;=SYear_O,$A297&lt;=EYear_O),IF($A297=SYear_O,(($CB313/$CB$168)^(1/(1+($A313-$A297)))-1),(($CB313/$CB296)^(1/(1+($A313-$A297)))-1)),"")</f>
        <v>4.4619885621340893E-2</v>
      </c>
      <c r="CU297" s="61">
        <f t="shared" si="148"/>
        <v>0.1243242335728274</v>
      </c>
      <c r="CV297" s="61">
        <f t="shared" si="149"/>
        <v>-4.17943851536281E-2</v>
      </c>
      <c r="CW297" s="61">
        <f t="shared" si="150"/>
        <v>-2.8305401263315266E-2</v>
      </c>
      <c r="CX297" s="61">
        <f t="shared" si="151"/>
        <v>-4.2953206704303915E-2</v>
      </c>
      <c r="CY297" s="61">
        <f>IF(AND($A297&gt;=SYear_O,$A297&lt;=EYear_O),IF($A297=SYear_O,(($CD313/$CD$168)^(1/(1+($A313-$A297)))-1),(($CD313/$CD296)^(1/(1+($A313-$A297)))-1)),"")</f>
        <v>2.2322249108243097E-2</v>
      </c>
    </row>
    <row r="298" spans="1:103">
      <c r="A298" s="204">
        <f t="shared" si="153"/>
        <v>2000</v>
      </c>
      <c r="B298" s="427" t="str">
        <f>IF(AND($A298&gt;=SYear_O,$A298&lt;=EYear_O,B$3&gt;0),IF($A298=SYear_O,B$168*(1+Data_All!B137%),B297*(1+Data_All!B137%)),"")</f>
        <v/>
      </c>
      <c r="C298" s="427" t="str">
        <f>IF(AND($A298&gt;=SYear_O,$A298&lt;=EYear_O,C$3&gt;0),IF($A298=SYear_O,C$168*(1+Data_All!C137%),C297*(1+Data_All!C137%)),"")</f>
        <v/>
      </c>
      <c r="D298" s="427" t="str">
        <f>IF(AND($A298&gt;=SYear_O,$A298&lt;=EYear_O,D$3&gt;0),IF($A298=SYear_O,D$168*(1+Data_All!D137%),D297*(1+Data_All!D137%)),"")</f>
        <v/>
      </c>
      <c r="E298" s="427" t="str">
        <f>IF(AND($A298&gt;=SYear_O,$A298&lt;=EYear_O,E$3&gt;0),IF($A298=SYear_O,E$168*(1+Data_All!E137%),E297*(1+Data_All!E137%)),"")</f>
        <v/>
      </c>
      <c r="F298" s="427" t="str">
        <f>IF(AND($A298&gt;=SYear_O,$A298&lt;=EYear_O,F$3&gt;0),IF($A298=SYear_O,F$168*(1+Data_All!F137%),F297*(1+Data_All!F137%)),"")</f>
        <v/>
      </c>
      <c r="G298" s="427" t="str">
        <f>IF(AND($A298&gt;=SYear_O,$A298&lt;=EYear_O,G$3&gt;0),IF($A298=SYear_O,G$168*(1+Data_All!G137%),G297*(1+Data_All!G137%)),"")</f>
        <v/>
      </c>
      <c r="H298" s="427" t="str">
        <f>IF(AND($A298&gt;=SYear_O,$A298&lt;=EYear_O,H$3&gt;0),IF($A298=SYear_O,H$168*(1+Data_All!H137%),H297*(1+Data_All!H137%)),"")</f>
        <v/>
      </c>
      <c r="I298" s="427" t="str">
        <f>IF(AND($A298&gt;=SYear_O,$A298&lt;=EYear_O,I$3&gt;0),IF($A298=SYear_O,I$168*(1+Data_All!I137%),I297*(1+Data_All!I137%)),"")</f>
        <v/>
      </c>
      <c r="J298" s="427" t="str">
        <f>IF(AND($A298&gt;=SYear_O,$A298&lt;=EYear_O,J$3&gt;0),IF($A298=SYear_O,J$168*(1+Data_All!J137%),J297*(1+Data_All!J137%)),"")</f>
        <v/>
      </c>
      <c r="K298" s="427" t="str">
        <f>IF(AND($A298&gt;=SYear_O,$A298&lt;=EYear_O,K$3&gt;0),IF($A298=SYear_O,K$168*(1+Data_All!K137%),K297*(1+Data_All!K137%)),"")</f>
        <v/>
      </c>
      <c r="L298" s="427" t="str">
        <f>IF(AND($A298&gt;=SYear_O,$A298&lt;=EYear_O,L$3&gt;0),IF($A298=SYear_O,L$168*(1+Data_All!L137%),L297*(1+Data_All!L137%)),"")</f>
        <v/>
      </c>
      <c r="M298" s="427" t="str">
        <f>IF(AND($A298&gt;=SYear_O,$A298&lt;=EYear_O,M$3&gt;0),IF($A298=SYear_O,M$168*(1+Data_All!M137%),M297*(1+Data_All!M137%)),"")</f>
        <v/>
      </c>
      <c r="N298" s="427" t="str">
        <f>IF(AND($A298&gt;=SYear_O,$A298&lt;=EYear_O,N$3&gt;0),IF($A298=SYear_O,N$168*(1+Data_All!N137%),N297*(1+Data_All!N137%)),"")</f>
        <v/>
      </c>
      <c r="O298" s="427" t="str">
        <f>IF(AND($A298&gt;=SYear_O,$A298&lt;=EYear_O,O$3&gt;0),IF($A298=SYear_O,O$168*(1+Data_All!O137%),O297*(1+Data_All!O137%)),"")</f>
        <v/>
      </c>
      <c r="P298" s="427" t="str">
        <f>IF(AND($A298&gt;=SYear_O,$A298&lt;=EYear_O,P$3&gt;0),IF($A298=SYear_O,P$168*(1+Data_All!P137%),P297*(1+Data_All!P137%)),"")</f>
        <v/>
      </c>
      <c r="Q298" s="427" t="str">
        <f>IF(AND($A298&gt;=SYear_O,$A298&lt;=EYear_O,Q$3&gt;0),IF($A298=SYear_O,Q$168*(1+Data_All!Q137%),Q297*(1+Data_All!Q137%)),"")</f>
        <v/>
      </c>
      <c r="R298" s="427" t="str">
        <f>IF(AND($A298&gt;=SYear_O,$A298&lt;=EYear_O,R$3&gt;0),IF($A298=SYear_O,R$168*(1+Data_All!R137%),R297*(1+Data_All!R137%)),"")</f>
        <v/>
      </c>
      <c r="S298" s="427" t="str">
        <f>IF(AND($A298&gt;=SYear_O,$A298&lt;=EYear_O,S$3&gt;0),IF($A298=SYear_O,S$168*(1+Data_All!S137%),S297*(1+Data_All!S137%)),"")</f>
        <v/>
      </c>
      <c r="T298" s="427" t="str">
        <f>IF(AND($A298&gt;=SYear_O,$A298&lt;=EYear_O,T$3&gt;0),IF($A298=SYear_O,T$168*(1+Data_All!T137%),T297*(1+Data_All!T137%)),"")</f>
        <v/>
      </c>
      <c r="U298" s="427" t="str">
        <f>IF(AND($A298&gt;=SYear_O,$A298&lt;=EYear_O,U$3&gt;0),IF($A298=SYear_O,U$168*(1+Data_All!U137%),U297*(1+Data_All!U137%)),"")</f>
        <v/>
      </c>
      <c r="V298" s="427" t="str">
        <f>IF(AND($A298&gt;=SYear_O,$A298&lt;=EYear_O,V$3&gt;0),IF($A298=SYear_O,V$168*(1+Data_All!V137%),V297*(1+Data_All!V137%)),"")</f>
        <v/>
      </c>
      <c r="W298" s="427" t="str">
        <f>IF(AND($A298&gt;=SYear_O,$A298&lt;=EYear_O,W$3&gt;0),IF($A298=SYear_O,W$168*(1+Data_All!W137%),W297*(1+Data_All!W137%)),"")</f>
        <v/>
      </c>
      <c r="X298" s="427" t="str">
        <f>IF(AND($A298&gt;=SYear_O,$A298&lt;=EYear_O,X$3&gt;0),IF($A298=SYear_O,X$168*(1+Data_All!X137%),X297*(1+Data_All!X137%)),"")</f>
        <v/>
      </c>
      <c r="Y298" s="427" t="str">
        <f>IF(AND($A298&gt;=SYear_O,$A298&lt;=EYear_O,Y$3&gt;0),IF($A298=SYear_O,Y$168*(1+Data_All!Y137%),Y297*(1+Data_All!Y137%)),"")</f>
        <v/>
      </c>
      <c r="Z298" s="427" t="str">
        <f>IF(AND($A298&gt;=SYear_O,$A298&lt;=EYear_O,Z$3&gt;0),IF($A298=SYear_O,Z$168*(1+Data_All!Z137%),Z297*(1+Data_All!Z137%)),"")</f>
        <v/>
      </c>
      <c r="AA298" s="427" t="str">
        <f>IF(AND($A298&gt;=SYear_O,$A298&lt;=EYear_O,AA$3&gt;0),IF($A298=SYear_O,AA$168*(1+Data_All!AA137%),AA297*(1+Data_All!AA137%)),"")</f>
        <v/>
      </c>
      <c r="AB298" s="427" t="str">
        <f>IF(AND($A298&gt;=SYear_O,$A298&lt;=EYear_O,AB$3&gt;0),IF($A298=SYear_O,AB$168*(1+Data_All!AB137%),AB297*(1+Data_All!AB137%)),"")</f>
        <v/>
      </c>
      <c r="AC298" s="427" t="str">
        <f>IF(AND($A298&gt;=SYear_O,$A298&lt;=EYear_O,AC$3&gt;0),IF($A298=SYear_O,AC$168*(1+Data_All!AC137%),AC297*(1+Data_All!AC137%)),"")</f>
        <v/>
      </c>
      <c r="AD298" s="427" t="str">
        <f>IF(AND($A298&gt;=SYear_O,$A298&lt;=EYear_O,AD$3&gt;0),IF($A298=SYear_O,AD$168*(1+Data_All!AD137%),AD297*(1+Data_All!AD137%)),"")</f>
        <v/>
      </c>
      <c r="AE298" s="427" t="str">
        <f>IF(AND($A298&gt;=SYear_O,$A298&lt;=EYear_O,AE$3&gt;0),IF($A298=SYear_O,AE$168*(1+Data_All!AE137%),AE297*(1+Data_All!AE137%)),"")</f>
        <v/>
      </c>
      <c r="AF298" s="427" t="str">
        <f>IF(AND($A298&gt;=SYear_O,$A298&lt;=EYear_O,AF$3&gt;0),IF($A298=SYear_O,AF$168*(1+Data_All!AF137%),AF297*(1+Data_All!AF137%)),"")</f>
        <v/>
      </c>
      <c r="AG298" s="427" t="str">
        <f>IF(AND($A298&gt;=SYear_O,$A298&lt;=EYear_O,AG$3&gt;0),IF($A298=SYear_O,AG$168*(1+Data_All!AG137%),AG297*(1+Data_All!AG137%)),"")</f>
        <v/>
      </c>
      <c r="AH298" s="427" t="str">
        <f>IF(AND($A298&gt;=SYear_O,$A298&lt;=EYear_O,AH$3&gt;0),IF($A298=SYear_O,AH$168*(1+Data_All!AH137%),AH297*(1+Data_All!AH137%)),"")</f>
        <v/>
      </c>
      <c r="AI298" s="427" t="str">
        <f>IF(AND($A298&gt;=SYear_O,$A298&lt;=EYear_O,AI$3&gt;0),IF($A298=SYear_O,AI$168*(1+Data_All!AI137%),AI297*(1+Data_All!AI137%)),"")</f>
        <v/>
      </c>
      <c r="AJ298" s="427" t="str">
        <f>IF(AND($A298&gt;=SYear_O,$A298&lt;=EYear_O,AJ$3&gt;0),IF($A298=SYear_O,AJ$168*(1+Data_All!AJ137%),AJ297*(1+Data_All!AJ137%)),"")</f>
        <v/>
      </c>
      <c r="AK298" s="427" t="str">
        <f>IF(AND($A298&gt;=SYear_O,$A298&lt;=EYear_O,AK$3&gt;0),IF($A298=SYear_O,AK$168*(1+Data_All!AK137%),AK297*(1+Data_All!AK137%)),"")</f>
        <v/>
      </c>
      <c r="AL298" s="427" t="str">
        <f>IF(AND($A298&gt;=SYear_O,$A298&lt;=EYear_O,AL$3&gt;0),IF($A298=SYear_O,AL$168*(1+Data_All!AL137%),AL297*(1+Data_All!AL137%)),"")</f>
        <v/>
      </c>
      <c r="AM298" s="427" t="str">
        <f>IF(AND($A298&gt;=SYear_O,$A298&lt;=EYear_O,AM$3&gt;0),IF($A298=SYear_O,AM$168*(1+Data_All!AM137%),AM297*(1+Data_All!AM137%)),"")</f>
        <v/>
      </c>
      <c r="AN298" s="427" t="str">
        <f>IF(AND($A298&gt;=SYear_O,$A298&lt;=EYear_O,AN$3&gt;0),IF($A298=SYear_O,AN$168*(1+Data_All!AN137%),AN297*(1+Data_All!AN137%)),"")</f>
        <v/>
      </c>
      <c r="AO298" s="427" t="str">
        <f>IF(AND($A298&gt;=SYear_O,$A298&lt;=EYear_O,AO$3&gt;0),IF($A298=SYear_O,AO$168*(1+Data_All!AO137%),AO297*(1+Data_All!AO137%)),"")</f>
        <v/>
      </c>
      <c r="AP298" s="427" t="str">
        <f>IF(AND($A298&gt;=SYear_O,$A298&lt;=EYear_O,AP$3&gt;0),IF($A298=SYear_O,AP$168*(1+Data_All!AP137%),AP297*(1+Data_All!AP137%)),"")</f>
        <v/>
      </c>
      <c r="AQ298" s="427" t="str">
        <f>IF(AND($A298&gt;=SYear_O,$A298&lt;=EYear_O,AQ$3&gt;0),IF($A298=SYear_O,AQ$168*(1+Data_All!AQ137%),AQ297*(1+Data_All!AQ137%)),"")</f>
        <v/>
      </c>
      <c r="AR298" s="427" t="str">
        <f>IF(AND($A298&gt;=SYear_O,$A298&lt;=EYear_O,AR$3&gt;0),IF($A298=SYear_O,AR$168*(1+Data_All!AR137%),AR297*(1+Data_All!AR137%)),"")</f>
        <v/>
      </c>
      <c r="AS298" s="427" t="str">
        <f>IF(AND($A298&gt;=SYear_O,$A298&lt;=EYear_O,AS$3&gt;0),IF($A298=SYear_O,AS$168*(1+Data_All!AS137%),AS297*(1+Data_All!AS137%)),"")</f>
        <v/>
      </c>
      <c r="AT298" s="427" t="str">
        <f>IF(AND($A298&gt;=SYear_O,$A298&lt;=EYear_O,AT$3&gt;0),IF($A298=SYear_O,AT$168*(1+Data_All!AT137%),AT297*(1+Data_All!AT137%)),"")</f>
        <v/>
      </c>
      <c r="AU298" s="427" t="str">
        <f>IF(AND($A298&gt;=SYear_O,$A298&lt;=EYear_O,AU$3&gt;0),IF($A298=SYear_O,AU$168*(1+Data_All!AU137%),AU297*(1+Data_All!AU137%)),"")</f>
        <v/>
      </c>
      <c r="AV298" s="427" t="str">
        <f>IF(AND($A298&gt;=SYear_O,$A298&lt;=EYear_O,AV$3&gt;0),IF($A298=SYear_O,AV$168*(1+Data_All!AV137%),AV297*(1+Data_All!AV137%)),"")</f>
        <v/>
      </c>
      <c r="AW298" s="427" t="str">
        <f>IF(AND($A298&gt;=SYear_O,$A298&lt;=EYear_O,AW$3&gt;0),IF($A298=SYear_O,AW$168*(1+Data_All!AW137%),AW297*(1+Data_All!AW137%)),"")</f>
        <v/>
      </c>
      <c r="AX298" s="427" t="str">
        <f>IF(AND($A298&gt;=SYear_O,$A298&lt;=EYear_O,AX$3&gt;0),IF($A298=SYear_O,AX$168*(1+Data_All!AX137%),AX297*(1+Data_All!AX137%)),"")</f>
        <v/>
      </c>
      <c r="AY298" s="427" t="str">
        <f>IF(AND($A298&gt;=SYear_O,$A298&lt;=EYear_O,AY$3&gt;0),IF($A298=SYear_O,AY$168*(1+Data_All!AY137%),AY297*(1+Data_All!AY137%)),"")</f>
        <v/>
      </c>
      <c r="AZ298" s="427" t="str">
        <f>IF(AND($A298&gt;=SYear_O,$A298&lt;=EYear_O,AZ$3&gt;0),IF($A298=SYear_O,AZ$168*(1+Data_All!AZ137%),AZ297*(1+Data_All!AZ137%)),"")</f>
        <v/>
      </c>
      <c r="BA298" s="427" t="str">
        <f>IF(AND($A298&gt;=SYear_O,$A298&lt;=EYear_O,BA$3&gt;0),IF($A298=SYear_O,BA$168*(1+Data_All!BA137%),BA297*(1+Data_All!BA137%)),"")</f>
        <v/>
      </c>
      <c r="BB298" s="427" t="str">
        <f>IF(AND($A298&gt;=SYear_O,$A298&lt;=EYear_O,BB$3&gt;0),IF($A298=SYear_O,BB$168*(1+Data_All!BB137%),BB297*(1+Data_All!BB137%)),"")</f>
        <v/>
      </c>
      <c r="BC298" s="427" t="str">
        <f>IF(AND($A298&gt;=SYear_O,$A298&lt;=EYear_O,BC$3&gt;0),IF($A298=SYear_O,BC$168*(1+Data_All!BC137%),BC297*(1+Data_All!BC137%)),"")</f>
        <v/>
      </c>
      <c r="BD298" s="427" t="str">
        <f>IF(AND($A298&gt;=SYear_O,$A298&lt;=EYear_O,BD$3&gt;0),IF($A298=SYear_O,BD$168*(1+Data_All!BD137%),BD297*(1+Data_All!BD137%)),"")</f>
        <v/>
      </c>
      <c r="BE298" s="427" t="str">
        <f>IF(AND($A298&gt;=SYear_O,$A298&lt;=EYear_O,BE$3&gt;0),IF($A298=SYear_O,BE$168*(1+Data_All!BE137%),BE297*(1+Data_All!BE137%)),"")</f>
        <v/>
      </c>
      <c r="BF298" s="427" t="str">
        <f>IF(AND($A298&gt;=SYear_O,$A298&lt;=EYear_O,BF$3&gt;0),IF($A298=SYear_O,BF$168*(1+Data_All!BF137%),BF297*(1+Data_All!BF137%)),"")</f>
        <v/>
      </c>
      <c r="BG298" s="427" t="str">
        <f>IF(AND($A298&gt;=SYear_O,$A298&lt;=EYear_O,BG$3&gt;0),IF($A298=SYear_O,BG$168*(1+Data_All!BG137%),BG297*(1+Data_All!BG137%)),"")</f>
        <v/>
      </c>
      <c r="BH298" s="427" t="str">
        <f>IF(AND($A298&gt;=SYear_O,$A298&lt;=EYear_O,BH$3&gt;0),IF($A298=SYear_O,BH$168*(1+Data_All!BH137%),BH297*(1+Data_All!BH137%)),"")</f>
        <v/>
      </c>
      <c r="BI298" s="427" t="str">
        <f>IF(AND($A298&gt;=SYear_O,$A298&lt;=EYear_O,BI$3&gt;0),IF($A298=SYear_O,BI$168*(1+Data_All!BI137%),BI297*(1+Data_All!BI137%)),"")</f>
        <v/>
      </c>
      <c r="BJ298" s="427" t="str">
        <f>IF(AND($A298&gt;=SYear_O,$A298&lt;=EYear_O,BJ$3&gt;0),IF($A298=SYear_O,BJ$168*(1+Data_All!BJ137%),BJ297*(1+Data_All!BJ137%)),"")</f>
        <v/>
      </c>
      <c r="BK298" s="427" t="str">
        <f>IF(AND($A298&gt;=SYear_O,$A298&lt;=EYear_O,BK$3&gt;0),IF($A298=SYear_O,BK$168*(1+Data_All!BK137%),BK297*(1+Data_All!BK137%)),"")</f>
        <v/>
      </c>
      <c r="BL298" s="427" t="str">
        <f>IF(AND($A298&gt;=SYear_O,$A298&lt;=EYear_O,BL$3&gt;0),IF($A298=SYear_O,BL$168*(1+Data_All!BL137%),BL297*(1+Data_All!BL137%)),"")</f>
        <v/>
      </c>
      <c r="BM298" s="427" t="str">
        <f>IF(AND($A298&gt;=SYear_O,$A298&lt;=EYear_O,BM$3&gt;0),IF($A298=SYear_O,BM$168*(1+Data_All!BM137%),BM297*(1+Data_All!BM137%)),"")</f>
        <v/>
      </c>
      <c r="BN298" s="427" t="str">
        <f>IF(AND($A298&gt;=SYear_O,$A298&lt;=EYear_O,BN$3&gt;0),IF($A298=SYear_O,BN$168*(1+Data_All!BN137%),BN297*(1+Data_All!BN137%)),"")</f>
        <v/>
      </c>
      <c r="BO298" s="427" t="str">
        <f>IF(AND($A298&gt;=SYear_O,$A298&lt;=EYear_O,BO$3&gt;0),IF($A298=SYear_O,BO$168*(1+Data_All!BO137%),BO297*(1+Data_All!BO137%)),"")</f>
        <v/>
      </c>
      <c r="BP298" s="427" t="str">
        <f>IF(AND($A298&gt;=SYear_O,$A298&lt;=EYear_O,BP$3&gt;0),IF($A298=SYear_O,BP$168*(1+Data_All!BP137%),BP297*(1+Data_All!BP137%)),"")</f>
        <v/>
      </c>
      <c r="BQ298" s="427" t="str">
        <f>IF(AND($A298&gt;=SYear_O,$A298&lt;=EYear_O,BQ$3&gt;0),IF($A298=SYear_O,BQ$168*(1+Data_All!BQ137%),BQ297*(1+Data_All!BQ137%)),"")</f>
        <v/>
      </c>
      <c r="BR298" s="427" t="str">
        <f>IF(AND($A298&gt;=SYear_O,$A298&lt;=EYear_O,BR$3&gt;0),IF($A298=SYear_O,BR$168*(1+Data_All!BR137%),BR297*(1+Data_All!BR137%)),"")</f>
        <v/>
      </c>
      <c r="BS298" s="427" t="str">
        <f>IF(AND($A298&gt;=SYear_O,$A298&lt;=EYear_O,BS$3&gt;0),IF($A298=SYear_O,BS$168*(1+Data_All!BS137%),BS297*(1+Data_All!BS137%)),"")</f>
        <v/>
      </c>
      <c r="BT298" s="427" t="str">
        <f>IF(AND($A298&gt;=SYear_O,$A298&lt;=EYear_O,BT$3&gt;0),IF($A298=SYear_O,BT$168*(1+Data_All!BT137%),BT297*(1+Data_All!BT137%)),"")</f>
        <v/>
      </c>
      <c r="BU298" s="427" t="str">
        <f>IF(AND($A298&gt;=SYear_O,$A298&lt;=EYear_O,BU$3&gt;0),IF($A298=SYear_O,BU$168*(1+Data_All!BU137%),BU297*(1+Data_All!BU137%)),"")</f>
        <v/>
      </c>
      <c r="BV298" s="427" t="str">
        <f>IF(AND($A298&gt;=SYear_O,$A298&lt;=EYear_O,BV$3&gt;0),IF($A298=SYear_O,BV$168*(1+Data_All!BV137%),BV297*(1+Data_All!BV137%)),"")</f>
        <v/>
      </c>
      <c r="BW298" s="427" t="str">
        <f>IF(AND($A298&gt;=SYear_O,$A298&lt;=EYear_O,BW$3&gt;0),IF($A298=SYear_O,BW$168*(1+Data_All!BW137%),BW297*(1+Data_All!BW137%)),"")</f>
        <v/>
      </c>
      <c r="BX298" s="427">
        <f>IF(AND($A298&gt;=SYear_O,$A298&lt;=EYear_O,BX$3&gt;0),IF($A298=SYear_O,BX$168*(1+Data_All!BX137%),BX297*(1+Data_All!BX137%)),"")</f>
        <v>634532952.5240283</v>
      </c>
      <c r="BY298" s="427">
        <f>IF(AND($A298&gt;=SYear_O,$A298&lt;=EYear_O,BY$3&gt;0),IF($A298=SYear_O,BY$168*(1+Data_All!BY137%),BY297*(1+Data_All!BY137%)),"")</f>
        <v>1550495.4011107415</v>
      </c>
      <c r="BZ298" s="427" t="str">
        <f>IF(AND($A298&gt;=SYear_O,$A298&lt;=EYear_O,BZ$3&gt;0),IF($A298=SYear_O,BZ$168*(1+Data_All!BZ137%),BZ297*(1+Data_All!BZ137%)),"")</f>
        <v/>
      </c>
      <c r="CA298" s="565">
        <f t="shared" si="155"/>
        <v>-5.1302511305663616</v>
      </c>
      <c r="CB298" s="427">
        <f t="shared" si="156"/>
        <v>636083447.92513907</v>
      </c>
      <c r="CC298" s="565">
        <f>IF(AND($A298&gt;=SYear_O,$A298&lt;=EYear_O),(CA298-Data_All!CA137)/(1+Data_All!CA137%),"")</f>
        <v>-8.2380532487029683</v>
      </c>
      <c r="CD298" s="436">
        <f t="shared" si="157"/>
        <v>45564269.517409533</v>
      </c>
      <c r="CE298" s="438">
        <f t="shared" si="158"/>
        <v>57692.284518890287</v>
      </c>
      <c r="CF298" s="438">
        <f>IF(AND($A298&gt;=SYear_O,$A298&lt;=EYear_O),MAX($CE$169:CE298),"")</f>
        <v>60812.097856705019</v>
      </c>
      <c r="CG298" s="209">
        <f t="shared" si="159"/>
        <v>5.1302511305663656E-2</v>
      </c>
      <c r="CN298" s="61">
        <f t="shared" si="154"/>
        <v>-5.1302511305663656E-2</v>
      </c>
      <c r="CO298" s="61">
        <f t="shared" si="144"/>
        <v>-0.13029875368013266</v>
      </c>
      <c r="CP298" s="61">
        <f t="shared" si="145"/>
        <v>-2.2047372774334772E-2</v>
      </c>
      <c r="CQ298" s="61">
        <f t="shared" si="146"/>
        <v>-5.4362906910544462E-3</v>
      </c>
      <c r="CR298" s="61"/>
      <c r="CU298" s="61">
        <f t="shared" si="148"/>
        <v>-8.2380532487029701E-2</v>
      </c>
      <c r="CV298" s="61">
        <f t="shared" si="149"/>
        <v>-0.15097865508417496</v>
      </c>
      <c r="CW298" s="61">
        <f t="shared" si="150"/>
        <v>-4.5783585005256477E-2</v>
      </c>
      <c r="CX298" s="61">
        <f t="shared" si="151"/>
        <v>-2.9923687444607494E-2</v>
      </c>
      <c r="CY298" s="61"/>
    </row>
    <row r="299" spans="1:103">
      <c r="A299" s="204">
        <f t="shared" si="153"/>
        <v>2001</v>
      </c>
      <c r="B299" s="427" t="str">
        <f>IF(AND($A299&gt;=SYear_O,$A299&lt;=EYear_O,B$3&gt;0),IF($A299=SYear_O,B$168*(1+Data_All!B138%),B298*(1+Data_All!B138%)),"")</f>
        <v/>
      </c>
      <c r="C299" s="427" t="str">
        <f>IF(AND($A299&gt;=SYear_O,$A299&lt;=EYear_O,C$3&gt;0),IF($A299=SYear_O,C$168*(1+Data_All!C138%),C298*(1+Data_All!C138%)),"")</f>
        <v/>
      </c>
      <c r="D299" s="427" t="str">
        <f>IF(AND($A299&gt;=SYear_O,$A299&lt;=EYear_O,D$3&gt;0),IF($A299=SYear_O,D$168*(1+Data_All!D138%),D298*(1+Data_All!D138%)),"")</f>
        <v/>
      </c>
      <c r="E299" s="427" t="str">
        <f>IF(AND($A299&gt;=SYear_O,$A299&lt;=EYear_O,E$3&gt;0),IF($A299=SYear_O,E$168*(1+Data_All!E138%),E298*(1+Data_All!E138%)),"")</f>
        <v/>
      </c>
      <c r="F299" s="427" t="str">
        <f>IF(AND($A299&gt;=SYear_O,$A299&lt;=EYear_O,F$3&gt;0),IF($A299=SYear_O,F$168*(1+Data_All!F138%),F298*(1+Data_All!F138%)),"")</f>
        <v/>
      </c>
      <c r="G299" s="427" t="str">
        <f>IF(AND($A299&gt;=SYear_O,$A299&lt;=EYear_O,G$3&gt;0),IF($A299=SYear_O,G$168*(1+Data_All!G138%),G298*(1+Data_All!G138%)),"")</f>
        <v/>
      </c>
      <c r="H299" s="427" t="str">
        <f>IF(AND($A299&gt;=SYear_O,$A299&lt;=EYear_O,H$3&gt;0),IF($A299=SYear_O,H$168*(1+Data_All!H138%),H298*(1+Data_All!H138%)),"")</f>
        <v/>
      </c>
      <c r="I299" s="427" t="str">
        <f>IF(AND($A299&gt;=SYear_O,$A299&lt;=EYear_O,I$3&gt;0),IF($A299=SYear_O,I$168*(1+Data_All!I138%),I298*(1+Data_All!I138%)),"")</f>
        <v/>
      </c>
      <c r="J299" s="427" t="str">
        <f>IF(AND($A299&gt;=SYear_O,$A299&lt;=EYear_O,J$3&gt;0),IF($A299=SYear_O,J$168*(1+Data_All!J138%),J298*(1+Data_All!J138%)),"")</f>
        <v/>
      </c>
      <c r="K299" s="427" t="str">
        <f>IF(AND($A299&gt;=SYear_O,$A299&lt;=EYear_O,K$3&gt;0),IF($A299=SYear_O,K$168*(1+Data_All!K138%),K298*(1+Data_All!K138%)),"")</f>
        <v/>
      </c>
      <c r="L299" s="427" t="str">
        <f>IF(AND($A299&gt;=SYear_O,$A299&lt;=EYear_O,L$3&gt;0),IF($A299=SYear_O,L$168*(1+Data_All!L138%),L298*(1+Data_All!L138%)),"")</f>
        <v/>
      </c>
      <c r="M299" s="427" t="str">
        <f>IF(AND($A299&gt;=SYear_O,$A299&lt;=EYear_O,M$3&gt;0),IF($A299=SYear_O,M$168*(1+Data_All!M138%),M298*(1+Data_All!M138%)),"")</f>
        <v/>
      </c>
      <c r="N299" s="427" t="str">
        <f>IF(AND($A299&gt;=SYear_O,$A299&lt;=EYear_O,N$3&gt;0),IF($A299=SYear_O,N$168*(1+Data_All!N138%),N298*(1+Data_All!N138%)),"")</f>
        <v/>
      </c>
      <c r="O299" s="427" t="str">
        <f>IF(AND($A299&gt;=SYear_O,$A299&lt;=EYear_O,O$3&gt;0),IF($A299=SYear_O,O$168*(1+Data_All!O138%),O298*(1+Data_All!O138%)),"")</f>
        <v/>
      </c>
      <c r="P299" s="427" t="str">
        <f>IF(AND($A299&gt;=SYear_O,$A299&lt;=EYear_O,P$3&gt;0),IF($A299=SYear_O,P$168*(1+Data_All!P138%),P298*(1+Data_All!P138%)),"")</f>
        <v/>
      </c>
      <c r="Q299" s="427" t="str">
        <f>IF(AND($A299&gt;=SYear_O,$A299&lt;=EYear_O,Q$3&gt;0),IF($A299=SYear_O,Q$168*(1+Data_All!Q138%),Q298*(1+Data_All!Q138%)),"")</f>
        <v/>
      </c>
      <c r="R299" s="427" t="str">
        <f>IF(AND($A299&gt;=SYear_O,$A299&lt;=EYear_O,R$3&gt;0),IF($A299=SYear_O,R$168*(1+Data_All!R138%),R298*(1+Data_All!R138%)),"")</f>
        <v/>
      </c>
      <c r="S299" s="427" t="str">
        <f>IF(AND($A299&gt;=SYear_O,$A299&lt;=EYear_O,S$3&gt;0),IF($A299=SYear_O,S$168*(1+Data_All!S138%),S298*(1+Data_All!S138%)),"")</f>
        <v/>
      </c>
      <c r="T299" s="427" t="str">
        <f>IF(AND($A299&gt;=SYear_O,$A299&lt;=EYear_O,T$3&gt;0),IF($A299=SYear_O,T$168*(1+Data_All!T138%),T298*(1+Data_All!T138%)),"")</f>
        <v/>
      </c>
      <c r="U299" s="427" t="str">
        <f>IF(AND($A299&gt;=SYear_O,$A299&lt;=EYear_O,U$3&gt;0),IF($A299=SYear_O,U$168*(1+Data_All!U138%),U298*(1+Data_All!U138%)),"")</f>
        <v/>
      </c>
      <c r="V299" s="427" t="str">
        <f>IF(AND($A299&gt;=SYear_O,$A299&lt;=EYear_O,V$3&gt;0),IF($A299=SYear_O,V$168*(1+Data_All!V138%),V298*(1+Data_All!V138%)),"")</f>
        <v/>
      </c>
      <c r="W299" s="427" t="str">
        <f>IF(AND($A299&gt;=SYear_O,$A299&lt;=EYear_O,W$3&gt;0),IF($A299=SYear_O,W$168*(1+Data_All!W138%),W298*(1+Data_All!W138%)),"")</f>
        <v/>
      </c>
      <c r="X299" s="427" t="str">
        <f>IF(AND($A299&gt;=SYear_O,$A299&lt;=EYear_O,X$3&gt;0),IF($A299=SYear_O,X$168*(1+Data_All!X138%),X298*(1+Data_All!X138%)),"")</f>
        <v/>
      </c>
      <c r="Y299" s="427" t="str">
        <f>IF(AND($A299&gt;=SYear_O,$A299&lt;=EYear_O,Y$3&gt;0),IF($A299=SYear_O,Y$168*(1+Data_All!Y138%),Y298*(1+Data_All!Y138%)),"")</f>
        <v/>
      </c>
      <c r="Z299" s="427" t="str">
        <f>IF(AND($A299&gt;=SYear_O,$A299&lt;=EYear_O,Z$3&gt;0),IF($A299=SYear_O,Z$168*(1+Data_All!Z138%),Z298*(1+Data_All!Z138%)),"")</f>
        <v/>
      </c>
      <c r="AA299" s="427" t="str">
        <f>IF(AND($A299&gt;=SYear_O,$A299&lt;=EYear_O,AA$3&gt;0),IF($A299=SYear_O,AA$168*(1+Data_All!AA138%),AA298*(1+Data_All!AA138%)),"")</f>
        <v/>
      </c>
      <c r="AB299" s="427" t="str">
        <f>IF(AND($A299&gt;=SYear_O,$A299&lt;=EYear_O,AB$3&gt;0),IF($A299=SYear_O,AB$168*(1+Data_All!AB138%),AB298*(1+Data_All!AB138%)),"")</f>
        <v/>
      </c>
      <c r="AC299" s="427" t="str">
        <f>IF(AND($A299&gt;=SYear_O,$A299&lt;=EYear_O,AC$3&gt;0),IF($A299=SYear_O,AC$168*(1+Data_All!AC138%),AC298*(1+Data_All!AC138%)),"")</f>
        <v/>
      </c>
      <c r="AD299" s="427" t="str">
        <f>IF(AND($A299&gt;=SYear_O,$A299&lt;=EYear_O,AD$3&gt;0),IF($A299=SYear_O,AD$168*(1+Data_All!AD138%),AD298*(1+Data_All!AD138%)),"")</f>
        <v/>
      </c>
      <c r="AE299" s="427" t="str">
        <f>IF(AND($A299&gt;=SYear_O,$A299&lt;=EYear_O,AE$3&gt;0),IF($A299=SYear_O,AE$168*(1+Data_All!AE138%),AE298*(1+Data_All!AE138%)),"")</f>
        <v/>
      </c>
      <c r="AF299" s="427" t="str">
        <f>IF(AND($A299&gt;=SYear_O,$A299&lt;=EYear_O,AF$3&gt;0),IF($A299=SYear_O,AF$168*(1+Data_All!AF138%),AF298*(1+Data_All!AF138%)),"")</f>
        <v/>
      </c>
      <c r="AG299" s="427" t="str">
        <f>IF(AND($A299&gt;=SYear_O,$A299&lt;=EYear_O,AG$3&gt;0),IF($A299=SYear_O,AG$168*(1+Data_All!AG138%),AG298*(1+Data_All!AG138%)),"")</f>
        <v/>
      </c>
      <c r="AH299" s="427" t="str">
        <f>IF(AND($A299&gt;=SYear_O,$A299&lt;=EYear_O,AH$3&gt;0),IF($A299=SYear_O,AH$168*(1+Data_All!AH138%),AH298*(1+Data_All!AH138%)),"")</f>
        <v/>
      </c>
      <c r="AI299" s="427" t="str">
        <f>IF(AND($A299&gt;=SYear_O,$A299&lt;=EYear_O,AI$3&gt;0),IF($A299=SYear_O,AI$168*(1+Data_All!AI138%),AI298*(1+Data_All!AI138%)),"")</f>
        <v/>
      </c>
      <c r="AJ299" s="427" t="str">
        <f>IF(AND($A299&gt;=SYear_O,$A299&lt;=EYear_O,AJ$3&gt;0),IF($A299=SYear_O,AJ$168*(1+Data_All!AJ138%),AJ298*(1+Data_All!AJ138%)),"")</f>
        <v/>
      </c>
      <c r="AK299" s="427" t="str">
        <f>IF(AND($A299&gt;=SYear_O,$A299&lt;=EYear_O,AK$3&gt;0),IF($A299=SYear_O,AK$168*(1+Data_All!AK138%),AK298*(1+Data_All!AK138%)),"")</f>
        <v/>
      </c>
      <c r="AL299" s="427" t="str">
        <f>IF(AND($A299&gt;=SYear_O,$A299&lt;=EYear_O,AL$3&gt;0),IF($A299=SYear_O,AL$168*(1+Data_All!AL138%),AL298*(1+Data_All!AL138%)),"")</f>
        <v/>
      </c>
      <c r="AM299" s="427" t="str">
        <f>IF(AND($A299&gt;=SYear_O,$A299&lt;=EYear_O,AM$3&gt;0),IF($A299=SYear_O,AM$168*(1+Data_All!AM138%),AM298*(1+Data_All!AM138%)),"")</f>
        <v/>
      </c>
      <c r="AN299" s="427" t="str">
        <f>IF(AND($A299&gt;=SYear_O,$A299&lt;=EYear_O,AN$3&gt;0),IF($A299=SYear_O,AN$168*(1+Data_All!AN138%),AN298*(1+Data_All!AN138%)),"")</f>
        <v/>
      </c>
      <c r="AO299" s="427" t="str">
        <f>IF(AND($A299&gt;=SYear_O,$A299&lt;=EYear_O,AO$3&gt;0),IF($A299=SYear_O,AO$168*(1+Data_All!AO138%),AO298*(1+Data_All!AO138%)),"")</f>
        <v/>
      </c>
      <c r="AP299" s="427" t="str">
        <f>IF(AND($A299&gt;=SYear_O,$A299&lt;=EYear_O,AP$3&gt;0),IF($A299=SYear_O,AP$168*(1+Data_All!AP138%),AP298*(1+Data_All!AP138%)),"")</f>
        <v/>
      </c>
      <c r="AQ299" s="427" t="str">
        <f>IF(AND($A299&gt;=SYear_O,$A299&lt;=EYear_O,AQ$3&gt;0),IF($A299=SYear_O,AQ$168*(1+Data_All!AQ138%),AQ298*(1+Data_All!AQ138%)),"")</f>
        <v/>
      </c>
      <c r="AR299" s="427" t="str">
        <f>IF(AND($A299&gt;=SYear_O,$A299&lt;=EYear_O,AR$3&gt;0),IF($A299=SYear_O,AR$168*(1+Data_All!AR138%),AR298*(1+Data_All!AR138%)),"")</f>
        <v/>
      </c>
      <c r="AS299" s="427" t="str">
        <f>IF(AND($A299&gt;=SYear_O,$A299&lt;=EYear_O,AS$3&gt;0),IF($A299=SYear_O,AS$168*(1+Data_All!AS138%),AS298*(1+Data_All!AS138%)),"")</f>
        <v/>
      </c>
      <c r="AT299" s="427" t="str">
        <f>IF(AND($A299&gt;=SYear_O,$A299&lt;=EYear_O,AT$3&gt;0),IF($A299=SYear_O,AT$168*(1+Data_All!AT138%),AT298*(1+Data_All!AT138%)),"")</f>
        <v/>
      </c>
      <c r="AU299" s="427" t="str">
        <f>IF(AND($A299&gt;=SYear_O,$A299&lt;=EYear_O,AU$3&gt;0),IF($A299=SYear_O,AU$168*(1+Data_All!AU138%),AU298*(1+Data_All!AU138%)),"")</f>
        <v/>
      </c>
      <c r="AV299" s="427" t="str">
        <f>IF(AND($A299&gt;=SYear_O,$A299&lt;=EYear_O,AV$3&gt;0),IF($A299=SYear_O,AV$168*(1+Data_All!AV138%),AV298*(1+Data_All!AV138%)),"")</f>
        <v/>
      </c>
      <c r="AW299" s="427" t="str">
        <f>IF(AND($A299&gt;=SYear_O,$A299&lt;=EYear_O,AW$3&gt;0),IF($A299=SYear_O,AW$168*(1+Data_All!AW138%),AW298*(1+Data_All!AW138%)),"")</f>
        <v/>
      </c>
      <c r="AX299" s="427" t="str">
        <f>IF(AND($A299&gt;=SYear_O,$A299&lt;=EYear_O,AX$3&gt;0),IF($A299=SYear_O,AX$168*(1+Data_All!AX138%),AX298*(1+Data_All!AX138%)),"")</f>
        <v/>
      </c>
      <c r="AY299" s="427" t="str">
        <f>IF(AND($A299&gt;=SYear_O,$A299&lt;=EYear_O,AY$3&gt;0),IF($A299=SYear_O,AY$168*(1+Data_All!AY138%),AY298*(1+Data_All!AY138%)),"")</f>
        <v/>
      </c>
      <c r="AZ299" s="427" t="str">
        <f>IF(AND($A299&gt;=SYear_O,$A299&lt;=EYear_O,AZ$3&gt;0),IF($A299=SYear_O,AZ$168*(1+Data_All!AZ138%),AZ298*(1+Data_All!AZ138%)),"")</f>
        <v/>
      </c>
      <c r="BA299" s="427" t="str">
        <f>IF(AND($A299&gt;=SYear_O,$A299&lt;=EYear_O,BA$3&gt;0),IF($A299=SYear_O,BA$168*(1+Data_All!BA138%),BA298*(1+Data_All!BA138%)),"")</f>
        <v/>
      </c>
      <c r="BB299" s="427" t="str">
        <f>IF(AND($A299&gt;=SYear_O,$A299&lt;=EYear_O,BB$3&gt;0),IF($A299=SYear_O,BB$168*(1+Data_All!BB138%),BB298*(1+Data_All!BB138%)),"")</f>
        <v/>
      </c>
      <c r="BC299" s="427" t="str">
        <f>IF(AND($A299&gt;=SYear_O,$A299&lt;=EYear_O,BC$3&gt;0),IF($A299=SYear_O,BC$168*(1+Data_All!BC138%),BC298*(1+Data_All!BC138%)),"")</f>
        <v/>
      </c>
      <c r="BD299" s="427" t="str">
        <f>IF(AND($A299&gt;=SYear_O,$A299&lt;=EYear_O,BD$3&gt;0),IF($A299=SYear_O,BD$168*(1+Data_All!BD138%),BD298*(1+Data_All!BD138%)),"")</f>
        <v/>
      </c>
      <c r="BE299" s="427" t="str">
        <f>IF(AND($A299&gt;=SYear_O,$A299&lt;=EYear_O,BE$3&gt;0),IF($A299=SYear_O,BE$168*(1+Data_All!BE138%),BE298*(1+Data_All!BE138%)),"")</f>
        <v/>
      </c>
      <c r="BF299" s="427" t="str">
        <f>IF(AND($A299&gt;=SYear_O,$A299&lt;=EYear_O,BF$3&gt;0),IF($A299=SYear_O,BF$168*(1+Data_All!BF138%),BF298*(1+Data_All!BF138%)),"")</f>
        <v/>
      </c>
      <c r="BG299" s="427" t="str">
        <f>IF(AND($A299&gt;=SYear_O,$A299&lt;=EYear_O,BG$3&gt;0),IF($A299=SYear_O,BG$168*(1+Data_All!BG138%),BG298*(1+Data_All!BG138%)),"")</f>
        <v/>
      </c>
      <c r="BH299" s="427" t="str">
        <f>IF(AND($A299&gt;=SYear_O,$A299&lt;=EYear_O,BH$3&gt;0),IF($A299=SYear_O,BH$168*(1+Data_All!BH138%),BH298*(1+Data_All!BH138%)),"")</f>
        <v/>
      </c>
      <c r="BI299" s="427" t="str">
        <f>IF(AND($A299&gt;=SYear_O,$A299&lt;=EYear_O,BI$3&gt;0),IF($A299=SYear_O,BI$168*(1+Data_All!BI138%),BI298*(1+Data_All!BI138%)),"")</f>
        <v/>
      </c>
      <c r="BJ299" s="427" t="str">
        <f>IF(AND($A299&gt;=SYear_O,$A299&lt;=EYear_O,BJ$3&gt;0),IF($A299=SYear_O,BJ$168*(1+Data_All!BJ138%),BJ298*(1+Data_All!BJ138%)),"")</f>
        <v/>
      </c>
      <c r="BK299" s="427" t="str">
        <f>IF(AND($A299&gt;=SYear_O,$A299&lt;=EYear_O,BK$3&gt;0),IF($A299=SYear_O,BK$168*(1+Data_All!BK138%),BK298*(1+Data_All!BK138%)),"")</f>
        <v/>
      </c>
      <c r="BL299" s="427" t="str">
        <f>IF(AND($A299&gt;=SYear_O,$A299&lt;=EYear_O,BL$3&gt;0),IF($A299=SYear_O,BL$168*(1+Data_All!BL138%),BL298*(1+Data_All!BL138%)),"")</f>
        <v/>
      </c>
      <c r="BM299" s="427" t="str">
        <f>IF(AND($A299&gt;=SYear_O,$A299&lt;=EYear_O,BM$3&gt;0),IF($A299=SYear_O,BM$168*(1+Data_All!BM138%),BM298*(1+Data_All!BM138%)),"")</f>
        <v/>
      </c>
      <c r="BN299" s="427" t="str">
        <f>IF(AND($A299&gt;=SYear_O,$A299&lt;=EYear_O,BN$3&gt;0),IF($A299=SYear_O,BN$168*(1+Data_All!BN138%),BN298*(1+Data_All!BN138%)),"")</f>
        <v/>
      </c>
      <c r="BO299" s="427" t="str">
        <f>IF(AND($A299&gt;=SYear_O,$A299&lt;=EYear_O,BO$3&gt;0),IF($A299=SYear_O,BO$168*(1+Data_All!BO138%),BO298*(1+Data_All!BO138%)),"")</f>
        <v/>
      </c>
      <c r="BP299" s="427" t="str">
        <f>IF(AND($A299&gt;=SYear_O,$A299&lt;=EYear_O,BP$3&gt;0),IF($A299=SYear_O,BP$168*(1+Data_All!BP138%),BP298*(1+Data_All!BP138%)),"")</f>
        <v/>
      </c>
      <c r="BQ299" s="427" t="str">
        <f>IF(AND($A299&gt;=SYear_O,$A299&lt;=EYear_O,BQ$3&gt;0),IF($A299=SYear_O,BQ$168*(1+Data_All!BQ138%),BQ298*(1+Data_All!BQ138%)),"")</f>
        <v/>
      </c>
      <c r="BR299" s="427" t="str">
        <f>IF(AND($A299&gt;=SYear_O,$A299&lt;=EYear_O,BR$3&gt;0),IF($A299=SYear_O,BR$168*(1+Data_All!BR138%),BR298*(1+Data_All!BR138%)),"")</f>
        <v/>
      </c>
      <c r="BS299" s="427" t="str">
        <f>IF(AND($A299&gt;=SYear_O,$A299&lt;=EYear_O,BS$3&gt;0),IF($A299=SYear_O,BS$168*(1+Data_All!BS138%),BS298*(1+Data_All!BS138%)),"")</f>
        <v/>
      </c>
      <c r="BT299" s="427" t="str">
        <f>IF(AND($A299&gt;=SYear_O,$A299&lt;=EYear_O,BT$3&gt;0),IF($A299=SYear_O,BT$168*(1+Data_All!BT138%),BT298*(1+Data_All!BT138%)),"")</f>
        <v/>
      </c>
      <c r="BU299" s="427" t="str">
        <f>IF(AND($A299&gt;=SYear_O,$A299&lt;=EYear_O,BU$3&gt;0),IF($A299=SYear_O,BU$168*(1+Data_All!BU138%),BU298*(1+Data_All!BU138%)),"")</f>
        <v/>
      </c>
      <c r="BV299" s="427" t="str">
        <f>IF(AND($A299&gt;=SYear_O,$A299&lt;=EYear_O,BV$3&gt;0),IF($A299=SYear_O,BV$168*(1+Data_All!BV138%),BV298*(1+Data_All!BV138%)),"")</f>
        <v/>
      </c>
      <c r="BW299" s="427" t="str">
        <f>IF(AND($A299&gt;=SYear_O,$A299&lt;=EYear_O,BW$3&gt;0),IF($A299=SYear_O,BW$168*(1+Data_All!BW138%),BW298*(1+Data_All!BW138%)),"")</f>
        <v/>
      </c>
      <c r="BX299" s="427">
        <f>IF(AND($A299&gt;=SYear_O,$A299&lt;=EYear_O,BX$3&gt;0),IF($A299=SYear_O,BX$168*(1+Data_All!BX138%),BX298*(1+Data_All!BX138%)),"")</f>
        <v>549170328.96097755</v>
      </c>
      <c r="BY299" s="427">
        <f>IF(AND($A299&gt;=SYear_O,$A299&lt;=EYear_O,BY$3&gt;0),IF($A299=SYear_O,BY$168*(1+Data_All!BY138%),BY298*(1+Data_All!BY138%)),"")</f>
        <v>1666969.6823590437</v>
      </c>
      <c r="BZ299" s="427" t="str">
        <f>IF(AND($A299&gt;=SYear_O,$A299&lt;=EYear_O,BZ$3&gt;0),IF($A299=SYear_O,BZ$168*(1+Data_All!BZ138%),BZ298*(1+Data_All!BZ138%)),"")</f>
        <v/>
      </c>
      <c r="CA299" s="565">
        <f t="shared" si="155"/>
        <v>-13.401724185697578</v>
      </c>
      <c r="CB299" s="427">
        <f t="shared" si="156"/>
        <v>550837298.64333665</v>
      </c>
      <c r="CC299" s="565">
        <f>IF(AND($A299&gt;=SYear_O,$A299&lt;=EYear_O),(CA299-Data_All!CA138)/(1+Data_All!CA138%),"")</f>
        <v>-14.72495760221493</v>
      </c>
      <c r="CD299" s="436">
        <f t="shared" si="157"/>
        <v>38854950.14921204</v>
      </c>
      <c r="CE299" s="438">
        <f t="shared" si="158"/>
        <v>49960.523671240706</v>
      </c>
      <c r="CF299" s="438">
        <f>IF(AND($A299&gt;=SYear_O,$A299&lt;=EYear_O),MAX($CE$169:CE299),"")</f>
        <v>60812.097856705019</v>
      </c>
      <c r="CG299" s="209">
        <f t="shared" si="159"/>
        <v>0.17844433209711807</v>
      </c>
      <c r="CN299" s="61">
        <f t="shared" si="154"/>
        <v>-0.13401724185697572</v>
      </c>
      <c r="CO299" s="61">
        <f t="shared" si="144"/>
        <v>-3.8335435608054635E-2</v>
      </c>
      <c r="CP299" s="61">
        <f t="shared" si="145"/>
        <v>7.4959324363490509E-3</v>
      </c>
      <c r="CQ299" s="61">
        <f t="shared" si="146"/>
        <v>1.4886100486555032E-2</v>
      </c>
      <c r="CR299" s="61"/>
      <c r="CU299" s="61">
        <f t="shared" si="148"/>
        <v>-0.14724957602214928</v>
      </c>
      <c r="CV299" s="61">
        <f t="shared" si="149"/>
        <v>-5.6594831858042927E-2</v>
      </c>
      <c r="CW299" s="61">
        <f t="shared" si="150"/>
        <v>-1.7012189811755896E-2</v>
      </c>
      <c r="CX299" s="61">
        <f t="shared" si="151"/>
        <v>-8.2725474969945756E-3</v>
      </c>
      <c r="CY299" s="61"/>
    </row>
    <row r="300" spans="1:103">
      <c r="A300" s="204">
        <f t="shared" si="153"/>
        <v>2002</v>
      </c>
      <c r="B300" s="427" t="str">
        <f>IF(AND($A300&gt;=SYear_O,$A300&lt;=EYear_O,B$3&gt;0),IF($A300=SYear_O,B$168*(1+Data_All!B139%),B299*(1+Data_All!B139%)),"")</f>
        <v/>
      </c>
      <c r="C300" s="427" t="str">
        <f>IF(AND($A300&gt;=SYear_O,$A300&lt;=EYear_O,C$3&gt;0),IF($A300=SYear_O,C$168*(1+Data_All!C139%),C299*(1+Data_All!C139%)),"")</f>
        <v/>
      </c>
      <c r="D300" s="427" t="str">
        <f>IF(AND($A300&gt;=SYear_O,$A300&lt;=EYear_O,D$3&gt;0),IF($A300=SYear_O,D$168*(1+Data_All!D139%),D299*(1+Data_All!D139%)),"")</f>
        <v/>
      </c>
      <c r="E300" s="427" t="str">
        <f>IF(AND($A300&gt;=SYear_O,$A300&lt;=EYear_O,E$3&gt;0),IF($A300=SYear_O,E$168*(1+Data_All!E139%),E299*(1+Data_All!E139%)),"")</f>
        <v/>
      </c>
      <c r="F300" s="427" t="str">
        <f>IF(AND($A300&gt;=SYear_O,$A300&lt;=EYear_O,F$3&gt;0),IF($A300=SYear_O,F$168*(1+Data_All!F139%),F299*(1+Data_All!F139%)),"")</f>
        <v/>
      </c>
      <c r="G300" s="427" t="str">
        <f>IF(AND($A300&gt;=SYear_O,$A300&lt;=EYear_O,G$3&gt;0),IF($A300=SYear_O,G$168*(1+Data_All!G139%),G299*(1+Data_All!G139%)),"")</f>
        <v/>
      </c>
      <c r="H300" s="427" t="str">
        <f>IF(AND($A300&gt;=SYear_O,$A300&lt;=EYear_O,H$3&gt;0),IF($A300=SYear_O,H$168*(1+Data_All!H139%),H299*(1+Data_All!H139%)),"")</f>
        <v/>
      </c>
      <c r="I300" s="427" t="str">
        <f>IF(AND($A300&gt;=SYear_O,$A300&lt;=EYear_O,I$3&gt;0),IF($A300=SYear_O,I$168*(1+Data_All!I139%),I299*(1+Data_All!I139%)),"")</f>
        <v/>
      </c>
      <c r="J300" s="427" t="str">
        <f>IF(AND($A300&gt;=SYear_O,$A300&lt;=EYear_O,J$3&gt;0),IF($A300=SYear_O,J$168*(1+Data_All!J139%),J299*(1+Data_All!J139%)),"")</f>
        <v/>
      </c>
      <c r="K300" s="427" t="str">
        <f>IF(AND($A300&gt;=SYear_O,$A300&lt;=EYear_O,K$3&gt;0),IF($A300=SYear_O,K$168*(1+Data_All!K139%),K299*(1+Data_All!K139%)),"")</f>
        <v/>
      </c>
      <c r="L300" s="427" t="str">
        <f>IF(AND($A300&gt;=SYear_O,$A300&lt;=EYear_O,L$3&gt;0),IF($A300=SYear_O,L$168*(1+Data_All!L139%),L299*(1+Data_All!L139%)),"")</f>
        <v/>
      </c>
      <c r="M300" s="427" t="str">
        <f>IF(AND($A300&gt;=SYear_O,$A300&lt;=EYear_O,M$3&gt;0),IF($A300=SYear_O,M$168*(1+Data_All!M139%),M299*(1+Data_All!M139%)),"")</f>
        <v/>
      </c>
      <c r="N300" s="427" t="str">
        <f>IF(AND($A300&gt;=SYear_O,$A300&lt;=EYear_O,N$3&gt;0),IF($A300=SYear_O,N$168*(1+Data_All!N139%),N299*(1+Data_All!N139%)),"")</f>
        <v/>
      </c>
      <c r="O300" s="427" t="str">
        <f>IF(AND($A300&gt;=SYear_O,$A300&lt;=EYear_O,O$3&gt;0),IF($A300=SYear_O,O$168*(1+Data_All!O139%),O299*(1+Data_All!O139%)),"")</f>
        <v/>
      </c>
      <c r="P300" s="427" t="str">
        <f>IF(AND($A300&gt;=SYear_O,$A300&lt;=EYear_O,P$3&gt;0),IF($A300=SYear_O,P$168*(1+Data_All!P139%),P299*(1+Data_All!P139%)),"")</f>
        <v/>
      </c>
      <c r="Q300" s="427" t="str">
        <f>IF(AND($A300&gt;=SYear_O,$A300&lt;=EYear_O,Q$3&gt;0),IF($A300=SYear_O,Q$168*(1+Data_All!Q139%),Q299*(1+Data_All!Q139%)),"")</f>
        <v/>
      </c>
      <c r="R300" s="427" t="str">
        <f>IF(AND($A300&gt;=SYear_O,$A300&lt;=EYear_O,R$3&gt;0),IF($A300=SYear_O,R$168*(1+Data_All!R139%),R299*(1+Data_All!R139%)),"")</f>
        <v/>
      </c>
      <c r="S300" s="427" t="str">
        <f>IF(AND($A300&gt;=SYear_O,$A300&lt;=EYear_O,S$3&gt;0),IF($A300=SYear_O,S$168*(1+Data_All!S139%),S299*(1+Data_All!S139%)),"")</f>
        <v/>
      </c>
      <c r="T300" s="427" t="str">
        <f>IF(AND($A300&gt;=SYear_O,$A300&lt;=EYear_O,T$3&gt;0),IF($A300=SYear_O,T$168*(1+Data_All!T139%),T299*(1+Data_All!T139%)),"")</f>
        <v/>
      </c>
      <c r="U300" s="427" t="str">
        <f>IF(AND($A300&gt;=SYear_O,$A300&lt;=EYear_O,U$3&gt;0),IF($A300=SYear_O,U$168*(1+Data_All!U139%),U299*(1+Data_All!U139%)),"")</f>
        <v/>
      </c>
      <c r="V300" s="427" t="str">
        <f>IF(AND($A300&gt;=SYear_O,$A300&lt;=EYear_O,V$3&gt;0),IF($A300=SYear_O,V$168*(1+Data_All!V139%),V299*(1+Data_All!V139%)),"")</f>
        <v/>
      </c>
      <c r="W300" s="427" t="str">
        <f>IF(AND($A300&gt;=SYear_O,$A300&lt;=EYear_O,W$3&gt;0),IF($A300=SYear_O,W$168*(1+Data_All!W139%),W299*(1+Data_All!W139%)),"")</f>
        <v/>
      </c>
      <c r="X300" s="427" t="str">
        <f>IF(AND($A300&gt;=SYear_O,$A300&lt;=EYear_O,X$3&gt;0),IF($A300=SYear_O,X$168*(1+Data_All!X139%),X299*(1+Data_All!X139%)),"")</f>
        <v/>
      </c>
      <c r="Y300" s="427" t="str">
        <f>IF(AND($A300&gt;=SYear_O,$A300&lt;=EYear_O,Y$3&gt;0),IF($A300=SYear_O,Y$168*(1+Data_All!Y139%),Y299*(1+Data_All!Y139%)),"")</f>
        <v/>
      </c>
      <c r="Z300" s="427" t="str">
        <f>IF(AND($A300&gt;=SYear_O,$A300&lt;=EYear_O,Z$3&gt;0),IF($A300=SYear_O,Z$168*(1+Data_All!Z139%),Z299*(1+Data_All!Z139%)),"")</f>
        <v/>
      </c>
      <c r="AA300" s="427" t="str">
        <f>IF(AND($A300&gt;=SYear_O,$A300&lt;=EYear_O,AA$3&gt;0),IF($A300=SYear_O,AA$168*(1+Data_All!AA139%),AA299*(1+Data_All!AA139%)),"")</f>
        <v/>
      </c>
      <c r="AB300" s="427" t="str">
        <f>IF(AND($A300&gt;=SYear_O,$A300&lt;=EYear_O,AB$3&gt;0),IF($A300=SYear_O,AB$168*(1+Data_All!AB139%),AB299*(1+Data_All!AB139%)),"")</f>
        <v/>
      </c>
      <c r="AC300" s="427" t="str">
        <f>IF(AND($A300&gt;=SYear_O,$A300&lt;=EYear_O,AC$3&gt;0),IF($A300=SYear_O,AC$168*(1+Data_All!AC139%),AC299*(1+Data_All!AC139%)),"")</f>
        <v/>
      </c>
      <c r="AD300" s="427" t="str">
        <f>IF(AND($A300&gt;=SYear_O,$A300&lt;=EYear_O,AD$3&gt;0),IF($A300=SYear_O,AD$168*(1+Data_All!AD139%),AD299*(1+Data_All!AD139%)),"")</f>
        <v/>
      </c>
      <c r="AE300" s="427" t="str">
        <f>IF(AND($A300&gt;=SYear_O,$A300&lt;=EYear_O,AE$3&gt;0),IF($A300=SYear_O,AE$168*(1+Data_All!AE139%),AE299*(1+Data_All!AE139%)),"")</f>
        <v/>
      </c>
      <c r="AF300" s="427" t="str">
        <f>IF(AND($A300&gt;=SYear_O,$A300&lt;=EYear_O,AF$3&gt;0),IF($A300=SYear_O,AF$168*(1+Data_All!AF139%),AF299*(1+Data_All!AF139%)),"")</f>
        <v/>
      </c>
      <c r="AG300" s="427" t="str">
        <f>IF(AND($A300&gt;=SYear_O,$A300&lt;=EYear_O,AG$3&gt;0),IF($A300=SYear_O,AG$168*(1+Data_All!AG139%),AG299*(1+Data_All!AG139%)),"")</f>
        <v/>
      </c>
      <c r="AH300" s="427" t="str">
        <f>IF(AND($A300&gt;=SYear_O,$A300&lt;=EYear_O,AH$3&gt;0),IF($A300=SYear_O,AH$168*(1+Data_All!AH139%),AH299*(1+Data_All!AH139%)),"")</f>
        <v/>
      </c>
      <c r="AI300" s="427" t="str">
        <f>IF(AND($A300&gt;=SYear_O,$A300&lt;=EYear_O,AI$3&gt;0),IF($A300=SYear_O,AI$168*(1+Data_All!AI139%),AI299*(1+Data_All!AI139%)),"")</f>
        <v/>
      </c>
      <c r="AJ300" s="427" t="str">
        <f>IF(AND($A300&gt;=SYear_O,$A300&lt;=EYear_O,AJ$3&gt;0),IF($A300=SYear_O,AJ$168*(1+Data_All!AJ139%),AJ299*(1+Data_All!AJ139%)),"")</f>
        <v/>
      </c>
      <c r="AK300" s="427" t="str">
        <f>IF(AND($A300&gt;=SYear_O,$A300&lt;=EYear_O,AK$3&gt;0),IF($A300=SYear_O,AK$168*(1+Data_All!AK139%),AK299*(1+Data_All!AK139%)),"")</f>
        <v/>
      </c>
      <c r="AL300" s="427" t="str">
        <f>IF(AND($A300&gt;=SYear_O,$A300&lt;=EYear_O,AL$3&gt;0),IF($A300=SYear_O,AL$168*(1+Data_All!AL139%),AL299*(1+Data_All!AL139%)),"")</f>
        <v/>
      </c>
      <c r="AM300" s="427" t="str">
        <f>IF(AND($A300&gt;=SYear_O,$A300&lt;=EYear_O,AM$3&gt;0),IF($A300=SYear_O,AM$168*(1+Data_All!AM139%),AM299*(1+Data_All!AM139%)),"")</f>
        <v/>
      </c>
      <c r="AN300" s="427" t="str">
        <f>IF(AND($A300&gt;=SYear_O,$A300&lt;=EYear_O,AN$3&gt;0),IF($A300=SYear_O,AN$168*(1+Data_All!AN139%),AN299*(1+Data_All!AN139%)),"")</f>
        <v/>
      </c>
      <c r="AO300" s="427" t="str">
        <f>IF(AND($A300&gt;=SYear_O,$A300&lt;=EYear_O,AO$3&gt;0),IF($A300=SYear_O,AO$168*(1+Data_All!AO139%),AO299*(1+Data_All!AO139%)),"")</f>
        <v/>
      </c>
      <c r="AP300" s="427" t="str">
        <f>IF(AND($A300&gt;=SYear_O,$A300&lt;=EYear_O,AP$3&gt;0),IF($A300=SYear_O,AP$168*(1+Data_All!AP139%),AP299*(1+Data_All!AP139%)),"")</f>
        <v/>
      </c>
      <c r="AQ300" s="427" t="str">
        <f>IF(AND($A300&gt;=SYear_O,$A300&lt;=EYear_O,AQ$3&gt;0),IF($A300=SYear_O,AQ$168*(1+Data_All!AQ139%),AQ299*(1+Data_All!AQ139%)),"")</f>
        <v/>
      </c>
      <c r="AR300" s="427" t="str">
        <f>IF(AND($A300&gt;=SYear_O,$A300&lt;=EYear_O,AR$3&gt;0),IF($A300=SYear_O,AR$168*(1+Data_All!AR139%),AR299*(1+Data_All!AR139%)),"")</f>
        <v/>
      </c>
      <c r="AS300" s="427" t="str">
        <f>IF(AND($A300&gt;=SYear_O,$A300&lt;=EYear_O,AS$3&gt;0),IF($A300=SYear_O,AS$168*(1+Data_All!AS139%),AS299*(1+Data_All!AS139%)),"")</f>
        <v/>
      </c>
      <c r="AT300" s="427" t="str">
        <f>IF(AND($A300&gt;=SYear_O,$A300&lt;=EYear_O,AT$3&gt;0),IF($A300=SYear_O,AT$168*(1+Data_All!AT139%),AT299*(1+Data_All!AT139%)),"")</f>
        <v/>
      </c>
      <c r="AU300" s="427" t="str">
        <f>IF(AND($A300&gt;=SYear_O,$A300&lt;=EYear_O,AU$3&gt;0),IF($A300=SYear_O,AU$168*(1+Data_All!AU139%),AU299*(1+Data_All!AU139%)),"")</f>
        <v/>
      </c>
      <c r="AV300" s="427" t="str">
        <f>IF(AND($A300&gt;=SYear_O,$A300&lt;=EYear_O,AV$3&gt;0),IF($A300=SYear_O,AV$168*(1+Data_All!AV139%),AV299*(1+Data_All!AV139%)),"")</f>
        <v/>
      </c>
      <c r="AW300" s="427" t="str">
        <f>IF(AND($A300&gt;=SYear_O,$A300&lt;=EYear_O,AW$3&gt;0),IF($A300=SYear_O,AW$168*(1+Data_All!AW139%),AW299*(1+Data_All!AW139%)),"")</f>
        <v/>
      </c>
      <c r="AX300" s="427" t="str">
        <f>IF(AND($A300&gt;=SYear_O,$A300&lt;=EYear_O,AX$3&gt;0),IF($A300=SYear_O,AX$168*(1+Data_All!AX139%),AX299*(1+Data_All!AX139%)),"")</f>
        <v/>
      </c>
      <c r="AY300" s="427" t="str">
        <f>IF(AND($A300&gt;=SYear_O,$A300&lt;=EYear_O,AY$3&gt;0),IF($A300=SYear_O,AY$168*(1+Data_All!AY139%),AY299*(1+Data_All!AY139%)),"")</f>
        <v/>
      </c>
      <c r="AZ300" s="427" t="str">
        <f>IF(AND($A300&gt;=SYear_O,$A300&lt;=EYear_O,AZ$3&gt;0),IF($A300=SYear_O,AZ$168*(1+Data_All!AZ139%),AZ299*(1+Data_All!AZ139%)),"")</f>
        <v/>
      </c>
      <c r="BA300" s="427" t="str">
        <f>IF(AND($A300&gt;=SYear_O,$A300&lt;=EYear_O,BA$3&gt;0),IF($A300=SYear_O,BA$168*(1+Data_All!BA139%),BA299*(1+Data_All!BA139%)),"")</f>
        <v/>
      </c>
      <c r="BB300" s="427" t="str">
        <f>IF(AND($A300&gt;=SYear_O,$A300&lt;=EYear_O,BB$3&gt;0),IF($A300=SYear_O,BB$168*(1+Data_All!BB139%),BB299*(1+Data_All!BB139%)),"")</f>
        <v/>
      </c>
      <c r="BC300" s="427" t="str">
        <f>IF(AND($A300&gt;=SYear_O,$A300&lt;=EYear_O,BC$3&gt;0),IF($A300=SYear_O,BC$168*(1+Data_All!BC139%),BC299*(1+Data_All!BC139%)),"")</f>
        <v/>
      </c>
      <c r="BD300" s="427" t="str">
        <f>IF(AND($A300&gt;=SYear_O,$A300&lt;=EYear_O,BD$3&gt;0),IF($A300=SYear_O,BD$168*(1+Data_All!BD139%),BD299*(1+Data_All!BD139%)),"")</f>
        <v/>
      </c>
      <c r="BE300" s="427" t="str">
        <f>IF(AND($A300&gt;=SYear_O,$A300&lt;=EYear_O,BE$3&gt;0),IF($A300=SYear_O,BE$168*(1+Data_All!BE139%),BE299*(1+Data_All!BE139%)),"")</f>
        <v/>
      </c>
      <c r="BF300" s="427" t="str">
        <f>IF(AND($A300&gt;=SYear_O,$A300&lt;=EYear_O,BF$3&gt;0),IF($A300=SYear_O,BF$168*(1+Data_All!BF139%),BF299*(1+Data_All!BF139%)),"")</f>
        <v/>
      </c>
      <c r="BG300" s="427" t="str">
        <f>IF(AND($A300&gt;=SYear_O,$A300&lt;=EYear_O,BG$3&gt;0),IF($A300=SYear_O,BG$168*(1+Data_All!BG139%),BG299*(1+Data_All!BG139%)),"")</f>
        <v/>
      </c>
      <c r="BH300" s="427" t="str">
        <f>IF(AND($A300&gt;=SYear_O,$A300&lt;=EYear_O,BH$3&gt;0),IF($A300=SYear_O,BH$168*(1+Data_All!BH139%),BH299*(1+Data_All!BH139%)),"")</f>
        <v/>
      </c>
      <c r="BI300" s="427" t="str">
        <f>IF(AND($A300&gt;=SYear_O,$A300&lt;=EYear_O,BI$3&gt;0),IF($A300=SYear_O,BI$168*(1+Data_All!BI139%),BI299*(1+Data_All!BI139%)),"")</f>
        <v/>
      </c>
      <c r="BJ300" s="427" t="str">
        <f>IF(AND($A300&gt;=SYear_O,$A300&lt;=EYear_O,BJ$3&gt;0),IF($A300=SYear_O,BJ$168*(1+Data_All!BJ139%),BJ299*(1+Data_All!BJ139%)),"")</f>
        <v/>
      </c>
      <c r="BK300" s="427" t="str">
        <f>IF(AND($A300&gt;=SYear_O,$A300&lt;=EYear_O,BK$3&gt;0),IF($A300=SYear_O,BK$168*(1+Data_All!BK139%),BK299*(1+Data_All!BK139%)),"")</f>
        <v/>
      </c>
      <c r="BL300" s="427" t="str">
        <f>IF(AND($A300&gt;=SYear_O,$A300&lt;=EYear_O,BL$3&gt;0),IF($A300=SYear_O,BL$168*(1+Data_All!BL139%),BL299*(1+Data_All!BL139%)),"")</f>
        <v/>
      </c>
      <c r="BM300" s="427" t="str">
        <f>IF(AND($A300&gt;=SYear_O,$A300&lt;=EYear_O,BM$3&gt;0),IF($A300=SYear_O,BM$168*(1+Data_All!BM139%),BM299*(1+Data_All!BM139%)),"")</f>
        <v/>
      </c>
      <c r="BN300" s="427" t="str">
        <f>IF(AND($A300&gt;=SYear_O,$A300&lt;=EYear_O,BN$3&gt;0),IF($A300=SYear_O,BN$168*(1+Data_All!BN139%),BN299*(1+Data_All!BN139%)),"")</f>
        <v/>
      </c>
      <c r="BO300" s="427" t="str">
        <f>IF(AND($A300&gt;=SYear_O,$A300&lt;=EYear_O,BO$3&gt;0),IF($A300=SYear_O,BO$168*(1+Data_All!BO139%),BO299*(1+Data_All!BO139%)),"")</f>
        <v/>
      </c>
      <c r="BP300" s="427" t="str">
        <f>IF(AND($A300&gt;=SYear_O,$A300&lt;=EYear_O,BP$3&gt;0),IF($A300=SYear_O,BP$168*(1+Data_All!BP139%),BP299*(1+Data_All!BP139%)),"")</f>
        <v/>
      </c>
      <c r="BQ300" s="427" t="str">
        <f>IF(AND($A300&gt;=SYear_O,$A300&lt;=EYear_O,BQ$3&gt;0),IF($A300=SYear_O,BQ$168*(1+Data_All!BQ139%),BQ299*(1+Data_All!BQ139%)),"")</f>
        <v/>
      </c>
      <c r="BR300" s="427" t="str">
        <f>IF(AND($A300&gt;=SYear_O,$A300&lt;=EYear_O,BR$3&gt;0),IF($A300=SYear_O,BR$168*(1+Data_All!BR139%),BR299*(1+Data_All!BR139%)),"")</f>
        <v/>
      </c>
      <c r="BS300" s="427" t="str">
        <f>IF(AND($A300&gt;=SYear_O,$A300&lt;=EYear_O,BS$3&gt;0),IF($A300=SYear_O,BS$168*(1+Data_All!BS139%),BS299*(1+Data_All!BS139%)),"")</f>
        <v/>
      </c>
      <c r="BT300" s="427" t="str">
        <f>IF(AND($A300&gt;=SYear_O,$A300&lt;=EYear_O,BT$3&gt;0),IF($A300=SYear_O,BT$168*(1+Data_All!BT139%),BT299*(1+Data_All!BT139%)),"")</f>
        <v/>
      </c>
      <c r="BU300" s="427" t="str">
        <f>IF(AND($A300&gt;=SYear_O,$A300&lt;=EYear_O,BU$3&gt;0),IF($A300=SYear_O,BU$168*(1+Data_All!BU139%),BU299*(1+Data_All!BU139%)),"")</f>
        <v/>
      </c>
      <c r="BV300" s="427" t="str">
        <f>IF(AND($A300&gt;=SYear_O,$A300&lt;=EYear_O,BV$3&gt;0),IF($A300=SYear_O,BV$168*(1+Data_All!BV139%),BV299*(1+Data_All!BV139%)),"")</f>
        <v/>
      </c>
      <c r="BW300" s="427" t="str">
        <f>IF(AND($A300&gt;=SYear_O,$A300&lt;=EYear_O,BW$3&gt;0),IF($A300=SYear_O,BW$168*(1+Data_All!BW139%),BW299*(1+Data_All!BW139%)),"")</f>
        <v/>
      </c>
      <c r="BX300" s="427">
        <f>IF(AND($A300&gt;=SYear_O,$A300&lt;=EYear_O,BX$3&gt;0),IF($A300=SYear_O,BX$168*(1+Data_All!BX139%),BX299*(1+Data_All!BX139%)),"")</f>
        <v>439212000.14278513</v>
      </c>
      <c r="BY300" s="427">
        <f>IF(AND($A300&gt;=SYear_O,$A300&lt;=EYear_O,BY$3&gt;0),IF($A300=SYear_O,BY$168*(1+Data_All!BY139%),BY299*(1+Data_All!BY139%)),"")</f>
        <v>1846931.2637405111</v>
      </c>
      <c r="BZ300" s="427" t="str">
        <f>IF(AND($A300&gt;=SYear_O,$A300&lt;=EYear_O,BZ$3&gt;0),IF($A300=SYear_O,BZ$168*(1+Data_All!BZ139%),BZ299*(1+Data_All!BZ139%)),"")</f>
        <v/>
      </c>
      <c r="CA300" s="565">
        <f t="shared" si="155"/>
        <v>-19.929363444920188</v>
      </c>
      <c r="CB300" s="427">
        <f t="shared" si="156"/>
        <v>441058931.40652567</v>
      </c>
      <c r="CC300" s="565">
        <f>IF(AND($A300&gt;=SYear_O,$A300&lt;=EYear_O),(CA300-Data_All!CA139)/(1+Data_All!CA139%),"")</f>
        <v>-21.788383199101144</v>
      </c>
      <c r="CD300" s="436">
        <f t="shared" si="157"/>
        <v>30389084.718881998</v>
      </c>
      <c r="CE300" s="438">
        <f t="shared" si="158"/>
        <v>40003.709329813762</v>
      </c>
      <c r="CF300" s="438">
        <f>IF(AND($A300&gt;=SYear_O,$A300&lt;=EYear_O),MAX($CE$169:CE300),"")</f>
        <v>60812.097856705019</v>
      </c>
      <c r="CG300" s="209">
        <f t="shared" si="159"/>
        <v>0.34217514705582497</v>
      </c>
      <c r="CN300" s="61">
        <f t="shared" si="154"/>
        <v>-0.1992936344492019</v>
      </c>
      <c r="CO300" s="61">
        <f t="shared" si="144"/>
        <v>2.8767803819701232E-2</v>
      </c>
      <c r="CP300" s="61">
        <f t="shared" si="145"/>
        <v>6.3107031696952864E-2</v>
      </c>
      <c r="CQ300" s="61">
        <f t="shared" si="146"/>
        <v>3.312555560140118E-2</v>
      </c>
      <c r="CR300" s="61"/>
      <c r="CU300" s="61">
        <f t="shared" si="148"/>
        <v>-0.21788383199101147</v>
      </c>
      <c r="CV300" s="61">
        <f t="shared" si="149"/>
        <v>3.6523009208149215E-3</v>
      </c>
      <c r="CW300" s="61">
        <f t="shared" si="150"/>
        <v>3.5237673828679039E-2</v>
      </c>
      <c r="CX300" s="61">
        <f t="shared" si="151"/>
        <v>8.158907494776102E-3</v>
      </c>
      <c r="CY300" s="61"/>
    </row>
    <row r="301" spans="1:103">
      <c r="A301" s="204">
        <f t="shared" si="153"/>
        <v>2003</v>
      </c>
      <c r="B301" s="427" t="str">
        <f>IF(AND($A301&gt;=SYear_O,$A301&lt;=EYear_O,B$3&gt;0),IF($A301=SYear_O,B$168*(1+Data_All!B140%),B300*(1+Data_All!B140%)),"")</f>
        <v/>
      </c>
      <c r="C301" s="427" t="str">
        <f>IF(AND($A301&gt;=SYear_O,$A301&lt;=EYear_O,C$3&gt;0),IF($A301=SYear_O,C$168*(1+Data_All!C140%),C300*(1+Data_All!C140%)),"")</f>
        <v/>
      </c>
      <c r="D301" s="427" t="str">
        <f>IF(AND($A301&gt;=SYear_O,$A301&lt;=EYear_O,D$3&gt;0),IF($A301=SYear_O,D$168*(1+Data_All!D140%),D300*(1+Data_All!D140%)),"")</f>
        <v/>
      </c>
      <c r="E301" s="427" t="str">
        <f>IF(AND($A301&gt;=SYear_O,$A301&lt;=EYear_O,E$3&gt;0),IF($A301=SYear_O,E$168*(1+Data_All!E140%),E300*(1+Data_All!E140%)),"")</f>
        <v/>
      </c>
      <c r="F301" s="427" t="str">
        <f>IF(AND($A301&gt;=SYear_O,$A301&lt;=EYear_O,F$3&gt;0),IF($A301=SYear_O,F$168*(1+Data_All!F140%),F300*(1+Data_All!F140%)),"")</f>
        <v/>
      </c>
      <c r="G301" s="427" t="str">
        <f>IF(AND($A301&gt;=SYear_O,$A301&lt;=EYear_O,G$3&gt;0),IF($A301=SYear_O,G$168*(1+Data_All!G140%),G300*(1+Data_All!G140%)),"")</f>
        <v/>
      </c>
      <c r="H301" s="427" t="str">
        <f>IF(AND($A301&gt;=SYear_O,$A301&lt;=EYear_O,H$3&gt;0),IF($A301=SYear_O,H$168*(1+Data_All!H140%),H300*(1+Data_All!H140%)),"")</f>
        <v/>
      </c>
      <c r="I301" s="427" t="str">
        <f>IF(AND($A301&gt;=SYear_O,$A301&lt;=EYear_O,I$3&gt;0),IF($A301=SYear_O,I$168*(1+Data_All!I140%),I300*(1+Data_All!I140%)),"")</f>
        <v/>
      </c>
      <c r="J301" s="427" t="str">
        <f>IF(AND($A301&gt;=SYear_O,$A301&lt;=EYear_O,J$3&gt;0),IF($A301=SYear_O,J$168*(1+Data_All!J140%),J300*(1+Data_All!J140%)),"")</f>
        <v/>
      </c>
      <c r="K301" s="427" t="str">
        <f>IF(AND($A301&gt;=SYear_O,$A301&lt;=EYear_O,K$3&gt;0),IF($A301=SYear_O,K$168*(1+Data_All!K140%),K300*(1+Data_All!K140%)),"")</f>
        <v/>
      </c>
      <c r="L301" s="427" t="str">
        <f>IF(AND($A301&gt;=SYear_O,$A301&lt;=EYear_O,L$3&gt;0),IF($A301=SYear_O,L$168*(1+Data_All!L140%),L300*(1+Data_All!L140%)),"")</f>
        <v/>
      </c>
      <c r="M301" s="427" t="str">
        <f>IF(AND($A301&gt;=SYear_O,$A301&lt;=EYear_O,M$3&gt;0),IF($A301=SYear_O,M$168*(1+Data_All!M140%),M300*(1+Data_All!M140%)),"")</f>
        <v/>
      </c>
      <c r="N301" s="427" t="str">
        <f>IF(AND($A301&gt;=SYear_O,$A301&lt;=EYear_O,N$3&gt;0),IF($A301=SYear_O,N$168*(1+Data_All!N140%),N300*(1+Data_All!N140%)),"")</f>
        <v/>
      </c>
      <c r="O301" s="427" t="str">
        <f>IF(AND($A301&gt;=SYear_O,$A301&lt;=EYear_O,O$3&gt;0),IF($A301=SYear_O,O$168*(1+Data_All!O140%),O300*(1+Data_All!O140%)),"")</f>
        <v/>
      </c>
      <c r="P301" s="427" t="str">
        <f>IF(AND($A301&gt;=SYear_O,$A301&lt;=EYear_O,P$3&gt;0),IF($A301=SYear_O,P$168*(1+Data_All!P140%),P300*(1+Data_All!P140%)),"")</f>
        <v/>
      </c>
      <c r="Q301" s="427" t="str">
        <f>IF(AND($A301&gt;=SYear_O,$A301&lt;=EYear_O,Q$3&gt;0),IF($A301=SYear_O,Q$168*(1+Data_All!Q140%),Q300*(1+Data_All!Q140%)),"")</f>
        <v/>
      </c>
      <c r="R301" s="427" t="str">
        <f>IF(AND($A301&gt;=SYear_O,$A301&lt;=EYear_O,R$3&gt;0),IF($A301=SYear_O,R$168*(1+Data_All!R140%),R300*(1+Data_All!R140%)),"")</f>
        <v/>
      </c>
      <c r="S301" s="427" t="str">
        <f>IF(AND($A301&gt;=SYear_O,$A301&lt;=EYear_O,S$3&gt;0),IF($A301=SYear_O,S$168*(1+Data_All!S140%),S300*(1+Data_All!S140%)),"")</f>
        <v/>
      </c>
      <c r="T301" s="427" t="str">
        <f>IF(AND($A301&gt;=SYear_O,$A301&lt;=EYear_O,T$3&gt;0),IF($A301=SYear_O,T$168*(1+Data_All!T140%),T300*(1+Data_All!T140%)),"")</f>
        <v/>
      </c>
      <c r="U301" s="427" t="str">
        <f>IF(AND($A301&gt;=SYear_O,$A301&lt;=EYear_O,U$3&gt;0),IF($A301=SYear_O,U$168*(1+Data_All!U140%),U300*(1+Data_All!U140%)),"")</f>
        <v/>
      </c>
      <c r="V301" s="427" t="str">
        <f>IF(AND($A301&gt;=SYear_O,$A301&lt;=EYear_O,V$3&gt;0),IF($A301=SYear_O,V$168*(1+Data_All!V140%),V300*(1+Data_All!V140%)),"")</f>
        <v/>
      </c>
      <c r="W301" s="427" t="str">
        <f>IF(AND($A301&gt;=SYear_O,$A301&lt;=EYear_O,W$3&gt;0),IF($A301=SYear_O,W$168*(1+Data_All!W140%),W300*(1+Data_All!W140%)),"")</f>
        <v/>
      </c>
      <c r="X301" s="427" t="str">
        <f>IF(AND($A301&gt;=SYear_O,$A301&lt;=EYear_O,X$3&gt;0),IF($A301=SYear_O,X$168*(1+Data_All!X140%),X300*(1+Data_All!X140%)),"")</f>
        <v/>
      </c>
      <c r="Y301" s="427" t="str">
        <f>IF(AND($A301&gt;=SYear_O,$A301&lt;=EYear_O,Y$3&gt;0),IF($A301=SYear_O,Y$168*(1+Data_All!Y140%),Y300*(1+Data_All!Y140%)),"")</f>
        <v/>
      </c>
      <c r="Z301" s="427" t="str">
        <f>IF(AND($A301&gt;=SYear_O,$A301&lt;=EYear_O,Z$3&gt;0),IF($A301=SYear_O,Z$168*(1+Data_All!Z140%),Z300*(1+Data_All!Z140%)),"")</f>
        <v/>
      </c>
      <c r="AA301" s="427" t="str">
        <f>IF(AND($A301&gt;=SYear_O,$A301&lt;=EYear_O,AA$3&gt;0),IF($A301=SYear_O,AA$168*(1+Data_All!AA140%),AA300*(1+Data_All!AA140%)),"")</f>
        <v/>
      </c>
      <c r="AB301" s="427" t="str">
        <f>IF(AND($A301&gt;=SYear_O,$A301&lt;=EYear_O,AB$3&gt;0),IF($A301=SYear_O,AB$168*(1+Data_All!AB140%),AB300*(1+Data_All!AB140%)),"")</f>
        <v/>
      </c>
      <c r="AC301" s="427" t="str">
        <f>IF(AND($A301&gt;=SYear_O,$A301&lt;=EYear_O,AC$3&gt;0),IF($A301=SYear_O,AC$168*(1+Data_All!AC140%),AC300*(1+Data_All!AC140%)),"")</f>
        <v/>
      </c>
      <c r="AD301" s="427" t="str">
        <f>IF(AND($A301&gt;=SYear_O,$A301&lt;=EYear_O,AD$3&gt;0),IF($A301=SYear_O,AD$168*(1+Data_All!AD140%),AD300*(1+Data_All!AD140%)),"")</f>
        <v/>
      </c>
      <c r="AE301" s="427" t="str">
        <f>IF(AND($A301&gt;=SYear_O,$A301&lt;=EYear_O,AE$3&gt;0),IF($A301=SYear_O,AE$168*(1+Data_All!AE140%),AE300*(1+Data_All!AE140%)),"")</f>
        <v/>
      </c>
      <c r="AF301" s="427" t="str">
        <f>IF(AND($A301&gt;=SYear_O,$A301&lt;=EYear_O,AF$3&gt;0),IF($A301=SYear_O,AF$168*(1+Data_All!AF140%),AF300*(1+Data_All!AF140%)),"")</f>
        <v/>
      </c>
      <c r="AG301" s="427" t="str">
        <f>IF(AND($A301&gt;=SYear_O,$A301&lt;=EYear_O,AG$3&gt;0),IF($A301=SYear_O,AG$168*(1+Data_All!AG140%),AG300*(1+Data_All!AG140%)),"")</f>
        <v/>
      </c>
      <c r="AH301" s="427" t="str">
        <f>IF(AND($A301&gt;=SYear_O,$A301&lt;=EYear_O,AH$3&gt;0),IF($A301=SYear_O,AH$168*(1+Data_All!AH140%),AH300*(1+Data_All!AH140%)),"")</f>
        <v/>
      </c>
      <c r="AI301" s="427" t="str">
        <f>IF(AND($A301&gt;=SYear_O,$A301&lt;=EYear_O,AI$3&gt;0),IF($A301=SYear_O,AI$168*(1+Data_All!AI140%),AI300*(1+Data_All!AI140%)),"")</f>
        <v/>
      </c>
      <c r="AJ301" s="427" t="str">
        <f>IF(AND($A301&gt;=SYear_O,$A301&lt;=EYear_O,AJ$3&gt;0),IF($A301=SYear_O,AJ$168*(1+Data_All!AJ140%),AJ300*(1+Data_All!AJ140%)),"")</f>
        <v/>
      </c>
      <c r="AK301" s="427" t="str">
        <f>IF(AND($A301&gt;=SYear_O,$A301&lt;=EYear_O,AK$3&gt;0),IF($A301=SYear_O,AK$168*(1+Data_All!AK140%),AK300*(1+Data_All!AK140%)),"")</f>
        <v/>
      </c>
      <c r="AL301" s="427" t="str">
        <f>IF(AND($A301&gt;=SYear_O,$A301&lt;=EYear_O,AL$3&gt;0),IF($A301=SYear_O,AL$168*(1+Data_All!AL140%),AL300*(1+Data_All!AL140%)),"")</f>
        <v/>
      </c>
      <c r="AM301" s="427" t="str">
        <f>IF(AND($A301&gt;=SYear_O,$A301&lt;=EYear_O,AM$3&gt;0),IF($A301=SYear_O,AM$168*(1+Data_All!AM140%),AM300*(1+Data_All!AM140%)),"")</f>
        <v/>
      </c>
      <c r="AN301" s="427" t="str">
        <f>IF(AND($A301&gt;=SYear_O,$A301&lt;=EYear_O,AN$3&gt;0),IF($A301=SYear_O,AN$168*(1+Data_All!AN140%),AN300*(1+Data_All!AN140%)),"")</f>
        <v/>
      </c>
      <c r="AO301" s="427" t="str">
        <f>IF(AND($A301&gt;=SYear_O,$A301&lt;=EYear_O,AO$3&gt;0),IF($A301=SYear_O,AO$168*(1+Data_All!AO140%),AO300*(1+Data_All!AO140%)),"")</f>
        <v/>
      </c>
      <c r="AP301" s="427" t="str">
        <f>IF(AND($A301&gt;=SYear_O,$A301&lt;=EYear_O,AP$3&gt;0),IF($A301=SYear_O,AP$168*(1+Data_All!AP140%),AP300*(1+Data_All!AP140%)),"")</f>
        <v/>
      </c>
      <c r="AQ301" s="427" t="str">
        <f>IF(AND($A301&gt;=SYear_O,$A301&lt;=EYear_O,AQ$3&gt;0),IF($A301=SYear_O,AQ$168*(1+Data_All!AQ140%),AQ300*(1+Data_All!AQ140%)),"")</f>
        <v/>
      </c>
      <c r="AR301" s="427" t="str">
        <f>IF(AND($A301&gt;=SYear_O,$A301&lt;=EYear_O,AR$3&gt;0),IF($A301=SYear_O,AR$168*(1+Data_All!AR140%),AR300*(1+Data_All!AR140%)),"")</f>
        <v/>
      </c>
      <c r="AS301" s="427" t="str">
        <f>IF(AND($A301&gt;=SYear_O,$A301&lt;=EYear_O,AS$3&gt;0),IF($A301=SYear_O,AS$168*(1+Data_All!AS140%),AS300*(1+Data_All!AS140%)),"")</f>
        <v/>
      </c>
      <c r="AT301" s="427" t="str">
        <f>IF(AND($A301&gt;=SYear_O,$A301&lt;=EYear_O,AT$3&gt;0),IF($A301=SYear_O,AT$168*(1+Data_All!AT140%),AT300*(1+Data_All!AT140%)),"")</f>
        <v/>
      </c>
      <c r="AU301" s="427" t="str">
        <f>IF(AND($A301&gt;=SYear_O,$A301&lt;=EYear_O,AU$3&gt;0),IF($A301=SYear_O,AU$168*(1+Data_All!AU140%),AU300*(1+Data_All!AU140%)),"")</f>
        <v/>
      </c>
      <c r="AV301" s="427" t="str">
        <f>IF(AND($A301&gt;=SYear_O,$A301&lt;=EYear_O,AV$3&gt;0),IF($A301=SYear_O,AV$168*(1+Data_All!AV140%),AV300*(1+Data_All!AV140%)),"")</f>
        <v/>
      </c>
      <c r="AW301" s="427" t="str">
        <f>IF(AND($A301&gt;=SYear_O,$A301&lt;=EYear_O,AW$3&gt;0),IF($A301=SYear_O,AW$168*(1+Data_All!AW140%),AW300*(1+Data_All!AW140%)),"")</f>
        <v/>
      </c>
      <c r="AX301" s="427" t="str">
        <f>IF(AND($A301&gt;=SYear_O,$A301&lt;=EYear_O,AX$3&gt;0),IF($A301=SYear_O,AX$168*(1+Data_All!AX140%),AX300*(1+Data_All!AX140%)),"")</f>
        <v/>
      </c>
      <c r="AY301" s="427" t="str">
        <f>IF(AND($A301&gt;=SYear_O,$A301&lt;=EYear_O,AY$3&gt;0),IF($A301=SYear_O,AY$168*(1+Data_All!AY140%),AY300*(1+Data_All!AY140%)),"")</f>
        <v/>
      </c>
      <c r="AZ301" s="427" t="str">
        <f>IF(AND($A301&gt;=SYear_O,$A301&lt;=EYear_O,AZ$3&gt;0),IF($A301=SYear_O,AZ$168*(1+Data_All!AZ140%),AZ300*(1+Data_All!AZ140%)),"")</f>
        <v/>
      </c>
      <c r="BA301" s="427" t="str">
        <f>IF(AND($A301&gt;=SYear_O,$A301&lt;=EYear_O,BA$3&gt;0),IF($A301=SYear_O,BA$168*(1+Data_All!BA140%),BA300*(1+Data_All!BA140%)),"")</f>
        <v/>
      </c>
      <c r="BB301" s="427" t="str">
        <f>IF(AND($A301&gt;=SYear_O,$A301&lt;=EYear_O,BB$3&gt;0),IF($A301=SYear_O,BB$168*(1+Data_All!BB140%),BB300*(1+Data_All!BB140%)),"")</f>
        <v/>
      </c>
      <c r="BC301" s="427" t="str">
        <f>IF(AND($A301&gt;=SYear_O,$A301&lt;=EYear_O,BC$3&gt;0),IF($A301=SYear_O,BC$168*(1+Data_All!BC140%),BC300*(1+Data_All!BC140%)),"")</f>
        <v/>
      </c>
      <c r="BD301" s="427" t="str">
        <f>IF(AND($A301&gt;=SYear_O,$A301&lt;=EYear_O,BD$3&gt;0),IF($A301=SYear_O,BD$168*(1+Data_All!BD140%),BD300*(1+Data_All!BD140%)),"")</f>
        <v/>
      </c>
      <c r="BE301" s="427" t="str">
        <f>IF(AND($A301&gt;=SYear_O,$A301&lt;=EYear_O,BE$3&gt;0),IF($A301=SYear_O,BE$168*(1+Data_All!BE140%),BE300*(1+Data_All!BE140%)),"")</f>
        <v/>
      </c>
      <c r="BF301" s="427" t="str">
        <f>IF(AND($A301&gt;=SYear_O,$A301&lt;=EYear_O,BF$3&gt;0),IF($A301=SYear_O,BF$168*(1+Data_All!BF140%),BF300*(1+Data_All!BF140%)),"")</f>
        <v/>
      </c>
      <c r="BG301" s="427" t="str">
        <f>IF(AND($A301&gt;=SYear_O,$A301&lt;=EYear_O,BG$3&gt;0),IF($A301=SYear_O,BG$168*(1+Data_All!BG140%),BG300*(1+Data_All!BG140%)),"")</f>
        <v/>
      </c>
      <c r="BH301" s="427" t="str">
        <f>IF(AND($A301&gt;=SYear_O,$A301&lt;=EYear_O,BH$3&gt;0),IF($A301=SYear_O,BH$168*(1+Data_All!BH140%),BH300*(1+Data_All!BH140%)),"")</f>
        <v/>
      </c>
      <c r="BI301" s="427" t="str">
        <f>IF(AND($A301&gt;=SYear_O,$A301&lt;=EYear_O,BI$3&gt;0),IF($A301=SYear_O,BI$168*(1+Data_All!BI140%),BI300*(1+Data_All!BI140%)),"")</f>
        <v/>
      </c>
      <c r="BJ301" s="427" t="str">
        <f>IF(AND($A301&gt;=SYear_O,$A301&lt;=EYear_O,BJ$3&gt;0),IF($A301=SYear_O,BJ$168*(1+Data_All!BJ140%),BJ300*(1+Data_All!BJ140%)),"")</f>
        <v/>
      </c>
      <c r="BK301" s="427" t="str">
        <f>IF(AND($A301&gt;=SYear_O,$A301&lt;=EYear_O,BK$3&gt;0),IF($A301=SYear_O,BK$168*(1+Data_All!BK140%),BK300*(1+Data_All!BK140%)),"")</f>
        <v/>
      </c>
      <c r="BL301" s="427" t="str">
        <f>IF(AND($A301&gt;=SYear_O,$A301&lt;=EYear_O,BL$3&gt;0),IF($A301=SYear_O,BL$168*(1+Data_All!BL140%),BL300*(1+Data_All!BL140%)),"")</f>
        <v/>
      </c>
      <c r="BM301" s="427" t="str">
        <f>IF(AND($A301&gt;=SYear_O,$A301&lt;=EYear_O,BM$3&gt;0),IF($A301=SYear_O,BM$168*(1+Data_All!BM140%),BM300*(1+Data_All!BM140%)),"")</f>
        <v/>
      </c>
      <c r="BN301" s="427" t="str">
        <f>IF(AND($A301&gt;=SYear_O,$A301&lt;=EYear_O,BN$3&gt;0),IF($A301=SYear_O,BN$168*(1+Data_All!BN140%),BN300*(1+Data_All!BN140%)),"")</f>
        <v/>
      </c>
      <c r="BO301" s="427" t="str">
        <f>IF(AND($A301&gt;=SYear_O,$A301&lt;=EYear_O,BO$3&gt;0),IF($A301=SYear_O,BO$168*(1+Data_All!BO140%),BO300*(1+Data_All!BO140%)),"")</f>
        <v/>
      </c>
      <c r="BP301" s="427" t="str">
        <f>IF(AND($A301&gt;=SYear_O,$A301&lt;=EYear_O,BP$3&gt;0),IF($A301=SYear_O,BP$168*(1+Data_All!BP140%),BP300*(1+Data_All!BP140%)),"")</f>
        <v/>
      </c>
      <c r="BQ301" s="427" t="str">
        <f>IF(AND($A301&gt;=SYear_O,$A301&lt;=EYear_O,BQ$3&gt;0),IF($A301=SYear_O,BQ$168*(1+Data_All!BQ140%),BQ300*(1+Data_All!BQ140%)),"")</f>
        <v/>
      </c>
      <c r="BR301" s="427" t="str">
        <f>IF(AND($A301&gt;=SYear_O,$A301&lt;=EYear_O,BR$3&gt;0),IF($A301=SYear_O,BR$168*(1+Data_All!BR140%),BR300*(1+Data_All!BR140%)),"")</f>
        <v/>
      </c>
      <c r="BS301" s="427" t="str">
        <f>IF(AND($A301&gt;=SYear_O,$A301&lt;=EYear_O,BS$3&gt;0),IF($A301=SYear_O,BS$168*(1+Data_All!BS140%),BS300*(1+Data_All!BS140%)),"")</f>
        <v/>
      </c>
      <c r="BT301" s="427" t="str">
        <f>IF(AND($A301&gt;=SYear_O,$A301&lt;=EYear_O,BT$3&gt;0),IF($A301=SYear_O,BT$168*(1+Data_All!BT140%),BT300*(1+Data_All!BT140%)),"")</f>
        <v/>
      </c>
      <c r="BU301" s="427" t="str">
        <f>IF(AND($A301&gt;=SYear_O,$A301&lt;=EYear_O,BU$3&gt;0),IF($A301=SYear_O,BU$168*(1+Data_All!BU140%),BU300*(1+Data_All!BU140%)),"")</f>
        <v/>
      </c>
      <c r="BV301" s="427" t="str">
        <f>IF(AND($A301&gt;=SYear_O,$A301&lt;=EYear_O,BV$3&gt;0),IF($A301=SYear_O,BV$168*(1+Data_All!BV140%),BV300*(1+Data_All!BV140%)),"")</f>
        <v/>
      </c>
      <c r="BW301" s="427" t="str">
        <f>IF(AND($A301&gt;=SYear_O,$A301&lt;=EYear_O,BW$3&gt;0),IF($A301=SYear_O,BW$168*(1+Data_All!BW140%),BW300*(1+Data_All!BW140%)),"")</f>
        <v/>
      </c>
      <c r="BX301" s="427">
        <f>IF(AND($A301&gt;=SYear_O,$A301&lt;=EYear_O,BX$3&gt;0),IF($A301=SYear_O,BX$168*(1+Data_All!BX140%),BX300*(1+Data_All!BX140%)),"")</f>
        <v>563777316.35581136</v>
      </c>
      <c r="BY301" s="427">
        <f>IF(AND($A301&gt;=SYear_O,$A301&lt;=EYear_O,BY$3&gt;0),IF($A301=SYear_O,BY$168*(1+Data_All!BY140%),BY300*(1+Data_All!BY140%)),"")</f>
        <v>1921063.1759626539</v>
      </c>
      <c r="BZ301" s="427" t="str">
        <f>IF(AND($A301&gt;=SYear_O,$A301&lt;=EYear_O,BZ$3&gt;0),IF($A301=SYear_O,BZ$168*(1+Data_All!BZ140%),BZ300*(1+Data_All!BZ140%)),"")</f>
        <v/>
      </c>
      <c r="CA301" s="565">
        <f t="shared" si="155"/>
        <v>28.259137101651326</v>
      </c>
      <c r="CB301" s="427">
        <f t="shared" si="156"/>
        <v>565698379.53177404</v>
      </c>
      <c r="CC301" s="565">
        <f>IF(AND($A301&gt;=SYear_O,$A301&lt;=EYear_O),(CA301-Data_All!CA140)/(1+Data_All!CA140%),"")</f>
        <v>25.892989157290948</v>
      </c>
      <c r="CD301" s="436">
        <f t="shared" si="157"/>
        <v>38257727.13014207</v>
      </c>
      <c r="CE301" s="438">
        <f t="shared" si="158"/>
        <v>51308.412395071922</v>
      </c>
      <c r="CF301" s="438">
        <f>IF(AND($A301&gt;=SYear_O,$A301&lt;=EYear_O),MAX($CE$169:CE301),"")</f>
        <v>60812.097856705019</v>
      </c>
      <c r="CG301" s="209">
        <f t="shared" si="159"/>
        <v>0.15627951997359424</v>
      </c>
      <c r="CN301" s="61">
        <f t="shared" si="154"/>
        <v>0.28259137101651333</v>
      </c>
      <c r="CO301" s="61">
        <f t="shared" si="144"/>
        <v>0.14396128510058226</v>
      </c>
      <c r="CP301" s="61">
        <f t="shared" si="145"/>
        <v>0.10874141108302582</v>
      </c>
      <c r="CQ301" s="61">
        <f t="shared" si="146"/>
        <v>7.2302999338465401E-2</v>
      </c>
      <c r="CR301" s="61"/>
      <c r="CU301" s="61">
        <f t="shared" si="148"/>
        <v>0.25892989157290924</v>
      </c>
      <c r="CV301" s="61">
        <f t="shared" si="149"/>
        <v>0.11228432743434014</v>
      </c>
      <c r="CW301" s="61">
        <f t="shared" si="150"/>
        <v>7.6116360569598251E-2</v>
      </c>
      <c r="CX301" s="61">
        <f t="shared" si="151"/>
        <v>4.7041751753794658E-2</v>
      </c>
      <c r="CY301" s="61"/>
    </row>
    <row r="302" spans="1:103">
      <c r="A302" s="204">
        <f t="shared" si="153"/>
        <v>2004</v>
      </c>
      <c r="B302" s="427" t="str">
        <f>IF(AND($A302&gt;=SYear_O,$A302&lt;=EYear_O,B$3&gt;0),IF($A302=SYear_O,B$168*(1+Data_All!B141%),B301*(1+Data_All!B141%)),"")</f>
        <v/>
      </c>
      <c r="C302" s="427" t="str">
        <f>IF(AND($A302&gt;=SYear_O,$A302&lt;=EYear_O,C$3&gt;0),IF($A302=SYear_O,C$168*(1+Data_All!C141%),C301*(1+Data_All!C141%)),"")</f>
        <v/>
      </c>
      <c r="D302" s="427" t="str">
        <f>IF(AND($A302&gt;=SYear_O,$A302&lt;=EYear_O,D$3&gt;0),IF($A302=SYear_O,D$168*(1+Data_All!D141%),D301*(1+Data_All!D141%)),"")</f>
        <v/>
      </c>
      <c r="E302" s="427" t="str">
        <f>IF(AND($A302&gt;=SYear_O,$A302&lt;=EYear_O,E$3&gt;0),IF($A302=SYear_O,E$168*(1+Data_All!E141%),E301*(1+Data_All!E141%)),"")</f>
        <v/>
      </c>
      <c r="F302" s="427" t="str">
        <f>IF(AND($A302&gt;=SYear_O,$A302&lt;=EYear_O,F$3&gt;0),IF($A302=SYear_O,F$168*(1+Data_All!F141%),F301*(1+Data_All!F141%)),"")</f>
        <v/>
      </c>
      <c r="G302" s="427" t="str">
        <f>IF(AND($A302&gt;=SYear_O,$A302&lt;=EYear_O,G$3&gt;0),IF($A302=SYear_O,G$168*(1+Data_All!G141%),G301*(1+Data_All!G141%)),"")</f>
        <v/>
      </c>
      <c r="H302" s="427" t="str">
        <f>IF(AND($A302&gt;=SYear_O,$A302&lt;=EYear_O,H$3&gt;0),IF($A302=SYear_O,H$168*(1+Data_All!H141%),H301*(1+Data_All!H141%)),"")</f>
        <v/>
      </c>
      <c r="I302" s="427" t="str">
        <f>IF(AND($A302&gt;=SYear_O,$A302&lt;=EYear_O,I$3&gt;0),IF($A302=SYear_O,I$168*(1+Data_All!I141%),I301*(1+Data_All!I141%)),"")</f>
        <v/>
      </c>
      <c r="J302" s="427" t="str">
        <f>IF(AND($A302&gt;=SYear_O,$A302&lt;=EYear_O,J$3&gt;0),IF($A302=SYear_O,J$168*(1+Data_All!J141%),J301*(1+Data_All!J141%)),"")</f>
        <v/>
      </c>
      <c r="K302" s="427" t="str">
        <f>IF(AND($A302&gt;=SYear_O,$A302&lt;=EYear_O,K$3&gt;0),IF($A302=SYear_O,K$168*(1+Data_All!K141%),K301*(1+Data_All!K141%)),"")</f>
        <v/>
      </c>
      <c r="L302" s="427" t="str">
        <f>IF(AND($A302&gt;=SYear_O,$A302&lt;=EYear_O,L$3&gt;0),IF($A302=SYear_O,L$168*(1+Data_All!L141%),L301*(1+Data_All!L141%)),"")</f>
        <v/>
      </c>
      <c r="M302" s="427" t="str">
        <f>IF(AND($A302&gt;=SYear_O,$A302&lt;=EYear_O,M$3&gt;0),IF($A302=SYear_O,M$168*(1+Data_All!M141%),M301*(1+Data_All!M141%)),"")</f>
        <v/>
      </c>
      <c r="N302" s="427" t="str">
        <f>IF(AND($A302&gt;=SYear_O,$A302&lt;=EYear_O,N$3&gt;0),IF($A302=SYear_O,N$168*(1+Data_All!N141%),N301*(1+Data_All!N141%)),"")</f>
        <v/>
      </c>
      <c r="O302" s="427" t="str">
        <f>IF(AND($A302&gt;=SYear_O,$A302&lt;=EYear_O,O$3&gt;0),IF($A302=SYear_O,O$168*(1+Data_All!O141%),O301*(1+Data_All!O141%)),"")</f>
        <v/>
      </c>
      <c r="P302" s="427" t="str">
        <f>IF(AND($A302&gt;=SYear_O,$A302&lt;=EYear_O,P$3&gt;0),IF($A302=SYear_O,P$168*(1+Data_All!P141%),P301*(1+Data_All!P141%)),"")</f>
        <v/>
      </c>
      <c r="Q302" s="427" t="str">
        <f>IF(AND($A302&gt;=SYear_O,$A302&lt;=EYear_O,Q$3&gt;0),IF($A302=SYear_O,Q$168*(1+Data_All!Q141%),Q301*(1+Data_All!Q141%)),"")</f>
        <v/>
      </c>
      <c r="R302" s="427" t="str">
        <f>IF(AND($A302&gt;=SYear_O,$A302&lt;=EYear_O,R$3&gt;0),IF($A302=SYear_O,R$168*(1+Data_All!R141%),R301*(1+Data_All!R141%)),"")</f>
        <v/>
      </c>
      <c r="S302" s="427" t="str">
        <f>IF(AND($A302&gt;=SYear_O,$A302&lt;=EYear_O,S$3&gt;0),IF($A302=SYear_O,S$168*(1+Data_All!S141%),S301*(1+Data_All!S141%)),"")</f>
        <v/>
      </c>
      <c r="T302" s="427" t="str">
        <f>IF(AND($A302&gt;=SYear_O,$A302&lt;=EYear_O,T$3&gt;0),IF($A302=SYear_O,T$168*(1+Data_All!T141%),T301*(1+Data_All!T141%)),"")</f>
        <v/>
      </c>
      <c r="U302" s="427" t="str">
        <f>IF(AND($A302&gt;=SYear_O,$A302&lt;=EYear_O,U$3&gt;0),IF($A302=SYear_O,U$168*(1+Data_All!U141%),U301*(1+Data_All!U141%)),"")</f>
        <v/>
      </c>
      <c r="V302" s="427" t="str">
        <f>IF(AND($A302&gt;=SYear_O,$A302&lt;=EYear_O,V$3&gt;0),IF($A302=SYear_O,V$168*(1+Data_All!V141%),V301*(1+Data_All!V141%)),"")</f>
        <v/>
      </c>
      <c r="W302" s="427" t="str">
        <f>IF(AND($A302&gt;=SYear_O,$A302&lt;=EYear_O,W$3&gt;0),IF($A302=SYear_O,W$168*(1+Data_All!W141%),W301*(1+Data_All!W141%)),"")</f>
        <v/>
      </c>
      <c r="X302" s="427" t="str">
        <f>IF(AND($A302&gt;=SYear_O,$A302&lt;=EYear_O,X$3&gt;0),IF($A302=SYear_O,X$168*(1+Data_All!X141%),X301*(1+Data_All!X141%)),"")</f>
        <v/>
      </c>
      <c r="Y302" s="427" t="str">
        <f>IF(AND($A302&gt;=SYear_O,$A302&lt;=EYear_O,Y$3&gt;0),IF($A302=SYear_O,Y$168*(1+Data_All!Y141%),Y301*(1+Data_All!Y141%)),"")</f>
        <v/>
      </c>
      <c r="Z302" s="427" t="str">
        <f>IF(AND($A302&gt;=SYear_O,$A302&lt;=EYear_O,Z$3&gt;0),IF($A302=SYear_O,Z$168*(1+Data_All!Z141%),Z301*(1+Data_All!Z141%)),"")</f>
        <v/>
      </c>
      <c r="AA302" s="427" t="str">
        <f>IF(AND($A302&gt;=SYear_O,$A302&lt;=EYear_O,AA$3&gt;0),IF($A302=SYear_O,AA$168*(1+Data_All!AA141%),AA301*(1+Data_All!AA141%)),"")</f>
        <v/>
      </c>
      <c r="AB302" s="427" t="str">
        <f>IF(AND($A302&gt;=SYear_O,$A302&lt;=EYear_O,AB$3&gt;0),IF($A302=SYear_O,AB$168*(1+Data_All!AB141%),AB301*(1+Data_All!AB141%)),"")</f>
        <v/>
      </c>
      <c r="AC302" s="427" t="str">
        <f>IF(AND($A302&gt;=SYear_O,$A302&lt;=EYear_O,AC$3&gt;0),IF($A302=SYear_O,AC$168*(1+Data_All!AC141%),AC301*(1+Data_All!AC141%)),"")</f>
        <v/>
      </c>
      <c r="AD302" s="427" t="str">
        <f>IF(AND($A302&gt;=SYear_O,$A302&lt;=EYear_O,AD$3&gt;0),IF($A302=SYear_O,AD$168*(1+Data_All!AD141%),AD301*(1+Data_All!AD141%)),"")</f>
        <v/>
      </c>
      <c r="AE302" s="427" t="str">
        <f>IF(AND($A302&gt;=SYear_O,$A302&lt;=EYear_O,AE$3&gt;0),IF($A302=SYear_O,AE$168*(1+Data_All!AE141%),AE301*(1+Data_All!AE141%)),"")</f>
        <v/>
      </c>
      <c r="AF302" s="427" t="str">
        <f>IF(AND($A302&gt;=SYear_O,$A302&lt;=EYear_O,AF$3&gt;0),IF($A302=SYear_O,AF$168*(1+Data_All!AF141%),AF301*(1+Data_All!AF141%)),"")</f>
        <v/>
      </c>
      <c r="AG302" s="427" t="str">
        <f>IF(AND($A302&gt;=SYear_O,$A302&lt;=EYear_O,AG$3&gt;0),IF($A302=SYear_O,AG$168*(1+Data_All!AG141%),AG301*(1+Data_All!AG141%)),"")</f>
        <v/>
      </c>
      <c r="AH302" s="427" t="str">
        <f>IF(AND($A302&gt;=SYear_O,$A302&lt;=EYear_O,AH$3&gt;0),IF($A302=SYear_O,AH$168*(1+Data_All!AH141%),AH301*(1+Data_All!AH141%)),"")</f>
        <v/>
      </c>
      <c r="AI302" s="427" t="str">
        <f>IF(AND($A302&gt;=SYear_O,$A302&lt;=EYear_O,AI$3&gt;0),IF($A302=SYear_O,AI$168*(1+Data_All!AI141%),AI301*(1+Data_All!AI141%)),"")</f>
        <v/>
      </c>
      <c r="AJ302" s="427" t="str">
        <f>IF(AND($A302&gt;=SYear_O,$A302&lt;=EYear_O,AJ$3&gt;0),IF($A302=SYear_O,AJ$168*(1+Data_All!AJ141%),AJ301*(1+Data_All!AJ141%)),"")</f>
        <v/>
      </c>
      <c r="AK302" s="427" t="str">
        <f>IF(AND($A302&gt;=SYear_O,$A302&lt;=EYear_O,AK$3&gt;0),IF($A302=SYear_O,AK$168*(1+Data_All!AK141%),AK301*(1+Data_All!AK141%)),"")</f>
        <v/>
      </c>
      <c r="AL302" s="427" t="str">
        <f>IF(AND($A302&gt;=SYear_O,$A302&lt;=EYear_O,AL$3&gt;0),IF($A302=SYear_O,AL$168*(1+Data_All!AL141%),AL301*(1+Data_All!AL141%)),"")</f>
        <v/>
      </c>
      <c r="AM302" s="427" t="str">
        <f>IF(AND($A302&gt;=SYear_O,$A302&lt;=EYear_O,AM$3&gt;0),IF($A302=SYear_O,AM$168*(1+Data_All!AM141%),AM301*(1+Data_All!AM141%)),"")</f>
        <v/>
      </c>
      <c r="AN302" s="427" t="str">
        <f>IF(AND($A302&gt;=SYear_O,$A302&lt;=EYear_O,AN$3&gt;0),IF($A302=SYear_O,AN$168*(1+Data_All!AN141%),AN301*(1+Data_All!AN141%)),"")</f>
        <v/>
      </c>
      <c r="AO302" s="427" t="str">
        <f>IF(AND($A302&gt;=SYear_O,$A302&lt;=EYear_O,AO$3&gt;0),IF($A302=SYear_O,AO$168*(1+Data_All!AO141%),AO301*(1+Data_All!AO141%)),"")</f>
        <v/>
      </c>
      <c r="AP302" s="427" t="str">
        <f>IF(AND($A302&gt;=SYear_O,$A302&lt;=EYear_O,AP$3&gt;0),IF($A302=SYear_O,AP$168*(1+Data_All!AP141%),AP301*(1+Data_All!AP141%)),"")</f>
        <v/>
      </c>
      <c r="AQ302" s="427" t="str">
        <f>IF(AND($A302&gt;=SYear_O,$A302&lt;=EYear_O,AQ$3&gt;0),IF($A302=SYear_O,AQ$168*(1+Data_All!AQ141%),AQ301*(1+Data_All!AQ141%)),"")</f>
        <v/>
      </c>
      <c r="AR302" s="427" t="str">
        <f>IF(AND($A302&gt;=SYear_O,$A302&lt;=EYear_O,AR$3&gt;0),IF($A302=SYear_O,AR$168*(1+Data_All!AR141%),AR301*(1+Data_All!AR141%)),"")</f>
        <v/>
      </c>
      <c r="AS302" s="427" t="str">
        <f>IF(AND($A302&gt;=SYear_O,$A302&lt;=EYear_O,AS$3&gt;0),IF($A302=SYear_O,AS$168*(1+Data_All!AS141%),AS301*(1+Data_All!AS141%)),"")</f>
        <v/>
      </c>
      <c r="AT302" s="427" t="str">
        <f>IF(AND($A302&gt;=SYear_O,$A302&lt;=EYear_O,AT$3&gt;0),IF($A302=SYear_O,AT$168*(1+Data_All!AT141%),AT301*(1+Data_All!AT141%)),"")</f>
        <v/>
      </c>
      <c r="AU302" s="427" t="str">
        <f>IF(AND($A302&gt;=SYear_O,$A302&lt;=EYear_O,AU$3&gt;0),IF($A302=SYear_O,AU$168*(1+Data_All!AU141%),AU301*(1+Data_All!AU141%)),"")</f>
        <v/>
      </c>
      <c r="AV302" s="427" t="str">
        <f>IF(AND($A302&gt;=SYear_O,$A302&lt;=EYear_O,AV$3&gt;0),IF($A302=SYear_O,AV$168*(1+Data_All!AV141%),AV301*(1+Data_All!AV141%)),"")</f>
        <v/>
      </c>
      <c r="AW302" s="427" t="str">
        <f>IF(AND($A302&gt;=SYear_O,$A302&lt;=EYear_O,AW$3&gt;0),IF($A302=SYear_O,AW$168*(1+Data_All!AW141%),AW301*(1+Data_All!AW141%)),"")</f>
        <v/>
      </c>
      <c r="AX302" s="427" t="str">
        <f>IF(AND($A302&gt;=SYear_O,$A302&lt;=EYear_O,AX$3&gt;0),IF($A302=SYear_O,AX$168*(1+Data_All!AX141%),AX301*(1+Data_All!AX141%)),"")</f>
        <v/>
      </c>
      <c r="AY302" s="427" t="str">
        <f>IF(AND($A302&gt;=SYear_O,$A302&lt;=EYear_O,AY$3&gt;0),IF($A302=SYear_O,AY$168*(1+Data_All!AY141%),AY301*(1+Data_All!AY141%)),"")</f>
        <v/>
      </c>
      <c r="AZ302" s="427" t="str">
        <f>IF(AND($A302&gt;=SYear_O,$A302&lt;=EYear_O,AZ$3&gt;0),IF($A302=SYear_O,AZ$168*(1+Data_All!AZ141%),AZ301*(1+Data_All!AZ141%)),"")</f>
        <v/>
      </c>
      <c r="BA302" s="427" t="str">
        <f>IF(AND($A302&gt;=SYear_O,$A302&lt;=EYear_O,BA$3&gt;0),IF($A302=SYear_O,BA$168*(1+Data_All!BA141%),BA301*(1+Data_All!BA141%)),"")</f>
        <v/>
      </c>
      <c r="BB302" s="427" t="str">
        <f>IF(AND($A302&gt;=SYear_O,$A302&lt;=EYear_O,BB$3&gt;0),IF($A302=SYear_O,BB$168*(1+Data_All!BB141%),BB301*(1+Data_All!BB141%)),"")</f>
        <v/>
      </c>
      <c r="BC302" s="427" t="str">
        <f>IF(AND($A302&gt;=SYear_O,$A302&lt;=EYear_O,BC$3&gt;0),IF($A302=SYear_O,BC$168*(1+Data_All!BC141%),BC301*(1+Data_All!BC141%)),"")</f>
        <v/>
      </c>
      <c r="BD302" s="427" t="str">
        <f>IF(AND($A302&gt;=SYear_O,$A302&lt;=EYear_O,BD$3&gt;0),IF($A302=SYear_O,BD$168*(1+Data_All!BD141%),BD301*(1+Data_All!BD141%)),"")</f>
        <v/>
      </c>
      <c r="BE302" s="427" t="str">
        <f>IF(AND($A302&gt;=SYear_O,$A302&lt;=EYear_O,BE$3&gt;0),IF($A302=SYear_O,BE$168*(1+Data_All!BE141%),BE301*(1+Data_All!BE141%)),"")</f>
        <v/>
      </c>
      <c r="BF302" s="427" t="str">
        <f>IF(AND($A302&gt;=SYear_O,$A302&lt;=EYear_O,BF$3&gt;0),IF($A302=SYear_O,BF$168*(1+Data_All!BF141%),BF301*(1+Data_All!BF141%)),"")</f>
        <v/>
      </c>
      <c r="BG302" s="427" t="str">
        <f>IF(AND($A302&gt;=SYear_O,$A302&lt;=EYear_O,BG$3&gt;0),IF($A302=SYear_O,BG$168*(1+Data_All!BG141%),BG301*(1+Data_All!BG141%)),"")</f>
        <v/>
      </c>
      <c r="BH302" s="427" t="str">
        <f>IF(AND($A302&gt;=SYear_O,$A302&lt;=EYear_O,BH$3&gt;0),IF($A302=SYear_O,BH$168*(1+Data_All!BH141%),BH301*(1+Data_All!BH141%)),"")</f>
        <v/>
      </c>
      <c r="BI302" s="427" t="str">
        <f>IF(AND($A302&gt;=SYear_O,$A302&lt;=EYear_O,BI$3&gt;0),IF($A302=SYear_O,BI$168*(1+Data_All!BI141%),BI301*(1+Data_All!BI141%)),"")</f>
        <v/>
      </c>
      <c r="BJ302" s="427" t="str">
        <f>IF(AND($A302&gt;=SYear_O,$A302&lt;=EYear_O,BJ$3&gt;0),IF($A302=SYear_O,BJ$168*(1+Data_All!BJ141%),BJ301*(1+Data_All!BJ141%)),"")</f>
        <v/>
      </c>
      <c r="BK302" s="427" t="str">
        <f>IF(AND($A302&gt;=SYear_O,$A302&lt;=EYear_O,BK$3&gt;0),IF($A302=SYear_O,BK$168*(1+Data_All!BK141%),BK301*(1+Data_All!BK141%)),"")</f>
        <v/>
      </c>
      <c r="BL302" s="427" t="str">
        <f>IF(AND($A302&gt;=SYear_O,$A302&lt;=EYear_O,BL$3&gt;0),IF($A302=SYear_O,BL$168*(1+Data_All!BL141%),BL301*(1+Data_All!BL141%)),"")</f>
        <v/>
      </c>
      <c r="BM302" s="427" t="str">
        <f>IF(AND($A302&gt;=SYear_O,$A302&lt;=EYear_O,BM$3&gt;0),IF($A302=SYear_O,BM$168*(1+Data_All!BM141%),BM301*(1+Data_All!BM141%)),"")</f>
        <v/>
      </c>
      <c r="BN302" s="427" t="str">
        <f>IF(AND($A302&gt;=SYear_O,$A302&lt;=EYear_O,BN$3&gt;0),IF($A302=SYear_O,BN$168*(1+Data_All!BN141%),BN301*(1+Data_All!BN141%)),"")</f>
        <v/>
      </c>
      <c r="BO302" s="427" t="str">
        <f>IF(AND($A302&gt;=SYear_O,$A302&lt;=EYear_O,BO$3&gt;0),IF($A302=SYear_O,BO$168*(1+Data_All!BO141%),BO301*(1+Data_All!BO141%)),"")</f>
        <v/>
      </c>
      <c r="BP302" s="427" t="str">
        <f>IF(AND($A302&gt;=SYear_O,$A302&lt;=EYear_O,BP$3&gt;0),IF($A302=SYear_O,BP$168*(1+Data_All!BP141%),BP301*(1+Data_All!BP141%)),"")</f>
        <v/>
      </c>
      <c r="BQ302" s="427" t="str">
        <f>IF(AND($A302&gt;=SYear_O,$A302&lt;=EYear_O,BQ$3&gt;0),IF($A302=SYear_O,BQ$168*(1+Data_All!BQ141%),BQ301*(1+Data_All!BQ141%)),"")</f>
        <v/>
      </c>
      <c r="BR302" s="427" t="str">
        <f>IF(AND($A302&gt;=SYear_O,$A302&lt;=EYear_O,BR$3&gt;0),IF($A302=SYear_O,BR$168*(1+Data_All!BR141%),BR301*(1+Data_All!BR141%)),"")</f>
        <v/>
      </c>
      <c r="BS302" s="427" t="str">
        <f>IF(AND($A302&gt;=SYear_O,$A302&lt;=EYear_O,BS$3&gt;0),IF($A302=SYear_O,BS$168*(1+Data_All!BS141%),BS301*(1+Data_All!BS141%)),"")</f>
        <v/>
      </c>
      <c r="BT302" s="427" t="str">
        <f>IF(AND($A302&gt;=SYear_O,$A302&lt;=EYear_O,BT$3&gt;0),IF($A302=SYear_O,BT$168*(1+Data_All!BT141%),BT301*(1+Data_All!BT141%)),"")</f>
        <v/>
      </c>
      <c r="BU302" s="427" t="str">
        <f>IF(AND($A302&gt;=SYear_O,$A302&lt;=EYear_O,BU$3&gt;0),IF($A302=SYear_O,BU$168*(1+Data_All!BU141%),BU301*(1+Data_All!BU141%)),"")</f>
        <v/>
      </c>
      <c r="BV302" s="427" t="str">
        <f>IF(AND($A302&gt;=SYear_O,$A302&lt;=EYear_O,BV$3&gt;0),IF($A302=SYear_O,BV$168*(1+Data_All!BV141%),BV301*(1+Data_All!BV141%)),"")</f>
        <v/>
      </c>
      <c r="BW302" s="427" t="str">
        <f>IF(AND($A302&gt;=SYear_O,$A302&lt;=EYear_O,BW$3&gt;0),IF($A302=SYear_O,BW$168*(1+Data_All!BW141%),BW301*(1+Data_All!BW141%)),"")</f>
        <v/>
      </c>
      <c r="BX302" s="427">
        <f>IF(AND($A302&gt;=SYear_O,$A302&lt;=EYear_O,BX$3&gt;0),IF($A302=SYear_O,BX$168*(1+Data_All!BX141%),BX301*(1+Data_All!BX141%)),"")</f>
        <v>597792524.94073057</v>
      </c>
      <c r="BY302" s="427">
        <f>IF(AND($A302&gt;=SYear_O,$A302&lt;=EYear_O,BY$3&gt;0),IF($A302=SYear_O,BY$168*(1+Data_All!BY141%),BY301*(1+Data_All!BY141%)),"")</f>
        <v>1964622.5812997418</v>
      </c>
      <c r="BZ302" s="427" t="str">
        <f>IF(AND($A302&gt;=SYear_O,$A302&lt;=EYear_O,BZ$3&gt;0),IF($A302=SYear_O,BZ$168*(1+Data_All!BZ141%),BZ301*(1+Data_All!BZ141%)),"")</f>
        <v/>
      </c>
      <c r="CA302" s="565">
        <f t="shared" si="155"/>
        <v>6.0206585739995573</v>
      </c>
      <c r="CB302" s="427">
        <f t="shared" si="156"/>
        <v>599757147.52203035</v>
      </c>
      <c r="CC302" s="565">
        <f>IF(AND($A302&gt;=SYear_O,$A302&lt;=EYear_O),(CA302-Data_All!CA141)/(1+Data_All!CA141%),"")</f>
        <v>2.6779157918450816</v>
      </c>
      <c r="CD302" s="436">
        <f t="shared" si="157"/>
        <v>39282236.846561149</v>
      </c>
      <c r="CE302" s="438">
        <f t="shared" si="158"/>
        <v>54397.516725118876</v>
      </c>
      <c r="CF302" s="438">
        <f>IF(AND($A302&gt;=SYear_O,$A302&lt;=EYear_O),MAX($CE$169:CE302),"")</f>
        <v>60812.097856705019</v>
      </c>
      <c r="CG302" s="209">
        <f t="shared" si="159"/>
        <v>0.10548199055229412</v>
      </c>
      <c r="CN302" s="61">
        <f t="shared" si="154"/>
        <v>6.0206585739995599E-2</v>
      </c>
      <c r="CO302" s="61">
        <f t="shared" si="144"/>
        <v>9.7592471630470579E-2</v>
      </c>
      <c r="CP302" s="61">
        <f t="shared" si="145"/>
        <v>-3.2235691997819949E-2</v>
      </c>
      <c r="CQ302" s="61">
        <f t="shared" si="146"/>
        <v>6.9863783487309927E-2</v>
      </c>
      <c r="CR302" s="61"/>
      <c r="CU302" s="61">
        <f t="shared" si="148"/>
        <v>2.6779157918450869E-2</v>
      </c>
      <c r="CV302" s="61">
        <f t="shared" si="149"/>
        <v>6.4900858921989046E-2</v>
      </c>
      <c r="CW302" s="61">
        <f t="shared" si="150"/>
        <v>-5.7380203874343949E-2</v>
      </c>
      <c r="CX302" s="61">
        <f t="shared" si="151"/>
        <v>4.5048137027363655E-2</v>
      </c>
      <c r="CY302" s="61"/>
    </row>
    <row r="303" spans="1:103">
      <c r="A303" s="204">
        <f t="shared" si="153"/>
        <v>2005</v>
      </c>
      <c r="B303" s="427" t="str">
        <f>IF(AND($A303&gt;=SYear_O,$A303&lt;=EYear_O,B$3&gt;0),IF($A303=SYear_O,B$168*(1+Data_All!B142%),B302*(1+Data_All!B142%)),"")</f>
        <v/>
      </c>
      <c r="C303" s="427" t="str">
        <f>IF(AND($A303&gt;=SYear_O,$A303&lt;=EYear_O,C$3&gt;0),IF($A303=SYear_O,C$168*(1+Data_All!C142%),C302*(1+Data_All!C142%)),"")</f>
        <v/>
      </c>
      <c r="D303" s="427" t="str">
        <f>IF(AND($A303&gt;=SYear_O,$A303&lt;=EYear_O,D$3&gt;0),IF($A303=SYear_O,D$168*(1+Data_All!D142%),D302*(1+Data_All!D142%)),"")</f>
        <v/>
      </c>
      <c r="E303" s="427" t="str">
        <f>IF(AND($A303&gt;=SYear_O,$A303&lt;=EYear_O,E$3&gt;0),IF($A303=SYear_O,E$168*(1+Data_All!E142%),E302*(1+Data_All!E142%)),"")</f>
        <v/>
      </c>
      <c r="F303" s="427" t="str">
        <f>IF(AND($A303&gt;=SYear_O,$A303&lt;=EYear_O,F$3&gt;0),IF($A303=SYear_O,F$168*(1+Data_All!F142%),F302*(1+Data_All!F142%)),"")</f>
        <v/>
      </c>
      <c r="G303" s="427" t="str">
        <f>IF(AND($A303&gt;=SYear_O,$A303&lt;=EYear_O,G$3&gt;0),IF($A303=SYear_O,G$168*(1+Data_All!G142%),G302*(1+Data_All!G142%)),"")</f>
        <v/>
      </c>
      <c r="H303" s="427" t="str">
        <f>IF(AND($A303&gt;=SYear_O,$A303&lt;=EYear_O,H$3&gt;0),IF($A303=SYear_O,H$168*(1+Data_All!H142%),H302*(1+Data_All!H142%)),"")</f>
        <v/>
      </c>
      <c r="I303" s="427" t="str">
        <f>IF(AND($A303&gt;=SYear_O,$A303&lt;=EYear_O,I$3&gt;0),IF($A303=SYear_O,I$168*(1+Data_All!I142%),I302*(1+Data_All!I142%)),"")</f>
        <v/>
      </c>
      <c r="J303" s="427" t="str">
        <f>IF(AND($A303&gt;=SYear_O,$A303&lt;=EYear_O,J$3&gt;0),IF($A303=SYear_O,J$168*(1+Data_All!J142%),J302*(1+Data_All!J142%)),"")</f>
        <v/>
      </c>
      <c r="K303" s="427" t="str">
        <f>IF(AND($A303&gt;=SYear_O,$A303&lt;=EYear_O,K$3&gt;0),IF($A303=SYear_O,K$168*(1+Data_All!K142%),K302*(1+Data_All!K142%)),"")</f>
        <v/>
      </c>
      <c r="L303" s="427" t="str">
        <f>IF(AND($A303&gt;=SYear_O,$A303&lt;=EYear_O,L$3&gt;0),IF($A303=SYear_O,L$168*(1+Data_All!L142%),L302*(1+Data_All!L142%)),"")</f>
        <v/>
      </c>
      <c r="M303" s="427" t="str">
        <f>IF(AND($A303&gt;=SYear_O,$A303&lt;=EYear_O,M$3&gt;0),IF($A303=SYear_O,M$168*(1+Data_All!M142%),M302*(1+Data_All!M142%)),"")</f>
        <v/>
      </c>
      <c r="N303" s="427" t="str">
        <f>IF(AND($A303&gt;=SYear_O,$A303&lt;=EYear_O,N$3&gt;0),IF($A303=SYear_O,N$168*(1+Data_All!N142%),N302*(1+Data_All!N142%)),"")</f>
        <v/>
      </c>
      <c r="O303" s="427" t="str">
        <f>IF(AND($A303&gt;=SYear_O,$A303&lt;=EYear_O,O$3&gt;0),IF($A303=SYear_O,O$168*(1+Data_All!O142%),O302*(1+Data_All!O142%)),"")</f>
        <v/>
      </c>
      <c r="P303" s="427" t="str">
        <f>IF(AND($A303&gt;=SYear_O,$A303&lt;=EYear_O,P$3&gt;0),IF($A303=SYear_O,P$168*(1+Data_All!P142%),P302*(1+Data_All!P142%)),"")</f>
        <v/>
      </c>
      <c r="Q303" s="427" t="str">
        <f>IF(AND($A303&gt;=SYear_O,$A303&lt;=EYear_O,Q$3&gt;0),IF($A303=SYear_O,Q$168*(1+Data_All!Q142%),Q302*(1+Data_All!Q142%)),"")</f>
        <v/>
      </c>
      <c r="R303" s="427" t="str">
        <f>IF(AND($A303&gt;=SYear_O,$A303&lt;=EYear_O,R$3&gt;0),IF($A303=SYear_O,R$168*(1+Data_All!R142%),R302*(1+Data_All!R142%)),"")</f>
        <v/>
      </c>
      <c r="S303" s="427" t="str">
        <f>IF(AND($A303&gt;=SYear_O,$A303&lt;=EYear_O,S$3&gt;0),IF($A303=SYear_O,S$168*(1+Data_All!S142%),S302*(1+Data_All!S142%)),"")</f>
        <v/>
      </c>
      <c r="T303" s="427" t="str">
        <f>IF(AND($A303&gt;=SYear_O,$A303&lt;=EYear_O,T$3&gt;0),IF($A303=SYear_O,T$168*(1+Data_All!T142%),T302*(1+Data_All!T142%)),"")</f>
        <v/>
      </c>
      <c r="U303" s="427" t="str">
        <f>IF(AND($A303&gt;=SYear_O,$A303&lt;=EYear_O,U$3&gt;0),IF($A303=SYear_O,U$168*(1+Data_All!U142%),U302*(1+Data_All!U142%)),"")</f>
        <v/>
      </c>
      <c r="V303" s="427" t="str">
        <f>IF(AND($A303&gt;=SYear_O,$A303&lt;=EYear_O,V$3&gt;0),IF($A303=SYear_O,V$168*(1+Data_All!V142%),V302*(1+Data_All!V142%)),"")</f>
        <v/>
      </c>
      <c r="W303" s="427" t="str">
        <f>IF(AND($A303&gt;=SYear_O,$A303&lt;=EYear_O,W$3&gt;0),IF($A303=SYear_O,W$168*(1+Data_All!W142%),W302*(1+Data_All!W142%)),"")</f>
        <v/>
      </c>
      <c r="X303" s="427" t="str">
        <f>IF(AND($A303&gt;=SYear_O,$A303&lt;=EYear_O,X$3&gt;0),IF($A303=SYear_O,X$168*(1+Data_All!X142%),X302*(1+Data_All!X142%)),"")</f>
        <v/>
      </c>
      <c r="Y303" s="427" t="str">
        <f>IF(AND($A303&gt;=SYear_O,$A303&lt;=EYear_O,Y$3&gt;0),IF($A303=SYear_O,Y$168*(1+Data_All!Y142%),Y302*(1+Data_All!Y142%)),"")</f>
        <v/>
      </c>
      <c r="Z303" s="427" t="str">
        <f>IF(AND($A303&gt;=SYear_O,$A303&lt;=EYear_O,Z$3&gt;0),IF($A303=SYear_O,Z$168*(1+Data_All!Z142%),Z302*(1+Data_All!Z142%)),"")</f>
        <v/>
      </c>
      <c r="AA303" s="427" t="str">
        <f>IF(AND($A303&gt;=SYear_O,$A303&lt;=EYear_O,AA$3&gt;0),IF($A303=SYear_O,AA$168*(1+Data_All!AA142%),AA302*(1+Data_All!AA142%)),"")</f>
        <v/>
      </c>
      <c r="AB303" s="427" t="str">
        <f>IF(AND($A303&gt;=SYear_O,$A303&lt;=EYear_O,AB$3&gt;0),IF($A303=SYear_O,AB$168*(1+Data_All!AB142%),AB302*(1+Data_All!AB142%)),"")</f>
        <v/>
      </c>
      <c r="AC303" s="427" t="str">
        <f>IF(AND($A303&gt;=SYear_O,$A303&lt;=EYear_O,AC$3&gt;0),IF($A303=SYear_O,AC$168*(1+Data_All!AC142%),AC302*(1+Data_All!AC142%)),"")</f>
        <v/>
      </c>
      <c r="AD303" s="427" t="str">
        <f>IF(AND($A303&gt;=SYear_O,$A303&lt;=EYear_O,AD$3&gt;0),IF($A303=SYear_O,AD$168*(1+Data_All!AD142%),AD302*(1+Data_All!AD142%)),"")</f>
        <v/>
      </c>
      <c r="AE303" s="427" t="str">
        <f>IF(AND($A303&gt;=SYear_O,$A303&lt;=EYear_O,AE$3&gt;0),IF($A303=SYear_O,AE$168*(1+Data_All!AE142%),AE302*(1+Data_All!AE142%)),"")</f>
        <v/>
      </c>
      <c r="AF303" s="427" t="str">
        <f>IF(AND($A303&gt;=SYear_O,$A303&lt;=EYear_O,AF$3&gt;0),IF($A303=SYear_O,AF$168*(1+Data_All!AF142%),AF302*(1+Data_All!AF142%)),"")</f>
        <v/>
      </c>
      <c r="AG303" s="427" t="str">
        <f>IF(AND($A303&gt;=SYear_O,$A303&lt;=EYear_O,AG$3&gt;0),IF($A303=SYear_O,AG$168*(1+Data_All!AG142%),AG302*(1+Data_All!AG142%)),"")</f>
        <v/>
      </c>
      <c r="AH303" s="427" t="str">
        <f>IF(AND($A303&gt;=SYear_O,$A303&lt;=EYear_O,AH$3&gt;0),IF($A303=SYear_O,AH$168*(1+Data_All!AH142%),AH302*(1+Data_All!AH142%)),"")</f>
        <v/>
      </c>
      <c r="AI303" s="427" t="str">
        <f>IF(AND($A303&gt;=SYear_O,$A303&lt;=EYear_O,AI$3&gt;0),IF($A303=SYear_O,AI$168*(1+Data_All!AI142%),AI302*(1+Data_All!AI142%)),"")</f>
        <v/>
      </c>
      <c r="AJ303" s="427" t="str">
        <f>IF(AND($A303&gt;=SYear_O,$A303&lt;=EYear_O,AJ$3&gt;0),IF($A303=SYear_O,AJ$168*(1+Data_All!AJ142%),AJ302*(1+Data_All!AJ142%)),"")</f>
        <v/>
      </c>
      <c r="AK303" s="427" t="str">
        <f>IF(AND($A303&gt;=SYear_O,$A303&lt;=EYear_O,AK$3&gt;0),IF($A303=SYear_O,AK$168*(1+Data_All!AK142%),AK302*(1+Data_All!AK142%)),"")</f>
        <v/>
      </c>
      <c r="AL303" s="427" t="str">
        <f>IF(AND($A303&gt;=SYear_O,$A303&lt;=EYear_O,AL$3&gt;0),IF($A303=SYear_O,AL$168*(1+Data_All!AL142%),AL302*(1+Data_All!AL142%)),"")</f>
        <v/>
      </c>
      <c r="AM303" s="427" t="str">
        <f>IF(AND($A303&gt;=SYear_O,$A303&lt;=EYear_O,AM$3&gt;0),IF($A303=SYear_O,AM$168*(1+Data_All!AM142%),AM302*(1+Data_All!AM142%)),"")</f>
        <v/>
      </c>
      <c r="AN303" s="427" t="str">
        <f>IF(AND($A303&gt;=SYear_O,$A303&lt;=EYear_O,AN$3&gt;0),IF($A303=SYear_O,AN$168*(1+Data_All!AN142%),AN302*(1+Data_All!AN142%)),"")</f>
        <v/>
      </c>
      <c r="AO303" s="427" t="str">
        <f>IF(AND($A303&gt;=SYear_O,$A303&lt;=EYear_O,AO$3&gt;0),IF($A303=SYear_O,AO$168*(1+Data_All!AO142%),AO302*(1+Data_All!AO142%)),"")</f>
        <v/>
      </c>
      <c r="AP303" s="427" t="str">
        <f>IF(AND($A303&gt;=SYear_O,$A303&lt;=EYear_O,AP$3&gt;0),IF($A303=SYear_O,AP$168*(1+Data_All!AP142%),AP302*(1+Data_All!AP142%)),"")</f>
        <v/>
      </c>
      <c r="AQ303" s="427" t="str">
        <f>IF(AND($A303&gt;=SYear_O,$A303&lt;=EYear_O,AQ$3&gt;0),IF($A303=SYear_O,AQ$168*(1+Data_All!AQ142%),AQ302*(1+Data_All!AQ142%)),"")</f>
        <v/>
      </c>
      <c r="AR303" s="427" t="str">
        <f>IF(AND($A303&gt;=SYear_O,$A303&lt;=EYear_O,AR$3&gt;0),IF($A303=SYear_O,AR$168*(1+Data_All!AR142%),AR302*(1+Data_All!AR142%)),"")</f>
        <v/>
      </c>
      <c r="AS303" s="427" t="str">
        <f>IF(AND($A303&gt;=SYear_O,$A303&lt;=EYear_O,AS$3&gt;0),IF($A303=SYear_O,AS$168*(1+Data_All!AS142%),AS302*(1+Data_All!AS142%)),"")</f>
        <v/>
      </c>
      <c r="AT303" s="427" t="str">
        <f>IF(AND($A303&gt;=SYear_O,$A303&lt;=EYear_O,AT$3&gt;0),IF($A303=SYear_O,AT$168*(1+Data_All!AT142%),AT302*(1+Data_All!AT142%)),"")</f>
        <v/>
      </c>
      <c r="AU303" s="427" t="str">
        <f>IF(AND($A303&gt;=SYear_O,$A303&lt;=EYear_O,AU$3&gt;0),IF($A303=SYear_O,AU$168*(1+Data_All!AU142%),AU302*(1+Data_All!AU142%)),"")</f>
        <v/>
      </c>
      <c r="AV303" s="427" t="str">
        <f>IF(AND($A303&gt;=SYear_O,$A303&lt;=EYear_O,AV$3&gt;0),IF($A303=SYear_O,AV$168*(1+Data_All!AV142%),AV302*(1+Data_All!AV142%)),"")</f>
        <v/>
      </c>
      <c r="AW303" s="427" t="str">
        <f>IF(AND($A303&gt;=SYear_O,$A303&lt;=EYear_O,AW$3&gt;0),IF($A303=SYear_O,AW$168*(1+Data_All!AW142%),AW302*(1+Data_All!AW142%)),"")</f>
        <v/>
      </c>
      <c r="AX303" s="427" t="str">
        <f>IF(AND($A303&gt;=SYear_O,$A303&lt;=EYear_O,AX$3&gt;0),IF($A303=SYear_O,AX$168*(1+Data_All!AX142%),AX302*(1+Data_All!AX142%)),"")</f>
        <v/>
      </c>
      <c r="AY303" s="427" t="str">
        <f>IF(AND($A303&gt;=SYear_O,$A303&lt;=EYear_O,AY$3&gt;0),IF($A303=SYear_O,AY$168*(1+Data_All!AY142%),AY302*(1+Data_All!AY142%)),"")</f>
        <v/>
      </c>
      <c r="AZ303" s="427" t="str">
        <f>IF(AND($A303&gt;=SYear_O,$A303&lt;=EYear_O,AZ$3&gt;0),IF($A303=SYear_O,AZ$168*(1+Data_All!AZ142%),AZ302*(1+Data_All!AZ142%)),"")</f>
        <v/>
      </c>
      <c r="BA303" s="427" t="str">
        <f>IF(AND($A303&gt;=SYear_O,$A303&lt;=EYear_O,BA$3&gt;0),IF($A303=SYear_O,BA$168*(1+Data_All!BA142%),BA302*(1+Data_All!BA142%)),"")</f>
        <v/>
      </c>
      <c r="BB303" s="427" t="str">
        <f>IF(AND($A303&gt;=SYear_O,$A303&lt;=EYear_O,BB$3&gt;0),IF($A303=SYear_O,BB$168*(1+Data_All!BB142%),BB302*(1+Data_All!BB142%)),"")</f>
        <v/>
      </c>
      <c r="BC303" s="427" t="str">
        <f>IF(AND($A303&gt;=SYear_O,$A303&lt;=EYear_O,BC$3&gt;0),IF($A303=SYear_O,BC$168*(1+Data_All!BC142%),BC302*(1+Data_All!BC142%)),"")</f>
        <v/>
      </c>
      <c r="BD303" s="427" t="str">
        <f>IF(AND($A303&gt;=SYear_O,$A303&lt;=EYear_O,BD$3&gt;0),IF($A303=SYear_O,BD$168*(1+Data_All!BD142%),BD302*(1+Data_All!BD142%)),"")</f>
        <v/>
      </c>
      <c r="BE303" s="427" t="str">
        <f>IF(AND($A303&gt;=SYear_O,$A303&lt;=EYear_O,BE$3&gt;0),IF($A303=SYear_O,BE$168*(1+Data_All!BE142%),BE302*(1+Data_All!BE142%)),"")</f>
        <v/>
      </c>
      <c r="BF303" s="427" t="str">
        <f>IF(AND($A303&gt;=SYear_O,$A303&lt;=EYear_O,BF$3&gt;0),IF($A303=SYear_O,BF$168*(1+Data_All!BF142%),BF302*(1+Data_All!BF142%)),"")</f>
        <v/>
      </c>
      <c r="BG303" s="427" t="str">
        <f>IF(AND($A303&gt;=SYear_O,$A303&lt;=EYear_O,BG$3&gt;0),IF($A303=SYear_O,BG$168*(1+Data_All!BG142%),BG302*(1+Data_All!BG142%)),"")</f>
        <v/>
      </c>
      <c r="BH303" s="427" t="str">
        <f>IF(AND($A303&gt;=SYear_O,$A303&lt;=EYear_O,BH$3&gt;0),IF($A303=SYear_O,BH$168*(1+Data_All!BH142%),BH302*(1+Data_All!BH142%)),"")</f>
        <v/>
      </c>
      <c r="BI303" s="427" t="str">
        <f>IF(AND($A303&gt;=SYear_O,$A303&lt;=EYear_O,BI$3&gt;0),IF($A303=SYear_O,BI$168*(1+Data_All!BI142%),BI302*(1+Data_All!BI142%)),"")</f>
        <v/>
      </c>
      <c r="BJ303" s="427" t="str">
        <f>IF(AND($A303&gt;=SYear_O,$A303&lt;=EYear_O,BJ$3&gt;0),IF($A303=SYear_O,BJ$168*(1+Data_All!BJ142%),BJ302*(1+Data_All!BJ142%)),"")</f>
        <v/>
      </c>
      <c r="BK303" s="427" t="str">
        <f>IF(AND($A303&gt;=SYear_O,$A303&lt;=EYear_O,BK$3&gt;0),IF($A303=SYear_O,BK$168*(1+Data_All!BK142%),BK302*(1+Data_All!BK142%)),"")</f>
        <v/>
      </c>
      <c r="BL303" s="427" t="str">
        <f>IF(AND($A303&gt;=SYear_O,$A303&lt;=EYear_O,BL$3&gt;0),IF($A303=SYear_O,BL$168*(1+Data_All!BL142%),BL302*(1+Data_All!BL142%)),"")</f>
        <v/>
      </c>
      <c r="BM303" s="427" t="str">
        <f>IF(AND($A303&gt;=SYear_O,$A303&lt;=EYear_O,BM$3&gt;0),IF($A303=SYear_O,BM$168*(1+Data_All!BM142%),BM302*(1+Data_All!BM142%)),"")</f>
        <v/>
      </c>
      <c r="BN303" s="427" t="str">
        <f>IF(AND($A303&gt;=SYear_O,$A303&lt;=EYear_O,BN$3&gt;0),IF($A303=SYear_O,BN$168*(1+Data_All!BN142%),BN302*(1+Data_All!BN142%)),"")</f>
        <v/>
      </c>
      <c r="BO303" s="427" t="str">
        <f>IF(AND($A303&gt;=SYear_O,$A303&lt;=EYear_O,BO$3&gt;0),IF($A303=SYear_O,BO$168*(1+Data_All!BO142%),BO302*(1+Data_All!BO142%)),"")</f>
        <v/>
      </c>
      <c r="BP303" s="427" t="str">
        <f>IF(AND($A303&gt;=SYear_O,$A303&lt;=EYear_O,BP$3&gt;0),IF($A303=SYear_O,BP$168*(1+Data_All!BP142%),BP302*(1+Data_All!BP142%)),"")</f>
        <v/>
      </c>
      <c r="BQ303" s="427" t="str">
        <f>IF(AND($A303&gt;=SYear_O,$A303&lt;=EYear_O,BQ$3&gt;0),IF($A303=SYear_O,BQ$168*(1+Data_All!BQ142%),BQ302*(1+Data_All!BQ142%)),"")</f>
        <v/>
      </c>
      <c r="BR303" s="427" t="str">
        <f>IF(AND($A303&gt;=SYear_O,$A303&lt;=EYear_O,BR$3&gt;0),IF($A303=SYear_O,BR$168*(1+Data_All!BR142%),BR302*(1+Data_All!BR142%)),"")</f>
        <v/>
      </c>
      <c r="BS303" s="427" t="str">
        <f>IF(AND($A303&gt;=SYear_O,$A303&lt;=EYear_O,BS$3&gt;0),IF($A303=SYear_O,BS$168*(1+Data_All!BS142%),BS302*(1+Data_All!BS142%)),"")</f>
        <v/>
      </c>
      <c r="BT303" s="427" t="str">
        <f>IF(AND($A303&gt;=SYear_O,$A303&lt;=EYear_O,BT$3&gt;0),IF($A303=SYear_O,BT$168*(1+Data_All!BT142%),BT302*(1+Data_All!BT142%)),"")</f>
        <v/>
      </c>
      <c r="BU303" s="427" t="str">
        <f>IF(AND($A303&gt;=SYear_O,$A303&lt;=EYear_O,BU$3&gt;0),IF($A303=SYear_O,BU$168*(1+Data_All!BU142%),BU302*(1+Data_All!BU142%)),"")</f>
        <v/>
      </c>
      <c r="BV303" s="427" t="str">
        <f>IF(AND($A303&gt;=SYear_O,$A303&lt;=EYear_O,BV$3&gt;0),IF($A303=SYear_O,BV$168*(1+Data_All!BV142%),BV302*(1+Data_All!BV142%)),"")</f>
        <v/>
      </c>
      <c r="BW303" s="427" t="str">
        <f>IF(AND($A303&gt;=SYear_O,$A303&lt;=EYear_O,BW$3&gt;0),IF($A303=SYear_O,BW$168*(1+Data_All!BW142%),BW302*(1+Data_All!BW142%)),"")</f>
        <v/>
      </c>
      <c r="BX303" s="427">
        <f>IF(AND($A303&gt;=SYear_O,$A303&lt;=EYear_O,BX$3&gt;0),IF($A303=SYear_O,BX$168*(1+Data_All!BX142%),BX302*(1+Data_All!BX142%)),"")</f>
        <v>658279670.32752681</v>
      </c>
      <c r="BY303" s="427">
        <f>IF(AND($A303&gt;=SYear_O,$A303&lt;=EYear_O,BY$3&gt;0),IF($A303=SYear_O,BY$168*(1+Data_All!BY142%),BY302*(1+Data_All!BY142%)),"")</f>
        <v>2004068.463065732</v>
      </c>
      <c r="BZ303" s="427" t="str">
        <f>IF(AND($A303&gt;=SYear_O,$A303&lt;=EYear_O,BZ$3&gt;0),IF($A303=SYear_O,BZ$168*(1+Data_All!BZ142%),BZ302*(1+Data_All!BZ142%)),"")</f>
        <v/>
      </c>
      <c r="CA303" s="565">
        <f t="shared" si="155"/>
        <v>10.091849929364773</v>
      </c>
      <c r="CB303" s="427">
        <f t="shared" si="156"/>
        <v>660283738.79059255</v>
      </c>
      <c r="CC303" s="565">
        <f>IF(AND($A303&gt;=SYear_O,$A303&lt;=EYear_O),(CA303-Data_All!CA142)/(1+Data_All!CA142%),"")</f>
        <v>6.4556861867790456</v>
      </c>
      <c r="CD303" s="436">
        <f t="shared" si="157"/>
        <v>41818174.784522429</v>
      </c>
      <c r="CE303" s="438">
        <f t="shared" si="158"/>
        <v>59887.232478318983</v>
      </c>
      <c r="CF303" s="438">
        <f>IF(AND($A303&gt;=SYear_O,$A303&lt;=EYear_O),MAX($CE$169:CE303),"")</f>
        <v>60812.097856705019</v>
      </c>
      <c r="CG303" s="209">
        <f t="shared" si="159"/>
        <v>1.5208575447690498E-2</v>
      </c>
      <c r="CN303" s="61">
        <f t="shared" si="154"/>
        <v>0.10091849929364782</v>
      </c>
      <c r="CO303" s="61">
        <f t="shared" si="144"/>
        <v>7.2072552325807449E-2</v>
      </c>
      <c r="CP303" s="61">
        <f t="shared" si="145"/>
        <v>1.1456940077444022E-2</v>
      </c>
      <c r="CQ303" s="61">
        <f t="shared" si="146"/>
        <v>7.712246785818766E-2</v>
      </c>
      <c r="CR303" s="61"/>
      <c r="CU303" s="61">
        <f t="shared" si="148"/>
        <v>6.4556861867790527E-2</v>
      </c>
      <c r="CV303" s="61">
        <f t="shared" si="149"/>
        <v>3.7383159746023464E-2</v>
      </c>
      <c r="CW303" s="61">
        <f t="shared" si="150"/>
        <v>-1.3800184745038635E-2</v>
      </c>
      <c r="CX303" s="61">
        <f t="shared" si="151"/>
        <v>5.4719401884576691E-2</v>
      </c>
      <c r="CY303" s="61"/>
    </row>
    <row r="304" spans="1:103">
      <c r="A304" s="204">
        <f t="shared" si="153"/>
        <v>2006</v>
      </c>
      <c r="B304" s="427" t="str">
        <f>IF(AND($A304&gt;=SYear_O,$A304&lt;=EYear_O,B$3&gt;0),IF($A304=SYear_O,B$168*(1+Data_All!B143%),B303*(1+Data_All!B143%)),"")</f>
        <v/>
      </c>
      <c r="C304" s="427" t="str">
        <f>IF(AND($A304&gt;=SYear_O,$A304&lt;=EYear_O,C$3&gt;0),IF($A304=SYear_O,C$168*(1+Data_All!C143%),C303*(1+Data_All!C143%)),"")</f>
        <v/>
      </c>
      <c r="D304" s="427" t="str">
        <f>IF(AND($A304&gt;=SYear_O,$A304&lt;=EYear_O,D$3&gt;0),IF($A304=SYear_O,D$168*(1+Data_All!D143%),D303*(1+Data_All!D143%)),"")</f>
        <v/>
      </c>
      <c r="E304" s="427" t="str">
        <f>IF(AND($A304&gt;=SYear_O,$A304&lt;=EYear_O,E$3&gt;0),IF($A304=SYear_O,E$168*(1+Data_All!E143%),E303*(1+Data_All!E143%)),"")</f>
        <v/>
      </c>
      <c r="F304" s="427" t="str">
        <f>IF(AND($A304&gt;=SYear_O,$A304&lt;=EYear_O,F$3&gt;0),IF($A304=SYear_O,F$168*(1+Data_All!F143%),F303*(1+Data_All!F143%)),"")</f>
        <v/>
      </c>
      <c r="G304" s="427" t="str">
        <f>IF(AND($A304&gt;=SYear_O,$A304&lt;=EYear_O,G$3&gt;0),IF($A304=SYear_O,G$168*(1+Data_All!G143%),G303*(1+Data_All!G143%)),"")</f>
        <v/>
      </c>
      <c r="H304" s="427" t="str">
        <f>IF(AND($A304&gt;=SYear_O,$A304&lt;=EYear_O,H$3&gt;0),IF($A304=SYear_O,H$168*(1+Data_All!H143%),H303*(1+Data_All!H143%)),"")</f>
        <v/>
      </c>
      <c r="I304" s="427" t="str">
        <f>IF(AND($A304&gt;=SYear_O,$A304&lt;=EYear_O,I$3&gt;0),IF($A304=SYear_O,I$168*(1+Data_All!I143%),I303*(1+Data_All!I143%)),"")</f>
        <v/>
      </c>
      <c r="J304" s="427" t="str">
        <f>IF(AND($A304&gt;=SYear_O,$A304&lt;=EYear_O,J$3&gt;0),IF($A304=SYear_O,J$168*(1+Data_All!J143%),J303*(1+Data_All!J143%)),"")</f>
        <v/>
      </c>
      <c r="K304" s="427" t="str">
        <f>IF(AND($A304&gt;=SYear_O,$A304&lt;=EYear_O,K$3&gt;0),IF($A304=SYear_O,K$168*(1+Data_All!K143%),K303*(1+Data_All!K143%)),"")</f>
        <v/>
      </c>
      <c r="L304" s="427" t="str">
        <f>IF(AND($A304&gt;=SYear_O,$A304&lt;=EYear_O,L$3&gt;0),IF($A304=SYear_O,L$168*(1+Data_All!L143%),L303*(1+Data_All!L143%)),"")</f>
        <v/>
      </c>
      <c r="M304" s="427" t="str">
        <f>IF(AND($A304&gt;=SYear_O,$A304&lt;=EYear_O,M$3&gt;0),IF($A304=SYear_O,M$168*(1+Data_All!M143%),M303*(1+Data_All!M143%)),"")</f>
        <v/>
      </c>
      <c r="N304" s="427" t="str">
        <f>IF(AND($A304&gt;=SYear_O,$A304&lt;=EYear_O,N$3&gt;0),IF($A304=SYear_O,N$168*(1+Data_All!N143%),N303*(1+Data_All!N143%)),"")</f>
        <v/>
      </c>
      <c r="O304" s="427" t="str">
        <f>IF(AND($A304&gt;=SYear_O,$A304&lt;=EYear_O,O$3&gt;0),IF($A304=SYear_O,O$168*(1+Data_All!O143%),O303*(1+Data_All!O143%)),"")</f>
        <v/>
      </c>
      <c r="P304" s="427" t="str">
        <f>IF(AND($A304&gt;=SYear_O,$A304&lt;=EYear_O,P$3&gt;0),IF($A304=SYear_O,P$168*(1+Data_All!P143%),P303*(1+Data_All!P143%)),"")</f>
        <v/>
      </c>
      <c r="Q304" s="427" t="str">
        <f>IF(AND($A304&gt;=SYear_O,$A304&lt;=EYear_O,Q$3&gt;0),IF($A304=SYear_O,Q$168*(1+Data_All!Q143%),Q303*(1+Data_All!Q143%)),"")</f>
        <v/>
      </c>
      <c r="R304" s="427" t="str">
        <f>IF(AND($A304&gt;=SYear_O,$A304&lt;=EYear_O,R$3&gt;0),IF($A304=SYear_O,R$168*(1+Data_All!R143%),R303*(1+Data_All!R143%)),"")</f>
        <v/>
      </c>
      <c r="S304" s="427" t="str">
        <f>IF(AND($A304&gt;=SYear_O,$A304&lt;=EYear_O,S$3&gt;0),IF($A304=SYear_O,S$168*(1+Data_All!S143%),S303*(1+Data_All!S143%)),"")</f>
        <v/>
      </c>
      <c r="T304" s="427" t="str">
        <f>IF(AND($A304&gt;=SYear_O,$A304&lt;=EYear_O,T$3&gt;0),IF($A304=SYear_O,T$168*(1+Data_All!T143%),T303*(1+Data_All!T143%)),"")</f>
        <v/>
      </c>
      <c r="U304" s="427" t="str">
        <f>IF(AND($A304&gt;=SYear_O,$A304&lt;=EYear_O,U$3&gt;0),IF($A304=SYear_O,U$168*(1+Data_All!U143%),U303*(1+Data_All!U143%)),"")</f>
        <v/>
      </c>
      <c r="V304" s="427" t="str">
        <f>IF(AND($A304&gt;=SYear_O,$A304&lt;=EYear_O,V$3&gt;0),IF($A304=SYear_O,V$168*(1+Data_All!V143%),V303*(1+Data_All!V143%)),"")</f>
        <v/>
      </c>
      <c r="W304" s="427" t="str">
        <f>IF(AND($A304&gt;=SYear_O,$A304&lt;=EYear_O,W$3&gt;0),IF($A304=SYear_O,W$168*(1+Data_All!W143%),W303*(1+Data_All!W143%)),"")</f>
        <v/>
      </c>
      <c r="X304" s="427" t="str">
        <f>IF(AND($A304&gt;=SYear_O,$A304&lt;=EYear_O,X$3&gt;0),IF($A304=SYear_O,X$168*(1+Data_All!X143%),X303*(1+Data_All!X143%)),"")</f>
        <v/>
      </c>
      <c r="Y304" s="427" t="str">
        <f>IF(AND($A304&gt;=SYear_O,$A304&lt;=EYear_O,Y$3&gt;0),IF($A304=SYear_O,Y$168*(1+Data_All!Y143%),Y303*(1+Data_All!Y143%)),"")</f>
        <v/>
      </c>
      <c r="Z304" s="427" t="str">
        <f>IF(AND($A304&gt;=SYear_O,$A304&lt;=EYear_O,Z$3&gt;0),IF($A304=SYear_O,Z$168*(1+Data_All!Z143%),Z303*(1+Data_All!Z143%)),"")</f>
        <v/>
      </c>
      <c r="AA304" s="427" t="str">
        <f>IF(AND($A304&gt;=SYear_O,$A304&lt;=EYear_O,AA$3&gt;0),IF($A304=SYear_O,AA$168*(1+Data_All!AA143%),AA303*(1+Data_All!AA143%)),"")</f>
        <v/>
      </c>
      <c r="AB304" s="427" t="str">
        <f>IF(AND($A304&gt;=SYear_O,$A304&lt;=EYear_O,AB$3&gt;0),IF($A304=SYear_O,AB$168*(1+Data_All!AB143%),AB303*(1+Data_All!AB143%)),"")</f>
        <v/>
      </c>
      <c r="AC304" s="427" t="str">
        <f>IF(AND($A304&gt;=SYear_O,$A304&lt;=EYear_O,AC$3&gt;0),IF($A304=SYear_O,AC$168*(1+Data_All!AC143%),AC303*(1+Data_All!AC143%)),"")</f>
        <v/>
      </c>
      <c r="AD304" s="427" t="str">
        <f>IF(AND($A304&gt;=SYear_O,$A304&lt;=EYear_O,AD$3&gt;0),IF($A304=SYear_O,AD$168*(1+Data_All!AD143%),AD303*(1+Data_All!AD143%)),"")</f>
        <v/>
      </c>
      <c r="AE304" s="427" t="str">
        <f>IF(AND($A304&gt;=SYear_O,$A304&lt;=EYear_O,AE$3&gt;0),IF($A304=SYear_O,AE$168*(1+Data_All!AE143%),AE303*(1+Data_All!AE143%)),"")</f>
        <v/>
      </c>
      <c r="AF304" s="427" t="str">
        <f>IF(AND($A304&gt;=SYear_O,$A304&lt;=EYear_O,AF$3&gt;0),IF($A304=SYear_O,AF$168*(1+Data_All!AF143%),AF303*(1+Data_All!AF143%)),"")</f>
        <v/>
      </c>
      <c r="AG304" s="427" t="str">
        <f>IF(AND($A304&gt;=SYear_O,$A304&lt;=EYear_O,AG$3&gt;0),IF($A304=SYear_O,AG$168*(1+Data_All!AG143%),AG303*(1+Data_All!AG143%)),"")</f>
        <v/>
      </c>
      <c r="AH304" s="427" t="str">
        <f>IF(AND($A304&gt;=SYear_O,$A304&lt;=EYear_O,AH$3&gt;0),IF($A304=SYear_O,AH$168*(1+Data_All!AH143%),AH303*(1+Data_All!AH143%)),"")</f>
        <v/>
      </c>
      <c r="AI304" s="427" t="str">
        <f>IF(AND($A304&gt;=SYear_O,$A304&lt;=EYear_O,AI$3&gt;0),IF($A304=SYear_O,AI$168*(1+Data_All!AI143%),AI303*(1+Data_All!AI143%)),"")</f>
        <v/>
      </c>
      <c r="AJ304" s="427" t="str">
        <f>IF(AND($A304&gt;=SYear_O,$A304&lt;=EYear_O,AJ$3&gt;0),IF($A304=SYear_O,AJ$168*(1+Data_All!AJ143%),AJ303*(1+Data_All!AJ143%)),"")</f>
        <v/>
      </c>
      <c r="AK304" s="427" t="str">
        <f>IF(AND($A304&gt;=SYear_O,$A304&lt;=EYear_O,AK$3&gt;0),IF($A304=SYear_O,AK$168*(1+Data_All!AK143%),AK303*(1+Data_All!AK143%)),"")</f>
        <v/>
      </c>
      <c r="AL304" s="427" t="str">
        <f>IF(AND($A304&gt;=SYear_O,$A304&lt;=EYear_O,AL$3&gt;0),IF($A304=SYear_O,AL$168*(1+Data_All!AL143%),AL303*(1+Data_All!AL143%)),"")</f>
        <v/>
      </c>
      <c r="AM304" s="427" t="str">
        <f>IF(AND($A304&gt;=SYear_O,$A304&lt;=EYear_O,AM$3&gt;0),IF($A304=SYear_O,AM$168*(1+Data_All!AM143%),AM303*(1+Data_All!AM143%)),"")</f>
        <v/>
      </c>
      <c r="AN304" s="427" t="str">
        <f>IF(AND($A304&gt;=SYear_O,$A304&lt;=EYear_O,AN$3&gt;0),IF($A304=SYear_O,AN$168*(1+Data_All!AN143%),AN303*(1+Data_All!AN143%)),"")</f>
        <v/>
      </c>
      <c r="AO304" s="427" t="str">
        <f>IF(AND($A304&gt;=SYear_O,$A304&lt;=EYear_O,AO$3&gt;0),IF($A304=SYear_O,AO$168*(1+Data_All!AO143%),AO303*(1+Data_All!AO143%)),"")</f>
        <v/>
      </c>
      <c r="AP304" s="427" t="str">
        <f>IF(AND($A304&gt;=SYear_O,$A304&lt;=EYear_O,AP$3&gt;0),IF($A304=SYear_O,AP$168*(1+Data_All!AP143%),AP303*(1+Data_All!AP143%)),"")</f>
        <v/>
      </c>
      <c r="AQ304" s="427" t="str">
        <f>IF(AND($A304&gt;=SYear_O,$A304&lt;=EYear_O,AQ$3&gt;0),IF($A304=SYear_O,AQ$168*(1+Data_All!AQ143%),AQ303*(1+Data_All!AQ143%)),"")</f>
        <v/>
      </c>
      <c r="AR304" s="427" t="str">
        <f>IF(AND($A304&gt;=SYear_O,$A304&lt;=EYear_O,AR$3&gt;0),IF($A304=SYear_O,AR$168*(1+Data_All!AR143%),AR303*(1+Data_All!AR143%)),"")</f>
        <v/>
      </c>
      <c r="AS304" s="427" t="str">
        <f>IF(AND($A304&gt;=SYear_O,$A304&lt;=EYear_O,AS$3&gt;0),IF($A304=SYear_O,AS$168*(1+Data_All!AS143%),AS303*(1+Data_All!AS143%)),"")</f>
        <v/>
      </c>
      <c r="AT304" s="427" t="str">
        <f>IF(AND($A304&gt;=SYear_O,$A304&lt;=EYear_O,AT$3&gt;0),IF($A304=SYear_O,AT$168*(1+Data_All!AT143%),AT303*(1+Data_All!AT143%)),"")</f>
        <v/>
      </c>
      <c r="AU304" s="427" t="str">
        <f>IF(AND($A304&gt;=SYear_O,$A304&lt;=EYear_O,AU$3&gt;0),IF($A304=SYear_O,AU$168*(1+Data_All!AU143%),AU303*(1+Data_All!AU143%)),"")</f>
        <v/>
      </c>
      <c r="AV304" s="427" t="str">
        <f>IF(AND($A304&gt;=SYear_O,$A304&lt;=EYear_O,AV$3&gt;0),IF($A304=SYear_O,AV$168*(1+Data_All!AV143%),AV303*(1+Data_All!AV143%)),"")</f>
        <v/>
      </c>
      <c r="AW304" s="427" t="str">
        <f>IF(AND($A304&gt;=SYear_O,$A304&lt;=EYear_O,AW$3&gt;0),IF($A304=SYear_O,AW$168*(1+Data_All!AW143%),AW303*(1+Data_All!AW143%)),"")</f>
        <v/>
      </c>
      <c r="AX304" s="427" t="str">
        <f>IF(AND($A304&gt;=SYear_O,$A304&lt;=EYear_O,AX$3&gt;0),IF($A304=SYear_O,AX$168*(1+Data_All!AX143%),AX303*(1+Data_All!AX143%)),"")</f>
        <v/>
      </c>
      <c r="AY304" s="427" t="str">
        <f>IF(AND($A304&gt;=SYear_O,$A304&lt;=EYear_O,AY$3&gt;0),IF($A304=SYear_O,AY$168*(1+Data_All!AY143%),AY303*(1+Data_All!AY143%)),"")</f>
        <v/>
      </c>
      <c r="AZ304" s="427" t="str">
        <f>IF(AND($A304&gt;=SYear_O,$A304&lt;=EYear_O,AZ$3&gt;0),IF($A304=SYear_O,AZ$168*(1+Data_All!AZ143%),AZ303*(1+Data_All!AZ143%)),"")</f>
        <v/>
      </c>
      <c r="BA304" s="427" t="str">
        <f>IF(AND($A304&gt;=SYear_O,$A304&lt;=EYear_O,BA$3&gt;0),IF($A304=SYear_O,BA$168*(1+Data_All!BA143%),BA303*(1+Data_All!BA143%)),"")</f>
        <v/>
      </c>
      <c r="BB304" s="427" t="str">
        <f>IF(AND($A304&gt;=SYear_O,$A304&lt;=EYear_O,BB$3&gt;0),IF($A304=SYear_O,BB$168*(1+Data_All!BB143%),BB303*(1+Data_All!BB143%)),"")</f>
        <v/>
      </c>
      <c r="BC304" s="427" t="str">
        <f>IF(AND($A304&gt;=SYear_O,$A304&lt;=EYear_O,BC$3&gt;0),IF($A304=SYear_O,BC$168*(1+Data_All!BC143%),BC303*(1+Data_All!BC143%)),"")</f>
        <v/>
      </c>
      <c r="BD304" s="427" t="str">
        <f>IF(AND($A304&gt;=SYear_O,$A304&lt;=EYear_O,BD$3&gt;0),IF($A304=SYear_O,BD$168*(1+Data_All!BD143%),BD303*(1+Data_All!BD143%)),"")</f>
        <v/>
      </c>
      <c r="BE304" s="427" t="str">
        <f>IF(AND($A304&gt;=SYear_O,$A304&lt;=EYear_O,BE$3&gt;0),IF($A304=SYear_O,BE$168*(1+Data_All!BE143%),BE303*(1+Data_All!BE143%)),"")</f>
        <v/>
      </c>
      <c r="BF304" s="427" t="str">
        <f>IF(AND($A304&gt;=SYear_O,$A304&lt;=EYear_O,BF$3&gt;0),IF($A304=SYear_O,BF$168*(1+Data_All!BF143%),BF303*(1+Data_All!BF143%)),"")</f>
        <v/>
      </c>
      <c r="BG304" s="427" t="str">
        <f>IF(AND($A304&gt;=SYear_O,$A304&lt;=EYear_O,BG$3&gt;0),IF($A304=SYear_O,BG$168*(1+Data_All!BG143%),BG303*(1+Data_All!BG143%)),"")</f>
        <v/>
      </c>
      <c r="BH304" s="427" t="str">
        <f>IF(AND($A304&gt;=SYear_O,$A304&lt;=EYear_O,BH$3&gt;0),IF($A304=SYear_O,BH$168*(1+Data_All!BH143%),BH303*(1+Data_All!BH143%)),"")</f>
        <v/>
      </c>
      <c r="BI304" s="427" t="str">
        <f>IF(AND($A304&gt;=SYear_O,$A304&lt;=EYear_O,BI$3&gt;0),IF($A304=SYear_O,BI$168*(1+Data_All!BI143%),BI303*(1+Data_All!BI143%)),"")</f>
        <v/>
      </c>
      <c r="BJ304" s="427" t="str">
        <f>IF(AND($A304&gt;=SYear_O,$A304&lt;=EYear_O,BJ$3&gt;0),IF($A304=SYear_O,BJ$168*(1+Data_All!BJ143%),BJ303*(1+Data_All!BJ143%)),"")</f>
        <v/>
      </c>
      <c r="BK304" s="427" t="str">
        <f>IF(AND($A304&gt;=SYear_O,$A304&lt;=EYear_O,BK$3&gt;0),IF($A304=SYear_O,BK$168*(1+Data_All!BK143%),BK303*(1+Data_All!BK143%)),"")</f>
        <v/>
      </c>
      <c r="BL304" s="427" t="str">
        <f>IF(AND($A304&gt;=SYear_O,$A304&lt;=EYear_O,BL$3&gt;0),IF($A304=SYear_O,BL$168*(1+Data_All!BL143%),BL303*(1+Data_All!BL143%)),"")</f>
        <v/>
      </c>
      <c r="BM304" s="427" t="str">
        <f>IF(AND($A304&gt;=SYear_O,$A304&lt;=EYear_O,BM$3&gt;0),IF($A304=SYear_O,BM$168*(1+Data_All!BM143%),BM303*(1+Data_All!BM143%)),"")</f>
        <v/>
      </c>
      <c r="BN304" s="427" t="str">
        <f>IF(AND($A304&gt;=SYear_O,$A304&lt;=EYear_O,BN$3&gt;0),IF($A304=SYear_O,BN$168*(1+Data_All!BN143%),BN303*(1+Data_All!BN143%)),"")</f>
        <v/>
      </c>
      <c r="BO304" s="427" t="str">
        <f>IF(AND($A304&gt;=SYear_O,$A304&lt;=EYear_O,BO$3&gt;0),IF($A304=SYear_O,BO$168*(1+Data_All!BO143%),BO303*(1+Data_All!BO143%)),"")</f>
        <v/>
      </c>
      <c r="BP304" s="427" t="str">
        <f>IF(AND($A304&gt;=SYear_O,$A304&lt;=EYear_O,BP$3&gt;0),IF($A304=SYear_O,BP$168*(1+Data_All!BP143%),BP303*(1+Data_All!BP143%)),"")</f>
        <v/>
      </c>
      <c r="BQ304" s="427" t="str">
        <f>IF(AND($A304&gt;=SYear_O,$A304&lt;=EYear_O,BQ$3&gt;0),IF($A304=SYear_O,BQ$168*(1+Data_All!BQ143%),BQ303*(1+Data_All!BQ143%)),"")</f>
        <v/>
      </c>
      <c r="BR304" s="427" t="str">
        <f>IF(AND($A304&gt;=SYear_O,$A304&lt;=EYear_O,BR$3&gt;0),IF($A304=SYear_O,BR$168*(1+Data_All!BR143%),BR303*(1+Data_All!BR143%)),"")</f>
        <v/>
      </c>
      <c r="BS304" s="427" t="str">
        <f>IF(AND($A304&gt;=SYear_O,$A304&lt;=EYear_O,BS$3&gt;0),IF($A304=SYear_O,BS$168*(1+Data_All!BS143%),BS303*(1+Data_All!BS143%)),"")</f>
        <v/>
      </c>
      <c r="BT304" s="427" t="str">
        <f>IF(AND($A304&gt;=SYear_O,$A304&lt;=EYear_O,BT$3&gt;0),IF($A304=SYear_O,BT$168*(1+Data_All!BT143%),BT303*(1+Data_All!BT143%)),"")</f>
        <v/>
      </c>
      <c r="BU304" s="427" t="str">
        <f>IF(AND($A304&gt;=SYear_O,$A304&lt;=EYear_O,BU$3&gt;0),IF($A304=SYear_O,BU$168*(1+Data_All!BU143%),BU303*(1+Data_All!BU143%)),"")</f>
        <v/>
      </c>
      <c r="BV304" s="427" t="str">
        <f>IF(AND($A304&gt;=SYear_O,$A304&lt;=EYear_O,BV$3&gt;0),IF($A304=SYear_O,BV$168*(1+Data_All!BV143%),BV303*(1+Data_All!BV143%)),"")</f>
        <v/>
      </c>
      <c r="BW304" s="427" t="str">
        <f>IF(AND($A304&gt;=SYear_O,$A304&lt;=EYear_O,BW$3&gt;0),IF($A304=SYear_O,BW$168*(1+Data_All!BW143%),BW303*(1+Data_All!BW143%)),"")</f>
        <v/>
      </c>
      <c r="BX304" s="427">
        <f>IF(AND($A304&gt;=SYear_O,$A304&lt;=EYear_O,BX$3&gt;0),IF($A304=SYear_O,BX$168*(1+Data_All!BX143%),BX303*(1+Data_All!BX143%)),"")</f>
        <v>745953855.38104177</v>
      </c>
      <c r="BY304" s="427">
        <f>IF(AND($A304&gt;=SYear_O,$A304&lt;=EYear_O,BY$3&gt;0),IF($A304=SYear_O,BY$168*(1+Data_All!BY143%),BY303*(1+Data_All!BY143%)),"")</f>
        <v>2057676.5642211083</v>
      </c>
      <c r="BZ304" s="427" t="str">
        <f>IF(AND($A304&gt;=SYear_O,$A304&lt;=EYear_O,BZ$3&gt;0),IF($A304=SYear_O,BZ$168*(1+Data_All!BZ143%),BZ303*(1+Data_All!BZ143%)),"")</f>
        <v/>
      </c>
      <c r="CA304" s="565">
        <f t="shared" si="155"/>
        <v>13.286377961595237</v>
      </c>
      <c r="CB304" s="427">
        <f t="shared" si="156"/>
        <v>748011531.94526291</v>
      </c>
      <c r="CC304" s="565">
        <f>IF(AND($A304&gt;=SYear_O,$A304&lt;=EYear_O),(CA304-Data_All!CA143)/(1+Data_All!CA143%),"")</f>
        <v>10.47948058890953</v>
      </c>
      <c r="CD304" s="436">
        <f t="shared" si="157"/>
        <v>46200502.293702714</v>
      </c>
      <c r="CE304" s="438">
        <f t="shared" si="158"/>
        <v>67844.076536127672</v>
      </c>
      <c r="CF304" s="438">
        <f>IF(AND($A304&gt;=SYear_O,$A304&lt;=EYear_O),MAX($CE$169:CE304),"")</f>
        <v>67844.076536127672</v>
      </c>
      <c r="CG304" s="209">
        <f t="shared" si="159"/>
        <v>0</v>
      </c>
      <c r="CN304" s="61">
        <f t="shared" si="154"/>
        <v>0.13286377961595242</v>
      </c>
      <c r="CO304" s="61">
        <f t="shared" si="144"/>
        <v>-0.10070789821988724</v>
      </c>
      <c r="CP304" s="61">
        <f t="shared" si="145"/>
        <v>2.2330476779248043E-2</v>
      </c>
      <c r="CQ304" s="61">
        <f t="shared" si="146"/>
        <v>6.3297987614684637E-2</v>
      </c>
      <c r="CR304" s="61"/>
      <c r="CU304" s="61">
        <f t="shared" si="148"/>
        <v>0.10479480588909529</v>
      </c>
      <c r="CV304" s="61">
        <f t="shared" si="149"/>
        <v>-0.12027765282788383</v>
      </c>
      <c r="CW304" s="61">
        <f t="shared" si="150"/>
        <v>5.4479806799867525E-4</v>
      </c>
      <c r="CX304" s="61">
        <f t="shared" si="151"/>
        <v>4.3926197060857319E-2</v>
      </c>
      <c r="CY304" s="61"/>
    </row>
    <row r="305" spans="1:103">
      <c r="A305" s="204">
        <f t="shared" si="153"/>
        <v>2007</v>
      </c>
      <c r="B305" s="427" t="str">
        <f>IF(AND($A305&gt;=SYear_O,$A305&lt;=EYear_O,B$3&gt;0),IF($A305=SYear_O,B$168*(1+Data_All!B144%),B304*(1+Data_All!B144%)),"")</f>
        <v/>
      </c>
      <c r="C305" s="427" t="str">
        <f>IF(AND($A305&gt;=SYear_O,$A305&lt;=EYear_O,C$3&gt;0),IF($A305=SYear_O,C$168*(1+Data_All!C144%),C304*(1+Data_All!C144%)),"")</f>
        <v/>
      </c>
      <c r="D305" s="427" t="str">
        <f>IF(AND($A305&gt;=SYear_O,$A305&lt;=EYear_O,D$3&gt;0),IF($A305=SYear_O,D$168*(1+Data_All!D144%),D304*(1+Data_All!D144%)),"")</f>
        <v/>
      </c>
      <c r="E305" s="427" t="str">
        <f>IF(AND($A305&gt;=SYear_O,$A305&lt;=EYear_O,E$3&gt;0),IF($A305=SYear_O,E$168*(1+Data_All!E144%),E304*(1+Data_All!E144%)),"")</f>
        <v/>
      </c>
      <c r="F305" s="427" t="str">
        <f>IF(AND($A305&gt;=SYear_O,$A305&lt;=EYear_O,F$3&gt;0),IF($A305=SYear_O,F$168*(1+Data_All!F144%),F304*(1+Data_All!F144%)),"")</f>
        <v/>
      </c>
      <c r="G305" s="427" t="str">
        <f>IF(AND($A305&gt;=SYear_O,$A305&lt;=EYear_O,G$3&gt;0),IF($A305=SYear_O,G$168*(1+Data_All!G144%),G304*(1+Data_All!G144%)),"")</f>
        <v/>
      </c>
      <c r="H305" s="427" t="str">
        <f>IF(AND($A305&gt;=SYear_O,$A305&lt;=EYear_O,H$3&gt;0),IF($A305=SYear_O,H$168*(1+Data_All!H144%),H304*(1+Data_All!H144%)),"")</f>
        <v/>
      </c>
      <c r="I305" s="427" t="str">
        <f>IF(AND($A305&gt;=SYear_O,$A305&lt;=EYear_O,I$3&gt;0),IF($A305=SYear_O,I$168*(1+Data_All!I144%),I304*(1+Data_All!I144%)),"")</f>
        <v/>
      </c>
      <c r="J305" s="427" t="str">
        <f>IF(AND($A305&gt;=SYear_O,$A305&lt;=EYear_O,J$3&gt;0),IF($A305=SYear_O,J$168*(1+Data_All!J144%),J304*(1+Data_All!J144%)),"")</f>
        <v/>
      </c>
      <c r="K305" s="427" t="str">
        <f>IF(AND($A305&gt;=SYear_O,$A305&lt;=EYear_O,K$3&gt;0),IF($A305=SYear_O,K$168*(1+Data_All!K144%),K304*(1+Data_All!K144%)),"")</f>
        <v/>
      </c>
      <c r="L305" s="427" t="str">
        <f>IF(AND($A305&gt;=SYear_O,$A305&lt;=EYear_O,L$3&gt;0),IF($A305=SYear_O,L$168*(1+Data_All!L144%),L304*(1+Data_All!L144%)),"")</f>
        <v/>
      </c>
      <c r="M305" s="427" t="str">
        <f>IF(AND($A305&gt;=SYear_O,$A305&lt;=EYear_O,M$3&gt;0),IF($A305=SYear_O,M$168*(1+Data_All!M144%),M304*(1+Data_All!M144%)),"")</f>
        <v/>
      </c>
      <c r="N305" s="427" t="str">
        <f>IF(AND($A305&gt;=SYear_O,$A305&lt;=EYear_O,N$3&gt;0),IF($A305=SYear_O,N$168*(1+Data_All!N144%),N304*(1+Data_All!N144%)),"")</f>
        <v/>
      </c>
      <c r="O305" s="427" t="str">
        <f>IF(AND($A305&gt;=SYear_O,$A305&lt;=EYear_O,O$3&gt;0),IF($A305=SYear_O,O$168*(1+Data_All!O144%),O304*(1+Data_All!O144%)),"")</f>
        <v/>
      </c>
      <c r="P305" s="427" t="str">
        <f>IF(AND($A305&gt;=SYear_O,$A305&lt;=EYear_O,P$3&gt;0),IF($A305=SYear_O,P$168*(1+Data_All!P144%),P304*(1+Data_All!P144%)),"")</f>
        <v/>
      </c>
      <c r="Q305" s="427" t="str">
        <f>IF(AND($A305&gt;=SYear_O,$A305&lt;=EYear_O,Q$3&gt;0),IF($A305=SYear_O,Q$168*(1+Data_All!Q144%),Q304*(1+Data_All!Q144%)),"")</f>
        <v/>
      </c>
      <c r="R305" s="427" t="str">
        <f>IF(AND($A305&gt;=SYear_O,$A305&lt;=EYear_O,R$3&gt;0),IF($A305=SYear_O,R$168*(1+Data_All!R144%),R304*(1+Data_All!R144%)),"")</f>
        <v/>
      </c>
      <c r="S305" s="427" t="str">
        <f>IF(AND($A305&gt;=SYear_O,$A305&lt;=EYear_O,S$3&gt;0),IF($A305=SYear_O,S$168*(1+Data_All!S144%),S304*(1+Data_All!S144%)),"")</f>
        <v/>
      </c>
      <c r="T305" s="427" t="str">
        <f>IF(AND($A305&gt;=SYear_O,$A305&lt;=EYear_O,T$3&gt;0),IF($A305=SYear_O,T$168*(1+Data_All!T144%),T304*(1+Data_All!T144%)),"")</f>
        <v/>
      </c>
      <c r="U305" s="427" t="str">
        <f>IF(AND($A305&gt;=SYear_O,$A305&lt;=EYear_O,U$3&gt;0),IF($A305=SYear_O,U$168*(1+Data_All!U144%),U304*(1+Data_All!U144%)),"")</f>
        <v/>
      </c>
      <c r="V305" s="427" t="str">
        <f>IF(AND($A305&gt;=SYear_O,$A305&lt;=EYear_O,V$3&gt;0),IF($A305=SYear_O,V$168*(1+Data_All!V144%),V304*(1+Data_All!V144%)),"")</f>
        <v/>
      </c>
      <c r="W305" s="427" t="str">
        <f>IF(AND($A305&gt;=SYear_O,$A305&lt;=EYear_O,W$3&gt;0),IF($A305=SYear_O,W$168*(1+Data_All!W144%),W304*(1+Data_All!W144%)),"")</f>
        <v/>
      </c>
      <c r="X305" s="427" t="str">
        <f>IF(AND($A305&gt;=SYear_O,$A305&lt;=EYear_O,X$3&gt;0),IF($A305=SYear_O,X$168*(1+Data_All!X144%),X304*(1+Data_All!X144%)),"")</f>
        <v/>
      </c>
      <c r="Y305" s="427" t="str">
        <f>IF(AND($A305&gt;=SYear_O,$A305&lt;=EYear_O,Y$3&gt;0),IF($A305=SYear_O,Y$168*(1+Data_All!Y144%),Y304*(1+Data_All!Y144%)),"")</f>
        <v/>
      </c>
      <c r="Z305" s="427" t="str">
        <f>IF(AND($A305&gt;=SYear_O,$A305&lt;=EYear_O,Z$3&gt;0),IF($A305=SYear_O,Z$168*(1+Data_All!Z144%),Z304*(1+Data_All!Z144%)),"")</f>
        <v/>
      </c>
      <c r="AA305" s="427" t="str">
        <f>IF(AND($A305&gt;=SYear_O,$A305&lt;=EYear_O,AA$3&gt;0),IF($A305=SYear_O,AA$168*(1+Data_All!AA144%),AA304*(1+Data_All!AA144%)),"")</f>
        <v/>
      </c>
      <c r="AB305" s="427" t="str">
        <f>IF(AND($A305&gt;=SYear_O,$A305&lt;=EYear_O,AB$3&gt;0),IF($A305=SYear_O,AB$168*(1+Data_All!AB144%),AB304*(1+Data_All!AB144%)),"")</f>
        <v/>
      </c>
      <c r="AC305" s="427" t="str">
        <f>IF(AND($A305&gt;=SYear_O,$A305&lt;=EYear_O,AC$3&gt;0),IF($A305=SYear_O,AC$168*(1+Data_All!AC144%),AC304*(1+Data_All!AC144%)),"")</f>
        <v/>
      </c>
      <c r="AD305" s="427" t="str">
        <f>IF(AND($A305&gt;=SYear_O,$A305&lt;=EYear_O,AD$3&gt;0),IF($A305=SYear_O,AD$168*(1+Data_All!AD144%),AD304*(1+Data_All!AD144%)),"")</f>
        <v/>
      </c>
      <c r="AE305" s="427" t="str">
        <f>IF(AND($A305&gt;=SYear_O,$A305&lt;=EYear_O,AE$3&gt;0),IF($A305=SYear_O,AE$168*(1+Data_All!AE144%),AE304*(1+Data_All!AE144%)),"")</f>
        <v/>
      </c>
      <c r="AF305" s="427" t="str">
        <f>IF(AND($A305&gt;=SYear_O,$A305&lt;=EYear_O,AF$3&gt;0),IF($A305=SYear_O,AF$168*(1+Data_All!AF144%),AF304*(1+Data_All!AF144%)),"")</f>
        <v/>
      </c>
      <c r="AG305" s="427" t="str">
        <f>IF(AND($A305&gt;=SYear_O,$A305&lt;=EYear_O,AG$3&gt;0),IF($A305=SYear_O,AG$168*(1+Data_All!AG144%),AG304*(1+Data_All!AG144%)),"")</f>
        <v/>
      </c>
      <c r="AH305" s="427" t="str">
        <f>IF(AND($A305&gt;=SYear_O,$A305&lt;=EYear_O,AH$3&gt;0),IF($A305=SYear_O,AH$168*(1+Data_All!AH144%),AH304*(1+Data_All!AH144%)),"")</f>
        <v/>
      </c>
      <c r="AI305" s="427" t="str">
        <f>IF(AND($A305&gt;=SYear_O,$A305&lt;=EYear_O,AI$3&gt;0),IF($A305=SYear_O,AI$168*(1+Data_All!AI144%),AI304*(1+Data_All!AI144%)),"")</f>
        <v/>
      </c>
      <c r="AJ305" s="427" t="str">
        <f>IF(AND($A305&gt;=SYear_O,$A305&lt;=EYear_O,AJ$3&gt;0),IF($A305=SYear_O,AJ$168*(1+Data_All!AJ144%),AJ304*(1+Data_All!AJ144%)),"")</f>
        <v/>
      </c>
      <c r="AK305" s="427" t="str">
        <f>IF(AND($A305&gt;=SYear_O,$A305&lt;=EYear_O,AK$3&gt;0),IF($A305=SYear_O,AK$168*(1+Data_All!AK144%),AK304*(1+Data_All!AK144%)),"")</f>
        <v/>
      </c>
      <c r="AL305" s="427" t="str">
        <f>IF(AND($A305&gt;=SYear_O,$A305&lt;=EYear_O,AL$3&gt;0),IF($A305=SYear_O,AL$168*(1+Data_All!AL144%),AL304*(1+Data_All!AL144%)),"")</f>
        <v/>
      </c>
      <c r="AM305" s="427" t="str">
        <f>IF(AND($A305&gt;=SYear_O,$A305&lt;=EYear_O,AM$3&gt;0),IF($A305=SYear_O,AM$168*(1+Data_All!AM144%),AM304*(1+Data_All!AM144%)),"")</f>
        <v/>
      </c>
      <c r="AN305" s="427" t="str">
        <f>IF(AND($A305&gt;=SYear_O,$A305&lt;=EYear_O,AN$3&gt;0),IF($A305=SYear_O,AN$168*(1+Data_All!AN144%),AN304*(1+Data_All!AN144%)),"")</f>
        <v/>
      </c>
      <c r="AO305" s="427" t="str">
        <f>IF(AND($A305&gt;=SYear_O,$A305&lt;=EYear_O,AO$3&gt;0),IF($A305=SYear_O,AO$168*(1+Data_All!AO144%),AO304*(1+Data_All!AO144%)),"")</f>
        <v/>
      </c>
      <c r="AP305" s="427" t="str">
        <f>IF(AND($A305&gt;=SYear_O,$A305&lt;=EYear_O,AP$3&gt;0),IF($A305=SYear_O,AP$168*(1+Data_All!AP144%),AP304*(1+Data_All!AP144%)),"")</f>
        <v/>
      </c>
      <c r="AQ305" s="427" t="str">
        <f>IF(AND($A305&gt;=SYear_O,$A305&lt;=EYear_O,AQ$3&gt;0),IF($A305=SYear_O,AQ$168*(1+Data_All!AQ144%),AQ304*(1+Data_All!AQ144%)),"")</f>
        <v/>
      </c>
      <c r="AR305" s="427" t="str">
        <f>IF(AND($A305&gt;=SYear_O,$A305&lt;=EYear_O,AR$3&gt;0),IF($A305=SYear_O,AR$168*(1+Data_All!AR144%),AR304*(1+Data_All!AR144%)),"")</f>
        <v/>
      </c>
      <c r="AS305" s="427" t="str">
        <f>IF(AND($A305&gt;=SYear_O,$A305&lt;=EYear_O,AS$3&gt;0),IF($A305=SYear_O,AS$168*(1+Data_All!AS144%),AS304*(1+Data_All!AS144%)),"")</f>
        <v/>
      </c>
      <c r="AT305" s="427" t="str">
        <f>IF(AND($A305&gt;=SYear_O,$A305&lt;=EYear_O,AT$3&gt;0),IF($A305=SYear_O,AT$168*(1+Data_All!AT144%),AT304*(1+Data_All!AT144%)),"")</f>
        <v/>
      </c>
      <c r="AU305" s="427" t="str">
        <f>IF(AND($A305&gt;=SYear_O,$A305&lt;=EYear_O,AU$3&gt;0),IF($A305=SYear_O,AU$168*(1+Data_All!AU144%),AU304*(1+Data_All!AU144%)),"")</f>
        <v/>
      </c>
      <c r="AV305" s="427" t="str">
        <f>IF(AND($A305&gt;=SYear_O,$A305&lt;=EYear_O,AV$3&gt;0),IF($A305=SYear_O,AV$168*(1+Data_All!AV144%),AV304*(1+Data_All!AV144%)),"")</f>
        <v/>
      </c>
      <c r="AW305" s="427" t="str">
        <f>IF(AND($A305&gt;=SYear_O,$A305&lt;=EYear_O,AW$3&gt;0),IF($A305=SYear_O,AW$168*(1+Data_All!AW144%),AW304*(1+Data_All!AW144%)),"")</f>
        <v/>
      </c>
      <c r="AX305" s="427" t="str">
        <f>IF(AND($A305&gt;=SYear_O,$A305&lt;=EYear_O,AX$3&gt;0),IF($A305=SYear_O,AX$168*(1+Data_All!AX144%),AX304*(1+Data_All!AX144%)),"")</f>
        <v/>
      </c>
      <c r="AY305" s="427" t="str">
        <f>IF(AND($A305&gt;=SYear_O,$A305&lt;=EYear_O,AY$3&gt;0),IF($A305=SYear_O,AY$168*(1+Data_All!AY144%),AY304*(1+Data_All!AY144%)),"")</f>
        <v/>
      </c>
      <c r="AZ305" s="427" t="str">
        <f>IF(AND($A305&gt;=SYear_O,$A305&lt;=EYear_O,AZ$3&gt;0),IF($A305=SYear_O,AZ$168*(1+Data_All!AZ144%),AZ304*(1+Data_All!AZ144%)),"")</f>
        <v/>
      </c>
      <c r="BA305" s="427" t="str">
        <f>IF(AND($A305&gt;=SYear_O,$A305&lt;=EYear_O,BA$3&gt;0),IF($A305=SYear_O,BA$168*(1+Data_All!BA144%),BA304*(1+Data_All!BA144%)),"")</f>
        <v/>
      </c>
      <c r="BB305" s="427" t="str">
        <f>IF(AND($A305&gt;=SYear_O,$A305&lt;=EYear_O,BB$3&gt;0),IF($A305=SYear_O,BB$168*(1+Data_All!BB144%),BB304*(1+Data_All!BB144%)),"")</f>
        <v/>
      </c>
      <c r="BC305" s="427" t="str">
        <f>IF(AND($A305&gt;=SYear_O,$A305&lt;=EYear_O,BC$3&gt;0),IF($A305=SYear_O,BC$168*(1+Data_All!BC144%),BC304*(1+Data_All!BC144%)),"")</f>
        <v/>
      </c>
      <c r="BD305" s="427" t="str">
        <f>IF(AND($A305&gt;=SYear_O,$A305&lt;=EYear_O,BD$3&gt;0),IF($A305=SYear_O,BD$168*(1+Data_All!BD144%),BD304*(1+Data_All!BD144%)),"")</f>
        <v/>
      </c>
      <c r="BE305" s="427" t="str">
        <f>IF(AND($A305&gt;=SYear_O,$A305&lt;=EYear_O,BE$3&gt;0),IF($A305=SYear_O,BE$168*(1+Data_All!BE144%),BE304*(1+Data_All!BE144%)),"")</f>
        <v/>
      </c>
      <c r="BF305" s="427" t="str">
        <f>IF(AND($A305&gt;=SYear_O,$A305&lt;=EYear_O,BF$3&gt;0),IF($A305=SYear_O,BF$168*(1+Data_All!BF144%),BF304*(1+Data_All!BF144%)),"")</f>
        <v/>
      </c>
      <c r="BG305" s="427" t="str">
        <f>IF(AND($A305&gt;=SYear_O,$A305&lt;=EYear_O,BG$3&gt;0),IF($A305=SYear_O,BG$168*(1+Data_All!BG144%),BG304*(1+Data_All!BG144%)),"")</f>
        <v/>
      </c>
      <c r="BH305" s="427" t="str">
        <f>IF(AND($A305&gt;=SYear_O,$A305&lt;=EYear_O,BH$3&gt;0),IF($A305=SYear_O,BH$168*(1+Data_All!BH144%),BH304*(1+Data_All!BH144%)),"")</f>
        <v/>
      </c>
      <c r="BI305" s="427" t="str">
        <f>IF(AND($A305&gt;=SYear_O,$A305&lt;=EYear_O,BI$3&gt;0),IF($A305=SYear_O,BI$168*(1+Data_All!BI144%),BI304*(1+Data_All!BI144%)),"")</f>
        <v/>
      </c>
      <c r="BJ305" s="427" t="str">
        <f>IF(AND($A305&gt;=SYear_O,$A305&lt;=EYear_O,BJ$3&gt;0),IF($A305=SYear_O,BJ$168*(1+Data_All!BJ144%),BJ304*(1+Data_All!BJ144%)),"")</f>
        <v/>
      </c>
      <c r="BK305" s="427" t="str">
        <f>IF(AND($A305&gt;=SYear_O,$A305&lt;=EYear_O,BK$3&gt;0),IF($A305=SYear_O,BK$168*(1+Data_All!BK144%),BK304*(1+Data_All!BK144%)),"")</f>
        <v/>
      </c>
      <c r="BL305" s="427" t="str">
        <f>IF(AND($A305&gt;=SYear_O,$A305&lt;=EYear_O,BL$3&gt;0),IF($A305=SYear_O,BL$168*(1+Data_All!BL144%),BL304*(1+Data_All!BL144%)),"")</f>
        <v/>
      </c>
      <c r="BM305" s="427" t="str">
        <f>IF(AND($A305&gt;=SYear_O,$A305&lt;=EYear_O,BM$3&gt;0),IF($A305=SYear_O,BM$168*(1+Data_All!BM144%),BM304*(1+Data_All!BM144%)),"")</f>
        <v/>
      </c>
      <c r="BN305" s="427" t="str">
        <f>IF(AND($A305&gt;=SYear_O,$A305&lt;=EYear_O,BN$3&gt;0),IF($A305=SYear_O,BN$168*(1+Data_All!BN144%),BN304*(1+Data_All!BN144%)),"")</f>
        <v/>
      </c>
      <c r="BO305" s="427" t="str">
        <f>IF(AND($A305&gt;=SYear_O,$A305&lt;=EYear_O,BO$3&gt;0),IF($A305=SYear_O,BO$168*(1+Data_All!BO144%),BO304*(1+Data_All!BO144%)),"")</f>
        <v/>
      </c>
      <c r="BP305" s="427" t="str">
        <f>IF(AND($A305&gt;=SYear_O,$A305&lt;=EYear_O,BP$3&gt;0),IF($A305=SYear_O,BP$168*(1+Data_All!BP144%),BP304*(1+Data_All!BP144%)),"")</f>
        <v/>
      </c>
      <c r="BQ305" s="427" t="str">
        <f>IF(AND($A305&gt;=SYear_O,$A305&lt;=EYear_O,BQ$3&gt;0),IF($A305=SYear_O,BQ$168*(1+Data_All!BQ144%),BQ304*(1+Data_All!BQ144%)),"")</f>
        <v/>
      </c>
      <c r="BR305" s="427" t="str">
        <f>IF(AND($A305&gt;=SYear_O,$A305&lt;=EYear_O,BR$3&gt;0),IF($A305=SYear_O,BR$168*(1+Data_All!BR144%),BR304*(1+Data_All!BR144%)),"")</f>
        <v/>
      </c>
      <c r="BS305" s="427" t="str">
        <f>IF(AND($A305&gt;=SYear_O,$A305&lt;=EYear_O,BS$3&gt;0),IF($A305=SYear_O,BS$168*(1+Data_All!BS144%),BS304*(1+Data_All!BS144%)),"")</f>
        <v/>
      </c>
      <c r="BT305" s="427" t="str">
        <f>IF(AND($A305&gt;=SYear_O,$A305&lt;=EYear_O,BT$3&gt;0),IF($A305=SYear_O,BT$168*(1+Data_All!BT144%),BT304*(1+Data_All!BT144%)),"")</f>
        <v/>
      </c>
      <c r="BU305" s="427" t="str">
        <f>IF(AND($A305&gt;=SYear_O,$A305&lt;=EYear_O,BU$3&gt;0),IF($A305=SYear_O,BU$168*(1+Data_All!BU144%),BU304*(1+Data_All!BU144%)),"")</f>
        <v/>
      </c>
      <c r="BV305" s="427" t="str">
        <f>IF(AND($A305&gt;=SYear_O,$A305&lt;=EYear_O,BV$3&gt;0),IF($A305=SYear_O,BV$168*(1+Data_All!BV144%),BV304*(1+Data_All!BV144%)),"")</f>
        <v/>
      </c>
      <c r="BW305" s="427" t="str">
        <f>IF(AND($A305&gt;=SYear_O,$A305&lt;=EYear_O,BW$3&gt;0),IF($A305=SYear_O,BW$168*(1+Data_All!BW144%),BW304*(1+Data_All!BW144%)),"")</f>
        <v/>
      </c>
      <c r="BX305" s="427">
        <f>IF(AND($A305&gt;=SYear_O,$A305&lt;=EYear_O,BX$3&gt;0),IF($A305=SYear_O,BX$168*(1+Data_All!BX144%),BX304*(1+Data_All!BX144%)),"")</f>
        <v>736698571.82822251</v>
      </c>
      <c r="BY305" s="427">
        <f>IF(AND($A305&gt;=SYear_O,$A305&lt;=EYear_O,BY$3&gt;0),IF($A305=SYear_O,BY$168*(1+Data_All!BY144%),BY304*(1+Data_All!BY144%)),"")</f>
        <v>2307427.0312317591</v>
      </c>
      <c r="BZ305" s="427" t="str">
        <f>IF(AND($A305&gt;=SYear_O,$A305&lt;=EYear_O,BZ$3&gt;0),IF($A305=SYear_O,BZ$168*(1+Data_All!BZ144%),BZ304*(1+Data_All!BZ144%)),"")</f>
        <v/>
      </c>
      <c r="CA305" s="565">
        <f t="shared" si="155"/>
        <v>-1.2039297124723514</v>
      </c>
      <c r="CB305" s="427">
        <f t="shared" si="156"/>
        <v>739005998.85945427</v>
      </c>
      <c r="CC305" s="565">
        <f>IF(AND($A305&gt;=SYear_O,$A305&lt;=EYear_O),(CA305-Data_All!CA144)/(1+Data_All!CA144%),"")</f>
        <v>-5.0779533793107783</v>
      </c>
      <c r="CD305" s="436">
        <f t="shared" si="157"/>
        <v>43854462.326221086</v>
      </c>
      <c r="CE305" s="438">
        <f t="shared" si="158"/>
        <v>67027.281540556753</v>
      </c>
      <c r="CF305" s="438">
        <f>IF(AND($A305&gt;=SYear_O,$A305&lt;=EYear_O),MAX($CE$169:CE305),"")</f>
        <v>67844.076536127672</v>
      </c>
      <c r="CG305" s="209">
        <f t="shared" si="159"/>
        <v>1.2039297124723403E-2</v>
      </c>
      <c r="CN305" s="61">
        <f t="shared" si="154"/>
        <v>-1.2039297124723514E-2</v>
      </c>
      <c r="CO305" s="61">
        <f t="shared" si="144"/>
        <v>-5.3178646242998839E-2</v>
      </c>
      <c r="CP305" s="61">
        <f t="shared" si="145"/>
        <v>3.9896095249982721E-3</v>
      </c>
      <c r="CQ305" s="61"/>
      <c r="CR305" s="61"/>
      <c r="CU305" s="61">
        <f t="shared" si="148"/>
        <v>-5.0779533793107734E-2</v>
      </c>
      <c r="CV305" s="61">
        <f t="shared" si="149"/>
        <v>-7.4326071051036835E-2</v>
      </c>
      <c r="CW305" s="61">
        <f t="shared" si="150"/>
        <v>-1.8211558122582794E-2</v>
      </c>
      <c r="CX305" s="61"/>
      <c r="CY305" s="61"/>
    </row>
    <row r="306" spans="1:103">
      <c r="A306" s="204">
        <f t="shared" si="153"/>
        <v>2008</v>
      </c>
      <c r="B306" s="427" t="str">
        <f>IF(AND($A306&gt;=SYear_O,$A306&lt;=EYear_O,B$3&gt;0),IF($A306=SYear_O,B$168*(1+Data_All!B145%),B305*(1+Data_All!B145%)),"")</f>
        <v/>
      </c>
      <c r="C306" s="427" t="str">
        <f>IF(AND($A306&gt;=SYear_O,$A306&lt;=EYear_O,C$3&gt;0),IF($A306=SYear_O,C$168*(1+Data_All!C145%),C305*(1+Data_All!C145%)),"")</f>
        <v/>
      </c>
      <c r="D306" s="427" t="str">
        <f>IF(AND($A306&gt;=SYear_O,$A306&lt;=EYear_O,D$3&gt;0),IF($A306=SYear_O,D$168*(1+Data_All!D145%),D305*(1+Data_All!D145%)),"")</f>
        <v/>
      </c>
      <c r="E306" s="427" t="str">
        <f>IF(AND($A306&gt;=SYear_O,$A306&lt;=EYear_O,E$3&gt;0),IF($A306=SYear_O,E$168*(1+Data_All!E145%),E305*(1+Data_All!E145%)),"")</f>
        <v/>
      </c>
      <c r="F306" s="427" t="str">
        <f>IF(AND($A306&gt;=SYear_O,$A306&lt;=EYear_O,F$3&gt;0),IF($A306=SYear_O,F$168*(1+Data_All!F145%),F305*(1+Data_All!F145%)),"")</f>
        <v/>
      </c>
      <c r="G306" s="427" t="str">
        <f>IF(AND($A306&gt;=SYear_O,$A306&lt;=EYear_O,G$3&gt;0),IF($A306=SYear_O,G$168*(1+Data_All!G145%),G305*(1+Data_All!G145%)),"")</f>
        <v/>
      </c>
      <c r="H306" s="427" t="str">
        <f>IF(AND($A306&gt;=SYear_O,$A306&lt;=EYear_O,H$3&gt;0),IF($A306=SYear_O,H$168*(1+Data_All!H145%),H305*(1+Data_All!H145%)),"")</f>
        <v/>
      </c>
      <c r="I306" s="427" t="str">
        <f>IF(AND($A306&gt;=SYear_O,$A306&lt;=EYear_O,I$3&gt;0),IF($A306=SYear_O,I$168*(1+Data_All!I145%),I305*(1+Data_All!I145%)),"")</f>
        <v/>
      </c>
      <c r="J306" s="427" t="str">
        <f>IF(AND($A306&gt;=SYear_O,$A306&lt;=EYear_O,J$3&gt;0),IF($A306=SYear_O,J$168*(1+Data_All!J145%),J305*(1+Data_All!J145%)),"")</f>
        <v/>
      </c>
      <c r="K306" s="427" t="str">
        <f>IF(AND($A306&gt;=SYear_O,$A306&lt;=EYear_O,K$3&gt;0),IF($A306=SYear_O,K$168*(1+Data_All!K145%),K305*(1+Data_All!K145%)),"")</f>
        <v/>
      </c>
      <c r="L306" s="427" t="str">
        <f>IF(AND($A306&gt;=SYear_O,$A306&lt;=EYear_O,L$3&gt;0),IF($A306=SYear_O,L$168*(1+Data_All!L145%),L305*(1+Data_All!L145%)),"")</f>
        <v/>
      </c>
      <c r="M306" s="427" t="str">
        <f>IF(AND($A306&gt;=SYear_O,$A306&lt;=EYear_O,M$3&gt;0),IF($A306=SYear_O,M$168*(1+Data_All!M145%),M305*(1+Data_All!M145%)),"")</f>
        <v/>
      </c>
      <c r="N306" s="427" t="str">
        <f>IF(AND($A306&gt;=SYear_O,$A306&lt;=EYear_O,N$3&gt;0),IF($A306=SYear_O,N$168*(1+Data_All!N145%),N305*(1+Data_All!N145%)),"")</f>
        <v/>
      </c>
      <c r="O306" s="427" t="str">
        <f>IF(AND($A306&gt;=SYear_O,$A306&lt;=EYear_O,O$3&gt;0),IF($A306=SYear_O,O$168*(1+Data_All!O145%),O305*(1+Data_All!O145%)),"")</f>
        <v/>
      </c>
      <c r="P306" s="427" t="str">
        <f>IF(AND($A306&gt;=SYear_O,$A306&lt;=EYear_O,P$3&gt;0),IF($A306=SYear_O,P$168*(1+Data_All!P145%),P305*(1+Data_All!P145%)),"")</f>
        <v/>
      </c>
      <c r="Q306" s="427" t="str">
        <f>IF(AND($A306&gt;=SYear_O,$A306&lt;=EYear_O,Q$3&gt;0),IF($A306=SYear_O,Q$168*(1+Data_All!Q145%),Q305*(1+Data_All!Q145%)),"")</f>
        <v/>
      </c>
      <c r="R306" s="427" t="str">
        <f>IF(AND($A306&gt;=SYear_O,$A306&lt;=EYear_O,R$3&gt;0),IF($A306=SYear_O,R$168*(1+Data_All!R145%),R305*(1+Data_All!R145%)),"")</f>
        <v/>
      </c>
      <c r="S306" s="427" t="str">
        <f>IF(AND($A306&gt;=SYear_O,$A306&lt;=EYear_O,S$3&gt;0),IF($A306=SYear_O,S$168*(1+Data_All!S145%),S305*(1+Data_All!S145%)),"")</f>
        <v/>
      </c>
      <c r="T306" s="427" t="str">
        <f>IF(AND($A306&gt;=SYear_O,$A306&lt;=EYear_O,T$3&gt;0),IF($A306=SYear_O,T$168*(1+Data_All!T145%),T305*(1+Data_All!T145%)),"")</f>
        <v/>
      </c>
      <c r="U306" s="427" t="str">
        <f>IF(AND($A306&gt;=SYear_O,$A306&lt;=EYear_O,U$3&gt;0),IF($A306=SYear_O,U$168*(1+Data_All!U145%),U305*(1+Data_All!U145%)),"")</f>
        <v/>
      </c>
      <c r="V306" s="427" t="str">
        <f>IF(AND($A306&gt;=SYear_O,$A306&lt;=EYear_O,V$3&gt;0),IF($A306=SYear_O,V$168*(1+Data_All!V145%),V305*(1+Data_All!V145%)),"")</f>
        <v/>
      </c>
      <c r="W306" s="427" t="str">
        <f>IF(AND($A306&gt;=SYear_O,$A306&lt;=EYear_O,W$3&gt;0),IF($A306=SYear_O,W$168*(1+Data_All!W145%),W305*(1+Data_All!W145%)),"")</f>
        <v/>
      </c>
      <c r="X306" s="427" t="str">
        <f>IF(AND($A306&gt;=SYear_O,$A306&lt;=EYear_O,X$3&gt;0),IF($A306=SYear_O,X$168*(1+Data_All!X145%),X305*(1+Data_All!X145%)),"")</f>
        <v/>
      </c>
      <c r="Y306" s="427" t="str">
        <f>IF(AND($A306&gt;=SYear_O,$A306&lt;=EYear_O,Y$3&gt;0),IF($A306=SYear_O,Y$168*(1+Data_All!Y145%),Y305*(1+Data_All!Y145%)),"")</f>
        <v/>
      </c>
      <c r="Z306" s="427" t="str">
        <f>IF(AND($A306&gt;=SYear_O,$A306&lt;=EYear_O,Z$3&gt;0),IF($A306=SYear_O,Z$168*(1+Data_All!Z145%),Z305*(1+Data_All!Z145%)),"")</f>
        <v/>
      </c>
      <c r="AA306" s="427" t="str">
        <f>IF(AND($A306&gt;=SYear_O,$A306&lt;=EYear_O,AA$3&gt;0),IF($A306=SYear_O,AA$168*(1+Data_All!AA145%),AA305*(1+Data_All!AA145%)),"")</f>
        <v/>
      </c>
      <c r="AB306" s="427" t="str">
        <f>IF(AND($A306&gt;=SYear_O,$A306&lt;=EYear_O,AB$3&gt;0),IF($A306=SYear_O,AB$168*(1+Data_All!AB145%),AB305*(1+Data_All!AB145%)),"")</f>
        <v/>
      </c>
      <c r="AC306" s="427" t="str">
        <f>IF(AND($A306&gt;=SYear_O,$A306&lt;=EYear_O,AC$3&gt;0),IF($A306=SYear_O,AC$168*(1+Data_All!AC145%),AC305*(1+Data_All!AC145%)),"")</f>
        <v/>
      </c>
      <c r="AD306" s="427" t="str">
        <f>IF(AND($A306&gt;=SYear_O,$A306&lt;=EYear_O,AD$3&gt;0),IF($A306=SYear_O,AD$168*(1+Data_All!AD145%),AD305*(1+Data_All!AD145%)),"")</f>
        <v/>
      </c>
      <c r="AE306" s="427" t="str">
        <f>IF(AND($A306&gt;=SYear_O,$A306&lt;=EYear_O,AE$3&gt;0),IF($A306=SYear_O,AE$168*(1+Data_All!AE145%),AE305*(1+Data_All!AE145%)),"")</f>
        <v/>
      </c>
      <c r="AF306" s="427" t="str">
        <f>IF(AND($A306&gt;=SYear_O,$A306&lt;=EYear_O,AF$3&gt;0),IF($A306=SYear_O,AF$168*(1+Data_All!AF145%),AF305*(1+Data_All!AF145%)),"")</f>
        <v/>
      </c>
      <c r="AG306" s="427" t="str">
        <f>IF(AND($A306&gt;=SYear_O,$A306&lt;=EYear_O,AG$3&gt;0),IF($A306=SYear_O,AG$168*(1+Data_All!AG145%),AG305*(1+Data_All!AG145%)),"")</f>
        <v/>
      </c>
      <c r="AH306" s="427" t="str">
        <f>IF(AND($A306&gt;=SYear_O,$A306&lt;=EYear_O,AH$3&gt;0),IF($A306=SYear_O,AH$168*(1+Data_All!AH145%),AH305*(1+Data_All!AH145%)),"")</f>
        <v/>
      </c>
      <c r="AI306" s="427" t="str">
        <f>IF(AND($A306&gt;=SYear_O,$A306&lt;=EYear_O,AI$3&gt;0),IF($A306=SYear_O,AI$168*(1+Data_All!AI145%),AI305*(1+Data_All!AI145%)),"")</f>
        <v/>
      </c>
      <c r="AJ306" s="427" t="str">
        <f>IF(AND($A306&gt;=SYear_O,$A306&lt;=EYear_O,AJ$3&gt;0),IF($A306=SYear_O,AJ$168*(1+Data_All!AJ145%),AJ305*(1+Data_All!AJ145%)),"")</f>
        <v/>
      </c>
      <c r="AK306" s="427" t="str">
        <f>IF(AND($A306&gt;=SYear_O,$A306&lt;=EYear_O,AK$3&gt;0),IF($A306=SYear_O,AK$168*(1+Data_All!AK145%),AK305*(1+Data_All!AK145%)),"")</f>
        <v/>
      </c>
      <c r="AL306" s="427" t="str">
        <f>IF(AND($A306&gt;=SYear_O,$A306&lt;=EYear_O,AL$3&gt;0),IF($A306=SYear_O,AL$168*(1+Data_All!AL145%),AL305*(1+Data_All!AL145%)),"")</f>
        <v/>
      </c>
      <c r="AM306" s="427" t="str">
        <f>IF(AND($A306&gt;=SYear_O,$A306&lt;=EYear_O,AM$3&gt;0),IF($A306=SYear_O,AM$168*(1+Data_All!AM145%),AM305*(1+Data_All!AM145%)),"")</f>
        <v/>
      </c>
      <c r="AN306" s="427" t="str">
        <f>IF(AND($A306&gt;=SYear_O,$A306&lt;=EYear_O,AN$3&gt;0),IF($A306=SYear_O,AN$168*(1+Data_All!AN145%),AN305*(1+Data_All!AN145%)),"")</f>
        <v/>
      </c>
      <c r="AO306" s="427" t="str">
        <f>IF(AND($A306&gt;=SYear_O,$A306&lt;=EYear_O,AO$3&gt;0),IF($A306=SYear_O,AO$168*(1+Data_All!AO145%),AO305*(1+Data_All!AO145%)),"")</f>
        <v/>
      </c>
      <c r="AP306" s="427" t="str">
        <f>IF(AND($A306&gt;=SYear_O,$A306&lt;=EYear_O,AP$3&gt;0),IF($A306=SYear_O,AP$168*(1+Data_All!AP145%),AP305*(1+Data_All!AP145%)),"")</f>
        <v/>
      </c>
      <c r="AQ306" s="427" t="str">
        <f>IF(AND($A306&gt;=SYear_O,$A306&lt;=EYear_O,AQ$3&gt;0),IF($A306=SYear_O,AQ$168*(1+Data_All!AQ145%),AQ305*(1+Data_All!AQ145%)),"")</f>
        <v/>
      </c>
      <c r="AR306" s="427" t="str">
        <f>IF(AND($A306&gt;=SYear_O,$A306&lt;=EYear_O,AR$3&gt;0),IF($A306=SYear_O,AR$168*(1+Data_All!AR145%),AR305*(1+Data_All!AR145%)),"")</f>
        <v/>
      </c>
      <c r="AS306" s="427" t="str">
        <f>IF(AND($A306&gt;=SYear_O,$A306&lt;=EYear_O,AS$3&gt;0),IF($A306=SYear_O,AS$168*(1+Data_All!AS145%),AS305*(1+Data_All!AS145%)),"")</f>
        <v/>
      </c>
      <c r="AT306" s="427" t="str">
        <f>IF(AND($A306&gt;=SYear_O,$A306&lt;=EYear_O,AT$3&gt;0),IF($A306=SYear_O,AT$168*(1+Data_All!AT145%),AT305*(1+Data_All!AT145%)),"")</f>
        <v/>
      </c>
      <c r="AU306" s="427" t="str">
        <f>IF(AND($A306&gt;=SYear_O,$A306&lt;=EYear_O,AU$3&gt;0),IF($A306=SYear_O,AU$168*(1+Data_All!AU145%),AU305*(1+Data_All!AU145%)),"")</f>
        <v/>
      </c>
      <c r="AV306" s="427" t="str">
        <f>IF(AND($A306&gt;=SYear_O,$A306&lt;=EYear_O,AV$3&gt;0),IF($A306=SYear_O,AV$168*(1+Data_All!AV145%),AV305*(1+Data_All!AV145%)),"")</f>
        <v/>
      </c>
      <c r="AW306" s="427" t="str">
        <f>IF(AND($A306&gt;=SYear_O,$A306&lt;=EYear_O,AW$3&gt;0),IF($A306=SYear_O,AW$168*(1+Data_All!AW145%),AW305*(1+Data_All!AW145%)),"")</f>
        <v/>
      </c>
      <c r="AX306" s="427" t="str">
        <f>IF(AND($A306&gt;=SYear_O,$A306&lt;=EYear_O,AX$3&gt;0),IF($A306=SYear_O,AX$168*(1+Data_All!AX145%),AX305*(1+Data_All!AX145%)),"")</f>
        <v/>
      </c>
      <c r="AY306" s="427" t="str">
        <f>IF(AND($A306&gt;=SYear_O,$A306&lt;=EYear_O,AY$3&gt;0),IF($A306=SYear_O,AY$168*(1+Data_All!AY145%),AY305*(1+Data_All!AY145%)),"")</f>
        <v/>
      </c>
      <c r="AZ306" s="427" t="str">
        <f>IF(AND($A306&gt;=SYear_O,$A306&lt;=EYear_O,AZ$3&gt;0),IF($A306=SYear_O,AZ$168*(1+Data_All!AZ145%),AZ305*(1+Data_All!AZ145%)),"")</f>
        <v/>
      </c>
      <c r="BA306" s="427" t="str">
        <f>IF(AND($A306&gt;=SYear_O,$A306&lt;=EYear_O,BA$3&gt;0),IF($A306=SYear_O,BA$168*(1+Data_All!BA145%),BA305*(1+Data_All!BA145%)),"")</f>
        <v/>
      </c>
      <c r="BB306" s="427" t="str">
        <f>IF(AND($A306&gt;=SYear_O,$A306&lt;=EYear_O,BB$3&gt;0),IF($A306=SYear_O,BB$168*(1+Data_All!BB145%),BB305*(1+Data_All!BB145%)),"")</f>
        <v/>
      </c>
      <c r="BC306" s="427" t="str">
        <f>IF(AND($A306&gt;=SYear_O,$A306&lt;=EYear_O,BC$3&gt;0),IF($A306=SYear_O,BC$168*(1+Data_All!BC145%),BC305*(1+Data_All!BC145%)),"")</f>
        <v/>
      </c>
      <c r="BD306" s="427" t="str">
        <f>IF(AND($A306&gt;=SYear_O,$A306&lt;=EYear_O,BD$3&gt;0),IF($A306=SYear_O,BD$168*(1+Data_All!BD145%),BD305*(1+Data_All!BD145%)),"")</f>
        <v/>
      </c>
      <c r="BE306" s="427" t="str">
        <f>IF(AND($A306&gt;=SYear_O,$A306&lt;=EYear_O,BE$3&gt;0),IF($A306=SYear_O,BE$168*(1+Data_All!BE145%),BE305*(1+Data_All!BE145%)),"")</f>
        <v/>
      </c>
      <c r="BF306" s="427" t="str">
        <f>IF(AND($A306&gt;=SYear_O,$A306&lt;=EYear_O,BF$3&gt;0),IF($A306=SYear_O,BF$168*(1+Data_All!BF145%),BF305*(1+Data_All!BF145%)),"")</f>
        <v/>
      </c>
      <c r="BG306" s="427" t="str">
        <f>IF(AND($A306&gt;=SYear_O,$A306&lt;=EYear_O,BG$3&gt;0),IF($A306=SYear_O,BG$168*(1+Data_All!BG145%),BG305*(1+Data_All!BG145%)),"")</f>
        <v/>
      </c>
      <c r="BH306" s="427" t="str">
        <f>IF(AND($A306&gt;=SYear_O,$A306&lt;=EYear_O,BH$3&gt;0),IF($A306=SYear_O,BH$168*(1+Data_All!BH145%),BH305*(1+Data_All!BH145%)),"")</f>
        <v/>
      </c>
      <c r="BI306" s="427" t="str">
        <f>IF(AND($A306&gt;=SYear_O,$A306&lt;=EYear_O,BI$3&gt;0),IF($A306=SYear_O,BI$168*(1+Data_All!BI145%),BI305*(1+Data_All!BI145%)),"")</f>
        <v/>
      </c>
      <c r="BJ306" s="427" t="str">
        <f>IF(AND($A306&gt;=SYear_O,$A306&lt;=EYear_O,BJ$3&gt;0),IF($A306=SYear_O,BJ$168*(1+Data_All!BJ145%),BJ305*(1+Data_All!BJ145%)),"")</f>
        <v/>
      </c>
      <c r="BK306" s="427" t="str">
        <f>IF(AND($A306&gt;=SYear_O,$A306&lt;=EYear_O,BK$3&gt;0),IF($A306=SYear_O,BK$168*(1+Data_All!BK145%),BK305*(1+Data_All!BK145%)),"")</f>
        <v/>
      </c>
      <c r="BL306" s="427" t="str">
        <f>IF(AND($A306&gt;=SYear_O,$A306&lt;=EYear_O,BL$3&gt;0),IF($A306=SYear_O,BL$168*(1+Data_All!BL145%),BL305*(1+Data_All!BL145%)),"")</f>
        <v/>
      </c>
      <c r="BM306" s="427" t="str">
        <f>IF(AND($A306&gt;=SYear_O,$A306&lt;=EYear_O,BM$3&gt;0),IF($A306=SYear_O,BM$168*(1+Data_All!BM145%),BM305*(1+Data_All!BM145%)),"")</f>
        <v/>
      </c>
      <c r="BN306" s="427" t="str">
        <f>IF(AND($A306&gt;=SYear_O,$A306&lt;=EYear_O,BN$3&gt;0),IF($A306=SYear_O,BN$168*(1+Data_All!BN145%),BN305*(1+Data_All!BN145%)),"")</f>
        <v/>
      </c>
      <c r="BO306" s="427" t="str">
        <f>IF(AND($A306&gt;=SYear_O,$A306&lt;=EYear_O,BO$3&gt;0),IF($A306=SYear_O,BO$168*(1+Data_All!BO145%),BO305*(1+Data_All!BO145%)),"")</f>
        <v/>
      </c>
      <c r="BP306" s="427" t="str">
        <f>IF(AND($A306&gt;=SYear_O,$A306&lt;=EYear_O,BP$3&gt;0),IF($A306=SYear_O,BP$168*(1+Data_All!BP145%),BP305*(1+Data_All!BP145%)),"")</f>
        <v/>
      </c>
      <c r="BQ306" s="427" t="str">
        <f>IF(AND($A306&gt;=SYear_O,$A306&lt;=EYear_O,BQ$3&gt;0),IF($A306=SYear_O,BQ$168*(1+Data_All!BQ145%),BQ305*(1+Data_All!BQ145%)),"")</f>
        <v/>
      </c>
      <c r="BR306" s="427" t="str">
        <f>IF(AND($A306&gt;=SYear_O,$A306&lt;=EYear_O,BR$3&gt;0),IF($A306=SYear_O,BR$168*(1+Data_All!BR145%),BR305*(1+Data_All!BR145%)),"")</f>
        <v/>
      </c>
      <c r="BS306" s="427" t="str">
        <f>IF(AND($A306&gt;=SYear_O,$A306&lt;=EYear_O,BS$3&gt;0),IF($A306=SYear_O,BS$168*(1+Data_All!BS145%),BS305*(1+Data_All!BS145%)),"")</f>
        <v/>
      </c>
      <c r="BT306" s="427" t="str">
        <f>IF(AND($A306&gt;=SYear_O,$A306&lt;=EYear_O,BT$3&gt;0),IF($A306=SYear_O,BT$168*(1+Data_All!BT145%),BT305*(1+Data_All!BT145%)),"")</f>
        <v/>
      </c>
      <c r="BU306" s="427" t="str">
        <f>IF(AND($A306&gt;=SYear_O,$A306&lt;=EYear_O,BU$3&gt;0),IF($A306=SYear_O,BU$168*(1+Data_All!BU145%),BU305*(1+Data_All!BU145%)),"")</f>
        <v/>
      </c>
      <c r="BV306" s="427" t="str">
        <f>IF(AND($A306&gt;=SYear_O,$A306&lt;=EYear_O,BV$3&gt;0),IF($A306=SYear_O,BV$168*(1+Data_All!BV145%),BV305*(1+Data_All!BV145%)),"")</f>
        <v/>
      </c>
      <c r="BW306" s="427" t="str">
        <f>IF(AND($A306&gt;=SYear_O,$A306&lt;=EYear_O,BW$3&gt;0),IF($A306=SYear_O,BW$168*(1+Data_All!BW145%),BW305*(1+Data_All!BW145%)),"")</f>
        <v/>
      </c>
      <c r="BX306" s="427">
        <f>IF(AND($A306&gt;=SYear_O,$A306&lt;=EYear_O,BX$3&gt;0),IF($A306=SYear_O,BX$168*(1+Data_All!BX145%),BX305*(1+Data_All!BX145%)),"")</f>
        <v>477665744.76868784</v>
      </c>
      <c r="BY306" s="427">
        <f>IF(AND($A306&gt;=SYear_O,$A306&lt;=EYear_O,BY$3&gt;0),IF($A306=SYear_O,BY$168*(1+Data_All!BY145%),BY305*(1+Data_All!BY145%)),"")</f>
        <v>2546178.704528444</v>
      </c>
      <c r="BZ306" s="427" t="str">
        <f>IF(AND($A306&gt;=SYear_O,$A306&lt;=EYear_O,BZ$3&gt;0),IF($A306=SYear_O,BZ$168*(1+Data_All!BZ145%),BZ305*(1+Data_All!BZ145%)),"")</f>
        <v/>
      </c>
      <c r="CA306" s="565">
        <f t="shared" si="155"/>
        <v>-35.01921172299658</v>
      </c>
      <c r="CB306" s="427">
        <f t="shared" si="156"/>
        <v>480211923.4732163</v>
      </c>
      <c r="CC306" s="565">
        <f>IF(AND($A306&gt;=SYear_O,$A306&lt;=EYear_O),(CA306-Data_All!CA145)/(1+Data_All!CA145%),"")</f>
        <v>-35.078558295999152</v>
      </c>
      <c r="CD306" s="436">
        <f t="shared" si="157"/>
        <v>28470949.193720635</v>
      </c>
      <c r="CE306" s="438">
        <f t="shared" si="158"/>
        <v>43554.855905700177</v>
      </c>
      <c r="CF306" s="438">
        <f>IF(AND($A306&gt;=SYear_O,$A306&lt;=EYear_O),MAX($CE$169:CE306),"")</f>
        <v>67844.076536127672</v>
      </c>
      <c r="CG306" s="209">
        <f t="shared" si="159"/>
        <v>0.35801534740462171</v>
      </c>
      <c r="CN306" s="61">
        <f t="shared" si="154"/>
        <v>-0.35019211722996579</v>
      </c>
      <c r="CO306" s="61">
        <f t="shared" si="144"/>
        <v>-7.3718714820125708E-4</v>
      </c>
      <c r="CP306" s="61">
        <f t="shared" si="145"/>
        <v>3.7062123680492887E-2</v>
      </c>
      <c r="CQ306" s="61"/>
      <c r="CR306" s="61"/>
      <c r="CU306" s="61">
        <f t="shared" si="148"/>
        <v>-0.35078558295999152</v>
      </c>
      <c r="CV306" s="61">
        <f t="shared" si="149"/>
        <v>-1.4829667791735002E-2</v>
      </c>
      <c r="CW306" s="61">
        <f t="shared" si="150"/>
        <v>1.8752683339350984E-2</v>
      </c>
      <c r="CX306" s="61"/>
      <c r="CY306" s="61"/>
    </row>
    <row r="307" spans="1:103">
      <c r="A307" s="204">
        <f t="shared" si="153"/>
        <v>2009</v>
      </c>
      <c r="B307" s="427" t="str">
        <f>IF(AND($A307&gt;=SYear_O,$A307&lt;=EYear_O,B$3&gt;0),IF($A307=SYear_O,B$168*(1+Data_All!B146%),B306*(1+Data_All!B146%)),"")</f>
        <v/>
      </c>
      <c r="C307" s="427" t="str">
        <f>IF(AND($A307&gt;=SYear_O,$A307&lt;=EYear_O,C$3&gt;0),IF($A307=SYear_O,C$168*(1+Data_All!C146%),C306*(1+Data_All!C146%)),"")</f>
        <v/>
      </c>
      <c r="D307" s="427" t="str">
        <f>IF(AND($A307&gt;=SYear_O,$A307&lt;=EYear_O,D$3&gt;0),IF($A307=SYear_O,D$168*(1+Data_All!D146%),D306*(1+Data_All!D146%)),"")</f>
        <v/>
      </c>
      <c r="E307" s="427" t="str">
        <f>IF(AND($A307&gt;=SYear_O,$A307&lt;=EYear_O,E$3&gt;0),IF($A307=SYear_O,E$168*(1+Data_All!E146%),E306*(1+Data_All!E146%)),"")</f>
        <v/>
      </c>
      <c r="F307" s="427" t="str">
        <f>IF(AND($A307&gt;=SYear_O,$A307&lt;=EYear_O,F$3&gt;0),IF($A307=SYear_O,F$168*(1+Data_All!F146%),F306*(1+Data_All!F146%)),"")</f>
        <v/>
      </c>
      <c r="G307" s="427" t="str">
        <f>IF(AND($A307&gt;=SYear_O,$A307&lt;=EYear_O,G$3&gt;0),IF($A307=SYear_O,G$168*(1+Data_All!G146%),G306*(1+Data_All!G146%)),"")</f>
        <v/>
      </c>
      <c r="H307" s="427" t="str">
        <f>IF(AND($A307&gt;=SYear_O,$A307&lt;=EYear_O,H$3&gt;0),IF($A307=SYear_O,H$168*(1+Data_All!H146%),H306*(1+Data_All!H146%)),"")</f>
        <v/>
      </c>
      <c r="I307" s="427" t="str">
        <f>IF(AND($A307&gt;=SYear_O,$A307&lt;=EYear_O,I$3&gt;0),IF($A307=SYear_O,I$168*(1+Data_All!I146%),I306*(1+Data_All!I146%)),"")</f>
        <v/>
      </c>
      <c r="J307" s="427" t="str">
        <f>IF(AND($A307&gt;=SYear_O,$A307&lt;=EYear_O,J$3&gt;0),IF($A307=SYear_O,J$168*(1+Data_All!J146%),J306*(1+Data_All!J146%)),"")</f>
        <v/>
      </c>
      <c r="K307" s="427" t="str">
        <f>IF(AND($A307&gt;=SYear_O,$A307&lt;=EYear_O,K$3&gt;0),IF($A307=SYear_O,K$168*(1+Data_All!K146%),K306*(1+Data_All!K146%)),"")</f>
        <v/>
      </c>
      <c r="L307" s="427" t="str">
        <f>IF(AND($A307&gt;=SYear_O,$A307&lt;=EYear_O,L$3&gt;0),IF($A307=SYear_O,L$168*(1+Data_All!L146%),L306*(1+Data_All!L146%)),"")</f>
        <v/>
      </c>
      <c r="M307" s="427" t="str">
        <f>IF(AND($A307&gt;=SYear_O,$A307&lt;=EYear_O,M$3&gt;0),IF($A307=SYear_O,M$168*(1+Data_All!M146%),M306*(1+Data_All!M146%)),"")</f>
        <v/>
      </c>
      <c r="N307" s="427" t="str">
        <f>IF(AND($A307&gt;=SYear_O,$A307&lt;=EYear_O,N$3&gt;0),IF($A307=SYear_O,N$168*(1+Data_All!N146%),N306*(1+Data_All!N146%)),"")</f>
        <v/>
      </c>
      <c r="O307" s="427" t="str">
        <f>IF(AND($A307&gt;=SYear_O,$A307&lt;=EYear_O,O$3&gt;0),IF($A307=SYear_O,O$168*(1+Data_All!O146%),O306*(1+Data_All!O146%)),"")</f>
        <v/>
      </c>
      <c r="P307" s="427" t="str">
        <f>IF(AND($A307&gt;=SYear_O,$A307&lt;=EYear_O,P$3&gt;0),IF($A307=SYear_O,P$168*(1+Data_All!P146%),P306*(1+Data_All!P146%)),"")</f>
        <v/>
      </c>
      <c r="Q307" s="427" t="str">
        <f>IF(AND($A307&gt;=SYear_O,$A307&lt;=EYear_O,Q$3&gt;0),IF($A307=SYear_O,Q$168*(1+Data_All!Q146%),Q306*(1+Data_All!Q146%)),"")</f>
        <v/>
      </c>
      <c r="R307" s="427" t="str">
        <f>IF(AND($A307&gt;=SYear_O,$A307&lt;=EYear_O,R$3&gt;0),IF($A307=SYear_O,R$168*(1+Data_All!R146%),R306*(1+Data_All!R146%)),"")</f>
        <v/>
      </c>
      <c r="S307" s="427" t="str">
        <f>IF(AND($A307&gt;=SYear_O,$A307&lt;=EYear_O,S$3&gt;0),IF($A307=SYear_O,S$168*(1+Data_All!S146%),S306*(1+Data_All!S146%)),"")</f>
        <v/>
      </c>
      <c r="T307" s="427" t="str">
        <f>IF(AND($A307&gt;=SYear_O,$A307&lt;=EYear_O,T$3&gt;0),IF($A307=SYear_O,T$168*(1+Data_All!T146%),T306*(1+Data_All!T146%)),"")</f>
        <v/>
      </c>
      <c r="U307" s="427" t="str">
        <f>IF(AND($A307&gt;=SYear_O,$A307&lt;=EYear_O,U$3&gt;0),IF($A307=SYear_O,U$168*(1+Data_All!U146%),U306*(1+Data_All!U146%)),"")</f>
        <v/>
      </c>
      <c r="V307" s="427" t="str">
        <f>IF(AND($A307&gt;=SYear_O,$A307&lt;=EYear_O,V$3&gt;0),IF($A307=SYear_O,V$168*(1+Data_All!V146%),V306*(1+Data_All!V146%)),"")</f>
        <v/>
      </c>
      <c r="W307" s="427" t="str">
        <f>IF(AND($A307&gt;=SYear_O,$A307&lt;=EYear_O,W$3&gt;0),IF($A307=SYear_O,W$168*(1+Data_All!W146%),W306*(1+Data_All!W146%)),"")</f>
        <v/>
      </c>
      <c r="X307" s="427" t="str">
        <f>IF(AND($A307&gt;=SYear_O,$A307&lt;=EYear_O,X$3&gt;0),IF($A307=SYear_O,X$168*(1+Data_All!X146%),X306*(1+Data_All!X146%)),"")</f>
        <v/>
      </c>
      <c r="Y307" s="427" t="str">
        <f>IF(AND($A307&gt;=SYear_O,$A307&lt;=EYear_O,Y$3&gt;0),IF($A307=SYear_O,Y$168*(1+Data_All!Y146%),Y306*(1+Data_All!Y146%)),"")</f>
        <v/>
      </c>
      <c r="Z307" s="427" t="str">
        <f>IF(AND($A307&gt;=SYear_O,$A307&lt;=EYear_O,Z$3&gt;0),IF($A307=SYear_O,Z$168*(1+Data_All!Z146%),Z306*(1+Data_All!Z146%)),"")</f>
        <v/>
      </c>
      <c r="AA307" s="427" t="str">
        <f>IF(AND($A307&gt;=SYear_O,$A307&lt;=EYear_O,AA$3&gt;0),IF($A307=SYear_O,AA$168*(1+Data_All!AA146%),AA306*(1+Data_All!AA146%)),"")</f>
        <v/>
      </c>
      <c r="AB307" s="427" t="str">
        <f>IF(AND($A307&gt;=SYear_O,$A307&lt;=EYear_O,AB$3&gt;0),IF($A307=SYear_O,AB$168*(1+Data_All!AB146%),AB306*(1+Data_All!AB146%)),"")</f>
        <v/>
      </c>
      <c r="AC307" s="427" t="str">
        <f>IF(AND($A307&gt;=SYear_O,$A307&lt;=EYear_O,AC$3&gt;0),IF($A307=SYear_O,AC$168*(1+Data_All!AC146%),AC306*(1+Data_All!AC146%)),"")</f>
        <v/>
      </c>
      <c r="AD307" s="427" t="str">
        <f>IF(AND($A307&gt;=SYear_O,$A307&lt;=EYear_O,AD$3&gt;0),IF($A307=SYear_O,AD$168*(1+Data_All!AD146%),AD306*(1+Data_All!AD146%)),"")</f>
        <v/>
      </c>
      <c r="AE307" s="427" t="str">
        <f>IF(AND($A307&gt;=SYear_O,$A307&lt;=EYear_O,AE$3&gt;0),IF($A307=SYear_O,AE$168*(1+Data_All!AE146%),AE306*(1+Data_All!AE146%)),"")</f>
        <v/>
      </c>
      <c r="AF307" s="427" t="str">
        <f>IF(AND($A307&gt;=SYear_O,$A307&lt;=EYear_O,AF$3&gt;0),IF($A307=SYear_O,AF$168*(1+Data_All!AF146%),AF306*(1+Data_All!AF146%)),"")</f>
        <v/>
      </c>
      <c r="AG307" s="427" t="str">
        <f>IF(AND($A307&gt;=SYear_O,$A307&lt;=EYear_O,AG$3&gt;0),IF($A307=SYear_O,AG$168*(1+Data_All!AG146%),AG306*(1+Data_All!AG146%)),"")</f>
        <v/>
      </c>
      <c r="AH307" s="427" t="str">
        <f>IF(AND($A307&gt;=SYear_O,$A307&lt;=EYear_O,AH$3&gt;0),IF($A307=SYear_O,AH$168*(1+Data_All!AH146%),AH306*(1+Data_All!AH146%)),"")</f>
        <v/>
      </c>
      <c r="AI307" s="427" t="str">
        <f>IF(AND($A307&gt;=SYear_O,$A307&lt;=EYear_O,AI$3&gt;0),IF($A307=SYear_O,AI$168*(1+Data_All!AI146%),AI306*(1+Data_All!AI146%)),"")</f>
        <v/>
      </c>
      <c r="AJ307" s="427" t="str">
        <f>IF(AND($A307&gt;=SYear_O,$A307&lt;=EYear_O,AJ$3&gt;0),IF($A307=SYear_O,AJ$168*(1+Data_All!AJ146%),AJ306*(1+Data_All!AJ146%)),"")</f>
        <v/>
      </c>
      <c r="AK307" s="427" t="str">
        <f>IF(AND($A307&gt;=SYear_O,$A307&lt;=EYear_O,AK$3&gt;0),IF($A307=SYear_O,AK$168*(1+Data_All!AK146%),AK306*(1+Data_All!AK146%)),"")</f>
        <v/>
      </c>
      <c r="AL307" s="427" t="str">
        <f>IF(AND($A307&gt;=SYear_O,$A307&lt;=EYear_O,AL$3&gt;0),IF($A307=SYear_O,AL$168*(1+Data_All!AL146%),AL306*(1+Data_All!AL146%)),"")</f>
        <v/>
      </c>
      <c r="AM307" s="427" t="str">
        <f>IF(AND($A307&gt;=SYear_O,$A307&lt;=EYear_O,AM$3&gt;0),IF($A307=SYear_O,AM$168*(1+Data_All!AM146%),AM306*(1+Data_All!AM146%)),"")</f>
        <v/>
      </c>
      <c r="AN307" s="427" t="str">
        <f>IF(AND($A307&gt;=SYear_O,$A307&lt;=EYear_O,AN$3&gt;0),IF($A307=SYear_O,AN$168*(1+Data_All!AN146%),AN306*(1+Data_All!AN146%)),"")</f>
        <v/>
      </c>
      <c r="AO307" s="427" t="str">
        <f>IF(AND($A307&gt;=SYear_O,$A307&lt;=EYear_O,AO$3&gt;0),IF($A307=SYear_O,AO$168*(1+Data_All!AO146%),AO306*(1+Data_All!AO146%)),"")</f>
        <v/>
      </c>
      <c r="AP307" s="427" t="str">
        <f>IF(AND($A307&gt;=SYear_O,$A307&lt;=EYear_O,AP$3&gt;0),IF($A307=SYear_O,AP$168*(1+Data_All!AP146%),AP306*(1+Data_All!AP146%)),"")</f>
        <v/>
      </c>
      <c r="AQ307" s="427" t="str">
        <f>IF(AND($A307&gt;=SYear_O,$A307&lt;=EYear_O,AQ$3&gt;0),IF($A307=SYear_O,AQ$168*(1+Data_All!AQ146%),AQ306*(1+Data_All!AQ146%)),"")</f>
        <v/>
      </c>
      <c r="AR307" s="427" t="str">
        <f>IF(AND($A307&gt;=SYear_O,$A307&lt;=EYear_O,AR$3&gt;0),IF($A307=SYear_O,AR$168*(1+Data_All!AR146%),AR306*(1+Data_All!AR146%)),"")</f>
        <v/>
      </c>
      <c r="AS307" s="427" t="str">
        <f>IF(AND($A307&gt;=SYear_O,$A307&lt;=EYear_O,AS$3&gt;0),IF($A307=SYear_O,AS$168*(1+Data_All!AS146%),AS306*(1+Data_All!AS146%)),"")</f>
        <v/>
      </c>
      <c r="AT307" s="427" t="str">
        <f>IF(AND($A307&gt;=SYear_O,$A307&lt;=EYear_O,AT$3&gt;0),IF($A307=SYear_O,AT$168*(1+Data_All!AT146%),AT306*(1+Data_All!AT146%)),"")</f>
        <v/>
      </c>
      <c r="AU307" s="427" t="str">
        <f>IF(AND($A307&gt;=SYear_O,$A307&lt;=EYear_O,AU$3&gt;0),IF($A307=SYear_O,AU$168*(1+Data_All!AU146%),AU306*(1+Data_All!AU146%)),"")</f>
        <v/>
      </c>
      <c r="AV307" s="427" t="str">
        <f>IF(AND($A307&gt;=SYear_O,$A307&lt;=EYear_O,AV$3&gt;0),IF($A307=SYear_O,AV$168*(1+Data_All!AV146%),AV306*(1+Data_All!AV146%)),"")</f>
        <v/>
      </c>
      <c r="AW307" s="427" t="str">
        <f>IF(AND($A307&gt;=SYear_O,$A307&lt;=EYear_O,AW$3&gt;0),IF($A307=SYear_O,AW$168*(1+Data_All!AW146%),AW306*(1+Data_All!AW146%)),"")</f>
        <v/>
      </c>
      <c r="AX307" s="427" t="str">
        <f>IF(AND($A307&gt;=SYear_O,$A307&lt;=EYear_O,AX$3&gt;0),IF($A307=SYear_O,AX$168*(1+Data_All!AX146%),AX306*(1+Data_All!AX146%)),"")</f>
        <v/>
      </c>
      <c r="AY307" s="427" t="str">
        <f>IF(AND($A307&gt;=SYear_O,$A307&lt;=EYear_O,AY$3&gt;0),IF($A307=SYear_O,AY$168*(1+Data_All!AY146%),AY306*(1+Data_All!AY146%)),"")</f>
        <v/>
      </c>
      <c r="AZ307" s="427" t="str">
        <f>IF(AND($A307&gt;=SYear_O,$A307&lt;=EYear_O,AZ$3&gt;0),IF($A307=SYear_O,AZ$168*(1+Data_All!AZ146%),AZ306*(1+Data_All!AZ146%)),"")</f>
        <v/>
      </c>
      <c r="BA307" s="427" t="str">
        <f>IF(AND($A307&gt;=SYear_O,$A307&lt;=EYear_O,BA$3&gt;0),IF($A307=SYear_O,BA$168*(1+Data_All!BA146%),BA306*(1+Data_All!BA146%)),"")</f>
        <v/>
      </c>
      <c r="BB307" s="427" t="str">
        <f>IF(AND($A307&gt;=SYear_O,$A307&lt;=EYear_O,BB$3&gt;0),IF($A307=SYear_O,BB$168*(1+Data_All!BB146%),BB306*(1+Data_All!BB146%)),"")</f>
        <v/>
      </c>
      <c r="BC307" s="427" t="str">
        <f>IF(AND($A307&gt;=SYear_O,$A307&lt;=EYear_O,BC$3&gt;0),IF($A307=SYear_O,BC$168*(1+Data_All!BC146%),BC306*(1+Data_All!BC146%)),"")</f>
        <v/>
      </c>
      <c r="BD307" s="427" t="str">
        <f>IF(AND($A307&gt;=SYear_O,$A307&lt;=EYear_O,BD$3&gt;0),IF($A307=SYear_O,BD$168*(1+Data_All!BD146%),BD306*(1+Data_All!BD146%)),"")</f>
        <v/>
      </c>
      <c r="BE307" s="427" t="str">
        <f>IF(AND($A307&gt;=SYear_O,$A307&lt;=EYear_O,BE$3&gt;0),IF($A307=SYear_O,BE$168*(1+Data_All!BE146%),BE306*(1+Data_All!BE146%)),"")</f>
        <v/>
      </c>
      <c r="BF307" s="427" t="str">
        <f>IF(AND($A307&gt;=SYear_O,$A307&lt;=EYear_O,BF$3&gt;0),IF($A307=SYear_O,BF$168*(1+Data_All!BF146%),BF306*(1+Data_All!BF146%)),"")</f>
        <v/>
      </c>
      <c r="BG307" s="427" t="str">
        <f>IF(AND($A307&gt;=SYear_O,$A307&lt;=EYear_O,BG$3&gt;0),IF($A307=SYear_O,BG$168*(1+Data_All!BG146%),BG306*(1+Data_All!BG146%)),"")</f>
        <v/>
      </c>
      <c r="BH307" s="427" t="str">
        <f>IF(AND($A307&gt;=SYear_O,$A307&lt;=EYear_O,BH$3&gt;0),IF($A307=SYear_O,BH$168*(1+Data_All!BH146%),BH306*(1+Data_All!BH146%)),"")</f>
        <v/>
      </c>
      <c r="BI307" s="427" t="str">
        <f>IF(AND($A307&gt;=SYear_O,$A307&lt;=EYear_O,BI$3&gt;0),IF($A307=SYear_O,BI$168*(1+Data_All!BI146%),BI306*(1+Data_All!BI146%)),"")</f>
        <v/>
      </c>
      <c r="BJ307" s="427" t="str">
        <f>IF(AND($A307&gt;=SYear_O,$A307&lt;=EYear_O,BJ$3&gt;0),IF($A307=SYear_O,BJ$168*(1+Data_All!BJ146%),BJ306*(1+Data_All!BJ146%)),"")</f>
        <v/>
      </c>
      <c r="BK307" s="427" t="str">
        <f>IF(AND($A307&gt;=SYear_O,$A307&lt;=EYear_O,BK$3&gt;0),IF($A307=SYear_O,BK$168*(1+Data_All!BK146%),BK306*(1+Data_All!BK146%)),"")</f>
        <v/>
      </c>
      <c r="BL307" s="427" t="str">
        <f>IF(AND($A307&gt;=SYear_O,$A307&lt;=EYear_O,BL$3&gt;0),IF($A307=SYear_O,BL$168*(1+Data_All!BL146%),BL306*(1+Data_All!BL146%)),"")</f>
        <v/>
      </c>
      <c r="BM307" s="427" t="str">
        <f>IF(AND($A307&gt;=SYear_O,$A307&lt;=EYear_O,BM$3&gt;0),IF($A307=SYear_O,BM$168*(1+Data_All!BM146%),BM306*(1+Data_All!BM146%)),"")</f>
        <v/>
      </c>
      <c r="BN307" s="427" t="str">
        <f>IF(AND($A307&gt;=SYear_O,$A307&lt;=EYear_O,BN$3&gt;0),IF($A307=SYear_O,BN$168*(1+Data_All!BN146%),BN306*(1+Data_All!BN146%)),"")</f>
        <v/>
      </c>
      <c r="BO307" s="427" t="str">
        <f>IF(AND($A307&gt;=SYear_O,$A307&lt;=EYear_O,BO$3&gt;0),IF($A307=SYear_O,BO$168*(1+Data_All!BO146%),BO306*(1+Data_All!BO146%)),"")</f>
        <v/>
      </c>
      <c r="BP307" s="427" t="str">
        <f>IF(AND($A307&gt;=SYear_O,$A307&lt;=EYear_O,BP$3&gt;0),IF($A307=SYear_O,BP$168*(1+Data_All!BP146%),BP306*(1+Data_All!BP146%)),"")</f>
        <v/>
      </c>
      <c r="BQ307" s="427" t="str">
        <f>IF(AND($A307&gt;=SYear_O,$A307&lt;=EYear_O,BQ$3&gt;0),IF($A307=SYear_O,BQ$168*(1+Data_All!BQ146%),BQ306*(1+Data_All!BQ146%)),"")</f>
        <v/>
      </c>
      <c r="BR307" s="427" t="str">
        <f>IF(AND($A307&gt;=SYear_O,$A307&lt;=EYear_O,BR$3&gt;0),IF($A307=SYear_O,BR$168*(1+Data_All!BR146%),BR306*(1+Data_All!BR146%)),"")</f>
        <v/>
      </c>
      <c r="BS307" s="427" t="str">
        <f>IF(AND($A307&gt;=SYear_O,$A307&lt;=EYear_O,BS$3&gt;0),IF($A307=SYear_O,BS$168*(1+Data_All!BS146%),BS306*(1+Data_All!BS146%)),"")</f>
        <v/>
      </c>
      <c r="BT307" s="427" t="str">
        <f>IF(AND($A307&gt;=SYear_O,$A307&lt;=EYear_O,BT$3&gt;0),IF($A307=SYear_O,BT$168*(1+Data_All!BT146%),BT306*(1+Data_All!BT146%)),"")</f>
        <v/>
      </c>
      <c r="BU307" s="427" t="str">
        <f>IF(AND($A307&gt;=SYear_O,$A307&lt;=EYear_O,BU$3&gt;0),IF($A307=SYear_O,BU$168*(1+Data_All!BU146%),BU306*(1+Data_All!BU146%)),"")</f>
        <v/>
      </c>
      <c r="BV307" s="427" t="str">
        <f>IF(AND($A307&gt;=SYear_O,$A307&lt;=EYear_O,BV$3&gt;0),IF($A307=SYear_O,BV$168*(1+Data_All!BV146%),BV306*(1+Data_All!BV146%)),"")</f>
        <v/>
      </c>
      <c r="BW307" s="427" t="str">
        <f>IF(AND($A307&gt;=SYear_O,$A307&lt;=EYear_O,BW$3&gt;0),IF($A307=SYear_O,BW$168*(1+Data_All!BW146%),BW306*(1+Data_All!BW146%)),"")</f>
        <v/>
      </c>
      <c r="BX307" s="427">
        <f>IF(AND($A307&gt;=SYear_O,$A307&lt;=EYear_O,BX$3&gt;0),IF($A307=SYear_O,BX$168*(1+Data_All!BX146%),BX306*(1+Data_All!BX146%)),"")</f>
        <v>632408520.12230945</v>
      </c>
      <c r="BY307" s="427">
        <f>IF(AND($A307&gt;=SYear_O,$A307&lt;=EYear_O,BY$3&gt;0),IF($A307=SYear_O,BY$168*(1+Data_All!BY146%),BY306*(1+Data_All!BY146%)),"")</f>
        <v>2501857.2477282099</v>
      </c>
      <c r="BZ307" s="427" t="str">
        <f>IF(AND($A307&gt;=SYear_O,$A307&lt;=EYear_O,BZ$3&gt;0),IF($A307=SYear_O,BZ$168*(1+Data_All!BZ146%),BZ306*(1+Data_All!BZ146%)),"")</f>
        <v/>
      </c>
      <c r="CA307" s="565">
        <f t="shared" si="155"/>
        <v>32.214621573312442</v>
      </c>
      <c r="CB307" s="427">
        <f t="shared" si="156"/>
        <v>634910377.37003767</v>
      </c>
      <c r="CC307" s="565">
        <f>IF(AND($A307&gt;=SYear_O,$A307&lt;=EYear_O),(CA307-Data_All!CA146)/(1+Data_All!CA146%),"")</f>
        <v>28.711943394571538</v>
      </c>
      <c r="CD307" s="436">
        <f t="shared" si="157"/>
        <v>36645512.010118932</v>
      </c>
      <c r="CE307" s="438">
        <f t="shared" si="158"/>
        <v>57585.887912523009</v>
      </c>
      <c r="CF307" s="438">
        <f>IF(AND($A307&gt;=SYear_O,$A307&lt;=EYear_O),MAX($CE$169:CE307),"")</f>
        <v>67844.076536127672</v>
      </c>
      <c r="CG307" s="209">
        <f t="shared" si="159"/>
        <v>0.15120242101227621</v>
      </c>
      <c r="CN307" s="61">
        <f t="shared" si="154"/>
        <v>0.32214621573312452</v>
      </c>
      <c r="CO307" s="61">
        <f t="shared" si="144"/>
        <v>0.16691838363883882</v>
      </c>
      <c r="CP307" s="61">
        <f t="shared" si="145"/>
        <v>0.18273478961078116</v>
      </c>
      <c r="CQ307" s="61"/>
      <c r="CR307" s="61"/>
      <c r="CU307" s="61">
        <f t="shared" si="148"/>
        <v>0.28711943394571549</v>
      </c>
      <c r="CV307" s="61">
        <f t="shared" si="149"/>
        <v>0.1396673559033601</v>
      </c>
      <c r="CW307" s="61">
        <f t="shared" si="150"/>
        <v>0.1586066971998723</v>
      </c>
      <c r="CX307" s="61"/>
      <c r="CY307" s="61"/>
    </row>
    <row r="308" spans="1:103">
      <c r="A308" s="204">
        <f t="shared" si="153"/>
        <v>2010</v>
      </c>
      <c r="B308" s="427" t="str">
        <f>IF(AND($A308&gt;=SYear_O,$A308&lt;=EYear_O,B$3&gt;0),IF($A308=SYear_O,B$168*(1+Data_All!B147%),B307*(1+Data_All!B147%)),"")</f>
        <v/>
      </c>
      <c r="C308" s="427" t="str">
        <f>IF(AND($A308&gt;=SYear_O,$A308&lt;=EYear_O,C$3&gt;0),IF($A308=SYear_O,C$168*(1+Data_All!C147%),C307*(1+Data_All!C147%)),"")</f>
        <v/>
      </c>
      <c r="D308" s="427" t="str">
        <f>IF(AND($A308&gt;=SYear_O,$A308&lt;=EYear_O,D$3&gt;0),IF($A308=SYear_O,D$168*(1+Data_All!D147%),D307*(1+Data_All!D147%)),"")</f>
        <v/>
      </c>
      <c r="E308" s="427" t="str">
        <f>IF(AND($A308&gt;=SYear_O,$A308&lt;=EYear_O,E$3&gt;0),IF($A308=SYear_O,E$168*(1+Data_All!E147%),E307*(1+Data_All!E147%)),"")</f>
        <v/>
      </c>
      <c r="F308" s="427" t="str">
        <f>IF(AND($A308&gt;=SYear_O,$A308&lt;=EYear_O,F$3&gt;0),IF($A308=SYear_O,F$168*(1+Data_All!F147%),F307*(1+Data_All!F147%)),"")</f>
        <v/>
      </c>
      <c r="G308" s="427" t="str">
        <f>IF(AND($A308&gt;=SYear_O,$A308&lt;=EYear_O,G$3&gt;0),IF($A308=SYear_O,G$168*(1+Data_All!G147%),G307*(1+Data_All!G147%)),"")</f>
        <v/>
      </c>
      <c r="H308" s="427" t="str">
        <f>IF(AND($A308&gt;=SYear_O,$A308&lt;=EYear_O,H$3&gt;0),IF($A308=SYear_O,H$168*(1+Data_All!H147%),H307*(1+Data_All!H147%)),"")</f>
        <v/>
      </c>
      <c r="I308" s="427" t="str">
        <f>IF(AND($A308&gt;=SYear_O,$A308&lt;=EYear_O,I$3&gt;0),IF($A308=SYear_O,I$168*(1+Data_All!I147%),I307*(1+Data_All!I147%)),"")</f>
        <v/>
      </c>
      <c r="J308" s="427" t="str">
        <f>IF(AND($A308&gt;=SYear_O,$A308&lt;=EYear_O,J$3&gt;0),IF($A308=SYear_O,J$168*(1+Data_All!J147%),J307*(1+Data_All!J147%)),"")</f>
        <v/>
      </c>
      <c r="K308" s="427" t="str">
        <f>IF(AND($A308&gt;=SYear_O,$A308&lt;=EYear_O,K$3&gt;0),IF($A308=SYear_O,K$168*(1+Data_All!K147%),K307*(1+Data_All!K147%)),"")</f>
        <v/>
      </c>
      <c r="L308" s="427" t="str">
        <f>IF(AND($A308&gt;=SYear_O,$A308&lt;=EYear_O,L$3&gt;0),IF($A308=SYear_O,L$168*(1+Data_All!L147%),L307*(1+Data_All!L147%)),"")</f>
        <v/>
      </c>
      <c r="M308" s="427" t="str">
        <f>IF(AND($A308&gt;=SYear_O,$A308&lt;=EYear_O,M$3&gt;0),IF($A308=SYear_O,M$168*(1+Data_All!M147%),M307*(1+Data_All!M147%)),"")</f>
        <v/>
      </c>
      <c r="N308" s="427" t="str">
        <f>IF(AND($A308&gt;=SYear_O,$A308&lt;=EYear_O,N$3&gt;0),IF($A308=SYear_O,N$168*(1+Data_All!N147%),N307*(1+Data_All!N147%)),"")</f>
        <v/>
      </c>
      <c r="O308" s="427" t="str">
        <f>IF(AND($A308&gt;=SYear_O,$A308&lt;=EYear_O,O$3&gt;0),IF($A308=SYear_O,O$168*(1+Data_All!O147%),O307*(1+Data_All!O147%)),"")</f>
        <v/>
      </c>
      <c r="P308" s="427" t="str">
        <f>IF(AND($A308&gt;=SYear_O,$A308&lt;=EYear_O,P$3&gt;0),IF($A308=SYear_O,P$168*(1+Data_All!P147%),P307*(1+Data_All!P147%)),"")</f>
        <v/>
      </c>
      <c r="Q308" s="427" t="str">
        <f>IF(AND($A308&gt;=SYear_O,$A308&lt;=EYear_O,Q$3&gt;0),IF($A308=SYear_O,Q$168*(1+Data_All!Q147%),Q307*(1+Data_All!Q147%)),"")</f>
        <v/>
      </c>
      <c r="R308" s="427" t="str">
        <f>IF(AND($A308&gt;=SYear_O,$A308&lt;=EYear_O,R$3&gt;0),IF($A308=SYear_O,R$168*(1+Data_All!R147%),R307*(1+Data_All!R147%)),"")</f>
        <v/>
      </c>
      <c r="S308" s="427" t="str">
        <f>IF(AND($A308&gt;=SYear_O,$A308&lt;=EYear_O,S$3&gt;0),IF($A308=SYear_O,S$168*(1+Data_All!S147%),S307*(1+Data_All!S147%)),"")</f>
        <v/>
      </c>
      <c r="T308" s="427" t="str">
        <f>IF(AND($A308&gt;=SYear_O,$A308&lt;=EYear_O,T$3&gt;0),IF($A308=SYear_O,T$168*(1+Data_All!T147%),T307*(1+Data_All!T147%)),"")</f>
        <v/>
      </c>
      <c r="U308" s="427" t="str">
        <f>IF(AND($A308&gt;=SYear_O,$A308&lt;=EYear_O,U$3&gt;0),IF($A308=SYear_O,U$168*(1+Data_All!U147%),U307*(1+Data_All!U147%)),"")</f>
        <v/>
      </c>
      <c r="V308" s="427" t="str">
        <f>IF(AND($A308&gt;=SYear_O,$A308&lt;=EYear_O,V$3&gt;0),IF($A308=SYear_O,V$168*(1+Data_All!V147%),V307*(1+Data_All!V147%)),"")</f>
        <v/>
      </c>
      <c r="W308" s="427" t="str">
        <f>IF(AND($A308&gt;=SYear_O,$A308&lt;=EYear_O,W$3&gt;0),IF($A308=SYear_O,W$168*(1+Data_All!W147%),W307*(1+Data_All!W147%)),"")</f>
        <v/>
      </c>
      <c r="X308" s="427" t="str">
        <f>IF(AND($A308&gt;=SYear_O,$A308&lt;=EYear_O,X$3&gt;0),IF($A308=SYear_O,X$168*(1+Data_All!X147%),X307*(1+Data_All!X147%)),"")</f>
        <v/>
      </c>
      <c r="Y308" s="427" t="str">
        <f>IF(AND($A308&gt;=SYear_O,$A308&lt;=EYear_O,Y$3&gt;0),IF($A308=SYear_O,Y$168*(1+Data_All!Y147%),Y307*(1+Data_All!Y147%)),"")</f>
        <v/>
      </c>
      <c r="Z308" s="427" t="str">
        <f>IF(AND($A308&gt;=SYear_O,$A308&lt;=EYear_O,Z$3&gt;0),IF($A308=SYear_O,Z$168*(1+Data_All!Z147%),Z307*(1+Data_All!Z147%)),"")</f>
        <v/>
      </c>
      <c r="AA308" s="427" t="str">
        <f>IF(AND($A308&gt;=SYear_O,$A308&lt;=EYear_O,AA$3&gt;0),IF($A308=SYear_O,AA$168*(1+Data_All!AA147%),AA307*(1+Data_All!AA147%)),"")</f>
        <v/>
      </c>
      <c r="AB308" s="427" t="str">
        <f>IF(AND($A308&gt;=SYear_O,$A308&lt;=EYear_O,AB$3&gt;0),IF($A308=SYear_O,AB$168*(1+Data_All!AB147%),AB307*(1+Data_All!AB147%)),"")</f>
        <v/>
      </c>
      <c r="AC308" s="427" t="str">
        <f>IF(AND($A308&gt;=SYear_O,$A308&lt;=EYear_O,AC$3&gt;0),IF($A308=SYear_O,AC$168*(1+Data_All!AC147%),AC307*(1+Data_All!AC147%)),"")</f>
        <v/>
      </c>
      <c r="AD308" s="427" t="str">
        <f>IF(AND($A308&gt;=SYear_O,$A308&lt;=EYear_O,AD$3&gt;0),IF($A308=SYear_O,AD$168*(1+Data_All!AD147%),AD307*(1+Data_All!AD147%)),"")</f>
        <v/>
      </c>
      <c r="AE308" s="427" t="str">
        <f>IF(AND($A308&gt;=SYear_O,$A308&lt;=EYear_O,AE$3&gt;0),IF($A308=SYear_O,AE$168*(1+Data_All!AE147%),AE307*(1+Data_All!AE147%)),"")</f>
        <v/>
      </c>
      <c r="AF308" s="427" t="str">
        <f>IF(AND($A308&gt;=SYear_O,$A308&lt;=EYear_O,AF$3&gt;0),IF($A308=SYear_O,AF$168*(1+Data_All!AF147%),AF307*(1+Data_All!AF147%)),"")</f>
        <v/>
      </c>
      <c r="AG308" s="427" t="str">
        <f>IF(AND($A308&gt;=SYear_O,$A308&lt;=EYear_O,AG$3&gt;0),IF($A308=SYear_O,AG$168*(1+Data_All!AG147%),AG307*(1+Data_All!AG147%)),"")</f>
        <v/>
      </c>
      <c r="AH308" s="427" t="str">
        <f>IF(AND($A308&gt;=SYear_O,$A308&lt;=EYear_O,AH$3&gt;0),IF($A308=SYear_O,AH$168*(1+Data_All!AH147%),AH307*(1+Data_All!AH147%)),"")</f>
        <v/>
      </c>
      <c r="AI308" s="427" t="str">
        <f>IF(AND($A308&gt;=SYear_O,$A308&lt;=EYear_O,AI$3&gt;0),IF($A308=SYear_O,AI$168*(1+Data_All!AI147%),AI307*(1+Data_All!AI147%)),"")</f>
        <v/>
      </c>
      <c r="AJ308" s="427" t="str">
        <f>IF(AND($A308&gt;=SYear_O,$A308&lt;=EYear_O,AJ$3&gt;0),IF($A308=SYear_O,AJ$168*(1+Data_All!AJ147%),AJ307*(1+Data_All!AJ147%)),"")</f>
        <v/>
      </c>
      <c r="AK308" s="427" t="str">
        <f>IF(AND($A308&gt;=SYear_O,$A308&lt;=EYear_O,AK$3&gt;0),IF($A308=SYear_O,AK$168*(1+Data_All!AK147%),AK307*(1+Data_All!AK147%)),"")</f>
        <v/>
      </c>
      <c r="AL308" s="427" t="str">
        <f>IF(AND($A308&gt;=SYear_O,$A308&lt;=EYear_O,AL$3&gt;0),IF($A308=SYear_O,AL$168*(1+Data_All!AL147%),AL307*(1+Data_All!AL147%)),"")</f>
        <v/>
      </c>
      <c r="AM308" s="427" t="str">
        <f>IF(AND($A308&gt;=SYear_O,$A308&lt;=EYear_O,AM$3&gt;0),IF($A308=SYear_O,AM$168*(1+Data_All!AM147%),AM307*(1+Data_All!AM147%)),"")</f>
        <v/>
      </c>
      <c r="AN308" s="427" t="str">
        <f>IF(AND($A308&gt;=SYear_O,$A308&lt;=EYear_O,AN$3&gt;0),IF($A308=SYear_O,AN$168*(1+Data_All!AN147%),AN307*(1+Data_All!AN147%)),"")</f>
        <v/>
      </c>
      <c r="AO308" s="427" t="str">
        <f>IF(AND($A308&gt;=SYear_O,$A308&lt;=EYear_O,AO$3&gt;0),IF($A308=SYear_O,AO$168*(1+Data_All!AO147%),AO307*(1+Data_All!AO147%)),"")</f>
        <v/>
      </c>
      <c r="AP308" s="427" t="str">
        <f>IF(AND($A308&gt;=SYear_O,$A308&lt;=EYear_O,AP$3&gt;0),IF($A308=SYear_O,AP$168*(1+Data_All!AP147%),AP307*(1+Data_All!AP147%)),"")</f>
        <v/>
      </c>
      <c r="AQ308" s="427" t="str">
        <f>IF(AND($A308&gt;=SYear_O,$A308&lt;=EYear_O,AQ$3&gt;0),IF($A308=SYear_O,AQ$168*(1+Data_All!AQ147%),AQ307*(1+Data_All!AQ147%)),"")</f>
        <v/>
      </c>
      <c r="AR308" s="427" t="str">
        <f>IF(AND($A308&gt;=SYear_O,$A308&lt;=EYear_O,AR$3&gt;0),IF($A308=SYear_O,AR$168*(1+Data_All!AR147%),AR307*(1+Data_All!AR147%)),"")</f>
        <v/>
      </c>
      <c r="AS308" s="427" t="str">
        <f>IF(AND($A308&gt;=SYear_O,$A308&lt;=EYear_O,AS$3&gt;0),IF($A308=SYear_O,AS$168*(1+Data_All!AS147%),AS307*(1+Data_All!AS147%)),"")</f>
        <v/>
      </c>
      <c r="AT308" s="427" t="str">
        <f>IF(AND($A308&gt;=SYear_O,$A308&lt;=EYear_O,AT$3&gt;0),IF($A308=SYear_O,AT$168*(1+Data_All!AT147%),AT307*(1+Data_All!AT147%)),"")</f>
        <v/>
      </c>
      <c r="AU308" s="427" t="str">
        <f>IF(AND($A308&gt;=SYear_O,$A308&lt;=EYear_O,AU$3&gt;0),IF($A308=SYear_O,AU$168*(1+Data_All!AU147%),AU307*(1+Data_All!AU147%)),"")</f>
        <v/>
      </c>
      <c r="AV308" s="427" t="str">
        <f>IF(AND($A308&gt;=SYear_O,$A308&lt;=EYear_O,AV$3&gt;0),IF($A308=SYear_O,AV$168*(1+Data_All!AV147%),AV307*(1+Data_All!AV147%)),"")</f>
        <v/>
      </c>
      <c r="AW308" s="427" t="str">
        <f>IF(AND($A308&gt;=SYear_O,$A308&lt;=EYear_O,AW$3&gt;0),IF($A308=SYear_O,AW$168*(1+Data_All!AW147%),AW307*(1+Data_All!AW147%)),"")</f>
        <v/>
      </c>
      <c r="AX308" s="427" t="str">
        <f>IF(AND($A308&gt;=SYear_O,$A308&lt;=EYear_O,AX$3&gt;0),IF($A308=SYear_O,AX$168*(1+Data_All!AX147%),AX307*(1+Data_All!AX147%)),"")</f>
        <v/>
      </c>
      <c r="AY308" s="427" t="str">
        <f>IF(AND($A308&gt;=SYear_O,$A308&lt;=EYear_O,AY$3&gt;0),IF($A308=SYear_O,AY$168*(1+Data_All!AY147%),AY307*(1+Data_All!AY147%)),"")</f>
        <v/>
      </c>
      <c r="AZ308" s="427" t="str">
        <f>IF(AND($A308&gt;=SYear_O,$A308&lt;=EYear_O,AZ$3&gt;0),IF($A308=SYear_O,AZ$168*(1+Data_All!AZ147%),AZ307*(1+Data_All!AZ147%)),"")</f>
        <v/>
      </c>
      <c r="BA308" s="427" t="str">
        <f>IF(AND($A308&gt;=SYear_O,$A308&lt;=EYear_O,BA$3&gt;0),IF($A308=SYear_O,BA$168*(1+Data_All!BA147%),BA307*(1+Data_All!BA147%)),"")</f>
        <v/>
      </c>
      <c r="BB308" s="427" t="str">
        <f>IF(AND($A308&gt;=SYear_O,$A308&lt;=EYear_O,BB$3&gt;0),IF($A308=SYear_O,BB$168*(1+Data_All!BB147%),BB307*(1+Data_All!BB147%)),"")</f>
        <v/>
      </c>
      <c r="BC308" s="427" t="str">
        <f>IF(AND($A308&gt;=SYear_O,$A308&lt;=EYear_O,BC$3&gt;0),IF($A308=SYear_O,BC$168*(1+Data_All!BC147%),BC307*(1+Data_All!BC147%)),"")</f>
        <v/>
      </c>
      <c r="BD308" s="427" t="str">
        <f>IF(AND($A308&gt;=SYear_O,$A308&lt;=EYear_O,BD$3&gt;0),IF($A308=SYear_O,BD$168*(1+Data_All!BD147%),BD307*(1+Data_All!BD147%)),"")</f>
        <v/>
      </c>
      <c r="BE308" s="427" t="str">
        <f>IF(AND($A308&gt;=SYear_O,$A308&lt;=EYear_O,BE$3&gt;0),IF($A308=SYear_O,BE$168*(1+Data_All!BE147%),BE307*(1+Data_All!BE147%)),"")</f>
        <v/>
      </c>
      <c r="BF308" s="427" t="str">
        <f>IF(AND($A308&gt;=SYear_O,$A308&lt;=EYear_O,BF$3&gt;0),IF($A308=SYear_O,BF$168*(1+Data_All!BF147%),BF307*(1+Data_All!BF147%)),"")</f>
        <v/>
      </c>
      <c r="BG308" s="427" t="str">
        <f>IF(AND($A308&gt;=SYear_O,$A308&lt;=EYear_O,BG$3&gt;0),IF($A308=SYear_O,BG$168*(1+Data_All!BG147%),BG307*(1+Data_All!BG147%)),"")</f>
        <v/>
      </c>
      <c r="BH308" s="427" t="str">
        <f>IF(AND($A308&gt;=SYear_O,$A308&lt;=EYear_O,BH$3&gt;0),IF($A308=SYear_O,BH$168*(1+Data_All!BH147%),BH307*(1+Data_All!BH147%)),"")</f>
        <v/>
      </c>
      <c r="BI308" s="427" t="str">
        <f>IF(AND($A308&gt;=SYear_O,$A308&lt;=EYear_O,BI$3&gt;0),IF($A308=SYear_O,BI$168*(1+Data_All!BI147%),BI307*(1+Data_All!BI147%)),"")</f>
        <v/>
      </c>
      <c r="BJ308" s="427" t="str">
        <f>IF(AND($A308&gt;=SYear_O,$A308&lt;=EYear_O,BJ$3&gt;0),IF($A308=SYear_O,BJ$168*(1+Data_All!BJ147%),BJ307*(1+Data_All!BJ147%)),"")</f>
        <v/>
      </c>
      <c r="BK308" s="427" t="str">
        <f>IF(AND($A308&gt;=SYear_O,$A308&lt;=EYear_O,BK$3&gt;0),IF($A308=SYear_O,BK$168*(1+Data_All!BK147%),BK307*(1+Data_All!BK147%)),"")</f>
        <v/>
      </c>
      <c r="BL308" s="427" t="str">
        <f>IF(AND($A308&gt;=SYear_O,$A308&lt;=EYear_O,BL$3&gt;0),IF($A308=SYear_O,BL$168*(1+Data_All!BL147%),BL307*(1+Data_All!BL147%)),"")</f>
        <v/>
      </c>
      <c r="BM308" s="427" t="str">
        <f>IF(AND($A308&gt;=SYear_O,$A308&lt;=EYear_O,BM$3&gt;0),IF($A308=SYear_O,BM$168*(1+Data_All!BM147%),BM307*(1+Data_All!BM147%)),"")</f>
        <v/>
      </c>
      <c r="BN308" s="427" t="str">
        <f>IF(AND($A308&gt;=SYear_O,$A308&lt;=EYear_O,BN$3&gt;0),IF($A308=SYear_O,BN$168*(1+Data_All!BN147%),BN307*(1+Data_All!BN147%)),"")</f>
        <v/>
      </c>
      <c r="BO308" s="427" t="str">
        <f>IF(AND($A308&gt;=SYear_O,$A308&lt;=EYear_O,BO$3&gt;0),IF($A308=SYear_O,BO$168*(1+Data_All!BO147%),BO307*(1+Data_All!BO147%)),"")</f>
        <v/>
      </c>
      <c r="BP308" s="427" t="str">
        <f>IF(AND($A308&gt;=SYear_O,$A308&lt;=EYear_O,BP$3&gt;0),IF($A308=SYear_O,BP$168*(1+Data_All!BP147%),BP307*(1+Data_All!BP147%)),"")</f>
        <v/>
      </c>
      <c r="BQ308" s="427" t="str">
        <f>IF(AND($A308&gt;=SYear_O,$A308&lt;=EYear_O,BQ$3&gt;0),IF($A308=SYear_O,BQ$168*(1+Data_All!BQ147%),BQ307*(1+Data_All!BQ147%)),"")</f>
        <v/>
      </c>
      <c r="BR308" s="427" t="str">
        <f>IF(AND($A308&gt;=SYear_O,$A308&lt;=EYear_O,BR$3&gt;0),IF($A308=SYear_O,BR$168*(1+Data_All!BR147%),BR307*(1+Data_All!BR147%)),"")</f>
        <v/>
      </c>
      <c r="BS308" s="427" t="str">
        <f>IF(AND($A308&gt;=SYear_O,$A308&lt;=EYear_O,BS$3&gt;0),IF($A308=SYear_O,BS$168*(1+Data_All!BS147%),BS307*(1+Data_All!BS147%)),"")</f>
        <v/>
      </c>
      <c r="BT308" s="427" t="str">
        <f>IF(AND($A308&gt;=SYear_O,$A308&lt;=EYear_O,BT$3&gt;0),IF($A308=SYear_O,BT$168*(1+Data_All!BT147%),BT307*(1+Data_All!BT147%)),"")</f>
        <v/>
      </c>
      <c r="BU308" s="427" t="str">
        <f>IF(AND($A308&gt;=SYear_O,$A308&lt;=EYear_O,BU$3&gt;0),IF($A308=SYear_O,BU$168*(1+Data_All!BU147%),BU307*(1+Data_All!BU147%)),"")</f>
        <v/>
      </c>
      <c r="BV308" s="427" t="str">
        <f>IF(AND($A308&gt;=SYear_O,$A308&lt;=EYear_O,BV$3&gt;0),IF($A308=SYear_O,BV$168*(1+Data_All!BV147%),BV307*(1+Data_All!BV147%)),"")</f>
        <v/>
      </c>
      <c r="BW308" s="427" t="str">
        <f>IF(AND($A308&gt;=SYear_O,$A308&lt;=EYear_O,BW$3&gt;0),IF($A308=SYear_O,BW$168*(1+Data_All!BW147%),BW307*(1+Data_All!BW147%)),"")</f>
        <v/>
      </c>
      <c r="BX308" s="427">
        <f>IF(AND($A308&gt;=SYear_O,$A308&lt;=EYear_O,BX$3&gt;0),IF($A308=SYear_O,BX$168*(1+Data_All!BX147%),BX307*(1+Data_All!BX147%)),"")</f>
        <v>734718010.05861318</v>
      </c>
      <c r="BY308" s="427">
        <f>IF(AND($A308&gt;=SYear_O,$A308&lt;=EYear_O,BY$3&gt;0),IF($A308=SYear_O,BY$168*(1+Data_All!BY147%),BY307*(1+Data_All!BY147%)),"")</f>
        <v>2654836.1574762287</v>
      </c>
      <c r="BZ308" s="427" t="str">
        <f>IF(AND($A308&gt;=SYear_O,$A308&lt;=EYear_O,BZ$3&gt;0),IF($A308=SYear_O,BZ$168*(1+Data_All!BZ147%),BZ307*(1+Data_All!BZ147%)),"")</f>
        <v/>
      </c>
      <c r="CA308" s="565">
        <f t="shared" si="155"/>
        <v>16.138099564615345</v>
      </c>
      <c r="CB308" s="427">
        <f t="shared" si="156"/>
        <v>737372846.21608937</v>
      </c>
      <c r="CC308" s="565">
        <f>IF(AND($A308&gt;=SYear_O,$A308&lt;=EYear_O),(CA308-Data_All!CA147)/(1+Data_All!CA147%),"")</f>
        <v>14.426594075523303</v>
      </c>
      <c r="CD308" s="436">
        <f t="shared" si="157"/>
        <v>41932211.27471593</v>
      </c>
      <c r="CE308" s="438">
        <f t="shared" si="158"/>
        <v>66879.155839013765</v>
      </c>
      <c r="CF308" s="438">
        <f>IF(AND($A308&gt;=SYear_O,$A308&lt;=EYear_O),MAX($CE$169:CE308),"")</f>
        <v>67844.076536127672</v>
      </c>
      <c r="CG308" s="209">
        <f t="shared" si="159"/>
        <v>1.4222622613192737E-2</v>
      </c>
      <c r="CN308" s="61">
        <f t="shared" si="154"/>
        <v>0.16138099564615338</v>
      </c>
      <c r="CO308" s="61">
        <f t="shared" si="144"/>
        <v>0.11768597412381077</v>
      </c>
      <c r="CP308" s="61">
        <f t="shared" si="145"/>
        <v>0.14705111487601252</v>
      </c>
      <c r="CQ308" s="61"/>
      <c r="CR308" s="61"/>
      <c r="CU308" s="61">
        <f t="shared" si="148"/>
        <v>0.14426594075523314</v>
      </c>
      <c r="CV308" s="61">
        <f t="shared" si="149"/>
        <v>9.5079397467865645E-2</v>
      </c>
      <c r="CW308" s="61">
        <f t="shared" si="150"/>
        <v>0.12799961985813479</v>
      </c>
      <c r="CX308" s="61"/>
      <c r="CY308" s="61"/>
    </row>
    <row r="309" spans="1:103">
      <c r="A309" s="204">
        <f t="shared" si="153"/>
        <v>2011</v>
      </c>
      <c r="B309" s="427" t="str">
        <f>IF(AND($A309&gt;=SYear_O,$A309&lt;=EYear_O,B$3&gt;0),IF($A309=SYear_O,B$168*(1+Data_All!B148%),B308*(1+Data_All!B148%)),"")</f>
        <v/>
      </c>
      <c r="C309" s="427" t="str">
        <f>IF(AND($A309&gt;=SYear_O,$A309&lt;=EYear_O,C$3&gt;0),IF($A309=SYear_O,C$168*(1+Data_All!C148%),C308*(1+Data_All!C148%)),"")</f>
        <v/>
      </c>
      <c r="D309" s="427" t="str">
        <f>IF(AND($A309&gt;=SYear_O,$A309&lt;=EYear_O,D$3&gt;0),IF($A309=SYear_O,D$168*(1+Data_All!D148%),D308*(1+Data_All!D148%)),"")</f>
        <v/>
      </c>
      <c r="E309" s="427" t="str">
        <f>IF(AND($A309&gt;=SYear_O,$A309&lt;=EYear_O,E$3&gt;0),IF($A309=SYear_O,E$168*(1+Data_All!E148%),E308*(1+Data_All!E148%)),"")</f>
        <v/>
      </c>
      <c r="F309" s="427" t="str">
        <f>IF(AND($A309&gt;=SYear_O,$A309&lt;=EYear_O,F$3&gt;0),IF($A309=SYear_O,F$168*(1+Data_All!F148%),F308*(1+Data_All!F148%)),"")</f>
        <v/>
      </c>
      <c r="G309" s="427" t="str">
        <f>IF(AND($A309&gt;=SYear_O,$A309&lt;=EYear_O,G$3&gt;0),IF($A309=SYear_O,G$168*(1+Data_All!G148%),G308*(1+Data_All!G148%)),"")</f>
        <v/>
      </c>
      <c r="H309" s="427" t="str">
        <f>IF(AND($A309&gt;=SYear_O,$A309&lt;=EYear_O,H$3&gt;0),IF($A309=SYear_O,H$168*(1+Data_All!H148%),H308*(1+Data_All!H148%)),"")</f>
        <v/>
      </c>
      <c r="I309" s="427" t="str">
        <f>IF(AND($A309&gt;=SYear_O,$A309&lt;=EYear_O,I$3&gt;0),IF($A309=SYear_O,I$168*(1+Data_All!I148%),I308*(1+Data_All!I148%)),"")</f>
        <v/>
      </c>
      <c r="J309" s="427" t="str">
        <f>IF(AND($A309&gt;=SYear_O,$A309&lt;=EYear_O,J$3&gt;0),IF($A309=SYear_O,J$168*(1+Data_All!J148%),J308*(1+Data_All!J148%)),"")</f>
        <v/>
      </c>
      <c r="K309" s="427" t="str">
        <f>IF(AND($A309&gt;=SYear_O,$A309&lt;=EYear_O,K$3&gt;0),IF($A309=SYear_O,K$168*(1+Data_All!K148%),K308*(1+Data_All!K148%)),"")</f>
        <v/>
      </c>
      <c r="L309" s="427" t="str">
        <f>IF(AND($A309&gt;=SYear_O,$A309&lt;=EYear_O,L$3&gt;0),IF($A309=SYear_O,L$168*(1+Data_All!L148%),L308*(1+Data_All!L148%)),"")</f>
        <v/>
      </c>
      <c r="M309" s="427" t="str">
        <f>IF(AND($A309&gt;=SYear_O,$A309&lt;=EYear_O,M$3&gt;0),IF($A309=SYear_O,M$168*(1+Data_All!M148%),M308*(1+Data_All!M148%)),"")</f>
        <v/>
      </c>
      <c r="N309" s="427" t="str">
        <f>IF(AND($A309&gt;=SYear_O,$A309&lt;=EYear_O,N$3&gt;0),IF($A309=SYear_O,N$168*(1+Data_All!N148%),N308*(1+Data_All!N148%)),"")</f>
        <v/>
      </c>
      <c r="O309" s="427" t="str">
        <f>IF(AND($A309&gt;=SYear_O,$A309&lt;=EYear_O,O$3&gt;0),IF($A309=SYear_O,O$168*(1+Data_All!O148%),O308*(1+Data_All!O148%)),"")</f>
        <v/>
      </c>
      <c r="P309" s="427" t="str">
        <f>IF(AND($A309&gt;=SYear_O,$A309&lt;=EYear_O,P$3&gt;0),IF($A309=SYear_O,P$168*(1+Data_All!P148%),P308*(1+Data_All!P148%)),"")</f>
        <v/>
      </c>
      <c r="Q309" s="427" t="str">
        <f>IF(AND($A309&gt;=SYear_O,$A309&lt;=EYear_O,Q$3&gt;0),IF($A309=SYear_O,Q$168*(1+Data_All!Q148%),Q308*(1+Data_All!Q148%)),"")</f>
        <v/>
      </c>
      <c r="R309" s="427" t="str">
        <f>IF(AND($A309&gt;=SYear_O,$A309&lt;=EYear_O,R$3&gt;0),IF($A309=SYear_O,R$168*(1+Data_All!R148%),R308*(1+Data_All!R148%)),"")</f>
        <v/>
      </c>
      <c r="S309" s="427" t="str">
        <f>IF(AND($A309&gt;=SYear_O,$A309&lt;=EYear_O,S$3&gt;0),IF($A309=SYear_O,S$168*(1+Data_All!S148%),S308*(1+Data_All!S148%)),"")</f>
        <v/>
      </c>
      <c r="T309" s="427" t="str">
        <f>IF(AND($A309&gt;=SYear_O,$A309&lt;=EYear_O,T$3&gt;0),IF($A309=SYear_O,T$168*(1+Data_All!T148%),T308*(1+Data_All!T148%)),"")</f>
        <v/>
      </c>
      <c r="U309" s="427" t="str">
        <f>IF(AND($A309&gt;=SYear_O,$A309&lt;=EYear_O,U$3&gt;0),IF($A309=SYear_O,U$168*(1+Data_All!U148%),U308*(1+Data_All!U148%)),"")</f>
        <v/>
      </c>
      <c r="V309" s="427" t="str">
        <f>IF(AND($A309&gt;=SYear_O,$A309&lt;=EYear_O,V$3&gt;0),IF($A309=SYear_O,V$168*(1+Data_All!V148%),V308*(1+Data_All!V148%)),"")</f>
        <v/>
      </c>
      <c r="W309" s="427" t="str">
        <f>IF(AND($A309&gt;=SYear_O,$A309&lt;=EYear_O,W$3&gt;0),IF($A309=SYear_O,W$168*(1+Data_All!W148%),W308*(1+Data_All!W148%)),"")</f>
        <v/>
      </c>
      <c r="X309" s="427" t="str">
        <f>IF(AND($A309&gt;=SYear_O,$A309&lt;=EYear_O,X$3&gt;0),IF($A309=SYear_O,X$168*(1+Data_All!X148%),X308*(1+Data_All!X148%)),"")</f>
        <v/>
      </c>
      <c r="Y309" s="427" t="str">
        <f>IF(AND($A309&gt;=SYear_O,$A309&lt;=EYear_O,Y$3&gt;0),IF($A309=SYear_O,Y$168*(1+Data_All!Y148%),Y308*(1+Data_All!Y148%)),"")</f>
        <v/>
      </c>
      <c r="Z309" s="427" t="str">
        <f>IF(AND($A309&gt;=SYear_O,$A309&lt;=EYear_O,Z$3&gt;0),IF($A309=SYear_O,Z$168*(1+Data_All!Z148%),Z308*(1+Data_All!Z148%)),"")</f>
        <v/>
      </c>
      <c r="AA309" s="427" t="str">
        <f>IF(AND($A309&gt;=SYear_O,$A309&lt;=EYear_O,AA$3&gt;0),IF($A309=SYear_O,AA$168*(1+Data_All!AA148%),AA308*(1+Data_All!AA148%)),"")</f>
        <v/>
      </c>
      <c r="AB309" s="427" t="str">
        <f>IF(AND($A309&gt;=SYear_O,$A309&lt;=EYear_O,AB$3&gt;0),IF($A309=SYear_O,AB$168*(1+Data_All!AB148%),AB308*(1+Data_All!AB148%)),"")</f>
        <v/>
      </c>
      <c r="AC309" s="427" t="str">
        <f>IF(AND($A309&gt;=SYear_O,$A309&lt;=EYear_O,AC$3&gt;0),IF($A309=SYear_O,AC$168*(1+Data_All!AC148%),AC308*(1+Data_All!AC148%)),"")</f>
        <v/>
      </c>
      <c r="AD309" s="427" t="str">
        <f>IF(AND($A309&gt;=SYear_O,$A309&lt;=EYear_O,AD$3&gt;0),IF($A309=SYear_O,AD$168*(1+Data_All!AD148%),AD308*(1+Data_All!AD148%)),"")</f>
        <v/>
      </c>
      <c r="AE309" s="427" t="str">
        <f>IF(AND($A309&gt;=SYear_O,$A309&lt;=EYear_O,AE$3&gt;0),IF($A309=SYear_O,AE$168*(1+Data_All!AE148%),AE308*(1+Data_All!AE148%)),"")</f>
        <v/>
      </c>
      <c r="AF309" s="427" t="str">
        <f>IF(AND($A309&gt;=SYear_O,$A309&lt;=EYear_O,AF$3&gt;0),IF($A309=SYear_O,AF$168*(1+Data_All!AF148%),AF308*(1+Data_All!AF148%)),"")</f>
        <v/>
      </c>
      <c r="AG309" s="427" t="str">
        <f>IF(AND($A309&gt;=SYear_O,$A309&lt;=EYear_O,AG$3&gt;0),IF($A309=SYear_O,AG$168*(1+Data_All!AG148%),AG308*(1+Data_All!AG148%)),"")</f>
        <v/>
      </c>
      <c r="AH309" s="427" t="str">
        <f>IF(AND($A309&gt;=SYear_O,$A309&lt;=EYear_O,AH$3&gt;0),IF($A309=SYear_O,AH$168*(1+Data_All!AH148%),AH308*(1+Data_All!AH148%)),"")</f>
        <v/>
      </c>
      <c r="AI309" s="427" t="str">
        <f>IF(AND($A309&gt;=SYear_O,$A309&lt;=EYear_O,AI$3&gt;0),IF($A309=SYear_O,AI$168*(1+Data_All!AI148%),AI308*(1+Data_All!AI148%)),"")</f>
        <v/>
      </c>
      <c r="AJ309" s="427" t="str">
        <f>IF(AND($A309&gt;=SYear_O,$A309&lt;=EYear_O,AJ$3&gt;0),IF($A309=SYear_O,AJ$168*(1+Data_All!AJ148%),AJ308*(1+Data_All!AJ148%)),"")</f>
        <v/>
      </c>
      <c r="AK309" s="427" t="str">
        <f>IF(AND($A309&gt;=SYear_O,$A309&lt;=EYear_O,AK$3&gt;0),IF($A309=SYear_O,AK$168*(1+Data_All!AK148%),AK308*(1+Data_All!AK148%)),"")</f>
        <v/>
      </c>
      <c r="AL309" s="427" t="str">
        <f>IF(AND($A309&gt;=SYear_O,$A309&lt;=EYear_O,AL$3&gt;0),IF($A309=SYear_O,AL$168*(1+Data_All!AL148%),AL308*(1+Data_All!AL148%)),"")</f>
        <v/>
      </c>
      <c r="AM309" s="427" t="str">
        <f>IF(AND($A309&gt;=SYear_O,$A309&lt;=EYear_O,AM$3&gt;0),IF($A309=SYear_O,AM$168*(1+Data_All!AM148%),AM308*(1+Data_All!AM148%)),"")</f>
        <v/>
      </c>
      <c r="AN309" s="427" t="str">
        <f>IF(AND($A309&gt;=SYear_O,$A309&lt;=EYear_O,AN$3&gt;0),IF($A309=SYear_O,AN$168*(1+Data_All!AN148%),AN308*(1+Data_All!AN148%)),"")</f>
        <v/>
      </c>
      <c r="AO309" s="427" t="str">
        <f>IF(AND($A309&gt;=SYear_O,$A309&lt;=EYear_O,AO$3&gt;0),IF($A309=SYear_O,AO$168*(1+Data_All!AO148%),AO308*(1+Data_All!AO148%)),"")</f>
        <v/>
      </c>
      <c r="AP309" s="427" t="str">
        <f>IF(AND($A309&gt;=SYear_O,$A309&lt;=EYear_O,AP$3&gt;0),IF($A309=SYear_O,AP$168*(1+Data_All!AP148%),AP308*(1+Data_All!AP148%)),"")</f>
        <v/>
      </c>
      <c r="AQ309" s="427" t="str">
        <f>IF(AND($A309&gt;=SYear_O,$A309&lt;=EYear_O,AQ$3&gt;0),IF($A309=SYear_O,AQ$168*(1+Data_All!AQ148%),AQ308*(1+Data_All!AQ148%)),"")</f>
        <v/>
      </c>
      <c r="AR309" s="427" t="str">
        <f>IF(AND($A309&gt;=SYear_O,$A309&lt;=EYear_O,AR$3&gt;0),IF($A309=SYear_O,AR$168*(1+Data_All!AR148%),AR308*(1+Data_All!AR148%)),"")</f>
        <v/>
      </c>
      <c r="AS309" s="427" t="str">
        <f>IF(AND($A309&gt;=SYear_O,$A309&lt;=EYear_O,AS$3&gt;0),IF($A309=SYear_O,AS$168*(1+Data_All!AS148%),AS308*(1+Data_All!AS148%)),"")</f>
        <v/>
      </c>
      <c r="AT309" s="427" t="str">
        <f>IF(AND($A309&gt;=SYear_O,$A309&lt;=EYear_O,AT$3&gt;0),IF($A309=SYear_O,AT$168*(1+Data_All!AT148%),AT308*(1+Data_All!AT148%)),"")</f>
        <v/>
      </c>
      <c r="AU309" s="427" t="str">
        <f>IF(AND($A309&gt;=SYear_O,$A309&lt;=EYear_O,AU$3&gt;0),IF($A309=SYear_O,AU$168*(1+Data_All!AU148%),AU308*(1+Data_All!AU148%)),"")</f>
        <v/>
      </c>
      <c r="AV309" s="427" t="str">
        <f>IF(AND($A309&gt;=SYear_O,$A309&lt;=EYear_O,AV$3&gt;0),IF($A309=SYear_O,AV$168*(1+Data_All!AV148%),AV308*(1+Data_All!AV148%)),"")</f>
        <v/>
      </c>
      <c r="AW309" s="427" t="str">
        <f>IF(AND($A309&gt;=SYear_O,$A309&lt;=EYear_O,AW$3&gt;0),IF($A309=SYear_O,AW$168*(1+Data_All!AW148%),AW308*(1+Data_All!AW148%)),"")</f>
        <v/>
      </c>
      <c r="AX309" s="427" t="str">
        <f>IF(AND($A309&gt;=SYear_O,$A309&lt;=EYear_O,AX$3&gt;0),IF($A309=SYear_O,AX$168*(1+Data_All!AX148%),AX308*(1+Data_All!AX148%)),"")</f>
        <v/>
      </c>
      <c r="AY309" s="427" t="str">
        <f>IF(AND($A309&gt;=SYear_O,$A309&lt;=EYear_O,AY$3&gt;0),IF($A309=SYear_O,AY$168*(1+Data_All!AY148%),AY308*(1+Data_All!AY148%)),"")</f>
        <v/>
      </c>
      <c r="AZ309" s="427" t="str">
        <f>IF(AND($A309&gt;=SYear_O,$A309&lt;=EYear_O,AZ$3&gt;0),IF($A309=SYear_O,AZ$168*(1+Data_All!AZ148%),AZ308*(1+Data_All!AZ148%)),"")</f>
        <v/>
      </c>
      <c r="BA309" s="427" t="str">
        <f>IF(AND($A309&gt;=SYear_O,$A309&lt;=EYear_O,BA$3&gt;0),IF($A309=SYear_O,BA$168*(1+Data_All!BA148%),BA308*(1+Data_All!BA148%)),"")</f>
        <v/>
      </c>
      <c r="BB309" s="427" t="str">
        <f>IF(AND($A309&gt;=SYear_O,$A309&lt;=EYear_O,BB$3&gt;0),IF($A309=SYear_O,BB$168*(1+Data_All!BB148%),BB308*(1+Data_All!BB148%)),"")</f>
        <v/>
      </c>
      <c r="BC309" s="427" t="str">
        <f>IF(AND($A309&gt;=SYear_O,$A309&lt;=EYear_O,BC$3&gt;0),IF($A309=SYear_O,BC$168*(1+Data_All!BC148%),BC308*(1+Data_All!BC148%)),"")</f>
        <v/>
      </c>
      <c r="BD309" s="427" t="str">
        <f>IF(AND($A309&gt;=SYear_O,$A309&lt;=EYear_O,BD$3&gt;0),IF($A309=SYear_O,BD$168*(1+Data_All!BD148%),BD308*(1+Data_All!BD148%)),"")</f>
        <v/>
      </c>
      <c r="BE309" s="427" t="str">
        <f>IF(AND($A309&gt;=SYear_O,$A309&lt;=EYear_O,BE$3&gt;0),IF($A309=SYear_O,BE$168*(1+Data_All!BE148%),BE308*(1+Data_All!BE148%)),"")</f>
        <v/>
      </c>
      <c r="BF309" s="427" t="str">
        <f>IF(AND($A309&gt;=SYear_O,$A309&lt;=EYear_O,BF$3&gt;0),IF($A309=SYear_O,BF$168*(1+Data_All!BF148%),BF308*(1+Data_All!BF148%)),"")</f>
        <v/>
      </c>
      <c r="BG309" s="427" t="str">
        <f>IF(AND($A309&gt;=SYear_O,$A309&lt;=EYear_O,BG$3&gt;0),IF($A309=SYear_O,BG$168*(1+Data_All!BG148%),BG308*(1+Data_All!BG148%)),"")</f>
        <v/>
      </c>
      <c r="BH309" s="427" t="str">
        <f>IF(AND($A309&gt;=SYear_O,$A309&lt;=EYear_O,BH$3&gt;0),IF($A309=SYear_O,BH$168*(1+Data_All!BH148%),BH308*(1+Data_All!BH148%)),"")</f>
        <v/>
      </c>
      <c r="BI309" s="427" t="str">
        <f>IF(AND($A309&gt;=SYear_O,$A309&lt;=EYear_O,BI$3&gt;0),IF($A309=SYear_O,BI$168*(1+Data_All!BI148%),BI308*(1+Data_All!BI148%)),"")</f>
        <v/>
      </c>
      <c r="BJ309" s="427" t="str">
        <f>IF(AND($A309&gt;=SYear_O,$A309&lt;=EYear_O,BJ$3&gt;0),IF($A309=SYear_O,BJ$168*(1+Data_All!BJ148%),BJ308*(1+Data_All!BJ148%)),"")</f>
        <v/>
      </c>
      <c r="BK309" s="427" t="str">
        <f>IF(AND($A309&gt;=SYear_O,$A309&lt;=EYear_O,BK$3&gt;0),IF($A309=SYear_O,BK$168*(1+Data_All!BK148%),BK308*(1+Data_All!BK148%)),"")</f>
        <v/>
      </c>
      <c r="BL309" s="427" t="str">
        <f>IF(AND($A309&gt;=SYear_O,$A309&lt;=EYear_O,BL$3&gt;0),IF($A309=SYear_O,BL$168*(1+Data_All!BL148%),BL308*(1+Data_All!BL148%)),"")</f>
        <v/>
      </c>
      <c r="BM309" s="427" t="str">
        <f>IF(AND($A309&gt;=SYear_O,$A309&lt;=EYear_O,BM$3&gt;0),IF($A309=SYear_O,BM$168*(1+Data_All!BM148%),BM308*(1+Data_All!BM148%)),"")</f>
        <v/>
      </c>
      <c r="BN309" s="427" t="str">
        <f>IF(AND($A309&gt;=SYear_O,$A309&lt;=EYear_O,BN$3&gt;0),IF($A309=SYear_O,BN$168*(1+Data_All!BN148%),BN308*(1+Data_All!BN148%)),"")</f>
        <v/>
      </c>
      <c r="BO309" s="427" t="str">
        <f>IF(AND($A309&gt;=SYear_O,$A309&lt;=EYear_O,BO$3&gt;0),IF($A309=SYear_O,BO$168*(1+Data_All!BO148%),BO308*(1+Data_All!BO148%)),"")</f>
        <v/>
      </c>
      <c r="BP309" s="427" t="str">
        <f>IF(AND($A309&gt;=SYear_O,$A309&lt;=EYear_O,BP$3&gt;0),IF($A309=SYear_O,BP$168*(1+Data_All!BP148%),BP308*(1+Data_All!BP148%)),"")</f>
        <v/>
      </c>
      <c r="BQ309" s="427" t="str">
        <f>IF(AND($A309&gt;=SYear_O,$A309&lt;=EYear_O,BQ$3&gt;0),IF($A309=SYear_O,BQ$168*(1+Data_All!BQ148%),BQ308*(1+Data_All!BQ148%)),"")</f>
        <v/>
      </c>
      <c r="BR309" s="427" t="str">
        <f>IF(AND($A309&gt;=SYear_O,$A309&lt;=EYear_O,BR$3&gt;0),IF($A309=SYear_O,BR$168*(1+Data_All!BR148%),BR308*(1+Data_All!BR148%)),"")</f>
        <v/>
      </c>
      <c r="BS309" s="427" t="str">
        <f>IF(AND($A309&gt;=SYear_O,$A309&lt;=EYear_O,BS$3&gt;0),IF($A309=SYear_O,BS$168*(1+Data_All!BS148%),BS308*(1+Data_All!BS148%)),"")</f>
        <v/>
      </c>
      <c r="BT309" s="427" t="str">
        <f>IF(AND($A309&gt;=SYear_O,$A309&lt;=EYear_O,BT$3&gt;0),IF($A309=SYear_O,BT$168*(1+Data_All!BT148%),BT308*(1+Data_All!BT148%)),"")</f>
        <v/>
      </c>
      <c r="BU309" s="427" t="str">
        <f>IF(AND($A309&gt;=SYear_O,$A309&lt;=EYear_O,BU$3&gt;0),IF($A309=SYear_O,BU$168*(1+Data_All!BU148%),BU308*(1+Data_All!BU148%)),"")</f>
        <v/>
      </c>
      <c r="BV309" s="427" t="str">
        <f>IF(AND($A309&gt;=SYear_O,$A309&lt;=EYear_O,BV$3&gt;0),IF($A309=SYear_O,BV$168*(1+Data_All!BV148%),BV308*(1+Data_All!BV148%)),"")</f>
        <v/>
      </c>
      <c r="BW309" s="427" t="str">
        <f>IF(AND($A309&gt;=SYear_O,$A309&lt;=EYear_O,BW$3&gt;0),IF($A309=SYear_O,BW$168*(1+Data_All!BW148%),BW308*(1+Data_All!BW148%)),"")</f>
        <v/>
      </c>
      <c r="BX309" s="427">
        <f>IF(AND($A309&gt;=SYear_O,$A309&lt;=EYear_O,BX$3&gt;0),IF($A309=SYear_O,BX$168*(1+Data_All!BX148%),BX308*(1+Data_All!BX148%)),"")</f>
        <v>760145753.63543403</v>
      </c>
      <c r="BY309" s="427">
        <f>IF(AND($A309&gt;=SYear_O,$A309&lt;=EYear_O,BY$3&gt;0),IF($A309=SYear_O,BY$168*(1+Data_All!BY148%),BY308*(1+Data_All!BY148%)),"")</f>
        <v>2906684.804895604</v>
      </c>
      <c r="BZ309" s="427" t="str">
        <f>IF(AND($A309&gt;=SYear_O,$A309&lt;=EYear_O,BZ$3&gt;0),IF($A309=SYear_O,BZ$168*(1+Data_All!BZ148%),BZ308*(1+Data_All!BZ148%)),"")</f>
        <v/>
      </c>
      <c r="CA309" s="565">
        <f t="shared" ref="CA309:CA314" si="160">IF(AND($A309&gt;=SYear_O,$A309&lt;=EYear_O),IF($A309=SYear_O,100*(CB309-$CB$168)/$CB$168,100*(CB309-CB308)/CB308),"")</f>
        <v>3.4825790447828369</v>
      </c>
      <c r="CB309" s="427">
        <f t="shared" ref="CB309:CB314" si="161">IF(AND($A309&gt;=SYear_O,$A309&lt;=EYear_O),SUM(B309:BZ309),"")</f>
        <v>763052438.44032967</v>
      </c>
      <c r="CC309" s="565">
        <f>IF(AND($A309&gt;=SYear_O,$A309&lt;=EYear_O),(CA309-Data_All!CA148)/(1+Data_All!CA148%),"")</f>
        <v>0.50519423081488002</v>
      </c>
      <c r="CD309" s="436">
        <f t="shared" ref="CD309:CD314" si="162">IF(AND($A309&gt;=SYear_O,$A309&lt;=EYear_O),IF($A309=SYear_O,$CD$4*(1+CC309%),$CD308*(1+CC309%)),"")</f>
        <v>42144050.386928901</v>
      </c>
      <c r="CE309" s="438">
        <f t="shared" ref="CE309:CE314" si="163">IF(AND($A309&gt;=SYear_O,$A309&lt;=EYear_O),IF($A309=SYear_O,$CE$166,$CE308*(1+CA309%)),"")</f>
        <v>69208.275305590912</v>
      </c>
      <c r="CF309" s="438">
        <f>IF(AND($A309&gt;=SYear_O,$A309&lt;=EYear_O),MAX($CE$169:CE309),"")</f>
        <v>69208.275305590912</v>
      </c>
      <c r="CG309" s="209">
        <f t="shared" ref="CG309:CG314" si="164">IF(AND($A309&gt;=SYear_O,$A309&lt;=EYear_O),1-(CE309/CF309),"")</f>
        <v>0</v>
      </c>
      <c r="CN309" s="61">
        <f t="shared" si="154"/>
        <v>3.4825790447828409E-2</v>
      </c>
      <c r="CO309" s="61">
        <f t="shared" si="144"/>
        <v>0.14655322123021564</v>
      </c>
      <c r="CP309" s="61">
        <f t="shared" si="145"/>
        <v>0.10590717595281984</v>
      </c>
      <c r="CQ309" s="61"/>
      <c r="CR309" s="61"/>
      <c r="CU309" s="61">
        <f t="shared" si="148"/>
        <v>5.0519423081487602E-3</v>
      </c>
      <c r="CV309" s="61">
        <f t="shared" si="149"/>
        <v>0.12334058901877998</v>
      </c>
      <c r="CW309" s="61">
        <f t="shared" si="150"/>
        <v>8.9188517110136312E-2</v>
      </c>
      <c r="CX309" s="61"/>
      <c r="CY309" s="61"/>
    </row>
    <row r="310" spans="1:103">
      <c r="A310" s="204">
        <f t="shared" si="153"/>
        <v>2012</v>
      </c>
      <c r="B310" s="427" t="str">
        <f>IF(AND($A310&gt;=SYear_O,$A310&lt;=EYear_O,B$3&gt;0),IF($A310=SYear_O,B$168*(1+Data_All!B149%),B309*(1+Data_All!B149%)),"")</f>
        <v/>
      </c>
      <c r="C310" s="427" t="str">
        <f>IF(AND($A310&gt;=SYear_O,$A310&lt;=EYear_O,C$3&gt;0),IF($A310=SYear_O,C$168*(1+Data_All!C149%),C309*(1+Data_All!C149%)),"")</f>
        <v/>
      </c>
      <c r="D310" s="427" t="str">
        <f>IF(AND($A310&gt;=SYear_O,$A310&lt;=EYear_O,D$3&gt;0),IF($A310=SYear_O,D$168*(1+Data_All!D149%),D309*(1+Data_All!D149%)),"")</f>
        <v/>
      </c>
      <c r="E310" s="427" t="str">
        <f>IF(AND($A310&gt;=SYear_O,$A310&lt;=EYear_O,E$3&gt;0),IF($A310=SYear_O,E$168*(1+Data_All!E149%),E309*(1+Data_All!E149%)),"")</f>
        <v/>
      </c>
      <c r="F310" s="427" t="str">
        <f>IF(AND($A310&gt;=SYear_O,$A310&lt;=EYear_O,F$3&gt;0),IF($A310=SYear_O,F$168*(1+Data_All!F149%),F309*(1+Data_All!F149%)),"")</f>
        <v/>
      </c>
      <c r="G310" s="427" t="str">
        <f>IF(AND($A310&gt;=SYear_O,$A310&lt;=EYear_O,G$3&gt;0),IF($A310=SYear_O,G$168*(1+Data_All!G149%),G309*(1+Data_All!G149%)),"")</f>
        <v/>
      </c>
      <c r="H310" s="427" t="str">
        <f>IF(AND($A310&gt;=SYear_O,$A310&lt;=EYear_O,H$3&gt;0),IF($A310=SYear_O,H$168*(1+Data_All!H149%),H309*(1+Data_All!H149%)),"")</f>
        <v/>
      </c>
      <c r="I310" s="427" t="str">
        <f>IF(AND($A310&gt;=SYear_O,$A310&lt;=EYear_O,I$3&gt;0),IF($A310=SYear_O,I$168*(1+Data_All!I149%),I309*(1+Data_All!I149%)),"")</f>
        <v/>
      </c>
      <c r="J310" s="427" t="str">
        <f>IF(AND($A310&gt;=SYear_O,$A310&lt;=EYear_O,J$3&gt;0),IF($A310=SYear_O,J$168*(1+Data_All!J149%),J309*(1+Data_All!J149%)),"")</f>
        <v/>
      </c>
      <c r="K310" s="427" t="str">
        <f>IF(AND($A310&gt;=SYear_O,$A310&lt;=EYear_O,K$3&gt;0),IF($A310=SYear_O,K$168*(1+Data_All!K149%),K309*(1+Data_All!K149%)),"")</f>
        <v/>
      </c>
      <c r="L310" s="427" t="str">
        <f>IF(AND($A310&gt;=SYear_O,$A310&lt;=EYear_O,L$3&gt;0),IF($A310=SYear_O,L$168*(1+Data_All!L149%),L309*(1+Data_All!L149%)),"")</f>
        <v/>
      </c>
      <c r="M310" s="427" t="str">
        <f>IF(AND($A310&gt;=SYear_O,$A310&lt;=EYear_O,M$3&gt;0),IF($A310=SYear_O,M$168*(1+Data_All!M149%),M309*(1+Data_All!M149%)),"")</f>
        <v/>
      </c>
      <c r="N310" s="427" t="str">
        <f>IF(AND($A310&gt;=SYear_O,$A310&lt;=EYear_O,N$3&gt;0),IF($A310=SYear_O,N$168*(1+Data_All!N149%),N309*(1+Data_All!N149%)),"")</f>
        <v/>
      </c>
      <c r="O310" s="427" t="str">
        <f>IF(AND($A310&gt;=SYear_O,$A310&lt;=EYear_O,O$3&gt;0),IF($A310=SYear_O,O$168*(1+Data_All!O149%),O309*(1+Data_All!O149%)),"")</f>
        <v/>
      </c>
      <c r="P310" s="427" t="str">
        <f>IF(AND($A310&gt;=SYear_O,$A310&lt;=EYear_O,P$3&gt;0),IF($A310=SYear_O,P$168*(1+Data_All!P149%),P309*(1+Data_All!P149%)),"")</f>
        <v/>
      </c>
      <c r="Q310" s="427" t="str">
        <f>IF(AND($A310&gt;=SYear_O,$A310&lt;=EYear_O,Q$3&gt;0),IF($A310=SYear_O,Q$168*(1+Data_All!Q149%),Q309*(1+Data_All!Q149%)),"")</f>
        <v/>
      </c>
      <c r="R310" s="427" t="str">
        <f>IF(AND($A310&gt;=SYear_O,$A310&lt;=EYear_O,R$3&gt;0),IF($A310=SYear_O,R$168*(1+Data_All!R149%),R309*(1+Data_All!R149%)),"")</f>
        <v/>
      </c>
      <c r="S310" s="427" t="str">
        <f>IF(AND($A310&gt;=SYear_O,$A310&lt;=EYear_O,S$3&gt;0),IF($A310=SYear_O,S$168*(1+Data_All!S149%),S309*(1+Data_All!S149%)),"")</f>
        <v/>
      </c>
      <c r="T310" s="427" t="str">
        <f>IF(AND($A310&gt;=SYear_O,$A310&lt;=EYear_O,T$3&gt;0),IF($A310=SYear_O,T$168*(1+Data_All!T149%),T309*(1+Data_All!T149%)),"")</f>
        <v/>
      </c>
      <c r="U310" s="427" t="str">
        <f>IF(AND($A310&gt;=SYear_O,$A310&lt;=EYear_O,U$3&gt;0),IF($A310=SYear_O,U$168*(1+Data_All!U149%),U309*(1+Data_All!U149%)),"")</f>
        <v/>
      </c>
      <c r="V310" s="427" t="str">
        <f>IF(AND($A310&gt;=SYear_O,$A310&lt;=EYear_O,V$3&gt;0),IF($A310=SYear_O,V$168*(1+Data_All!V149%),V309*(1+Data_All!V149%)),"")</f>
        <v/>
      </c>
      <c r="W310" s="427" t="str">
        <f>IF(AND($A310&gt;=SYear_O,$A310&lt;=EYear_O,W$3&gt;0),IF($A310=SYear_O,W$168*(1+Data_All!W149%),W309*(1+Data_All!W149%)),"")</f>
        <v/>
      </c>
      <c r="X310" s="427" t="str">
        <f>IF(AND($A310&gt;=SYear_O,$A310&lt;=EYear_O,X$3&gt;0),IF($A310=SYear_O,X$168*(1+Data_All!X149%),X309*(1+Data_All!X149%)),"")</f>
        <v/>
      </c>
      <c r="Y310" s="427" t="str">
        <f>IF(AND($A310&gt;=SYear_O,$A310&lt;=EYear_O,Y$3&gt;0),IF($A310=SYear_O,Y$168*(1+Data_All!Y149%),Y309*(1+Data_All!Y149%)),"")</f>
        <v/>
      </c>
      <c r="Z310" s="427" t="str">
        <f>IF(AND($A310&gt;=SYear_O,$A310&lt;=EYear_O,Z$3&gt;0),IF($A310=SYear_O,Z$168*(1+Data_All!Z149%),Z309*(1+Data_All!Z149%)),"")</f>
        <v/>
      </c>
      <c r="AA310" s="427" t="str">
        <f>IF(AND($A310&gt;=SYear_O,$A310&lt;=EYear_O,AA$3&gt;0),IF($A310=SYear_O,AA$168*(1+Data_All!AA149%),AA309*(1+Data_All!AA149%)),"")</f>
        <v/>
      </c>
      <c r="AB310" s="427" t="str">
        <f>IF(AND($A310&gt;=SYear_O,$A310&lt;=EYear_O,AB$3&gt;0),IF($A310=SYear_O,AB$168*(1+Data_All!AB149%),AB309*(1+Data_All!AB149%)),"")</f>
        <v/>
      </c>
      <c r="AC310" s="427" t="str">
        <f>IF(AND($A310&gt;=SYear_O,$A310&lt;=EYear_O,AC$3&gt;0),IF($A310=SYear_O,AC$168*(1+Data_All!AC149%),AC309*(1+Data_All!AC149%)),"")</f>
        <v/>
      </c>
      <c r="AD310" s="427" t="str">
        <f>IF(AND($A310&gt;=SYear_O,$A310&lt;=EYear_O,AD$3&gt;0),IF($A310=SYear_O,AD$168*(1+Data_All!AD149%),AD309*(1+Data_All!AD149%)),"")</f>
        <v/>
      </c>
      <c r="AE310" s="427" t="str">
        <f>IF(AND($A310&gt;=SYear_O,$A310&lt;=EYear_O,AE$3&gt;0),IF($A310=SYear_O,AE$168*(1+Data_All!AE149%),AE309*(1+Data_All!AE149%)),"")</f>
        <v/>
      </c>
      <c r="AF310" s="427" t="str">
        <f>IF(AND($A310&gt;=SYear_O,$A310&lt;=EYear_O,AF$3&gt;0),IF($A310=SYear_O,AF$168*(1+Data_All!AF149%),AF309*(1+Data_All!AF149%)),"")</f>
        <v/>
      </c>
      <c r="AG310" s="427" t="str">
        <f>IF(AND($A310&gt;=SYear_O,$A310&lt;=EYear_O,AG$3&gt;0),IF($A310=SYear_O,AG$168*(1+Data_All!AG149%),AG309*(1+Data_All!AG149%)),"")</f>
        <v/>
      </c>
      <c r="AH310" s="427" t="str">
        <f>IF(AND($A310&gt;=SYear_O,$A310&lt;=EYear_O,AH$3&gt;0),IF($A310=SYear_O,AH$168*(1+Data_All!AH149%),AH309*(1+Data_All!AH149%)),"")</f>
        <v/>
      </c>
      <c r="AI310" s="427" t="str">
        <f>IF(AND($A310&gt;=SYear_O,$A310&lt;=EYear_O,AI$3&gt;0),IF($A310=SYear_O,AI$168*(1+Data_All!AI149%),AI309*(1+Data_All!AI149%)),"")</f>
        <v/>
      </c>
      <c r="AJ310" s="427" t="str">
        <f>IF(AND($A310&gt;=SYear_O,$A310&lt;=EYear_O,AJ$3&gt;0),IF($A310=SYear_O,AJ$168*(1+Data_All!AJ149%),AJ309*(1+Data_All!AJ149%)),"")</f>
        <v/>
      </c>
      <c r="AK310" s="427" t="str">
        <f>IF(AND($A310&gt;=SYear_O,$A310&lt;=EYear_O,AK$3&gt;0),IF($A310=SYear_O,AK$168*(1+Data_All!AK149%),AK309*(1+Data_All!AK149%)),"")</f>
        <v/>
      </c>
      <c r="AL310" s="427" t="str">
        <f>IF(AND($A310&gt;=SYear_O,$A310&lt;=EYear_O,AL$3&gt;0),IF($A310=SYear_O,AL$168*(1+Data_All!AL149%),AL309*(1+Data_All!AL149%)),"")</f>
        <v/>
      </c>
      <c r="AM310" s="427" t="str">
        <f>IF(AND($A310&gt;=SYear_O,$A310&lt;=EYear_O,AM$3&gt;0),IF($A310=SYear_O,AM$168*(1+Data_All!AM149%),AM309*(1+Data_All!AM149%)),"")</f>
        <v/>
      </c>
      <c r="AN310" s="427" t="str">
        <f>IF(AND($A310&gt;=SYear_O,$A310&lt;=EYear_O,AN$3&gt;0),IF($A310=SYear_O,AN$168*(1+Data_All!AN149%),AN309*(1+Data_All!AN149%)),"")</f>
        <v/>
      </c>
      <c r="AO310" s="427" t="str">
        <f>IF(AND($A310&gt;=SYear_O,$A310&lt;=EYear_O,AO$3&gt;0),IF($A310=SYear_O,AO$168*(1+Data_All!AO149%),AO309*(1+Data_All!AO149%)),"")</f>
        <v/>
      </c>
      <c r="AP310" s="427" t="str">
        <f>IF(AND($A310&gt;=SYear_O,$A310&lt;=EYear_O,AP$3&gt;0),IF($A310=SYear_O,AP$168*(1+Data_All!AP149%),AP309*(1+Data_All!AP149%)),"")</f>
        <v/>
      </c>
      <c r="AQ310" s="427" t="str">
        <f>IF(AND($A310&gt;=SYear_O,$A310&lt;=EYear_O,AQ$3&gt;0),IF($A310=SYear_O,AQ$168*(1+Data_All!AQ149%),AQ309*(1+Data_All!AQ149%)),"")</f>
        <v/>
      </c>
      <c r="AR310" s="427" t="str">
        <f>IF(AND($A310&gt;=SYear_O,$A310&lt;=EYear_O,AR$3&gt;0),IF($A310=SYear_O,AR$168*(1+Data_All!AR149%),AR309*(1+Data_All!AR149%)),"")</f>
        <v/>
      </c>
      <c r="AS310" s="427" t="str">
        <f>IF(AND($A310&gt;=SYear_O,$A310&lt;=EYear_O,AS$3&gt;0),IF($A310=SYear_O,AS$168*(1+Data_All!AS149%),AS309*(1+Data_All!AS149%)),"")</f>
        <v/>
      </c>
      <c r="AT310" s="427" t="str">
        <f>IF(AND($A310&gt;=SYear_O,$A310&lt;=EYear_O,AT$3&gt;0),IF($A310=SYear_O,AT$168*(1+Data_All!AT149%),AT309*(1+Data_All!AT149%)),"")</f>
        <v/>
      </c>
      <c r="AU310" s="427" t="str">
        <f>IF(AND($A310&gt;=SYear_O,$A310&lt;=EYear_O,AU$3&gt;0),IF($A310=SYear_O,AU$168*(1+Data_All!AU149%),AU309*(1+Data_All!AU149%)),"")</f>
        <v/>
      </c>
      <c r="AV310" s="427" t="str">
        <f>IF(AND($A310&gt;=SYear_O,$A310&lt;=EYear_O,AV$3&gt;0),IF($A310=SYear_O,AV$168*(1+Data_All!AV149%),AV309*(1+Data_All!AV149%)),"")</f>
        <v/>
      </c>
      <c r="AW310" s="427" t="str">
        <f>IF(AND($A310&gt;=SYear_O,$A310&lt;=EYear_O,AW$3&gt;0),IF($A310=SYear_O,AW$168*(1+Data_All!AW149%),AW309*(1+Data_All!AW149%)),"")</f>
        <v/>
      </c>
      <c r="AX310" s="427" t="str">
        <f>IF(AND($A310&gt;=SYear_O,$A310&lt;=EYear_O,AX$3&gt;0),IF($A310=SYear_O,AX$168*(1+Data_All!AX149%),AX309*(1+Data_All!AX149%)),"")</f>
        <v/>
      </c>
      <c r="AY310" s="427" t="str">
        <f>IF(AND($A310&gt;=SYear_O,$A310&lt;=EYear_O,AY$3&gt;0),IF($A310=SYear_O,AY$168*(1+Data_All!AY149%),AY309*(1+Data_All!AY149%)),"")</f>
        <v/>
      </c>
      <c r="AZ310" s="427" t="str">
        <f>IF(AND($A310&gt;=SYear_O,$A310&lt;=EYear_O,AZ$3&gt;0),IF($A310=SYear_O,AZ$168*(1+Data_All!AZ149%),AZ309*(1+Data_All!AZ149%)),"")</f>
        <v/>
      </c>
      <c r="BA310" s="427" t="str">
        <f>IF(AND($A310&gt;=SYear_O,$A310&lt;=EYear_O,BA$3&gt;0),IF($A310=SYear_O,BA$168*(1+Data_All!BA149%),BA309*(1+Data_All!BA149%)),"")</f>
        <v/>
      </c>
      <c r="BB310" s="427" t="str">
        <f>IF(AND($A310&gt;=SYear_O,$A310&lt;=EYear_O,BB$3&gt;0),IF($A310=SYear_O,BB$168*(1+Data_All!BB149%),BB309*(1+Data_All!BB149%)),"")</f>
        <v/>
      </c>
      <c r="BC310" s="427" t="str">
        <f>IF(AND($A310&gt;=SYear_O,$A310&lt;=EYear_O,BC$3&gt;0),IF($A310=SYear_O,BC$168*(1+Data_All!BC149%),BC309*(1+Data_All!BC149%)),"")</f>
        <v/>
      </c>
      <c r="BD310" s="427" t="str">
        <f>IF(AND($A310&gt;=SYear_O,$A310&lt;=EYear_O,BD$3&gt;0),IF($A310=SYear_O,BD$168*(1+Data_All!BD149%),BD309*(1+Data_All!BD149%)),"")</f>
        <v/>
      </c>
      <c r="BE310" s="427" t="str">
        <f>IF(AND($A310&gt;=SYear_O,$A310&lt;=EYear_O,BE$3&gt;0),IF($A310=SYear_O,BE$168*(1+Data_All!BE149%),BE309*(1+Data_All!BE149%)),"")</f>
        <v/>
      </c>
      <c r="BF310" s="427" t="str">
        <f>IF(AND($A310&gt;=SYear_O,$A310&lt;=EYear_O,BF$3&gt;0),IF($A310=SYear_O,BF$168*(1+Data_All!BF149%),BF309*(1+Data_All!BF149%)),"")</f>
        <v/>
      </c>
      <c r="BG310" s="427" t="str">
        <f>IF(AND($A310&gt;=SYear_O,$A310&lt;=EYear_O,BG$3&gt;0),IF($A310=SYear_O,BG$168*(1+Data_All!BG149%),BG309*(1+Data_All!BG149%)),"")</f>
        <v/>
      </c>
      <c r="BH310" s="427" t="str">
        <f>IF(AND($A310&gt;=SYear_O,$A310&lt;=EYear_O,BH$3&gt;0),IF($A310=SYear_O,BH$168*(1+Data_All!BH149%),BH309*(1+Data_All!BH149%)),"")</f>
        <v/>
      </c>
      <c r="BI310" s="427" t="str">
        <f>IF(AND($A310&gt;=SYear_O,$A310&lt;=EYear_O,BI$3&gt;0),IF($A310=SYear_O,BI$168*(1+Data_All!BI149%),BI309*(1+Data_All!BI149%)),"")</f>
        <v/>
      </c>
      <c r="BJ310" s="427" t="str">
        <f>IF(AND($A310&gt;=SYear_O,$A310&lt;=EYear_O,BJ$3&gt;0),IF($A310=SYear_O,BJ$168*(1+Data_All!BJ149%),BJ309*(1+Data_All!BJ149%)),"")</f>
        <v/>
      </c>
      <c r="BK310" s="427" t="str">
        <f>IF(AND($A310&gt;=SYear_O,$A310&lt;=EYear_O,BK$3&gt;0),IF($A310=SYear_O,BK$168*(1+Data_All!BK149%),BK309*(1+Data_All!BK149%)),"")</f>
        <v/>
      </c>
      <c r="BL310" s="427" t="str">
        <f>IF(AND($A310&gt;=SYear_O,$A310&lt;=EYear_O,BL$3&gt;0),IF($A310=SYear_O,BL$168*(1+Data_All!BL149%),BL309*(1+Data_All!BL149%)),"")</f>
        <v/>
      </c>
      <c r="BM310" s="427" t="str">
        <f>IF(AND($A310&gt;=SYear_O,$A310&lt;=EYear_O,BM$3&gt;0),IF($A310=SYear_O,BM$168*(1+Data_All!BM149%),BM309*(1+Data_All!BM149%)),"")</f>
        <v/>
      </c>
      <c r="BN310" s="427" t="str">
        <f>IF(AND($A310&gt;=SYear_O,$A310&lt;=EYear_O,BN$3&gt;0),IF($A310=SYear_O,BN$168*(1+Data_All!BN149%),BN309*(1+Data_All!BN149%)),"")</f>
        <v/>
      </c>
      <c r="BO310" s="427" t="str">
        <f>IF(AND($A310&gt;=SYear_O,$A310&lt;=EYear_O,BO$3&gt;0),IF($A310=SYear_O,BO$168*(1+Data_All!BO149%),BO309*(1+Data_All!BO149%)),"")</f>
        <v/>
      </c>
      <c r="BP310" s="427" t="str">
        <f>IF(AND($A310&gt;=SYear_O,$A310&lt;=EYear_O,BP$3&gt;0),IF($A310=SYear_O,BP$168*(1+Data_All!BP149%),BP309*(1+Data_All!BP149%)),"")</f>
        <v/>
      </c>
      <c r="BQ310" s="427" t="str">
        <f>IF(AND($A310&gt;=SYear_O,$A310&lt;=EYear_O,BQ$3&gt;0),IF($A310=SYear_O,BQ$168*(1+Data_All!BQ149%),BQ309*(1+Data_All!BQ149%)),"")</f>
        <v/>
      </c>
      <c r="BR310" s="427" t="str">
        <f>IF(AND($A310&gt;=SYear_O,$A310&lt;=EYear_O,BR$3&gt;0),IF($A310=SYear_O,BR$168*(1+Data_All!BR149%),BR309*(1+Data_All!BR149%)),"")</f>
        <v/>
      </c>
      <c r="BS310" s="427" t="str">
        <f>IF(AND($A310&gt;=SYear_O,$A310&lt;=EYear_O,BS$3&gt;0),IF($A310=SYear_O,BS$168*(1+Data_All!BS149%),BS309*(1+Data_All!BS149%)),"")</f>
        <v/>
      </c>
      <c r="BT310" s="427" t="str">
        <f>IF(AND($A310&gt;=SYear_O,$A310&lt;=EYear_O,BT$3&gt;0),IF($A310=SYear_O,BT$168*(1+Data_All!BT149%),BT309*(1+Data_All!BT149%)),"")</f>
        <v/>
      </c>
      <c r="BU310" s="427" t="str">
        <f>IF(AND($A310&gt;=SYear_O,$A310&lt;=EYear_O,BU$3&gt;0),IF($A310=SYear_O,BU$168*(1+Data_All!BU149%),BU309*(1+Data_All!BU149%)),"")</f>
        <v/>
      </c>
      <c r="BV310" s="427" t="str">
        <f>IF(AND($A310&gt;=SYear_O,$A310&lt;=EYear_O,BV$3&gt;0),IF($A310=SYear_O,BV$168*(1+Data_All!BV149%),BV309*(1+Data_All!BV149%)),"")</f>
        <v/>
      </c>
      <c r="BW310" s="427" t="str">
        <f>IF(AND($A310&gt;=SYear_O,$A310&lt;=EYear_O,BW$3&gt;0),IF($A310=SYear_O,BW$168*(1+Data_All!BW149%),BW309*(1+Data_All!BW149%)),"")</f>
        <v/>
      </c>
      <c r="BX310" s="427">
        <f>IF(AND($A310&gt;=SYear_O,$A310&lt;=EYear_O,BX$3&gt;0),IF($A310=SYear_O,BX$168*(1+Data_All!BX149%),BX309*(1+Data_All!BX149%)),"")</f>
        <v>883509148.59755182</v>
      </c>
      <c r="BY310" s="427">
        <f>IF(AND($A310&gt;=SYear_O,$A310&lt;=EYear_O,BY$3&gt;0),IF($A310=SYear_O,BY$168*(1+Data_All!BY149%),BY309*(1+Data_All!BY149%)),"")</f>
        <v>2976743.566131264</v>
      </c>
      <c r="BZ310" s="427" t="str">
        <f>IF(AND($A310&gt;=SYear_O,$A310&lt;=EYear_O,BZ$3&gt;0),IF($A310=SYear_O,BZ$168*(1+Data_All!BZ149%),BZ309*(1+Data_All!BZ149%)),"")</f>
        <v/>
      </c>
      <c r="CA310" s="565">
        <f t="shared" si="160"/>
        <v>16.176274067828146</v>
      </c>
      <c r="CB310" s="427">
        <f t="shared" si="161"/>
        <v>886485892.16368306</v>
      </c>
      <c r="CC310" s="565">
        <f>IF(AND($A310&gt;=SYear_O,$A310&lt;=EYear_O),(CA310-Data_All!CA149)/(1+Data_All!CA149%),"")</f>
        <v>14.188231416391544</v>
      </c>
      <c r="CD310" s="436">
        <f t="shared" si="162"/>
        <v>48123545.784067027</v>
      </c>
      <c r="CE310" s="438">
        <f t="shared" si="163"/>
        <v>80403.595596640313</v>
      </c>
      <c r="CF310" s="438">
        <f>IF(AND($A310&gt;=SYear_O,$A310&lt;=EYear_O),MAX($CE$169:CE310),"")</f>
        <v>80403.595596640313</v>
      </c>
      <c r="CG310" s="209">
        <f t="shared" si="164"/>
        <v>0</v>
      </c>
      <c r="CN310" s="61">
        <f t="shared" si="154"/>
        <v>0.16176274067828156</v>
      </c>
      <c r="CO310" s="61">
        <f t="shared" si="144"/>
        <v>0.1821991223185766</v>
      </c>
      <c r="CP310" s="61"/>
      <c r="CQ310" s="61"/>
      <c r="CR310" s="61"/>
      <c r="CU310" s="61">
        <f t="shared" si="148"/>
        <v>0.14188231416391539</v>
      </c>
      <c r="CV310" s="61">
        <f t="shared" si="149"/>
        <v>0.16665674427509836</v>
      </c>
      <c r="CW310" s="61"/>
      <c r="CX310" s="61"/>
      <c r="CY310" s="61"/>
    </row>
    <row r="311" spans="1:103">
      <c r="A311" s="204">
        <f t="shared" si="153"/>
        <v>2013</v>
      </c>
      <c r="B311" s="427" t="str">
        <f>IF(AND($A311&gt;=SYear_O,$A311&lt;=EYear_O,B$3&gt;0),IF($A311=SYear_O,B$168*(1+Data_All!B150%),B310*(1+Data_All!B150%)),"")</f>
        <v/>
      </c>
      <c r="C311" s="427" t="str">
        <f>IF(AND($A311&gt;=SYear_O,$A311&lt;=EYear_O,C$3&gt;0),IF($A311=SYear_O,C$168*(1+Data_All!C150%),C310*(1+Data_All!C150%)),"")</f>
        <v/>
      </c>
      <c r="D311" s="427" t="str">
        <f>IF(AND($A311&gt;=SYear_O,$A311&lt;=EYear_O,D$3&gt;0),IF($A311=SYear_O,D$168*(1+Data_All!D150%),D310*(1+Data_All!D150%)),"")</f>
        <v/>
      </c>
      <c r="E311" s="427" t="str">
        <f>IF(AND($A311&gt;=SYear_O,$A311&lt;=EYear_O,E$3&gt;0),IF($A311=SYear_O,E$168*(1+Data_All!E150%),E310*(1+Data_All!E150%)),"")</f>
        <v/>
      </c>
      <c r="F311" s="427" t="str">
        <f>IF(AND($A311&gt;=SYear_O,$A311&lt;=EYear_O,F$3&gt;0),IF($A311=SYear_O,F$168*(1+Data_All!F150%),F310*(1+Data_All!F150%)),"")</f>
        <v/>
      </c>
      <c r="G311" s="427" t="str">
        <f>IF(AND($A311&gt;=SYear_O,$A311&lt;=EYear_O,G$3&gt;0),IF($A311=SYear_O,G$168*(1+Data_All!G150%),G310*(1+Data_All!G150%)),"")</f>
        <v/>
      </c>
      <c r="H311" s="427" t="str">
        <f>IF(AND($A311&gt;=SYear_O,$A311&lt;=EYear_O,H$3&gt;0),IF($A311=SYear_O,H$168*(1+Data_All!H150%),H310*(1+Data_All!H150%)),"")</f>
        <v/>
      </c>
      <c r="I311" s="427" t="str">
        <f>IF(AND($A311&gt;=SYear_O,$A311&lt;=EYear_O,I$3&gt;0),IF($A311=SYear_O,I$168*(1+Data_All!I150%),I310*(1+Data_All!I150%)),"")</f>
        <v/>
      </c>
      <c r="J311" s="427" t="str">
        <f>IF(AND($A311&gt;=SYear_O,$A311&lt;=EYear_O,J$3&gt;0),IF($A311=SYear_O,J$168*(1+Data_All!J150%),J310*(1+Data_All!J150%)),"")</f>
        <v/>
      </c>
      <c r="K311" s="427" t="str">
        <f>IF(AND($A311&gt;=SYear_O,$A311&lt;=EYear_O,K$3&gt;0),IF($A311=SYear_O,K$168*(1+Data_All!K150%),K310*(1+Data_All!K150%)),"")</f>
        <v/>
      </c>
      <c r="L311" s="427" t="str">
        <f>IF(AND($A311&gt;=SYear_O,$A311&lt;=EYear_O,L$3&gt;0),IF($A311=SYear_O,L$168*(1+Data_All!L150%),L310*(1+Data_All!L150%)),"")</f>
        <v/>
      </c>
      <c r="M311" s="427" t="str">
        <f>IF(AND($A311&gt;=SYear_O,$A311&lt;=EYear_O,M$3&gt;0),IF($A311=SYear_O,M$168*(1+Data_All!M150%),M310*(1+Data_All!M150%)),"")</f>
        <v/>
      </c>
      <c r="N311" s="427" t="str">
        <f>IF(AND($A311&gt;=SYear_O,$A311&lt;=EYear_O,N$3&gt;0),IF($A311=SYear_O,N$168*(1+Data_All!N150%),N310*(1+Data_All!N150%)),"")</f>
        <v/>
      </c>
      <c r="O311" s="427" t="str">
        <f>IF(AND($A311&gt;=SYear_O,$A311&lt;=EYear_O,O$3&gt;0),IF($A311=SYear_O,O$168*(1+Data_All!O150%),O310*(1+Data_All!O150%)),"")</f>
        <v/>
      </c>
      <c r="P311" s="427" t="str">
        <f>IF(AND($A311&gt;=SYear_O,$A311&lt;=EYear_O,P$3&gt;0),IF($A311=SYear_O,P$168*(1+Data_All!P150%),P310*(1+Data_All!P150%)),"")</f>
        <v/>
      </c>
      <c r="Q311" s="427" t="str">
        <f>IF(AND($A311&gt;=SYear_O,$A311&lt;=EYear_O,Q$3&gt;0),IF($A311=SYear_O,Q$168*(1+Data_All!Q150%),Q310*(1+Data_All!Q150%)),"")</f>
        <v/>
      </c>
      <c r="R311" s="427" t="str">
        <f>IF(AND($A311&gt;=SYear_O,$A311&lt;=EYear_O,R$3&gt;0),IF($A311=SYear_O,R$168*(1+Data_All!R150%),R310*(1+Data_All!R150%)),"")</f>
        <v/>
      </c>
      <c r="S311" s="427" t="str">
        <f>IF(AND($A311&gt;=SYear_O,$A311&lt;=EYear_O,S$3&gt;0),IF($A311=SYear_O,S$168*(1+Data_All!S150%),S310*(1+Data_All!S150%)),"")</f>
        <v/>
      </c>
      <c r="T311" s="427" t="str">
        <f>IF(AND($A311&gt;=SYear_O,$A311&lt;=EYear_O,T$3&gt;0),IF($A311=SYear_O,T$168*(1+Data_All!T150%),T310*(1+Data_All!T150%)),"")</f>
        <v/>
      </c>
      <c r="U311" s="427" t="str">
        <f>IF(AND($A311&gt;=SYear_O,$A311&lt;=EYear_O,U$3&gt;0),IF($A311=SYear_O,U$168*(1+Data_All!U150%),U310*(1+Data_All!U150%)),"")</f>
        <v/>
      </c>
      <c r="V311" s="427" t="str">
        <f>IF(AND($A311&gt;=SYear_O,$A311&lt;=EYear_O,V$3&gt;0),IF($A311=SYear_O,V$168*(1+Data_All!V150%),V310*(1+Data_All!V150%)),"")</f>
        <v/>
      </c>
      <c r="W311" s="427" t="str">
        <f>IF(AND($A311&gt;=SYear_O,$A311&lt;=EYear_O,W$3&gt;0),IF($A311=SYear_O,W$168*(1+Data_All!W150%),W310*(1+Data_All!W150%)),"")</f>
        <v/>
      </c>
      <c r="X311" s="427" t="str">
        <f>IF(AND($A311&gt;=SYear_O,$A311&lt;=EYear_O,X$3&gt;0),IF($A311=SYear_O,X$168*(1+Data_All!X150%),X310*(1+Data_All!X150%)),"")</f>
        <v/>
      </c>
      <c r="Y311" s="427" t="str">
        <f>IF(AND($A311&gt;=SYear_O,$A311&lt;=EYear_O,Y$3&gt;0),IF($A311=SYear_O,Y$168*(1+Data_All!Y150%),Y310*(1+Data_All!Y150%)),"")</f>
        <v/>
      </c>
      <c r="Z311" s="427" t="str">
        <f>IF(AND($A311&gt;=SYear_O,$A311&lt;=EYear_O,Z$3&gt;0),IF($A311=SYear_O,Z$168*(1+Data_All!Z150%),Z310*(1+Data_All!Z150%)),"")</f>
        <v/>
      </c>
      <c r="AA311" s="427" t="str">
        <f>IF(AND($A311&gt;=SYear_O,$A311&lt;=EYear_O,AA$3&gt;0),IF($A311=SYear_O,AA$168*(1+Data_All!AA150%),AA310*(1+Data_All!AA150%)),"")</f>
        <v/>
      </c>
      <c r="AB311" s="427" t="str">
        <f>IF(AND($A311&gt;=SYear_O,$A311&lt;=EYear_O,AB$3&gt;0),IF($A311=SYear_O,AB$168*(1+Data_All!AB150%),AB310*(1+Data_All!AB150%)),"")</f>
        <v/>
      </c>
      <c r="AC311" s="427" t="str">
        <f>IF(AND($A311&gt;=SYear_O,$A311&lt;=EYear_O,AC$3&gt;0),IF($A311=SYear_O,AC$168*(1+Data_All!AC150%),AC310*(1+Data_All!AC150%)),"")</f>
        <v/>
      </c>
      <c r="AD311" s="427" t="str">
        <f>IF(AND($A311&gt;=SYear_O,$A311&lt;=EYear_O,AD$3&gt;0),IF($A311=SYear_O,AD$168*(1+Data_All!AD150%),AD310*(1+Data_All!AD150%)),"")</f>
        <v/>
      </c>
      <c r="AE311" s="427" t="str">
        <f>IF(AND($A311&gt;=SYear_O,$A311&lt;=EYear_O,AE$3&gt;0),IF($A311=SYear_O,AE$168*(1+Data_All!AE150%),AE310*(1+Data_All!AE150%)),"")</f>
        <v/>
      </c>
      <c r="AF311" s="427" t="str">
        <f>IF(AND($A311&gt;=SYear_O,$A311&lt;=EYear_O,AF$3&gt;0),IF($A311=SYear_O,AF$168*(1+Data_All!AF150%),AF310*(1+Data_All!AF150%)),"")</f>
        <v/>
      </c>
      <c r="AG311" s="427" t="str">
        <f>IF(AND($A311&gt;=SYear_O,$A311&lt;=EYear_O,AG$3&gt;0),IF($A311=SYear_O,AG$168*(1+Data_All!AG150%),AG310*(1+Data_All!AG150%)),"")</f>
        <v/>
      </c>
      <c r="AH311" s="427" t="str">
        <f>IF(AND($A311&gt;=SYear_O,$A311&lt;=EYear_O,AH$3&gt;0),IF($A311=SYear_O,AH$168*(1+Data_All!AH150%),AH310*(1+Data_All!AH150%)),"")</f>
        <v/>
      </c>
      <c r="AI311" s="427" t="str">
        <f>IF(AND($A311&gt;=SYear_O,$A311&lt;=EYear_O,AI$3&gt;0),IF($A311=SYear_O,AI$168*(1+Data_All!AI150%),AI310*(1+Data_All!AI150%)),"")</f>
        <v/>
      </c>
      <c r="AJ311" s="427" t="str">
        <f>IF(AND($A311&gt;=SYear_O,$A311&lt;=EYear_O,AJ$3&gt;0),IF($A311=SYear_O,AJ$168*(1+Data_All!AJ150%),AJ310*(1+Data_All!AJ150%)),"")</f>
        <v/>
      </c>
      <c r="AK311" s="427" t="str">
        <f>IF(AND($A311&gt;=SYear_O,$A311&lt;=EYear_O,AK$3&gt;0),IF($A311=SYear_O,AK$168*(1+Data_All!AK150%),AK310*(1+Data_All!AK150%)),"")</f>
        <v/>
      </c>
      <c r="AL311" s="427" t="str">
        <f>IF(AND($A311&gt;=SYear_O,$A311&lt;=EYear_O,AL$3&gt;0),IF($A311=SYear_O,AL$168*(1+Data_All!AL150%),AL310*(1+Data_All!AL150%)),"")</f>
        <v/>
      </c>
      <c r="AM311" s="427" t="str">
        <f>IF(AND($A311&gt;=SYear_O,$A311&lt;=EYear_O,AM$3&gt;0),IF($A311=SYear_O,AM$168*(1+Data_All!AM150%),AM310*(1+Data_All!AM150%)),"")</f>
        <v/>
      </c>
      <c r="AN311" s="427" t="str">
        <f>IF(AND($A311&gt;=SYear_O,$A311&lt;=EYear_O,AN$3&gt;0),IF($A311=SYear_O,AN$168*(1+Data_All!AN150%),AN310*(1+Data_All!AN150%)),"")</f>
        <v/>
      </c>
      <c r="AO311" s="427" t="str">
        <f>IF(AND($A311&gt;=SYear_O,$A311&lt;=EYear_O,AO$3&gt;0),IF($A311=SYear_O,AO$168*(1+Data_All!AO150%),AO310*(1+Data_All!AO150%)),"")</f>
        <v/>
      </c>
      <c r="AP311" s="427" t="str">
        <f>IF(AND($A311&gt;=SYear_O,$A311&lt;=EYear_O,AP$3&gt;0),IF($A311=SYear_O,AP$168*(1+Data_All!AP150%),AP310*(1+Data_All!AP150%)),"")</f>
        <v/>
      </c>
      <c r="AQ311" s="427" t="str">
        <f>IF(AND($A311&gt;=SYear_O,$A311&lt;=EYear_O,AQ$3&gt;0),IF($A311=SYear_O,AQ$168*(1+Data_All!AQ150%),AQ310*(1+Data_All!AQ150%)),"")</f>
        <v/>
      </c>
      <c r="AR311" s="427" t="str">
        <f>IF(AND($A311&gt;=SYear_O,$A311&lt;=EYear_O,AR$3&gt;0),IF($A311=SYear_O,AR$168*(1+Data_All!AR150%),AR310*(1+Data_All!AR150%)),"")</f>
        <v/>
      </c>
      <c r="AS311" s="427" t="str">
        <f>IF(AND($A311&gt;=SYear_O,$A311&lt;=EYear_O,AS$3&gt;0),IF($A311=SYear_O,AS$168*(1+Data_All!AS150%),AS310*(1+Data_All!AS150%)),"")</f>
        <v/>
      </c>
      <c r="AT311" s="427" t="str">
        <f>IF(AND($A311&gt;=SYear_O,$A311&lt;=EYear_O,AT$3&gt;0),IF($A311=SYear_O,AT$168*(1+Data_All!AT150%),AT310*(1+Data_All!AT150%)),"")</f>
        <v/>
      </c>
      <c r="AU311" s="427" t="str">
        <f>IF(AND($A311&gt;=SYear_O,$A311&lt;=EYear_O,AU$3&gt;0),IF($A311=SYear_O,AU$168*(1+Data_All!AU150%),AU310*(1+Data_All!AU150%)),"")</f>
        <v/>
      </c>
      <c r="AV311" s="427" t="str">
        <f>IF(AND($A311&gt;=SYear_O,$A311&lt;=EYear_O,AV$3&gt;0),IF($A311=SYear_O,AV$168*(1+Data_All!AV150%),AV310*(1+Data_All!AV150%)),"")</f>
        <v/>
      </c>
      <c r="AW311" s="427" t="str">
        <f>IF(AND($A311&gt;=SYear_O,$A311&lt;=EYear_O,AW$3&gt;0),IF($A311=SYear_O,AW$168*(1+Data_All!AW150%),AW310*(1+Data_All!AW150%)),"")</f>
        <v/>
      </c>
      <c r="AX311" s="427" t="str">
        <f>IF(AND($A311&gt;=SYear_O,$A311&lt;=EYear_O,AX$3&gt;0),IF($A311=SYear_O,AX$168*(1+Data_All!AX150%),AX310*(1+Data_All!AX150%)),"")</f>
        <v/>
      </c>
      <c r="AY311" s="427" t="str">
        <f>IF(AND($A311&gt;=SYear_O,$A311&lt;=EYear_O,AY$3&gt;0),IF($A311=SYear_O,AY$168*(1+Data_All!AY150%),AY310*(1+Data_All!AY150%)),"")</f>
        <v/>
      </c>
      <c r="AZ311" s="427" t="str">
        <f>IF(AND($A311&gt;=SYear_O,$A311&lt;=EYear_O,AZ$3&gt;0),IF($A311=SYear_O,AZ$168*(1+Data_All!AZ150%),AZ310*(1+Data_All!AZ150%)),"")</f>
        <v/>
      </c>
      <c r="BA311" s="427" t="str">
        <f>IF(AND($A311&gt;=SYear_O,$A311&lt;=EYear_O,BA$3&gt;0),IF($A311=SYear_O,BA$168*(1+Data_All!BA150%),BA310*(1+Data_All!BA150%)),"")</f>
        <v/>
      </c>
      <c r="BB311" s="427" t="str">
        <f>IF(AND($A311&gt;=SYear_O,$A311&lt;=EYear_O,BB$3&gt;0),IF($A311=SYear_O,BB$168*(1+Data_All!BB150%),BB310*(1+Data_All!BB150%)),"")</f>
        <v/>
      </c>
      <c r="BC311" s="427" t="str">
        <f>IF(AND($A311&gt;=SYear_O,$A311&lt;=EYear_O,BC$3&gt;0),IF($A311=SYear_O,BC$168*(1+Data_All!BC150%),BC310*(1+Data_All!BC150%)),"")</f>
        <v/>
      </c>
      <c r="BD311" s="427" t="str">
        <f>IF(AND($A311&gt;=SYear_O,$A311&lt;=EYear_O,BD$3&gt;0),IF($A311=SYear_O,BD$168*(1+Data_All!BD150%),BD310*(1+Data_All!BD150%)),"")</f>
        <v/>
      </c>
      <c r="BE311" s="427" t="str">
        <f>IF(AND($A311&gt;=SYear_O,$A311&lt;=EYear_O,BE$3&gt;0),IF($A311=SYear_O,BE$168*(1+Data_All!BE150%),BE310*(1+Data_All!BE150%)),"")</f>
        <v/>
      </c>
      <c r="BF311" s="427" t="str">
        <f>IF(AND($A311&gt;=SYear_O,$A311&lt;=EYear_O,BF$3&gt;0),IF($A311=SYear_O,BF$168*(1+Data_All!BF150%),BF310*(1+Data_All!BF150%)),"")</f>
        <v/>
      </c>
      <c r="BG311" s="427" t="str">
        <f>IF(AND($A311&gt;=SYear_O,$A311&lt;=EYear_O,BG$3&gt;0),IF($A311=SYear_O,BG$168*(1+Data_All!BG150%),BG310*(1+Data_All!BG150%)),"")</f>
        <v/>
      </c>
      <c r="BH311" s="427" t="str">
        <f>IF(AND($A311&gt;=SYear_O,$A311&lt;=EYear_O,BH$3&gt;0),IF($A311=SYear_O,BH$168*(1+Data_All!BH150%),BH310*(1+Data_All!BH150%)),"")</f>
        <v/>
      </c>
      <c r="BI311" s="427" t="str">
        <f>IF(AND($A311&gt;=SYear_O,$A311&lt;=EYear_O,BI$3&gt;0),IF($A311=SYear_O,BI$168*(1+Data_All!BI150%),BI310*(1+Data_All!BI150%)),"")</f>
        <v/>
      </c>
      <c r="BJ311" s="427" t="str">
        <f>IF(AND($A311&gt;=SYear_O,$A311&lt;=EYear_O,BJ$3&gt;0),IF($A311=SYear_O,BJ$168*(1+Data_All!BJ150%),BJ310*(1+Data_All!BJ150%)),"")</f>
        <v/>
      </c>
      <c r="BK311" s="427" t="str">
        <f>IF(AND($A311&gt;=SYear_O,$A311&lt;=EYear_O,BK$3&gt;0),IF($A311=SYear_O,BK$168*(1+Data_All!BK150%),BK310*(1+Data_All!BK150%)),"")</f>
        <v/>
      </c>
      <c r="BL311" s="427" t="str">
        <f>IF(AND($A311&gt;=SYear_O,$A311&lt;=EYear_O,BL$3&gt;0),IF($A311=SYear_O,BL$168*(1+Data_All!BL150%),BL310*(1+Data_All!BL150%)),"")</f>
        <v/>
      </c>
      <c r="BM311" s="427" t="str">
        <f>IF(AND($A311&gt;=SYear_O,$A311&lt;=EYear_O,BM$3&gt;0),IF($A311=SYear_O,BM$168*(1+Data_All!BM150%),BM310*(1+Data_All!BM150%)),"")</f>
        <v/>
      </c>
      <c r="BN311" s="427" t="str">
        <f>IF(AND($A311&gt;=SYear_O,$A311&lt;=EYear_O,BN$3&gt;0),IF($A311=SYear_O,BN$168*(1+Data_All!BN150%),BN310*(1+Data_All!BN150%)),"")</f>
        <v/>
      </c>
      <c r="BO311" s="427" t="str">
        <f>IF(AND($A311&gt;=SYear_O,$A311&lt;=EYear_O,BO$3&gt;0),IF($A311=SYear_O,BO$168*(1+Data_All!BO150%),BO310*(1+Data_All!BO150%)),"")</f>
        <v/>
      </c>
      <c r="BP311" s="427" t="str">
        <f>IF(AND($A311&gt;=SYear_O,$A311&lt;=EYear_O,BP$3&gt;0),IF($A311=SYear_O,BP$168*(1+Data_All!BP150%),BP310*(1+Data_All!BP150%)),"")</f>
        <v/>
      </c>
      <c r="BQ311" s="427" t="str">
        <f>IF(AND($A311&gt;=SYear_O,$A311&lt;=EYear_O,BQ$3&gt;0),IF($A311=SYear_O,BQ$168*(1+Data_All!BQ150%),BQ310*(1+Data_All!BQ150%)),"")</f>
        <v/>
      </c>
      <c r="BR311" s="427" t="str">
        <f>IF(AND($A311&gt;=SYear_O,$A311&lt;=EYear_O,BR$3&gt;0),IF($A311=SYear_O,BR$168*(1+Data_All!BR150%),BR310*(1+Data_All!BR150%)),"")</f>
        <v/>
      </c>
      <c r="BS311" s="427" t="str">
        <f>IF(AND($A311&gt;=SYear_O,$A311&lt;=EYear_O,BS$3&gt;0),IF($A311=SYear_O,BS$168*(1+Data_All!BS150%),BS310*(1+Data_All!BS150%)),"")</f>
        <v/>
      </c>
      <c r="BT311" s="427" t="str">
        <f>IF(AND($A311&gt;=SYear_O,$A311&lt;=EYear_O,BT$3&gt;0),IF($A311=SYear_O,BT$168*(1+Data_All!BT150%),BT310*(1+Data_All!BT150%)),"")</f>
        <v/>
      </c>
      <c r="BU311" s="427" t="str">
        <f>IF(AND($A311&gt;=SYear_O,$A311&lt;=EYear_O,BU$3&gt;0),IF($A311=SYear_O,BU$168*(1+Data_All!BU150%),BU310*(1+Data_All!BU150%)),"")</f>
        <v/>
      </c>
      <c r="BV311" s="427" t="str">
        <f>IF(AND($A311&gt;=SYear_O,$A311&lt;=EYear_O,BV$3&gt;0),IF($A311=SYear_O,BV$168*(1+Data_All!BV150%),BV310*(1+Data_All!BV150%)),"")</f>
        <v/>
      </c>
      <c r="BW311" s="427" t="str">
        <f>IF(AND($A311&gt;=SYear_O,$A311&lt;=EYear_O,BW$3&gt;0),IF($A311=SYear_O,BW$168*(1+Data_All!BW150%),BW310*(1+Data_All!BW150%)),"")</f>
        <v/>
      </c>
      <c r="BX311" s="427">
        <f>IF(AND($A311&gt;=SYear_O,$A311&lt;=EYear_O,BX$3&gt;0),IF($A311=SYear_O,BX$168*(1+Data_All!BX150%),BX310*(1+Data_All!BX150%)),"")</f>
        <v>1108474545.4928823</v>
      </c>
      <c r="BY311" s="427">
        <f>IF(AND($A311&gt;=SYear_O,$A311&lt;=EYear_O,BY$3&gt;0),IF($A311=SYear_O,BY$168*(1+Data_All!BY150%),BY310*(1+Data_All!BY150%)),"")</f>
        <v>2923930.9350330085</v>
      </c>
      <c r="BZ311" s="427" t="str">
        <f>IF(AND($A311&gt;=SYear_O,$A311&lt;=EYear_O,BZ$3&gt;0),IF($A311=SYear_O,BZ$168*(1+Data_All!BZ150%),BZ310*(1+Data_All!BZ150%)),"")</f>
        <v/>
      </c>
      <c r="CA311" s="565">
        <f t="shared" si="160"/>
        <v>25.371253649088398</v>
      </c>
      <c r="CB311" s="427">
        <f t="shared" si="161"/>
        <v>1111398476.4279153</v>
      </c>
      <c r="CC311" s="565">
        <f>IF(AND($A311&gt;=SYear_O,$A311&lt;=EYear_O),(CA311-Data_All!CA150)/(1+Data_All!CA150%),"")</f>
        <v>23.516364408705215</v>
      </c>
      <c r="CD311" s="436">
        <f t="shared" si="162"/>
        <v>59440454.177038327</v>
      </c>
      <c r="CE311" s="438">
        <f t="shared" si="163"/>
        <v>100802.99577845119</v>
      </c>
      <c r="CF311" s="438">
        <f>IF(AND($A311&gt;=SYear_O,$A311&lt;=EYear_O),MAX($CE$169:CE311),"")</f>
        <v>100802.99577845119</v>
      </c>
      <c r="CG311" s="209">
        <f t="shared" si="164"/>
        <v>0</v>
      </c>
      <c r="CN311" s="61">
        <f t="shared" si="154"/>
        <v>0.25371253649088388</v>
      </c>
      <c r="CO311" s="61">
        <f t="shared" si="144"/>
        <v>0.11225123732863973</v>
      </c>
      <c r="CP311" s="61"/>
      <c r="CQ311" s="61"/>
      <c r="CR311" s="61"/>
      <c r="CU311" s="61">
        <f t="shared" si="148"/>
        <v>0.23516364408705215</v>
      </c>
      <c r="CV311" s="61">
        <f t="shared" si="149"/>
        <v>0.10129027855817441</v>
      </c>
      <c r="CW311" s="61"/>
      <c r="CX311" s="61"/>
      <c r="CY311" s="61"/>
    </row>
    <row r="312" spans="1:103">
      <c r="A312" s="204">
        <f t="shared" si="153"/>
        <v>2014</v>
      </c>
      <c r="B312" s="427" t="str">
        <f>IF(AND($A312&gt;=SYear_O,$A312&lt;=EYear_O,B$3&gt;0),IF($A312=SYear_O,B$168*(1+Data_All!B151%),B311*(1+Data_All!B151%)),"")</f>
        <v/>
      </c>
      <c r="C312" s="427" t="str">
        <f>IF(AND($A312&gt;=SYear_O,$A312&lt;=EYear_O,C$3&gt;0),IF($A312=SYear_O,C$168*(1+Data_All!C151%),C311*(1+Data_All!C151%)),"")</f>
        <v/>
      </c>
      <c r="D312" s="427" t="str">
        <f>IF(AND($A312&gt;=SYear_O,$A312&lt;=EYear_O,D$3&gt;0),IF($A312=SYear_O,D$168*(1+Data_All!D151%),D311*(1+Data_All!D151%)),"")</f>
        <v/>
      </c>
      <c r="E312" s="427" t="str">
        <f>IF(AND($A312&gt;=SYear_O,$A312&lt;=EYear_O,E$3&gt;0),IF($A312=SYear_O,E$168*(1+Data_All!E151%),E311*(1+Data_All!E151%)),"")</f>
        <v/>
      </c>
      <c r="F312" s="427" t="str">
        <f>IF(AND($A312&gt;=SYear_O,$A312&lt;=EYear_O,F$3&gt;0),IF($A312=SYear_O,F$168*(1+Data_All!F151%),F311*(1+Data_All!F151%)),"")</f>
        <v/>
      </c>
      <c r="G312" s="427" t="str">
        <f>IF(AND($A312&gt;=SYear_O,$A312&lt;=EYear_O,G$3&gt;0),IF($A312=SYear_O,G$168*(1+Data_All!G151%),G311*(1+Data_All!G151%)),"")</f>
        <v/>
      </c>
      <c r="H312" s="427" t="str">
        <f>IF(AND($A312&gt;=SYear_O,$A312&lt;=EYear_O,H$3&gt;0),IF($A312=SYear_O,H$168*(1+Data_All!H151%),H311*(1+Data_All!H151%)),"")</f>
        <v/>
      </c>
      <c r="I312" s="427" t="str">
        <f>IF(AND($A312&gt;=SYear_O,$A312&lt;=EYear_O,I$3&gt;0),IF($A312=SYear_O,I$168*(1+Data_All!I151%),I311*(1+Data_All!I151%)),"")</f>
        <v/>
      </c>
      <c r="J312" s="427" t="str">
        <f>IF(AND($A312&gt;=SYear_O,$A312&lt;=EYear_O,J$3&gt;0),IF($A312=SYear_O,J$168*(1+Data_All!J151%),J311*(1+Data_All!J151%)),"")</f>
        <v/>
      </c>
      <c r="K312" s="427" t="str">
        <f>IF(AND($A312&gt;=SYear_O,$A312&lt;=EYear_O,K$3&gt;0),IF($A312=SYear_O,K$168*(1+Data_All!K151%),K311*(1+Data_All!K151%)),"")</f>
        <v/>
      </c>
      <c r="L312" s="427" t="str">
        <f>IF(AND($A312&gt;=SYear_O,$A312&lt;=EYear_O,L$3&gt;0),IF($A312=SYear_O,L$168*(1+Data_All!L151%),L311*(1+Data_All!L151%)),"")</f>
        <v/>
      </c>
      <c r="M312" s="427" t="str">
        <f>IF(AND($A312&gt;=SYear_O,$A312&lt;=EYear_O,M$3&gt;0),IF($A312=SYear_O,M$168*(1+Data_All!M151%),M311*(1+Data_All!M151%)),"")</f>
        <v/>
      </c>
      <c r="N312" s="427" t="str">
        <f>IF(AND($A312&gt;=SYear_O,$A312&lt;=EYear_O,N$3&gt;0),IF($A312=SYear_O,N$168*(1+Data_All!N151%),N311*(1+Data_All!N151%)),"")</f>
        <v/>
      </c>
      <c r="O312" s="427" t="str">
        <f>IF(AND($A312&gt;=SYear_O,$A312&lt;=EYear_O,O$3&gt;0),IF($A312=SYear_O,O$168*(1+Data_All!O151%),O311*(1+Data_All!O151%)),"")</f>
        <v/>
      </c>
      <c r="P312" s="427" t="str">
        <f>IF(AND($A312&gt;=SYear_O,$A312&lt;=EYear_O,P$3&gt;0),IF($A312=SYear_O,P$168*(1+Data_All!P151%),P311*(1+Data_All!P151%)),"")</f>
        <v/>
      </c>
      <c r="Q312" s="427" t="str">
        <f>IF(AND($A312&gt;=SYear_O,$A312&lt;=EYear_O,Q$3&gt;0),IF($A312=SYear_O,Q$168*(1+Data_All!Q151%),Q311*(1+Data_All!Q151%)),"")</f>
        <v/>
      </c>
      <c r="R312" s="427" t="str">
        <f>IF(AND($A312&gt;=SYear_O,$A312&lt;=EYear_O,R$3&gt;0),IF($A312=SYear_O,R$168*(1+Data_All!R151%),R311*(1+Data_All!R151%)),"")</f>
        <v/>
      </c>
      <c r="S312" s="427" t="str">
        <f>IF(AND($A312&gt;=SYear_O,$A312&lt;=EYear_O,S$3&gt;0),IF($A312=SYear_O,S$168*(1+Data_All!S151%),S311*(1+Data_All!S151%)),"")</f>
        <v/>
      </c>
      <c r="T312" s="427" t="str">
        <f>IF(AND($A312&gt;=SYear_O,$A312&lt;=EYear_O,T$3&gt;0),IF($A312=SYear_O,T$168*(1+Data_All!T151%),T311*(1+Data_All!T151%)),"")</f>
        <v/>
      </c>
      <c r="U312" s="427" t="str">
        <f>IF(AND($A312&gt;=SYear_O,$A312&lt;=EYear_O,U$3&gt;0),IF($A312=SYear_O,U$168*(1+Data_All!U151%),U311*(1+Data_All!U151%)),"")</f>
        <v/>
      </c>
      <c r="V312" s="427" t="str">
        <f>IF(AND($A312&gt;=SYear_O,$A312&lt;=EYear_O,V$3&gt;0),IF($A312=SYear_O,V$168*(1+Data_All!V151%),V311*(1+Data_All!V151%)),"")</f>
        <v/>
      </c>
      <c r="W312" s="427" t="str">
        <f>IF(AND($A312&gt;=SYear_O,$A312&lt;=EYear_O,W$3&gt;0),IF($A312=SYear_O,W$168*(1+Data_All!W151%),W311*(1+Data_All!W151%)),"")</f>
        <v/>
      </c>
      <c r="X312" s="427" t="str">
        <f>IF(AND($A312&gt;=SYear_O,$A312&lt;=EYear_O,X$3&gt;0),IF($A312=SYear_O,X$168*(1+Data_All!X151%),X311*(1+Data_All!X151%)),"")</f>
        <v/>
      </c>
      <c r="Y312" s="427" t="str">
        <f>IF(AND($A312&gt;=SYear_O,$A312&lt;=EYear_O,Y$3&gt;0),IF($A312=SYear_O,Y$168*(1+Data_All!Y151%),Y311*(1+Data_All!Y151%)),"")</f>
        <v/>
      </c>
      <c r="Z312" s="427" t="str">
        <f>IF(AND($A312&gt;=SYear_O,$A312&lt;=EYear_O,Z$3&gt;0),IF($A312=SYear_O,Z$168*(1+Data_All!Z151%),Z311*(1+Data_All!Z151%)),"")</f>
        <v/>
      </c>
      <c r="AA312" s="427" t="str">
        <f>IF(AND($A312&gt;=SYear_O,$A312&lt;=EYear_O,AA$3&gt;0),IF($A312=SYear_O,AA$168*(1+Data_All!AA151%),AA311*(1+Data_All!AA151%)),"")</f>
        <v/>
      </c>
      <c r="AB312" s="427" t="str">
        <f>IF(AND($A312&gt;=SYear_O,$A312&lt;=EYear_O,AB$3&gt;0),IF($A312=SYear_O,AB$168*(1+Data_All!AB151%),AB311*(1+Data_All!AB151%)),"")</f>
        <v/>
      </c>
      <c r="AC312" s="427" t="str">
        <f>IF(AND($A312&gt;=SYear_O,$A312&lt;=EYear_O,AC$3&gt;0),IF($A312=SYear_O,AC$168*(1+Data_All!AC151%),AC311*(1+Data_All!AC151%)),"")</f>
        <v/>
      </c>
      <c r="AD312" s="427" t="str">
        <f>IF(AND($A312&gt;=SYear_O,$A312&lt;=EYear_O,AD$3&gt;0),IF($A312=SYear_O,AD$168*(1+Data_All!AD151%),AD311*(1+Data_All!AD151%)),"")</f>
        <v/>
      </c>
      <c r="AE312" s="427" t="str">
        <f>IF(AND($A312&gt;=SYear_O,$A312&lt;=EYear_O,AE$3&gt;0),IF($A312=SYear_O,AE$168*(1+Data_All!AE151%),AE311*(1+Data_All!AE151%)),"")</f>
        <v/>
      </c>
      <c r="AF312" s="427" t="str">
        <f>IF(AND($A312&gt;=SYear_O,$A312&lt;=EYear_O,AF$3&gt;0),IF($A312=SYear_O,AF$168*(1+Data_All!AF151%),AF311*(1+Data_All!AF151%)),"")</f>
        <v/>
      </c>
      <c r="AG312" s="427" t="str">
        <f>IF(AND($A312&gt;=SYear_O,$A312&lt;=EYear_O,AG$3&gt;0),IF($A312=SYear_O,AG$168*(1+Data_All!AG151%),AG311*(1+Data_All!AG151%)),"")</f>
        <v/>
      </c>
      <c r="AH312" s="427" t="str">
        <f>IF(AND($A312&gt;=SYear_O,$A312&lt;=EYear_O,AH$3&gt;0),IF($A312=SYear_O,AH$168*(1+Data_All!AH151%),AH311*(1+Data_All!AH151%)),"")</f>
        <v/>
      </c>
      <c r="AI312" s="427" t="str">
        <f>IF(AND($A312&gt;=SYear_O,$A312&lt;=EYear_O,AI$3&gt;0),IF($A312=SYear_O,AI$168*(1+Data_All!AI151%),AI311*(1+Data_All!AI151%)),"")</f>
        <v/>
      </c>
      <c r="AJ312" s="427" t="str">
        <f>IF(AND($A312&gt;=SYear_O,$A312&lt;=EYear_O,AJ$3&gt;0),IF($A312=SYear_O,AJ$168*(1+Data_All!AJ151%),AJ311*(1+Data_All!AJ151%)),"")</f>
        <v/>
      </c>
      <c r="AK312" s="427" t="str">
        <f>IF(AND($A312&gt;=SYear_O,$A312&lt;=EYear_O,AK$3&gt;0),IF($A312=SYear_O,AK$168*(1+Data_All!AK151%),AK311*(1+Data_All!AK151%)),"")</f>
        <v/>
      </c>
      <c r="AL312" s="427" t="str">
        <f>IF(AND($A312&gt;=SYear_O,$A312&lt;=EYear_O,AL$3&gt;0),IF($A312=SYear_O,AL$168*(1+Data_All!AL151%),AL311*(1+Data_All!AL151%)),"")</f>
        <v/>
      </c>
      <c r="AM312" s="427" t="str">
        <f>IF(AND($A312&gt;=SYear_O,$A312&lt;=EYear_O,AM$3&gt;0),IF($A312=SYear_O,AM$168*(1+Data_All!AM151%),AM311*(1+Data_All!AM151%)),"")</f>
        <v/>
      </c>
      <c r="AN312" s="427" t="str">
        <f>IF(AND($A312&gt;=SYear_O,$A312&lt;=EYear_O,AN$3&gt;0),IF($A312=SYear_O,AN$168*(1+Data_All!AN151%),AN311*(1+Data_All!AN151%)),"")</f>
        <v/>
      </c>
      <c r="AO312" s="427" t="str">
        <f>IF(AND($A312&gt;=SYear_O,$A312&lt;=EYear_O,AO$3&gt;0),IF($A312=SYear_O,AO$168*(1+Data_All!AO151%),AO311*(1+Data_All!AO151%)),"")</f>
        <v/>
      </c>
      <c r="AP312" s="427" t="str">
        <f>IF(AND($A312&gt;=SYear_O,$A312&lt;=EYear_O,AP$3&gt;0),IF($A312=SYear_O,AP$168*(1+Data_All!AP151%),AP311*(1+Data_All!AP151%)),"")</f>
        <v/>
      </c>
      <c r="AQ312" s="427" t="str">
        <f>IF(AND($A312&gt;=SYear_O,$A312&lt;=EYear_O,AQ$3&gt;0),IF($A312=SYear_O,AQ$168*(1+Data_All!AQ151%),AQ311*(1+Data_All!AQ151%)),"")</f>
        <v/>
      </c>
      <c r="AR312" s="427" t="str">
        <f>IF(AND($A312&gt;=SYear_O,$A312&lt;=EYear_O,AR$3&gt;0),IF($A312=SYear_O,AR$168*(1+Data_All!AR151%),AR311*(1+Data_All!AR151%)),"")</f>
        <v/>
      </c>
      <c r="AS312" s="427" t="str">
        <f>IF(AND($A312&gt;=SYear_O,$A312&lt;=EYear_O,AS$3&gt;0),IF($A312=SYear_O,AS$168*(1+Data_All!AS151%),AS311*(1+Data_All!AS151%)),"")</f>
        <v/>
      </c>
      <c r="AT312" s="427" t="str">
        <f>IF(AND($A312&gt;=SYear_O,$A312&lt;=EYear_O,AT$3&gt;0),IF($A312=SYear_O,AT$168*(1+Data_All!AT151%),AT311*(1+Data_All!AT151%)),"")</f>
        <v/>
      </c>
      <c r="AU312" s="427" t="str">
        <f>IF(AND($A312&gt;=SYear_O,$A312&lt;=EYear_O,AU$3&gt;0),IF($A312=SYear_O,AU$168*(1+Data_All!AU151%),AU311*(1+Data_All!AU151%)),"")</f>
        <v/>
      </c>
      <c r="AV312" s="427" t="str">
        <f>IF(AND($A312&gt;=SYear_O,$A312&lt;=EYear_O,AV$3&gt;0),IF($A312=SYear_O,AV$168*(1+Data_All!AV151%),AV311*(1+Data_All!AV151%)),"")</f>
        <v/>
      </c>
      <c r="AW312" s="427" t="str">
        <f>IF(AND($A312&gt;=SYear_O,$A312&lt;=EYear_O,AW$3&gt;0),IF($A312=SYear_O,AW$168*(1+Data_All!AW151%),AW311*(1+Data_All!AW151%)),"")</f>
        <v/>
      </c>
      <c r="AX312" s="427" t="str">
        <f>IF(AND($A312&gt;=SYear_O,$A312&lt;=EYear_O,AX$3&gt;0),IF($A312=SYear_O,AX$168*(1+Data_All!AX151%),AX311*(1+Data_All!AX151%)),"")</f>
        <v/>
      </c>
      <c r="AY312" s="427" t="str">
        <f>IF(AND($A312&gt;=SYear_O,$A312&lt;=EYear_O,AY$3&gt;0),IF($A312=SYear_O,AY$168*(1+Data_All!AY151%),AY311*(1+Data_All!AY151%)),"")</f>
        <v/>
      </c>
      <c r="AZ312" s="427" t="str">
        <f>IF(AND($A312&gt;=SYear_O,$A312&lt;=EYear_O,AZ$3&gt;0),IF($A312=SYear_O,AZ$168*(1+Data_All!AZ151%),AZ311*(1+Data_All!AZ151%)),"")</f>
        <v/>
      </c>
      <c r="BA312" s="427" t="str">
        <f>IF(AND($A312&gt;=SYear_O,$A312&lt;=EYear_O,BA$3&gt;0),IF($A312=SYear_O,BA$168*(1+Data_All!BA151%),BA311*(1+Data_All!BA151%)),"")</f>
        <v/>
      </c>
      <c r="BB312" s="427" t="str">
        <f>IF(AND($A312&gt;=SYear_O,$A312&lt;=EYear_O,BB$3&gt;0),IF($A312=SYear_O,BB$168*(1+Data_All!BB151%),BB311*(1+Data_All!BB151%)),"")</f>
        <v/>
      </c>
      <c r="BC312" s="427" t="str">
        <f>IF(AND($A312&gt;=SYear_O,$A312&lt;=EYear_O,BC$3&gt;0),IF($A312=SYear_O,BC$168*(1+Data_All!BC151%),BC311*(1+Data_All!BC151%)),"")</f>
        <v/>
      </c>
      <c r="BD312" s="427" t="str">
        <f>IF(AND($A312&gt;=SYear_O,$A312&lt;=EYear_O,BD$3&gt;0),IF($A312=SYear_O,BD$168*(1+Data_All!BD151%),BD311*(1+Data_All!BD151%)),"")</f>
        <v/>
      </c>
      <c r="BE312" s="427" t="str">
        <f>IF(AND($A312&gt;=SYear_O,$A312&lt;=EYear_O,BE$3&gt;0),IF($A312=SYear_O,BE$168*(1+Data_All!BE151%),BE311*(1+Data_All!BE151%)),"")</f>
        <v/>
      </c>
      <c r="BF312" s="427" t="str">
        <f>IF(AND($A312&gt;=SYear_O,$A312&lt;=EYear_O,BF$3&gt;0),IF($A312=SYear_O,BF$168*(1+Data_All!BF151%),BF311*(1+Data_All!BF151%)),"")</f>
        <v/>
      </c>
      <c r="BG312" s="427" t="str">
        <f>IF(AND($A312&gt;=SYear_O,$A312&lt;=EYear_O,BG$3&gt;0),IF($A312=SYear_O,BG$168*(1+Data_All!BG151%),BG311*(1+Data_All!BG151%)),"")</f>
        <v/>
      </c>
      <c r="BH312" s="427" t="str">
        <f>IF(AND($A312&gt;=SYear_O,$A312&lt;=EYear_O,BH$3&gt;0),IF($A312=SYear_O,BH$168*(1+Data_All!BH151%),BH311*(1+Data_All!BH151%)),"")</f>
        <v/>
      </c>
      <c r="BI312" s="427" t="str">
        <f>IF(AND($A312&gt;=SYear_O,$A312&lt;=EYear_O,BI$3&gt;0),IF($A312=SYear_O,BI$168*(1+Data_All!BI151%),BI311*(1+Data_All!BI151%)),"")</f>
        <v/>
      </c>
      <c r="BJ312" s="427" t="str">
        <f>IF(AND($A312&gt;=SYear_O,$A312&lt;=EYear_O,BJ$3&gt;0),IF($A312=SYear_O,BJ$168*(1+Data_All!BJ151%),BJ311*(1+Data_All!BJ151%)),"")</f>
        <v/>
      </c>
      <c r="BK312" s="427" t="str">
        <f>IF(AND($A312&gt;=SYear_O,$A312&lt;=EYear_O,BK$3&gt;0),IF($A312=SYear_O,BK$168*(1+Data_All!BK151%),BK311*(1+Data_All!BK151%)),"")</f>
        <v/>
      </c>
      <c r="BL312" s="427" t="str">
        <f>IF(AND($A312&gt;=SYear_O,$A312&lt;=EYear_O,BL$3&gt;0),IF($A312=SYear_O,BL$168*(1+Data_All!BL151%),BL311*(1+Data_All!BL151%)),"")</f>
        <v/>
      </c>
      <c r="BM312" s="427" t="str">
        <f>IF(AND($A312&gt;=SYear_O,$A312&lt;=EYear_O,BM$3&gt;0),IF($A312=SYear_O,BM$168*(1+Data_All!BM151%),BM311*(1+Data_All!BM151%)),"")</f>
        <v/>
      </c>
      <c r="BN312" s="427" t="str">
        <f>IF(AND($A312&gt;=SYear_O,$A312&lt;=EYear_O,BN$3&gt;0),IF($A312=SYear_O,BN$168*(1+Data_All!BN151%),BN311*(1+Data_All!BN151%)),"")</f>
        <v/>
      </c>
      <c r="BO312" s="427" t="str">
        <f>IF(AND($A312&gt;=SYear_O,$A312&lt;=EYear_O,BO$3&gt;0),IF($A312=SYear_O,BO$168*(1+Data_All!BO151%),BO311*(1+Data_All!BO151%)),"")</f>
        <v/>
      </c>
      <c r="BP312" s="427" t="str">
        <f>IF(AND($A312&gt;=SYear_O,$A312&lt;=EYear_O,BP$3&gt;0),IF($A312=SYear_O,BP$168*(1+Data_All!BP151%),BP311*(1+Data_All!BP151%)),"")</f>
        <v/>
      </c>
      <c r="BQ312" s="427" t="str">
        <f>IF(AND($A312&gt;=SYear_O,$A312&lt;=EYear_O,BQ$3&gt;0),IF($A312=SYear_O,BQ$168*(1+Data_All!BQ151%),BQ311*(1+Data_All!BQ151%)),"")</f>
        <v/>
      </c>
      <c r="BR312" s="427" t="str">
        <f>IF(AND($A312&gt;=SYear_O,$A312&lt;=EYear_O,BR$3&gt;0),IF($A312=SYear_O,BR$168*(1+Data_All!BR151%),BR311*(1+Data_All!BR151%)),"")</f>
        <v/>
      </c>
      <c r="BS312" s="427" t="str">
        <f>IF(AND($A312&gt;=SYear_O,$A312&lt;=EYear_O,BS$3&gt;0),IF($A312=SYear_O,BS$168*(1+Data_All!BS151%),BS311*(1+Data_All!BS151%)),"")</f>
        <v/>
      </c>
      <c r="BT312" s="427" t="str">
        <f>IF(AND($A312&gt;=SYear_O,$A312&lt;=EYear_O,BT$3&gt;0),IF($A312=SYear_O,BT$168*(1+Data_All!BT151%),BT311*(1+Data_All!BT151%)),"")</f>
        <v/>
      </c>
      <c r="BU312" s="427" t="str">
        <f>IF(AND($A312&gt;=SYear_O,$A312&lt;=EYear_O,BU$3&gt;0),IF($A312=SYear_O,BU$168*(1+Data_All!BU151%),BU311*(1+Data_All!BU151%)),"")</f>
        <v/>
      </c>
      <c r="BV312" s="427" t="str">
        <f>IF(AND($A312&gt;=SYear_O,$A312&lt;=EYear_O,BV$3&gt;0),IF($A312=SYear_O,BV$168*(1+Data_All!BV151%),BV311*(1+Data_All!BV151%)),"")</f>
        <v/>
      </c>
      <c r="BW312" s="427" t="str">
        <f>IF(AND($A312&gt;=SYear_O,$A312&lt;=EYear_O,BW$3&gt;0),IF($A312=SYear_O,BW$168*(1+Data_All!BW151%),BW311*(1+Data_All!BW151%)),"")</f>
        <v/>
      </c>
      <c r="BX312" s="427">
        <f>IF(AND($A312&gt;=SYear_O,$A312&lt;=EYear_O,BX$3&gt;0),IF($A312=SYear_O,BX$168*(1+Data_All!BX151%),BX311*(1+Data_All!BX151%)),"")</f>
        <v>1257657180.6624339</v>
      </c>
      <c r="BY312" s="427">
        <f>IF(AND($A312&gt;=SYear_O,$A312&lt;=EYear_O,BY$3&gt;0),IF($A312=SYear_O,BY$168*(1+Data_All!BY151%),BY311*(1+Data_All!BY151%)),"")</f>
        <v>3084997.1733804359</v>
      </c>
      <c r="BZ312" s="427" t="str">
        <f>IF(AND($A312&gt;=SYear_O,$A312&lt;=EYear_O,BZ$3&gt;0),IF($A312=SYear_O,BZ$168*(1+Data_All!BZ151%),BZ311*(1+Data_All!BZ151%)),"")</f>
        <v/>
      </c>
      <c r="CA312" s="565">
        <f t="shared" si="160"/>
        <v>13.43745781332149</v>
      </c>
      <c r="CB312" s="427">
        <f t="shared" si="161"/>
        <v>1260742177.8358142</v>
      </c>
      <c r="CC312" s="565">
        <f>IF(AND($A312&gt;=SYear_O,$A312&lt;=EYear_O),(CA312-Data_All!CA151)/(1+Data_All!CA151%),"")</f>
        <v>12.585754160506099</v>
      </c>
      <c r="CD312" s="436">
        <f t="shared" si="162"/>
        <v>66921483.611648642</v>
      </c>
      <c r="CE312" s="438">
        <f t="shared" si="163"/>
        <v>114348.3558107448</v>
      </c>
      <c r="CF312" s="438">
        <f>IF(AND($A312&gt;=SYear_O,$A312&lt;=EYear_O),MAX($CE$169:CE312),"")</f>
        <v>114348.3558107448</v>
      </c>
      <c r="CG312" s="209">
        <f t="shared" si="164"/>
        <v>0</v>
      </c>
      <c r="CN312" s="61">
        <f t="shared" si="154"/>
        <v>0.13437457813321485</v>
      </c>
      <c r="CO312" s="61"/>
      <c r="CP312" s="61"/>
      <c r="CQ312" s="61"/>
      <c r="CR312" s="61"/>
      <c r="CU312" s="61">
        <f t="shared" si="148"/>
        <v>0.12585754160506091</v>
      </c>
      <c r="CV312" s="61"/>
      <c r="CW312" s="61"/>
      <c r="CX312" s="61"/>
      <c r="CY312" s="61"/>
    </row>
    <row r="313" spans="1:103">
      <c r="A313" s="204">
        <f t="shared" si="153"/>
        <v>2015</v>
      </c>
      <c r="B313" s="427" t="str">
        <f>IF(AND($A313&gt;=SYear_O,$A313&lt;=EYear_O,B$3&gt;0),IF($A313=SYear_O,B$168*(1+Data_All!B152%),B312*(1+Data_All!B152%)),"")</f>
        <v/>
      </c>
      <c r="C313" s="427" t="str">
        <f>IF(AND($A313&gt;=SYear_O,$A313&lt;=EYear_O,C$3&gt;0),IF($A313=SYear_O,C$168*(1+Data_All!C152%),C312*(1+Data_All!C152%)),"")</f>
        <v/>
      </c>
      <c r="D313" s="427" t="str">
        <f>IF(AND($A313&gt;=SYear_O,$A313&lt;=EYear_O,D$3&gt;0),IF($A313=SYear_O,D$168*(1+Data_All!D152%),D312*(1+Data_All!D152%)),"")</f>
        <v/>
      </c>
      <c r="E313" s="427" t="str">
        <f>IF(AND($A313&gt;=SYear_O,$A313&lt;=EYear_O,E$3&gt;0),IF($A313=SYear_O,E$168*(1+Data_All!E152%),E312*(1+Data_All!E152%)),"")</f>
        <v/>
      </c>
      <c r="F313" s="427" t="str">
        <f>IF(AND($A313&gt;=SYear_O,$A313&lt;=EYear_O,F$3&gt;0),IF($A313=SYear_O,F$168*(1+Data_All!F152%),F312*(1+Data_All!F152%)),"")</f>
        <v/>
      </c>
      <c r="G313" s="427" t="str">
        <f>IF(AND($A313&gt;=SYear_O,$A313&lt;=EYear_O,G$3&gt;0),IF($A313=SYear_O,G$168*(1+Data_All!G152%),G312*(1+Data_All!G152%)),"")</f>
        <v/>
      </c>
      <c r="H313" s="427" t="str">
        <f>IF(AND($A313&gt;=SYear_O,$A313&lt;=EYear_O,H$3&gt;0),IF($A313=SYear_O,H$168*(1+Data_All!H152%),H312*(1+Data_All!H152%)),"")</f>
        <v/>
      </c>
      <c r="I313" s="427" t="str">
        <f>IF(AND($A313&gt;=SYear_O,$A313&lt;=EYear_O,I$3&gt;0),IF($A313=SYear_O,I$168*(1+Data_All!I152%),I312*(1+Data_All!I152%)),"")</f>
        <v/>
      </c>
      <c r="J313" s="427" t="str">
        <f>IF(AND($A313&gt;=SYear_O,$A313&lt;=EYear_O,J$3&gt;0),IF($A313=SYear_O,J$168*(1+Data_All!J152%),J312*(1+Data_All!J152%)),"")</f>
        <v/>
      </c>
      <c r="K313" s="427" t="str">
        <f>IF(AND($A313&gt;=SYear_O,$A313&lt;=EYear_O,K$3&gt;0),IF($A313=SYear_O,K$168*(1+Data_All!K152%),K312*(1+Data_All!K152%)),"")</f>
        <v/>
      </c>
      <c r="L313" s="427" t="str">
        <f>IF(AND($A313&gt;=SYear_O,$A313&lt;=EYear_O,L$3&gt;0),IF($A313=SYear_O,L$168*(1+Data_All!L152%),L312*(1+Data_All!L152%)),"")</f>
        <v/>
      </c>
      <c r="M313" s="427" t="str">
        <f>IF(AND($A313&gt;=SYear_O,$A313&lt;=EYear_O,M$3&gt;0),IF($A313=SYear_O,M$168*(1+Data_All!M152%),M312*(1+Data_All!M152%)),"")</f>
        <v/>
      </c>
      <c r="N313" s="427" t="str">
        <f>IF(AND($A313&gt;=SYear_O,$A313&lt;=EYear_O,N$3&gt;0),IF($A313=SYear_O,N$168*(1+Data_All!N152%),N312*(1+Data_All!N152%)),"")</f>
        <v/>
      </c>
      <c r="O313" s="427" t="str">
        <f>IF(AND($A313&gt;=SYear_O,$A313&lt;=EYear_O,O$3&gt;0),IF($A313=SYear_O,O$168*(1+Data_All!O152%),O312*(1+Data_All!O152%)),"")</f>
        <v/>
      </c>
      <c r="P313" s="427" t="str">
        <f>IF(AND($A313&gt;=SYear_O,$A313&lt;=EYear_O,P$3&gt;0),IF($A313=SYear_O,P$168*(1+Data_All!P152%),P312*(1+Data_All!P152%)),"")</f>
        <v/>
      </c>
      <c r="Q313" s="427" t="str">
        <f>IF(AND($A313&gt;=SYear_O,$A313&lt;=EYear_O,Q$3&gt;0),IF($A313=SYear_O,Q$168*(1+Data_All!Q152%),Q312*(1+Data_All!Q152%)),"")</f>
        <v/>
      </c>
      <c r="R313" s="427" t="str">
        <f>IF(AND($A313&gt;=SYear_O,$A313&lt;=EYear_O,R$3&gt;0),IF($A313=SYear_O,R$168*(1+Data_All!R152%),R312*(1+Data_All!R152%)),"")</f>
        <v/>
      </c>
      <c r="S313" s="427" t="str">
        <f>IF(AND($A313&gt;=SYear_O,$A313&lt;=EYear_O,S$3&gt;0),IF($A313=SYear_O,S$168*(1+Data_All!S152%),S312*(1+Data_All!S152%)),"")</f>
        <v/>
      </c>
      <c r="T313" s="427" t="str">
        <f>IF(AND($A313&gt;=SYear_O,$A313&lt;=EYear_O,T$3&gt;0),IF($A313=SYear_O,T$168*(1+Data_All!T152%),T312*(1+Data_All!T152%)),"")</f>
        <v/>
      </c>
      <c r="U313" s="427" t="str">
        <f>IF(AND($A313&gt;=SYear_O,$A313&lt;=EYear_O,U$3&gt;0),IF($A313=SYear_O,U$168*(1+Data_All!U152%),U312*(1+Data_All!U152%)),"")</f>
        <v/>
      </c>
      <c r="V313" s="427" t="str">
        <f>IF(AND($A313&gt;=SYear_O,$A313&lt;=EYear_O,V$3&gt;0),IF($A313=SYear_O,V$168*(1+Data_All!V152%),V312*(1+Data_All!V152%)),"")</f>
        <v/>
      </c>
      <c r="W313" s="427" t="str">
        <f>IF(AND($A313&gt;=SYear_O,$A313&lt;=EYear_O,W$3&gt;0),IF($A313=SYear_O,W$168*(1+Data_All!W152%),W312*(1+Data_All!W152%)),"")</f>
        <v/>
      </c>
      <c r="X313" s="427" t="str">
        <f>IF(AND($A313&gt;=SYear_O,$A313&lt;=EYear_O,X$3&gt;0),IF($A313=SYear_O,X$168*(1+Data_All!X152%),X312*(1+Data_All!X152%)),"")</f>
        <v/>
      </c>
      <c r="Y313" s="427" t="str">
        <f>IF(AND($A313&gt;=SYear_O,$A313&lt;=EYear_O,Y$3&gt;0),IF($A313=SYear_O,Y$168*(1+Data_All!Y152%),Y312*(1+Data_All!Y152%)),"")</f>
        <v/>
      </c>
      <c r="Z313" s="427" t="str">
        <f>IF(AND($A313&gt;=SYear_O,$A313&lt;=EYear_O,Z$3&gt;0),IF($A313=SYear_O,Z$168*(1+Data_All!Z152%),Z312*(1+Data_All!Z152%)),"")</f>
        <v/>
      </c>
      <c r="AA313" s="427" t="str">
        <f>IF(AND($A313&gt;=SYear_O,$A313&lt;=EYear_O,AA$3&gt;0),IF($A313=SYear_O,AA$168*(1+Data_All!AA152%),AA312*(1+Data_All!AA152%)),"")</f>
        <v/>
      </c>
      <c r="AB313" s="427" t="str">
        <f>IF(AND($A313&gt;=SYear_O,$A313&lt;=EYear_O,AB$3&gt;0),IF($A313=SYear_O,AB$168*(1+Data_All!AB152%),AB312*(1+Data_All!AB152%)),"")</f>
        <v/>
      </c>
      <c r="AC313" s="427" t="str">
        <f>IF(AND($A313&gt;=SYear_O,$A313&lt;=EYear_O,AC$3&gt;0),IF($A313=SYear_O,AC$168*(1+Data_All!AC152%),AC312*(1+Data_All!AC152%)),"")</f>
        <v/>
      </c>
      <c r="AD313" s="427" t="str">
        <f>IF(AND($A313&gt;=SYear_O,$A313&lt;=EYear_O,AD$3&gt;0),IF($A313=SYear_O,AD$168*(1+Data_All!AD152%),AD312*(1+Data_All!AD152%)),"")</f>
        <v/>
      </c>
      <c r="AE313" s="427" t="str">
        <f>IF(AND($A313&gt;=SYear_O,$A313&lt;=EYear_O,AE$3&gt;0),IF($A313=SYear_O,AE$168*(1+Data_All!AE152%),AE312*(1+Data_All!AE152%)),"")</f>
        <v/>
      </c>
      <c r="AF313" s="427" t="str">
        <f>IF(AND($A313&gt;=SYear_O,$A313&lt;=EYear_O,AF$3&gt;0),IF($A313=SYear_O,AF$168*(1+Data_All!AF152%),AF312*(1+Data_All!AF152%)),"")</f>
        <v/>
      </c>
      <c r="AG313" s="427" t="str">
        <f>IF(AND($A313&gt;=SYear_O,$A313&lt;=EYear_O,AG$3&gt;0),IF($A313=SYear_O,AG$168*(1+Data_All!AG152%),AG312*(1+Data_All!AG152%)),"")</f>
        <v/>
      </c>
      <c r="AH313" s="427" t="str">
        <f>IF(AND($A313&gt;=SYear_O,$A313&lt;=EYear_O,AH$3&gt;0),IF($A313=SYear_O,AH$168*(1+Data_All!AH152%),AH312*(1+Data_All!AH152%)),"")</f>
        <v/>
      </c>
      <c r="AI313" s="427" t="str">
        <f>IF(AND($A313&gt;=SYear_O,$A313&lt;=EYear_O,AI$3&gt;0),IF($A313=SYear_O,AI$168*(1+Data_All!AI152%),AI312*(1+Data_All!AI152%)),"")</f>
        <v/>
      </c>
      <c r="AJ313" s="427" t="str">
        <f>IF(AND($A313&gt;=SYear_O,$A313&lt;=EYear_O,AJ$3&gt;0),IF($A313=SYear_O,AJ$168*(1+Data_All!AJ152%),AJ312*(1+Data_All!AJ152%)),"")</f>
        <v/>
      </c>
      <c r="AK313" s="427" t="str">
        <f>IF(AND($A313&gt;=SYear_O,$A313&lt;=EYear_O,AK$3&gt;0),IF($A313=SYear_O,AK$168*(1+Data_All!AK152%),AK312*(1+Data_All!AK152%)),"")</f>
        <v/>
      </c>
      <c r="AL313" s="427" t="str">
        <f>IF(AND($A313&gt;=SYear_O,$A313&lt;=EYear_O,AL$3&gt;0),IF($A313=SYear_O,AL$168*(1+Data_All!AL152%),AL312*(1+Data_All!AL152%)),"")</f>
        <v/>
      </c>
      <c r="AM313" s="427" t="str">
        <f>IF(AND($A313&gt;=SYear_O,$A313&lt;=EYear_O,AM$3&gt;0),IF($A313=SYear_O,AM$168*(1+Data_All!AM152%),AM312*(1+Data_All!AM152%)),"")</f>
        <v/>
      </c>
      <c r="AN313" s="427" t="str">
        <f>IF(AND($A313&gt;=SYear_O,$A313&lt;=EYear_O,AN$3&gt;0),IF($A313=SYear_O,AN$168*(1+Data_All!AN152%),AN312*(1+Data_All!AN152%)),"")</f>
        <v/>
      </c>
      <c r="AO313" s="427" t="str">
        <f>IF(AND($A313&gt;=SYear_O,$A313&lt;=EYear_O,AO$3&gt;0),IF($A313=SYear_O,AO$168*(1+Data_All!AO152%),AO312*(1+Data_All!AO152%)),"")</f>
        <v/>
      </c>
      <c r="AP313" s="427" t="str">
        <f>IF(AND($A313&gt;=SYear_O,$A313&lt;=EYear_O,AP$3&gt;0),IF($A313=SYear_O,AP$168*(1+Data_All!AP152%),AP312*(1+Data_All!AP152%)),"")</f>
        <v/>
      </c>
      <c r="AQ313" s="427" t="str">
        <f>IF(AND($A313&gt;=SYear_O,$A313&lt;=EYear_O,AQ$3&gt;0),IF($A313=SYear_O,AQ$168*(1+Data_All!AQ152%),AQ312*(1+Data_All!AQ152%)),"")</f>
        <v/>
      </c>
      <c r="AR313" s="427" t="str">
        <f>IF(AND($A313&gt;=SYear_O,$A313&lt;=EYear_O,AR$3&gt;0),IF($A313=SYear_O,AR$168*(1+Data_All!AR152%),AR312*(1+Data_All!AR152%)),"")</f>
        <v/>
      </c>
      <c r="AS313" s="427" t="str">
        <f>IF(AND($A313&gt;=SYear_O,$A313&lt;=EYear_O,AS$3&gt;0),IF($A313=SYear_O,AS$168*(1+Data_All!AS152%),AS312*(1+Data_All!AS152%)),"")</f>
        <v/>
      </c>
      <c r="AT313" s="427" t="str">
        <f>IF(AND($A313&gt;=SYear_O,$A313&lt;=EYear_O,AT$3&gt;0),IF($A313=SYear_O,AT$168*(1+Data_All!AT152%),AT312*(1+Data_All!AT152%)),"")</f>
        <v/>
      </c>
      <c r="AU313" s="427" t="str">
        <f>IF(AND($A313&gt;=SYear_O,$A313&lt;=EYear_O,AU$3&gt;0),IF($A313=SYear_O,AU$168*(1+Data_All!AU152%),AU312*(1+Data_All!AU152%)),"")</f>
        <v/>
      </c>
      <c r="AV313" s="427" t="str">
        <f>IF(AND($A313&gt;=SYear_O,$A313&lt;=EYear_O,AV$3&gt;0),IF($A313=SYear_O,AV$168*(1+Data_All!AV152%),AV312*(1+Data_All!AV152%)),"")</f>
        <v/>
      </c>
      <c r="AW313" s="427" t="str">
        <f>IF(AND($A313&gt;=SYear_O,$A313&lt;=EYear_O,AW$3&gt;0),IF($A313=SYear_O,AW$168*(1+Data_All!AW152%),AW312*(1+Data_All!AW152%)),"")</f>
        <v/>
      </c>
      <c r="AX313" s="427" t="str">
        <f>IF(AND($A313&gt;=SYear_O,$A313&lt;=EYear_O,AX$3&gt;0),IF($A313=SYear_O,AX$168*(1+Data_All!AX152%),AX312*(1+Data_All!AX152%)),"")</f>
        <v/>
      </c>
      <c r="AY313" s="427" t="str">
        <f>IF(AND($A313&gt;=SYear_O,$A313&lt;=EYear_O,AY$3&gt;0),IF($A313=SYear_O,AY$168*(1+Data_All!AY152%),AY312*(1+Data_All!AY152%)),"")</f>
        <v/>
      </c>
      <c r="AZ313" s="427" t="str">
        <f>IF(AND($A313&gt;=SYear_O,$A313&lt;=EYear_O,AZ$3&gt;0),IF($A313=SYear_O,AZ$168*(1+Data_All!AZ152%),AZ312*(1+Data_All!AZ152%)),"")</f>
        <v/>
      </c>
      <c r="BA313" s="427" t="str">
        <f>IF(AND($A313&gt;=SYear_O,$A313&lt;=EYear_O,BA$3&gt;0),IF($A313=SYear_O,BA$168*(1+Data_All!BA152%),BA312*(1+Data_All!BA152%)),"")</f>
        <v/>
      </c>
      <c r="BB313" s="427" t="str">
        <f>IF(AND($A313&gt;=SYear_O,$A313&lt;=EYear_O,BB$3&gt;0),IF($A313=SYear_O,BB$168*(1+Data_All!BB152%),BB312*(1+Data_All!BB152%)),"")</f>
        <v/>
      </c>
      <c r="BC313" s="427" t="str">
        <f>IF(AND($A313&gt;=SYear_O,$A313&lt;=EYear_O,BC$3&gt;0),IF($A313=SYear_O,BC$168*(1+Data_All!BC152%),BC312*(1+Data_All!BC152%)),"")</f>
        <v/>
      </c>
      <c r="BD313" s="427" t="str">
        <f>IF(AND($A313&gt;=SYear_O,$A313&lt;=EYear_O,BD$3&gt;0),IF($A313=SYear_O,BD$168*(1+Data_All!BD152%),BD312*(1+Data_All!BD152%)),"")</f>
        <v/>
      </c>
      <c r="BE313" s="427" t="str">
        <f>IF(AND($A313&gt;=SYear_O,$A313&lt;=EYear_O,BE$3&gt;0),IF($A313=SYear_O,BE$168*(1+Data_All!BE152%),BE312*(1+Data_All!BE152%)),"")</f>
        <v/>
      </c>
      <c r="BF313" s="427" t="str">
        <f>IF(AND($A313&gt;=SYear_O,$A313&lt;=EYear_O,BF$3&gt;0),IF($A313=SYear_O,BF$168*(1+Data_All!BF152%),BF312*(1+Data_All!BF152%)),"")</f>
        <v/>
      </c>
      <c r="BG313" s="427" t="str">
        <f>IF(AND($A313&gt;=SYear_O,$A313&lt;=EYear_O,BG$3&gt;0),IF($A313=SYear_O,BG$168*(1+Data_All!BG152%),BG312*(1+Data_All!BG152%)),"")</f>
        <v/>
      </c>
      <c r="BH313" s="427" t="str">
        <f>IF(AND($A313&gt;=SYear_O,$A313&lt;=EYear_O,BH$3&gt;0),IF($A313=SYear_O,BH$168*(1+Data_All!BH152%),BH312*(1+Data_All!BH152%)),"")</f>
        <v/>
      </c>
      <c r="BI313" s="427" t="str">
        <f>IF(AND($A313&gt;=SYear_O,$A313&lt;=EYear_O,BI$3&gt;0),IF($A313=SYear_O,BI$168*(1+Data_All!BI152%),BI312*(1+Data_All!BI152%)),"")</f>
        <v/>
      </c>
      <c r="BJ313" s="427" t="str">
        <f>IF(AND($A313&gt;=SYear_O,$A313&lt;=EYear_O,BJ$3&gt;0),IF($A313=SYear_O,BJ$168*(1+Data_All!BJ152%),BJ312*(1+Data_All!BJ152%)),"")</f>
        <v/>
      </c>
      <c r="BK313" s="427" t="str">
        <f>IF(AND($A313&gt;=SYear_O,$A313&lt;=EYear_O,BK$3&gt;0),IF($A313=SYear_O,BK$168*(1+Data_All!BK152%),BK312*(1+Data_All!BK152%)),"")</f>
        <v/>
      </c>
      <c r="BL313" s="427" t="str">
        <f>IF(AND($A313&gt;=SYear_O,$A313&lt;=EYear_O,BL$3&gt;0),IF($A313=SYear_O,BL$168*(1+Data_All!BL152%),BL312*(1+Data_All!BL152%)),"")</f>
        <v/>
      </c>
      <c r="BM313" s="427" t="str">
        <f>IF(AND($A313&gt;=SYear_O,$A313&lt;=EYear_O,BM$3&gt;0),IF($A313=SYear_O,BM$168*(1+Data_All!BM152%),BM312*(1+Data_All!BM152%)),"")</f>
        <v/>
      </c>
      <c r="BN313" s="427" t="str">
        <f>IF(AND($A313&gt;=SYear_O,$A313&lt;=EYear_O,BN$3&gt;0),IF($A313=SYear_O,BN$168*(1+Data_All!BN152%),BN312*(1+Data_All!BN152%)),"")</f>
        <v/>
      </c>
      <c r="BO313" s="427" t="str">
        <f>IF(AND($A313&gt;=SYear_O,$A313&lt;=EYear_O,BO$3&gt;0),IF($A313=SYear_O,BO$168*(1+Data_All!BO152%),BO312*(1+Data_All!BO152%)),"")</f>
        <v/>
      </c>
      <c r="BP313" s="427" t="str">
        <f>IF(AND($A313&gt;=SYear_O,$A313&lt;=EYear_O,BP$3&gt;0),IF($A313=SYear_O,BP$168*(1+Data_All!BP152%),BP312*(1+Data_All!BP152%)),"")</f>
        <v/>
      </c>
      <c r="BQ313" s="427" t="str">
        <f>IF(AND($A313&gt;=SYear_O,$A313&lt;=EYear_O,BQ$3&gt;0),IF($A313=SYear_O,BQ$168*(1+Data_All!BQ152%),BQ312*(1+Data_All!BQ152%)),"")</f>
        <v/>
      </c>
      <c r="BR313" s="427" t="str">
        <f>IF(AND($A313&gt;=SYear_O,$A313&lt;=EYear_O,BR$3&gt;0),IF($A313=SYear_O,BR$168*(1+Data_All!BR152%),BR312*(1+Data_All!BR152%)),"")</f>
        <v/>
      </c>
      <c r="BS313" s="427" t="str">
        <f>IF(AND($A313&gt;=SYear_O,$A313&lt;=EYear_O,BS$3&gt;0),IF($A313=SYear_O,BS$168*(1+Data_All!BS152%),BS312*(1+Data_All!BS152%)),"")</f>
        <v/>
      </c>
      <c r="BT313" s="427" t="str">
        <f>IF(AND($A313&gt;=SYear_O,$A313&lt;=EYear_O,BT$3&gt;0),IF($A313=SYear_O,BT$168*(1+Data_All!BT152%),BT312*(1+Data_All!BT152%)),"")</f>
        <v/>
      </c>
      <c r="BU313" s="427" t="str">
        <f>IF(AND($A313&gt;=SYear_O,$A313&lt;=EYear_O,BU$3&gt;0),IF($A313=SYear_O,BU$168*(1+Data_All!BU152%),BU312*(1+Data_All!BU152%)),"")</f>
        <v/>
      </c>
      <c r="BV313" s="427" t="str">
        <f>IF(AND($A313&gt;=SYear_O,$A313&lt;=EYear_O,BV$3&gt;0),IF($A313=SYear_O,BV$168*(1+Data_All!BV152%),BV312*(1+Data_All!BV152%)),"")</f>
        <v/>
      </c>
      <c r="BW313" s="427" t="str">
        <f>IF(AND($A313&gt;=SYear_O,$A313&lt;=EYear_O,BW$3&gt;0),IF($A313=SYear_O,BW$168*(1+Data_All!BW152%),BW312*(1+Data_All!BW152%)),"")</f>
        <v/>
      </c>
      <c r="BX313" s="427">
        <f>IF(AND($A313&gt;=SYear_O,$A313&lt;=EYear_O,BX$3&gt;0),IF($A313=SYear_O,BX$168*(1+Data_All!BX152%),BX312*(1+Data_All!BX152%)),"")</f>
        <v>1216657556.5728385</v>
      </c>
      <c r="BY313" s="427">
        <f>IF(AND($A313&gt;=SYear_O,$A313&lt;=EYear_O,BY$3&gt;0),IF($A313=SYear_O,BY$168*(1+Data_All!BY152%),BY312*(1+Data_All!BY152%)),"")</f>
        <v>3119671.0923236078</v>
      </c>
      <c r="BZ313" s="427" t="str">
        <f>IF(AND($A313&gt;=SYear_O,$A313&lt;=EYear_O,BZ$3&gt;0),IF($A313=SYear_O,BZ$168*(1+Data_All!BZ152%),BZ312*(1+Data_All!BZ152%)),"")</f>
        <v/>
      </c>
      <c r="CA313" s="565">
        <f t="shared" si="160"/>
        <v>-3.2492726023470118</v>
      </c>
      <c r="CB313" s="427">
        <f t="shared" si="161"/>
        <v>1219777227.6651621</v>
      </c>
      <c r="CC313" s="565">
        <f>IF(AND($A313&gt;=SYear_O,$A313&lt;=EYear_O),(CA313-Data_All!CA152)/(1+Data_All!CA152%),"")</f>
        <v>-3.9499765280723138</v>
      </c>
      <c r="CD313" s="436">
        <f t="shared" si="162"/>
        <v>64278100.716750756</v>
      </c>
      <c r="CE313" s="438">
        <f t="shared" si="163"/>
        <v>110632.86601415199</v>
      </c>
      <c r="CF313" s="438">
        <f>IF(AND($A313&gt;=SYear_O,$A313&lt;=EYear_O),MAX($CE$169:CE313),"")</f>
        <v>114348.3558107448</v>
      </c>
      <c r="CG313" s="209">
        <f t="shared" si="164"/>
        <v>3.2492726023470087E-2</v>
      </c>
      <c r="CN313" s="61">
        <f t="shared" si="154"/>
        <v>-3.2492726023470087E-2</v>
      </c>
      <c r="CO313" s="61"/>
      <c r="CP313" s="61"/>
      <c r="CQ313" s="61"/>
      <c r="CR313" s="61"/>
      <c r="CU313" s="61">
        <f t="shared" si="148"/>
        <v>-3.9499765280723187E-2</v>
      </c>
      <c r="CV313" s="61"/>
      <c r="CW313" s="61"/>
      <c r="CX313" s="61"/>
      <c r="CY313" s="61"/>
    </row>
    <row r="314" spans="1:103">
      <c r="A314" s="204">
        <f t="shared" si="153"/>
        <v>2016</v>
      </c>
      <c r="B314" s="427" t="str">
        <f>IF(AND($A314&gt;=SYear_O,$A314&lt;=EYear_O,B$3&gt;0),IF($A314=SYear_O,B$168*(1+Data_All!B153%),B313*(1+Data_All!B153%)),"")</f>
        <v/>
      </c>
      <c r="C314" s="427" t="str">
        <f>IF(AND($A314&gt;=SYear_O,$A314&lt;=EYear_O,C$3&gt;0),IF($A314=SYear_O,C$168*(1+Data_All!C153%),C313*(1+Data_All!C153%)),"")</f>
        <v/>
      </c>
      <c r="D314" s="427" t="str">
        <f>IF(AND($A314&gt;=SYear_O,$A314&lt;=EYear_O,D$3&gt;0),IF($A314=SYear_O,D$168*(1+Data_All!D153%),D313*(1+Data_All!D153%)),"")</f>
        <v/>
      </c>
      <c r="E314" s="427" t="str">
        <f>IF(AND($A314&gt;=SYear_O,$A314&lt;=EYear_O,E$3&gt;0),IF($A314=SYear_O,E$168*(1+Data_All!E153%),E313*(1+Data_All!E153%)),"")</f>
        <v/>
      </c>
      <c r="F314" s="427" t="str">
        <f>IF(AND($A314&gt;=SYear_O,$A314&lt;=EYear_O,F$3&gt;0),IF($A314=SYear_O,F$168*(1+Data_All!F153%),F313*(1+Data_All!F153%)),"")</f>
        <v/>
      </c>
      <c r="G314" s="427" t="str">
        <f>IF(AND($A314&gt;=SYear_O,$A314&lt;=EYear_O,G$3&gt;0),IF($A314=SYear_O,G$168*(1+Data_All!G153%),G313*(1+Data_All!G153%)),"")</f>
        <v/>
      </c>
      <c r="H314" s="427" t="str">
        <f>IF(AND($A314&gt;=SYear_O,$A314&lt;=EYear_O,H$3&gt;0),IF($A314=SYear_O,H$168*(1+Data_All!H153%),H313*(1+Data_All!H153%)),"")</f>
        <v/>
      </c>
      <c r="I314" s="427" t="str">
        <f>IF(AND($A314&gt;=SYear_O,$A314&lt;=EYear_O,I$3&gt;0),IF($A314=SYear_O,I$168*(1+Data_All!I153%),I313*(1+Data_All!I153%)),"")</f>
        <v/>
      </c>
      <c r="J314" s="427" t="str">
        <f>IF(AND($A314&gt;=SYear_O,$A314&lt;=EYear_O,J$3&gt;0),IF($A314=SYear_O,J$168*(1+Data_All!J153%),J313*(1+Data_All!J153%)),"")</f>
        <v/>
      </c>
      <c r="K314" s="427" t="str">
        <f>IF(AND($A314&gt;=SYear_O,$A314&lt;=EYear_O,K$3&gt;0),IF($A314=SYear_O,K$168*(1+Data_All!K153%),K313*(1+Data_All!K153%)),"")</f>
        <v/>
      </c>
      <c r="L314" s="427" t="str">
        <f>IF(AND($A314&gt;=SYear_O,$A314&lt;=EYear_O,L$3&gt;0),IF($A314=SYear_O,L$168*(1+Data_All!L153%),L313*(1+Data_All!L153%)),"")</f>
        <v/>
      </c>
      <c r="M314" s="427" t="str">
        <f>IF(AND($A314&gt;=SYear_O,$A314&lt;=EYear_O,M$3&gt;0),IF($A314=SYear_O,M$168*(1+Data_All!M153%),M313*(1+Data_All!M153%)),"")</f>
        <v/>
      </c>
      <c r="N314" s="427" t="str">
        <f>IF(AND($A314&gt;=SYear_O,$A314&lt;=EYear_O,N$3&gt;0),IF($A314=SYear_O,N$168*(1+Data_All!N153%),N313*(1+Data_All!N153%)),"")</f>
        <v/>
      </c>
      <c r="O314" s="427" t="str">
        <f>IF(AND($A314&gt;=SYear_O,$A314&lt;=EYear_O,O$3&gt;0),IF($A314=SYear_O,O$168*(1+Data_All!O153%),O313*(1+Data_All!O153%)),"")</f>
        <v/>
      </c>
      <c r="P314" s="427" t="str">
        <f>IF(AND($A314&gt;=SYear_O,$A314&lt;=EYear_O,P$3&gt;0),IF($A314=SYear_O,P$168*(1+Data_All!P153%),P313*(1+Data_All!P153%)),"")</f>
        <v/>
      </c>
      <c r="Q314" s="427" t="str">
        <f>IF(AND($A314&gt;=SYear_O,$A314&lt;=EYear_O,Q$3&gt;0),IF($A314=SYear_O,Q$168*(1+Data_All!Q153%),Q313*(1+Data_All!Q153%)),"")</f>
        <v/>
      </c>
      <c r="R314" s="427" t="str">
        <f>IF(AND($A314&gt;=SYear_O,$A314&lt;=EYear_O,R$3&gt;0),IF($A314=SYear_O,R$168*(1+Data_All!R153%),R313*(1+Data_All!R153%)),"")</f>
        <v/>
      </c>
      <c r="S314" s="427" t="str">
        <f>IF(AND($A314&gt;=SYear_O,$A314&lt;=EYear_O,S$3&gt;0),IF($A314=SYear_O,S$168*(1+Data_All!S153%),S313*(1+Data_All!S153%)),"")</f>
        <v/>
      </c>
      <c r="T314" s="427" t="str">
        <f>IF(AND($A314&gt;=SYear_O,$A314&lt;=EYear_O,T$3&gt;0),IF($A314=SYear_O,T$168*(1+Data_All!T153%),T313*(1+Data_All!T153%)),"")</f>
        <v/>
      </c>
      <c r="U314" s="427" t="str">
        <f>IF(AND($A314&gt;=SYear_O,$A314&lt;=EYear_O,U$3&gt;0),IF($A314=SYear_O,U$168*(1+Data_All!U153%),U313*(1+Data_All!U153%)),"")</f>
        <v/>
      </c>
      <c r="V314" s="427" t="str">
        <f>IF(AND($A314&gt;=SYear_O,$A314&lt;=EYear_O,V$3&gt;0),IF($A314=SYear_O,V$168*(1+Data_All!V153%),V313*(1+Data_All!V153%)),"")</f>
        <v/>
      </c>
      <c r="W314" s="427" t="str">
        <f>IF(AND($A314&gt;=SYear_O,$A314&lt;=EYear_O,W$3&gt;0),IF($A314=SYear_O,W$168*(1+Data_All!W153%),W313*(1+Data_All!W153%)),"")</f>
        <v/>
      </c>
      <c r="X314" s="427" t="str">
        <f>IF(AND($A314&gt;=SYear_O,$A314&lt;=EYear_O,X$3&gt;0),IF($A314=SYear_O,X$168*(1+Data_All!X153%),X313*(1+Data_All!X153%)),"")</f>
        <v/>
      </c>
      <c r="Y314" s="427" t="str">
        <f>IF(AND($A314&gt;=SYear_O,$A314&lt;=EYear_O,Y$3&gt;0),IF($A314=SYear_O,Y$168*(1+Data_All!Y153%),Y313*(1+Data_All!Y153%)),"")</f>
        <v/>
      </c>
      <c r="Z314" s="427" t="str">
        <f>IF(AND($A314&gt;=SYear_O,$A314&lt;=EYear_O,Z$3&gt;0),IF($A314=SYear_O,Z$168*(1+Data_All!Z153%),Z313*(1+Data_All!Z153%)),"")</f>
        <v/>
      </c>
      <c r="AA314" s="427" t="str">
        <f>IF(AND($A314&gt;=SYear_O,$A314&lt;=EYear_O,AA$3&gt;0),IF($A314=SYear_O,AA$168*(1+Data_All!AA153%),AA313*(1+Data_All!AA153%)),"")</f>
        <v/>
      </c>
      <c r="AB314" s="427" t="str">
        <f>IF(AND($A314&gt;=SYear_O,$A314&lt;=EYear_O,AB$3&gt;0),IF($A314=SYear_O,AB$168*(1+Data_All!AB153%),AB313*(1+Data_All!AB153%)),"")</f>
        <v/>
      </c>
      <c r="AC314" s="427" t="str">
        <f>IF(AND($A314&gt;=SYear_O,$A314&lt;=EYear_O,AC$3&gt;0),IF($A314=SYear_O,AC$168*(1+Data_All!AC153%),AC313*(1+Data_All!AC153%)),"")</f>
        <v/>
      </c>
      <c r="AD314" s="427" t="str">
        <f>IF(AND($A314&gt;=SYear_O,$A314&lt;=EYear_O,AD$3&gt;0),IF($A314=SYear_O,AD$168*(1+Data_All!AD153%),AD313*(1+Data_All!AD153%)),"")</f>
        <v/>
      </c>
      <c r="AE314" s="427" t="str">
        <f>IF(AND($A314&gt;=SYear_O,$A314&lt;=EYear_O,AE$3&gt;0),IF($A314=SYear_O,AE$168*(1+Data_All!AE153%),AE313*(1+Data_All!AE153%)),"")</f>
        <v/>
      </c>
      <c r="AF314" s="427" t="str">
        <f>IF(AND($A314&gt;=SYear_O,$A314&lt;=EYear_O,AF$3&gt;0),IF($A314=SYear_O,AF$168*(1+Data_All!AF153%),AF313*(1+Data_All!AF153%)),"")</f>
        <v/>
      </c>
      <c r="AG314" s="427" t="str">
        <f>IF(AND($A314&gt;=SYear_O,$A314&lt;=EYear_O,AG$3&gt;0),IF($A314=SYear_O,AG$168*(1+Data_All!AG153%),AG313*(1+Data_All!AG153%)),"")</f>
        <v/>
      </c>
      <c r="AH314" s="427" t="str">
        <f>IF(AND($A314&gt;=SYear_O,$A314&lt;=EYear_O,AH$3&gt;0),IF($A314=SYear_O,AH$168*(1+Data_All!AH153%),AH313*(1+Data_All!AH153%)),"")</f>
        <v/>
      </c>
      <c r="AI314" s="427" t="str">
        <f>IF(AND($A314&gt;=SYear_O,$A314&lt;=EYear_O,AI$3&gt;0),IF($A314=SYear_O,AI$168*(1+Data_All!AI153%),AI313*(1+Data_All!AI153%)),"")</f>
        <v/>
      </c>
      <c r="AJ314" s="427" t="str">
        <f>IF(AND($A314&gt;=SYear_O,$A314&lt;=EYear_O,AJ$3&gt;0),IF($A314=SYear_O,AJ$168*(1+Data_All!AJ153%),AJ313*(1+Data_All!AJ153%)),"")</f>
        <v/>
      </c>
      <c r="AK314" s="427" t="str">
        <f>IF(AND($A314&gt;=SYear_O,$A314&lt;=EYear_O,AK$3&gt;0),IF($A314=SYear_O,AK$168*(1+Data_All!AK153%),AK313*(1+Data_All!AK153%)),"")</f>
        <v/>
      </c>
      <c r="AL314" s="427" t="str">
        <f>IF(AND($A314&gt;=SYear_O,$A314&lt;=EYear_O,AL$3&gt;0),IF($A314=SYear_O,AL$168*(1+Data_All!AL153%),AL313*(1+Data_All!AL153%)),"")</f>
        <v/>
      </c>
      <c r="AM314" s="427" t="str">
        <f>IF(AND($A314&gt;=SYear_O,$A314&lt;=EYear_O,AM$3&gt;0),IF($A314=SYear_O,AM$168*(1+Data_All!AM153%),AM313*(1+Data_All!AM153%)),"")</f>
        <v/>
      </c>
      <c r="AN314" s="427" t="str">
        <f>IF(AND($A314&gt;=SYear_O,$A314&lt;=EYear_O,AN$3&gt;0),IF($A314=SYear_O,AN$168*(1+Data_All!AN153%),AN313*(1+Data_All!AN153%)),"")</f>
        <v/>
      </c>
      <c r="AO314" s="427" t="str">
        <f>IF(AND($A314&gt;=SYear_O,$A314&lt;=EYear_O,AO$3&gt;0),IF($A314=SYear_O,AO$168*(1+Data_All!AO153%),AO313*(1+Data_All!AO153%)),"")</f>
        <v/>
      </c>
      <c r="AP314" s="427" t="str">
        <f>IF(AND($A314&gt;=SYear_O,$A314&lt;=EYear_O,AP$3&gt;0),IF($A314=SYear_O,AP$168*(1+Data_All!AP153%),AP313*(1+Data_All!AP153%)),"")</f>
        <v/>
      </c>
      <c r="AQ314" s="427" t="str">
        <f>IF(AND($A314&gt;=SYear_O,$A314&lt;=EYear_O,AQ$3&gt;0),IF($A314=SYear_O,AQ$168*(1+Data_All!AQ153%),AQ313*(1+Data_All!AQ153%)),"")</f>
        <v/>
      </c>
      <c r="AR314" s="427" t="str">
        <f>IF(AND($A314&gt;=SYear_O,$A314&lt;=EYear_O,AR$3&gt;0),IF($A314=SYear_O,AR$168*(1+Data_All!AR153%),AR313*(1+Data_All!AR153%)),"")</f>
        <v/>
      </c>
      <c r="AS314" s="427" t="str">
        <f>IF(AND($A314&gt;=SYear_O,$A314&lt;=EYear_O,AS$3&gt;0),IF($A314=SYear_O,AS$168*(1+Data_All!AS153%),AS313*(1+Data_All!AS153%)),"")</f>
        <v/>
      </c>
      <c r="AT314" s="427" t="str">
        <f>IF(AND($A314&gt;=SYear_O,$A314&lt;=EYear_O,AT$3&gt;0),IF($A314=SYear_O,AT$168*(1+Data_All!AT153%),AT313*(1+Data_All!AT153%)),"")</f>
        <v/>
      </c>
      <c r="AU314" s="427" t="str">
        <f>IF(AND($A314&gt;=SYear_O,$A314&lt;=EYear_O,AU$3&gt;0),IF($A314=SYear_O,AU$168*(1+Data_All!AU153%),AU313*(1+Data_All!AU153%)),"")</f>
        <v/>
      </c>
      <c r="AV314" s="427" t="str">
        <f>IF(AND($A314&gt;=SYear_O,$A314&lt;=EYear_O,AV$3&gt;0),IF($A314=SYear_O,AV$168*(1+Data_All!AV153%),AV313*(1+Data_All!AV153%)),"")</f>
        <v/>
      </c>
      <c r="AW314" s="427" t="str">
        <f>IF(AND($A314&gt;=SYear_O,$A314&lt;=EYear_O,AW$3&gt;0),IF($A314=SYear_O,AW$168*(1+Data_All!AW153%),AW313*(1+Data_All!AW153%)),"")</f>
        <v/>
      </c>
      <c r="AX314" s="427" t="str">
        <f>IF(AND($A314&gt;=SYear_O,$A314&lt;=EYear_O,AX$3&gt;0),IF($A314=SYear_O,AX$168*(1+Data_All!AX153%),AX313*(1+Data_All!AX153%)),"")</f>
        <v/>
      </c>
      <c r="AY314" s="427" t="str">
        <f>IF(AND($A314&gt;=SYear_O,$A314&lt;=EYear_O,AY$3&gt;0),IF($A314=SYear_O,AY$168*(1+Data_All!AY153%),AY313*(1+Data_All!AY153%)),"")</f>
        <v/>
      </c>
      <c r="AZ314" s="427" t="str">
        <f>IF(AND($A314&gt;=SYear_O,$A314&lt;=EYear_O,AZ$3&gt;0),IF($A314=SYear_O,AZ$168*(1+Data_All!AZ153%),AZ313*(1+Data_All!AZ153%)),"")</f>
        <v/>
      </c>
      <c r="BA314" s="427" t="str">
        <f>IF(AND($A314&gt;=SYear_O,$A314&lt;=EYear_O,BA$3&gt;0),IF($A314=SYear_O,BA$168*(1+Data_All!BA153%),BA313*(1+Data_All!BA153%)),"")</f>
        <v/>
      </c>
      <c r="BB314" s="427" t="str">
        <f>IF(AND($A314&gt;=SYear_O,$A314&lt;=EYear_O,BB$3&gt;0),IF($A314=SYear_O,BB$168*(1+Data_All!BB153%),BB313*(1+Data_All!BB153%)),"")</f>
        <v/>
      </c>
      <c r="BC314" s="427" t="str">
        <f>IF(AND($A314&gt;=SYear_O,$A314&lt;=EYear_O,BC$3&gt;0),IF($A314=SYear_O,BC$168*(1+Data_All!BC153%),BC313*(1+Data_All!BC153%)),"")</f>
        <v/>
      </c>
      <c r="BD314" s="427" t="str">
        <f>IF(AND($A314&gt;=SYear_O,$A314&lt;=EYear_O,BD$3&gt;0),IF($A314=SYear_O,BD$168*(1+Data_All!BD153%),BD313*(1+Data_All!BD153%)),"")</f>
        <v/>
      </c>
      <c r="BE314" s="427" t="str">
        <f>IF(AND($A314&gt;=SYear_O,$A314&lt;=EYear_O,BE$3&gt;0),IF($A314=SYear_O,BE$168*(1+Data_All!BE153%),BE313*(1+Data_All!BE153%)),"")</f>
        <v/>
      </c>
      <c r="BF314" s="427" t="str">
        <f>IF(AND($A314&gt;=SYear_O,$A314&lt;=EYear_O,BF$3&gt;0),IF($A314=SYear_O,BF$168*(1+Data_All!BF153%),BF313*(1+Data_All!BF153%)),"")</f>
        <v/>
      </c>
      <c r="BG314" s="427" t="str">
        <f>IF(AND($A314&gt;=SYear_O,$A314&lt;=EYear_O,BG$3&gt;0),IF($A314=SYear_O,BG$168*(1+Data_All!BG153%),BG313*(1+Data_All!BG153%)),"")</f>
        <v/>
      </c>
      <c r="BH314" s="427" t="str">
        <f>IF(AND($A314&gt;=SYear_O,$A314&lt;=EYear_O,BH$3&gt;0),IF($A314=SYear_O,BH$168*(1+Data_All!BH153%),BH313*(1+Data_All!BH153%)),"")</f>
        <v/>
      </c>
      <c r="BI314" s="427" t="str">
        <f>IF(AND($A314&gt;=SYear_O,$A314&lt;=EYear_O,BI$3&gt;0),IF($A314=SYear_O,BI$168*(1+Data_All!BI153%),BI313*(1+Data_All!BI153%)),"")</f>
        <v/>
      </c>
      <c r="BJ314" s="427" t="str">
        <f>IF(AND($A314&gt;=SYear_O,$A314&lt;=EYear_O,BJ$3&gt;0),IF($A314=SYear_O,BJ$168*(1+Data_All!BJ153%),BJ313*(1+Data_All!BJ153%)),"")</f>
        <v/>
      </c>
      <c r="BK314" s="427" t="str">
        <f>IF(AND($A314&gt;=SYear_O,$A314&lt;=EYear_O,BK$3&gt;0),IF($A314=SYear_O,BK$168*(1+Data_All!BK153%),BK313*(1+Data_All!BK153%)),"")</f>
        <v/>
      </c>
      <c r="BL314" s="427" t="str">
        <f>IF(AND($A314&gt;=SYear_O,$A314&lt;=EYear_O,BL$3&gt;0),IF($A314=SYear_O,BL$168*(1+Data_All!BL153%),BL313*(1+Data_All!BL153%)),"")</f>
        <v/>
      </c>
      <c r="BM314" s="427" t="str">
        <f>IF(AND($A314&gt;=SYear_O,$A314&lt;=EYear_O,BM$3&gt;0),IF($A314=SYear_O,BM$168*(1+Data_All!BM153%),BM313*(1+Data_All!BM153%)),"")</f>
        <v/>
      </c>
      <c r="BN314" s="427" t="str">
        <f>IF(AND($A314&gt;=SYear_O,$A314&lt;=EYear_O,BN$3&gt;0),IF($A314=SYear_O,BN$168*(1+Data_All!BN153%),BN313*(1+Data_All!BN153%)),"")</f>
        <v/>
      </c>
      <c r="BO314" s="427" t="str">
        <f>IF(AND($A314&gt;=SYear_O,$A314&lt;=EYear_O,BO$3&gt;0),IF($A314=SYear_O,BO$168*(1+Data_All!BO153%),BO313*(1+Data_All!BO153%)),"")</f>
        <v/>
      </c>
      <c r="BP314" s="427" t="str">
        <f>IF(AND($A314&gt;=SYear_O,$A314&lt;=EYear_O,BP$3&gt;0),IF($A314=SYear_O,BP$168*(1+Data_All!BP153%),BP313*(1+Data_All!BP153%)),"")</f>
        <v/>
      </c>
      <c r="BQ314" s="427" t="str">
        <f>IF(AND($A314&gt;=SYear_O,$A314&lt;=EYear_O,BQ$3&gt;0),IF($A314=SYear_O,BQ$168*(1+Data_All!BQ153%),BQ313*(1+Data_All!BQ153%)),"")</f>
        <v/>
      </c>
      <c r="BR314" s="427" t="str">
        <f>IF(AND($A314&gt;=SYear_O,$A314&lt;=EYear_O,BR$3&gt;0),IF($A314=SYear_O,BR$168*(1+Data_All!BR153%),BR313*(1+Data_All!BR153%)),"")</f>
        <v/>
      </c>
      <c r="BS314" s="427" t="str">
        <f>IF(AND($A314&gt;=SYear_O,$A314&lt;=EYear_O,BS$3&gt;0),IF($A314=SYear_O,BS$168*(1+Data_All!BS153%),BS313*(1+Data_All!BS153%)),"")</f>
        <v/>
      </c>
      <c r="BT314" s="427" t="str">
        <f>IF(AND($A314&gt;=SYear_O,$A314&lt;=EYear_O,BT$3&gt;0),IF($A314=SYear_O,BT$168*(1+Data_All!BT153%),BT313*(1+Data_All!BT153%)),"")</f>
        <v/>
      </c>
      <c r="BU314" s="427" t="str">
        <f>IF(AND($A314&gt;=SYear_O,$A314&lt;=EYear_O,BU$3&gt;0),IF($A314=SYear_O,BU$168*(1+Data_All!BU153%),BU313*(1+Data_All!BU153%)),"")</f>
        <v/>
      </c>
      <c r="BV314" s="427" t="str">
        <f>IF(AND($A314&gt;=SYear_O,$A314&lt;=EYear_O,BV$3&gt;0),IF($A314=SYear_O,BV$168*(1+Data_All!BV153%),BV313*(1+Data_All!BV153%)),"")</f>
        <v/>
      </c>
      <c r="BW314" s="427" t="str">
        <f>IF(AND($A314&gt;=SYear_O,$A314&lt;=EYear_O,BW$3&gt;0),IF($A314=SYear_O,BW$168*(1+Data_All!BW153%),BW313*(1+Data_All!BW153%)),"")</f>
        <v/>
      </c>
      <c r="BX314" s="427" t="str">
        <f>IF(AND($A314&gt;=SYear_O,$A314&lt;=EYear_O,BX$3&gt;0),IF($A314=SYear_O,BX$168*(1+Data_All!BX153%),BX313*(1+Data_All!BX153%)),"")</f>
        <v/>
      </c>
      <c r="BY314" s="427" t="str">
        <f>IF(AND($A314&gt;=SYear_O,$A314&lt;=EYear_O,BY$3&gt;0),IF($A314=SYear_O,BY$168*(1+Data_All!BY153%),BY313*(1+Data_All!BY153%)),"")</f>
        <v/>
      </c>
      <c r="BZ314" s="427" t="str">
        <f>IF(AND($A314&gt;=SYear_O,$A314&lt;=EYear_O,BZ$3&gt;0),IF($A314=SYear_O,BZ$168*(1+Data_All!BZ153%),BZ313*(1+Data_All!BZ153%)),"")</f>
        <v/>
      </c>
      <c r="CA314" s="565" t="str">
        <f t="shared" si="160"/>
        <v/>
      </c>
      <c r="CB314" s="427" t="str">
        <f t="shared" si="161"/>
        <v/>
      </c>
      <c r="CC314" s="565" t="str">
        <f>IF(AND($A314&gt;=SYear_O,$A314&lt;=EYear_O),(CA314-Data_All!CA153)/(1+Data_All!CA153%),"")</f>
        <v/>
      </c>
      <c r="CD314" s="436" t="str">
        <f t="shared" si="162"/>
        <v/>
      </c>
      <c r="CE314" s="438" t="str">
        <f t="shared" si="163"/>
        <v/>
      </c>
      <c r="CF314" s="438" t="str">
        <f>IF(AND($A314&gt;=SYear_O,$A314&lt;=EYear_O),MAX($CE$169:CE314),"")</f>
        <v/>
      </c>
      <c r="CG314" s="209" t="str">
        <f t="shared" si="164"/>
        <v/>
      </c>
      <c r="CN314" s="61"/>
      <c r="CO314" s="61"/>
      <c r="CP314" s="61"/>
      <c r="CQ314" s="61"/>
      <c r="CR314" s="61"/>
      <c r="CU314" s="61"/>
      <c r="CV314" s="61"/>
      <c r="CW314" s="61"/>
      <c r="CX314" s="61"/>
      <c r="CY314" s="61"/>
    </row>
    <row r="315" spans="1:103">
      <c r="A315" s="204"/>
      <c r="B315" s="548"/>
      <c r="C315" s="427"/>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c r="AA315" s="427"/>
      <c r="AB315" s="427"/>
      <c r="AC315" s="427"/>
      <c r="AD315" s="427"/>
      <c r="AE315" s="427"/>
      <c r="AF315" s="427"/>
      <c r="AG315" s="427"/>
      <c r="AH315" s="427"/>
      <c r="AI315" s="427"/>
      <c r="AJ315" s="427"/>
      <c r="AK315" s="427"/>
      <c r="AL315" s="427"/>
      <c r="AM315" s="427"/>
      <c r="AN315" s="427"/>
      <c r="AO315" s="427"/>
      <c r="AP315" s="427"/>
      <c r="AQ315" s="427"/>
      <c r="AR315" s="427"/>
      <c r="AS315" s="427"/>
      <c r="AT315" s="427"/>
      <c r="AU315" s="427"/>
      <c r="AV315" s="427"/>
      <c r="AW315" s="427"/>
      <c r="AX315" s="427"/>
      <c r="AY315" s="427"/>
      <c r="AZ315" s="427"/>
      <c r="BA315" s="427"/>
      <c r="BB315" s="427"/>
      <c r="BC315" s="427"/>
      <c r="BD315" s="427"/>
      <c r="BE315" s="427"/>
      <c r="BF315" s="427"/>
      <c r="BG315" s="427"/>
      <c r="BH315" s="427"/>
      <c r="BI315" s="427"/>
      <c r="BJ315" s="427"/>
      <c r="BK315" s="427"/>
      <c r="BL315" s="427"/>
      <c r="BM315" s="427"/>
      <c r="BN315" s="427"/>
      <c r="BO315" s="427"/>
      <c r="BP315" s="427"/>
      <c r="BQ315" s="427"/>
      <c r="BR315" s="427"/>
      <c r="BS315" s="427"/>
      <c r="BT315" s="427"/>
      <c r="BU315" s="427"/>
      <c r="BV315" s="427"/>
      <c r="BW315" s="427"/>
      <c r="BX315" s="427"/>
      <c r="BY315" s="427"/>
      <c r="BZ315" s="427"/>
      <c r="CA315" s="565"/>
      <c r="CB315" s="427"/>
      <c r="CC315" s="206"/>
      <c r="CD315" s="436"/>
      <c r="CE315" s="143"/>
      <c r="CF315" s="143"/>
      <c r="CG315" s="209"/>
      <c r="CN315" s="61"/>
      <c r="CO315" s="61"/>
      <c r="CP315" s="61"/>
      <c r="CQ315" s="61"/>
      <c r="CR315" s="61"/>
      <c r="CU315" s="61"/>
      <c r="CV315" s="61"/>
      <c r="CW315" s="61"/>
      <c r="CX315" s="61"/>
      <c r="CY315" s="61"/>
    </row>
    <row r="316" spans="1:103">
      <c r="A316" s="248" t="s">
        <v>413</v>
      </c>
      <c r="B316" s="437" t="str">
        <f>IF(B$3&gt;0,VLOOKUP(EYear_O,$A$169:$CB314,COLUMN(B2))/(VLOOKUP(EYear_O,$A169:$CB314,COLUMN($CB$2))),"")</f>
        <v/>
      </c>
      <c r="C316" s="437" t="str">
        <f>IF(C$3&gt;0,VLOOKUP(EYear_O,$A$169:$CB314,COLUMN(C2))/(VLOOKUP(EYear_O,$A169:$CB314,COLUMN($CB$2))),"")</f>
        <v/>
      </c>
      <c r="D316" s="437" t="str">
        <f>IF(D$3&gt;0,VLOOKUP(EYear_O,$A$169:$CB314,COLUMN(D2))/(VLOOKUP(EYear_O,$A169:$CB314,COLUMN($CB$2))),"")</f>
        <v/>
      </c>
      <c r="E316" s="437" t="str">
        <f>IF(E$3&gt;0,VLOOKUP(EYear_O,$A$169:$CB314,COLUMN(E2))/(VLOOKUP(EYear_O,$A169:$CB314,COLUMN($CB$2))),"")</f>
        <v/>
      </c>
      <c r="F316" s="437" t="str">
        <f>IF(F$3&gt;0,VLOOKUP(EYear_O,$A$169:$CB314,COLUMN(F2))/(VLOOKUP(EYear_O,$A169:$CB314,COLUMN($CB$2))),"")</f>
        <v/>
      </c>
      <c r="G316" s="437" t="str">
        <f>IF(G$3&gt;0,VLOOKUP(EYear_O,$A$169:$CB314,COLUMN(G2))/(VLOOKUP(EYear_O,$A169:$CB314,COLUMN($CB$2))),"")</f>
        <v/>
      </c>
      <c r="H316" s="437" t="str">
        <f>IF(H$3&gt;0,VLOOKUP(EYear_O,$A$169:$CB314,COLUMN(H2))/(VLOOKUP(EYear_O,$A169:$CB314,COLUMN($CB$2))),"")</f>
        <v/>
      </c>
      <c r="I316" s="437" t="str">
        <f>IF(I$3&gt;0,VLOOKUP(EYear_O,$A$169:$CB314,COLUMN(I2))/(VLOOKUP(EYear_O,$A169:$CB314,COLUMN($CB$2))),"")</f>
        <v/>
      </c>
      <c r="J316" s="437" t="str">
        <f>IF(J$3&gt;0,VLOOKUP(EYear_O,$A$169:$CB314,COLUMN(J2))/(VLOOKUP(EYear_O,$A169:$CB314,COLUMN($CB$2))),"")</f>
        <v/>
      </c>
      <c r="K316" s="437" t="str">
        <f>IF(K$3&gt;0,VLOOKUP(EYear_O,$A$169:$CB314,COLUMN(K2))/(VLOOKUP(EYear_O,$A169:$CB314,COLUMN($CB$2))),"")</f>
        <v/>
      </c>
      <c r="L316" s="437" t="str">
        <f>IF(L$3&gt;0,VLOOKUP(EYear_O,$A$169:$CB314,COLUMN(L2))/(VLOOKUP(EYear_O,$A169:$CB314,COLUMN($CB$2))),"")</f>
        <v/>
      </c>
      <c r="M316" s="437" t="str">
        <f>IF(M$3&gt;0,VLOOKUP(EYear_O,$A$169:$CB314,COLUMN(M2))/(VLOOKUP(EYear_O,$A169:$CB314,COLUMN($CB$2))),"")</f>
        <v/>
      </c>
      <c r="N316" s="437" t="str">
        <f>IF(N$3&gt;0,VLOOKUP(EYear_O,$A$169:$CB314,COLUMN(N2))/(VLOOKUP(EYear_O,$A169:$CB314,COLUMN($CB$2))),"")</f>
        <v/>
      </c>
      <c r="O316" s="437" t="str">
        <f>IF(O$3&gt;0,VLOOKUP(EYear_O,$A$169:$CB314,COLUMN(O2))/(VLOOKUP(EYear_O,$A169:$CB314,COLUMN($CB$2))),"")</f>
        <v/>
      </c>
      <c r="P316" s="437" t="str">
        <f>IF(P$3&gt;0,VLOOKUP(EYear_O,$A$169:$CB314,COLUMN(P2))/(VLOOKUP(EYear_O,$A169:$CB314,COLUMN($CB$2))),"")</f>
        <v/>
      </c>
      <c r="Q316" s="437" t="str">
        <f>IF(Q$3&gt;0,VLOOKUP(EYear_O,$A$169:$CB314,COLUMN(Q2))/(VLOOKUP(EYear_O,$A169:$CB314,COLUMN($CB$2))),"")</f>
        <v/>
      </c>
      <c r="R316" s="437" t="str">
        <f>IF(R$3&gt;0,VLOOKUP(EYear_O,$A$169:$CB314,COLUMN(R2))/(VLOOKUP(EYear_O,$A169:$CB314,COLUMN($CB$2))),"")</f>
        <v/>
      </c>
      <c r="S316" s="437" t="str">
        <f>IF(S$3&gt;0,VLOOKUP(EYear_O,$A$169:$CB314,COLUMN(S2))/(VLOOKUP(EYear_O,$A169:$CB314,COLUMN($CB$2))),"")</f>
        <v/>
      </c>
      <c r="T316" s="437" t="str">
        <f>IF(T$3&gt;0,VLOOKUP(EYear_O,$A$169:$CB314,COLUMN(T2))/(VLOOKUP(EYear_O,$A169:$CB314,COLUMN($CB$2))),"")</f>
        <v/>
      </c>
      <c r="U316" s="437" t="str">
        <f>IF(U$3&gt;0,VLOOKUP(EYear_O,$A$169:$CB314,COLUMN(U2))/(VLOOKUP(EYear_O,$A169:$CB314,COLUMN($CB$2))),"")</f>
        <v/>
      </c>
      <c r="V316" s="437" t="str">
        <f>IF(V$3&gt;0,VLOOKUP(EYear_O,$A$169:$CB314,COLUMN(V2))/(VLOOKUP(EYear_O,$A169:$CB314,COLUMN($CB$2))),"")</f>
        <v/>
      </c>
      <c r="W316" s="437" t="str">
        <f>IF(W$3&gt;0,VLOOKUP(EYear_O,$A$169:$CB314,COLUMN(W2))/(VLOOKUP(EYear_O,$A169:$CB314,COLUMN($CB$2))),"")</f>
        <v/>
      </c>
      <c r="X316" s="437" t="str">
        <f>IF(X$3&gt;0,VLOOKUP(EYear_O,$A$169:$CB314,COLUMN(X2))/(VLOOKUP(EYear_O,$A169:$CB314,COLUMN($CB$2))),"")</f>
        <v/>
      </c>
      <c r="Y316" s="437" t="str">
        <f>IF(Y$3&gt;0,VLOOKUP(EYear_O,$A$169:$CB314,COLUMN(Y2))/(VLOOKUP(EYear_O,$A169:$CB314,COLUMN($CB$2))),"")</f>
        <v/>
      </c>
      <c r="Z316" s="437" t="str">
        <f>IF(Z$3&gt;0,VLOOKUP(EYear_O,$A$169:$CB314,COLUMN(Z2))/(VLOOKUP(EYear_O,$A169:$CB314,COLUMN($CB$2))),"")</f>
        <v/>
      </c>
      <c r="AA316" s="437" t="str">
        <f>IF(AA$3&gt;0,VLOOKUP(EYear_O,$A$169:$CB314,COLUMN(AA2))/(VLOOKUP(EYear_O,$A169:$CB314,COLUMN($CB$2))),"")</f>
        <v/>
      </c>
      <c r="AB316" s="437" t="str">
        <f>IF(AB$3&gt;0,VLOOKUP(EYear_O,$A$169:$CB314,COLUMN(AB2))/(VLOOKUP(EYear_O,$A169:$CB314,COLUMN($CB$2))),"")</f>
        <v/>
      </c>
      <c r="AC316" s="437" t="str">
        <f>IF(AC$3&gt;0,VLOOKUP(EYear_O,$A$169:$CB314,COLUMN(AC2))/(VLOOKUP(EYear_O,$A169:$CB314,COLUMN($CB$2))),"")</f>
        <v/>
      </c>
      <c r="AD316" s="437" t="str">
        <f>IF(AD$3&gt;0,VLOOKUP(EYear_O,$A$169:$CB314,COLUMN(AD2))/(VLOOKUP(EYear_O,$A169:$CB314,COLUMN($CB$2))),"")</f>
        <v/>
      </c>
      <c r="AE316" s="437" t="str">
        <f>IF(AE$3&gt;0,VLOOKUP(EYear_O,$A$169:$CB314,COLUMN(AE2))/(VLOOKUP(EYear_O,$A169:$CB314,COLUMN($CB$2))),"")</f>
        <v/>
      </c>
      <c r="AF316" s="437" t="str">
        <f>IF(AF$3&gt;0,VLOOKUP(EYear_O,$A$169:$CB314,COLUMN(AF2))/(VLOOKUP(EYear_O,$A169:$CB314,COLUMN($CB$2))),"")</f>
        <v/>
      </c>
      <c r="AG316" s="437" t="str">
        <f>IF(AG$3&gt;0,VLOOKUP(EYear_O,$A$169:$CB314,COLUMN(AG2))/(VLOOKUP(EYear_O,$A169:$CB314,COLUMN($CB$2))),"")</f>
        <v/>
      </c>
      <c r="AH316" s="437" t="str">
        <f>IF(AH$3&gt;0,VLOOKUP(EYear_O,$A$169:$CB314,COLUMN(AH2))/(VLOOKUP(EYear_O,$A169:$CB314,COLUMN($CB$2))),"")</f>
        <v/>
      </c>
      <c r="AI316" s="437" t="str">
        <f>IF(AI$3&gt;0,VLOOKUP(EYear_O,$A$169:$CB314,COLUMN(AI2))/(VLOOKUP(EYear_O,$A169:$CB314,COLUMN($CB$2))),"")</f>
        <v/>
      </c>
      <c r="AJ316" s="437" t="str">
        <f>IF(AJ$3&gt;0,VLOOKUP(EYear_O,$A$169:$CB314,COLUMN(AJ2))/(VLOOKUP(EYear_O,$A169:$CB314,COLUMN($CB$2))),"")</f>
        <v/>
      </c>
      <c r="AK316" s="437" t="str">
        <f>IF(AK$3&gt;0,VLOOKUP(EYear_O,$A$169:$CB314,COLUMN(AK2))/(VLOOKUP(EYear_O,$A169:$CB314,COLUMN($CB$2))),"")</f>
        <v/>
      </c>
      <c r="AL316" s="437" t="str">
        <f>IF(AL$3&gt;0,VLOOKUP(EYear_O,$A$169:$CB314,COLUMN(AL2))/(VLOOKUP(EYear_O,$A169:$CB314,COLUMN($CB$2))),"")</f>
        <v/>
      </c>
      <c r="AM316" s="437" t="str">
        <f>IF(AM$3&gt;0,VLOOKUP(EYear_O,$A$169:$CB314,COLUMN(AM2))/(VLOOKUP(EYear_O,$A169:$CB314,COLUMN($CB$2))),"")</f>
        <v/>
      </c>
      <c r="AN316" s="437" t="str">
        <f>IF(AN$3&gt;0,VLOOKUP(EYear_O,$A$169:$CB314,COLUMN(AN2))/(VLOOKUP(EYear_O,$A169:$CB314,COLUMN($CB$2))),"")</f>
        <v/>
      </c>
      <c r="AO316" s="437" t="str">
        <f>IF(AO$3&gt;0,VLOOKUP(EYear_O,$A$169:$CB314,COLUMN(AO2))/(VLOOKUP(EYear_O,$A169:$CB314,COLUMN($CB$2))),"")</f>
        <v/>
      </c>
      <c r="AP316" s="437" t="str">
        <f>IF(AP$3&gt;0,VLOOKUP(EYear_O,$A$169:$CB314,COLUMN(AP2))/(VLOOKUP(EYear_O,$A169:$CB314,COLUMN($CB$2))),"")</f>
        <v/>
      </c>
      <c r="AQ316" s="437" t="str">
        <f>IF(AQ$3&gt;0,VLOOKUP(EYear_O,$A$169:$CB314,COLUMN(AQ2))/(VLOOKUP(EYear_O,$A169:$CB314,COLUMN($CB$2))),"")</f>
        <v/>
      </c>
      <c r="AR316" s="437" t="str">
        <f>IF(AR$3&gt;0,VLOOKUP(EYear_O,$A$169:$CB314,COLUMN(AR2))/(VLOOKUP(EYear_O,$A169:$CB314,COLUMN($CB$2))),"")</f>
        <v/>
      </c>
      <c r="AS316" s="437" t="str">
        <f>IF(AS$3&gt;0,VLOOKUP(EYear_O,$A$169:$CB314,COLUMN(AS2))/(VLOOKUP(EYear_O,$A169:$CB314,COLUMN($CB$2))),"")</f>
        <v/>
      </c>
      <c r="AT316" s="437" t="str">
        <f>IF(AT$3&gt;0,VLOOKUP(EYear_O,$A$169:$CB314,COLUMN(AT2))/(VLOOKUP(EYear_O,$A169:$CB314,COLUMN($CB$2))),"")</f>
        <v/>
      </c>
      <c r="AU316" s="437" t="str">
        <f>IF(AU$3&gt;0,VLOOKUP(EYear_O,$A$169:$CB314,COLUMN(AU2))/(VLOOKUP(EYear_O,$A169:$CB314,COLUMN($CB$2))),"")</f>
        <v/>
      </c>
      <c r="AV316" s="437" t="str">
        <f>IF(AV$3&gt;0,VLOOKUP(EYear_O,$A$169:$CB314,COLUMN(AV2))/(VLOOKUP(EYear_O,$A169:$CB314,COLUMN($CB$2))),"")</f>
        <v/>
      </c>
      <c r="AW316" s="437" t="str">
        <f>IF(AW$3&gt;0,VLOOKUP(EYear_O,$A$169:$CB314,COLUMN(AW2))/(VLOOKUP(EYear_O,$A169:$CB314,COLUMN($CB$2))),"")</f>
        <v/>
      </c>
      <c r="AX316" s="437" t="str">
        <f>IF(AX$3&gt;0,VLOOKUP(EYear_O,$A$169:$CB314,COLUMN(AX2))/(VLOOKUP(EYear_O,$A169:$CB314,COLUMN($CB$2))),"")</f>
        <v/>
      </c>
      <c r="AY316" s="437" t="str">
        <f>IF(AY$3&gt;0,VLOOKUP(EYear_O,$A$169:$CB314,COLUMN(AY2))/(VLOOKUP(EYear_O,$A169:$CB314,COLUMN($CB$2))),"")</f>
        <v/>
      </c>
      <c r="AZ316" s="437" t="str">
        <f>IF(AZ$3&gt;0,VLOOKUP(EYear_O,$A$169:$CB314,COLUMN(AZ2))/(VLOOKUP(EYear_O,$A169:$CB314,COLUMN($CB$2))),"")</f>
        <v/>
      </c>
      <c r="BA316" s="437" t="str">
        <f>IF(BA$3&gt;0,VLOOKUP(EYear_O,$A$169:$CB314,COLUMN(BA2))/(VLOOKUP(EYear_O,$A169:$CB314,COLUMN($CB$2))),"")</f>
        <v/>
      </c>
      <c r="BB316" s="437" t="str">
        <f>IF(BB$3&gt;0,VLOOKUP(EYear_O,$A$169:$CB314,COLUMN(BB2))/(VLOOKUP(EYear_O,$A169:$CB314,COLUMN($CB$2))),"")</f>
        <v/>
      </c>
      <c r="BC316" s="437" t="str">
        <f>IF(BC$3&gt;0,VLOOKUP(EYear_O,$A$169:$CB314,COLUMN(BC2))/(VLOOKUP(EYear_O,$A169:$CB314,COLUMN($CB$2))),"")</f>
        <v/>
      </c>
      <c r="BD316" s="437" t="str">
        <f>IF(BD$3&gt;0,VLOOKUP(EYear_O,$A$169:$CB314,COLUMN(BD2))/(VLOOKUP(EYear_O,$A169:$CB314,COLUMN($CB$2))),"")</f>
        <v/>
      </c>
      <c r="BE316" s="437" t="str">
        <f>IF(BE$3&gt;0,VLOOKUP(EYear_O,$A$169:$CB314,COLUMN(BE2))/(VLOOKUP(EYear_O,$A169:$CB314,COLUMN($CB$2))),"")</f>
        <v/>
      </c>
      <c r="BF316" s="437" t="str">
        <f>IF(BF$3&gt;0,VLOOKUP(EYear_O,$A$169:$CB314,COLUMN(BF2))/(VLOOKUP(EYear_O,$A169:$CB314,COLUMN($CB$2))),"")</f>
        <v/>
      </c>
      <c r="BG316" s="437" t="str">
        <f>IF(BG$3&gt;0,VLOOKUP(EYear_O,$A$169:$CB314,COLUMN(BG2))/(VLOOKUP(EYear_O,$A169:$CB314,COLUMN($CB$2))),"")</f>
        <v/>
      </c>
      <c r="BH316" s="437" t="str">
        <f>IF(BH$3&gt;0,VLOOKUP(EYear_O,$A$169:$CB314,COLUMN(BH2))/(VLOOKUP(EYear_O,$A169:$CB314,COLUMN($CB$2))),"")</f>
        <v/>
      </c>
      <c r="BI316" s="437" t="str">
        <f>IF(BI$3&gt;0,VLOOKUP(EYear_O,$A$169:$CB314,COLUMN(BI2))/(VLOOKUP(EYear_O,$A169:$CB314,COLUMN($CB$2))),"")</f>
        <v/>
      </c>
      <c r="BJ316" s="437" t="str">
        <f>IF(BJ$3&gt;0,VLOOKUP(EYear_O,$A$169:$CB314,COLUMN(BJ2))/(VLOOKUP(EYear_O,$A169:$CB314,COLUMN($CB$2))),"")</f>
        <v/>
      </c>
      <c r="BK316" s="437" t="str">
        <f>IF(BK$3&gt;0,VLOOKUP(EYear_O,$A$169:$CB314,COLUMN(BK2))/(VLOOKUP(EYear_O,$A169:$CB314,COLUMN($CB$2))),"")</f>
        <v/>
      </c>
      <c r="BL316" s="437" t="str">
        <f>IF(BL$3&gt;0,VLOOKUP(EYear_O,$A$169:$CB314,COLUMN(BL2))/(VLOOKUP(EYear_O,$A169:$CB314,COLUMN($CB$2))),"")</f>
        <v/>
      </c>
      <c r="BM316" s="437" t="str">
        <f>IF(BM$3&gt;0,VLOOKUP(EYear_O,$A$169:$CB314,COLUMN(BM2))/(VLOOKUP(EYear_O,$A169:$CB314,COLUMN($CB$2))),"")</f>
        <v/>
      </c>
      <c r="BN316" s="437" t="str">
        <f>IF(BN$3&gt;0,VLOOKUP(EYear_O,$A$169:$CB314,COLUMN(BN2))/(VLOOKUP(EYear_O,$A169:$CB314,COLUMN($CB$2))),"")</f>
        <v/>
      </c>
      <c r="BO316" s="437" t="str">
        <f>IF(BO$3&gt;0,VLOOKUP(EYear_O,$A$169:$CB314,COLUMN(BO2))/(VLOOKUP(EYear_O,$A169:$CB314,COLUMN($CB$2))),"")</f>
        <v/>
      </c>
      <c r="BP316" s="437" t="str">
        <f>IF(BP$3&gt;0,VLOOKUP(EYear_O,$A$169:$CB314,COLUMN(BP2))/(VLOOKUP(EYear_O,$A169:$CB314,COLUMN($CB$2))),"")</f>
        <v/>
      </c>
      <c r="BQ316" s="437" t="str">
        <f>IF(BQ$3&gt;0,VLOOKUP(EYear_O,$A$169:$CB314,COLUMN(BQ2))/(VLOOKUP(EYear_O,$A169:$CB314,COLUMN($CB$2))),"")</f>
        <v/>
      </c>
      <c r="BR316" s="437" t="str">
        <f>IF(BR$3&gt;0,VLOOKUP(EYear_O,$A$169:$CB314,COLUMN(BR2))/(VLOOKUP(EYear_O,$A169:$CB314,COLUMN($CB$2))),"")</f>
        <v/>
      </c>
      <c r="BS316" s="437" t="str">
        <f>IF(BS$3&gt;0,VLOOKUP(EYear_O,$A$169:$CB314,COLUMN(BS2))/(VLOOKUP(EYear_O,$A169:$CB314,COLUMN($CB$2))),"")</f>
        <v/>
      </c>
      <c r="BT316" s="437" t="str">
        <f>IF(BT$3&gt;0,VLOOKUP(EYear_O,$A$169:$CB314,COLUMN(BT2))/(VLOOKUP(EYear_O,$A169:$CB314,COLUMN($CB$2))),"")</f>
        <v/>
      </c>
      <c r="BU316" s="437" t="str">
        <f>IF(BU$3&gt;0,VLOOKUP(EYear_O,$A$169:$CB314,COLUMN(BU2))/(VLOOKUP(EYear_O,$A169:$CB314,COLUMN($CB$2))),"")</f>
        <v/>
      </c>
      <c r="BV316" s="437" t="str">
        <f>IF(BV$3&gt;0,VLOOKUP(EYear_O,$A$169:$CB314,COLUMN(BV2))/(VLOOKUP(EYear_O,$A169:$CB314,COLUMN($CB$2))),"")</f>
        <v/>
      </c>
      <c r="BW316" s="437" t="str">
        <f>IF(BW$3&gt;0,VLOOKUP(EYear_O,$A$169:$CB314,COLUMN(BW2))/(VLOOKUP(EYear_O,$A169:$CB314,COLUMN($CB$2))),"")</f>
        <v/>
      </c>
      <c r="BX316" s="437">
        <f>IF(BX$3&gt;0,VLOOKUP(EYear_O,$A$169:$CB314,COLUMN(BX2))/(VLOOKUP(EYear_O,$A169:$CB314,COLUMN($CB$2))),"")</f>
        <v>0.99744242553347628</v>
      </c>
      <c r="BY316" s="437">
        <f>IF(BY$3&gt;0,VLOOKUP(EYear_O,$A$169:$CB314,COLUMN(BY2))/(VLOOKUP(EYear_O,$A169:$CB314,COLUMN($CB$2))),"")</f>
        <v>2.5575744665238009E-3</v>
      </c>
      <c r="BZ316" s="437" t="str">
        <f>IF(BZ$3&gt;0,VLOOKUP(EYear_O,$A$169:$CB314,COLUMN(BZ2))/(VLOOKUP(EYear_O,$A169:$CB314,COLUMN($CB$2))),"")</f>
        <v/>
      </c>
      <c r="CA316" s="565"/>
      <c r="CB316" s="206"/>
      <c r="CC316" s="206"/>
      <c r="CD316" s="208"/>
      <c r="CE316" s="143"/>
      <c r="CF316" s="143"/>
      <c r="CG316" s="209"/>
      <c r="CO316" s="189"/>
    </row>
    <row r="317" spans="1:103" ht="13" thickBot="1">
      <c r="A317" s="210" t="s">
        <v>309</v>
      </c>
      <c r="B317" s="427"/>
      <c r="C317" s="427"/>
      <c r="D317" s="427"/>
      <c r="E317" s="427"/>
      <c r="F317" s="427"/>
      <c r="G317" s="428"/>
      <c r="H317" s="428"/>
      <c r="I317" s="427"/>
      <c r="J317" s="427"/>
      <c r="K317" s="427"/>
      <c r="L317" s="427"/>
      <c r="M317" s="427"/>
      <c r="N317" s="427"/>
      <c r="O317" s="427"/>
      <c r="P317" s="427"/>
      <c r="Q317" s="427"/>
      <c r="R317" s="427"/>
      <c r="S317" s="427"/>
      <c r="T317" s="427"/>
      <c r="U317" s="427"/>
      <c r="V317" s="427"/>
      <c r="W317" s="427"/>
      <c r="X317" s="427"/>
      <c r="Y317" s="427"/>
      <c r="Z317" s="427"/>
      <c r="AA317" s="427"/>
      <c r="AB317" s="427"/>
      <c r="AC317" s="427"/>
      <c r="AD317" s="427"/>
      <c r="AE317" s="427"/>
      <c r="AF317" s="427"/>
      <c r="AG317" s="427"/>
      <c r="AH317" s="427"/>
      <c r="AI317" s="427"/>
      <c r="AJ317" s="427"/>
      <c r="AK317" s="427"/>
      <c r="AL317" s="427"/>
      <c r="AM317" s="427"/>
      <c r="AN317" s="427"/>
      <c r="AO317" s="427"/>
      <c r="AP317" s="427"/>
      <c r="AQ317" s="427"/>
      <c r="AR317" s="427"/>
      <c r="AS317" s="427"/>
      <c r="AT317" s="427"/>
      <c r="AU317" s="427"/>
      <c r="AV317" s="427"/>
      <c r="AW317" s="427"/>
      <c r="AX317" s="427"/>
      <c r="AY317" s="427"/>
      <c r="AZ317" s="427"/>
      <c r="BA317" s="427"/>
      <c r="BB317" s="427"/>
      <c r="BC317" s="427"/>
      <c r="BD317" s="427"/>
      <c r="BE317" s="427"/>
      <c r="BF317" s="427"/>
      <c r="BG317" s="427"/>
      <c r="BH317" s="427"/>
      <c r="BI317" s="427"/>
      <c r="BJ317" s="427"/>
      <c r="BK317" s="427"/>
      <c r="BL317" s="427"/>
      <c r="BM317" s="427"/>
      <c r="BN317" s="427"/>
      <c r="BO317" s="427"/>
      <c r="BP317" s="427"/>
      <c r="BQ317" s="427"/>
      <c r="BR317" s="427"/>
      <c r="BS317" s="427"/>
      <c r="BT317" s="427"/>
      <c r="BU317" s="427"/>
      <c r="BV317" s="427"/>
      <c r="BW317" s="427"/>
      <c r="BX317" s="427"/>
      <c r="BY317" s="427"/>
      <c r="BZ317" s="427"/>
      <c r="CA317" s="565"/>
      <c r="CB317" s="206"/>
      <c r="CC317" s="32"/>
      <c r="CD317" s="207"/>
      <c r="CO317" s="189"/>
    </row>
    <row r="318" spans="1:103" ht="21" thickBot="1">
      <c r="A318" s="212" t="s">
        <v>406</v>
      </c>
      <c r="B318" s="213"/>
      <c r="C318" s="213" t="s">
        <v>176</v>
      </c>
      <c r="D318" s="213" t="s">
        <v>177</v>
      </c>
      <c r="E318" s="213" t="s">
        <v>178</v>
      </c>
      <c r="F318" s="477" t="s">
        <v>179</v>
      </c>
      <c r="G318" s="477" t="s">
        <v>180</v>
      </c>
      <c r="H318" s="474" t="s">
        <v>181</v>
      </c>
      <c r="I318" s="429"/>
      <c r="J318" s="430"/>
      <c r="K318" s="430"/>
      <c r="L318" s="430"/>
      <c r="M318" s="430"/>
      <c r="N318" s="430"/>
      <c r="O318" s="430"/>
      <c r="P318" s="430"/>
      <c r="Q318" s="430"/>
      <c r="R318" s="430"/>
      <c r="S318" s="430"/>
      <c r="T318" s="430"/>
      <c r="U318" s="430"/>
      <c r="V318" s="430"/>
      <c r="W318" s="430"/>
      <c r="X318" s="430"/>
      <c r="Y318" s="430"/>
      <c r="Z318" s="430"/>
      <c r="AA318" s="430"/>
      <c r="AB318" s="430"/>
      <c r="AC318" s="430"/>
      <c r="AD318" s="430"/>
      <c r="AE318" s="430"/>
      <c r="AF318" s="430"/>
      <c r="AG318" s="430"/>
      <c r="AH318" s="430"/>
      <c r="AI318" s="430"/>
      <c r="AJ318" s="430"/>
      <c r="AK318" s="430"/>
      <c r="AL318" s="430"/>
      <c r="AM318" s="430"/>
      <c r="AN318" s="430"/>
      <c r="AO318" s="430"/>
      <c r="AP318" s="430"/>
      <c r="AQ318" s="430"/>
      <c r="AR318" s="430"/>
      <c r="AS318" s="430"/>
      <c r="AT318" s="430"/>
      <c r="AU318" s="430"/>
      <c r="AV318" s="430"/>
      <c r="AW318" s="430"/>
      <c r="AX318" s="430"/>
      <c r="AY318" s="430"/>
      <c r="AZ318" s="430"/>
      <c r="BA318" s="430"/>
      <c r="BB318" s="430"/>
      <c r="BC318" s="430"/>
      <c r="BD318" s="430"/>
      <c r="BE318" s="430"/>
      <c r="BF318" s="430"/>
      <c r="BG318" s="430"/>
      <c r="BH318" s="430"/>
      <c r="BI318" s="430"/>
      <c r="BJ318" s="430"/>
      <c r="BK318" s="430"/>
      <c r="BL318" s="430"/>
      <c r="BM318" s="430"/>
      <c r="BN318" s="430"/>
      <c r="BO318" s="430"/>
      <c r="BP318" s="430"/>
      <c r="BQ318" s="430"/>
      <c r="BR318" s="430"/>
      <c r="BS318" s="430"/>
      <c r="BT318" s="430"/>
      <c r="BU318" s="430"/>
      <c r="BV318" s="430"/>
      <c r="BW318" s="430"/>
      <c r="BX318" s="430"/>
      <c r="BY318" s="430"/>
      <c r="BZ318" s="430"/>
      <c r="CA318" s="566"/>
      <c r="CB318" s="215"/>
      <c r="CC318" s="215"/>
      <c r="CD318" s="217"/>
      <c r="CE318" s="26"/>
      <c r="CO318" s="189"/>
    </row>
    <row r="319" spans="1:103" ht="14" thickTop="1" thickBot="1">
      <c r="A319" s="218" t="s">
        <v>407</v>
      </c>
      <c r="B319" s="441">
        <f>IF(CB167="ERROR","ERROR",VLOOKUP(EYear_O,Unrebal_ReturnsTable_O,COLUMN(CB140),FALSE))</f>
        <v>1219777227.6651621</v>
      </c>
      <c r="C319" s="219">
        <f>RATE(Portfolio!$T$85,0,-$CB$4,B319)*100</f>
        <v>8.4121099052423762</v>
      </c>
      <c r="D319" s="219">
        <f ca="1">STDEV(Unrebal_NominalReturns_O)</f>
        <v>15.919719179934189</v>
      </c>
      <c r="E319" s="219">
        <f ca="1">((AVERAGE(Unrebal_NominalReturns_O))-(AVERAGE(TBill_O)))/STDEV(Unrebal_NominalReturns_O)</f>
        <v>0.33956945384230064</v>
      </c>
      <c r="F319" s="219">
        <f t="array" aca="1" ref="F319" ca="1">(AVERAGE(Unrebal_NominalReturns_O)-MAR72_Nominal*100)/SQRT(SUM(IF(Unrebal_NominalReturns_O&lt;MAR72_Nominal*100,(Unrebal_NominalReturns_O-MAR72_Nominal*100)^2))/COUNT(Unrebal_NominalReturns_O))</f>
        <v>0.51140277068556583</v>
      </c>
      <c r="G319" s="472">
        <f ca="1">PEARSON(Unrebal_NominalReturns_O,OFFSET(Data_All!$B$8,$A$157,0,$C$157,1))</f>
        <v>0.97480513484736098</v>
      </c>
      <c r="H319" s="475">
        <f ca="1">PEARSON(Unrebal_NominalReturns_O,OFFSET(Data_All!$N$8,$A$157,0,$C$157,1))</f>
        <v>0.67575285081520631</v>
      </c>
      <c r="I319" s="431"/>
      <c r="J319" s="432"/>
      <c r="K319" s="432"/>
      <c r="L319" s="432"/>
      <c r="M319" s="432"/>
      <c r="N319" s="432"/>
      <c r="O319" s="432"/>
      <c r="P319" s="432"/>
      <c r="Q319" s="432"/>
      <c r="R319" s="432"/>
      <c r="S319" s="432"/>
      <c r="T319" s="432"/>
      <c r="U319" s="432"/>
      <c r="V319" s="432"/>
      <c r="W319" s="432"/>
      <c r="X319" s="432"/>
      <c r="Y319" s="432"/>
      <c r="Z319" s="432"/>
      <c r="AA319" s="432"/>
      <c r="AB319" s="432"/>
      <c r="AC319" s="432"/>
      <c r="AD319" s="432"/>
      <c r="AE319" s="432"/>
      <c r="AF319" s="432"/>
      <c r="AG319" s="432"/>
      <c r="AH319" s="432"/>
      <c r="AI319" s="432"/>
      <c r="AJ319" s="432"/>
      <c r="AK319" s="432"/>
      <c r="AL319" s="432"/>
      <c r="AM319" s="432"/>
      <c r="AN319" s="432"/>
      <c r="AO319" s="432"/>
      <c r="AP319" s="432"/>
      <c r="AQ319" s="432"/>
      <c r="AR319" s="432"/>
      <c r="AS319" s="432"/>
      <c r="AT319" s="432"/>
      <c r="AU319" s="432"/>
      <c r="AV319" s="432"/>
      <c r="AW319" s="432"/>
      <c r="AX319" s="432"/>
      <c r="AY319" s="432"/>
      <c r="AZ319" s="432"/>
      <c r="BA319" s="432"/>
      <c r="BB319" s="432"/>
      <c r="BC319" s="432"/>
      <c r="BD319" s="432"/>
      <c r="BE319" s="432"/>
      <c r="BF319" s="432"/>
      <c r="BG319" s="432"/>
      <c r="BH319" s="432"/>
      <c r="BI319" s="432"/>
      <c r="BJ319" s="432"/>
      <c r="BK319" s="432"/>
      <c r="BL319" s="432"/>
      <c r="BM319" s="432"/>
      <c r="BN319" s="432"/>
      <c r="BO319" s="432"/>
      <c r="BP319" s="432"/>
      <c r="BQ319" s="432"/>
      <c r="BR319" s="432"/>
      <c r="BS319" s="432"/>
      <c r="BT319" s="432"/>
      <c r="BU319" s="432"/>
      <c r="BV319" s="432"/>
      <c r="BW319" s="432"/>
      <c r="BX319" s="432"/>
      <c r="BY319" s="432"/>
      <c r="BZ319" s="432"/>
      <c r="CA319" s="31"/>
      <c r="CB319" s="32"/>
      <c r="CC319" s="32"/>
      <c r="CD319" s="207"/>
      <c r="CO319" s="189"/>
    </row>
    <row r="320" spans="1:103" ht="13" thickBot="1">
      <c r="A320" s="223" t="s">
        <v>408</v>
      </c>
      <c r="B320" s="442">
        <f>IF(CB167="ERROR","ERROR",VLOOKUP(EYear_O,Unrebal_ReturnsTable_O,COLUMN(CD142),FALSE))</f>
        <v>64278100.716750756</v>
      </c>
      <c r="C320" s="224">
        <f>RATE(Portfolio!$T$85,0,-$CB$4,B320)*100</f>
        <v>6.2337479358520529</v>
      </c>
      <c r="D320" s="224">
        <f ca="1">STDEV(Unrebal_RealReturns_O)</f>
        <v>16.080383196621884</v>
      </c>
      <c r="E320" s="224">
        <f ca="1">((AVERAGE(Unrebal_RealReturns_O))-(AVERAGE(TBill_O_Real)))/STDEV(Unrebal_RealReturns_O)</f>
        <v>0.32323538765029863</v>
      </c>
      <c r="F320" s="473">
        <f t="array" aca="1" ref="F320" ca="1">(AVERAGE(Unrebal_RealReturns_O)-MAR72_Real*100)/SQRT(SUM(IF(Unrebal_RealReturns_O&lt;MAR72_Real*100,(Unrebal_RealReturns_O-MAR72_Real*100)^2))/COUNT(Unrebal_RealReturns_O))</f>
        <v>0.6208789815607586</v>
      </c>
      <c r="G320" s="293">
        <f ca="1">PEARSON(Unrebal_RealReturns_O,OFFSET(Data_All!$B$8,$A$157,0,$C$157,1))</f>
        <v>0.88989151175198067</v>
      </c>
      <c r="H320" s="476">
        <f ca="1">PEARSON(Unrebal_RealReturns_O,OFFSET(Data_All!$N$8,$A$157,0,$C$157,1))</f>
        <v>0.66068937237636138</v>
      </c>
      <c r="I320" s="433"/>
      <c r="J320" s="434"/>
      <c r="K320" s="434"/>
      <c r="L320" s="434"/>
      <c r="M320" s="434"/>
      <c r="N320" s="434"/>
      <c r="O320" s="434"/>
      <c r="P320" s="434"/>
      <c r="Q320" s="434"/>
      <c r="R320" s="434"/>
      <c r="S320" s="434"/>
      <c r="T320" s="434"/>
      <c r="U320" s="434"/>
      <c r="V320" s="434"/>
      <c r="W320" s="434"/>
      <c r="X320" s="434"/>
      <c r="Y320" s="434"/>
      <c r="Z320" s="434"/>
      <c r="AA320" s="434"/>
      <c r="AB320" s="434"/>
      <c r="AC320" s="434"/>
      <c r="AD320" s="434"/>
      <c r="AE320" s="434"/>
      <c r="AF320" s="434"/>
      <c r="AG320" s="434"/>
      <c r="AH320" s="434"/>
      <c r="AI320" s="434"/>
      <c r="AJ320" s="434"/>
      <c r="AK320" s="434"/>
      <c r="AL320" s="434"/>
      <c r="AM320" s="434"/>
      <c r="AN320" s="434"/>
      <c r="AO320" s="434"/>
      <c r="AP320" s="434"/>
      <c r="AQ320" s="434"/>
      <c r="AR320" s="434"/>
      <c r="AS320" s="434"/>
      <c r="AT320" s="434"/>
      <c r="AU320" s="434"/>
      <c r="AV320" s="434"/>
      <c r="AW320" s="434"/>
      <c r="AX320" s="434"/>
      <c r="AY320" s="434"/>
      <c r="AZ320" s="434"/>
      <c r="BA320" s="434"/>
      <c r="BB320" s="434"/>
      <c r="BC320" s="434"/>
      <c r="BD320" s="434"/>
      <c r="BE320" s="434"/>
      <c r="BF320" s="434"/>
      <c r="BG320" s="434"/>
      <c r="BH320" s="434"/>
      <c r="BI320" s="434"/>
      <c r="BJ320" s="434"/>
      <c r="BK320" s="434"/>
      <c r="BL320" s="434"/>
      <c r="BM320" s="434"/>
      <c r="BN320" s="434"/>
      <c r="BO320" s="434"/>
      <c r="BP320" s="434"/>
      <c r="BQ320" s="434"/>
      <c r="BR320" s="434"/>
      <c r="BS320" s="434"/>
      <c r="BT320" s="434"/>
      <c r="BU320" s="434"/>
      <c r="BV320" s="434"/>
      <c r="BW320" s="434"/>
      <c r="BX320" s="434"/>
      <c r="BY320" s="434"/>
      <c r="BZ320" s="434"/>
      <c r="CA320" s="327"/>
      <c r="CB320" s="225"/>
      <c r="CC320" s="225"/>
      <c r="CD320" s="227"/>
      <c r="CO320" s="189"/>
    </row>
    <row r="321" spans="1:99" ht="14" thickTop="1">
      <c r="A321" t="s">
        <v>309</v>
      </c>
      <c r="I321" s="229" t="str">
        <f>"Portfolio Nominal (Unbalanced) = "&amp;TEXT($B319,"#,##0")</f>
        <v>Portfolio Nominal (Unbalanced) = 1,219,777,228</v>
      </c>
      <c r="J321" s="229"/>
      <c r="K321" s="229"/>
      <c r="L321" s="229"/>
      <c r="M321" s="229"/>
      <c r="N321" s="229"/>
      <c r="Q321" s="640" t="str">
        <f>"Portfolio Real (Unbalanced) = "&amp;TEXT($B320,"#,##0")</f>
        <v>Portfolio Real (Unbalanced) = 64,278,101</v>
      </c>
      <c r="R321" s="640"/>
      <c r="S321" s="640"/>
      <c r="T321" s="640"/>
      <c r="U321" s="640"/>
      <c r="V321" s="640"/>
      <c r="W321" s="640"/>
      <c r="X321" s="640"/>
      <c r="BA321"/>
      <c r="CO321" s="189"/>
    </row>
    <row r="322" spans="1:99" ht="13" thickBot="1">
      <c r="BA322"/>
      <c r="CO322" s="189"/>
    </row>
    <row r="323" spans="1:99" ht="16" thickBot="1">
      <c r="A323" s="642" t="s">
        <v>744</v>
      </c>
      <c r="B323" s="643"/>
      <c r="C323" s="643"/>
      <c r="D323" s="643"/>
      <c r="E323" s="643"/>
      <c r="F323" s="47"/>
      <c r="G323" s="47"/>
      <c r="H323" s="47"/>
      <c r="I323" s="189"/>
      <c r="J323" s="47"/>
      <c r="K323" s="47"/>
      <c r="L323" s="47"/>
      <c r="M323" s="47"/>
      <c r="N323" s="47"/>
      <c r="O323" s="47"/>
      <c r="P323" s="47"/>
      <c r="Q323" s="189"/>
      <c r="R323" s="47"/>
      <c r="S323" s="47"/>
      <c r="T323" s="47"/>
      <c r="U323" s="47"/>
      <c r="V323" s="47"/>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c r="CA323" s="47"/>
      <c r="CB323" s="47"/>
      <c r="CC323" s="47"/>
      <c r="CD323" s="47"/>
      <c r="CE323" s="47"/>
      <c r="CF323" s="47"/>
      <c r="CG323" s="47"/>
      <c r="CH323" s="47"/>
      <c r="CI323" s="47"/>
      <c r="CJ323" s="47"/>
      <c r="CK323" s="47"/>
      <c r="CL323" s="47"/>
      <c r="CM323" s="47"/>
      <c r="CN323" s="189"/>
      <c r="CO323" s="189"/>
      <c r="CP323" s="189"/>
      <c r="CQ323" s="189"/>
      <c r="CR323" s="189"/>
      <c r="CS323" s="189"/>
      <c r="CU323" s="189"/>
    </row>
    <row r="324" spans="1:99" ht="13" thickTop="1">
      <c r="A324" s="520" t="s">
        <v>641</v>
      </c>
      <c r="B324" s="549">
        <f t="array" aca="1" ref="B324" ca="1">IF(ISERROR(PRODUCT(1+OFFSET(Data_All!B$8,$A$157,0,$C$157,1)%)),"",(PRODUCT(1+OFFSET(Data_All!B$8,$A$157,0,$C$157,1)%)))</f>
        <v>183838.76654793415</v>
      </c>
      <c r="C324" s="550" t="str">
        <f t="array" aca="1" ref="C324" ca="1">IF(ISERROR(PRODUCT(1+OFFSET(Data_All!C$8,$A$157,0,$C$157,1)%)),"",(PRODUCT(1+OFFSET(Data_All!C$8,$A$157,0,$C$157,1)%)))</f>
        <v/>
      </c>
      <c r="D324" s="550">
        <f t="array" aca="1" ref="D324" ca="1">IF(ISERROR(PRODUCT(1+OFFSET(Data_All!D$8,$A$157,0,$C$157,1)%)),"",(PRODUCT(1+OFFSET(Data_All!D$8,$A$157,0,$C$157,1)%)))</f>
        <v>177371.60371038428</v>
      </c>
      <c r="E324" s="550" t="str">
        <f t="array" aca="1" ref="E324" ca="1">IF(ISERROR(PRODUCT(1+OFFSET(Data_All!E$8,$A$157,0,$C$157,1)%)),"",(PRODUCT(1+OFFSET(Data_All!E$8,$A$157,0,$C$157,1)%)))</f>
        <v/>
      </c>
      <c r="F324" s="550" t="str">
        <f t="array" aca="1" ref="F324" ca="1">IF(ISERROR(PRODUCT(1+OFFSET(Data_All!F$8,$A$157,0,$C$157,1)%)),"",(PRODUCT(1+OFFSET(Data_All!F$8,$A$157,0,$C$157,1)%)))</f>
        <v/>
      </c>
      <c r="G324" s="550" t="str">
        <f t="array" aca="1" ref="G324" ca="1">IF(ISERROR(PRODUCT(1+OFFSET(Data_All!G$8,$A$157,0,$C$157,1)%)),"",(PRODUCT(1+OFFSET(Data_All!G$8,$A$157,0,$C$157,1)%)))</f>
        <v/>
      </c>
      <c r="H324" s="550" t="str">
        <f t="array" aca="1" ref="H324" ca="1">IF(ISERROR(PRODUCT(1+OFFSET(Data_All!H$8,$A$157,0,$C$157,1)%)),"",(PRODUCT(1+OFFSET(Data_All!H$8,$A$157,0,$C$157,1)%)))</f>
        <v/>
      </c>
      <c r="I324" s="550" t="str">
        <f t="array" aca="1" ref="I324" ca="1">IF(ISERROR(PRODUCT(1+OFFSET(Data_All!I$8,$A$157,0,$C$157,1)%)),"",(PRODUCT(1+OFFSET(Data_All!I$8,$A$157,0,$C$157,1)%)))</f>
        <v/>
      </c>
      <c r="J324" s="550" t="str">
        <f t="array" aca="1" ref="J324" ca="1">IF(ISERROR(PRODUCT(1+OFFSET(Data_All!J$8,$A$157,0,$C$157,1)%)),"",(PRODUCT(1+OFFSET(Data_All!J$8,$A$157,0,$C$157,1)%)))</f>
        <v/>
      </c>
      <c r="K324" s="550" t="str">
        <f t="array" aca="1" ref="K324" ca="1">IF(ISERROR(PRODUCT(1+OFFSET(Data_All!K$8,$A$157,0,$C$157,1)%)),"",(PRODUCT(1+OFFSET(Data_All!K$8,$A$157,0,$C$157,1)%)))</f>
        <v/>
      </c>
      <c r="L324" s="550" t="str">
        <f t="array" aca="1" ref="L324" ca="1">IF(ISERROR(PRODUCT(1+OFFSET(Data_All!L$8,$A$157,0,$C$157,1)%)),"",(PRODUCT(1+OFFSET(Data_All!L$8,$A$157,0,$C$157,1)%)))</f>
        <v/>
      </c>
      <c r="M324" s="550" t="str">
        <f t="array" aca="1" ref="M324" ca="1">IF(ISERROR(PRODUCT(1+OFFSET(Data_All!M$8,$A$157,0,$C$157,1)%)),"",(PRODUCT(1+OFFSET(Data_All!M$8,$A$157,0,$C$157,1)%)))</f>
        <v/>
      </c>
      <c r="N324" s="550" t="str">
        <f t="array" aca="1" ref="N324" ca="1">IF(ISERROR(PRODUCT(1+OFFSET(Data_All!N$8,$A$157,0,$C$157,1)%)),"",(PRODUCT(1+OFFSET(Data_All!N$8,$A$157,0,$C$157,1)%)))</f>
        <v/>
      </c>
      <c r="O324" s="550" t="str">
        <f t="array" aca="1" ref="O324" ca="1">IF(ISERROR(PRODUCT(1+OFFSET(Data_All!O$8,$A$157,0,$C$157,1)%)),"",(PRODUCT(1+OFFSET(Data_All!O$8,$A$157,0,$C$157,1)%)))</f>
        <v/>
      </c>
      <c r="P324" s="550" t="str">
        <f t="array" aca="1" ref="P324" ca="1">IF(ISERROR(PRODUCT(1+OFFSET(Data_All!P$8,$A$157,0,$C$157,1)%)),"",(PRODUCT(1+OFFSET(Data_All!P$8,$A$157,0,$C$157,1)%)))</f>
        <v/>
      </c>
      <c r="Q324" s="550" t="str">
        <f t="array" aca="1" ref="Q324" ca="1">IF(ISERROR(PRODUCT(1+OFFSET(Data_All!Q$8,$A$157,0,$C$157,1)%)),"",(PRODUCT(1+OFFSET(Data_All!Q$8,$A$157,0,$C$157,1)%)))</f>
        <v/>
      </c>
      <c r="R324" s="550" t="str">
        <f t="array" aca="1" ref="R324" ca="1">IF(ISERROR(PRODUCT(1+OFFSET(Data_All!R$8,$A$157,0,$C$157,1)%)),"",(PRODUCT(1+OFFSET(Data_All!R$8,$A$157,0,$C$157,1)%)))</f>
        <v/>
      </c>
      <c r="S324" s="550" t="str">
        <f t="array" aca="1" ref="S324" ca="1">IF(ISERROR(PRODUCT(1+OFFSET(Data_All!S$8,$A$157,0,$C$157,1)%)),"",(PRODUCT(1+OFFSET(Data_All!S$8,$A$157,0,$C$157,1)%)))</f>
        <v/>
      </c>
      <c r="T324" s="550">
        <f t="array" aca="1" ref="T324" ca="1">IF(ISERROR(PRODUCT(1+OFFSET(Data_All!T$8,$A$157,0,$C$157,1)%)),"",(PRODUCT(1+OFFSET(Data_All!T$8,$A$157,0,$C$157,1)%)))</f>
        <v>642.59614716431236</v>
      </c>
      <c r="U324" s="550">
        <f t="array" aca="1" ref="U324" ca="1">IF(ISERROR(PRODUCT(1+OFFSET(Data_All!U$8,$A$157,0,$C$157,1)%)),"",(PRODUCT(1+OFFSET(Data_All!U$8,$A$157,0,$C$157,1)%)))</f>
        <v>668.3812124403205</v>
      </c>
      <c r="V324" s="550">
        <f t="array" aca="1" ref="V324" ca="1">IF(ISERROR(PRODUCT(1+OFFSET(Data_All!V$8,$A$157,0,$C$157,1)%)),"",(PRODUCT(1+OFFSET(Data_All!V$8,$A$157,0,$C$157,1)%)))</f>
        <v>379.24156021168028</v>
      </c>
      <c r="W324" s="550" t="str">
        <f t="array" aca="1" ref="W324" ca="1">IF(ISERROR(PRODUCT(1+OFFSET(Data_All!W$8,$A$157,0,$C$157,1)%)),"",(PRODUCT(1+OFFSET(Data_All!W$8,$A$157,0,$C$157,1)%)))</f>
        <v/>
      </c>
      <c r="X324" s="550" t="str">
        <f t="array" aca="1" ref="X324" ca="1">IF(ISERROR(PRODUCT(1+OFFSET(Data_All!X$8,$A$157,0,$C$157,1)%)),"",(PRODUCT(1+OFFSET(Data_All!X$8,$A$157,0,$C$157,1)%)))</f>
        <v/>
      </c>
      <c r="Y324" s="550" t="str">
        <f t="array" aca="1" ref="Y324" ca="1">IF(ISERROR(PRODUCT(1+OFFSET(Data_All!Y$8,$A$157,0,$C$157,1)%)),"",(PRODUCT(1+OFFSET(Data_All!Y$8,$A$157,0,$C$157,1)%)))</f>
        <v/>
      </c>
      <c r="Z324" s="550" t="str">
        <f t="array" aca="1" ref="Z324" ca="1">IF(ISERROR(PRODUCT(1+OFFSET(Data_All!Z$8,$A$157,0,$C$157,1)%)),"",(PRODUCT(1+OFFSET(Data_All!Z$8,$A$157,0,$C$157,1)%)))</f>
        <v/>
      </c>
      <c r="AA324" s="550" t="str">
        <f t="array" aca="1" ref="AA324" ca="1">IF(ISERROR(PRODUCT(1+OFFSET(Data_All!AA$8,$A$157,0,$C$157,1)%)),"",(PRODUCT(1+OFFSET(Data_All!AA$8,$A$157,0,$C$157,1)%)))</f>
        <v/>
      </c>
      <c r="AB324" s="550" t="str">
        <f t="array" aca="1" ref="AB324" ca="1">IF(ISERROR(PRODUCT(1+OFFSET(Data_All!AB$8,$A$157,0,$C$157,1)%)),"",(PRODUCT(1+OFFSET(Data_All!AB$8,$A$157,0,$C$157,1)%)))</f>
        <v/>
      </c>
      <c r="AC324" s="550" t="str">
        <f t="array" aca="1" ref="AC324" ca="1">IF(ISERROR(PRODUCT(1+OFFSET(Data_All!AC$8,$A$157,0,$C$157,1)%)),"",(PRODUCT(1+OFFSET(Data_All!AC$8,$A$157,0,$C$157,1)%)))</f>
        <v/>
      </c>
      <c r="AD324" s="550" t="str">
        <f t="array" aca="1" ref="AD324" ca="1">IF(ISERROR(PRODUCT(1+OFFSET(Data_All!AD$8,$A$157,0,$C$157,1)%)),"",(PRODUCT(1+OFFSET(Data_All!AD$8,$A$157,0,$C$157,1)%)))</f>
        <v/>
      </c>
      <c r="AE324" s="550" t="str">
        <f t="array" aca="1" ref="AE324" ca="1">IF(ISERROR(PRODUCT(1+OFFSET(Data_All!AE$8,$A$157,0,$C$157,1)%)),"",(PRODUCT(1+OFFSET(Data_All!AE$8,$A$157,0,$C$157,1)%)))</f>
        <v/>
      </c>
      <c r="AF324" s="550" t="str">
        <f t="array" aca="1" ref="AF324" ca="1">IF(ISERROR(PRODUCT(1+OFFSET(Data_All!AF$8,$A$157,0,$C$157,1)%)),"",(PRODUCT(1+OFFSET(Data_All!AF$8,$A$157,0,$C$157,1)%)))</f>
        <v/>
      </c>
      <c r="AG324" s="550" t="str">
        <f t="array" aca="1" ref="AG324" ca="1">IF(ISERROR(PRODUCT(1+OFFSET(Data_All!AG$8,$A$157,0,$C$157,1)%)),"",(PRODUCT(1+OFFSET(Data_All!AG$8,$A$157,0,$C$157,1)%)))</f>
        <v/>
      </c>
      <c r="AH324" s="550" t="str">
        <f t="array" aca="1" ref="AH324" ca="1">IF(ISERROR(PRODUCT(1+OFFSET(Data_All!AH$8,$A$157,0,$C$157,1)%)),"",(PRODUCT(1+OFFSET(Data_All!AH$8,$A$157,0,$C$157,1)%)))</f>
        <v/>
      </c>
      <c r="AI324" s="550" t="str">
        <f t="array" aca="1" ref="AI324" ca="1">IF(ISERROR(PRODUCT(1+OFFSET(Data_All!AI$8,$A$157,0,$C$157,1)%)),"",(PRODUCT(1+OFFSET(Data_All!AI$8,$A$157,0,$C$157,1)%)))</f>
        <v/>
      </c>
      <c r="AJ324" s="550" t="str">
        <f t="array" aca="1" ref="AJ324" ca="1">IF(ISERROR(PRODUCT(1+OFFSET(Data_All!AJ$8,$A$157,0,$C$157,1)%)),"",(PRODUCT(1+OFFSET(Data_All!AJ$8,$A$157,0,$C$157,1)%)))</f>
        <v/>
      </c>
      <c r="AK324" s="550" t="str">
        <f t="array" aca="1" ref="AK324" ca="1">IF(ISERROR(PRODUCT(1+OFFSET(Data_All!AK$8,$A$157,0,$C$157,1)%)),"",(PRODUCT(1+OFFSET(Data_All!AK$8,$A$157,0,$C$157,1)%)))</f>
        <v/>
      </c>
      <c r="AL324" s="550" t="str">
        <f t="array" aca="1" ref="AL324" ca="1">IF(ISERROR(PRODUCT(1+OFFSET(Data_All!AL$8,$A$157,0,$C$157,1)%)),"",(PRODUCT(1+OFFSET(Data_All!AL$8,$A$157,0,$C$157,1)%)))</f>
        <v/>
      </c>
      <c r="AM324" s="550" t="str">
        <f t="array" aca="1" ref="AM324" ca="1">IF(ISERROR(PRODUCT(1+OFFSET(Data_All!AM$8,$A$157,0,$C$157,1)%)),"",(PRODUCT(1+OFFSET(Data_All!AM$8,$A$157,0,$C$157,1)%)))</f>
        <v/>
      </c>
      <c r="AN324" s="550" t="str">
        <f t="array" aca="1" ref="AN324" ca="1">IF(ISERROR(PRODUCT(1+OFFSET(Data_All!AN$8,$A$157,0,$C$157,1)%)),"",(PRODUCT(1+OFFSET(Data_All!AN$8,$A$157,0,$C$157,1)%)))</f>
        <v/>
      </c>
      <c r="AO324" s="550" t="str">
        <f t="array" aca="1" ref="AO324" ca="1">IF(ISERROR(PRODUCT(1+OFFSET(Data_All!AO$8,$A$157,0,$C$157,1)%)),"",(PRODUCT(1+OFFSET(Data_All!AO$8,$A$157,0,$C$157,1)%)))</f>
        <v/>
      </c>
      <c r="AP324" s="550" t="str">
        <f t="array" aca="1" ref="AP324" ca="1">IF(ISERROR(PRODUCT(1+OFFSET(Data_All!AP$8,$A$157,0,$C$157,1)%)),"",(PRODUCT(1+OFFSET(Data_All!AP$8,$A$157,0,$C$157,1)%)))</f>
        <v/>
      </c>
      <c r="AQ324" s="550" t="str">
        <f t="array" aca="1" ref="AQ324" ca="1">IF(ISERROR(PRODUCT(1+OFFSET(Data_All!AQ$8,$A$157,0,$C$157,1)%)),"",(PRODUCT(1+OFFSET(Data_All!AQ$8,$A$157,0,$C$157,1)%)))</f>
        <v/>
      </c>
      <c r="AR324" s="550" t="str">
        <f t="array" aca="1" ref="AR324" ca="1">IF(ISERROR(PRODUCT(1+OFFSET(Data_All!AR$8,$A$157,0,$C$157,1)%)),"",(PRODUCT(1+OFFSET(Data_All!AR$8,$A$157,0,$C$157,1)%)))</f>
        <v/>
      </c>
      <c r="AS324" s="550" t="str">
        <f t="array" aca="1" ref="AS324" ca="1">IF(ISERROR(PRODUCT(1+OFFSET(Data_All!AS$8,$A$157,0,$C$157,1)%)),"",(PRODUCT(1+OFFSET(Data_All!AS$8,$A$157,0,$C$157,1)%)))</f>
        <v/>
      </c>
      <c r="AT324" s="550" t="str">
        <f t="array" aca="1" ref="AT324" ca="1">IF(ISERROR(PRODUCT(1+OFFSET(Data_All!AT$8,$A$157,0,$C$157,1)%)),"",(PRODUCT(1+OFFSET(Data_All!AT$8,$A$157,0,$C$157,1)%)))</f>
        <v/>
      </c>
      <c r="AU324" s="550" t="str">
        <f t="array" aca="1" ref="AU324" ca="1">IF(ISERROR(PRODUCT(1+OFFSET(Data_All!AU$8,$A$157,0,$C$157,1)%)),"",(PRODUCT(1+OFFSET(Data_All!AU$8,$A$157,0,$C$157,1)%)))</f>
        <v/>
      </c>
      <c r="AV324" s="550" t="str">
        <f t="array" aca="1" ref="AV324" ca="1">IF(ISERROR(PRODUCT(1+OFFSET(Data_All!AV$8,$A$157,0,$C$157,1)%)),"",(PRODUCT(1+OFFSET(Data_All!AV$8,$A$157,0,$C$157,1)%)))</f>
        <v/>
      </c>
      <c r="AW324" s="550" t="str">
        <f t="array" aca="1" ref="AW324" ca="1">IF(ISERROR(PRODUCT(1+OFFSET(Data_All!AW$8,$A$157,0,$C$157,1)%)),"",(PRODUCT(1+OFFSET(Data_All!AW$8,$A$157,0,$C$157,1)%)))</f>
        <v/>
      </c>
      <c r="AX324" s="550" t="str">
        <f t="array" aca="1" ref="AX324" ca="1">IF(ISERROR(PRODUCT(1+OFFSET(Data_All!AX$8,$A$157,0,$C$157,1)%)),"",(PRODUCT(1+OFFSET(Data_All!AX$8,$A$157,0,$C$157,1)%)))</f>
        <v/>
      </c>
      <c r="AY324" s="550" t="str">
        <f t="array" aca="1" ref="AY324" ca="1">IF(ISERROR(PRODUCT(1+OFFSET(Data_All!AY$8,$A$157,0,$C$157,1)%)),"",(PRODUCT(1+OFFSET(Data_All!AY$8,$A$157,0,$C$157,1)%)))</f>
        <v/>
      </c>
      <c r="AZ324" s="550" t="str">
        <f t="array" aca="1" ref="AZ324" ca="1">IF(ISERROR(PRODUCT(1+OFFSET(Data_All!AZ$8,$A$157,0,$C$157,1)%)),"",(PRODUCT(1+OFFSET(Data_All!AZ$8,$A$157,0,$C$157,1)%)))</f>
        <v/>
      </c>
      <c r="BA324" s="550" t="str">
        <f t="array" aca="1" ref="BA324" ca="1">IF(ISERROR(PRODUCT(1+OFFSET(Data_All!BA$8,$A$157,0,$C$157,1)%)),"",(PRODUCT(1+OFFSET(Data_All!BA$8,$A$157,0,$C$157,1)%)))</f>
        <v/>
      </c>
      <c r="BB324" s="550" t="str">
        <f t="array" aca="1" ref="BB324" ca="1">IF(ISERROR(PRODUCT(1+OFFSET(Data_All!BB$8,$A$157,0,$C$157,1)%)),"",(PRODUCT(1+OFFSET(Data_All!BB$8,$A$157,0,$C$157,1)%)))</f>
        <v/>
      </c>
      <c r="BC324" s="550" t="str">
        <f t="array" aca="1" ref="BC324" ca="1">IF(ISERROR(PRODUCT(1+OFFSET(Data_All!BC$8,$A$157,0,$C$157,1)%)),"",(PRODUCT(1+OFFSET(Data_All!BC$8,$A$157,0,$C$157,1)%)))</f>
        <v/>
      </c>
      <c r="BD324" s="550" t="str">
        <f t="array" aca="1" ref="BD324" ca="1">IF(ISERROR(PRODUCT(1+OFFSET(Data_All!BD$8,$A$157,0,$C$157,1)%)),"",(PRODUCT(1+OFFSET(Data_All!BD$8,$A$157,0,$C$157,1)%)))</f>
        <v/>
      </c>
      <c r="BE324" s="550" t="str">
        <f t="array" aca="1" ref="BE324" ca="1">IF(ISERROR(PRODUCT(1+OFFSET(Data_All!BE$8,$A$157,0,$C$157,1)%)),"",(PRODUCT(1+OFFSET(Data_All!BE$8,$A$157,0,$C$157,1)%)))</f>
        <v/>
      </c>
      <c r="BF324" s="550" t="str">
        <f t="array" aca="1" ref="BF324" ca="1">IF(ISERROR(PRODUCT(1+OFFSET(Data_All!BF$8,$A$157,0,$C$157,1)%)),"",(PRODUCT(1+OFFSET(Data_All!BF$8,$A$157,0,$C$157,1)%)))</f>
        <v/>
      </c>
      <c r="BG324" s="550" t="str">
        <f t="array" aca="1" ref="BG324" ca="1">IF(ISERROR(PRODUCT(1+OFFSET(Data_All!BG$8,$A$157,0,$C$157,1)%)),"",(PRODUCT(1+OFFSET(Data_All!BG$8,$A$157,0,$C$157,1)%)))</f>
        <v/>
      </c>
      <c r="BH324" s="550" t="str">
        <f t="array" aca="1" ref="BH324" ca="1">IF(ISERROR(PRODUCT(1+OFFSET(Data_All!BH$8,$A$157,0,$C$157,1)%)),"",(PRODUCT(1+OFFSET(Data_All!BH$8,$A$157,0,$C$157,1)%)))</f>
        <v/>
      </c>
      <c r="BI324" s="550" t="str">
        <f t="array" aca="1" ref="BI324" ca="1">IF(ISERROR(PRODUCT(1+OFFSET(Data_All!BI$8,$A$157,0,$C$157,1)%)),"",(PRODUCT(1+OFFSET(Data_All!BI$8,$A$157,0,$C$157,1)%)))</f>
        <v/>
      </c>
      <c r="BJ324" s="550" t="str">
        <f t="array" aca="1" ref="BJ324" ca="1">IF(ISERROR(PRODUCT(1+OFFSET(Data_All!BJ$8,$A$157,0,$C$157,1)%)),"",(PRODUCT(1+OFFSET(Data_All!BJ$8,$A$157,0,$C$157,1)%)))</f>
        <v/>
      </c>
      <c r="BK324" s="550" t="str">
        <f t="array" aca="1" ref="BK324" ca="1">IF(ISERROR(PRODUCT(1+OFFSET(Data_All!BK$8,$A$157,0,$C$157,1)%)),"",(PRODUCT(1+OFFSET(Data_All!BK$8,$A$157,0,$C$157,1)%)))</f>
        <v/>
      </c>
      <c r="BL324" s="550" t="str">
        <f t="array" aca="1" ref="BL324" ca="1">IF(ISERROR(PRODUCT(1+OFFSET(Data_All!BL$8,$A$157,0,$C$157,1)%)),"",(PRODUCT(1+OFFSET(Data_All!BL$8,$A$157,0,$C$157,1)%)))</f>
        <v/>
      </c>
      <c r="BM324" s="550" t="str">
        <f t="array" aca="1" ref="BM324" ca="1">IF(ISERROR(PRODUCT(1+OFFSET(Data_All!BM$8,$A$157,0,$C$157,1)%)),"",(PRODUCT(1+OFFSET(Data_All!BM$8,$A$157,0,$C$157,1)%)))</f>
        <v/>
      </c>
      <c r="BN324" s="550" t="str">
        <f t="array" aca="1" ref="BN324" ca="1">IF(ISERROR(PRODUCT(1+OFFSET(Data_All!BN$8,$A$157,0,$C$157,1)%)),"",(PRODUCT(1+OFFSET(Data_All!BN$8,$A$157,0,$C$157,1)%)))</f>
        <v/>
      </c>
      <c r="BO324" s="550" t="str">
        <f t="array" aca="1" ref="BO324" ca="1">IF(ISERROR(PRODUCT(1+OFFSET(Data_All!BO$8,$A$157,0,$C$157,1)%)),"",(PRODUCT(1+OFFSET(Data_All!BO$8,$A$157,0,$C$157,1)%)))</f>
        <v/>
      </c>
      <c r="BP324" s="550" t="str">
        <f t="array" aca="1" ref="BP324" ca="1">IF(ISERROR(PRODUCT(1+OFFSET(Data_All!BP$8,$A$157,0,$C$157,1)%)),"",(PRODUCT(1+OFFSET(Data_All!BP$8,$A$157,0,$C$157,1)%)))</f>
        <v/>
      </c>
      <c r="BQ324" s="550" t="str">
        <f t="array" aca="1" ref="BQ324" ca="1">IF(ISERROR(PRODUCT(1+OFFSET(Data_All!BQ$8,$A$157,0,$C$157,1)%)),"",(PRODUCT(1+OFFSET(Data_All!BQ$8,$A$157,0,$C$157,1)%)))</f>
        <v/>
      </c>
      <c r="BR324" s="550" t="str">
        <f t="array" aca="1" ref="BR324" ca="1">IF(ISERROR(PRODUCT(1+OFFSET(Data_All!BR$8,$A$157,0,$C$157,1)%)),"",(PRODUCT(1+OFFSET(Data_All!BR$8,$A$157,0,$C$157,1)%)))</f>
        <v/>
      </c>
      <c r="BS324" s="550" t="str">
        <f t="array" aca="1" ref="BS324" ca="1">IF(ISERROR(PRODUCT(1+OFFSET(Data_All!BS$8,$A$157,0,$C$157,1)%)),"",(PRODUCT(1+OFFSET(Data_All!BS$8,$A$157,0,$C$157,1)%)))</f>
        <v/>
      </c>
      <c r="BT324" s="550" t="str">
        <f t="array" aca="1" ref="BT324" ca="1">IF(ISERROR(PRODUCT(1+OFFSET(Data_All!BT$8,$A$157,0,$C$157,1)%)),"",(PRODUCT(1+OFFSET(Data_All!BT$8,$A$157,0,$C$157,1)%)))</f>
        <v/>
      </c>
      <c r="BU324" s="550" t="str">
        <f t="array" aca="1" ref="BU324" ca="1">IF(ISERROR(PRODUCT(1+OFFSET(Data_All!BU$8,$A$157,0,$C$157,1)%)),"",(PRODUCT(1+OFFSET(Data_All!BU$8,$A$157,0,$C$157,1)%)))</f>
        <v/>
      </c>
      <c r="BV324" s="550" t="str">
        <f t="array" aca="1" ref="BV324" ca="1">IF(ISERROR(PRODUCT(1+OFFSET(Data_All!BV$8,$A$157,0,$C$157,1)%)),"",(PRODUCT(1+OFFSET(Data_All!BV$8,$A$157,0,$C$157,1)%)))</f>
        <v/>
      </c>
      <c r="BW324" s="550" t="str">
        <f t="array" aca="1" ref="BW324" ca="1">IF(ISERROR(PRODUCT(1+OFFSET(Data_All!BW$8,$A$157,0,$C$157,1)%)),"",(PRODUCT(1+OFFSET(Data_All!BW$8,$A$157,0,$C$157,1)%)))</f>
        <v/>
      </c>
      <c r="BX324" s="550">
        <f t="array" aca="1" ref="BX324" ca="1">IF(ISERROR(PRODUCT(1+OFFSET(Data_All!BX$8,$A$157,0,$C$157,1)%)),"",(PRODUCT(1+OFFSET(Data_All!BX$8,$A$157,0,$C$157,1)%)))</f>
        <v>202776.25942880643</v>
      </c>
      <c r="BY324" s="550">
        <f t="array" aca="1" ref="BY324" ca="1">IF(ISERROR(PRODUCT(1+OFFSET(Data_All!BY$8,$A$157,0,$C$157,1)%)),"",(PRODUCT(1+OFFSET(Data_All!BY$8,$A$157,0,$C$157,1)%)))</f>
        <v>779.91777308090082</v>
      </c>
      <c r="BZ324" s="551">
        <f t="array" aca="1" ref="BZ324" ca="1">IF(ISERROR(PRODUCT(1+OFFSET(Data_All!BZ$8,$A$157,0,$C$157,1)%)),"",(PRODUCT(1+OFFSET(Data_All!BZ$8,$A$157,0,$C$157,1)%)))</f>
        <v>491.65016163309264</v>
      </c>
      <c r="CC324" s="421"/>
    </row>
    <row r="325" spans="1:99">
      <c r="A325" s="521" t="s">
        <v>642</v>
      </c>
      <c r="B325" s="552">
        <f t="array" aca="1" ref="B325" ca="1">IF(ISERROR(PRODUCT(1+OFFSET(Data_All!B$8,Compare_Portfolios!$U$91,0,Compare_Portfolios!$U$90,1)%)),"",(PRODUCT(1+OFFSET(Data_All!B$8,Compare_Portfolios!$U$91,0,Compare_Portfolios!$U$90,1)%)))</f>
        <v>183838.76654793415</v>
      </c>
      <c r="C325" s="553" t="str">
        <f t="array" aca="1" ref="C325" ca="1">IF(ISERROR(PRODUCT(1+OFFSET(Data_All!C$8,Compare_Portfolios!$U$91,0,Compare_Portfolios!$U$90,1)%)),"",(PRODUCT(1+OFFSET(Data_All!C$8,Compare_Portfolios!$U$91,0,Compare_Portfolios!$U$90,1)%)))</f>
        <v/>
      </c>
      <c r="D325" s="553">
        <f t="array" aca="1" ref="D325" ca="1">IF(ISERROR(PRODUCT(1+OFFSET(Data_All!D$8,Compare_Portfolios!$U$91,0,Compare_Portfolios!$U$90,1)%)),"",(PRODUCT(1+OFFSET(Data_All!D$8,Compare_Portfolios!$U$91,0,Compare_Portfolios!$U$90,1)%)))</f>
        <v>177371.60371038428</v>
      </c>
      <c r="E325" s="553" t="str">
        <f t="array" aca="1" ref="E325" ca="1">IF(ISERROR(PRODUCT(1+OFFSET(Data_All!E$8,Compare_Portfolios!$U$91,0,Compare_Portfolios!$U$90,1)%)),"",(PRODUCT(1+OFFSET(Data_All!E$8,Compare_Portfolios!$U$91,0,Compare_Portfolios!$U$90,1)%)))</f>
        <v/>
      </c>
      <c r="F325" s="553" t="str">
        <f t="array" aca="1" ref="F325" ca="1">IF(ISERROR(PRODUCT(1+OFFSET(Data_All!F$8,Compare_Portfolios!$U$91,0,Compare_Portfolios!$U$90,1)%)),"",(PRODUCT(1+OFFSET(Data_All!F$8,Compare_Portfolios!$U$91,0,Compare_Portfolios!$U$90,1)%)))</f>
        <v/>
      </c>
      <c r="G325" s="553" t="str">
        <f t="array" aca="1" ref="G325" ca="1">IF(ISERROR(PRODUCT(1+OFFSET(Data_All!G$8,Compare_Portfolios!$U$91,0,Compare_Portfolios!$U$90,1)%)),"",(PRODUCT(1+OFFSET(Data_All!G$8,Compare_Portfolios!$U$91,0,Compare_Portfolios!$U$90,1)%)))</f>
        <v/>
      </c>
      <c r="H325" s="553" t="str">
        <f t="array" aca="1" ref="H325" ca="1">IF(ISERROR(PRODUCT(1+OFFSET(Data_All!H$8,Compare_Portfolios!$U$91,0,Compare_Portfolios!$U$90,1)%)),"",(PRODUCT(1+OFFSET(Data_All!H$8,Compare_Portfolios!$U$91,0,Compare_Portfolios!$U$90,1)%)))</f>
        <v/>
      </c>
      <c r="I325" s="553" t="str">
        <f t="array" aca="1" ref="I325" ca="1">IF(ISERROR(PRODUCT(1+OFFSET(Data_All!I$8,Compare_Portfolios!$U$91,0,Compare_Portfolios!$U$90,1)%)),"",(PRODUCT(1+OFFSET(Data_All!I$8,Compare_Portfolios!$U$91,0,Compare_Portfolios!$U$90,1)%)))</f>
        <v/>
      </c>
      <c r="J325" s="553" t="str">
        <f t="array" aca="1" ref="J325" ca="1">IF(ISERROR(PRODUCT(1+OFFSET(Data_All!J$8,Compare_Portfolios!$U$91,0,Compare_Portfolios!$U$90,1)%)),"",(PRODUCT(1+OFFSET(Data_All!J$8,Compare_Portfolios!$U$91,0,Compare_Portfolios!$U$90,1)%)))</f>
        <v/>
      </c>
      <c r="K325" s="553" t="str">
        <f t="array" aca="1" ref="K325" ca="1">IF(ISERROR(PRODUCT(1+OFFSET(Data_All!K$8,Compare_Portfolios!$U$91,0,Compare_Portfolios!$U$90,1)%)),"",(PRODUCT(1+OFFSET(Data_All!K$8,Compare_Portfolios!$U$91,0,Compare_Portfolios!$U$90,1)%)))</f>
        <v/>
      </c>
      <c r="L325" s="553" t="str">
        <f t="array" aca="1" ref="L325" ca="1">IF(ISERROR(PRODUCT(1+OFFSET(Data_All!L$8,Compare_Portfolios!$U$91,0,Compare_Portfolios!$U$90,1)%)),"",(PRODUCT(1+OFFSET(Data_All!L$8,Compare_Portfolios!$U$91,0,Compare_Portfolios!$U$90,1)%)))</f>
        <v/>
      </c>
      <c r="M325" s="553" t="str">
        <f t="array" aca="1" ref="M325" ca="1">IF(ISERROR(PRODUCT(1+OFFSET(Data_All!M$8,Compare_Portfolios!$U$91,0,Compare_Portfolios!$U$90,1)%)),"",(PRODUCT(1+OFFSET(Data_All!M$8,Compare_Portfolios!$U$91,0,Compare_Portfolios!$U$90,1)%)))</f>
        <v/>
      </c>
      <c r="N325" s="553" t="str">
        <f t="array" aca="1" ref="N325" ca="1">IF(ISERROR(PRODUCT(1+OFFSET(Data_All!N$8,Compare_Portfolios!$U$91,0,Compare_Portfolios!$U$90,1)%)),"",(PRODUCT(1+OFFSET(Data_All!N$8,Compare_Portfolios!$U$91,0,Compare_Portfolios!$U$90,1)%)))</f>
        <v/>
      </c>
      <c r="O325" s="553" t="str">
        <f t="array" aca="1" ref="O325" ca="1">IF(ISERROR(PRODUCT(1+OFFSET(Data_All!O$8,Compare_Portfolios!$U$91,0,Compare_Portfolios!$U$90,1)%)),"",(PRODUCT(1+OFFSET(Data_All!O$8,Compare_Portfolios!$U$91,0,Compare_Portfolios!$U$90,1)%)))</f>
        <v/>
      </c>
      <c r="P325" s="553" t="str">
        <f t="array" aca="1" ref="P325" ca="1">IF(ISERROR(PRODUCT(1+OFFSET(Data_All!P$8,Compare_Portfolios!$U$91,0,Compare_Portfolios!$U$90,1)%)),"",(PRODUCT(1+OFFSET(Data_All!P$8,Compare_Portfolios!$U$91,0,Compare_Portfolios!$U$90,1)%)))</f>
        <v/>
      </c>
      <c r="Q325" s="553" t="str">
        <f t="array" aca="1" ref="Q325" ca="1">IF(ISERROR(PRODUCT(1+OFFSET(Data_All!Q$8,Compare_Portfolios!$U$91,0,Compare_Portfolios!$U$90,1)%)),"",(PRODUCT(1+OFFSET(Data_All!Q$8,Compare_Portfolios!$U$91,0,Compare_Portfolios!$U$90,1)%)))</f>
        <v/>
      </c>
      <c r="R325" s="553" t="str">
        <f t="array" aca="1" ref="R325" ca="1">IF(ISERROR(PRODUCT(1+OFFSET(Data_All!R$8,Compare_Portfolios!$U$91,0,Compare_Portfolios!$U$90,1)%)),"",(PRODUCT(1+OFFSET(Data_All!R$8,Compare_Portfolios!$U$91,0,Compare_Portfolios!$U$90,1)%)))</f>
        <v/>
      </c>
      <c r="S325" s="553" t="str">
        <f t="array" aca="1" ref="S325" ca="1">IF(ISERROR(PRODUCT(1+OFFSET(Data_All!S$8,Compare_Portfolios!$U$91,0,Compare_Portfolios!$U$90,1)%)),"",(PRODUCT(1+OFFSET(Data_All!S$8,Compare_Portfolios!$U$91,0,Compare_Portfolios!$U$90,1)%)))</f>
        <v/>
      </c>
      <c r="T325" s="553">
        <f t="array" aca="1" ref="T325" ca="1">IF(ISERROR(PRODUCT(1+OFFSET(Data_All!T$8,Compare_Portfolios!$U$91,0,Compare_Portfolios!$U$90,1)%)),"",(PRODUCT(1+OFFSET(Data_All!T$8,Compare_Portfolios!$U$91,0,Compare_Portfolios!$U$90,1)%)))</f>
        <v>642.59614716431236</v>
      </c>
      <c r="U325" s="553">
        <f t="array" aca="1" ref="U325" ca="1">IF(ISERROR(PRODUCT(1+OFFSET(Data_All!U$8,Compare_Portfolios!$U$91,0,Compare_Portfolios!$U$90,1)%)),"",(PRODUCT(1+OFFSET(Data_All!U$8,Compare_Portfolios!$U$91,0,Compare_Portfolios!$U$90,1)%)))</f>
        <v>668.3812124403205</v>
      </c>
      <c r="V325" s="553">
        <f t="array" aca="1" ref="V325" ca="1">IF(ISERROR(PRODUCT(1+OFFSET(Data_All!V$8,Compare_Portfolios!$U$91,0,Compare_Portfolios!$U$90,1)%)),"",(PRODUCT(1+OFFSET(Data_All!V$8,Compare_Portfolios!$U$91,0,Compare_Portfolios!$U$90,1)%)))</f>
        <v>379.24156021168028</v>
      </c>
      <c r="W325" s="553" t="str">
        <f t="array" aca="1" ref="W325" ca="1">IF(ISERROR(PRODUCT(1+OFFSET(Data_All!W$8,Compare_Portfolios!$U$91,0,Compare_Portfolios!$U$90,1)%)),"",(PRODUCT(1+OFFSET(Data_All!W$8,Compare_Portfolios!$U$91,0,Compare_Portfolios!$U$90,1)%)))</f>
        <v/>
      </c>
      <c r="X325" s="553" t="str">
        <f t="array" aca="1" ref="X325" ca="1">IF(ISERROR(PRODUCT(1+OFFSET(Data_All!X$8,Compare_Portfolios!$U$91,0,Compare_Portfolios!$U$90,1)%)),"",(PRODUCT(1+OFFSET(Data_All!X$8,Compare_Portfolios!$U$91,0,Compare_Portfolios!$U$90,1)%)))</f>
        <v/>
      </c>
      <c r="Y325" s="553" t="str">
        <f t="array" aca="1" ref="Y325" ca="1">IF(ISERROR(PRODUCT(1+OFFSET(Data_All!Y$8,Compare_Portfolios!$U$91,0,Compare_Portfolios!$U$90,1)%)),"",(PRODUCT(1+OFFSET(Data_All!Y$8,Compare_Portfolios!$U$91,0,Compare_Portfolios!$U$90,1)%)))</f>
        <v/>
      </c>
      <c r="Z325" s="553" t="str">
        <f t="array" aca="1" ref="Z325" ca="1">IF(ISERROR(PRODUCT(1+OFFSET(Data_All!Z$8,Compare_Portfolios!$U$91,0,Compare_Portfolios!$U$90,1)%)),"",(PRODUCT(1+OFFSET(Data_All!Z$8,Compare_Portfolios!$U$91,0,Compare_Portfolios!$U$90,1)%)))</f>
        <v/>
      </c>
      <c r="AA325" s="553" t="str">
        <f t="array" aca="1" ref="AA325" ca="1">IF(ISERROR(PRODUCT(1+OFFSET(Data_All!AA$8,Compare_Portfolios!$U$91,0,Compare_Portfolios!$U$90,1)%)),"",(PRODUCT(1+OFFSET(Data_All!AA$8,Compare_Portfolios!$U$91,0,Compare_Portfolios!$U$90,1)%)))</f>
        <v/>
      </c>
      <c r="AB325" s="553" t="str">
        <f t="array" aca="1" ref="AB325" ca="1">IF(ISERROR(PRODUCT(1+OFFSET(Data_All!AB$8,Compare_Portfolios!$U$91,0,Compare_Portfolios!$U$90,1)%)),"",(PRODUCT(1+OFFSET(Data_All!AB$8,Compare_Portfolios!$U$91,0,Compare_Portfolios!$U$90,1)%)))</f>
        <v/>
      </c>
      <c r="AC325" s="553" t="str">
        <f t="array" aca="1" ref="AC325" ca="1">IF(ISERROR(PRODUCT(1+OFFSET(Data_All!AC$8,Compare_Portfolios!$U$91,0,Compare_Portfolios!$U$90,1)%)),"",(PRODUCT(1+OFFSET(Data_All!AC$8,Compare_Portfolios!$U$91,0,Compare_Portfolios!$U$90,1)%)))</f>
        <v/>
      </c>
      <c r="AD325" s="553" t="str">
        <f t="array" aca="1" ref="AD325" ca="1">IF(ISERROR(PRODUCT(1+OFFSET(Data_All!AD$8,Compare_Portfolios!$U$91,0,Compare_Portfolios!$U$90,1)%)),"",(PRODUCT(1+OFFSET(Data_All!AD$8,Compare_Portfolios!$U$91,0,Compare_Portfolios!$U$90,1)%)))</f>
        <v/>
      </c>
      <c r="AE325" s="553" t="str">
        <f t="array" aca="1" ref="AE325" ca="1">IF(ISERROR(PRODUCT(1+OFFSET(Data_All!AE$8,Compare_Portfolios!$U$91,0,Compare_Portfolios!$U$90,1)%)),"",(PRODUCT(1+OFFSET(Data_All!AE$8,Compare_Portfolios!$U$91,0,Compare_Portfolios!$U$90,1)%)))</f>
        <v/>
      </c>
      <c r="AF325" s="553" t="str">
        <f t="array" aca="1" ref="AF325" ca="1">IF(ISERROR(PRODUCT(1+OFFSET(Data_All!AF$8,Compare_Portfolios!$U$91,0,Compare_Portfolios!$U$90,1)%)),"",(PRODUCT(1+OFFSET(Data_All!AF$8,Compare_Portfolios!$U$91,0,Compare_Portfolios!$U$90,1)%)))</f>
        <v/>
      </c>
      <c r="AG325" s="553" t="str">
        <f t="array" aca="1" ref="AG325" ca="1">IF(ISERROR(PRODUCT(1+OFFSET(Data_All!AG$8,Compare_Portfolios!$U$91,0,Compare_Portfolios!$U$90,1)%)),"",(PRODUCT(1+OFFSET(Data_All!AG$8,Compare_Portfolios!$U$91,0,Compare_Portfolios!$U$90,1)%)))</f>
        <v/>
      </c>
      <c r="AH325" s="553" t="str">
        <f t="array" aca="1" ref="AH325" ca="1">IF(ISERROR(PRODUCT(1+OFFSET(Data_All!AH$8,Compare_Portfolios!$U$91,0,Compare_Portfolios!$U$90,1)%)),"",(PRODUCT(1+OFFSET(Data_All!AH$8,Compare_Portfolios!$U$91,0,Compare_Portfolios!$U$90,1)%)))</f>
        <v/>
      </c>
      <c r="AI325" s="553" t="str">
        <f t="array" aca="1" ref="AI325" ca="1">IF(ISERROR(PRODUCT(1+OFFSET(Data_All!AI$8,Compare_Portfolios!$U$91,0,Compare_Portfolios!$U$90,1)%)),"",(PRODUCT(1+OFFSET(Data_All!AI$8,Compare_Portfolios!$U$91,0,Compare_Portfolios!$U$90,1)%)))</f>
        <v/>
      </c>
      <c r="AJ325" s="553" t="str">
        <f t="array" aca="1" ref="AJ325" ca="1">IF(ISERROR(PRODUCT(1+OFFSET(Data_All!AJ$8,Compare_Portfolios!$U$91,0,Compare_Portfolios!$U$90,1)%)),"",(PRODUCT(1+OFFSET(Data_All!AJ$8,Compare_Portfolios!$U$91,0,Compare_Portfolios!$U$90,1)%)))</f>
        <v/>
      </c>
      <c r="AK325" s="553" t="str">
        <f t="array" aca="1" ref="AK325" ca="1">IF(ISERROR(PRODUCT(1+OFFSET(Data_All!AK$8,Compare_Portfolios!$U$91,0,Compare_Portfolios!$U$90,1)%)),"",(PRODUCT(1+OFFSET(Data_All!AK$8,Compare_Portfolios!$U$91,0,Compare_Portfolios!$U$90,1)%)))</f>
        <v/>
      </c>
      <c r="AL325" s="553" t="str">
        <f t="array" aca="1" ref="AL325" ca="1">IF(ISERROR(PRODUCT(1+OFFSET(Data_All!AL$8,Compare_Portfolios!$U$91,0,Compare_Portfolios!$U$90,1)%)),"",(PRODUCT(1+OFFSET(Data_All!AL$8,Compare_Portfolios!$U$91,0,Compare_Portfolios!$U$90,1)%)))</f>
        <v/>
      </c>
      <c r="AM325" s="553" t="str">
        <f t="array" aca="1" ref="AM325" ca="1">IF(ISERROR(PRODUCT(1+OFFSET(Data_All!AM$8,Compare_Portfolios!$U$91,0,Compare_Portfolios!$U$90,1)%)),"",(PRODUCT(1+OFFSET(Data_All!AM$8,Compare_Portfolios!$U$91,0,Compare_Portfolios!$U$90,1)%)))</f>
        <v/>
      </c>
      <c r="AN325" s="553" t="str">
        <f t="array" aca="1" ref="AN325" ca="1">IF(ISERROR(PRODUCT(1+OFFSET(Data_All!AN$8,Compare_Portfolios!$U$91,0,Compare_Portfolios!$U$90,1)%)),"",(PRODUCT(1+OFFSET(Data_All!AN$8,Compare_Portfolios!$U$91,0,Compare_Portfolios!$U$90,1)%)))</f>
        <v/>
      </c>
      <c r="AO325" s="553" t="str">
        <f t="array" aca="1" ref="AO325" ca="1">IF(ISERROR(PRODUCT(1+OFFSET(Data_All!AO$8,Compare_Portfolios!$U$91,0,Compare_Portfolios!$U$90,1)%)),"",(PRODUCT(1+OFFSET(Data_All!AO$8,Compare_Portfolios!$U$91,0,Compare_Portfolios!$U$90,1)%)))</f>
        <v/>
      </c>
      <c r="AP325" s="553" t="str">
        <f t="array" aca="1" ref="AP325" ca="1">IF(ISERROR(PRODUCT(1+OFFSET(Data_All!AP$8,Compare_Portfolios!$U$91,0,Compare_Portfolios!$U$90,1)%)),"",(PRODUCT(1+OFFSET(Data_All!AP$8,Compare_Portfolios!$U$91,0,Compare_Portfolios!$U$90,1)%)))</f>
        <v/>
      </c>
      <c r="AQ325" s="553" t="str">
        <f t="array" aca="1" ref="AQ325" ca="1">IF(ISERROR(PRODUCT(1+OFFSET(Data_All!AQ$8,Compare_Portfolios!$U$91,0,Compare_Portfolios!$U$90,1)%)),"",(PRODUCT(1+OFFSET(Data_All!AQ$8,Compare_Portfolios!$U$91,0,Compare_Portfolios!$U$90,1)%)))</f>
        <v/>
      </c>
      <c r="AR325" s="553" t="str">
        <f t="array" aca="1" ref="AR325" ca="1">IF(ISERROR(PRODUCT(1+OFFSET(Data_All!AR$8,Compare_Portfolios!$U$91,0,Compare_Portfolios!$U$90,1)%)),"",(PRODUCT(1+OFFSET(Data_All!AR$8,Compare_Portfolios!$U$91,0,Compare_Portfolios!$U$90,1)%)))</f>
        <v/>
      </c>
      <c r="AS325" s="553" t="str">
        <f t="array" aca="1" ref="AS325" ca="1">IF(ISERROR(PRODUCT(1+OFFSET(Data_All!AS$8,Compare_Portfolios!$U$91,0,Compare_Portfolios!$U$90,1)%)),"",(PRODUCT(1+OFFSET(Data_All!AS$8,Compare_Portfolios!$U$91,0,Compare_Portfolios!$U$90,1)%)))</f>
        <v/>
      </c>
      <c r="AT325" s="553" t="str">
        <f t="array" aca="1" ref="AT325" ca="1">IF(ISERROR(PRODUCT(1+OFFSET(Data_All!AT$8,Compare_Portfolios!$U$91,0,Compare_Portfolios!$U$90,1)%)),"",(PRODUCT(1+OFFSET(Data_All!AT$8,Compare_Portfolios!$U$91,0,Compare_Portfolios!$U$90,1)%)))</f>
        <v/>
      </c>
      <c r="AU325" s="553" t="str">
        <f t="array" aca="1" ref="AU325" ca="1">IF(ISERROR(PRODUCT(1+OFFSET(Data_All!AU$8,Compare_Portfolios!$U$91,0,Compare_Portfolios!$U$90,1)%)),"",(PRODUCT(1+OFFSET(Data_All!AU$8,Compare_Portfolios!$U$91,0,Compare_Portfolios!$U$90,1)%)))</f>
        <v/>
      </c>
      <c r="AV325" s="553" t="str">
        <f t="array" aca="1" ref="AV325" ca="1">IF(ISERROR(PRODUCT(1+OFFSET(Data_All!AV$8,Compare_Portfolios!$U$91,0,Compare_Portfolios!$U$90,1)%)),"",(PRODUCT(1+OFFSET(Data_All!AV$8,Compare_Portfolios!$U$91,0,Compare_Portfolios!$U$90,1)%)))</f>
        <v/>
      </c>
      <c r="AW325" s="553" t="str">
        <f t="array" aca="1" ref="AW325" ca="1">IF(ISERROR(PRODUCT(1+OFFSET(Data_All!AW$8,Compare_Portfolios!$U$91,0,Compare_Portfolios!$U$90,1)%)),"",(PRODUCT(1+OFFSET(Data_All!AW$8,Compare_Portfolios!$U$91,0,Compare_Portfolios!$U$90,1)%)))</f>
        <v/>
      </c>
      <c r="AX325" s="553" t="str">
        <f t="array" aca="1" ref="AX325" ca="1">IF(ISERROR(PRODUCT(1+OFFSET(Data_All!AX$8,Compare_Portfolios!$U$91,0,Compare_Portfolios!$U$90,1)%)),"",(PRODUCT(1+OFFSET(Data_All!AX$8,Compare_Portfolios!$U$91,0,Compare_Portfolios!$U$90,1)%)))</f>
        <v/>
      </c>
      <c r="AY325" s="553" t="str">
        <f t="array" aca="1" ref="AY325" ca="1">IF(ISERROR(PRODUCT(1+OFFSET(Data_All!AY$8,Compare_Portfolios!$U$91,0,Compare_Portfolios!$U$90,1)%)),"",(PRODUCT(1+OFFSET(Data_All!AY$8,Compare_Portfolios!$U$91,0,Compare_Portfolios!$U$90,1)%)))</f>
        <v/>
      </c>
      <c r="AZ325" s="553" t="str">
        <f t="array" aca="1" ref="AZ325" ca="1">IF(ISERROR(PRODUCT(1+OFFSET(Data_All!AZ$8,Compare_Portfolios!$U$91,0,Compare_Portfolios!$U$90,1)%)),"",(PRODUCT(1+OFFSET(Data_All!AZ$8,Compare_Portfolios!$U$91,0,Compare_Portfolios!$U$90,1)%)))</f>
        <v/>
      </c>
      <c r="BA325" s="553" t="str">
        <f t="array" aca="1" ref="BA325" ca="1">IF(ISERROR(PRODUCT(1+OFFSET(Data_All!BA$8,Compare_Portfolios!$U$91,0,Compare_Portfolios!$U$90,1)%)),"",(PRODUCT(1+OFFSET(Data_All!BA$8,Compare_Portfolios!$U$91,0,Compare_Portfolios!$U$90,1)%)))</f>
        <v/>
      </c>
      <c r="BB325" s="553" t="str">
        <f t="array" aca="1" ref="BB325" ca="1">IF(ISERROR(PRODUCT(1+OFFSET(Data_All!BB$8,Compare_Portfolios!$U$91,0,Compare_Portfolios!$U$90,1)%)),"",(PRODUCT(1+OFFSET(Data_All!BB$8,Compare_Portfolios!$U$91,0,Compare_Portfolios!$U$90,1)%)))</f>
        <v/>
      </c>
      <c r="BC325" s="553" t="str">
        <f t="array" aca="1" ref="BC325" ca="1">IF(ISERROR(PRODUCT(1+OFFSET(Data_All!BC$8,Compare_Portfolios!$U$91,0,Compare_Portfolios!$U$90,1)%)),"",(PRODUCT(1+OFFSET(Data_All!BC$8,Compare_Portfolios!$U$91,0,Compare_Portfolios!$U$90,1)%)))</f>
        <v/>
      </c>
      <c r="BD325" s="553" t="str">
        <f t="array" aca="1" ref="BD325" ca="1">IF(ISERROR(PRODUCT(1+OFFSET(Data_All!BD$8,Compare_Portfolios!$U$91,0,Compare_Portfolios!$U$90,1)%)),"",(PRODUCT(1+OFFSET(Data_All!BD$8,Compare_Portfolios!$U$91,0,Compare_Portfolios!$U$90,1)%)))</f>
        <v/>
      </c>
      <c r="BE325" s="553" t="str">
        <f t="array" aca="1" ref="BE325" ca="1">IF(ISERROR(PRODUCT(1+OFFSET(Data_All!BE$8,Compare_Portfolios!$U$91,0,Compare_Portfolios!$U$90,1)%)),"",(PRODUCT(1+OFFSET(Data_All!BE$8,Compare_Portfolios!$U$91,0,Compare_Portfolios!$U$90,1)%)))</f>
        <v/>
      </c>
      <c r="BF325" s="553" t="str">
        <f t="array" aca="1" ref="BF325" ca="1">IF(ISERROR(PRODUCT(1+OFFSET(Data_All!BF$8,Compare_Portfolios!$U$91,0,Compare_Portfolios!$U$90,1)%)),"",(PRODUCT(1+OFFSET(Data_All!BF$8,Compare_Portfolios!$U$91,0,Compare_Portfolios!$U$90,1)%)))</f>
        <v/>
      </c>
      <c r="BG325" s="553" t="str">
        <f t="array" aca="1" ref="BG325" ca="1">IF(ISERROR(PRODUCT(1+OFFSET(Data_All!BG$8,Compare_Portfolios!$U$91,0,Compare_Portfolios!$U$90,1)%)),"",(PRODUCT(1+OFFSET(Data_All!BG$8,Compare_Portfolios!$U$91,0,Compare_Portfolios!$U$90,1)%)))</f>
        <v/>
      </c>
      <c r="BH325" s="553" t="str">
        <f t="array" aca="1" ref="BH325" ca="1">IF(ISERROR(PRODUCT(1+OFFSET(Data_All!BH$8,Compare_Portfolios!$U$91,0,Compare_Portfolios!$U$90,1)%)),"",(PRODUCT(1+OFFSET(Data_All!BH$8,Compare_Portfolios!$U$91,0,Compare_Portfolios!$U$90,1)%)))</f>
        <v/>
      </c>
      <c r="BI325" s="553" t="str">
        <f t="array" aca="1" ref="BI325" ca="1">IF(ISERROR(PRODUCT(1+OFFSET(Data_All!BI$8,Compare_Portfolios!$U$91,0,Compare_Portfolios!$U$90,1)%)),"",(PRODUCT(1+OFFSET(Data_All!BI$8,Compare_Portfolios!$U$91,0,Compare_Portfolios!$U$90,1)%)))</f>
        <v/>
      </c>
      <c r="BJ325" s="553" t="str">
        <f t="array" aca="1" ref="BJ325" ca="1">IF(ISERROR(PRODUCT(1+OFFSET(Data_All!BJ$8,Compare_Portfolios!$U$91,0,Compare_Portfolios!$U$90,1)%)),"",(PRODUCT(1+OFFSET(Data_All!BJ$8,Compare_Portfolios!$U$91,0,Compare_Portfolios!$U$90,1)%)))</f>
        <v/>
      </c>
      <c r="BK325" s="553" t="str">
        <f t="array" aca="1" ref="BK325" ca="1">IF(ISERROR(PRODUCT(1+OFFSET(Data_All!BK$8,Compare_Portfolios!$U$91,0,Compare_Portfolios!$U$90,1)%)),"",(PRODUCT(1+OFFSET(Data_All!BK$8,Compare_Portfolios!$U$91,0,Compare_Portfolios!$U$90,1)%)))</f>
        <v/>
      </c>
      <c r="BL325" s="553" t="str">
        <f t="array" aca="1" ref="BL325" ca="1">IF(ISERROR(PRODUCT(1+OFFSET(Data_All!BL$8,Compare_Portfolios!$U$91,0,Compare_Portfolios!$U$90,1)%)),"",(PRODUCT(1+OFFSET(Data_All!BL$8,Compare_Portfolios!$U$91,0,Compare_Portfolios!$U$90,1)%)))</f>
        <v/>
      </c>
      <c r="BM325" s="553" t="str">
        <f t="array" aca="1" ref="BM325" ca="1">IF(ISERROR(PRODUCT(1+OFFSET(Data_All!BM$8,Compare_Portfolios!$U$91,0,Compare_Portfolios!$U$90,1)%)),"",(PRODUCT(1+OFFSET(Data_All!BM$8,Compare_Portfolios!$U$91,0,Compare_Portfolios!$U$90,1)%)))</f>
        <v/>
      </c>
      <c r="BN325" s="553" t="str">
        <f t="array" aca="1" ref="BN325" ca="1">IF(ISERROR(PRODUCT(1+OFFSET(Data_All!BN$8,Compare_Portfolios!$U$91,0,Compare_Portfolios!$U$90,1)%)),"",(PRODUCT(1+OFFSET(Data_All!BN$8,Compare_Portfolios!$U$91,0,Compare_Portfolios!$U$90,1)%)))</f>
        <v/>
      </c>
      <c r="BO325" s="553" t="str">
        <f t="array" aca="1" ref="BO325" ca="1">IF(ISERROR(PRODUCT(1+OFFSET(Data_All!BO$8,Compare_Portfolios!$U$91,0,Compare_Portfolios!$U$90,1)%)),"",(PRODUCT(1+OFFSET(Data_All!BO$8,Compare_Portfolios!$U$91,0,Compare_Portfolios!$U$90,1)%)))</f>
        <v/>
      </c>
      <c r="BP325" s="553" t="str">
        <f t="array" aca="1" ref="BP325" ca="1">IF(ISERROR(PRODUCT(1+OFFSET(Data_All!BP$8,Compare_Portfolios!$U$91,0,Compare_Portfolios!$U$90,1)%)),"",(PRODUCT(1+OFFSET(Data_All!BP$8,Compare_Portfolios!$U$91,0,Compare_Portfolios!$U$90,1)%)))</f>
        <v/>
      </c>
      <c r="BQ325" s="553" t="str">
        <f t="array" aca="1" ref="BQ325" ca="1">IF(ISERROR(PRODUCT(1+OFFSET(Data_All!BQ$8,Compare_Portfolios!$U$91,0,Compare_Portfolios!$U$90,1)%)),"",(PRODUCT(1+OFFSET(Data_All!BQ$8,Compare_Portfolios!$U$91,0,Compare_Portfolios!$U$90,1)%)))</f>
        <v/>
      </c>
      <c r="BR325" s="553" t="str">
        <f t="array" aca="1" ref="BR325" ca="1">IF(ISERROR(PRODUCT(1+OFFSET(Data_All!BR$8,Compare_Portfolios!$U$91,0,Compare_Portfolios!$U$90,1)%)),"",(PRODUCT(1+OFFSET(Data_All!BR$8,Compare_Portfolios!$U$91,0,Compare_Portfolios!$U$90,1)%)))</f>
        <v/>
      </c>
      <c r="BS325" s="553" t="str">
        <f t="array" aca="1" ref="BS325" ca="1">IF(ISERROR(PRODUCT(1+OFFSET(Data_All!BS$8,Compare_Portfolios!$U$91,0,Compare_Portfolios!$U$90,1)%)),"",(PRODUCT(1+OFFSET(Data_All!BS$8,Compare_Portfolios!$U$91,0,Compare_Portfolios!$U$90,1)%)))</f>
        <v/>
      </c>
      <c r="BT325" s="553" t="str">
        <f t="array" aca="1" ref="BT325" ca="1">IF(ISERROR(PRODUCT(1+OFFSET(Data_All!BT$8,Compare_Portfolios!$U$91,0,Compare_Portfolios!$U$90,1)%)),"",(PRODUCT(1+OFFSET(Data_All!BT$8,Compare_Portfolios!$U$91,0,Compare_Portfolios!$U$90,1)%)))</f>
        <v/>
      </c>
      <c r="BU325" s="553" t="str">
        <f t="array" aca="1" ref="BU325" ca="1">IF(ISERROR(PRODUCT(1+OFFSET(Data_All!BU$8,Compare_Portfolios!$U$91,0,Compare_Portfolios!$U$90,1)%)),"",(PRODUCT(1+OFFSET(Data_All!BU$8,Compare_Portfolios!$U$91,0,Compare_Portfolios!$U$90,1)%)))</f>
        <v/>
      </c>
      <c r="BV325" s="553" t="str">
        <f t="array" aca="1" ref="BV325" ca="1">IF(ISERROR(PRODUCT(1+OFFSET(Data_All!BV$8,Compare_Portfolios!$U$91,0,Compare_Portfolios!$U$90,1)%)),"",(PRODUCT(1+OFFSET(Data_All!BV$8,Compare_Portfolios!$U$91,0,Compare_Portfolios!$U$90,1)%)))</f>
        <v/>
      </c>
      <c r="BW325" s="553" t="str">
        <f t="array" aca="1" ref="BW325" ca="1">IF(ISERROR(PRODUCT(1+OFFSET(Data_All!BW$8,Compare_Portfolios!$U$91,0,Compare_Portfolios!$U$90,1)%)),"",(PRODUCT(1+OFFSET(Data_All!BW$8,Compare_Portfolios!$U$91,0,Compare_Portfolios!$U$90,1)%)))</f>
        <v/>
      </c>
      <c r="BX325" s="553">
        <f t="array" aca="1" ref="BX325" ca="1">IF(ISERROR(PRODUCT(1+OFFSET(Data_All!BX$8,Compare_Portfolios!$U$91,0,Compare_Portfolios!$U$90,1)%)),"",(PRODUCT(1+OFFSET(Data_All!BX$8,Compare_Portfolios!$U$91,0,Compare_Portfolios!$U$90,1)%)))</f>
        <v>202776.25942880643</v>
      </c>
      <c r="BY325" s="553">
        <f t="array" aca="1" ref="BY325" ca="1">IF(ISERROR(PRODUCT(1+OFFSET(Data_All!BY$8,Compare_Portfolios!$U$91,0,Compare_Portfolios!$U$90,1)%)),"",(PRODUCT(1+OFFSET(Data_All!BY$8,Compare_Portfolios!$U$91,0,Compare_Portfolios!$U$90,1)%)))</f>
        <v>779.91777308090082</v>
      </c>
      <c r="BZ325" s="554">
        <f t="array" aca="1" ref="BZ325" ca="1">IF(ISERROR(PRODUCT(1+OFFSET(Data_All!BZ$8,Compare_Portfolios!$U$91,0,Compare_Portfolios!$U$90,1)%)),"",(PRODUCT(1+OFFSET(Data_All!BZ$8,Compare_Portfolios!$U$91,0,Compare_Portfolios!$U$90,1)%)))</f>
        <v>491.65016163309264</v>
      </c>
    </row>
    <row r="326" spans="1:99">
      <c r="A326" s="521" t="s">
        <v>643</v>
      </c>
      <c r="B326" s="552">
        <f t="array" aca="1" ref="B326" ca="1">IF(ISERROR(PRODUCT(1+OFFSET(Data_All!B$8,Compare_Portfolios!$V$91,0,Compare_Portfolios!$V$90,1)%)),"",(PRODUCT(1+OFFSET(Data_All!B$8,Compare_Portfolios!$V$91,0,Compare_Portfolios!$V$90,1)%)))</f>
        <v>183838.76654793415</v>
      </c>
      <c r="C326" s="553" t="str">
        <f t="array" aca="1" ref="C326" ca="1">IF(ISERROR(PRODUCT(1+OFFSET(Data_All!C$8,Compare_Portfolios!$V$91,0,Compare_Portfolios!$V$90,1)%)),"",(PRODUCT(1+OFFSET(Data_All!C$8,Compare_Portfolios!$V$91,0,Compare_Portfolios!$V$90,1)%)))</f>
        <v/>
      </c>
      <c r="D326" s="553">
        <f t="array" aca="1" ref="D326" ca="1">IF(ISERROR(PRODUCT(1+OFFSET(Data_All!D$8,Compare_Portfolios!$V$91,0,Compare_Portfolios!$V$90,1)%)),"",(PRODUCT(1+OFFSET(Data_All!D$8,Compare_Portfolios!$V$91,0,Compare_Portfolios!$V$90,1)%)))</f>
        <v>177371.60371038428</v>
      </c>
      <c r="E326" s="553" t="str">
        <f t="array" aca="1" ref="E326" ca="1">IF(ISERROR(PRODUCT(1+OFFSET(Data_All!E$8,Compare_Portfolios!$V$91,0,Compare_Portfolios!$V$90,1)%)),"",(PRODUCT(1+OFFSET(Data_All!E$8,Compare_Portfolios!$V$91,0,Compare_Portfolios!$V$90,1)%)))</f>
        <v/>
      </c>
      <c r="F326" s="553" t="str">
        <f t="array" aca="1" ref="F326" ca="1">IF(ISERROR(PRODUCT(1+OFFSET(Data_All!F$8,Compare_Portfolios!$V$91,0,Compare_Portfolios!$V$90,1)%)),"",(PRODUCT(1+OFFSET(Data_All!F$8,Compare_Portfolios!$V$91,0,Compare_Portfolios!$V$90,1)%)))</f>
        <v/>
      </c>
      <c r="G326" s="553" t="str">
        <f t="array" aca="1" ref="G326" ca="1">IF(ISERROR(PRODUCT(1+OFFSET(Data_All!G$8,Compare_Portfolios!$V$91,0,Compare_Portfolios!$V$90,1)%)),"",(PRODUCT(1+OFFSET(Data_All!G$8,Compare_Portfolios!$V$91,0,Compare_Portfolios!$V$90,1)%)))</f>
        <v/>
      </c>
      <c r="H326" s="553" t="str">
        <f t="array" aca="1" ref="H326" ca="1">IF(ISERROR(PRODUCT(1+OFFSET(Data_All!H$8,Compare_Portfolios!$V$91,0,Compare_Portfolios!$V$90,1)%)),"",(PRODUCT(1+OFFSET(Data_All!H$8,Compare_Portfolios!$V$91,0,Compare_Portfolios!$V$90,1)%)))</f>
        <v/>
      </c>
      <c r="I326" s="553" t="str">
        <f t="array" aca="1" ref="I326" ca="1">IF(ISERROR(PRODUCT(1+OFFSET(Data_All!I$8,Compare_Portfolios!$V$91,0,Compare_Portfolios!$V$90,1)%)),"",(PRODUCT(1+OFFSET(Data_All!I$8,Compare_Portfolios!$V$91,0,Compare_Portfolios!$V$90,1)%)))</f>
        <v/>
      </c>
      <c r="J326" s="553" t="str">
        <f t="array" aca="1" ref="J326" ca="1">IF(ISERROR(PRODUCT(1+OFFSET(Data_All!J$8,Compare_Portfolios!$V$91,0,Compare_Portfolios!$V$90,1)%)),"",(PRODUCT(1+OFFSET(Data_All!J$8,Compare_Portfolios!$V$91,0,Compare_Portfolios!$V$90,1)%)))</f>
        <v/>
      </c>
      <c r="K326" s="553" t="str">
        <f t="array" aca="1" ref="K326" ca="1">IF(ISERROR(PRODUCT(1+OFFSET(Data_All!K$8,Compare_Portfolios!$V$91,0,Compare_Portfolios!$V$90,1)%)),"",(PRODUCT(1+OFFSET(Data_All!K$8,Compare_Portfolios!$V$91,0,Compare_Portfolios!$V$90,1)%)))</f>
        <v/>
      </c>
      <c r="L326" s="553" t="str">
        <f t="array" aca="1" ref="L326" ca="1">IF(ISERROR(PRODUCT(1+OFFSET(Data_All!L$8,Compare_Portfolios!$V$91,0,Compare_Portfolios!$V$90,1)%)),"",(PRODUCT(1+OFFSET(Data_All!L$8,Compare_Portfolios!$V$91,0,Compare_Portfolios!$V$90,1)%)))</f>
        <v/>
      </c>
      <c r="M326" s="553" t="str">
        <f t="array" aca="1" ref="M326" ca="1">IF(ISERROR(PRODUCT(1+OFFSET(Data_All!M$8,Compare_Portfolios!$V$91,0,Compare_Portfolios!$V$90,1)%)),"",(PRODUCT(1+OFFSET(Data_All!M$8,Compare_Portfolios!$V$91,0,Compare_Portfolios!$V$90,1)%)))</f>
        <v/>
      </c>
      <c r="N326" s="553" t="str">
        <f t="array" aca="1" ref="N326" ca="1">IF(ISERROR(PRODUCT(1+OFFSET(Data_All!N$8,Compare_Portfolios!$V$91,0,Compare_Portfolios!$V$90,1)%)),"",(PRODUCT(1+OFFSET(Data_All!N$8,Compare_Portfolios!$V$91,0,Compare_Portfolios!$V$90,1)%)))</f>
        <v/>
      </c>
      <c r="O326" s="553" t="str">
        <f t="array" aca="1" ref="O326" ca="1">IF(ISERROR(PRODUCT(1+OFFSET(Data_All!O$8,Compare_Portfolios!$V$91,0,Compare_Portfolios!$V$90,1)%)),"",(PRODUCT(1+OFFSET(Data_All!O$8,Compare_Portfolios!$V$91,0,Compare_Portfolios!$V$90,1)%)))</f>
        <v/>
      </c>
      <c r="P326" s="553" t="str">
        <f t="array" aca="1" ref="P326" ca="1">IF(ISERROR(PRODUCT(1+OFFSET(Data_All!P$8,Compare_Portfolios!$V$91,0,Compare_Portfolios!$V$90,1)%)),"",(PRODUCT(1+OFFSET(Data_All!P$8,Compare_Portfolios!$V$91,0,Compare_Portfolios!$V$90,1)%)))</f>
        <v/>
      </c>
      <c r="Q326" s="553" t="str">
        <f t="array" aca="1" ref="Q326" ca="1">IF(ISERROR(PRODUCT(1+OFFSET(Data_All!Q$8,Compare_Portfolios!$V$91,0,Compare_Portfolios!$V$90,1)%)),"",(PRODUCT(1+OFFSET(Data_All!Q$8,Compare_Portfolios!$V$91,0,Compare_Portfolios!$V$90,1)%)))</f>
        <v/>
      </c>
      <c r="R326" s="553" t="str">
        <f t="array" aca="1" ref="R326" ca="1">IF(ISERROR(PRODUCT(1+OFFSET(Data_All!R$8,Compare_Portfolios!$V$91,0,Compare_Portfolios!$V$90,1)%)),"",(PRODUCT(1+OFFSET(Data_All!R$8,Compare_Portfolios!$V$91,0,Compare_Portfolios!$V$90,1)%)))</f>
        <v/>
      </c>
      <c r="S326" s="553" t="str">
        <f t="array" aca="1" ref="S326" ca="1">IF(ISERROR(PRODUCT(1+OFFSET(Data_All!S$8,Compare_Portfolios!$V$91,0,Compare_Portfolios!$V$90,1)%)),"",(PRODUCT(1+OFFSET(Data_All!S$8,Compare_Portfolios!$V$91,0,Compare_Portfolios!$V$90,1)%)))</f>
        <v/>
      </c>
      <c r="T326" s="553">
        <f t="array" aca="1" ref="T326" ca="1">IF(ISERROR(PRODUCT(1+OFFSET(Data_All!T$8,Compare_Portfolios!$V$91,0,Compare_Portfolios!$V$90,1)%)),"",(PRODUCT(1+OFFSET(Data_All!T$8,Compare_Portfolios!$V$91,0,Compare_Portfolios!$V$90,1)%)))</f>
        <v>642.59614716431236</v>
      </c>
      <c r="U326" s="553">
        <f t="array" aca="1" ref="U326" ca="1">IF(ISERROR(PRODUCT(1+OFFSET(Data_All!U$8,Compare_Portfolios!$V$91,0,Compare_Portfolios!$V$90,1)%)),"",(PRODUCT(1+OFFSET(Data_All!U$8,Compare_Portfolios!$V$91,0,Compare_Portfolios!$V$90,1)%)))</f>
        <v>668.3812124403205</v>
      </c>
      <c r="V326" s="553">
        <f t="array" aca="1" ref="V326" ca="1">IF(ISERROR(PRODUCT(1+OFFSET(Data_All!V$8,Compare_Portfolios!$V$91,0,Compare_Portfolios!$V$90,1)%)),"",(PRODUCT(1+OFFSET(Data_All!V$8,Compare_Portfolios!$V$91,0,Compare_Portfolios!$V$90,1)%)))</f>
        <v>379.24156021168028</v>
      </c>
      <c r="W326" s="553" t="str">
        <f t="array" aca="1" ref="W326" ca="1">IF(ISERROR(PRODUCT(1+OFFSET(Data_All!W$8,Compare_Portfolios!$V$91,0,Compare_Portfolios!$V$90,1)%)),"",(PRODUCT(1+OFFSET(Data_All!W$8,Compare_Portfolios!$V$91,0,Compare_Portfolios!$V$90,1)%)))</f>
        <v/>
      </c>
      <c r="X326" s="553" t="str">
        <f t="array" aca="1" ref="X326" ca="1">IF(ISERROR(PRODUCT(1+OFFSET(Data_All!X$8,Compare_Portfolios!$V$91,0,Compare_Portfolios!$V$90,1)%)),"",(PRODUCT(1+OFFSET(Data_All!X$8,Compare_Portfolios!$V$91,0,Compare_Portfolios!$V$90,1)%)))</f>
        <v/>
      </c>
      <c r="Y326" s="553" t="str">
        <f t="array" aca="1" ref="Y326" ca="1">IF(ISERROR(PRODUCT(1+OFFSET(Data_All!Y$8,Compare_Portfolios!$V$91,0,Compare_Portfolios!$V$90,1)%)),"",(PRODUCT(1+OFFSET(Data_All!Y$8,Compare_Portfolios!$V$91,0,Compare_Portfolios!$V$90,1)%)))</f>
        <v/>
      </c>
      <c r="Z326" s="553" t="str">
        <f t="array" aca="1" ref="Z326" ca="1">IF(ISERROR(PRODUCT(1+OFFSET(Data_All!Z$8,Compare_Portfolios!$V$91,0,Compare_Portfolios!$V$90,1)%)),"",(PRODUCT(1+OFFSET(Data_All!Z$8,Compare_Portfolios!$V$91,0,Compare_Portfolios!$V$90,1)%)))</f>
        <v/>
      </c>
      <c r="AA326" s="553" t="str">
        <f t="array" aca="1" ref="AA326" ca="1">IF(ISERROR(PRODUCT(1+OFFSET(Data_All!AA$8,Compare_Portfolios!$V$91,0,Compare_Portfolios!$V$90,1)%)),"",(PRODUCT(1+OFFSET(Data_All!AA$8,Compare_Portfolios!$V$91,0,Compare_Portfolios!$V$90,1)%)))</f>
        <v/>
      </c>
      <c r="AB326" s="553" t="str">
        <f t="array" aca="1" ref="AB326" ca="1">IF(ISERROR(PRODUCT(1+OFFSET(Data_All!AB$8,Compare_Portfolios!$V$91,0,Compare_Portfolios!$V$90,1)%)),"",(PRODUCT(1+OFFSET(Data_All!AB$8,Compare_Portfolios!$V$91,0,Compare_Portfolios!$V$90,1)%)))</f>
        <v/>
      </c>
      <c r="AC326" s="553" t="str">
        <f t="array" aca="1" ref="AC326" ca="1">IF(ISERROR(PRODUCT(1+OFFSET(Data_All!AC$8,Compare_Portfolios!$V$91,0,Compare_Portfolios!$V$90,1)%)),"",(PRODUCT(1+OFFSET(Data_All!AC$8,Compare_Portfolios!$V$91,0,Compare_Portfolios!$V$90,1)%)))</f>
        <v/>
      </c>
      <c r="AD326" s="553" t="str">
        <f t="array" aca="1" ref="AD326" ca="1">IF(ISERROR(PRODUCT(1+OFFSET(Data_All!AD$8,Compare_Portfolios!$V$91,0,Compare_Portfolios!$V$90,1)%)),"",(PRODUCT(1+OFFSET(Data_All!AD$8,Compare_Portfolios!$V$91,0,Compare_Portfolios!$V$90,1)%)))</f>
        <v/>
      </c>
      <c r="AE326" s="553" t="str">
        <f t="array" aca="1" ref="AE326" ca="1">IF(ISERROR(PRODUCT(1+OFFSET(Data_All!AE$8,Compare_Portfolios!$V$91,0,Compare_Portfolios!$V$90,1)%)),"",(PRODUCT(1+OFFSET(Data_All!AE$8,Compare_Portfolios!$V$91,0,Compare_Portfolios!$V$90,1)%)))</f>
        <v/>
      </c>
      <c r="AF326" s="553" t="str">
        <f t="array" aca="1" ref="AF326" ca="1">IF(ISERROR(PRODUCT(1+OFFSET(Data_All!AF$8,Compare_Portfolios!$V$91,0,Compare_Portfolios!$V$90,1)%)),"",(PRODUCT(1+OFFSET(Data_All!AF$8,Compare_Portfolios!$V$91,0,Compare_Portfolios!$V$90,1)%)))</f>
        <v/>
      </c>
      <c r="AG326" s="553" t="str">
        <f t="array" aca="1" ref="AG326" ca="1">IF(ISERROR(PRODUCT(1+OFFSET(Data_All!AG$8,Compare_Portfolios!$V$91,0,Compare_Portfolios!$V$90,1)%)),"",(PRODUCT(1+OFFSET(Data_All!AG$8,Compare_Portfolios!$V$91,0,Compare_Portfolios!$V$90,1)%)))</f>
        <v/>
      </c>
      <c r="AH326" s="553" t="str">
        <f t="array" aca="1" ref="AH326" ca="1">IF(ISERROR(PRODUCT(1+OFFSET(Data_All!AH$8,Compare_Portfolios!$V$91,0,Compare_Portfolios!$V$90,1)%)),"",(PRODUCT(1+OFFSET(Data_All!AH$8,Compare_Portfolios!$V$91,0,Compare_Portfolios!$V$90,1)%)))</f>
        <v/>
      </c>
      <c r="AI326" s="553" t="str">
        <f t="array" aca="1" ref="AI326" ca="1">IF(ISERROR(PRODUCT(1+OFFSET(Data_All!AI$8,Compare_Portfolios!$V$91,0,Compare_Portfolios!$V$90,1)%)),"",(PRODUCT(1+OFFSET(Data_All!AI$8,Compare_Portfolios!$V$91,0,Compare_Portfolios!$V$90,1)%)))</f>
        <v/>
      </c>
      <c r="AJ326" s="553" t="str">
        <f t="array" aca="1" ref="AJ326" ca="1">IF(ISERROR(PRODUCT(1+OFFSET(Data_All!AJ$8,Compare_Portfolios!$V$91,0,Compare_Portfolios!$V$90,1)%)),"",(PRODUCT(1+OFFSET(Data_All!AJ$8,Compare_Portfolios!$V$91,0,Compare_Portfolios!$V$90,1)%)))</f>
        <v/>
      </c>
      <c r="AK326" s="553" t="str">
        <f t="array" aca="1" ref="AK326" ca="1">IF(ISERROR(PRODUCT(1+OFFSET(Data_All!AK$8,Compare_Portfolios!$V$91,0,Compare_Portfolios!$V$90,1)%)),"",(PRODUCT(1+OFFSET(Data_All!AK$8,Compare_Portfolios!$V$91,0,Compare_Portfolios!$V$90,1)%)))</f>
        <v/>
      </c>
      <c r="AL326" s="553" t="str">
        <f t="array" aca="1" ref="AL326" ca="1">IF(ISERROR(PRODUCT(1+OFFSET(Data_All!AL$8,Compare_Portfolios!$V$91,0,Compare_Portfolios!$V$90,1)%)),"",(PRODUCT(1+OFFSET(Data_All!AL$8,Compare_Portfolios!$V$91,0,Compare_Portfolios!$V$90,1)%)))</f>
        <v/>
      </c>
      <c r="AM326" s="553" t="str">
        <f t="array" aca="1" ref="AM326" ca="1">IF(ISERROR(PRODUCT(1+OFFSET(Data_All!AM$8,Compare_Portfolios!$V$91,0,Compare_Portfolios!$V$90,1)%)),"",(PRODUCT(1+OFFSET(Data_All!AM$8,Compare_Portfolios!$V$91,0,Compare_Portfolios!$V$90,1)%)))</f>
        <v/>
      </c>
      <c r="AN326" s="553" t="str">
        <f t="array" aca="1" ref="AN326" ca="1">IF(ISERROR(PRODUCT(1+OFFSET(Data_All!AN$8,Compare_Portfolios!$V$91,0,Compare_Portfolios!$V$90,1)%)),"",(PRODUCT(1+OFFSET(Data_All!AN$8,Compare_Portfolios!$V$91,0,Compare_Portfolios!$V$90,1)%)))</f>
        <v/>
      </c>
      <c r="AO326" s="553" t="str">
        <f t="array" aca="1" ref="AO326" ca="1">IF(ISERROR(PRODUCT(1+OFFSET(Data_All!AO$8,Compare_Portfolios!$V$91,0,Compare_Portfolios!$V$90,1)%)),"",(PRODUCT(1+OFFSET(Data_All!AO$8,Compare_Portfolios!$V$91,0,Compare_Portfolios!$V$90,1)%)))</f>
        <v/>
      </c>
      <c r="AP326" s="553" t="str">
        <f t="array" aca="1" ref="AP326" ca="1">IF(ISERROR(PRODUCT(1+OFFSET(Data_All!AP$8,Compare_Portfolios!$V$91,0,Compare_Portfolios!$V$90,1)%)),"",(PRODUCT(1+OFFSET(Data_All!AP$8,Compare_Portfolios!$V$91,0,Compare_Portfolios!$V$90,1)%)))</f>
        <v/>
      </c>
      <c r="AQ326" s="553" t="str">
        <f t="array" aca="1" ref="AQ326" ca="1">IF(ISERROR(PRODUCT(1+OFFSET(Data_All!AQ$8,Compare_Portfolios!$V$91,0,Compare_Portfolios!$V$90,1)%)),"",(PRODUCT(1+OFFSET(Data_All!AQ$8,Compare_Portfolios!$V$91,0,Compare_Portfolios!$V$90,1)%)))</f>
        <v/>
      </c>
      <c r="AR326" s="553" t="str">
        <f t="array" aca="1" ref="AR326" ca="1">IF(ISERROR(PRODUCT(1+OFFSET(Data_All!AR$8,Compare_Portfolios!$V$91,0,Compare_Portfolios!$V$90,1)%)),"",(PRODUCT(1+OFFSET(Data_All!AR$8,Compare_Portfolios!$V$91,0,Compare_Portfolios!$V$90,1)%)))</f>
        <v/>
      </c>
      <c r="AS326" s="553" t="str">
        <f t="array" aca="1" ref="AS326" ca="1">IF(ISERROR(PRODUCT(1+OFFSET(Data_All!AS$8,Compare_Portfolios!$V$91,0,Compare_Portfolios!$V$90,1)%)),"",(PRODUCT(1+OFFSET(Data_All!AS$8,Compare_Portfolios!$V$91,0,Compare_Portfolios!$V$90,1)%)))</f>
        <v/>
      </c>
      <c r="AT326" s="553" t="str">
        <f t="array" aca="1" ref="AT326" ca="1">IF(ISERROR(PRODUCT(1+OFFSET(Data_All!AT$8,Compare_Portfolios!$V$91,0,Compare_Portfolios!$V$90,1)%)),"",(PRODUCT(1+OFFSET(Data_All!AT$8,Compare_Portfolios!$V$91,0,Compare_Portfolios!$V$90,1)%)))</f>
        <v/>
      </c>
      <c r="AU326" s="553" t="str">
        <f t="array" aca="1" ref="AU326" ca="1">IF(ISERROR(PRODUCT(1+OFFSET(Data_All!AU$8,Compare_Portfolios!$V$91,0,Compare_Portfolios!$V$90,1)%)),"",(PRODUCT(1+OFFSET(Data_All!AU$8,Compare_Portfolios!$V$91,0,Compare_Portfolios!$V$90,1)%)))</f>
        <v/>
      </c>
      <c r="AV326" s="553" t="str">
        <f t="array" aca="1" ref="AV326" ca="1">IF(ISERROR(PRODUCT(1+OFFSET(Data_All!AV$8,Compare_Portfolios!$V$91,0,Compare_Portfolios!$V$90,1)%)),"",(PRODUCT(1+OFFSET(Data_All!AV$8,Compare_Portfolios!$V$91,0,Compare_Portfolios!$V$90,1)%)))</f>
        <v/>
      </c>
      <c r="AW326" s="553" t="str">
        <f t="array" aca="1" ref="AW326" ca="1">IF(ISERROR(PRODUCT(1+OFFSET(Data_All!AW$8,Compare_Portfolios!$V$91,0,Compare_Portfolios!$V$90,1)%)),"",(PRODUCT(1+OFFSET(Data_All!AW$8,Compare_Portfolios!$V$91,0,Compare_Portfolios!$V$90,1)%)))</f>
        <v/>
      </c>
      <c r="AX326" s="553" t="str">
        <f t="array" aca="1" ref="AX326" ca="1">IF(ISERROR(PRODUCT(1+OFFSET(Data_All!AX$8,Compare_Portfolios!$V$91,0,Compare_Portfolios!$V$90,1)%)),"",(PRODUCT(1+OFFSET(Data_All!AX$8,Compare_Portfolios!$V$91,0,Compare_Portfolios!$V$90,1)%)))</f>
        <v/>
      </c>
      <c r="AY326" s="553" t="str">
        <f t="array" aca="1" ref="AY326" ca="1">IF(ISERROR(PRODUCT(1+OFFSET(Data_All!AY$8,Compare_Portfolios!$V$91,0,Compare_Portfolios!$V$90,1)%)),"",(PRODUCT(1+OFFSET(Data_All!AY$8,Compare_Portfolios!$V$91,0,Compare_Portfolios!$V$90,1)%)))</f>
        <v/>
      </c>
      <c r="AZ326" s="553" t="str">
        <f t="array" aca="1" ref="AZ326" ca="1">IF(ISERROR(PRODUCT(1+OFFSET(Data_All!AZ$8,Compare_Portfolios!$V$91,0,Compare_Portfolios!$V$90,1)%)),"",(PRODUCT(1+OFFSET(Data_All!AZ$8,Compare_Portfolios!$V$91,0,Compare_Portfolios!$V$90,1)%)))</f>
        <v/>
      </c>
      <c r="BA326" s="553" t="str">
        <f t="array" aca="1" ref="BA326" ca="1">IF(ISERROR(PRODUCT(1+OFFSET(Data_All!BA$8,Compare_Portfolios!$V$91,0,Compare_Portfolios!$V$90,1)%)),"",(PRODUCT(1+OFFSET(Data_All!BA$8,Compare_Portfolios!$V$91,0,Compare_Portfolios!$V$90,1)%)))</f>
        <v/>
      </c>
      <c r="BB326" s="553" t="str">
        <f t="array" aca="1" ref="BB326" ca="1">IF(ISERROR(PRODUCT(1+OFFSET(Data_All!BB$8,Compare_Portfolios!$V$91,0,Compare_Portfolios!$V$90,1)%)),"",(PRODUCT(1+OFFSET(Data_All!BB$8,Compare_Portfolios!$V$91,0,Compare_Portfolios!$V$90,1)%)))</f>
        <v/>
      </c>
      <c r="BC326" s="553" t="str">
        <f t="array" aca="1" ref="BC326" ca="1">IF(ISERROR(PRODUCT(1+OFFSET(Data_All!BC$8,Compare_Portfolios!$V$91,0,Compare_Portfolios!$V$90,1)%)),"",(PRODUCT(1+OFFSET(Data_All!BC$8,Compare_Portfolios!$V$91,0,Compare_Portfolios!$V$90,1)%)))</f>
        <v/>
      </c>
      <c r="BD326" s="553" t="str">
        <f t="array" aca="1" ref="BD326" ca="1">IF(ISERROR(PRODUCT(1+OFFSET(Data_All!BD$8,Compare_Portfolios!$V$91,0,Compare_Portfolios!$V$90,1)%)),"",(PRODUCT(1+OFFSET(Data_All!BD$8,Compare_Portfolios!$V$91,0,Compare_Portfolios!$V$90,1)%)))</f>
        <v/>
      </c>
      <c r="BE326" s="553" t="str">
        <f t="array" aca="1" ref="BE326" ca="1">IF(ISERROR(PRODUCT(1+OFFSET(Data_All!BE$8,Compare_Portfolios!$V$91,0,Compare_Portfolios!$V$90,1)%)),"",(PRODUCT(1+OFFSET(Data_All!BE$8,Compare_Portfolios!$V$91,0,Compare_Portfolios!$V$90,1)%)))</f>
        <v/>
      </c>
      <c r="BF326" s="553" t="str">
        <f t="array" aca="1" ref="BF326" ca="1">IF(ISERROR(PRODUCT(1+OFFSET(Data_All!BF$8,Compare_Portfolios!$V$91,0,Compare_Portfolios!$V$90,1)%)),"",(PRODUCT(1+OFFSET(Data_All!BF$8,Compare_Portfolios!$V$91,0,Compare_Portfolios!$V$90,1)%)))</f>
        <v/>
      </c>
      <c r="BG326" s="553" t="str">
        <f t="array" aca="1" ref="BG326" ca="1">IF(ISERROR(PRODUCT(1+OFFSET(Data_All!BG$8,Compare_Portfolios!$V$91,0,Compare_Portfolios!$V$90,1)%)),"",(PRODUCT(1+OFFSET(Data_All!BG$8,Compare_Portfolios!$V$91,0,Compare_Portfolios!$V$90,1)%)))</f>
        <v/>
      </c>
      <c r="BH326" s="553" t="str">
        <f t="array" aca="1" ref="BH326" ca="1">IF(ISERROR(PRODUCT(1+OFFSET(Data_All!BH$8,Compare_Portfolios!$V$91,0,Compare_Portfolios!$V$90,1)%)),"",(PRODUCT(1+OFFSET(Data_All!BH$8,Compare_Portfolios!$V$91,0,Compare_Portfolios!$V$90,1)%)))</f>
        <v/>
      </c>
      <c r="BI326" s="553" t="str">
        <f t="array" aca="1" ref="BI326" ca="1">IF(ISERROR(PRODUCT(1+OFFSET(Data_All!BI$8,Compare_Portfolios!$V$91,0,Compare_Portfolios!$V$90,1)%)),"",(PRODUCT(1+OFFSET(Data_All!BI$8,Compare_Portfolios!$V$91,0,Compare_Portfolios!$V$90,1)%)))</f>
        <v/>
      </c>
      <c r="BJ326" s="553" t="str">
        <f t="array" aca="1" ref="BJ326" ca="1">IF(ISERROR(PRODUCT(1+OFFSET(Data_All!BJ$8,Compare_Portfolios!$V$91,0,Compare_Portfolios!$V$90,1)%)),"",(PRODUCT(1+OFFSET(Data_All!BJ$8,Compare_Portfolios!$V$91,0,Compare_Portfolios!$V$90,1)%)))</f>
        <v/>
      </c>
      <c r="BK326" s="553" t="str">
        <f t="array" aca="1" ref="BK326" ca="1">IF(ISERROR(PRODUCT(1+OFFSET(Data_All!BK$8,Compare_Portfolios!$V$91,0,Compare_Portfolios!$V$90,1)%)),"",(PRODUCT(1+OFFSET(Data_All!BK$8,Compare_Portfolios!$V$91,0,Compare_Portfolios!$V$90,1)%)))</f>
        <v/>
      </c>
      <c r="BL326" s="553" t="str">
        <f t="array" aca="1" ref="BL326" ca="1">IF(ISERROR(PRODUCT(1+OFFSET(Data_All!BL$8,Compare_Portfolios!$V$91,0,Compare_Portfolios!$V$90,1)%)),"",(PRODUCT(1+OFFSET(Data_All!BL$8,Compare_Portfolios!$V$91,0,Compare_Portfolios!$V$90,1)%)))</f>
        <v/>
      </c>
      <c r="BM326" s="553" t="str">
        <f t="array" aca="1" ref="BM326" ca="1">IF(ISERROR(PRODUCT(1+OFFSET(Data_All!BM$8,Compare_Portfolios!$V$91,0,Compare_Portfolios!$V$90,1)%)),"",(PRODUCT(1+OFFSET(Data_All!BM$8,Compare_Portfolios!$V$91,0,Compare_Portfolios!$V$90,1)%)))</f>
        <v/>
      </c>
      <c r="BN326" s="553" t="str">
        <f t="array" aca="1" ref="BN326" ca="1">IF(ISERROR(PRODUCT(1+OFFSET(Data_All!BN$8,Compare_Portfolios!$V$91,0,Compare_Portfolios!$V$90,1)%)),"",(PRODUCT(1+OFFSET(Data_All!BN$8,Compare_Portfolios!$V$91,0,Compare_Portfolios!$V$90,1)%)))</f>
        <v/>
      </c>
      <c r="BO326" s="553" t="str">
        <f t="array" aca="1" ref="BO326" ca="1">IF(ISERROR(PRODUCT(1+OFFSET(Data_All!BO$8,Compare_Portfolios!$V$91,0,Compare_Portfolios!$V$90,1)%)),"",(PRODUCT(1+OFFSET(Data_All!BO$8,Compare_Portfolios!$V$91,0,Compare_Portfolios!$V$90,1)%)))</f>
        <v/>
      </c>
      <c r="BP326" s="553" t="str">
        <f t="array" aca="1" ref="BP326" ca="1">IF(ISERROR(PRODUCT(1+OFFSET(Data_All!BP$8,Compare_Portfolios!$V$91,0,Compare_Portfolios!$V$90,1)%)),"",(PRODUCT(1+OFFSET(Data_All!BP$8,Compare_Portfolios!$V$91,0,Compare_Portfolios!$V$90,1)%)))</f>
        <v/>
      </c>
      <c r="BQ326" s="553" t="str">
        <f t="array" aca="1" ref="BQ326" ca="1">IF(ISERROR(PRODUCT(1+OFFSET(Data_All!BQ$8,Compare_Portfolios!$V$91,0,Compare_Portfolios!$V$90,1)%)),"",(PRODUCT(1+OFFSET(Data_All!BQ$8,Compare_Portfolios!$V$91,0,Compare_Portfolios!$V$90,1)%)))</f>
        <v/>
      </c>
      <c r="BR326" s="553" t="str">
        <f t="array" aca="1" ref="BR326" ca="1">IF(ISERROR(PRODUCT(1+OFFSET(Data_All!BR$8,Compare_Portfolios!$V$91,0,Compare_Portfolios!$V$90,1)%)),"",(PRODUCT(1+OFFSET(Data_All!BR$8,Compare_Portfolios!$V$91,0,Compare_Portfolios!$V$90,1)%)))</f>
        <v/>
      </c>
      <c r="BS326" s="553" t="str">
        <f t="array" aca="1" ref="BS326" ca="1">IF(ISERROR(PRODUCT(1+OFFSET(Data_All!BS$8,Compare_Portfolios!$V$91,0,Compare_Portfolios!$V$90,1)%)),"",(PRODUCT(1+OFFSET(Data_All!BS$8,Compare_Portfolios!$V$91,0,Compare_Portfolios!$V$90,1)%)))</f>
        <v/>
      </c>
      <c r="BT326" s="553" t="str">
        <f t="array" aca="1" ref="BT326" ca="1">IF(ISERROR(PRODUCT(1+OFFSET(Data_All!BT$8,Compare_Portfolios!$V$91,0,Compare_Portfolios!$V$90,1)%)),"",(PRODUCT(1+OFFSET(Data_All!BT$8,Compare_Portfolios!$V$91,0,Compare_Portfolios!$V$90,1)%)))</f>
        <v/>
      </c>
      <c r="BU326" s="553" t="str">
        <f t="array" aca="1" ref="BU326" ca="1">IF(ISERROR(PRODUCT(1+OFFSET(Data_All!BU$8,Compare_Portfolios!$V$91,0,Compare_Portfolios!$V$90,1)%)),"",(PRODUCT(1+OFFSET(Data_All!BU$8,Compare_Portfolios!$V$91,0,Compare_Portfolios!$V$90,1)%)))</f>
        <v/>
      </c>
      <c r="BV326" s="553" t="str">
        <f t="array" aca="1" ref="BV326" ca="1">IF(ISERROR(PRODUCT(1+OFFSET(Data_All!BV$8,Compare_Portfolios!$V$91,0,Compare_Portfolios!$V$90,1)%)),"",(PRODUCT(1+OFFSET(Data_All!BV$8,Compare_Portfolios!$V$91,0,Compare_Portfolios!$V$90,1)%)))</f>
        <v/>
      </c>
      <c r="BW326" s="553" t="str">
        <f t="array" aca="1" ref="BW326" ca="1">IF(ISERROR(PRODUCT(1+OFFSET(Data_All!BW$8,Compare_Portfolios!$V$91,0,Compare_Portfolios!$V$90,1)%)),"",(PRODUCT(1+OFFSET(Data_All!BW$8,Compare_Portfolios!$V$91,0,Compare_Portfolios!$V$90,1)%)))</f>
        <v/>
      </c>
      <c r="BX326" s="553">
        <f t="array" aca="1" ref="BX326" ca="1">IF(ISERROR(PRODUCT(1+OFFSET(Data_All!BX$8,Compare_Portfolios!$V$91,0,Compare_Portfolios!$V$90,1)%)),"",(PRODUCT(1+OFFSET(Data_All!BX$8,Compare_Portfolios!$V$91,0,Compare_Portfolios!$V$90,1)%)))</f>
        <v>202776.25942880643</v>
      </c>
      <c r="BY326" s="553">
        <f t="array" aca="1" ref="BY326" ca="1">IF(ISERROR(PRODUCT(1+OFFSET(Data_All!BY$8,Compare_Portfolios!$V$91,0,Compare_Portfolios!$V$90,1)%)),"",(PRODUCT(1+OFFSET(Data_All!BY$8,Compare_Portfolios!$V$91,0,Compare_Portfolios!$V$90,1)%)))</f>
        <v>779.91777308090082</v>
      </c>
      <c r="BZ326" s="554">
        <f t="array" aca="1" ref="BZ326" ca="1">IF(ISERROR(PRODUCT(1+OFFSET(Data_All!BZ$8,Compare_Portfolios!$V$91,0,Compare_Portfolios!$V$90,1)%)),"",(PRODUCT(1+OFFSET(Data_All!BZ$8,Compare_Portfolios!$V$91,0,Compare_Portfolios!$V$90,1)%)))</f>
        <v>491.65016163309264</v>
      </c>
    </row>
    <row r="327" spans="1:99">
      <c r="A327" s="521" t="s">
        <v>644</v>
      </c>
      <c r="B327" s="552">
        <f t="array" aca="1" ref="B327" ca="1">IF(ISERROR(PRODUCT(1+OFFSET(Data_All!B$8,Compare_Portfolios!$W$91,0,Compare_Portfolios!$W$90,1)%)),"",(PRODUCT(1+OFFSET(Data_All!B$8,Compare_Portfolios!$W$91,0,Compare_Portfolios!$W$90,1)%)))</f>
        <v>183838.76654793415</v>
      </c>
      <c r="C327" s="553" t="str">
        <f t="array" aca="1" ref="C327" ca="1">IF(ISERROR(PRODUCT(1+OFFSET(Data_All!C$8,Compare_Portfolios!$W$91,0,Compare_Portfolios!$W$90,1)%)),"",(PRODUCT(1+OFFSET(Data_All!C$8,Compare_Portfolios!$W$91,0,Compare_Portfolios!$W$90,1)%)))</f>
        <v/>
      </c>
      <c r="D327" s="553">
        <f t="array" aca="1" ref="D327" ca="1">IF(ISERROR(PRODUCT(1+OFFSET(Data_All!D$8,Compare_Portfolios!$W$91,0,Compare_Portfolios!$W$90,1)%)),"",(PRODUCT(1+OFFSET(Data_All!D$8,Compare_Portfolios!$W$91,0,Compare_Portfolios!$W$90,1)%)))</f>
        <v>177371.60371038428</v>
      </c>
      <c r="E327" s="553" t="str">
        <f t="array" aca="1" ref="E327" ca="1">IF(ISERROR(PRODUCT(1+OFFSET(Data_All!E$8,Compare_Portfolios!$W$91,0,Compare_Portfolios!$W$90,1)%)),"",(PRODUCT(1+OFFSET(Data_All!E$8,Compare_Portfolios!$W$91,0,Compare_Portfolios!$W$90,1)%)))</f>
        <v/>
      </c>
      <c r="F327" s="553" t="str">
        <f t="array" aca="1" ref="F327" ca="1">IF(ISERROR(PRODUCT(1+OFFSET(Data_All!F$8,Compare_Portfolios!$W$91,0,Compare_Portfolios!$W$90,1)%)),"",(PRODUCT(1+OFFSET(Data_All!F$8,Compare_Portfolios!$W$91,0,Compare_Portfolios!$W$90,1)%)))</f>
        <v/>
      </c>
      <c r="G327" s="553" t="str">
        <f t="array" aca="1" ref="G327" ca="1">IF(ISERROR(PRODUCT(1+OFFSET(Data_All!G$8,Compare_Portfolios!$W$91,0,Compare_Portfolios!$W$90,1)%)),"",(PRODUCT(1+OFFSET(Data_All!G$8,Compare_Portfolios!$W$91,0,Compare_Portfolios!$W$90,1)%)))</f>
        <v/>
      </c>
      <c r="H327" s="553" t="str">
        <f t="array" aca="1" ref="H327" ca="1">IF(ISERROR(PRODUCT(1+OFFSET(Data_All!H$8,Compare_Portfolios!$W$91,0,Compare_Portfolios!$W$90,1)%)),"",(PRODUCT(1+OFFSET(Data_All!H$8,Compare_Portfolios!$W$91,0,Compare_Portfolios!$W$90,1)%)))</f>
        <v/>
      </c>
      <c r="I327" s="553" t="str">
        <f t="array" aca="1" ref="I327" ca="1">IF(ISERROR(PRODUCT(1+OFFSET(Data_All!I$8,Compare_Portfolios!$W$91,0,Compare_Portfolios!$W$90,1)%)),"",(PRODUCT(1+OFFSET(Data_All!I$8,Compare_Portfolios!$W$91,0,Compare_Portfolios!$W$90,1)%)))</f>
        <v/>
      </c>
      <c r="J327" s="553" t="str">
        <f t="array" aca="1" ref="J327" ca="1">IF(ISERROR(PRODUCT(1+OFFSET(Data_All!J$8,Compare_Portfolios!$W$91,0,Compare_Portfolios!$W$90,1)%)),"",(PRODUCT(1+OFFSET(Data_All!J$8,Compare_Portfolios!$W$91,0,Compare_Portfolios!$W$90,1)%)))</f>
        <v/>
      </c>
      <c r="K327" s="553" t="str">
        <f t="array" aca="1" ref="K327" ca="1">IF(ISERROR(PRODUCT(1+OFFSET(Data_All!K$8,Compare_Portfolios!$W$91,0,Compare_Portfolios!$W$90,1)%)),"",(PRODUCT(1+OFFSET(Data_All!K$8,Compare_Portfolios!$W$91,0,Compare_Portfolios!$W$90,1)%)))</f>
        <v/>
      </c>
      <c r="L327" s="553" t="str">
        <f t="array" aca="1" ref="L327" ca="1">IF(ISERROR(PRODUCT(1+OFFSET(Data_All!L$8,Compare_Portfolios!$W$91,0,Compare_Portfolios!$W$90,1)%)),"",(PRODUCT(1+OFFSET(Data_All!L$8,Compare_Portfolios!$W$91,0,Compare_Portfolios!$W$90,1)%)))</f>
        <v/>
      </c>
      <c r="M327" s="553" t="str">
        <f t="array" aca="1" ref="M327" ca="1">IF(ISERROR(PRODUCT(1+OFFSET(Data_All!M$8,Compare_Portfolios!$W$91,0,Compare_Portfolios!$W$90,1)%)),"",(PRODUCT(1+OFFSET(Data_All!M$8,Compare_Portfolios!$W$91,0,Compare_Portfolios!$W$90,1)%)))</f>
        <v/>
      </c>
      <c r="N327" s="553" t="str">
        <f t="array" aca="1" ref="N327" ca="1">IF(ISERROR(PRODUCT(1+OFFSET(Data_All!N$8,Compare_Portfolios!$W$91,0,Compare_Portfolios!$W$90,1)%)),"",(PRODUCT(1+OFFSET(Data_All!N$8,Compare_Portfolios!$W$91,0,Compare_Portfolios!$W$90,1)%)))</f>
        <v/>
      </c>
      <c r="O327" s="553" t="str">
        <f t="array" aca="1" ref="O327" ca="1">IF(ISERROR(PRODUCT(1+OFFSET(Data_All!O$8,Compare_Portfolios!$W$91,0,Compare_Portfolios!$W$90,1)%)),"",(PRODUCT(1+OFFSET(Data_All!O$8,Compare_Portfolios!$W$91,0,Compare_Portfolios!$W$90,1)%)))</f>
        <v/>
      </c>
      <c r="P327" s="553" t="str">
        <f t="array" aca="1" ref="P327" ca="1">IF(ISERROR(PRODUCT(1+OFFSET(Data_All!P$8,Compare_Portfolios!$W$91,0,Compare_Portfolios!$W$90,1)%)),"",(PRODUCT(1+OFFSET(Data_All!P$8,Compare_Portfolios!$W$91,0,Compare_Portfolios!$W$90,1)%)))</f>
        <v/>
      </c>
      <c r="Q327" s="553" t="str">
        <f t="array" aca="1" ref="Q327" ca="1">IF(ISERROR(PRODUCT(1+OFFSET(Data_All!Q$8,Compare_Portfolios!$W$91,0,Compare_Portfolios!$W$90,1)%)),"",(PRODUCT(1+OFFSET(Data_All!Q$8,Compare_Portfolios!$W$91,0,Compare_Portfolios!$W$90,1)%)))</f>
        <v/>
      </c>
      <c r="R327" s="553" t="str">
        <f t="array" aca="1" ref="R327" ca="1">IF(ISERROR(PRODUCT(1+OFFSET(Data_All!R$8,Compare_Portfolios!$W$91,0,Compare_Portfolios!$W$90,1)%)),"",(PRODUCT(1+OFFSET(Data_All!R$8,Compare_Portfolios!$W$91,0,Compare_Portfolios!$W$90,1)%)))</f>
        <v/>
      </c>
      <c r="S327" s="553" t="str">
        <f t="array" aca="1" ref="S327" ca="1">IF(ISERROR(PRODUCT(1+OFFSET(Data_All!S$8,Compare_Portfolios!$W$91,0,Compare_Portfolios!$W$90,1)%)),"",(PRODUCT(1+OFFSET(Data_All!S$8,Compare_Portfolios!$W$91,0,Compare_Portfolios!$W$90,1)%)))</f>
        <v/>
      </c>
      <c r="T327" s="553">
        <f t="array" aca="1" ref="T327" ca="1">IF(ISERROR(PRODUCT(1+OFFSET(Data_All!T$8,Compare_Portfolios!$W$91,0,Compare_Portfolios!$W$90,1)%)),"",(PRODUCT(1+OFFSET(Data_All!T$8,Compare_Portfolios!$W$91,0,Compare_Portfolios!$W$90,1)%)))</f>
        <v>642.59614716431236</v>
      </c>
      <c r="U327" s="553">
        <f t="array" aca="1" ref="U327" ca="1">IF(ISERROR(PRODUCT(1+OFFSET(Data_All!U$8,Compare_Portfolios!$W$91,0,Compare_Portfolios!$W$90,1)%)),"",(PRODUCT(1+OFFSET(Data_All!U$8,Compare_Portfolios!$W$91,0,Compare_Portfolios!$W$90,1)%)))</f>
        <v>668.3812124403205</v>
      </c>
      <c r="V327" s="553">
        <f t="array" aca="1" ref="V327" ca="1">IF(ISERROR(PRODUCT(1+OFFSET(Data_All!V$8,Compare_Portfolios!$W$91,0,Compare_Portfolios!$W$90,1)%)),"",(PRODUCT(1+OFFSET(Data_All!V$8,Compare_Portfolios!$W$91,0,Compare_Portfolios!$W$90,1)%)))</f>
        <v>379.24156021168028</v>
      </c>
      <c r="W327" s="553" t="str">
        <f t="array" aca="1" ref="W327" ca="1">IF(ISERROR(PRODUCT(1+OFFSET(Data_All!W$8,Compare_Portfolios!$W$91,0,Compare_Portfolios!$W$90,1)%)),"",(PRODUCT(1+OFFSET(Data_All!W$8,Compare_Portfolios!$W$91,0,Compare_Portfolios!$W$90,1)%)))</f>
        <v/>
      </c>
      <c r="X327" s="553" t="str">
        <f t="array" aca="1" ref="X327" ca="1">IF(ISERROR(PRODUCT(1+OFFSET(Data_All!X$8,Compare_Portfolios!$W$91,0,Compare_Portfolios!$W$90,1)%)),"",(PRODUCT(1+OFFSET(Data_All!X$8,Compare_Portfolios!$W$91,0,Compare_Portfolios!$W$90,1)%)))</f>
        <v/>
      </c>
      <c r="Y327" s="553" t="str">
        <f t="array" aca="1" ref="Y327" ca="1">IF(ISERROR(PRODUCT(1+OFFSET(Data_All!Y$8,Compare_Portfolios!$W$91,0,Compare_Portfolios!$W$90,1)%)),"",(PRODUCT(1+OFFSET(Data_All!Y$8,Compare_Portfolios!$W$91,0,Compare_Portfolios!$W$90,1)%)))</f>
        <v/>
      </c>
      <c r="Z327" s="553" t="str">
        <f t="array" aca="1" ref="Z327" ca="1">IF(ISERROR(PRODUCT(1+OFFSET(Data_All!Z$8,Compare_Portfolios!$W$91,0,Compare_Portfolios!$W$90,1)%)),"",(PRODUCT(1+OFFSET(Data_All!Z$8,Compare_Portfolios!$W$91,0,Compare_Portfolios!$W$90,1)%)))</f>
        <v/>
      </c>
      <c r="AA327" s="553" t="str">
        <f t="array" aca="1" ref="AA327" ca="1">IF(ISERROR(PRODUCT(1+OFFSET(Data_All!AA$8,Compare_Portfolios!$W$91,0,Compare_Portfolios!$W$90,1)%)),"",(PRODUCT(1+OFFSET(Data_All!AA$8,Compare_Portfolios!$W$91,0,Compare_Portfolios!$W$90,1)%)))</f>
        <v/>
      </c>
      <c r="AB327" s="553" t="str">
        <f t="array" aca="1" ref="AB327" ca="1">IF(ISERROR(PRODUCT(1+OFFSET(Data_All!AB$8,Compare_Portfolios!$W$91,0,Compare_Portfolios!$W$90,1)%)),"",(PRODUCT(1+OFFSET(Data_All!AB$8,Compare_Portfolios!$W$91,0,Compare_Portfolios!$W$90,1)%)))</f>
        <v/>
      </c>
      <c r="AC327" s="553" t="str">
        <f t="array" aca="1" ref="AC327" ca="1">IF(ISERROR(PRODUCT(1+OFFSET(Data_All!AC$8,Compare_Portfolios!$W$91,0,Compare_Portfolios!$W$90,1)%)),"",(PRODUCT(1+OFFSET(Data_All!AC$8,Compare_Portfolios!$W$91,0,Compare_Portfolios!$W$90,1)%)))</f>
        <v/>
      </c>
      <c r="AD327" s="553" t="str">
        <f t="array" aca="1" ref="AD327" ca="1">IF(ISERROR(PRODUCT(1+OFFSET(Data_All!AD$8,Compare_Portfolios!$W$91,0,Compare_Portfolios!$W$90,1)%)),"",(PRODUCT(1+OFFSET(Data_All!AD$8,Compare_Portfolios!$W$91,0,Compare_Portfolios!$W$90,1)%)))</f>
        <v/>
      </c>
      <c r="AE327" s="553" t="str">
        <f t="array" aca="1" ref="AE327" ca="1">IF(ISERROR(PRODUCT(1+OFFSET(Data_All!AE$8,Compare_Portfolios!$W$91,0,Compare_Portfolios!$W$90,1)%)),"",(PRODUCT(1+OFFSET(Data_All!AE$8,Compare_Portfolios!$W$91,0,Compare_Portfolios!$W$90,1)%)))</f>
        <v/>
      </c>
      <c r="AF327" s="553" t="str">
        <f t="array" aca="1" ref="AF327" ca="1">IF(ISERROR(PRODUCT(1+OFFSET(Data_All!AF$8,Compare_Portfolios!$W$91,0,Compare_Portfolios!$W$90,1)%)),"",(PRODUCT(1+OFFSET(Data_All!AF$8,Compare_Portfolios!$W$91,0,Compare_Portfolios!$W$90,1)%)))</f>
        <v/>
      </c>
      <c r="AG327" s="553" t="str">
        <f t="array" aca="1" ref="AG327" ca="1">IF(ISERROR(PRODUCT(1+OFFSET(Data_All!AG$8,Compare_Portfolios!$W$91,0,Compare_Portfolios!$W$90,1)%)),"",(PRODUCT(1+OFFSET(Data_All!AG$8,Compare_Portfolios!$W$91,0,Compare_Portfolios!$W$90,1)%)))</f>
        <v/>
      </c>
      <c r="AH327" s="553" t="str">
        <f t="array" aca="1" ref="AH327" ca="1">IF(ISERROR(PRODUCT(1+OFFSET(Data_All!AH$8,Compare_Portfolios!$W$91,0,Compare_Portfolios!$W$90,1)%)),"",(PRODUCT(1+OFFSET(Data_All!AH$8,Compare_Portfolios!$W$91,0,Compare_Portfolios!$W$90,1)%)))</f>
        <v/>
      </c>
      <c r="AI327" s="553" t="str">
        <f t="array" aca="1" ref="AI327" ca="1">IF(ISERROR(PRODUCT(1+OFFSET(Data_All!AI$8,Compare_Portfolios!$W$91,0,Compare_Portfolios!$W$90,1)%)),"",(PRODUCT(1+OFFSET(Data_All!AI$8,Compare_Portfolios!$W$91,0,Compare_Portfolios!$W$90,1)%)))</f>
        <v/>
      </c>
      <c r="AJ327" s="553" t="str">
        <f t="array" aca="1" ref="AJ327" ca="1">IF(ISERROR(PRODUCT(1+OFFSET(Data_All!AJ$8,Compare_Portfolios!$W$91,0,Compare_Portfolios!$W$90,1)%)),"",(PRODUCT(1+OFFSET(Data_All!AJ$8,Compare_Portfolios!$W$91,0,Compare_Portfolios!$W$90,1)%)))</f>
        <v/>
      </c>
      <c r="AK327" s="553" t="str">
        <f t="array" aca="1" ref="AK327" ca="1">IF(ISERROR(PRODUCT(1+OFFSET(Data_All!AK$8,Compare_Portfolios!$W$91,0,Compare_Portfolios!$W$90,1)%)),"",(PRODUCT(1+OFFSET(Data_All!AK$8,Compare_Portfolios!$W$91,0,Compare_Portfolios!$W$90,1)%)))</f>
        <v/>
      </c>
      <c r="AL327" s="553" t="str">
        <f t="array" aca="1" ref="AL327" ca="1">IF(ISERROR(PRODUCT(1+OFFSET(Data_All!AL$8,Compare_Portfolios!$W$91,0,Compare_Portfolios!$W$90,1)%)),"",(PRODUCT(1+OFFSET(Data_All!AL$8,Compare_Portfolios!$W$91,0,Compare_Portfolios!$W$90,1)%)))</f>
        <v/>
      </c>
      <c r="AM327" s="553" t="str">
        <f t="array" aca="1" ref="AM327" ca="1">IF(ISERROR(PRODUCT(1+OFFSET(Data_All!AM$8,Compare_Portfolios!$W$91,0,Compare_Portfolios!$W$90,1)%)),"",(PRODUCT(1+OFFSET(Data_All!AM$8,Compare_Portfolios!$W$91,0,Compare_Portfolios!$W$90,1)%)))</f>
        <v/>
      </c>
      <c r="AN327" s="553" t="str">
        <f t="array" aca="1" ref="AN327" ca="1">IF(ISERROR(PRODUCT(1+OFFSET(Data_All!AN$8,Compare_Portfolios!$W$91,0,Compare_Portfolios!$W$90,1)%)),"",(PRODUCT(1+OFFSET(Data_All!AN$8,Compare_Portfolios!$W$91,0,Compare_Portfolios!$W$90,1)%)))</f>
        <v/>
      </c>
      <c r="AO327" s="553" t="str">
        <f t="array" aca="1" ref="AO327" ca="1">IF(ISERROR(PRODUCT(1+OFFSET(Data_All!AO$8,Compare_Portfolios!$W$91,0,Compare_Portfolios!$W$90,1)%)),"",(PRODUCT(1+OFFSET(Data_All!AO$8,Compare_Portfolios!$W$91,0,Compare_Portfolios!$W$90,1)%)))</f>
        <v/>
      </c>
      <c r="AP327" s="553" t="str">
        <f t="array" aca="1" ref="AP327" ca="1">IF(ISERROR(PRODUCT(1+OFFSET(Data_All!AP$8,Compare_Portfolios!$W$91,0,Compare_Portfolios!$W$90,1)%)),"",(PRODUCT(1+OFFSET(Data_All!AP$8,Compare_Portfolios!$W$91,0,Compare_Portfolios!$W$90,1)%)))</f>
        <v/>
      </c>
      <c r="AQ327" s="553" t="str">
        <f t="array" aca="1" ref="AQ327" ca="1">IF(ISERROR(PRODUCT(1+OFFSET(Data_All!AQ$8,Compare_Portfolios!$W$91,0,Compare_Portfolios!$W$90,1)%)),"",(PRODUCT(1+OFFSET(Data_All!AQ$8,Compare_Portfolios!$W$91,0,Compare_Portfolios!$W$90,1)%)))</f>
        <v/>
      </c>
      <c r="AR327" s="553" t="str">
        <f t="array" aca="1" ref="AR327" ca="1">IF(ISERROR(PRODUCT(1+OFFSET(Data_All!AR$8,Compare_Portfolios!$W$91,0,Compare_Portfolios!$W$90,1)%)),"",(PRODUCT(1+OFFSET(Data_All!AR$8,Compare_Portfolios!$W$91,0,Compare_Portfolios!$W$90,1)%)))</f>
        <v/>
      </c>
      <c r="AS327" s="553" t="str">
        <f t="array" aca="1" ref="AS327" ca="1">IF(ISERROR(PRODUCT(1+OFFSET(Data_All!AS$8,Compare_Portfolios!$W$91,0,Compare_Portfolios!$W$90,1)%)),"",(PRODUCT(1+OFFSET(Data_All!AS$8,Compare_Portfolios!$W$91,0,Compare_Portfolios!$W$90,1)%)))</f>
        <v/>
      </c>
      <c r="AT327" s="553" t="str">
        <f t="array" aca="1" ref="AT327" ca="1">IF(ISERROR(PRODUCT(1+OFFSET(Data_All!AT$8,Compare_Portfolios!$W$91,0,Compare_Portfolios!$W$90,1)%)),"",(PRODUCT(1+OFFSET(Data_All!AT$8,Compare_Portfolios!$W$91,0,Compare_Portfolios!$W$90,1)%)))</f>
        <v/>
      </c>
      <c r="AU327" s="553" t="str">
        <f t="array" aca="1" ref="AU327" ca="1">IF(ISERROR(PRODUCT(1+OFFSET(Data_All!AU$8,Compare_Portfolios!$W$91,0,Compare_Portfolios!$W$90,1)%)),"",(PRODUCT(1+OFFSET(Data_All!AU$8,Compare_Portfolios!$W$91,0,Compare_Portfolios!$W$90,1)%)))</f>
        <v/>
      </c>
      <c r="AV327" s="553" t="str">
        <f t="array" aca="1" ref="AV327" ca="1">IF(ISERROR(PRODUCT(1+OFFSET(Data_All!AV$8,Compare_Portfolios!$W$91,0,Compare_Portfolios!$W$90,1)%)),"",(PRODUCT(1+OFFSET(Data_All!AV$8,Compare_Portfolios!$W$91,0,Compare_Portfolios!$W$90,1)%)))</f>
        <v/>
      </c>
      <c r="AW327" s="553" t="str">
        <f t="array" aca="1" ref="AW327" ca="1">IF(ISERROR(PRODUCT(1+OFFSET(Data_All!AW$8,Compare_Portfolios!$W$91,0,Compare_Portfolios!$W$90,1)%)),"",(PRODUCT(1+OFFSET(Data_All!AW$8,Compare_Portfolios!$W$91,0,Compare_Portfolios!$W$90,1)%)))</f>
        <v/>
      </c>
      <c r="AX327" s="553" t="str">
        <f t="array" aca="1" ref="AX327" ca="1">IF(ISERROR(PRODUCT(1+OFFSET(Data_All!AX$8,Compare_Portfolios!$W$91,0,Compare_Portfolios!$W$90,1)%)),"",(PRODUCT(1+OFFSET(Data_All!AX$8,Compare_Portfolios!$W$91,0,Compare_Portfolios!$W$90,1)%)))</f>
        <v/>
      </c>
      <c r="AY327" s="553" t="str">
        <f t="array" aca="1" ref="AY327" ca="1">IF(ISERROR(PRODUCT(1+OFFSET(Data_All!AY$8,Compare_Portfolios!$W$91,0,Compare_Portfolios!$W$90,1)%)),"",(PRODUCT(1+OFFSET(Data_All!AY$8,Compare_Portfolios!$W$91,0,Compare_Portfolios!$W$90,1)%)))</f>
        <v/>
      </c>
      <c r="AZ327" s="553" t="str">
        <f t="array" aca="1" ref="AZ327" ca="1">IF(ISERROR(PRODUCT(1+OFFSET(Data_All!AZ$8,Compare_Portfolios!$W$91,0,Compare_Portfolios!$W$90,1)%)),"",(PRODUCT(1+OFFSET(Data_All!AZ$8,Compare_Portfolios!$W$91,0,Compare_Portfolios!$W$90,1)%)))</f>
        <v/>
      </c>
      <c r="BA327" s="553" t="str">
        <f t="array" aca="1" ref="BA327" ca="1">IF(ISERROR(PRODUCT(1+OFFSET(Data_All!BA$8,Compare_Portfolios!$W$91,0,Compare_Portfolios!$W$90,1)%)),"",(PRODUCT(1+OFFSET(Data_All!BA$8,Compare_Portfolios!$W$91,0,Compare_Portfolios!$W$90,1)%)))</f>
        <v/>
      </c>
      <c r="BB327" s="553" t="str">
        <f t="array" aca="1" ref="BB327" ca="1">IF(ISERROR(PRODUCT(1+OFFSET(Data_All!BB$8,Compare_Portfolios!$W$91,0,Compare_Portfolios!$W$90,1)%)),"",(PRODUCT(1+OFFSET(Data_All!BB$8,Compare_Portfolios!$W$91,0,Compare_Portfolios!$W$90,1)%)))</f>
        <v/>
      </c>
      <c r="BC327" s="553" t="str">
        <f t="array" aca="1" ref="BC327" ca="1">IF(ISERROR(PRODUCT(1+OFFSET(Data_All!BC$8,Compare_Portfolios!$W$91,0,Compare_Portfolios!$W$90,1)%)),"",(PRODUCT(1+OFFSET(Data_All!BC$8,Compare_Portfolios!$W$91,0,Compare_Portfolios!$W$90,1)%)))</f>
        <v/>
      </c>
      <c r="BD327" s="553" t="str">
        <f t="array" aca="1" ref="BD327" ca="1">IF(ISERROR(PRODUCT(1+OFFSET(Data_All!BD$8,Compare_Portfolios!$W$91,0,Compare_Portfolios!$W$90,1)%)),"",(PRODUCT(1+OFFSET(Data_All!BD$8,Compare_Portfolios!$W$91,0,Compare_Portfolios!$W$90,1)%)))</f>
        <v/>
      </c>
      <c r="BE327" s="553" t="str">
        <f t="array" aca="1" ref="BE327" ca="1">IF(ISERROR(PRODUCT(1+OFFSET(Data_All!BE$8,Compare_Portfolios!$W$91,0,Compare_Portfolios!$W$90,1)%)),"",(PRODUCT(1+OFFSET(Data_All!BE$8,Compare_Portfolios!$W$91,0,Compare_Portfolios!$W$90,1)%)))</f>
        <v/>
      </c>
      <c r="BF327" s="553" t="str">
        <f t="array" aca="1" ref="BF327" ca="1">IF(ISERROR(PRODUCT(1+OFFSET(Data_All!BF$8,Compare_Portfolios!$W$91,0,Compare_Portfolios!$W$90,1)%)),"",(PRODUCT(1+OFFSET(Data_All!BF$8,Compare_Portfolios!$W$91,0,Compare_Portfolios!$W$90,1)%)))</f>
        <v/>
      </c>
      <c r="BG327" s="553" t="str">
        <f t="array" aca="1" ref="BG327" ca="1">IF(ISERROR(PRODUCT(1+OFFSET(Data_All!BG$8,Compare_Portfolios!$W$91,0,Compare_Portfolios!$W$90,1)%)),"",(PRODUCT(1+OFFSET(Data_All!BG$8,Compare_Portfolios!$W$91,0,Compare_Portfolios!$W$90,1)%)))</f>
        <v/>
      </c>
      <c r="BH327" s="553" t="str">
        <f t="array" aca="1" ref="BH327" ca="1">IF(ISERROR(PRODUCT(1+OFFSET(Data_All!BH$8,Compare_Portfolios!$W$91,0,Compare_Portfolios!$W$90,1)%)),"",(PRODUCT(1+OFFSET(Data_All!BH$8,Compare_Portfolios!$W$91,0,Compare_Portfolios!$W$90,1)%)))</f>
        <v/>
      </c>
      <c r="BI327" s="553" t="str">
        <f t="array" aca="1" ref="BI327" ca="1">IF(ISERROR(PRODUCT(1+OFFSET(Data_All!BI$8,Compare_Portfolios!$W$91,0,Compare_Portfolios!$W$90,1)%)),"",(PRODUCT(1+OFFSET(Data_All!BI$8,Compare_Portfolios!$W$91,0,Compare_Portfolios!$W$90,1)%)))</f>
        <v/>
      </c>
      <c r="BJ327" s="553" t="str">
        <f t="array" aca="1" ref="BJ327" ca="1">IF(ISERROR(PRODUCT(1+OFFSET(Data_All!BJ$8,Compare_Portfolios!$W$91,0,Compare_Portfolios!$W$90,1)%)),"",(PRODUCT(1+OFFSET(Data_All!BJ$8,Compare_Portfolios!$W$91,0,Compare_Portfolios!$W$90,1)%)))</f>
        <v/>
      </c>
      <c r="BK327" s="553" t="str">
        <f t="array" aca="1" ref="BK327" ca="1">IF(ISERROR(PRODUCT(1+OFFSET(Data_All!BK$8,Compare_Portfolios!$W$91,0,Compare_Portfolios!$W$90,1)%)),"",(PRODUCT(1+OFFSET(Data_All!BK$8,Compare_Portfolios!$W$91,0,Compare_Portfolios!$W$90,1)%)))</f>
        <v/>
      </c>
      <c r="BL327" s="553" t="str">
        <f t="array" aca="1" ref="BL327" ca="1">IF(ISERROR(PRODUCT(1+OFFSET(Data_All!BL$8,Compare_Portfolios!$W$91,0,Compare_Portfolios!$W$90,1)%)),"",(PRODUCT(1+OFFSET(Data_All!BL$8,Compare_Portfolios!$W$91,0,Compare_Portfolios!$W$90,1)%)))</f>
        <v/>
      </c>
      <c r="BM327" s="553" t="str">
        <f t="array" aca="1" ref="BM327" ca="1">IF(ISERROR(PRODUCT(1+OFFSET(Data_All!BM$8,Compare_Portfolios!$W$91,0,Compare_Portfolios!$W$90,1)%)),"",(PRODUCT(1+OFFSET(Data_All!BM$8,Compare_Portfolios!$W$91,0,Compare_Portfolios!$W$90,1)%)))</f>
        <v/>
      </c>
      <c r="BN327" s="553" t="str">
        <f t="array" aca="1" ref="BN327" ca="1">IF(ISERROR(PRODUCT(1+OFFSET(Data_All!BN$8,Compare_Portfolios!$W$91,0,Compare_Portfolios!$W$90,1)%)),"",(PRODUCT(1+OFFSET(Data_All!BN$8,Compare_Portfolios!$W$91,0,Compare_Portfolios!$W$90,1)%)))</f>
        <v/>
      </c>
      <c r="BO327" s="553" t="str">
        <f t="array" aca="1" ref="BO327" ca="1">IF(ISERROR(PRODUCT(1+OFFSET(Data_All!BO$8,Compare_Portfolios!$W$91,0,Compare_Portfolios!$W$90,1)%)),"",(PRODUCT(1+OFFSET(Data_All!BO$8,Compare_Portfolios!$W$91,0,Compare_Portfolios!$W$90,1)%)))</f>
        <v/>
      </c>
      <c r="BP327" s="553" t="str">
        <f t="array" aca="1" ref="BP327" ca="1">IF(ISERROR(PRODUCT(1+OFFSET(Data_All!BP$8,Compare_Portfolios!$W$91,0,Compare_Portfolios!$W$90,1)%)),"",(PRODUCT(1+OFFSET(Data_All!BP$8,Compare_Portfolios!$W$91,0,Compare_Portfolios!$W$90,1)%)))</f>
        <v/>
      </c>
      <c r="BQ327" s="553" t="str">
        <f t="array" aca="1" ref="BQ327" ca="1">IF(ISERROR(PRODUCT(1+OFFSET(Data_All!BQ$8,Compare_Portfolios!$W$91,0,Compare_Portfolios!$W$90,1)%)),"",(PRODUCT(1+OFFSET(Data_All!BQ$8,Compare_Portfolios!$W$91,0,Compare_Portfolios!$W$90,1)%)))</f>
        <v/>
      </c>
      <c r="BR327" s="553" t="str">
        <f t="array" aca="1" ref="BR327" ca="1">IF(ISERROR(PRODUCT(1+OFFSET(Data_All!BR$8,Compare_Portfolios!$W$91,0,Compare_Portfolios!$W$90,1)%)),"",(PRODUCT(1+OFFSET(Data_All!BR$8,Compare_Portfolios!$W$91,0,Compare_Portfolios!$W$90,1)%)))</f>
        <v/>
      </c>
      <c r="BS327" s="553" t="str">
        <f t="array" aca="1" ref="BS327" ca="1">IF(ISERROR(PRODUCT(1+OFFSET(Data_All!BS$8,Compare_Portfolios!$W$91,0,Compare_Portfolios!$W$90,1)%)),"",(PRODUCT(1+OFFSET(Data_All!BS$8,Compare_Portfolios!$W$91,0,Compare_Portfolios!$W$90,1)%)))</f>
        <v/>
      </c>
      <c r="BT327" s="553" t="str">
        <f t="array" aca="1" ref="BT327" ca="1">IF(ISERROR(PRODUCT(1+OFFSET(Data_All!BT$8,Compare_Portfolios!$W$91,0,Compare_Portfolios!$W$90,1)%)),"",(PRODUCT(1+OFFSET(Data_All!BT$8,Compare_Portfolios!$W$91,0,Compare_Portfolios!$W$90,1)%)))</f>
        <v/>
      </c>
      <c r="BU327" s="553" t="str">
        <f t="array" aca="1" ref="BU327" ca="1">IF(ISERROR(PRODUCT(1+OFFSET(Data_All!BU$8,Compare_Portfolios!$W$91,0,Compare_Portfolios!$W$90,1)%)),"",(PRODUCT(1+OFFSET(Data_All!BU$8,Compare_Portfolios!$W$91,0,Compare_Portfolios!$W$90,1)%)))</f>
        <v/>
      </c>
      <c r="BV327" s="553" t="str">
        <f t="array" aca="1" ref="BV327" ca="1">IF(ISERROR(PRODUCT(1+OFFSET(Data_All!BV$8,Compare_Portfolios!$W$91,0,Compare_Portfolios!$W$90,1)%)),"",(PRODUCT(1+OFFSET(Data_All!BV$8,Compare_Portfolios!$W$91,0,Compare_Portfolios!$W$90,1)%)))</f>
        <v/>
      </c>
      <c r="BW327" s="553" t="str">
        <f t="array" aca="1" ref="BW327" ca="1">IF(ISERROR(PRODUCT(1+OFFSET(Data_All!BW$8,Compare_Portfolios!$W$91,0,Compare_Portfolios!$W$90,1)%)),"",(PRODUCT(1+OFFSET(Data_All!BW$8,Compare_Portfolios!$W$91,0,Compare_Portfolios!$W$90,1)%)))</f>
        <v/>
      </c>
      <c r="BX327" s="553">
        <f t="array" aca="1" ref="BX327" ca="1">IF(ISERROR(PRODUCT(1+OFFSET(Data_All!BX$8,Compare_Portfolios!$W$91,0,Compare_Portfolios!$W$90,1)%)),"",(PRODUCT(1+OFFSET(Data_All!BX$8,Compare_Portfolios!$W$91,0,Compare_Portfolios!$W$90,1)%)))</f>
        <v>202776.25942880643</v>
      </c>
      <c r="BY327" s="553">
        <f t="array" aca="1" ref="BY327" ca="1">IF(ISERROR(PRODUCT(1+OFFSET(Data_All!BY$8,Compare_Portfolios!$W$91,0,Compare_Portfolios!$W$90,1)%)),"",(PRODUCT(1+OFFSET(Data_All!BY$8,Compare_Portfolios!$W$91,0,Compare_Portfolios!$W$90,1)%)))</f>
        <v>779.91777308090082</v>
      </c>
      <c r="BZ327" s="554">
        <f t="array" aca="1" ref="BZ327" ca="1">IF(ISERROR(PRODUCT(1+OFFSET(Data_All!BZ$8,Compare_Portfolios!$W$91,0,Compare_Portfolios!$W$90,1)%)),"",(PRODUCT(1+OFFSET(Data_All!BZ$8,Compare_Portfolios!$W$91,0,Compare_Portfolios!$W$90,1)%)))</f>
        <v>491.65016163309264</v>
      </c>
    </row>
    <row r="328" spans="1:99">
      <c r="A328" s="521" t="s">
        <v>645</v>
      </c>
      <c r="B328" s="552">
        <f t="array" aca="1" ref="B328" ca="1">IF(ISERROR(PRODUCT(1+OFFSET(Data_All!B$8,Compare_Portfolios!$X$91,0,Compare_Portfolios!$X$90,1)%)),"",(PRODUCT(1+OFFSET(Data_All!B$8,Compare_Portfolios!$X$91,0,Compare_Portfolios!$X$90,1)%)))</f>
        <v>183838.76654793415</v>
      </c>
      <c r="C328" s="553" t="str">
        <f t="array" aca="1" ref="C328" ca="1">IF(ISERROR(PRODUCT(1+OFFSET(Data_All!C$8,Compare_Portfolios!$X$91,0,Compare_Portfolios!$X$90,1)%)),"",(PRODUCT(1+OFFSET(Data_All!C$8,Compare_Portfolios!$X$91,0,Compare_Portfolios!$X$90,1)%)))</f>
        <v/>
      </c>
      <c r="D328" s="553">
        <f t="array" aca="1" ref="D328" ca="1">IF(ISERROR(PRODUCT(1+OFFSET(Data_All!D$8,Compare_Portfolios!$X$91,0,Compare_Portfolios!$X$90,1)%)),"",(PRODUCT(1+OFFSET(Data_All!D$8,Compare_Portfolios!$X$91,0,Compare_Portfolios!$X$90,1)%)))</f>
        <v>177371.60371038428</v>
      </c>
      <c r="E328" s="553" t="str">
        <f t="array" aca="1" ref="E328" ca="1">IF(ISERROR(PRODUCT(1+OFFSET(Data_All!E$8,Compare_Portfolios!$X$91,0,Compare_Portfolios!$X$90,1)%)),"",(PRODUCT(1+OFFSET(Data_All!E$8,Compare_Portfolios!$X$91,0,Compare_Portfolios!$X$90,1)%)))</f>
        <v/>
      </c>
      <c r="F328" s="553" t="str">
        <f t="array" aca="1" ref="F328" ca="1">IF(ISERROR(PRODUCT(1+OFFSET(Data_All!F$8,Compare_Portfolios!$X$91,0,Compare_Portfolios!$X$90,1)%)),"",(PRODUCT(1+OFFSET(Data_All!F$8,Compare_Portfolios!$X$91,0,Compare_Portfolios!$X$90,1)%)))</f>
        <v/>
      </c>
      <c r="G328" s="553" t="str">
        <f t="array" aca="1" ref="G328" ca="1">IF(ISERROR(PRODUCT(1+OFFSET(Data_All!G$8,Compare_Portfolios!$X$91,0,Compare_Portfolios!$X$90,1)%)),"",(PRODUCT(1+OFFSET(Data_All!G$8,Compare_Portfolios!$X$91,0,Compare_Portfolios!$X$90,1)%)))</f>
        <v/>
      </c>
      <c r="H328" s="553" t="str">
        <f t="array" aca="1" ref="H328" ca="1">IF(ISERROR(PRODUCT(1+OFFSET(Data_All!H$8,Compare_Portfolios!$X$91,0,Compare_Portfolios!$X$90,1)%)),"",(PRODUCT(1+OFFSET(Data_All!H$8,Compare_Portfolios!$X$91,0,Compare_Portfolios!$X$90,1)%)))</f>
        <v/>
      </c>
      <c r="I328" s="553" t="str">
        <f t="array" aca="1" ref="I328" ca="1">IF(ISERROR(PRODUCT(1+OFFSET(Data_All!I$8,Compare_Portfolios!$X$91,0,Compare_Portfolios!$X$90,1)%)),"",(PRODUCT(1+OFFSET(Data_All!I$8,Compare_Portfolios!$X$91,0,Compare_Portfolios!$X$90,1)%)))</f>
        <v/>
      </c>
      <c r="J328" s="553" t="str">
        <f t="array" aca="1" ref="J328" ca="1">IF(ISERROR(PRODUCT(1+OFFSET(Data_All!J$8,Compare_Portfolios!$X$91,0,Compare_Portfolios!$X$90,1)%)),"",(PRODUCT(1+OFFSET(Data_All!J$8,Compare_Portfolios!$X$91,0,Compare_Portfolios!$X$90,1)%)))</f>
        <v/>
      </c>
      <c r="K328" s="553" t="str">
        <f t="array" aca="1" ref="K328" ca="1">IF(ISERROR(PRODUCT(1+OFFSET(Data_All!K$8,Compare_Portfolios!$X$91,0,Compare_Portfolios!$X$90,1)%)),"",(PRODUCT(1+OFFSET(Data_All!K$8,Compare_Portfolios!$X$91,0,Compare_Portfolios!$X$90,1)%)))</f>
        <v/>
      </c>
      <c r="L328" s="553" t="str">
        <f t="array" aca="1" ref="L328" ca="1">IF(ISERROR(PRODUCT(1+OFFSET(Data_All!L$8,Compare_Portfolios!$X$91,0,Compare_Portfolios!$X$90,1)%)),"",(PRODUCT(1+OFFSET(Data_All!L$8,Compare_Portfolios!$X$91,0,Compare_Portfolios!$X$90,1)%)))</f>
        <v/>
      </c>
      <c r="M328" s="553" t="str">
        <f t="array" aca="1" ref="M328" ca="1">IF(ISERROR(PRODUCT(1+OFFSET(Data_All!M$8,Compare_Portfolios!$X$91,0,Compare_Portfolios!$X$90,1)%)),"",(PRODUCT(1+OFFSET(Data_All!M$8,Compare_Portfolios!$X$91,0,Compare_Portfolios!$X$90,1)%)))</f>
        <v/>
      </c>
      <c r="N328" s="553" t="str">
        <f t="array" aca="1" ref="N328" ca="1">IF(ISERROR(PRODUCT(1+OFFSET(Data_All!N$8,Compare_Portfolios!$X$91,0,Compare_Portfolios!$X$90,1)%)),"",(PRODUCT(1+OFFSET(Data_All!N$8,Compare_Portfolios!$X$91,0,Compare_Portfolios!$X$90,1)%)))</f>
        <v/>
      </c>
      <c r="O328" s="553" t="str">
        <f t="array" aca="1" ref="O328" ca="1">IF(ISERROR(PRODUCT(1+OFFSET(Data_All!O$8,Compare_Portfolios!$X$91,0,Compare_Portfolios!$X$90,1)%)),"",(PRODUCT(1+OFFSET(Data_All!O$8,Compare_Portfolios!$X$91,0,Compare_Portfolios!$X$90,1)%)))</f>
        <v/>
      </c>
      <c r="P328" s="553" t="str">
        <f t="array" aca="1" ref="P328" ca="1">IF(ISERROR(PRODUCT(1+OFFSET(Data_All!P$8,Compare_Portfolios!$X$91,0,Compare_Portfolios!$X$90,1)%)),"",(PRODUCT(1+OFFSET(Data_All!P$8,Compare_Portfolios!$X$91,0,Compare_Portfolios!$X$90,1)%)))</f>
        <v/>
      </c>
      <c r="Q328" s="553" t="str">
        <f t="array" aca="1" ref="Q328" ca="1">IF(ISERROR(PRODUCT(1+OFFSET(Data_All!Q$8,Compare_Portfolios!$X$91,0,Compare_Portfolios!$X$90,1)%)),"",(PRODUCT(1+OFFSET(Data_All!Q$8,Compare_Portfolios!$X$91,0,Compare_Portfolios!$X$90,1)%)))</f>
        <v/>
      </c>
      <c r="R328" s="553" t="str">
        <f t="array" aca="1" ref="R328" ca="1">IF(ISERROR(PRODUCT(1+OFFSET(Data_All!R$8,Compare_Portfolios!$X$91,0,Compare_Portfolios!$X$90,1)%)),"",(PRODUCT(1+OFFSET(Data_All!R$8,Compare_Portfolios!$X$91,0,Compare_Portfolios!$X$90,1)%)))</f>
        <v/>
      </c>
      <c r="S328" s="553" t="str">
        <f t="array" aca="1" ref="S328" ca="1">IF(ISERROR(PRODUCT(1+OFFSET(Data_All!S$8,Compare_Portfolios!$X$91,0,Compare_Portfolios!$X$90,1)%)),"",(PRODUCT(1+OFFSET(Data_All!S$8,Compare_Portfolios!$X$91,0,Compare_Portfolios!$X$90,1)%)))</f>
        <v/>
      </c>
      <c r="T328" s="553">
        <f t="array" aca="1" ref="T328" ca="1">IF(ISERROR(PRODUCT(1+OFFSET(Data_All!T$8,Compare_Portfolios!$X$91,0,Compare_Portfolios!$X$90,1)%)),"",(PRODUCT(1+OFFSET(Data_All!T$8,Compare_Portfolios!$X$91,0,Compare_Portfolios!$X$90,1)%)))</f>
        <v>642.59614716431236</v>
      </c>
      <c r="U328" s="553">
        <f t="array" aca="1" ref="U328" ca="1">IF(ISERROR(PRODUCT(1+OFFSET(Data_All!U$8,Compare_Portfolios!$X$91,0,Compare_Portfolios!$X$90,1)%)),"",(PRODUCT(1+OFFSET(Data_All!U$8,Compare_Portfolios!$X$91,0,Compare_Portfolios!$X$90,1)%)))</f>
        <v>668.3812124403205</v>
      </c>
      <c r="V328" s="553">
        <f t="array" aca="1" ref="V328" ca="1">IF(ISERROR(PRODUCT(1+OFFSET(Data_All!V$8,Compare_Portfolios!$X$91,0,Compare_Portfolios!$X$90,1)%)),"",(PRODUCT(1+OFFSET(Data_All!V$8,Compare_Portfolios!$X$91,0,Compare_Portfolios!$X$90,1)%)))</f>
        <v>379.24156021168028</v>
      </c>
      <c r="W328" s="553" t="str">
        <f t="array" aca="1" ref="W328" ca="1">IF(ISERROR(PRODUCT(1+OFFSET(Data_All!W$8,Compare_Portfolios!$X$91,0,Compare_Portfolios!$X$90,1)%)),"",(PRODUCT(1+OFFSET(Data_All!W$8,Compare_Portfolios!$X$91,0,Compare_Portfolios!$X$90,1)%)))</f>
        <v/>
      </c>
      <c r="X328" s="553" t="str">
        <f t="array" aca="1" ref="X328" ca="1">IF(ISERROR(PRODUCT(1+OFFSET(Data_All!X$8,Compare_Portfolios!$X$91,0,Compare_Portfolios!$X$90,1)%)),"",(PRODUCT(1+OFFSET(Data_All!X$8,Compare_Portfolios!$X$91,0,Compare_Portfolios!$X$90,1)%)))</f>
        <v/>
      </c>
      <c r="Y328" s="553" t="str">
        <f t="array" aca="1" ref="Y328" ca="1">IF(ISERROR(PRODUCT(1+OFFSET(Data_All!Y$8,Compare_Portfolios!$X$91,0,Compare_Portfolios!$X$90,1)%)),"",(PRODUCT(1+OFFSET(Data_All!Y$8,Compare_Portfolios!$X$91,0,Compare_Portfolios!$X$90,1)%)))</f>
        <v/>
      </c>
      <c r="Z328" s="553" t="str">
        <f t="array" aca="1" ref="Z328" ca="1">IF(ISERROR(PRODUCT(1+OFFSET(Data_All!Z$8,Compare_Portfolios!$X$91,0,Compare_Portfolios!$X$90,1)%)),"",(PRODUCT(1+OFFSET(Data_All!Z$8,Compare_Portfolios!$X$91,0,Compare_Portfolios!$X$90,1)%)))</f>
        <v/>
      </c>
      <c r="AA328" s="553" t="str">
        <f t="array" aca="1" ref="AA328" ca="1">IF(ISERROR(PRODUCT(1+OFFSET(Data_All!AA$8,Compare_Portfolios!$X$91,0,Compare_Portfolios!$X$90,1)%)),"",(PRODUCT(1+OFFSET(Data_All!AA$8,Compare_Portfolios!$X$91,0,Compare_Portfolios!$X$90,1)%)))</f>
        <v/>
      </c>
      <c r="AB328" s="553" t="str">
        <f t="array" aca="1" ref="AB328" ca="1">IF(ISERROR(PRODUCT(1+OFFSET(Data_All!AB$8,Compare_Portfolios!$X$91,0,Compare_Portfolios!$X$90,1)%)),"",(PRODUCT(1+OFFSET(Data_All!AB$8,Compare_Portfolios!$X$91,0,Compare_Portfolios!$X$90,1)%)))</f>
        <v/>
      </c>
      <c r="AC328" s="553" t="str">
        <f t="array" aca="1" ref="AC328" ca="1">IF(ISERROR(PRODUCT(1+OFFSET(Data_All!AC$8,Compare_Portfolios!$X$91,0,Compare_Portfolios!$X$90,1)%)),"",(PRODUCT(1+OFFSET(Data_All!AC$8,Compare_Portfolios!$X$91,0,Compare_Portfolios!$X$90,1)%)))</f>
        <v/>
      </c>
      <c r="AD328" s="553" t="str">
        <f t="array" aca="1" ref="AD328" ca="1">IF(ISERROR(PRODUCT(1+OFFSET(Data_All!AD$8,Compare_Portfolios!$X$91,0,Compare_Portfolios!$X$90,1)%)),"",(PRODUCT(1+OFFSET(Data_All!AD$8,Compare_Portfolios!$X$91,0,Compare_Portfolios!$X$90,1)%)))</f>
        <v/>
      </c>
      <c r="AE328" s="553" t="str">
        <f t="array" aca="1" ref="AE328" ca="1">IF(ISERROR(PRODUCT(1+OFFSET(Data_All!AE$8,Compare_Portfolios!$X$91,0,Compare_Portfolios!$X$90,1)%)),"",(PRODUCT(1+OFFSET(Data_All!AE$8,Compare_Portfolios!$X$91,0,Compare_Portfolios!$X$90,1)%)))</f>
        <v/>
      </c>
      <c r="AF328" s="553" t="str">
        <f t="array" aca="1" ref="AF328" ca="1">IF(ISERROR(PRODUCT(1+OFFSET(Data_All!AF$8,Compare_Portfolios!$X$91,0,Compare_Portfolios!$X$90,1)%)),"",(PRODUCT(1+OFFSET(Data_All!AF$8,Compare_Portfolios!$X$91,0,Compare_Portfolios!$X$90,1)%)))</f>
        <v/>
      </c>
      <c r="AG328" s="553" t="str">
        <f t="array" aca="1" ref="AG328" ca="1">IF(ISERROR(PRODUCT(1+OFFSET(Data_All!AG$8,Compare_Portfolios!$X$91,0,Compare_Portfolios!$X$90,1)%)),"",(PRODUCT(1+OFFSET(Data_All!AG$8,Compare_Portfolios!$X$91,0,Compare_Portfolios!$X$90,1)%)))</f>
        <v/>
      </c>
      <c r="AH328" s="553" t="str">
        <f t="array" aca="1" ref="AH328" ca="1">IF(ISERROR(PRODUCT(1+OFFSET(Data_All!AH$8,Compare_Portfolios!$X$91,0,Compare_Portfolios!$X$90,1)%)),"",(PRODUCT(1+OFFSET(Data_All!AH$8,Compare_Portfolios!$X$91,0,Compare_Portfolios!$X$90,1)%)))</f>
        <v/>
      </c>
      <c r="AI328" s="553" t="str">
        <f t="array" aca="1" ref="AI328" ca="1">IF(ISERROR(PRODUCT(1+OFFSET(Data_All!AI$8,Compare_Portfolios!$X$91,0,Compare_Portfolios!$X$90,1)%)),"",(PRODUCT(1+OFFSET(Data_All!AI$8,Compare_Portfolios!$X$91,0,Compare_Portfolios!$X$90,1)%)))</f>
        <v/>
      </c>
      <c r="AJ328" s="553" t="str">
        <f t="array" aca="1" ref="AJ328" ca="1">IF(ISERROR(PRODUCT(1+OFFSET(Data_All!AJ$8,Compare_Portfolios!$X$91,0,Compare_Portfolios!$X$90,1)%)),"",(PRODUCT(1+OFFSET(Data_All!AJ$8,Compare_Portfolios!$X$91,0,Compare_Portfolios!$X$90,1)%)))</f>
        <v/>
      </c>
      <c r="AK328" s="553" t="str">
        <f t="array" aca="1" ref="AK328" ca="1">IF(ISERROR(PRODUCT(1+OFFSET(Data_All!AK$8,Compare_Portfolios!$X$91,0,Compare_Portfolios!$X$90,1)%)),"",(PRODUCT(1+OFFSET(Data_All!AK$8,Compare_Portfolios!$X$91,0,Compare_Portfolios!$X$90,1)%)))</f>
        <v/>
      </c>
      <c r="AL328" s="553" t="str">
        <f t="array" aca="1" ref="AL328" ca="1">IF(ISERROR(PRODUCT(1+OFFSET(Data_All!AL$8,Compare_Portfolios!$X$91,0,Compare_Portfolios!$X$90,1)%)),"",(PRODUCT(1+OFFSET(Data_All!AL$8,Compare_Portfolios!$X$91,0,Compare_Portfolios!$X$90,1)%)))</f>
        <v/>
      </c>
      <c r="AM328" s="553" t="str">
        <f t="array" aca="1" ref="AM328" ca="1">IF(ISERROR(PRODUCT(1+OFFSET(Data_All!AM$8,Compare_Portfolios!$X$91,0,Compare_Portfolios!$X$90,1)%)),"",(PRODUCT(1+OFFSET(Data_All!AM$8,Compare_Portfolios!$X$91,0,Compare_Portfolios!$X$90,1)%)))</f>
        <v/>
      </c>
      <c r="AN328" s="553" t="str">
        <f t="array" aca="1" ref="AN328" ca="1">IF(ISERROR(PRODUCT(1+OFFSET(Data_All!AN$8,Compare_Portfolios!$X$91,0,Compare_Portfolios!$X$90,1)%)),"",(PRODUCT(1+OFFSET(Data_All!AN$8,Compare_Portfolios!$X$91,0,Compare_Portfolios!$X$90,1)%)))</f>
        <v/>
      </c>
      <c r="AO328" s="553" t="str">
        <f t="array" aca="1" ref="AO328" ca="1">IF(ISERROR(PRODUCT(1+OFFSET(Data_All!AO$8,Compare_Portfolios!$X$91,0,Compare_Portfolios!$X$90,1)%)),"",(PRODUCT(1+OFFSET(Data_All!AO$8,Compare_Portfolios!$X$91,0,Compare_Portfolios!$X$90,1)%)))</f>
        <v/>
      </c>
      <c r="AP328" s="553" t="str">
        <f t="array" aca="1" ref="AP328" ca="1">IF(ISERROR(PRODUCT(1+OFFSET(Data_All!AP$8,Compare_Portfolios!$X$91,0,Compare_Portfolios!$X$90,1)%)),"",(PRODUCT(1+OFFSET(Data_All!AP$8,Compare_Portfolios!$X$91,0,Compare_Portfolios!$X$90,1)%)))</f>
        <v/>
      </c>
      <c r="AQ328" s="553" t="str">
        <f t="array" aca="1" ref="AQ328" ca="1">IF(ISERROR(PRODUCT(1+OFFSET(Data_All!AQ$8,Compare_Portfolios!$X$91,0,Compare_Portfolios!$X$90,1)%)),"",(PRODUCT(1+OFFSET(Data_All!AQ$8,Compare_Portfolios!$X$91,0,Compare_Portfolios!$X$90,1)%)))</f>
        <v/>
      </c>
      <c r="AR328" s="553" t="str">
        <f t="array" aca="1" ref="AR328" ca="1">IF(ISERROR(PRODUCT(1+OFFSET(Data_All!AR$8,Compare_Portfolios!$X$91,0,Compare_Portfolios!$X$90,1)%)),"",(PRODUCT(1+OFFSET(Data_All!AR$8,Compare_Portfolios!$X$91,0,Compare_Portfolios!$X$90,1)%)))</f>
        <v/>
      </c>
      <c r="AS328" s="553" t="str">
        <f t="array" aca="1" ref="AS328" ca="1">IF(ISERROR(PRODUCT(1+OFFSET(Data_All!AS$8,Compare_Portfolios!$X$91,0,Compare_Portfolios!$X$90,1)%)),"",(PRODUCT(1+OFFSET(Data_All!AS$8,Compare_Portfolios!$X$91,0,Compare_Portfolios!$X$90,1)%)))</f>
        <v/>
      </c>
      <c r="AT328" s="553" t="str">
        <f t="array" aca="1" ref="AT328" ca="1">IF(ISERROR(PRODUCT(1+OFFSET(Data_All!AT$8,Compare_Portfolios!$X$91,0,Compare_Portfolios!$X$90,1)%)),"",(PRODUCT(1+OFFSET(Data_All!AT$8,Compare_Portfolios!$X$91,0,Compare_Portfolios!$X$90,1)%)))</f>
        <v/>
      </c>
      <c r="AU328" s="553" t="str">
        <f t="array" aca="1" ref="AU328" ca="1">IF(ISERROR(PRODUCT(1+OFFSET(Data_All!AU$8,Compare_Portfolios!$X$91,0,Compare_Portfolios!$X$90,1)%)),"",(PRODUCT(1+OFFSET(Data_All!AU$8,Compare_Portfolios!$X$91,0,Compare_Portfolios!$X$90,1)%)))</f>
        <v/>
      </c>
      <c r="AV328" s="553" t="str">
        <f t="array" aca="1" ref="AV328" ca="1">IF(ISERROR(PRODUCT(1+OFFSET(Data_All!AV$8,Compare_Portfolios!$X$91,0,Compare_Portfolios!$X$90,1)%)),"",(PRODUCT(1+OFFSET(Data_All!AV$8,Compare_Portfolios!$X$91,0,Compare_Portfolios!$X$90,1)%)))</f>
        <v/>
      </c>
      <c r="AW328" s="553" t="str">
        <f t="array" aca="1" ref="AW328" ca="1">IF(ISERROR(PRODUCT(1+OFFSET(Data_All!AW$8,Compare_Portfolios!$X$91,0,Compare_Portfolios!$X$90,1)%)),"",(PRODUCT(1+OFFSET(Data_All!AW$8,Compare_Portfolios!$X$91,0,Compare_Portfolios!$X$90,1)%)))</f>
        <v/>
      </c>
      <c r="AX328" s="553" t="str">
        <f t="array" aca="1" ref="AX328" ca="1">IF(ISERROR(PRODUCT(1+OFFSET(Data_All!AX$8,Compare_Portfolios!$X$91,0,Compare_Portfolios!$X$90,1)%)),"",(PRODUCT(1+OFFSET(Data_All!AX$8,Compare_Portfolios!$X$91,0,Compare_Portfolios!$X$90,1)%)))</f>
        <v/>
      </c>
      <c r="AY328" s="553" t="str">
        <f t="array" aca="1" ref="AY328" ca="1">IF(ISERROR(PRODUCT(1+OFFSET(Data_All!AY$8,Compare_Portfolios!$X$91,0,Compare_Portfolios!$X$90,1)%)),"",(PRODUCT(1+OFFSET(Data_All!AY$8,Compare_Portfolios!$X$91,0,Compare_Portfolios!$X$90,1)%)))</f>
        <v/>
      </c>
      <c r="AZ328" s="553" t="str">
        <f t="array" aca="1" ref="AZ328" ca="1">IF(ISERROR(PRODUCT(1+OFFSET(Data_All!AZ$8,Compare_Portfolios!$X$91,0,Compare_Portfolios!$X$90,1)%)),"",(PRODUCT(1+OFFSET(Data_All!AZ$8,Compare_Portfolios!$X$91,0,Compare_Portfolios!$X$90,1)%)))</f>
        <v/>
      </c>
      <c r="BA328" s="553" t="str">
        <f t="array" aca="1" ref="BA328" ca="1">IF(ISERROR(PRODUCT(1+OFFSET(Data_All!BA$8,Compare_Portfolios!$X$91,0,Compare_Portfolios!$X$90,1)%)),"",(PRODUCT(1+OFFSET(Data_All!BA$8,Compare_Portfolios!$X$91,0,Compare_Portfolios!$X$90,1)%)))</f>
        <v/>
      </c>
      <c r="BB328" s="553" t="str">
        <f t="array" aca="1" ref="BB328" ca="1">IF(ISERROR(PRODUCT(1+OFFSET(Data_All!BB$8,Compare_Portfolios!$X$91,0,Compare_Portfolios!$X$90,1)%)),"",(PRODUCT(1+OFFSET(Data_All!BB$8,Compare_Portfolios!$X$91,0,Compare_Portfolios!$X$90,1)%)))</f>
        <v/>
      </c>
      <c r="BC328" s="553" t="str">
        <f t="array" aca="1" ref="BC328" ca="1">IF(ISERROR(PRODUCT(1+OFFSET(Data_All!BC$8,Compare_Portfolios!$X$91,0,Compare_Portfolios!$X$90,1)%)),"",(PRODUCT(1+OFFSET(Data_All!BC$8,Compare_Portfolios!$X$91,0,Compare_Portfolios!$X$90,1)%)))</f>
        <v/>
      </c>
      <c r="BD328" s="553" t="str">
        <f t="array" aca="1" ref="BD328" ca="1">IF(ISERROR(PRODUCT(1+OFFSET(Data_All!BD$8,Compare_Portfolios!$X$91,0,Compare_Portfolios!$X$90,1)%)),"",(PRODUCT(1+OFFSET(Data_All!BD$8,Compare_Portfolios!$X$91,0,Compare_Portfolios!$X$90,1)%)))</f>
        <v/>
      </c>
      <c r="BE328" s="553" t="str">
        <f t="array" aca="1" ref="BE328" ca="1">IF(ISERROR(PRODUCT(1+OFFSET(Data_All!BE$8,Compare_Portfolios!$X$91,0,Compare_Portfolios!$X$90,1)%)),"",(PRODUCT(1+OFFSET(Data_All!BE$8,Compare_Portfolios!$X$91,0,Compare_Portfolios!$X$90,1)%)))</f>
        <v/>
      </c>
      <c r="BF328" s="553" t="str">
        <f t="array" aca="1" ref="BF328" ca="1">IF(ISERROR(PRODUCT(1+OFFSET(Data_All!BF$8,Compare_Portfolios!$X$91,0,Compare_Portfolios!$X$90,1)%)),"",(PRODUCT(1+OFFSET(Data_All!BF$8,Compare_Portfolios!$X$91,0,Compare_Portfolios!$X$90,1)%)))</f>
        <v/>
      </c>
      <c r="BG328" s="553" t="str">
        <f t="array" aca="1" ref="BG328" ca="1">IF(ISERROR(PRODUCT(1+OFFSET(Data_All!BG$8,Compare_Portfolios!$X$91,0,Compare_Portfolios!$X$90,1)%)),"",(PRODUCT(1+OFFSET(Data_All!BG$8,Compare_Portfolios!$X$91,0,Compare_Portfolios!$X$90,1)%)))</f>
        <v/>
      </c>
      <c r="BH328" s="553" t="str">
        <f t="array" aca="1" ref="BH328" ca="1">IF(ISERROR(PRODUCT(1+OFFSET(Data_All!BH$8,Compare_Portfolios!$X$91,0,Compare_Portfolios!$X$90,1)%)),"",(PRODUCT(1+OFFSET(Data_All!BH$8,Compare_Portfolios!$X$91,0,Compare_Portfolios!$X$90,1)%)))</f>
        <v/>
      </c>
      <c r="BI328" s="553" t="str">
        <f t="array" aca="1" ref="BI328" ca="1">IF(ISERROR(PRODUCT(1+OFFSET(Data_All!BI$8,Compare_Portfolios!$X$91,0,Compare_Portfolios!$X$90,1)%)),"",(PRODUCT(1+OFFSET(Data_All!BI$8,Compare_Portfolios!$X$91,0,Compare_Portfolios!$X$90,1)%)))</f>
        <v/>
      </c>
      <c r="BJ328" s="553" t="str">
        <f t="array" aca="1" ref="BJ328" ca="1">IF(ISERROR(PRODUCT(1+OFFSET(Data_All!BJ$8,Compare_Portfolios!$X$91,0,Compare_Portfolios!$X$90,1)%)),"",(PRODUCT(1+OFFSET(Data_All!BJ$8,Compare_Portfolios!$X$91,0,Compare_Portfolios!$X$90,1)%)))</f>
        <v/>
      </c>
      <c r="BK328" s="553" t="str">
        <f t="array" aca="1" ref="BK328" ca="1">IF(ISERROR(PRODUCT(1+OFFSET(Data_All!BK$8,Compare_Portfolios!$X$91,0,Compare_Portfolios!$X$90,1)%)),"",(PRODUCT(1+OFFSET(Data_All!BK$8,Compare_Portfolios!$X$91,0,Compare_Portfolios!$X$90,1)%)))</f>
        <v/>
      </c>
      <c r="BL328" s="553" t="str">
        <f t="array" aca="1" ref="BL328" ca="1">IF(ISERROR(PRODUCT(1+OFFSET(Data_All!BL$8,Compare_Portfolios!$X$91,0,Compare_Portfolios!$X$90,1)%)),"",(PRODUCT(1+OFFSET(Data_All!BL$8,Compare_Portfolios!$X$91,0,Compare_Portfolios!$X$90,1)%)))</f>
        <v/>
      </c>
      <c r="BM328" s="553" t="str">
        <f t="array" aca="1" ref="BM328" ca="1">IF(ISERROR(PRODUCT(1+OFFSET(Data_All!BM$8,Compare_Portfolios!$X$91,0,Compare_Portfolios!$X$90,1)%)),"",(PRODUCT(1+OFFSET(Data_All!BM$8,Compare_Portfolios!$X$91,0,Compare_Portfolios!$X$90,1)%)))</f>
        <v/>
      </c>
      <c r="BN328" s="553" t="str">
        <f t="array" aca="1" ref="BN328" ca="1">IF(ISERROR(PRODUCT(1+OFFSET(Data_All!BN$8,Compare_Portfolios!$X$91,0,Compare_Portfolios!$X$90,1)%)),"",(PRODUCT(1+OFFSET(Data_All!BN$8,Compare_Portfolios!$X$91,0,Compare_Portfolios!$X$90,1)%)))</f>
        <v/>
      </c>
      <c r="BO328" s="553" t="str">
        <f t="array" aca="1" ref="BO328" ca="1">IF(ISERROR(PRODUCT(1+OFFSET(Data_All!BO$8,Compare_Portfolios!$X$91,0,Compare_Portfolios!$X$90,1)%)),"",(PRODUCT(1+OFFSET(Data_All!BO$8,Compare_Portfolios!$X$91,0,Compare_Portfolios!$X$90,1)%)))</f>
        <v/>
      </c>
      <c r="BP328" s="553" t="str">
        <f t="array" aca="1" ref="BP328" ca="1">IF(ISERROR(PRODUCT(1+OFFSET(Data_All!BP$8,Compare_Portfolios!$X$91,0,Compare_Portfolios!$X$90,1)%)),"",(PRODUCT(1+OFFSET(Data_All!BP$8,Compare_Portfolios!$X$91,0,Compare_Portfolios!$X$90,1)%)))</f>
        <v/>
      </c>
      <c r="BQ328" s="553" t="str">
        <f t="array" aca="1" ref="BQ328" ca="1">IF(ISERROR(PRODUCT(1+OFFSET(Data_All!BQ$8,Compare_Portfolios!$X$91,0,Compare_Portfolios!$X$90,1)%)),"",(PRODUCT(1+OFFSET(Data_All!BQ$8,Compare_Portfolios!$X$91,0,Compare_Portfolios!$X$90,1)%)))</f>
        <v/>
      </c>
      <c r="BR328" s="553" t="str">
        <f t="array" aca="1" ref="BR328" ca="1">IF(ISERROR(PRODUCT(1+OFFSET(Data_All!BR$8,Compare_Portfolios!$X$91,0,Compare_Portfolios!$X$90,1)%)),"",(PRODUCT(1+OFFSET(Data_All!BR$8,Compare_Portfolios!$X$91,0,Compare_Portfolios!$X$90,1)%)))</f>
        <v/>
      </c>
      <c r="BS328" s="553" t="str">
        <f t="array" aca="1" ref="BS328" ca="1">IF(ISERROR(PRODUCT(1+OFFSET(Data_All!BS$8,Compare_Portfolios!$X$91,0,Compare_Portfolios!$X$90,1)%)),"",(PRODUCT(1+OFFSET(Data_All!BS$8,Compare_Portfolios!$X$91,0,Compare_Portfolios!$X$90,1)%)))</f>
        <v/>
      </c>
      <c r="BT328" s="553" t="str">
        <f t="array" aca="1" ref="BT328" ca="1">IF(ISERROR(PRODUCT(1+OFFSET(Data_All!BT$8,Compare_Portfolios!$X$91,0,Compare_Portfolios!$X$90,1)%)),"",(PRODUCT(1+OFFSET(Data_All!BT$8,Compare_Portfolios!$X$91,0,Compare_Portfolios!$X$90,1)%)))</f>
        <v/>
      </c>
      <c r="BU328" s="553" t="str">
        <f t="array" aca="1" ref="BU328" ca="1">IF(ISERROR(PRODUCT(1+OFFSET(Data_All!BU$8,Compare_Portfolios!$X$91,0,Compare_Portfolios!$X$90,1)%)),"",(PRODUCT(1+OFFSET(Data_All!BU$8,Compare_Portfolios!$X$91,0,Compare_Portfolios!$X$90,1)%)))</f>
        <v/>
      </c>
      <c r="BV328" s="553" t="str">
        <f t="array" aca="1" ref="BV328" ca="1">IF(ISERROR(PRODUCT(1+OFFSET(Data_All!BV$8,Compare_Portfolios!$X$91,0,Compare_Portfolios!$X$90,1)%)),"",(PRODUCT(1+OFFSET(Data_All!BV$8,Compare_Portfolios!$X$91,0,Compare_Portfolios!$X$90,1)%)))</f>
        <v/>
      </c>
      <c r="BW328" s="553" t="str">
        <f t="array" aca="1" ref="BW328" ca="1">IF(ISERROR(PRODUCT(1+OFFSET(Data_All!BW$8,Compare_Portfolios!$X$91,0,Compare_Portfolios!$X$90,1)%)),"",(PRODUCT(1+OFFSET(Data_All!BW$8,Compare_Portfolios!$X$91,0,Compare_Portfolios!$X$90,1)%)))</f>
        <v/>
      </c>
      <c r="BX328" s="553">
        <f t="array" aca="1" ref="BX328" ca="1">IF(ISERROR(PRODUCT(1+OFFSET(Data_All!BX$8,Compare_Portfolios!$X$91,0,Compare_Portfolios!$X$90,1)%)),"",(PRODUCT(1+OFFSET(Data_All!BX$8,Compare_Portfolios!$X$91,0,Compare_Portfolios!$X$90,1)%)))</f>
        <v>202776.25942880643</v>
      </c>
      <c r="BY328" s="553">
        <f t="array" aca="1" ref="BY328" ca="1">IF(ISERROR(PRODUCT(1+OFFSET(Data_All!BY$8,Compare_Portfolios!$X$91,0,Compare_Portfolios!$X$90,1)%)),"",(PRODUCT(1+OFFSET(Data_All!BY$8,Compare_Portfolios!$X$91,0,Compare_Portfolios!$X$90,1)%)))</f>
        <v>779.91777308090082</v>
      </c>
      <c r="BZ328" s="554">
        <f t="array" aca="1" ref="BZ328" ca="1">IF(ISERROR(PRODUCT(1+OFFSET(Data_All!BZ$8,Compare_Portfolios!$X$91,0,Compare_Portfolios!$X$90,1)%)),"",(PRODUCT(1+OFFSET(Data_All!BZ$8,Compare_Portfolios!$X$91,0,Compare_Portfolios!$X$90,1)%)))</f>
        <v>491.65016163309264</v>
      </c>
    </row>
    <row r="329" spans="1:99" ht="13" thickBot="1">
      <c r="A329" s="522" t="s">
        <v>646</v>
      </c>
      <c r="B329" s="555">
        <f t="array" aca="1" ref="B329" ca="1">IF(ISERROR(PRODUCT(1+OFFSET(Data_All!B$8,Compare_Portfolios!$Y$91,0,Compare_Portfolios!$Y$90,1)%)),"",(PRODUCT(1+OFFSET(Data_All!B$8,Compare_Portfolios!$Y$91,0,Compare_Portfolios!$Y$90,1)%)))</f>
        <v>183838.76654793415</v>
      </c>
      <c r="C329" s="556" t="str">
        <f t="array" aca="1" ref="C329" ca="1">IF(ISERROR(PRODUCT(1+OFFSET(Data_All!C$8,Compare_Portfolios!$Y$91,0,Compare_Portfolios!$Y$90,1)%)),"",(PRODUCT(1+OFFSET(Data_All!C$8,Compare_Portfolios!$Y$91,0,Compare_Portfolios!$Y$90,1)%)))</f>
        <v/>
      </c>
      <c r="D329" s="556">
        <f t="array" aca="1" ref="D329" ca="1">IF(ISERROR(PRODUCT(1+OFFSET(Data_All!D$8,Compare_Portfolios!$Y$91,0,Compare_Portfolios!$Y$90,1)%)),"",(PRODUCT(1+OFFSET(Data_All!D$8,Compare_Portfolios!$Y$91,0,Compare_Portfolios!$Y$90,1)%)))</f>
        <v>177371.60371038428</v>
      </c>
      <c r="E329" s="556" t="str">
        <f t="array" aca="1" ref="E329" ca="1">IF(ISERROR(PRODUCT(1+OFFSET(Data_All!E$8,Compare_Portfolios!$Y$91,0,Compare_Portfolios!$Y$90,1)%)),"",(PRODUCT(1+OFFSET(Data_All!E$8,Compare_Portfolios!$Y$91,0,Compare_Portfolios!$Y$90,1)%)))</f>
        <v/>
      </c>
      <c r="F329" s="556" t="str">
        <f t="array" aca="1" ref="F329" ca="1">IF(ISERROR(PRODUCT(1+OFFSET(Data_All!F$8,Compare_Portfolios!$Y$91,0,Compare_Portfolios!$Y$90,1)%)),"",(PRODUCT(1+OFFSET(Data_All!F$8,Compare_Portfolios!$Y$91,0,Compare_Portfolios!$Y$90,1)%)))</f>
        <v/>
      </c>
      <c r="G329" s="556" t="str">
        <f t="array" aca="1" ref="G329" ca="1">IF(ISERROR(PRODUCT(1+OFFSET(Data_All!G$8,Compare_Portfolios!$Y$91,0,Compare_Portfolios!$Y$90,1)%)),"",(PRODUCT(1+OFFSET(Data_All!G$8,Compare_Portfolios!$Y$91,0,Compare_Portfolios!$Y$90,1)%)))</f>
        <v/>
      </c>
      <c r="H329" s="556" t="str">
        <f t="array" aca="1" ref="H329" ca="1">IF(ISERROR(PRODUCT(1+OFFSET(Data_All!H$8,Compare_Portfolios!$Y$91,0,Compare_Portfolios!$Y$90,1)%)),"",(PRODUCT(1+OFFSET(Data_All!H$8,Compare_Portfolios!$Y$91,0,Compare_Portfolios!$Y$90,1)%)))</f>
        <v/>
      </c>
      <c r="I329" s="556" t="str">
        <f t="array" aca="1" ref="I329" ca="1">IF(ISERROR(PRODUCT(1+OFFSET(Data_All!I$8,Compare_Portfolios!$Y$91,0,Compare_Portfolios!$Y$90,1)%)),"",(PRODUCT(1+OFFSET(Data_All!I$8,Compare_Portfolios!$Y$91,0,Compare_Portfolios!$Y$90,1)%)))</f>
        <v/>
      </c>
      <c r="J329" s="556" t="str">
        <f t="array" aca="1" ref="J329" ca="1">IF(ISERROR(PRODUCT(1+OFFSET(Data_All!J$8,Compare_Portfolios!$Y$91,0,Compare_Portfolios!$Y$90,1)%)),"",(PRODUCT(1+OFFSET(Data_All!J$8,Compare_Portfolios!$Y$91,0,Compare_Portfolios!$Y$90,1)%)))</f>
        <v/>
      </c>
      <c r="K329" s="556" t="str">
        <f t="array" aca="1" ref="K329" ca="1">IF(ISERROR(PRODUCT(1+OFFSET(Data_All!K$8,Compare_Portfolios!$Y$91,0,Compare_Portfolios!$Y$90,1)%)),"",(PRODUCT(1+OFFSET(Data_All!K$8,Compare_Portfolios!$Y$91,0,Compare_Portfolios!$Y$90,1)%)))</f>
        <v/>
      </c>
      <c r="L329" s="556" t="str">
        <f t="array" aca="1" ref="L329" ca="1">IF(ISERROR(PRODUCT(1+OFFSET(Data_All!L$8,Compare_Portfolios!$Y$91,0,Compare_Portfolios!$Y$90,1)%)),"",(PRODUCT(1+OFFSET(Data_All!L$8,Compare_Portfolios!$Y$91,0,Compare_Portfolios!$Y$90,1)%)))</f>
        <v/>
      </c>
      <c r="M329" s="556" t="str">
        <f t="array" aca="1" ref="M329" ca="1">IF(ISERROR(PRODUCT(1+OFFSET(Data_All!M$8,Compare_Portfolios!$Y$91,0,Compare_Portfolios!$Y$90,1)%)),"",(PRODUCT(1+OFFSET(Data_All!M$8,Compare_Portfolios!$Y$91,0,Compare_Portfolios!$Y$90,1)%)))</f>
        <v/>
      </c>
      <c r="N329" s="556" t="str">
        <f t="array" aca="1" ref="N329" ca="1">IF(ISERROR(PRODUCT(1+OFFSET(Data_All!N$8,Compare_Portfolios!$Y$91,0,Compare_Portfolios!$Y$90,1)%)),"",(PRODUCT(1+OFFSET(Data_All!N$8,Compare_Portfolios!$Y$91,0,Compare_Portfolios!$Y$90,1)%)))</f>
        <v/>
      </c>
      <c r="O329" s="556" t="str">
        <f t="array" aca="1" ref="O329" ca="1">IF(ISERROR(PRODUCT(1+OFFSET(Data_All!O$8,Compare_Portfolios!$Y$91,0,Compare_Portfolios!$Y$90,1)%)),"",(PRODUCT(1+OFFSET(Data_All!O$8,Compare_Portfolios!$Y$91,0,Compare_Portfolios!$Y$90,1)%)))</f>
        <v/>
      </c>
      <c r="P329" s="556" t="str">
        <f t="array" aca="1" ref="P329" ca="1">IF(ISERROR(PRODUCT(1+OFFSET(Data_All!P$8,Compare_Portfolios!$Y$91,0,Compare_Portfolios!$Y$90,1)%)),"",(PRODUCT(1+OFFSET(Data_All!P$8,Compare_Portfolios!$Y$91,0,Compare_Portfolios!$Y$90,1)%)))</f>
        <v/>
      </c>
      <c r="Q329" s="556" t="str">
        <f t="array" aca="1" ref="Q329" ca="1">IF(ISERROR(PRODUCT(1+OFFSET(Data_All!Q$8,Compare_Portfolios!$Y$91,0,Compare_Portfolios!$Y$90,1)%)),"",(PRODUCT(1+OFFSET(Data_All!Q$8,Compare_Portfolios!$Y$91,0,Compare_Portfolios!$Y$90,1)%)))</f>
        <v/>
      </c>
      <c r="R329" s="556" t="str">
        <f t="array" aca="1" ref="R329" ca="1">IF(ISERROR(PRODUCT(1+OFFSET(Data_All!R$8,Compare_Portfolios!$Y$91,0,Compare_Portfolios!$Y$90,1)%)),"",(PRODUCT(1+OFFSET(Data_All!R$8,Compare_Portfolios!$Y$91,0,Compare_Portfolios!$Y$90,1)%)))</f>
        <v/>
      </c>
      <c r="S329" s="556" t="str">
        <f t="array" aca="1" ref="S329" ca="1">IF(ISERROR(PRODUCT(1+OFFSET(Data_All!S$8,Compare_Portfolios!$Y$91,0,Compare_Portfolios!$Y$90,1)%)),"",(PRODUCT(1+OFFSET(Data_All!S$8,Compare_Portfolios!$Y$91,0,Compare_Portfolios!$Y$90,1)%)))</f>
        <v/>
      </c>
      <c r="T329" s="556">
        <f t="array" aca="1" ref="T329" ca="1">IF(ISERROR(PRODUCT(1+OFFSET(Data_All!T$8,Compare_Portfolios!$Y$91,0,Compare_Portfolios!$Y$90,1)%)),"",(PRODUCT(1+OFFSET(Data_All!T$8,Compare_Portfolios!$Y$91,0,Compare_Portfolios!$Y$90,1)%)))</f>
        <v>642.59614716431236</v>
      </c>
      <c r="U329" s="556">
        <f t="array" aca="1" ref="U329" ca="1">IF(ISERROR(PRODUCT(1+OFFSET(Data_All!U$8,Compare_Portfolios!$Y$91,0,Compare_Portfolios!$Y$90,1)%)),"",(PRODUCT(1+OFFSET(Data_All!U$8,Compare_Portfolios!$Y$91,0,Compare_Portfolios!$Y$90,1)%)))</f>
        <v>668.3812124403205</v>
      </c>
      <c r="V329" s="556">
        <f t="array" aca="1" ref="V329" ca="1">IF(ISERROR(PRODUCT(1+OFFSET(Data_All!V$8,Compare_Portfolios!$Y$91,0,Compare_Portfolios!$Y$90,1)%)),"",(PRODUCT(1+OFFSET(Data_All!V$8,Compare_Portfolios!$Y$91,0,Compare_Portfolios!$Y$90,1)%)))</f>
        <v>379.24156021168028</v>
      </c>
      <c r="W329" s="556" t="str">
        <f t="array" aca="1" ref="W329" ca="1">IF(ISERROR(PRODUCT(1+OFFSET(Data_All!W$8,Compare_Portfolios!$Y$91,0,Compare_Portfolios!$Y$90,1)%)),"",(PRODUCT(1+OFFSET(Data_All!W$8,Compare_Portfolios!$Y$91,0,Compare_Portfolios!$Y$90,1)%)))</f>
        <v/>
      </c>
      <c r="X329" s="556" t="str">
        <f t="array" aca="1" ref="X329" ca="1">IF(ISERROR(PRODUCT(1+OFFSET(Data_All!X$8,Compare_Portfolios!$Y$91,0,Compare_Portfolios!$Y$90,1)%)),"",(PRODUCT(1+OFFSET(Data_All!X$8,Compare_Portfolios!$Y$91,0,Compare_Portfolios!$Y$90,1)%)))</f>
        <v/>
      </c>
      <c r="Y329" s="556" t="str">
        <f t="array" aca="1" ref="Y329" ca="1">IF(ISERROR(PRODUCT(1+OFFSET(Data_All!Y$8,Compare_Portfolios!$Y$91,0,Compare_Portfolios!$Y$90,1)%)),"",(PRODUCT(1+OFFSET(Data_All!Y$8,Compare_Portfolios!$Y$91,0,Compare_Portfolios!$Y$90,1)%)))</f>
        <v/>
      </c>
      <c r="Z329" s="556" t="str">
        <f t="array" aca="1" ref="Z329" ca="1">IF(ISERROR(PRODUCT(1+OFFSET(Data_All!Z$8,Compare_Portfolios!$Y$91,0,Compare_Portfolios!$Y$90,1)%)),"",(PRODUCT(1+OFFSET(Data_All!Z$8,Compare_Portfolios!$Y$91,0,Compare_Portfolios!$Y$90,1)%)))</f>
        <v/>
      </c>
      <c r="AA329" s="556" t="str">
        <f t="array" aca="1" ref="AA329" ca="1">IF(ISERROR(PRODUCT(1+OFFSET(Data_All!AA$8,Compare_Portfolios!$Y$91,0,Compare_Portfolios!$Y$90,1)%)),"",(PRODUCT(1+OFFSET(Data_All!AA$8,Compare_Portfolios!$Y$91,0,Compare_Portfolios!$Y$90,1)%)))</f>
        <v/>
      </c>
      <c r="AB329" s="556" t="str">
        <f t="array" aca="1" ref="AB329" ca="1">IF(ISERROR(PRODUCT(1+OFFSET(Data_All!AB$8,Compare_Portfolios!$Y$91,0,Compare_Portfolios!$Y$90,1)%)),"",(PRODUCT(1+OFFSET(Data_All!AB$8,Compare_Portfolios!$Y$91,0,Compare_Portfolios!$Y$90,1)%)))</f>
        <v/>
      </c>
      <c r="AC329" s="556" t="str">
        <f t="array" aca="1" ref="AC329" ca="1">IF(ISERROR(PRODUCT(1+OFFSET(Data_All!AC$8,Compare_Portfolios!$Y$91,0,Compare_Portfolios!$Y$90,1)%)),"",(PRODUCT(1+OFFSET(Data_All!AC$8,Compare_Portfolios!$Y$91,0,Compare_Portfolios!$Y$90,1)%)))</f>
        <v/>
      </c>
      <c r="AD329" s="556" t="str">
        <f t="array" aca="1" ref="AD329" ca="1">IF(ISERROR(PRODUCT(1+OFFSET(Data_All!AD$8,Compare_Portfolios!$Y$91,0,Compare_Portfolios!$Y$90,1)%)),"",(PRODUCT(1+OFFSET(Data_All!AD$8,Compare_Portfolios!$Y$91,0,Compare_Portfolios!$Y$90,1)%)))</f>
        <v/>
      </c>
      <c r="AE329" s="556" t="str">
        <f t="array" aca="1" ref="AE329" ca="1">IF(ISERROR(PRODUCT(1+OFFSET(Data_All!AE$8,Compare_Portfolios!$Y$91,0,Compare_Portfolios!$Y$90,1)%)),"",(PRODUCT(1+OFFSET(Data_All!AE$8,Compare_Portfolios!$Y$91,0,Compare_Portfolios!$Y$90,1)%)))</f>
        <v/>
      </c>
      <c r="AF329" s="556" t="str">
        <f t="array" aca="1" ref="AF329" ca="1">IF(ISERROR(PRODUCT(1+OFFSET(Data_All!AF$8,Compare_Portfolios!$Y$91,0,Compare_Portfolios!$Y$90,1)%)),"",(PRODUCT(1+OFFSET(Data_All!AF$8,Compare_Portfolios!$Y$91,0,Compare_Portfolios!$Y$90,1)%)))</f>
        <v/>
      </c>
      <c r="AG329" s="556" t="str">
        <f t="array" aca="1" ref="AG329" ca="1">IF(ISERROR(PRODUCT(1+OFFSET(Data_All!AG$8,Compare_Portfolios!$Y$91,0,Compare_Portfolios!$Y$90,1)%)),"",(PRODUCT(1+OFFSET(Data_All!AG$8,Compare_Portfolios!$Y$91,0,Compare_Portfolios!$Y$90,1)%)))</f>
        <v/>
      </c>
      <c r="AH329" s="556" t="str">
        <f t="array" aca="1" ref="AH329" ca="1">IF(ISERROR(PRODUCT(1+OFFSET(Data_All!AH$8,Compare_Portfolios!$Y$91,0,Compare_Portfolios!$Y$90,1)%)),"",(PRODUCT(1+OFFSET(Data_All!AH$8,Compare_Portfolios!$Y$91,0,Compare_Portfolios!$Y$90,1)%)))</f>
        <v/>
      </c>
      <c r="AI329" s="556" t="str">
        <f t="array" aca="1" ref="AI329" ca="1">IF(ISERROR(PRODUCT(1+OFFSET(Data_All!AI$8,Compare_Portfolios!$Y$91,0,Compare_Portfolios!$Y$90,1)%)),"",(PRODUCT(1+OFFSET(Data_All!AI$8,Compare_Portfolios!$Y$91,0,Compare_Portfolios!$Y$90,1)%)))</f>
        <v/>
      </c>
      <c r="AJ329" s="556" t="str">
        <f t="array" aca="1" ref="AJ329" ca="1">IF(ISERROR(PRODUCT(1+OFFSET(Data_All!AJ$8,Compare_Portfolios!$Y$91,0,Compare_Portfolios!$Y$90,1)%)),"",(PRODUCT(1+OFFSET(Data_All!AJ$8,Compare_Portfolios!$Y$91,0,Compare_Portfolios!$Y$90,1)%)))</f>
        <v/>
      </c>
      <c r="AK329" s="556" t="str">
        <f t="array" aca="1" ref="AK329" ca="1">IF(ISERROR(PRODUCT(1+OFFSET(Data_All!AK$8,Compare_Portfolios!$Y$91,0,Compare_Portfolios!$Y$90,1)%)),"",(PRODUCT(1+OFFSET(Data_All!AK$8,Compare_Portfolios!$Y$91,0,Compare_Portfolios!$Y$90,1)%)))</f>
        <v/>
      </c>
      <c r="AL329" s="556" t="str">
        <f t="array" aca="1" ref="AL329" ca="1">IF(ISERROR(PRODUCT(1+OFFSET(Data_All!AL$8,Compare_Portfolios!$Y$91,0,Compare_Portfolios!$Y$90,1)%)),"",(PRODUCT(1+OFFSET(Data_All!AL$8,Compare_Portfolios!$Y$91,0,Compare_Portfolios!$Y$90,1)%)))</f>
        <v/>
      </c>
      <c r="AM329" s="556" t="str">
        <f t="array" aca="1" ref="AM329" ca="1">IF(ISERROR(PRODUCT(1+OFFSET(Data_All!AM$8,Compare_Portfolios!$Y$91,0,Compare_Portfolios!$Y$90,1)%)),"",(PRODUCT(1+OFFSET(Data_All!AM$8,Compare_Portfolios!$Y$91,0,Compare_Portfolios!$Y$90,1)%)))</f>
        <v/>
      </c>
      <c r="AN329" s="556" t="str">
        <f t="array" aca="1" ref="AN329" ca="1">IF(ISERROR(PRODUCT(1+OFFSET(Data_All!AN$8,Compare_Portfolios!$Y$91,0,Compare_Portfolios!$Y$90,1)%)),"",(PRODUCT(1+OFFSET(Data_All!AN$8,Compare_Portfolios!$Y$91,0,Compare_Portfolios!$Y$90,1)%)))</f>
        <v/>
      </c>
      <c r="AO329" s="556" t="str">
        <f t="array" aca="1" ref="AO329" ca="1">IF(ISERROR(PRODUCT(1+OFFSET(Data_All!AO$8,Compare_Portfolios!$Y$91,0,Compare_Portfolios!$Y$90,1)%)),"",(PRODUCT(1+OFFSET(Data_All!AO$8,Compare_Portfolios!$Y$91,0,Compare_Portfolios!$Y$90,1)%)))</f>
        <v/>
      </c>
      <c r="AP329" s="556" t="str">
        <f t="array" aca="1" ref="AP329" ca="1">IF(ISERROR(PRODUCT(1+OFFSET(Data_All!AP$8,Compare_Portfolios!$Y$91,0,Compare_Portfolios!$Y$90,1)%)),"",(PRODUCT(1+OFFSET(Data_All!AP$8,Compare_Portfolios!$Y$91,0,Compare_Portfolios!$Y$90,1)%)))</f>
        <v/>
      </c>
      <c r="AQ329" s="556" t="str">
        <f t="array" aca="1" ref="AQ329" ca="1">IF(ISERROR(PRODUCT(1+OFFSET(Data_All!AQ$8,Compare_Portfolios!$Y$91,0,Compare_Portfolios!$Y$90,1)%)),"",(PRODUCT(1+OFFSET(Data_All!AQ$8,Compare_Portfolios!$Y$91,0,Compare_Portfolios!$Y$90,1)%)))</f>
        <v/>
      </c>
      <c r="AR329" s="556" t="str">
        <f t="array" aca="1" ref="AR329" ca="1">IF(ISERROR(PRODUCT(1+OFFSET(Data_All!AR$8,Compare_Portfolios!$Y$91,0,Compare_Portfolios!$Y$90,1)%)),"",(PRODUCT(1+OFFSET(Data_All!AR$8,Compare_Portfolios!$Y$91,0,Compare_Portfolios!$Y$90,1)%)))</f>
        <v/>
      </c>
      <c r="AS329" s="556" t="str">
        <f t="array" aca="1" ref="AS329" ca="1">IF(ISERROR(PRODUCT(1+OFFSET(Data_All!AS$8,Compare_Portfolios!$Y$91,0,Compare_Portfolios!$Y$90,1)%)),"",(PRODUCT(1+OFFSET(Data_All!AS$8,Compare_Portfolios!$Y$91,0,Compare_Portfolios!$Y$90,1)%)))</f>
        <v/>
      </c>
      <c r="AT329" s="556" t="str">
        <f t="array" aca="1" ref="AT329" ca="1">IF(ISERROR(PRODUCT(1+OFFSET(Data_All!AT$8,Compare_Portfolios!$Y$91,0,Compare_Portfolios!$Y$90,1)%)),"",(PRODUCT(1+OFFSET(Data_All!AT$8,Compare_Portfolios!$Y$91,0,Compare_Portfolios!$Y$90,1)%)))</f>
        <v/>
      </c>
      <c r="AU329" s="556" t="str">
        <f t="array" aca="1" ref="AU329" ca="1">IF(ISERROR(PRODUCT(1+OFFSET(Data_All!AU$8,Compare_Portfolios!$Y$91,0,Compare_Portfolios!$Y$90,1)%)),"",(PRODUCT(1+OFFSET(Data_All!AU$8,Compare_Portfolios!$Y$91,0,Compare_Portfolios!$Y$90,1)%)))</f>
        <v/>
      </c>
      <c r="AV329" s="556" t="str">
        <f t="array" aca="1" ref="AV329" ca="1">IF(ISERROR(PRODUCT(1+OFFSET(Data_All!AV$8,Compare_Portfolios!$Y$91,0,Compare_Portfolios!$Y$90,1)%)),"",(PRODUCT(1+OFFSET(Data_All!AV$8,Compare_Portfolios!$Y$91,0,Compare_Portfolios!$Y$90,1)%)))</f>
        <v/>
      </c>
      <c r="AW329" s="556" t="str">
        <f t="array" aca="1" ref="AW329" ca="1">IF(ISERROR(PRODUCT(1+OFFSET(Data_All!AW$8,Compare_Portfolios!$Y$91,0,Compare_Portfolios!$Y$90,1)%)),"",(PRODUCT(1+OFFSET(Data_All!AW$8,Compare_Portfolios!$Y$91,0,Compare_Portfolios!$Y$90,1)%)))</f>
        <v/>
      </c>
      <c r="AX329" s="556" t="str">
        <f t="array" aca="1" ref="AX329" ca="1">IF(ISERROR(PRODUCT(1+OFFSET(Data_All!AX$8,Compare_Portfolios!$Y$91,0,Compare_Portfolios!$Y$90,1)%)),"",(PRODUCT(1+OFFSET(Data_All!AX$8,Compare_Portfolios!$Y$91,0,Compare_Portfolios!$Y$90,1)%)))</f>
        <v/>
      </c>
      <c r="AY329" s="556" t="str">
        <f t="array" aca="1" ref="AY329" ca="1">IF(ISERROR(PRODUCT(1+OFFSET(Data_All!AY$8,Compare_Portfolios!$Y$91,0,Compare_Portfolios!$Y$90,1)%)),"",(PRODUCT(1+OFFSET(Data_All!AY$8,Compare_Portfolios!$Y$91,0,Compare_Portfolios!$Y$90,1)%)))</f>
        <v/>
      </c>
      <c r="AZ329" s="556" t="str">
        <f t="array" aca="1" ref="AZ329" ca="1">IF(ISERROR(PRODUCT(1+OFFSET(Data_All!AZ$8,Compare_Portfolios!$Y$91,0,Compare_Portfolios!$Y$90,1)%)),"",(PRODUCT(1+OFFSET(Data_All!AZ$8,Compare_Portfolios!$Y$91,0,Compare_Portfolios!$Y$90,1)%)))</f>
        <v/>
      </c>
      <c r="BA329" s="556" t="str">
        <f t="array" aca="1" ref="BA329" ca="1">IF(ISERROR(PRODUCT(1+OFFSET(Data_All!BA$8,Compare_Portfolios!$Y$91,0,Compare_Portfolios!$Y$90,1)%)),"",(PRODUCT(1+OFFSET(Data_All!BA$8,Compare_Portfolios!$Y$91,0,Compare_Portfolios!$Y$90,1)%)))</f>
        <v/>
      </c>
      <c r="BB329" s="556" t="str">
        <f t="array" aca="1" ref="BB329" ca="1">IF(ISERROR(PRODUCT(1+OFFSET(Data_All!BB$8,Compare_Portfolios!$Y$91,0,Compare_Portfolios!$Y$90,1)%)),"",(PRODUCT(1+OFFSET(Data_All!BB$8,Compare_Portfolios!$Y$91,0,Compare_Portfolios!$Y$90,1)%)))</f>
        <v/>
      </c>
      <c r="BC329" s="556" t="str">
        <f t="array" aca="1" ref="BC329" ca="1">IF(ISERROR(PRODUCT(1+OFFSET(Data_All!BC$8,Compare_Portfolios!$Y$91,0,Compare_Portfolios!$Y$90,1)%)),"",(PRODUCT(1+OFFSET(Data_All!BC$8,Compare_Portfolios!$Y$91,0,Compare_Portfolios!$Y$90,1)%)))</f>
        <v/>
      </c>
      <c r="BD329" s="556" t="str">
        <f t="array" aca="1" ref="BD329" ca="1">IF(ISERROR(PRODUCT(1+OFFSET(Data_All!BD$8,Compare_Portfolios!$Y$91,0,Compare_Portfolios!$Y$90,1)%)),"",(PRODUCT(1+OFFSET(Data_All!BD$8,Compare_Portfolios!$Y$91,0,Compare_Portfolios!$Y$90,1)%)))</f>
        <v/>
      </c>
      <c r="BE329" s="556" t="str">
        <f t="array" aca="1" ref="BE329" ca="1">IF(ISERROR(PRODUCT(1+OFFSET(Data_All!BE$8,Compare_Portfolios!$Y$91,0,Compare_Portfolios!$Y$90,1)%)),"",(PRODUCT(1+OFFSET(Data_All!BE$8,Compare_Portfolios!$Y$91,0,Compare_Portfolios!$Y$90,1)%)))</f>
        <v/>
      </c>
      <c r="BF329" s="556" t="str">
        <f t="array" aca="1" ref="BF329" ca="1">IF(ISERROR(PRODUCT(1+OFFSET(Data_All!BF$8,Compare_Portfolios!$Y$91,0,Compare_Portfolios!$Y$90,1)%)),"",(PRODUCT(1+OFFSET(Data_All!BF$8,Compare_Portfolios!$Y$91,0,Compare_Portfolios!$Y$90,1)%)))</f>
        <v/>
      </c>
      <c r="BG329" s="556" t="str">
        <f t="array" aca="1" ref="BG329" ca="1">IF(ISERROR(PRODUCT(1+OFFSET(Data_All!BG$8,Compare_Portfolios!$Y$91,0,Compare_Portfolios!$Y$90,1)%)),"",(PRODUCT(1+OFFSET(Data_All!BG$8,Compare_Portfolios!$Y$91,0,Compare_Portfolios!$Y$90,1)%)))</f>
        <v/>
      </c>
      <c r="BH329" s="556" t="str">
        <f t="array" aca="1" ref="BH329" ca="1">IF(ISERROR(PRODUCT(1+OFFSET(Data_All!BH$8,Compare_Portfolios!$Y$91,0,Compare_Portfolios!$Y$90,1)%)),"",(PRODUCT(1+OFFSET(Data_All!BH$8,Compare_Portfolios!$Y$91,0,Compare_Portfolios!$Y$90,1)%)))</f>
        <v/>
      </c>
      <c r="BI329" s="556" t="str">
        <f t="array" aca="1" ref="BI329" ca="1">IF(ISERROR(PRODUCT(1+OFFSET(Data_All!BI$8,Compare_Portfolios!$Y$91,0,Compare_Portfolios!$Y$90,1)%)),"",(PRODUCT(1+OFFSET(Data_All!BI$8,Compare_Portfolios!$Y$91,0,Compare_Portfolios!$Y$90,1)%)))</f>
        <v/>
      </c>
      <c r="BJ329" s="556" t="str">
        <f t="array" aca="1" ref="BJ329" ca="1">IF(ISERROR(PRODUCT(1+OFFSET(Data_All!BJ$8,Compare_Portfolios!$Y$91,0,Compare_Portfolios!$Y$90,1)%)),"",(PRODUCT(1+OFFSET(Data_All!BJ$8,Compare_Portfolios!$Y$91,0,Compare_Portfolios!$Y$90,1)%)))</f>
        <v/>
      </c>
      <c r="BK329" s="556" t="str">
        <f t="array" aca="1" ref="BK329" ca="1">IF(ISERROR(PRODUCT(1+OFFSET(Data_All!BK$8,Compare_Portfolios!$Y$91,0,Compare_Portfolios!$Y$90,1)%)),"",(PRODUCT(1+OFFSET(Data_All!BK$8,Compare_Portfolios!$Y$91,0,Compare_Portfolios!$Y$90,1)%)))</f>
        <v/>
      </c>
      <c r="BL329" s="556" t="str">
        <f t="array" aca="1" ref="BL329" ca="1">IF(ISERROR(PRODUCT(1+OFFSET(Data_All!BL$8,Compare_Portfolios!$Y$91,0,Compare_Portfolios!$Y$90,1)%)),"",(PRODUCT(1+OFFSET(Data_All!BL$8,Compare_Portfolios!$Y$91,0,Compare_Portfolios!$Y$90,1)%)))</f>
        <v/>
      </c>
      <c r="BM329" s="556" t="str">
        <f t="array" aca="1" ref="BM329" ca="1">IF(ISERROR(PRODUCT(1+OFFSET(Data_All!BM$8,Compare_Portfolios!$Y$91,0,Compare_Portfolios!$Y$90,1)%)),"",(PRODUCT(1+OFFSET(Data_All!BM$8,Compare_Portfolios!$Y$91,0,Compare_Portfolios!$Y$90,1)%)))</f>
        <v/>
      </c>
      <c r="BN329" s="556" t="str">
        <f t="array" aca="1" ref="BN329" ca="1">IF(ISERROR(PRODUCT(1+OFFSET(Data_All!BN$8,Compare_Portfolios!$Y$91,0,Compare_Portfolios!$Y$90,1)%)),"",(PRODUCT(1+OFFSET(Data_All!BN$8,Compare_Portfolios!$Y$91,0,Compare_Portfolios!$Y$90,1)%)))</f>
        <v/>
      </c>
      <c r="BO329" s="556" t="str">
        <f t="array" aca="1" ref="BO329" ca="1">IF(ISERROR(PRODUCT(1+OFFSET(Data_All!BO$8,Compare_Portfolios!$Y$91,0,Compare_Portfolios!$Y$90,1)%)),"",(PRODUCT(1+OFFSET(Data_All!BO$8,Compare_Portfolios!$Y$91,0,Compare_Portfolios!$Y$90,1)%)))</f>
        <v/>
      </c>
      <c r="BP329" s="556" t="str">
        <f t="array" aca="1" ref="BP329" ca="1">IF(ISERROR(PRODUCT(1+OFFSET(Data_All!BP$8,Compare_Portfolios!$Y$91,0,Compare_Portfolios!$Y$90,1)%)),"",(PRODUCT(1+OFFSET(Data_All!BP$8,Compare_Portfolios!$Y$91,0,Compare_Portfolios!$Y$90,1)%)))</f>
        <v/>
      </c>
      <c r="BQ329" s="556" t="str">
        <f t="array" aca="1" ref="BQ329" ca="1">IF(ISERROR(PRODUCT(1+OFFSET(Data_All!BQ$8,Compare_Portfolios!$Y$91,0,Compare_Portfolios!$Y$90,1)%)),"",(PRODUCT(1+OFFSET(Data_All!BQ$8,Compare_Portfolios!$Y$91,0,Compare_Portfolios!$Y$90,1)%)))</f>
        <v/>
      </c>
      <c r="BR329" s="556" t="str">
        <f t="array" aca="1" ref="BR329" ca="1">IF(ISERROR(PRODUCT(1+OFFSET(Data_All!BR$8,Compare_Portfolios!$Y$91,0,Compare_Portfolios!$Y$90,1)%)),"",(PRODUCT(1+OFFSET(Data_All!BR$8,Compare_Portfolios!$Y$91,0,Compare_Portfolios!$Y$90,1)%)))</f>
        <v/>
      </c>
      <c r="BS329" s="556" t="str">
        <f t="array" aca="1" ref="BS329" ca="1">IF(ISERROR(PRODUCT(1+OFFSET(Data_All!BS$8,Compare_Portfolios!$Y$91,0,Compare_Portfolios!$Y$90,1)%)),"",(PRODUCT(1+OFFSET(Data_All!BS$8,Compare_Portfolios!$Y$91,0,Compare_Portfolios!$Y$90,1)%)))</f>
        <v/>
      </c>
      <c r="BT329" s="556" t="str">
        <f t="array" aca="1" ref="BT329" ca="1">IF(ISERROR(PRODUCT(1+OFFSET(Data_All!BT$8,Compare_Portfolios!$Y$91,0,Compare_Portfolios!$Y$90,1)%)),"",(PRODUCT(1+OFFSET(Data_All!BT$8,Compare_Portfolios!$Y$91,0,Compare_Portfolios!$Y$90,1)%)))</f>
        <v/>
      </c>
      <c r="BU329" s="556" t="str">
        <f t="array" aca="1" ref="BU329" ca="1">IF(ISERROR(PRODUCT(1+OFFSET(Data_All!BU$8,Compare_Portfolios!$Y$91,0,Compare_Portfolios!$Y$90,1)%)),"",(PRODUCT(1+OFFSET(Data_All!BU$8,Compare_Portfolios!$Y$91,0,Compare_Portfolios!$Y$90,1)%)))</f>
        <v/>
      </c>
      <c r="BV329" s="556" t="str">
        <f t="array" aca="1" ref="BV329" ca="1">IF(ISERROR(PRODUCT(1+OFFSET(Data_All!BV$8,Compare_Portfolios!$Y$91,0,Compare_Portfolios!$Y$90,1)%)),"",(PRODUCT(1+OFFSET(Data_All!BV$8,Compare_Portfolios!$Y$91,0,Compare_Portfolios!$Y$90,1)%)))</f>
        <v/>
      </c>
      <c r="BW329" s="556" t="str">
        <f t="array" aca="1" ref="BW329" ca="1">IF(ISERROR(PRODUCT(1+OFFSET(Data_All!BW$8,Compare_Portfolios!$Y$91,0,Compare_Portfolios!$Y$90,1)%)),"",(PRODUCT(1+OFFSET(Data_All!BW$8,Compare_Portfolios!$Y$91,0,Compare_Portfolios!$Y$90,1)%)))</f>
        <v/>
      </c>
      <c r="BX329" s="556">
        <f t="array" aca="1" ref="BX329" ca="1">IF(ISERROR(PRODUCT(1+OFFSET(Data_All!BX$8,Compare_Portfolios!$Y$91,0,Compare_Portfolios!$Y$90,1)%)),"",(PRODUCT(1+OFFSET(Data_All!BX$8,Compare_Portfolios!$Y$91,0,Compare_Portfolios!$Y$90,1)%)))</f>
        <v>202776.25942880643</v>
      </c>
      <c r="BY329" s="556">
        <f t="array" aca="1" ref="BY329" ca="1">IF(ISERROR(PRODUCT(1+OFFSET(Data_All!BY$8,Compare_Portfolios!$Y$91,0,Compare_Portfolios!$Y$90,1)%)),"",(PRODUCT(1+OFFSET(Data_All!BY$8,Compare_Portfolios!$Y$91,0,Compare_Portfolios!$Y$90,1)%)))</f>
        <v>779.91777308090082</v>
      </c>
      <c r="BZ329" s="557">
        <f t="array" aca="1" ref="BZ329" ca="1">IF(ISERROR(PRODUCT(1+OFFSET(Data_All!BZ$8,Compare_Portfolios!$Y$91,0,Compare_Portfolios!$Y$90,1)%)),"",(PRODUCT(1+OFFSET(Data_All!BZ$8,Compare_Portfolios!$Y$91,0,Compare_Portfolios!$Y$90,1)%)))</f>
        <v>491.65016163309264</v>
      </c>
    </row>
    <row r="330" spans="1:99" ht="13" thickTop="1">
      <c r="BA330"/>
      <c r="CO330" s="189"/>
    </row>
    <row r="331" spans="1:99" ht="13" thickBot="1">
      <c r="BA331"/>
      <c r="CO331" s="189"/>
    </row>
    <row r="332" spans="1:99" ht="14" thickBot="1">
      <c r="A332" s="641" t="s">
        <v>636</v>
      </c>
      <c r="B332" s="641"/>
      <c r="C332" s="641"/>
      <c r="E332" s="421"/>
      <c r="N332" s="61"/>
    </row>
    <row r="333" spans="1:99" ht="13" thickBot="1">
      <c r="B333" s="581" t="s">
        <v>761</v>
      </c>
      <c r="C333" s="581" t="s">
        <v>762</v>
      </c>
      <c r="D333" s="581" t="s">
        <v>765</v>
      </c>
      <c r="E333" s="581" t="s">
        <v>766</v>
      </c>
      <c r="F333" s="581" t="s">
        <v>767</v>
      </c>
      <c r="G333" s="581" t="s">
        <v>768</v>
      </c>
      <c r="H333" s="581" t="s">
        <v>769</v>
      </c>
      <c r="I333" s="253"/>
      <c r="J333" s="253"/>
      <c r="K333" s="253"/>
      <c r="Q333" s="421"/>
    </row>
    <row r="334" spans="1:99" ht="21.75" customHeight="1">
      <c r="A334" s="583" t="s">
        <v>369</v>
      </c>
      <c r="B334" s="254" t="str">
        <f>B$1</f>
        <v>MKT-TSM</v>
      </c>
      <c r="C334" s="191" t="str">
        <f>D$1</f>
        <v>500 Idx</v>
      </c>
      <c r="D334" s="191" t="str">
        <f>T$1</f>
        <v>5 Yr T</v>
      </c>
      <c r="E334" s="191" t="str">
        <f>U$1</f>
        <v>ITB</v>
      </c>
      <c r="F334" s="191" t="str">
        <f>BX$1</f>
        <v>S&amp;P500(h)</v>
      </c>
      <c r="G334" s="191" t="str">
        <f>BY$1</f>
        <v>IT Bonds(h)</v>
      </c>
      <c r="H334" s="191" t="str">
        <f>BZ$1</f>
        <v>TBills(h)</v>
      </c>
      <c r="I334" s="256" t="s">
        <v>388</v>
      </c>
      <c r="J334" s="238" t="s">
        <v>175</v>
      </c>
      <c r="K334" s="256" t="s">
        <v>417</v>
      </c>
      <c r="L334" s="257" t="s">
        <v>175</v>
      </c>
      <c r="R334" s="128"/>
    </row>
    <row r="335" spans="1:99" ht="48">
      <c r="A335" s="582"/>
      <c r="B335" s="165" t="str">
        <f>B$2</f>
        <v>VTSMX</v>
      </c>
      <c r="C335" s="165" t="str">
        <f>D$2</f>
        <v>VFINX</v>
      </c>
      <c r="D335" s="165" t="str">
        <f>T$2</f>
        <v>VFITX</v>
      </c>
      <c r="E335" s="165" t="str">
        <f>U$2</f>
        <v>VBMFX</v>
      </c>
      <c r="F335" s="165" t="str">
        <f>BX$2</f>
        <v>S&amp;P500(h)</v>
      </c>
      <c r="G335" s="165" t="str">
        <f>BY$2</f>
        <v>IT Bonds(h)</v>
      </c>
      <c r="H335" s="165" t="str">
        <f>BZ$2</f>
        <v>TBills(h)</v>
      </c>
      <c r="I335" s="32" t="s">
        <v>407</v>
      </c>
      <c r="J335" s="32" t="s">
        <v>407</v>
      </c>
      <c r="K335" s="32" t="s">
        <v>408</v>
      </c>
      <c r="L335" s="261" t="s">
        <v>408</v>
      </c>
      <c r="O335" s="376"/>
      <c r="P335" s="377"/>
      <c r="Q335" s="460" t="s">
        <v>667</v>
      </c>
      <c r="R335" s="460" t="s">
        <v>549</v>
      </c>
      <c r="S335" s="460" t="s">
        <v>669</v>
      </c>
      <c r="T335" s="460" t="s">
        <v>668</v>
      </c>
      <c r="U335" s="460" t="s">
        <v>670</v>
      </c>
      <c r="V335" s="460" t="s">
        <v>671</v>
      </c>
      <c r="W335" s="462" t="s">
        <v>672</v>
      </c>
      <c r="X335" s="462" t="s">
        <v>673</v>
      </c>
      <c r="Y335" s="460" t="s">
        <v>674</v>
      </c>
      <c r="Z335" s="460" t="s">
        <v>675</v>
      </c>
      <c r="AA335" s="459" t="s">
        <v>394</v>
      </c>
      <c r="AB335" s="459" t="s">
        <v>395</v>
      </c>
      <c r="AC335" s="459" t="s">
        <v>396</v>
      </c>
      <c r="AD335" s="459" t="s">
        <v>397</v>
      </c>
      <c r="AE335" s="459" t="s">
        <v>399</v>
      </c>
      <c r="AF335" s="459" t="s">
        <v>400</v>
      </c>
      <c r="AG335" s="459" t="s">
        <v>401</v>
      </c>
      <c r="AH335" s="458" t="s">
        <v>402</v>
      </c>
    </row>
    <row r="336" spans="1:99">
      <c r="A336" s="192" t="s">
        <v>404</v>
      </c>
      <c r="B336" s="558">
        <v>0</v>
      </c>
      <c r="C336" s="559">
        <v>0.6</v>
      </c>
      <c r="D336" s="558">
        <v>0</v>
      </c>
      <c r="E336" s="558">
        <v>0.4</v>
      </c>
      <c r="F336" s="558">
        <v>0</v>
      </c>
      <c r="G336" s="558">
        <v>0</v>
      </c>
      <c r="H336" s="560">
        <v>0</v>
      </c>
      <c r="I336" s="562" t="str">
        <f>IF((OR(SUM(B336:H336)&lt;1,SUM(B336:H336)&gt;1)),"ERROR","")</f>
        <v/>
      </c>
      <c r="J336" s="38"/>
      <c r="K336" s="201"/>
      <c r="L336" s="264" t="s">
        <v>309</v>
      </c>
      <c r="O336" s="378"/>
      <c r="P336" s="346" t="s">
        <v>550</v>
      </c>
      <c r="Q336" s="379">
        <f>$A157</f>
        <v>0</v>
      </c>
      <c r="R336" s="47"/>
      <c r="S336" s="379">
        <f t="shared" ref="S336:Z336" si="165">$A157</f>
        <v>0</v>
      </c>
      <c r="T336" s="379">
        <f t="shared" si="165"/>
        <v>0</v>
      </c>
      <c r="U336" s="379">
        <f t="shared" si="165"/>
        <v>0</v>
      </c>
      <c r="V336" s="379">
        <f t="shared" si="165"/>
        <v>0</v>
      </c>
      <c r="W336" s="379">
        <f t="shared" si="165"/>
        <v>0</v>
      </c>
      <c r="X336" s="379">
        <f t="shared" si="165"/>
        <v>0</v>
      </c>
      <c r="Y336" s="379">
        <f t="shared" si="165"/>
        <v>0</v>
      </c>
      <c r="Z336" s="379">
        <f t="shared" si="165"/>
        <v>0</v>
      </c>
      <c r="AA336" s="380" t="b">
        <f>CO2</f>
        <v>1</v>
      </c>
      <c r="AB336" s="380" t="b">
        <f>CP2</f>
        <v>1</v>
      </c>
      <c r="AC336" s="47" t="b">
        <f>CQ2</f>
        <v>1</v>
      </c>
      <c r="AD336" s="47" t="b">
        <f>CR2</f>
        <v>1</v>
      </c>
      <c r="AE336" s="380" t="b">
        <f>CV2</f>
        <v>1</v>
      </c>
      <c r="AF336" s="380" t="b">
        <f>CW2</f>
        <v>1</v>
      </c>
      <c r="AG336" s="47" t="b">
        <f>CX2</f>
        <v>1</v>
      </c>
      <c r="AH336" s="389" t="b">
        <f>CY2</f>
        <v>1</v>
      </c>
    </row>
    <row r="337" spans="1:34">
      <c r="A337" s="192"/>
      <c r="B337" s="265"/>
      <c r="C337" s="266"/>
      <c r="D337" s="265"/>
      <c r="E337" s="265"/>
      <c r="F337" s="265"/>
      <c r="G337" s="265"/>
      <c r="H337" s="267"/>
      <c r="I337" s="201"/>
      <c r="J337" s="38"/>
      <c r="K337" s="201"/>
      <c r="L337" s="264" t="s">
        <v>309</v>
      </c>
      <c r="O337" s="378"/>
      <c r="P337" s="346" t="s">
        <v>551</v>
      </c>
      <c r="Q337" s="381" t="str">
        <f ca="1">CELL("address", A7)</f>
        <v>$A$7</v>
      </c>
      <c r="R337" s="47"/>
      <c r="S337" s="381" t="str">
        <f ca="1">CELL("address", CB7)</f>
        <v>$CB$7</v>
      </c>
      <c r="T337" s="381" t="str">
        <f ca="1">CELL("address", J339)</f>
        <v>$J$339</v>
      </c>
      <c r="U337" s="381" t="str">
        <f ca="1">CELL("address", CB169)</f>
        <v>$CB$169</v>
      </c>
      <c r="V337" s="382" t="str">
        <f ca="1">CELL("address", CD7)</f>
        <v>$CD$7</v>
      </c>
      <c r="W337" s="382" t="str">
        <f ca="1">CELL("address", CG7)</f>
        <v>$CG$7</v>
      </c>
      <c r="X337" s="382" t="str">
        <f ca="1">CELL("address", CG169)</f>
        <v>$CG$169</v>
      </c>
      <c r="Y337" s="382" t="str">
        <f ca="1">CELL("address", L339)</f>
        <v>$L$339</v>
      </c>
      <c r="Z337" s="382" t="str">
        <f ca="1">CELL("address", CD169)</f>
        <v>$CD$169</v>
      </c>
      <c r="AA337" s="381" t="str">
        <f ca="1">CELL("address", CO7)</f>
        <v>$CO$7</v>
      </c>
      <c r="AB337" s="383" t="str">
        <f ca="1">CELL("address", CP7)</f>
        <v>$CP$7</v>
      </c>
      <c r="AC337" s="383" t="str">
        <f ca="1">CELL("address", CQ7)</f>
        <v>$CQ$7</v>
      </c>
      <c r="AD337" s="383" t="str">
        <f ca="1">CELL("address", CR7)</f>
        <v>$CR$7</v>
      </c>
      <c r="AE337" s="383" t="str">
        <f ca="1">CELL("address", CV7)</f>
        <v>$CV$7</v>
      </c>
      <c r="AF337" s="383" t="str">
        <f ca="1">CELL("address", CW7)</f>
        <v>$CW$7</v>
      </c>
      <c r="AG337" s="383" t="str">
        <f ca="1">CELL("address", CX7)</f>
        <v>$CX$7</v>
      </c>
      <c r="AH337" s="390" t="str">
        <f ca="1">CELL("address", CY7)</f>
        <v>$CY$7</v>
      </c>
    </row>
    <row r="338" spans="1:34">
      <c r="A338" s="197"/>
      <c r="B338" s="206"/>
      <c r="C338" s="268"/>
      <c r="D338" s="206" t="s">
        <v>309</v>
      </c>
      <c r="E338" s="206"/>
      <c r="F338" s="206"/>
      <c r="G338" s="206"/>
      <c r="H338" s="269"/>
      <c r="I338" s="446"/>
      <c r="J338" s="487">
        <f>Portfolio!$T$88</f>
        <v>10000</v>
      </c>
      <c r="K338" s="446"/>
      <c r="L338" s="490">
        <f>Portfolio!$T$88</f>
        <v>10000</v>
      </c>
      <c r="O338" s="384"/>
      <c r="P338" s="385" t="s">
        <v>567</v>
      </c>
      <c r="Q338" s="386">
        <f ca="1">OFFSET(INDIRECT(Q337),Q336,0)</f>
        <v>1871</v>
      </c>
      <c r="R338" s="444"/>
      <c r="S338" s="444">
        <f t="shared" ref="S338:Z338" ca="1" si="166">OFFSET(INDIRECT(S337),S336,0)</f>
        <v>11025.450859323573</v>
      </c>
      <c r="T338" s="444">
        <f t="shared" ca="1" si="166"/>
        <v>11005.511988362397</v>
      </c>
      <c r="U338" s="444">
        <f t="shared" ca="1" si="166"/>
        <v>11025.450859323573</v>
      </c>
      <c r="V338" s="444">
        <f t="shared" ca="1" si="166"/>
        <v>10859.620285440142</v>
      </c>
      <c r="W338" s="584">
        <f t="shared" ca="1" si="166"/>
        <v>0</v>
      </c>
      <c r="X338" s="584">
        <f t="shared" ca="1" si="166"/>
        <v>0</v>
      </c>
      <c r="Y338" s="444">
        <f t="shared" ca="1" si="166"/>
        <v>10839.981309191324</v>
      </c>
      <c r="Z338" s="444">
        <f t="shared" ca="1" si="166"/>
        <v>10859.620285440142</v>
      </c>
      <c r="AA338" s="386"/>
      <c r="AB338" s="386"/>
      <c r="AC338" s="386"/>
      <c r="AD338" s="386"/>
      <c r="AE338" s="386"/>
      <c r="AF338" s="386"/>
      <c r="AG338" s="386"/>
      <c r="AH338" s="461"/>
    </row>
    <row r="339" spans="1:34">
      <c r="A339" s="165">
        <v>1871</v>
      </c>
      <c r="B339" s="206" t="str">
        <f>IF(AND($A339&gt;=SYear_O,$A339&lt;=EYear_O),IF(B$336&gt;0,B$336*Data_All!$B8,""),"")</f>
        <v/>
      </c>
      <c r="C339" s="206">
        <f>IF(AND($A339&gt;=SYear_O,$A339&lt;=EYear_O),IF(C$336&gt;0,C$336*Data_All!$D8,""),"")</f>
        <v>9.0717671849747301</v>
      </c>
      <c r="D339" s="206" t="str">
        <f>IF(AND($A339&gt;=SYear_O,$A339&lt;=EYear_O),IF(D$336&gt;0,D$336*Data_All!$T8,""),"")</f>
        <v/>
      </c>
      <c r="E339" s="206">
        <f>IF(AND($A339&gt;=SYear_O,$A339&lt;=EYear_O),IF(E$336&gt;0,E$336*Data_All!$U8,""),"")</f>
        <v>0.98335269864925123</v>
      </c>
      <c r="F339" s="206" t="str">
        <f>IF(AND($A339&gt;=SYear_O,$A339&lt;=EYear_O),IF(F$336&gt;0,F$336*Data_All!$BX8,""),"")</f>
        <v/>
      </c>
      <c r="G339" s="206" t="str">
        <f>IF(AND($A339&gt;=SYear_O,$A339&lt;=EYear_O),IF(G$336&gt;0,G$336*Data_All!$BY8,""),"")</f>
        <v/>
      </c>
      <c r="H339" s="206" t="str">
        <f>IF(AND($A339&gt;=SYear_O,$A339&lt;=EYear_O),IF(H$336&gt;0,H$336*Data_All!$BZ8,""),"")</f>
        <v/>
      </c>
      <c r="I339" s="206">
        <f t="shared" ref="I339:I370" si="167">IF(AND($A339&gt;=SYear_O,$A339&lt;=EYear_O),SUM(B339:H339),"")</f>
        <v>10.055119883623981</v>
      </c>
      <c r="J339" s="446">
        <f t="shared" ref="J339:J370" si="168">IF(AND($A339&gt;=SYear_O,$A339&lt;=EYear_O),IF($A339=SYear_O,$J$338*(1+I339%),$J338*(1+I339%)),"")</f>
        <v>11005.511988362397</v>
      </c>
      <c r="K339" s="206">
        <f>IF(AND($A339&gt;=SYear_O,$A339&lt;=EYear_O),(I339-Data_All!$CA8)/(1+Data_All!$CA8%),"")</f>
        <v>8.3998130919132432</v>
      </c>
      <c r="L339" s="447">
        <f t="shared" ref="L339:L370" si="169">IF(AND($A339&gt;=SYear_O,$A339&lt;=EYear_O),IF($A339=SYear_O,$L$338*(1+K339%),$L338*(1+K339%)),"")</f>
        <v>10839.981309191324</v>
      </c>
      <c r="P339">
        <v>0</v>
      </c>
      <c r="Q339">
        <f ca="1">IF(OFFSET(INDIRECT(S$337),$P339,0)="",Q338,OFFSET(INDIRECT(Q$337),$P339,0))</f>
        <v>1871</v>
      </c>
      <c r="R339" s="443">
        <f t="shared" ref="R339:R370" si="170">CB7</f>
        <v>11025.450859323573</v>
      </c>
      <c r="S339" s="443">
        <f t="shared" ref="S339:Z339" ca="1" si="171">IF(OFFSET(INDIRECT(S$337),$P339,0)="",S338,OFFSET(INDIRECT(S$337),$P339,0))</f>
        <v>11025.450859323573</v>
      </c>
      <c r="T339" s="443">
        <f t="shared" ca="1" si="171"/>
        <v>11005.511988362397</v>
      </c>
      <c r="U339" s="443">
        <f t="shared" ca="1" si="171"/>
        <v>11025.450859323573</v>
      </c>
      <c r="V339" s="443">
        <f t="shared" ca="1" si="171"/>
        <v>10859.620285440142</v>
      </c>
      <c r="W339" s="209">
        <f t="shared" ca="1" si="171"/>
        <v>0</v>
      </c>
      <c r="X339" s="209">
        <f t="shared" ca="1" si="171"/>
        <v>0</v>
      </c>
      <c r="Y339" s="443">
        <f t="shared" ca="1" si="171"/>
        <v>10839.981309191324</v>
      </c>
      <c r="Z339" s="443">
        <f t="shared" ca="1" si="171"/>
        <v>10859.620285440142</v>
      </c>
      <c r="AA339" s="388">
        <f t="shared" ref="AA339:AH354" ca="1" si="172">IF(AA$336,IF(OFFSET(INDIRECT(AA$337),$P339,0)="","",OFFSET(INDIRECT(AA$337),$P339,0)),"")</f>
        <v>6.7362156477864588E-2</v>
      </c>
      <c r="AB339" s="388">
        <f t="shared" ca="1" si="172"/>
        <v>6.4050575451208847E-2</v>
      </c>
      <c r="AC339" s="388">
        <f t="shared" ca="1" si="172"/>
        <v>8.2129312630661699E-2</v>
      </c>
      <c r="AD339" s="388">
        <f t="shared" ca="1" si="172"/>
        <v>6.4767614030356802E-2</v>
      </c>
      <c r="AE339" s="388">
        <f t="shared" ca="1" si="172"/>
        <v>7.0092557089377783E-2</v>
      </c>
      <c r="AF339" s="388">
        <f t="shared" ca="1" si="172"/>
        <v>9.4046193332229411E-2</v>
      </c>
      <c r="AG339" s="388">
        <f t="shared" ca="1" si="172"/>
        <v>0.11286556047498175</v>
      </c>
      <c r="AH339" s="388">
        <f t="shared" ca="1" si="172"/>
        <v>9.6783559106235151E-2</v>
      </c>
    </row>
    <row r="340" spans="1:34">
      <c r="A340" s="165">
        <f>A339+1</f>
        <v>1872</v>
      </c>
      <c r="B340" s="206" t="str">
        <f>IF(AND($A340&gt;=SYear_O,$A340&lt;=EYear_O),IF(B$336&gt;0,B$336*Data_All!$B9,""),"")</f>
        <v/>
      </c>
      <c r="C340" s="206">
        <f>IF(AND($A340&gt;=SYear_O,$A340&lt;=EYear_O),IF(C$336&gt;0,C$336*Data_All!$D9,""),"")</f>
        <v>6.676772942787383</v>
      </c>
      <c r="D340" s="206" t="str">
        <f>IF(AND($A340&gt;=SYear_O,$A340&lt;=EYear_O),IF(D$336&gt;0,D$336*Data_All!$T9,""),"")</f>
        <v/>
      </c>
      <c r="E340" s="206">
        <f>IF(AND($A340&gt;=SYear_O,$A340&lt;=EYear_O),IF(E$336&gt;0,E$336*Data_All!$U9,""),"")</f>
        <v>1.3856137088319389</v>
      </c>
      <c r="F340" s="206" t="str">
        <f>IF(AND($A340&gt;=SYear_O,$A340&lt;=EYear_O),IF(F$336&gt;0,F$336*Data_All!$BX9,""),"")</f>
        <v/>
      </c>
      <c r="G340" s="206" t="str">
        <f>IF(AND($A340&gt;=SYear_O,$A340&lt;=EYear_O),IF(G$336&gt;0,G$336*Data_All!$BY9,""),"")</f>
        <v/>
      </c>
      <c r="H340" s="206" t="str">
        <f>IF(AND($A340&gt;=SYear_O,$A340&lt;=EYear_O),IF(H$336&gt;0,H$336*Data_All!$BZ9,""),"")</f>
        <v/>
      </c>
      <c r="I340" s="206">
        <f t="shared" si="167"/>
        <v>8.0623866516193221</v>
      </c>
      <c r="J340" s="446">
        <f t="shared" si="168"/>
        <v>11892.818917854491</v>
      </c>
      <c r="K340" s="206">
        <f>IF(AND($A340&gt;=SYear_O,$A340&lt;=EYear_O),(I340-Data_All!$CA9)/(1+Data_All!$CA9%),"")</f>
        <v>5.6788405843424243</v>
      </c>
      <c r="L340" s="447">
        <f t="shared" si="169"/>
        <v>11455.566567112814</v>
      </c>
      <c r="P340">
        <f>P339+1</f>
        <v>1</v>
      </c>
      <c r="Q340">
        <f t="shared" ref="Q340:Q403" ca="1" si="173">IF(OFFSET(INDIRECT(S$337),$P340,0)="",Q339,OFFSET(INDIRECT(Q$337),$P340,0))</f>
        <v>1872</v>
      </c>
      <c r="R340" s="443">
        <f t="shared" si="170"/>
        <v>11935.98864391128</v>
      </c>
      <c r="S340" s="443">
        <f t="shared" ref="S340:Z340" ca="1" si="174">IF(OFFSET(INDIRECT(S$337),$P340,0)="",S339,OFFSET(INDIRECT(S$337),$P340,0))</f>
        <v>11935.98864391128</v>
      </c>
      <c r="T340" s="443">
        <f t="shared" ca="1" si="174"/>
        <v>11892.818917854491</v>
      </c>
      <c r="U340" s="443">
        <f t="shared" ca="1" si="174"/>
        <v>11959.205327811196</v>
      </c>
      <c r="V340" s="443">
        <f t="shared" ca="1" si="174"/>
        <v>11497.149111498919</v>
      </c>
      <c r="W340" s="209">
        <f t="shared" ca="1" si="174"/>
        <v>0</v>
      </c>
      <c r="X340" s="209">
        <f t="shared" ca="1" si="174"/>
        <v>0</v>
      </c>
      <c r="Y340" s="443">
        <f t="shared" ca="1" si="174"/>
        <v>11455.566567112814</v>
      </c>
      <c r="Z340" s="443">
        <f t="shared" ca="1" si="174"/>
        <v>11519.512208904178</v>
      </c>
      <c r="AA340" s="388">
        <f t="shared" ca="1" si="172"/>
        <v>5.5508050528127573E-2</v>
      </c>
      <c r="AB340" s="388">
        <f t="shared" ca="1" si="172"/>
        <v>3.0567714165255833E-2</v>
      </c>
      <c r="AC340" s="388">
        <f t="shared" ca="1" si="172"/>
        <v>7.3401194789824542E-2</v>
      </c>
      <c r="AD340" s="388">
        <f t="shared" ca="1" si="172"/>
        <v>6.2489601704706521E-2</v>
      </c>
      <c r="AE340" s="388">
        <f t="shared" ca="1" si="172"/>
        <v>8.9306758431581201E-2</v>
      </c>
      <c r="AF340" s="388">
        <f t="shared" ca="1" si="172"/>
        <v>6.0980766944153331E-2</v>
      </c>
      <c r="AG340" s="388">
        <f t="shared" ca="1" si="172"/>
        <v>9.7005867889774278E-2</v>
      </c>
      <c r="AH340" s="388">
        <f t="shared" ca="1" si="172"/>
        <v>9.5543352888675326E-2</v>
      </c>
    </row>
    <row r="341" spans="1:34">
      <c r="A341" s="165">
        <f t="shared" ref="A341:A404" si="175">A340+1</f>
        <v>1873</v>
      </c>
      <c r="B341" s="206" t="str">
        <f>IF(AND($A341&gt;=SYear_O,$A341&lt;=EYear_O),IF(B$336&gt;0,B$336*Data_All!$B10,""),"")</f>
        <v/>
      </c>
      <c r="C341" s="206">
        <f>IF(AND($A341&gt;=SYear_O,$A341&lt;=EYear_O),IF(C$336&gt;0,C$336*Data_All!$D10,""),"")</f>
        <v>-1.5084376130050536</v>
      </c>
      <c r="D341" s="206" t="str">
        <f>IF(AND($A341&gt;=SYear_O,$A341&lt;=EYear_O),IF(D$336&gt;0,D$336*Data_All!$T10,""),"")</f>
        <v/>
      </c>
      <c r="E341" s="206">
        <f>IF(AND($A341&gt;=SYear_O,$A341&lt;=EYear_O),IF(E$336&gt;0,E$336*Data_All!$U10,""),"")</f>
        <v>3.1998035318189197</v>
      </c>
      <c r="F341" s="206" t="str">
        <f>IF(AND($A341&gt;=SYear_O,$A341&lt;=EYear_O),IF(F$336&gt;0,F$336*Data_All!$BX10,""),"")</f>
        <v/>
      </c>
      <c r="G341" s="206" t="str">
        <f>IF(AND($A341&gt;=SYear_O,$A341&lt;=EYear_O),IF(G$336&gt;0,G$336*Data_All!$BY10,""),"")</f>
        <v/>
      </c>
      <c r="H341" s="206" t="str">
        <f>IF(AND($A341&gt;=SYear_O,$A341&lt;=EYear_O),IF(H$336&gt;0,H$336*Data_All!$BZ10,""),"")</f>
        <v/>
      </c>
      <c r="I341" s="206">
        <f t="shared" si="167"/>
        <v>1.6913659188138661</v>
      </c>
      <c r="J341" s="446">
        <f t="shared" si="168"/>
        <v>12093.970003817331</v>
      </c>
      <c r="K341" s="206">
        <f>IF(AND($A341&gt;=SYear_O,$A341&lt;=EYear_O),(I341-Data_All!$CA10)/(1+Data_All!$CA10%),"")</f>
        <v>6.3851332047604892</v>
      </c>
      <c r="L341" s="447">
        <f t="shared" si="169"/>
        <v>12187.019751782975</v>
      </c>
      <c r="P341">
        <f t="shared" ref="P341:P404" si="176">P340+1</f>
        <v>2</v>
      </c>
      <c r="Q341">
        <f t="shared" ca="1" si="173"/>
        <v>1873</v>
      </c>
      <c r="R341" s="443">
        <f t="shared" si="170"/>
        <v>12160.051163810456</v>
      </c>
      <c r="S341" s="443">
        <f t="shared" ref="S341:Z341" ca="1" si="177">IF(OFFSET(INDIRECT(S$337),$P341,0)="",S340,OFFSET(INDIRECT(S$337),$P341,0))</f>
        <v>12160.051163810456</v>
      </c>
      <c r="T341" s="443">
        <f t="shared" ca="1" si="177"/>
        <v>12093.970003817331</v>
      </c>
      <c r="U341" s="443">
        <f t="shared" ca="1" si="177"/>
        <v>12128.095494108722</v>
      </c>
      <c r="V341" s="443">
        <f t="shared" ca="1" si="177"/>
        <v>12253.609333351542</v>
      </c>
      <c r="W341" s="209">
        <f t="shared" ca="1" si="177"/>
        <v>0</v>
      </c>
      <c r="X341" s="209">
        <f t="shared" ca="1" si="177"/>
        <v>0</v>
      </c>
      <c r="Y341" s="443">
        <f t="shared" ca="1" si="177"/>
        <v>12187.019751782975</v>
      </c>
      <c r="Z341" s="443">
        <f t="shared" ca="1" si="177"/>
        <v>12221.407800049112</v>
      </c>
      <c r="AA341" s="388">
        <f t="shared" ca="1" si="172"/>
        <v>4.5484630158687089E-2</v>
      </c>
      <c r="AB341" s="388">
        <f t="shared" ca="1" si="172"/>
        <v>1.4566777212651427E-2</v>
      </c>
      <c r="AC341" s="388">
        <f t="shared" ca="1" si="172"/>
        <v>6.8525938975003253E-2</v>
      </c>
      <c r="AD341" s="388">
        <f t="shared" ca="1" si="172"/>
        <v>5.8085373080981606E-2</v>
      </c>
      <c r="AE341" s="388">
        <f t="shared" ca="1" si="172"/>
        <v>0.10882423868825719</v>
      </c>
      <c r="AF341" s="388">
        <f t="shared" ca="1" si="172"/>
        <v>8.5511495620807176E-2</v>
      </c>
      <c r="AG341" s="388">
        <f t="shared" ca="1" si="172"/>
        <v>9.6528346588240721E-2</v>
      </c>
      <c r="AH341" s="388">
        <f t="shared" ca="1" si="172"/>
        <v>8.9241957476129841E-2</v>
      </c>
    </row>
    <row r="342" spans="1:34">
      <c r="A342" s="165">
        <f t="shared" si="175"/>
        <v>1874</v>
      </c>
      <c r="B342" s="206" t="str">
        <f>IF(AND($A342&gt;=SYear_O,$A342&lt;=EYear_O),IF(B$336&gt;0,B$336*Data_All!$B11,""),"")</f>
        <v/>
      </c>
      <c r="C342" s="206">
        <f>IF(AND($A342&gt;=SYear_O,$A342&lt;=EYear_O),IF(C$336&gt;0,C$336*Data_All!$D11,""),"")</f>
        <v>2.5974470010424286</v>
      </c>
      <c r="D342" s="206" t="str">
        <f>IF(AND($A342&gt;=SYear_O,$A342&lt;=EYear_O),IF(D$336&gt;0,D$336*Data_All!$T11,""),"")</f>
        <v/>
      </c>
      <c r="E342" s="206">
        <f>IF(AND($A342&gt;=SYear_O,$A342&lt;=EYear_O),IF(E$336&gt;0,E$336*Data_All!$U11,""),"")</f>
        <v>3.8301777742241074</v>
      </c>
      <c r="F342" s="206" t="str">
        <f>IF(AND($A342&gt;=SYear_O,$A342&lt;=EYear_O),IF(F$336&gt;0,F$336*Data_All!$BX11,""),"")</f>
        <v/>
      </c>
      <c r="G342" s="206" t="str">
        <f>IF(AND($A342&gt;=SYear_O,$A342&lt;=EYear_O),IF(G$336&gt;0,G$336*Data_All!$BY11,""),"")</f>
        <v/>
      </c>
      <c r="H342" s="206" t="str">
        <f>IF(AND($A342&gt;=SYear_O,$A342&lt;=EYear_O),IF(H$336&gt;0,H$336*Data_All!$BZ11,""),"")</f>
        <v/>
      </c>
      <c r="I342" s="206">
        <f t="shared" si="167"/>
        <v>6.4276247752665361</v>
      </c>
      <c r="J342" s="446">
        <f t="shared" si="168"/>
        <v>12871.325016095996</v>
      </c>
      <c r="K342" s="206">
        <f>IF(AND($A342&gt;=SYear_O,$A342&lt;=EYear_O),(I342-Data_All!$CA11)/(1+Data_All!$CA11%),"")</f>
        <v>14.343101547358215</v>
      </c>
      <c r="L342" s="447">
        <f t="shared" si="169"/>
        <v>13935.016370377809</v>
      </c>
      <c r="P342">
        <f t="shared" si="176"/>
        <v>3</v>
      </c>
      <c r="Q342">
        <f t="shared" ca="1" si="173"/>
        <v>1874</v>
      </c>
      <c r="R342" s="443">
        <f t="shared" si="170"/>
        <v>12965.253367876056</v>
      </c>
      <c r="S342" s="443">
        <f t="shared" ref="S342:Z342" ca="1" si="178">IF(OFFSET(INDIRECT(S$337),$P342,0)="",S341,OFFSET(INDIRECT(S$337),$P342,0))</f>
        <v>12965.253367876056</v>
      </c>
      <c r="T342" s="443">
        <f t="shared" ca="1" si="178"/>
        <v>12871.325016095996</v>
      </c>
      <c r="U342" s="443">
        <f t="shared" ca="1" si="178"/>
        <v>12918.268021985707</v>
      </c>
      <c r="V342" s="443">
        <f t="shared" ca="1" si="178"/>
        <v>14036.706998037429</v>
      </c>
      <c r="W342" s="209">
        <f t="shared" ca="1" si="178"/>
        <v>0</v>
      </c>
      <c r="X342" s="209">
        <f t="shared" ca="1" si="178"/>
        <v>0</v>
      </c>
      <c r="Y342" s="443">
        <f t="shared" ca="1" si="178"/>
        <v>13935.016370377809</v>
      </c>
      <c r="Z342" s="443">
        <f t="shared" ca="1" si="178"/>
        <v>13985.838764710159</v>
      </c>
      <c r="AA342" s="388">
        <f t="shared" ca="1" si="172"/>
        <v>1.7687733070071765E-2</v>
      </c>
      <c r="AB342" s="388">
        <f t="shared" ca="1" si="172"/>
        <v>3.3463872827603325E-2</v>
      </c>
      <c r="AC342" s="388">
        <f t="shared" ca="1" si="172"/>
        <v>6.4484483819078786E-2</v>
      </c>
      <c r="AD342" s="388">
        <f t="shared" ca="1" si="172"/>
        <v>5.9349474617383935E-2</v>
      </c>
      <c r="AE342" s="388">
        <f t="shared" ca="1" si="172"/>
        <v>6.0138781756636561E-2</v>
      </c>
      <c r="AF342" s="388">
        <f t="shared" ca="1" si="172"/>
        <v>0.1199013487655789</v>
      </c>
      <c r="AG342" s="388">
        <f t="shared" ca="1" si="172"/>
        <v>9.6116068699039436E-2</v>
      </c>
      <c r="AH342" s="388">
        <f t="shared" ca="1" si="172"/>
        <v>9.0645082498758356E-2</v>
      </c>
    </row>
    <row r="343" spans="1:34">
      <c r="A343" s="165">
        <f t="shared" si="175"/>
        <v>1875</v>
      </c>
      <c r="B343" s="206" t="str">
        <f>IF(AND($A343&gt;=SYear_O,$A343&lt;=EYear_O),IF(B$336&gt;0,B$336*Data_All!$B12,""),"")</f>
        <v/>
      </c>
      <c r="C343" s="206">
        <f>IF(AND($A343&gt;=SYear_O,$A343&lt;=EYear_O),IF(C$336&gt;0,C$336*Data_All!$D12,""),"")</f>
        <v>2.8007277496098002</v>
      </c>
      <c r="D343" s="206" t="str">
        <f>IF(AND($A343&gt;=SYear_O,$A343&lt;=EYear_O),IF(D$336&gt;0,D$336*Data_All!$T12,""),"")</f>
        <v/>
      </c>
      <c r="E343" s="206">
        <f>IF(AND($A343&gt;=SYear_O,$A343&lt;=EYear_O),IF(E$336&gt;0,E$336*Data_All!$U12,""),"")</f>
        <v>2.2116260092332474</v>
      </c>
      <c r="F343" s="206" t="str">
        <f>IF(AND($A343&gt;=SYear_O,$A343&lt;=EYear_O),IF(F$336&gt;0,F$336*Data_All!$BX12,""),"")</f>
        <v/>
      </c>
      <c r="G343" s="206" t="str">
        <f>IF(AND($A343&gt;=SYear_O,$A343&lt;=EYear_O),IF(G$336&gt;0,G$336*Data_All!$BY12,""),"")</f>
        <v/>
      </c>
      <c r="H343" s="206" t="str">
        <f>IF(AND($A343&gt;=SYear_O,$A343&lt;=EYear_O),IF(H$336&gt;0,H$336*Data_All!$BZ12,""),"")</f>
        <v/>
      </c>
      <c r="I343" s="206">
        <f t="shared" si="167"/>
        <v>5.012353758843048</v>
      </c>
      <c r="J343" s="446">
        <f t="shared" si="168"/>
        <v>13516.481359353191</v>
      </c>
      <c r="K343" s="206">
        <f>IF(AND($A343&gt;=SYear_O,$A343&lt;=EYear_O),(I343-Data_All!$CA12)/(1+Data_All!$CA12%),"")</f>
        <v>11.461044570668458</v>
      </c>
      <c r="L343" s="447">
        <f t="shared" si="169"/>
        <v>15532.114807516755</v>
      </c>
      <c r="P343">
        <f t="shared" si="176"/>
        <v>4</v>
      </c>
      <c r="Q343">
        <f t="shared" ca="1" si="173"/>
        <v>1875</v>
      </c>
      <c r="R343" s="443">
        <f t="shared" si="170"/>
        <v>13639.905285828243</v>
      </c>
      <c r="S343" s="443">
        <f t="shared" ref="S343:Z343" ca="1" si="179">IF(OFFSET(INDIRECT(S$337),$P343,0)="",S342,OFFSET(INDIRECT(S$337),$P343,0))</f>
        <v>13639.905285828243</v>
      </c>
      <c r="T343" s="443">
        <f t="shared" ca="1" si="179"/>
        <v>13516.481359353191</v>
      </c>
      <c r="U343" s="443">
        <f t="shared" ca="1" si="179"/>
        <v>13589.499993309579</v>
      </c>
      <c r="V343" s="443">
        <f t="shared" ca="1" si="179"/>
        <v>15673.944218961806</v>
      </c>
      <c r="W343" s="209">
        <f t="shared" ca="1" si="179"/>
        <v>0</v>
      </c>
      <c r="X343" s="209">
        <f t="shared" ca="1" si="179"/>
        <v>0</v>
      </c>
      <c r="Y343" s="443">
        <f t="shared" ca="1" si="179"/>
        <v>15532.114807516755</v>
      </c>
      <c r="Z343" s="443">
        <f t="shared" ca="1" si="179"/>
        <v>15616.022281329375</v>
      </c>
      <c r="AA343" s="388">
        <f t="shared" ca="1" si="172"/>
        <v>-3.462778939587019E-3</v>
      </c>
      <c r="AB343" s="388">
        <f t="shared" ca="1" si="172"/>
        <v>7.5760812605626393E-2</v>
      </c>
      <c r="AC343" s="388">
        <f t="shared" ca="1" si="172"/>
        <v>5.252417005700627E-2</v>
      </c>
      <c r="AD343" s="388">
        <f t="shared" ca="1" si="172"/>
        <v>5.8243422613393436E-2</v>
      </c>
      <c r="AE343" s="388">
        <f t="shared" ca="1" si="172"/>
        <v>7.2751230817424295E-2</v>
      </c>
      <c r="AF343" s="388">
        <f t="shared" ca="1" si="172"/>
        <v>0.10671250148247657</v>
      </c>
      <c r="AG343" s="388">
        <f t="shared" ca="1" si="172"/>
        <v>8.7824290151861106E-2</v>
      </c>
      <c r="AH343" s="388">
        <f t="shared" ca="1" si="172"/>
        <v>8.7840790034742655E-2</v>
      </c>
    </row>
    <row r="344" spans="1:34">
      <c r="A344" s="165">
        <f t="shared" si="175"/>
        <v>1876</v>
      </c>
      <c r="B344" s="206" t="str">
        <f>IF(AND($A344&gt;=SYear_O,$A344&lt;=EYear_O),IF(B$336&gt;0,B$336*Data_All!$B13,""),"")</f>
        <v/>
      </c>
      <c r="C344" s="206">
        <f>IF(AND($A344&gt;=SYear_O,$A344&lt;=EYear_O),IF(C$336&gt;0,C$336*Data_All!$D13,""),"")</f>
        <v>-8.2941779244342939</v>
      </c>
      <c r="D344" s="206" t="str">
        <f>IF(AND($A344&gt;=SYear_O,$A344&lt;=EYear_O),IF(D$336&gt;0,D$336*Data_All!$T13,""),"")</f>
        <v/>
      </c>
      <c r="E344" s="206">
        <f>IF(AND($A344&gt;=SYear_O,$A344&lt;=EYear_O),IF(E$336&gt;0,E$336*Data_All!$U13,""),"")</f>
        <v>2.0874382027214211</v>
      </c>
      <c r="F344" s="206" t="str">
        <f>IF(AND($A344&gt;=SYear_O,$A344&lt;=EYear_O),IF(F$336&gt;0,F$336*Data_All!$BX13,""),"")</f>
        <v/>
      </c>
      <c r="G344" s="206" t="str">
        <f>IF(AND($A344&gt;=SYear_O,$A344&lt;=EYear_O),IF(G$336&gt;0,G$336*Data_All!$BY13,""),"")</f>
        <v/>
      </c>
      <c r="H344" s="206" t="str">
        <f>IF(AND($A344&gt;=SYear_O,$A344&lt;=EYear_O),IF(H$336&gt;0,H$336*Data_All!$BZ13,""),"")</f>
        <v/>
      </c>
      <c r="I344" s="206">
        <f t="shared" si="167"/>
        <v>-6.2067397217128732</v>
      </c>
      <c r="J344" s="446">
        <f t="shared" si="168"/>
        <v>12677.5485418443</v>
      </c>
      <c r="K344" s="206">
        <f>IF(AND($A344&gt;=SYear_O,$A344&lt;=EYear_O),(I344-Data_All!$CA13)/(1+Data_All!$CA13%),"")</f>
        <v>-7.0224998854878544</v>
      </c>
      <c r="L344" s="447">
        <f t="shared" si="169"/>
        <v>14441.372062945049</v>
      </c>
      <c r="P344">
        <f t="shared" si="176"/>
        <v>5</v>
      </c>
      <c r="Q344">
        <f t="shared" ca="1" si="173"/>
        <v>1876</v>
      </c>
      <c r="R344" s="443">
        <f t="shared" si="170"/>
        <v>12816.782702634115</v>
      </c>
      <c r="S344" s="443">
        <f t="shared" ref="S344:Z344" ca="1" si="180">IF(OFFSET(INDIRECT(S$337),$P344,0)="",S343,OFFSET(INDIRECT(S$337),$P344,0))</f>
        <v>12816.782702634115</v>
      </c>
      <c r="T344" s="443">
        <f t="shared" ca="1" si="180"/>
        <v>12677.5485418443</v>
      </c>
      <c r="U344" s="443">
        <f t="shared" ca="1" si="180"/>
        <v>12752.764489113404</v>
      </c>
      <c r="V344" s="443">
        <f t="shared" ca="1" si="180"/>
        <v>14599.977830708503</v>
      </c>
      <c r="W344" s="209">
        <f t="shared" ca="1" si="180"/>
        <v>6.0346649477789782E-2</v>
      </c>
      <c r="X344" s="209">
        <f t="shared" ca="1" si="180"/>
        <v>6.1572206822040343E-2</v>
      </c>
      <c r="Y344" s="443">
        <f t="shared" ca="1" si="180"/>
        <v>14441.372062945049</v>
      </c>
      <c r="Z344" s="443">
        <f t="shared" ca="1" si="180"/>
        <v>14527.052782367638</v>
      </c>
      <c r="AA344" s="388">
        <f t="shared" ca="1" si="172"/>
        <v>1.671722561303346E-2</v>
      </c>
      <c r="AB344" s="388">
        <f t="shared" ca="1" si="172"/>
        <v>0.10051521635420979</v>
      </c>
      <c r="AC344" s="388">
        <f t="shared" ca="1" si="172"/>
        <v>6.5126314497853111E-2</v>
      </c>
      <c r="AD344" s="388">
        <f t="shared" ca="1" si="172"/>
        <v>5.2608600669193262E-2</v>
      </c>
      <c r="AE344" s="388">
        <f t="shared" ca="1" si="172"/>
        <v>0.11257216573536533</v>
      </c>
      <c r="AF344" s="388">
        <f t="shared" ca="1" si="172"/>
        <v>0.13200865122448158</v>
      </c>
      <c r="AG344" s="388">
        <f t="shared" ca="1" si="172"/>
        <v>9.8154809314994207E-2</v>
      </c>
      <c r="AH344" s="388">
        <f t="shared" ca="1" si="172"/>
        <v>7.5985060242975244E-2</v>
      </c>
    </row>
    <row r="345" spans="1:34">
      <c r="A345" s="165">
        <f t="shared" si="175"/>
        <v>1877</v>
      </c>
      <c r="B345" s="206" t="str">
        <f>IF(AND($A345&gt;=SYear_O,$A345&lt;=EYear_O),IF(B$336&gt;0,B$336*Data_All!$B14,""),"")</f>
        <v/>
      </c>
      <c r="C345" s="206">
        <f>IF(AND($A345&gt;=SYear_O,$A345&lt;=EYear_O),IF(C$336&gt;0,C$336*Data_All!$D14,""),"")</f>
        <v>-1.9578266243161246</v>
      </c>
      <c r="D345" s="206" t="str">
        <f>IF(AND($A345&gt;=SYear_O,$A345&lt;=EYear_O),IF(D$336&gt;0,D$336*Data_All!$T14,""),"")</f>
        <v/>
      </c>
      <c r="E345" s="206">
        <f>IF(AND($A345&gt;=SYear_O,$A345&lt;=EYear_O),IF(E$336&gt;0,E$336*Data_All!$U14,""),"")</f>
        <v>1.8865571473906677</v>
      </c>
      <c r="F345" s="206" t="str">
        <f>IF(AND($A345&gt;=SYear_O,$A345&lt;=EYear_O),IF(F$336&gt;0,F$336*Data_All!$BX14,""),"")</f>
        <v/>
      </c>
      <c r="G345" s="206" t="str">
        <f>IF(AND($A345&gt;=SYear_O,$A345&lt;=EYear_O),IF(G$336&gt;0,G$336*Data_All!$BY14,""),"")</f>
        <v/>
      </c>
      <c r="H345" s="206" t="str">
        <f>IF(AND($A345&gt;=SYear_O,$A345&lt;=EYear_O),IF(H$336&gt;0,H$336*Data_All!$BZ14,""),"")</f>
        <v/>
      </c>
      <c r="I345" s="206">
        <f t="shared" si="167"/>
        <v>-7.1269476925456932E-2</v>
      </c>
      <c r="J345" s="446">
        <f t="shared" si="168"/>
        <v>12668.513319311556</v>
      </c>
      <c r="K345" s="206">
        <f>IF(AND($A345&gt;=SYear_O,$A345&lt;=EYear_O),(I345-Data_All!$CA14)/(1+Data_All!$CA14%),"")</f>
        <v>18.472598148285932</v>
      </c>
      <c r="L345" s="447">
        <f t="shared" si="169"/>
        <v>17109.068691231718</v>
      </c>
      <c r="P345">
        <f t="shared" si="176"/>
        <v>6</v>
      </c>
      <c r="Q345">
        <f t="shared" ca="1" si="173"/>
        <v>1877</v>
      </c>
      <c r="R345" s="443">
        <f t="shared" si="170"/>
        <v>12831.031803369327</v>
      </c>
      <c r="S345" s="443">
        <f t="shared" ref="S345:Z345" ca="1" si="181">IF(OFFSET(INDIRECT(S$337),$P345,0)="",S344,OFFSET(INDIRECT(S$337),$P345,0))</f>
        <v>12831.031803369327</v>
      </c>
      <c r="T345" s="443">
        <f t="shared" ca="1" si="181"/>
        <v>12668.513319311556</v>
      </c>
      <c r="U345" s="443">
        <f t="shared" ca="1" si="181"/>
        <v>12810.106061927348</v>
      </c>
      <c r="V345" s="443">
        <f t="shared" ca="1" si="181"/>
        <v>17328.553001446769</v>
      </c>
      <c r="W345" s="209">
        <f t="shared" ca="1" si="181"/>
        <v>5.9301986744683011E-2</v>
      </c>
      <c r="X345" s="209">
        <f t="shared" ca="1" si="181"/>
        <v>5.7352656960590331E-2</v>
      </c>
      <c r="Y345" s="443">
        <f t="shared" ca="1" si="181"/>
        <v>17109.068691231718</v>
      </c>
      <c r="Z345" s="443">
        <f t="shared" ca="1" si="181"/>
        <v>17300.292388798556</v>
      </c>
      <c r="AA345" s="388">
        <f t="shared" ca="1" si="172"/>
        <v>0.13377496269166667</v>
      </c>
      <c r="AB345" s="388">
        <f t="shared" ca="1" si="172"/>
        <v>0.11801496315016924</v>
      </c>
      <c r="AC345" s="388">
        <f t="shared" ca="1" si="172"/>
        <v>7.8819446433469498E-2</v>
      </c>
      <c r="AD345" s="388">
        <f t="shared" ca="1" si="172"/>
        <v>6.6211318657086515E-2</v>
      </c>
      <c r="AE345" s="388">
        <f t="shared" ca="1" si="172"/>
        <v>0.16868025251570895</v>
      </c>
      <c r="AF345" s="388">
        <f t="shared" ca="1" si="172"/>
        <v>0.13425418412692247</v>
      </c>
      <c r="AG345" s="388">
        <f t="shared" ca="1" si="172"/>
        <v>0.11324459853654334</v>
      </c>
      <c r="AH345" s="388">
        <f t="shared" ca="1" si="172"/>
        <v>9.5108323173731524E-2</v>
      </c>
    </row>
    <row r="346" spans="1:34">
      <c r="A346" s="165">
        <f t="shared" si="175"/>
        <v>1878</v>
      </c>
      <c r="B346" s="206" t="str">
        <f>IF(AND($A346&gt;=SYear_O,$A346&lt;=EYear_O),IF(B$336&gt;0,B$336*Data_All!$B15,""),"")</f>
        <v/>
      </c>
      <c r="C346" s="206">
        <f>IF(AND($A346&gt;=SYear_O,$A346&lt;=EYear_O),IF(C$336&gt;0,C$336*Data_All!$D15,""),"")</f>
        <v>9.2975787315409946</v>
      </c>
      <c r="D346" s="206" t="str">
        <f>IF(AND($A346&gt;=SYear_O,$A346&lt;=EYear_O),IF(D$336&gt;0,D$336*Data_All!$T15,""),"")</f>
        <v/>
      </c>
      <c r="E346" s="206">
        <f>IF(AND($A346&gt;=SYear_O,$A346&lt;=EYear_O),IF(E$336&gt;0,E$336*Data_All!$U15,""),"")</f>
        <v>2.2251534179496875</v>
      </c>
      <c r="F346" s="206" t="str">
        <f>IF(AND($A346&gt;=SYear_O,$A346&lt;=EYear_O),IF(F$336&gt;0,F$336*Data_All!$BX15,""),"")</f>
        <v/>
      </c>
      <c r="G346" s="206" t="str">
        <f>IF(AND($A346&gt;=SYear_O,$A346&lt;=EYear_O),IF(G$336&gt;0,G$336*Data_All!$BY15,""),"")</f>
        <v/>
      </c>
      <c r="H346" s="206" t="str">
        <f>IF(AND($A346&gt;=SYear_O,$A346&lt;=EYear_O),IF(H$336&gt;0,H$336*Data_All!$BZ15,""),"")</f>
        <v/>
      </c>
      <c r="I346" s="206">
        <f t="shared" si="167"/>
        <v>11.522732149490682</v>
      </c>
      <c r="J346" s="446">
        <f t="shared" si="168"/>
        <v>14128.272176418379</v>
      </c>
      <c r="K346" s="206">
        <f>IF(AND($A346&gt;=SYear_O,$A346&lt;=EYear_O),(I346-Data_All!$CA15)/(1+Data_All!$CA15%),"")</f>
        <v>24.340798511924781</v>
      </c>
      <c r="L346" s="447">
        <f t="shared" si="169"/>
        <v>21273.552628631238</v>
      </c>
      <c r="P346">
        <f t="shared" si="176"/>
        <v>7</v>
      </c>
      <c r="Q346">
        <f t="shared" ca="1" si="173"/>
        <v>1878</v>
      </c>
      <c r="R346" s="443">
        <f t="shared" si="170"/>
        <v>14335.468786237911</v>
      </c>
      <c r="S346" s="443">
        <f t="shared" ref="S346:Z346" ca="1" si="182">IF(OFFSET(INDIRECT(S$337),$P346,0)="",S345,OFFSET(INDIRECT(S$337),$P346,0))</f>
        <v>14335.468786237911</v>
      </c>
      <c r="T346" s="443">
        <f t="shared" ca="1" si="182"/>
        <v>14128.272176418379</v>
      </c>
      <c r="U346" s="443">
        <f t="shared" ca="1" si="182"/>
        <v>14233.463686810523</v>
      </c>
      <c r="V346" s="443">
        <f t="shared" ca="1" si="182"/>
        <v>21585.537557037911</v>
      </c>
      <c r="W346" s="209">
        <f t="shared" ca="1" si="182"/>
        <v>0</v>
      </c>
      <c r="X346" s="209">
        <f t="shared" ca="1" si="182"/>
        <v>0</v>
      </c>
      <c r="Y346" s="443">
        <f t="shared" ca="1" si="182"/>
        <v>21273.552628631238</v>
      </c>
      <c r="Z346" s="443">
        <f t="shared" ca="1" si="182"/>
        <v>21431.944051479648</v>
      </c>
      <c r="AA346" s="388">
        <f t="shared" ca="1" si="172"/>
        <v>0.19722748174952209</v>
      </c>
      <c r="AB346" s="388">
        <f t="shared" ca="1" si="172"/>
        <v>0.1253548883190998</v>
      </c>
      <c r="AC346" s="388">
        <f t="shared" ca="1" si="172"/>
        <v>8.0539749296375085E-2</v>
      </c>
      <c r="AD346" s="388">
        <f t="shared" ca="1" si="172"/>
        <v>6.7415368289781563E-2</v>
      </c>
      <c r="AE346" s="388">
        <f t="shared" ca="1" si="172"/>
        <v>0.18910875252038606</v>
      </c>
      <c r="AF346" s="388">
        <f t="shared" ca="1" si="172"/>
        <v>0.10765700752335139</v>
      </c>
      <c r="AG346" s="388">
        <f t="shared" ca="1" si="172"/>
        <v>9.111199318424279E-2</v>
      </c>
      <c r="AH346" s="388">
        <f t="shared" ca="1" si="172"/>
        <v>7.856477215289015E-2</v>
      </c>
    </row>
    <row r="347" spans="1:34">
      <c r="A347" s="165">
        <f t="shared" si="175"/>
        <v>1879</v>
      </c>
      <c r="B347" s="206" t="str">
        <f>IF(AND($A347&gt;=SYear_O,$A347&lt;=EYear_O),IF(B$336&gt;0,B$336*Data_All!$B16,""),"")</f>
        <v/>
      </c>
      <c r="C347" s="206">
        <f>IF(AND($A347&gt;=SYear_O,$A347&lt;=EYear_O),IF(C$336&gt;0,C$336*Data_All!$D16,""),"")</f>
        <v>28.843379662395158</v>
      </c>
      <c r="D347" s="206" t="str">
        <f>IF(AND($A347&gt;=SYear_O,$A347&lt;=EYear_O),IF(D$336&gt;0,D$336*Data_All!$T16,""),"")</f>
        <v/>
      </c>
      <c r="E347" s="206">
        <f>IF(AND($A347&gt;=SYear_O,$A347&lt;=EYear_O),IF(E$336&gt;0,E$336*Data_All!$U16,""),"")</f>
        <v>1.2241262324636812</v>
      </c>
      <c r="F347" s="206" t="str">
        <f>IF(AND($A347&gt;=SYear_O,$A347&lt;=EYear_O),IF(F$336&gt;0,F$336*Data_All!$BX16,""),"")</f>
        <v/>
      </c>
      <c r="G347" s="206" t="str">
        <f>IF(AND($A347&gt;=SYear_O,$A347&lt;=EYear_O),IF(G$336&gt;0,G$336*Data_All!$BY16,""),"")</f>
        <v/>
      </c>
      <c r="H347" s="206" t="str">
        <f>IF(AND($A347&gt;=SYear_O,$A347&lt;=EYear_O),IF(H$336&gt;0,H$336*Data_All!$BZ16,""),"")</f>
        <v/>
      </c>
      <c r="I347" s="206">
        <f t="shared" si="167"/>
        <v>30.06750589485884</v>
      </c>
      <c r="J347" s="446">
        <f t="shared" si="168"/>
        <v>18376.291245904678</v>
      </c>
      <c r="K347" s="206">
        <f>IF(AND($A347&gt;=SYear_O,$A347&lt;=EYear_O),(I347-Data_All!$CA16)/(1+Data_All!$CA16%),"")</f>
        <v>7.7699171585473765</v>
      </c>
      <c r="L347" s="447">
        <f t="shared" si="169"/>
        <v>22926.490044555863</v>
      </c>
      <c r="P347">
        <f t="shared" si="176"/>
        <v>8</v>
      </c>
      <c r="Q347">
        <f t="shared" ca="1" si="173"/>
        <v>1879</v>
      </c>
      <c r="R347" s="443">
        <f t="shared" si="170"/>
        <v>18679.257447524793</v>
      </c>
      <c r="S347" s="443">
        <f t="shared" ref="S347:Z347" ca="1" si="183">IF(OFFSET(INDIRECT(S$337),$P347,0)="",S346,OFFSET(INDIRECT(S$337),$P347,0))</f>
        <v>18679.257447524793</v>
      </c>
      <c r="T347" s="443">
        <f t="shared" ca="1" si="183"/>
        <v>18376.291245904678</v>
      </c>
      <c r="U347" s="443">
        <f t="shared" ca="1" si="183"/>
        <v>18291.756190711734</v>
      </c>
      <c r="V347" s="443">
        <f t="shared" ca="1" si="183"/>
        <v>23304.474454594456</v>
      </c>
      <c r="W347" s="209">
        <f t="shared" ca="1" si="183"/>
        <v>0</v>
      </c>
      <c r="X347" s="209">
        <f t="shared" ca="1" si="183"/>
        <v>0</v>
      </c>
      <c r="Y347" s="443">
        <f t="shared" ca="1" si="183"/>
        <v>22926.490044555863</v>
      </c>
      <c r="Z347" s="443">
        <f t="shared" ca="1" si="183"/>
        <v>22821.023055849484</v>
      </c>
      <c r="AA347" s="388">
        <f t="shared" ca="1" si="172"/>
        <v>0.16020589386690776</v>
      </c>
      <c r="AB347" s="388">
        <f t="shared" ca="1" si="172"/>
        <v>9.6436214254189689E-2</v>
      </c>
      <c r="AC347" s="388">
        <f t="shared" ca="1" si="172"/>
        <v>7.253440774225739E-2</v>
      </c>
      <c r="AD347" s="388">
        <f t="shared" ca="1" si="172"/>
        <v>5.5312570495979374E-2</v>
      </c>
      <c r="AE347" s="388">
        <f t="shared" ca="1" si="172"/>
        <v>8.2880232440464052E-2</v>
      </c>
      <c r="AF347" s="388">
        <f t="shared" ca="1" si="172"/>
        <v>7.2835957724819878E-2</v>
      </c>
      <c r="AG347" s="388">
        <f t="shared" ca="1" si="172"/>
        <v>7.6304818299231414E-2</v>
      </c>
      <c r="AH347" s="388">
        <f t="shared" ca="1" si="172"/>
        <v>6.8710975274816066E-2</v>
      </c>
    </row>
    <row r="348" spans="1:34">
      <c r="A348" s="165">
        <f t="shared" si="175"/>
        <v>1880</v>
      </c>
      <c r="B348" s="206" t="str">
        <f>IF(AND($A348&gt;=SYear_O,$A348&lt;=EYear_O),IF(B$336&gt;0,B$336*Data_All!$B17,""),"")</f>
        <v/>
      </c>
      <c r="C348" s="206">
        <f>IF(AND($A348&gt;=SYear_O,$A348&lt;=EYear_O),IF(C$336&gt;0,C$336*Data_All!$D17,""),"")</f>
        <v>15.605326131486443</v>
      </c>
      <c r="D348" s="206" t="str">
        <f>IF(AND($A348&gt;=SYear_O,$A348&lt;=EYear_O),IF(D$336&gt;0,D$336*Data_All!$T17,""),"")</f>
        <v/>
      </c>
      <c r="E348" s="206">
        <f>IF(AND($A348&gt;=SYear_O,$A348&lt;=EYear_O),IF(E$336&gt;0,E$336*Data_All!$U17,""),"")</f>
        <v>2.0598207327999916</v>
      </c>
      <c r="F348" s="206" t="str">
        <f>IF(AND($A348&gt;=SYear_O,$A348&lt;=EYear_O),IF(F$336&gt;0,F$336*Data_All!$BX17,""),"")</f>
        <v/>
      </c>
      <c r="G348" s="206" t="str">
        <f>IF(AND($A348&gt;=SYear_O,$A348&lt;=EYear_O),IF(G$336&gt;0,G$336*Data_All!$BY17,""),"")</f>
        <v/>
      </c>
      <c r="H348" s="206" t="str">
        <f>IF(AND($A348&gt;=SYear_O,$A348&lt;=EYear_O),IF(H$336&gt;0,H$336*Data_All!$BZ17,""),"")</f>
        <v/>
      </c>
      <c r="I348" s="206">
        <f t="shared" si="167"/>
        <v>17.665146864286434</v>
      </c>
      <c r="J348" s="446">
        <f t="shared" si="168"/>
        <v>21622.490082702752</v>
      </c>
      <c r="K348" s="206">
        <f>IF(AND($A348&gt;=SYear_O,$A348&lt;=EYear_O),(I348-Data_All!$CA17)/(1+Data_All!$CA17%),"")</f>
        <v>24.796828491684263</v>
      </c>
      <c r="L348" s="447">
        <f t="shared" si="169"/>
        <v>28611.53246006745</v>
      </c>
      <c r="P348">
        <f t="shared" si="176"/>
        <v>9</v>
      </c>
      <c r="Q348">
        <f t="shared" ca="1" si="173"/>
        <v>1880</v>
      </c>
      <c r="R348" s="443">
        <f t="shared" si="170"/>
        <v>22018.696906152145</v>
      </c>
      <c r="S348" s="443">
        <f t="shared" ref="S348:Z348" ca="1" si="184">IF(OFFSET(INDIRECT(S$337),$P348,0)="",S347,OFFSET(INDIRECT(S$337),$P348,0))</f>
        <v>22018.696906152145</v>
      </c>
      <c r="T348" s="443">
        <f t="shared" ca="1" si="184"/>
        <v>21622.490082702752</v>
      </c>
      <c r="U348" s="443">
        <f t="shared" ca="1" si="184"/>
        <v>21740.062415318476</v>
      </c>
      <c r="V348" s="443">
        <f t="shared" ca="1" si="184"/>
        <v>29135.805304992522</v>
      </c>
      <c r="W348" s="209">
        <f t="shared" ca="1" si="184"/>
        <v>0</v>
      </c>
      <c r="X348" s="209">
        <f t="shared" ca="1" si="184"/>
        <v>0</v>
      </c>
      <c r="Y348" s="443">
        <f t="shared" ca="1" si="184"/>
        <v>28611.53246006745</v>
      </c>
      <c r="Z348" s="443">
        <f t="shared" ca="1" si="184"/>
        <v>28767.107724441452</v>
      </c>
      <c r="AA348" s="388">
        <f t="shared" ca="1" si="172"/>
        <v>7.4277535417721419E-2</v>
      </c>
      <c r="AB348" s="388">
        <f t="shared" ca="1" si="172"/>
        <v>2.9789443501798019E-2</v>
      </c>
      <c r="AC348" s="388">
        <f t="shared" ca="1" si="172"/>
        <v>4.9591987826769879E-2</v>
      </c>
      <c r="AD348" s="388">
        <f t="shared" ca="1" si="172"/>
        <v>3.9486193684477033E-2</v>
      </c>
      <c r="AE348" s="388">
        <f t="shared" ca="1" si="172"/>
        <v>7.4277535417721419E-2</v>
      </c>
      <c r="AF348" s="388">
        <f t="shared" ca="1" si="172"/>
        <v>6.9258443054767804E-2</v>
      </c>
      <c r="AG348" s="388">
        <f t="shared" ca="1" si="172"/>
        <v>7.852595496120629E-2</v>
      </c>
      <c r="AH348" s="388">
        <f t="shared" ca="1" si="172"/>
        <v>6.8992938437513418E-2</v>
      </c>
    </row>
    <row r="349" spans="1:34">
      <c r="A349" s="165">
        <f t="shared" si="175"/>
        <v>1881</v>
      </c>
      <c r="B349" s="206" t="str">
        <f>IF(AND($A349&gt;=SYear_O,$A349&lt;=EYear_O),IF(B$336&gt;0,B$336*Data_All!$B18,""),"")</f>
        <v/>
      </c>
      <c r="C349" s="206">
        <f>IF(AND($A349&gt;=SYear_O,$A349&lt;=EYear_O),IF(C$336&gt;0,C$336*Data_All!$D18,""),"")</f>
        <v>0.38200326004757229</v>
      </c>
      <c r="D349" s="206" t="str">
        <f>IF(AND($A349&gt;=SYear_O,$A349&lt;=EYear_O),IF(D$336&gt;0,D$336*Data_All!$T18,""),"")</f>
        <v/>
      </c>
      <c r="E349" s="206">
        <f>IF(AND($A349&gt;=SYear_O,$A349&lt;=EYear_O),IF(E$336&gt;0,E$336*Data_All!$U18,""),"")</f>
        <v>1.1107729974864209</v>
      </c>
      <c r="F349" s="206" t="str">
        <f>IF(AND($A349&gt;=SYear_O,$A349&lt;=EYear_O),IF(F$336&gt;0,F$336*Data_All!$BX18,""),"")</f>
        <v/>
      </c>
      <c r="G349" s="206" t="str">
        <f>IF(AND($A349&gt;=SYear_O,$A349&lt;=EYear_O),IF(G$336&gt;0,G$336*Data_All!$BY18,""),"")</f>
        <v/>
      </c>
      <c r="H349" s="206" t="str">
        <f>IF(AND($A349&gt;=SYear_O,$A349&lt;=EYear_O),IF(H$336&gt;0,H$336*Data_All!$BZ18,""),"")</f>
        <v/>
      </c>
      <c r="I349" s="206">
        <f t="shared" si="167"/>
        <v>1.4927762575339931</v>
      </c>
      <c r="J349" s="446">
        <f t="shared" si="168"/>
        <v>21945.265480944981</v>
      </c>
      <c r="K349" s="206">
        <f>IF(AND($A349&gt;=SYear_O,$A349&lt;=EYear_O),(I349-Data_All!$CA18)/(1+Data_All!$CA18%),"")</f>
        <v>-6.0954222414454362</v>
      </c>
      <c r="L349" s="447">
        <f t="shared" si="169"/>
        <v>26867.538746878119</v>
      </c>
      <c r="P349">
        <f t="shared" si="176"/>
        <v>10</v>
      </c>
      <c r="Q349">
        <f t="shared" ca="1" si="173"/>
        <v>1881</v>
      </c>
      <c r="R349" s="443">
        <f t="shared" si="170"/>
        <v>22388.092960272017</v>
      </c>
      <c r="S349" s="443">
        <f t="shared" ref="S349:Z349" ca="1" si="185">IF(OFFSET(INDIRECT(S$337),$P349,0)="",S348,OFFSET(INDIRECT(S$337),$P349,0))</f>
        <v>22388.092960272017</v>
      </c>
      <c r="T349" s="443">
        <f t="shared" ca="1" si="185"/>
        <v>21945.265480944981</v>
      </c>
      <c r="U349" s="443">
        <f t="shared" ca="1" si="185"/>
        <v>22063.751413378512</v>
      </c>
      <c r="V349" s="443">
        <f t="shared" ca="1" si="185"/>
        <v>27409.691425292171</v>
      </c>
      <c r="W349" s="209">
        <f t="shared" ca="1" si="185"/>
        <v>0</v>
      </c>
      <c r="X349" s="209">
        <f t="shared" ca="1" si="185"/>
        <v>0</v>
      </c>
      <c r="Y349" s="443">
        <f t="shared" ca="1" si="185"/>
        <v>26867.538746878119</v>
      </c>
      <c r="Z349" s="443">
        <f t="shared" ca="1" si="185"/>
        <v>27012.60080517867</v>
      </c>
      <c r="AA349" s="388">
        <f t="shared" ca="1" si="172"/>
        <v>1.0444306436831141E-2</v>
      </c>
      <c r="AB349" s="388">
        <f t="shared" ca="1" si="172"/>
        <v>3.0875401790567691E-2</v>
      </c>
      <c r="AC349" s="388">
        <f t="shared" ca="1" si="172"/>
        <v>2.9443096336186914E-2</v>
      </c>
      <c r="AD349" s="388">
        <f t="shared" ca="1" si="172"/>
        <v>2.9726893696458534E-2</v>
      </c>
      <c r="AE349" s="388">
        <f t="shared" ca="1" si="172"/>
        <v>1.7343190754766979E-2</v>
      </c>
      <c r="AF349" s="388">
        <f t="shared" ca="1" si="172"/>
        <v>6.531340013805953E-2</v>
      </c>
      <c r="AG349" s="388">
        <f t="shared" ca="1" si="172"/>
        <v>4.9021740922007506E-2</v>
      </c>
      <c r="AH349" s="388">
        <f t="shared" ca="1" si="172"/>
        <v>5.3799228565511115E-2</v>
      </c>
    </row>
    <row r="350" spans="1:34">
      <c r="A350" s="165">
        <f t="shared" si="175"/>
        <v>1882</v>
      </c>
      <c r="B350" s="206" t="str">
        <f>IF(AND($A350&gt;=SYear_O,$A350&lt;=EYear_O),IF(B$336&gt;0,B$336*Data_All!$B19,""),"")</f>
        <v/>
      </c>
      <c r="C350" s="206">
        <f>IF(AND($A350&gt;=SYear_O,$A350&lt;=EYear_O),IF(C$336&gt;0,C$336*Data_All!$D19,""),"")</f>
        <v>2.0229393814299508</v>
      </c>
      <c r="D350" s="206" t="str">
        <f>IF(AND($A350&gt;=SYear_O,$A350&lt;=EYear_O),IF(D$336&gt;0,D$336*Data_All!$T19,""),"")</f>
        <v/>
      </c>
      <c r="E350" s="206">
        <f>IF(AND($A350&gt;=SYear_O,$A350&lt;=EYear_O),IF(E$336&gt;0,E$336*Data_All!$U19,""),"")</f>
        <v>1.229989763635075</v>
      </c>
      <c r="F350" s="206" t="str">
        <f>IF(AND($A350&gt;=SYear_O,$A350&lt;=EYear_O),IF(F$336&gt;0,F$336*Data_All!$BX19,""),"")</f>
        <v/>
      </c>
      <c r="G350" s="206" t="str">
        <f>IF(AND($A350&gt;=SYear_O,$A350&lt;=EYear_O),IF(G$336&gt;0,G$336*Data_All!$BY19,""),"")</f>
        <v/>
      </c>
      <c r="H350" s="206" t="str">
        <f>IF(AND($A350&gt;=SYear_O,$A350&lt;=EYear_O),IF(H$336&gt;0,H$336*Data_All!$BZ19,""),"")</f>
        <v/>
      </c>
      <c r="I350" s="206">
        <f t="shared" si="167"/>
        <v>3.2529291450650257</v>
      </c>
      <c r="J350" s="446">
        <f t="shared" si="168"/>
        <v>22659.129417736538</v>
      </c>
      <c r="K350" s="206">
        <f>IF(AND($A350&gt;=SYear_O,$A350&lt;=EYear_O),(I350-Data_All!$CA19)/(1+Data_All!$CA19%),"")</f>
        <v>5.2192112036478742</v>
      </c>
      <c r="L350" s="447">
        <f t="shared" si="169"/>
        <v>28269.812339299617</v>
      </c>
      <c r="P350">
        <f t="shared" si="176"/>
        <v>11</v>
      </c>
      <c r="Q350">
        <f t="shared" ca="1" si="173"/>
        <v>1882</v>
      </c>
      <c r="R350" s="443">
        <f t="shared" si="170"/>
        <v>23158.428758725735</v>
      </c>
      <c r="S350" s="443">
        <f t="shared" ref="S350:Z350" ca="1" si="186">IF(OFFSET(INDIRECT(S$337),$P350,0)="",S349,OFFSET(INDIRECT(S$337),$P350,0))</f>
        <v>23158.428758725735</v>
      </c>
      <c r="T350" s="443">
        <f t="shared" ca="1" si="186"/>
        <v>22659.129417736538</v>
      </c>
      <c r="U350" s="443">
        <f t="shared" ca="1" si="186"/>
        <v>22827.753365017103</v>
      </c>
      <c r="V350" s="443">
        <f t="shared" ca="1" si="186"/>
        <v>28892.744421582192</v>
      </c>
      <c r="W350" s="209">
        <f t="shared" ca="1" si="186"/>
        <v>0</v>
      </c>
      <c r="X350" s="209">
        <f t="shared" ca="1" si="186"/>
        <v>0</v>
      </c>
      <c r="Y350" s="443">
        <f t="shared" ca="1" si="186"/>
        <v>28269.812339299617</v>
      </c>
      <c r="Z350" s="443">
        <f t="shared" ca="1" si="186"/>
        <v>28480.189678060135</v>
      </c>
      <c r="AA350" s="388">
        <f t="shared" ca="1" si="172"/>
        <v>-1.1382650024631347E-2</v>
      </c>
      <c r="AB350" s="388">
        <f t="shared" ca="1" si="172"/>
        <v>4.0998051335286112E-2</v>
      </c>
      <c r="AC350" s="388">
        <f t="shared" ca="1" si="172"/>
        <v>4.1216699384606592E-2</v>
      </c>
      <c r="AD350" s="388">
        <f t="shared" ca="1" si="172"/>
        <v>3.2021839400595553E-2</v>
      </c>
      <c r="AE350" s="388">
        <f t="shared" ca="1" si="172"/>
        <v>5.9211944090564517E-2</v>
      </c>
      <c r="AF350" s="388">
        <f t="shared" ca="1" si="172"/>
        <v>9.2624169709133897E-2</v>
      </c>
      <c r="AG350" s="388">
        <f t="shared" ca="1" si="172"/>
        <v>7.6044977211764619E-2</v>
      </c>
      <c r="AH350" s="388">
        <f t="shared" ca="1" si="172"/>
        <v>6.3687045135468745E-2</v>
      </c>
    </row>
    <row r="351" spans="1:34">
      <c r="A351" s="165">
        <f t="shared" si="175"/>
        <v>1883</v>
      </c>
      <c r="B351" s="206" t="str">
        <f>IF(AND($A351&gt;=SYear_O,$A351&lt;=EYear_O),IF(B$336&gt;0,B$336*Data_All!$B20,""),"")</f>
        <v/>
      </c>
      <c r="C351" s="206">
        <f>IF(AND($A351&gt;=SYear_O,$A351&lt;=EYear_O),IF(C$336&gt;0,C$336*Data_All!$D20,""),"")</f>
        <v>-3.1946757637661403</v>
      </c>
      <c r="D351" s="206" t="str">
        <f>IF(AND($A351&gt;=SYear_O,$A351&lt;=EYear_O),IF(D$336&gt;0,D$336*Data_All!$T20,""),"")</f>
        <v/>
      </c>
      <c r="E351" s="206">
        <f>IF(AND($A351&gt;=SYear_O,$A351&lt;=EYear_O),IF(E$336&gt;0,E$336*Data_All!$U20,""),"")</f>
        <v>1.1047525191423597</v>
      </c>
      <c r="F351" s="206" t="str">
        <f>IF(AND($A351&gt;=SYear_O,$A351&lt;=EYear_O),IF(F$336&gt;0,F$336*Data_All!$BX20,""),"")</f>
        <v/>
      </c>
      <c r="G351" s="206" t="str">
        <f>IF(AND($A351&gt;=SYear_O,$A351&lt;=EYear_O),IF(G$336&gt;0,G$336*Data_All!$BY20,""),"")</f>
        <v/>
      </c>
      <c r="H351" s="206" t="str">
        <f>IF(AND($A351&gt;=SYear_O,$A351&lt;=EYear_O),IF(H$336&gt;0,H$336*Data_All!$BZ20,""),"")</f>
        <v/>
      </c>
      <c r="I351" s="206">
        <f t="shared" si="167"/>
        <v>-2.0899232446237805</v>
      </c>
      <c r="J351" s="446">
        <f t="shared" si="168"/>
        <v>22185.571005005877</v>
      </c>
      <c r="K351" s="206">
        <f>IF(AND($A351&gt;=SYear_O,$A351&lt;=EYear_O),(I351-Data_All!$CA20)/(1+Data_All!$CA20%),"")</f>
        <v>5.985975870618546</v>
      </c>
      <c r="L351" s="447">
        <f t="shared" si="169"/>
        <v>29962.036484599237</v>
      </c>
      <c r="P351">
        <f t="shared" si="176"/>
        <v>12</v>
      </c>
      <c r="Q351">
        <f t="shared" ca="1" si="173"/>
        <v>1883</v>
      </c>
      <c r="R351" s="443">
        <f t="shared" si="170"/>
        <v>22715.837677590178</v>
      </c>
      <c r="S351" s="443">
        <f t="shared" ref="S351:Z351" ca="1" si="187">IF(OFFSET(INDIRECT(S$337),$P351,0)="",S350,OFFSET(INDIRECT(S$337),$P351,0))</f>
        <v>22715.837677590178</v>
      </c>
      <c r="T351" s="443">
        <f t="shared" ca="1" si="187"/>
        <v>22185.571005005877</v>
      </c>
      <c r="U351" s="443">
        <f t="shared" ca="1" si="187"/>
        <v>22237.913725392442</v>
      </c>
      <c r="V351" s="443">
        <f t="shared" ca="1" si="187"/>
        <v>30678.171732457111</v>
      </c>
      <c r="W351" s="209">
        <f t="shared" ca="1" si="187"/>
        <v>1.9111446883839034E-2</v>
      </c>
      <c r="X351" s="209">
        <f t="shared" ca="1" si="187"/>
        <v>2.5838707392404903E-2</v>
      </c>
      <c r="Y351" s="443">
        <f t="shared" ca="1" si="187"/>
        <v>29962.036484599237</v>
      </c>
      <c r="Z351" s="443">
        <f t="shared" ca="1" si="187"/>
        <v>30032.726326098997</v>
      </c>
      <c r="AA351" s="388">
        <f t="shared" ca="1" si="172"/>
        <v>3.4438007485435351E-2</v>
      </c>
      <c r="AB351" s="388">
        <f t="shared" ca="1" si="172"/>
        <v>3.7509288783934336E-2</v>
      </c>
      <c r="AC351" s="388">
        <f t="shared" ca="1" si="172"/>
        <v>3.9574040626907392E-2</v>
      </c>
      <c r="AD351" s="388">
        <f t="shared" ca="1" si="172"/>
        <v>3.8290405980999198E-2</v>
      </c>
      <c r="AE351" s="388">
        <f t="shared" ca="1" si="172"/>
        <v>0.11431606886227286</v>
      </c>
      <c r="AF351" s="388">
        <f t="shared" ca="1" si="172"/>
        <v>7.4814110852264637E-2</v>
      </c>
      <c r="AG351" s="388">
        <f t="shared" ca="1" si="172"/>
        <v>6.4306457917320481E-2</v>
      </c>
      <c r="AH351" s="388">
        <f t="shared" ca="1" si="172"/>
        <v>6.6739497412983351E-2</v>
      </c>
    </row>
    <row r="352" spans="1:34">
      <c r="A352" s="165">
        <f t="shared" si="175"/>
        <v>1884</v>
      </c>
      <c r="B352" s="206" t="str">
        <f>IF(AND($A352&gt;=SYear_O,$A352&lt;=EYear_O),IF(B$336&gt;0,B$336*Data_All!$B21,""),"")</f>
        <v/>
      </c>
      <c r="C352" s="206">
        <f>IF(AND($A352&gt;=SYear_O,$A352&lt;=EYear_O),IF(C$336&gt;0,C$336*Data_All!$D21,""),"")</f>
        <v>-7.3867398395700254</v>
      </c>
      <c r="D352" s="206" t="str">
        <f>IF(AND($A352&gt;=SYear_O,$A352&lt;=EYear_O),IF(D$336&gt;0,D$336*Data_All!$T21,""),"")</f>
        <v/>
      </c>
      <c r="E352" s="206">
        <f>IF(AND($A352&gt;=SYear_O,$A352&lt;=EYear_O),IF(E$336&gt;0,E$336*Data_All!$U21,""),"")</f>
        <v>2.4422471151705292</v>
      </c>
      <c r="F352" s="206" t="str">
        <f>IF(AND($A352&gt;=SYear_O,$A352&lt;=EYear_O),IF(F$336&gt;0,F$336*Data_All!$BX21,""),"")</f>
        <v/>
      </c>
      <c r="G352" s="206" t="str">
        <f>IF(AND($A352&gt;=SYear_O,$A352&lt;=EYear_O),IF(G$336&gt;0,G$336*Data_All!$BY21,""),"")</f>
        <v/>
      </c>
      <c r="H352" s="206" t="str">
        <f>IF(AND($A352&gt;=SYear_O,$A352&lt;=EYear_O),IF(H$336&gt;0,H$336*Data_All!$BZ21,""),"")</f>
        <v/>
      </c>
      <c r="I352" s="206">
        <f t="shared" si="167"/>
        <v>-4.9444927243994963</v>
      </c>
      <c r="J352" s="446">
        <f t="shared" si="168"/>
        <v>21088.607060796876</v>
      </c>
      <c r="K352" s="206">
        <f>IF(AND($A352&gt;=SYear_O,$A352&lt;=EYear_O),(I352-Data_All!$CA21)/(1+Data_All!$CA21%),"")</f>
        <v>5.9808834468033636</v>
      </c>
      <c r="L352" s="447">
        <f t="shared" si="169"/>
        <v>31754.030965031816</v>
      </c>
      <c r="P352">
        <f t="shared" si="176"/>
        <v>13</v>
      </c>
      <c r="Q352">
        <f t="shared" ca="1" si="173"/>
        <v>1884</v>
      </c>
      <c r="R352" s="443">
        <f t="shared" si="170"/>
        <v>21632.254582975525</v>
      </c>
      <c r="S352" s="443">
        <f t="shared" ref="S352:Z352" ca="1" si="188">IF(OFFSET(INDIRECT(S$337),$P352,0)="",S351,OFFSET(INDIRECT(S$337),$P352,0))</f>
        <v>21632.254582975525</v>
      </c>
      <c r="T352" s="443">
        <f t="shared" ca="1" si="188"/>
        <v>21088.607060796876</v>
      </c>
      <c r="U352" s="443">
        <f t="shared" ca="1" si="188"/>
        <v>20911.414201149819</v>
      </c>
      <c r="V352" s="443">
        <f t="shared" ca="1" si="188"/>
        <v>32572.624635232798</v>
      </c>
      <c r="W352" s="209">
        <f t="shared" ca="1" si="188"/>
        <v>6.5901456081089771E-2</v>
      </c>
      <c r="X352" s="209">
        <f t="shared" ca="1" si="188"/>
        <v>8.3947777655773326E-2</v>
      </c>
      <c r="Y352" s="443">
        <f t="shared" ca="1" si="188"/>
        <v>31754.030965031816</v>
      </c>
      <c r="Z352" s="443">
        <f t="shared" ca="1" si="188"/>
        <v>31487.223985519417</v>
      </c>
      <c r="AA352" s="388">
        <f t="shared" ca="1" si="172"/>
        <v>6.4092321189727519E-2</v>
      </c>
      <c r="AB352" s="388">
        <f t="shared" ca="1" si="172"/>
        <v>4.9153649648013831E-2</v>
      </c>
      <c r="AC352" s="388">
        <f t="shared" ca="1" si="172"/>
        <v>3.5332819824004824E-2</v>
      </c>
      <c r="AD352" s="388">
        <f t="shared" ca="1" si="172"/>
        <v>5.1734131168723829E-2</v>
      </c>
      <c r="AE352" s="388">
        <f t="shared" ca="1" si="172"/>
        <v>0.11637361282989511</v>
      </c>
      <c r="AF352" s="388">
        <f t="shared" ca="1" si="172"/>
        <v>7.9784894934773476E-2</v>
      </c>
      <c r="AG352" s="388">
        <f t="shared" ca="1" si="172"/>
        <v>6.6654435472212281E-2</v>
      </c>
      <c r="AH352" s="388">
        <f t="shared" ca="1" si="172"/>
        <v>7.3841209518259676E-2</v>
      </c>
    </row>
    <row r="353" spans="1:34">
      <c r="A353" s="165">
        <f t="shared" si="175"/>
        <v>1885</v>
      </c>
      <c r="B353" s="206" t="str">
        <f>IF(AND($A353&gt;=SYear_O,$A353&lt;=EYear_O),IF(B$336&gt;0,B$336*Data_All!$B22,""),"")</f>
        <v/>
      </c>
      <c r="C353" s="206">
        <f>IF(AND($A353&gt;=SYear_O,$A353&lt;=EYear_O),IF(C$336&gt;0,C$336*Data_All!$D22,""),"")</f>
        <v>16.85048624884865</v>
      </c>
      <c r="D353" s="206" t="str">
        <f>IF(AND($A353&gt;=SYear_O,$A353&lt;=EYear_O),IF(D$336&gt;0,D$336*Data_All!$T22,""),"")</f>
        <v/>
      </c>
      <c r="E353" s="206">
        <f>IF(AND($A353&gt;=SYear_O,$A353&lt;=EYear_O),IF(E$336&gt;0,E$336*Data_All!$U22,""),"")</f>
        <v>1.4366390809269678</v>
      </c>
      <c r="F353" s="206" t="str">
        <f>IF(AND($A353&gt;=SYear_O,$A353&lt;=EYear_O),IF(F$336&gt;0,F$336*Data_All!$BX22,""),"")</f>
        <v/>
      </c>
      <c r="G353" s="206" t="str">
        <f>IF(AND($A353&gt;=SYear_O,$A353&lt;=EYear_O),IF(G$336&gt;0,G$336*Data_All!$BY22,""),"")</f>
        <v/>
      </c>
      <c r="H353" s="206" t="str">
        <f>IF(AND($A353&gt;=SYear_O,$A353&lt;=EYear_O),IF(H$336&gt;0,H$336*Data_All!$BZ22,""),"")</f>
        <v/>
      </c>
      <c r="I353" s="206">
        <f t="shared" si="167"/>
        <v>18.28712532977562</v>
      </c>
      <c r="J353" s="446">
        <f t="shared" si="168"/>
        <v>24945.107064308708</v>
      </c>
      <c r="K353" s="206">
        <f>IF(AND($A353&gt;=SYear_O,$A353&lt;=EYear_O),(I353-Data_All!$CA22)/(1+Data_All!$CA22%),"")</f>
        <v>22.511818544257387</v>
      </c>
      <c r="L353" s="447">
        <f t="shared" si="169"/>
        <v>38902.440796367082</v>
      </c>
      <c r="P353">
        <f t="shared" si="176"/>
        <v>14</v>
      </c>
      <c r="Q353">
        <f t="shared" ca="1" si="173"/>
        <v>1885</v>
      </c>
      <c r="R353" s="443">
        <f t="shared" si="170"/>
        <v>25634.361086550751</v>
      </c>
      <c r="S353" s="443">
        <f t="shared" ref="S353:Z353" ca="1" si="189">IF(OFFSET(INDIRECT(S$337),$P353,0)="",S352,OFFSET(INDIRECT(S$337),$P353,0))</f>
        <v>25634.361086550751</v>
      </c>
      <c r="T353" s="443">
        <f t="shared" ca="1" si="189"/>
        <v>24945.107064308708</v>
      </c>
      <c r="U353" s="443">
        <f t="shared" ca="1" si="189"/>
        <v>24887.020515648168</v>
      </c>
      <c r="V353" s="443">
        <f t="shared" ca="1" si="189"/>
        <v>39977.347539593458</v>
      </c>
      <c r="W353" s="209">
        <f t="shared" ca="1" si="189"/>
        <v>0</v>
      </c>
      <c r="X353" s="209">
        <f t="shared" ca="1" si="189"/>
        <v>0</v>
      </c>
      <c r="Y353" s="443">
        <f t="shared" ca="1" si="189"/>
        <v>38902.440796367082</v>
      </c>
      <c r="Z353" s="443">
        <f t="shared" ca="1" si="189"/>
        <v>38811.85355156166</v>
      </c>
      <c r="AA353" s="388">
        <f t="shared" ca="1" si="172"/>
        <v>8.773330015335068E-2</v>
      </c>
      <c r="AB353" s="388">
        <f t="shared" ca="1" si="172"/>
        <v>6.9775329181869683E-2</v>
      </c>
      <c r="AC353" s="388">
        <f t="shared" ca="1" si="172"/>
        <v>4.4368755346608779E-2</v>
      </c>
      <c r="AD353" s="388">
        <f t="shared" ca="1" si="172"/>
        <v>5.691824279775104E-2</v>
      </c>
      <c r="AE353" s="388">
        <f t="shared" ca="1" si="172"/>
        <v>8.3596548306690277E-2</v>
      </c>
      <c r="AF353" s="388">
        <f t="shared" ca="1" si="172"/>
        <v>8.7873790551309616E-2</v>
      </c>
      <c r="AG353" s="388">
        <f t="shared" ca="1" si="172"/>
        <v>6.8860210852429438E-2</v>
      </c>
      <c r="AH353" s="388">
        <f t="shared" ca="1" si="172"/>
        <v>6.0239932445443678E-2</v>
      </c>
    </row>
    <row r="354" spans="1:34">
      <c r="A354" s="165">
        <f t="shared" si="175"/>
        <v>1886</v>
      </c>
      <c r="B354" s="206" t="str">
        <f>IF(AND($A354&gt;=SYear_O,$A354&lt;=EYear_O),IF(B$336&gt;0,B$336*Data_All!$B23,""),"")</f>
        <v/>
      </c>
      <c r="C354" s="206">
        <f>IF(AND($A354&gt;=SYear_O,$A354&lt;=EYear_O),IF(C$336&gt;0,C$336*Data_All!$D23,""),"")</f>
        <v>6.8095007717649239</v>
      </c>
      <c r="D354" s="206" t="str">
        <f>IF(AND($A354&gt;=SYear_O,$A354&lt;=EYear_O),IF(D$336&gt;0,D$336*Data_All!$T23,""),"")</f>
        <v/>
      </c>
      <c r="E354" s="206">
        <f>IF(AND($A354&gt;=SYear_O,$A354&lt;=EYear_O),IF(E$336&gt;0,E$336*Data_All!$U23,""),"")</f>
        <v>-0.23385220790238345</v>
      </c>
      <c r="F354" s="206" t="str">
        <f>IF(AND($A354&gt;=SYear_O,$A354&lt;=EYear_O),IF(F$336&gt;0,F$336*Data_All!$BX23,""),"")</f>
        <v/>
      </c>
      <c r="G354" s="206" t="str">
        <f>IF(AND($A354&gt;=SYear_O,$A354&lt;=EYear_O),IF(G$336&gt;0,G$336*Data_All!$BY23,""),"")</f>
        <v/>
      </c>
      <c r="H354" s="206" t="str">
        <f>IF(AND($A354&gt;=SYear_O,$A354&lt;=EYear_O),IF(H$336&gt;0,H$336*Data_All!$BZ23,""),"")</f>
        <v/>
      </c>
      <c r="I354" s="206">
        <f t="shared" si="167"/>
        <v>6.5756485638625408</v>
      </c>
      <c r="J354" s="446">
        <f t="shared" si="168"/>
        <v>26585.409638736899</v>
      </c>
      <c r="K354" s="206">
        <f>IF(AND($A354&gt;=SYear_O,$A354&lt;=EYear_O),(I354-Data_All!$CA23)/(1+Data_All!$CA23%),"")</f>
        <v>6.5756485638625408</v>
      </c>
      <c r="L354" s="447">
        <f t="shared" si="169"/>
        <v>41460.528585900873</v>
      </c>
      <c r="P354">
        <f t="shared" si="176"/>
        <v>15</v>
      </c>
      <c r="Q354">
        <f t="shared" ca="1" si="173"/>
        <v>1886</v>
      </c>
      <c r="R354" s="443">
        <f t="shared" si="170"/>
        <v>27369.488699759866</v>
      </c>
      <c r="S354" s="443">
        <f t="shared" ref="S354:Z354" ca="1" si="190">IF(OFFSET(INDIRECT(S$337),$P354,0)="",S353,OFFSET(INDIRECT(S$337),$P354,0))</f>
        <v>27369.488699759866</v>
      </c>
      <c r="T354" s="443">
        <f t="shared" ca="1" si="190"/>
        <v>26585.409638736899</v>
      </c>
      <c r="U354" s="443">
        <f t="shared" ca="1" si="190"/>
        <v>26777.275699078302</v>
      </c>
      <c r="V354" s="443">
        <f t="shared" ca="1" si="190"/>
        <v>42683.31705389508</v>
      </c>
      <c r="W354" s="209">
        <f t="shared" ca="1" si="190"/>
        <v>0</v>
      </c>
      <c r="X354" s="209">
        <f t="shared" ca="1" si="190"/>
        <v>0</v>
      </c>
      <c r="Y354" s="443">
        <f t="shared" ca="1" si="190"/>
        <v>41460.528585900873</v>
      </c>
      <c r="Z354" s="443">
        <f t="shared" ca="1" si="190"/>
        <v>41759.747909114092</v>
      </c>
      <c r="AA354" s="388">
        <f t="shared" ca="1" si="172"/>
        <v>4.0480421505078468E-2</v>
      </c>
      <c r="AB354" s="388">
        <f t="shared" ca="1" si="172"/>
        <v>2.8012780936968129E-2</v>
      </c>
      <c r="AC354" s="388">
        <f t="shared" ca="1" si="172"/>
        <v>2.9153119574963249E-2</v>
      </c>
      <c r="AD354" s="388">
        <f t="shared" ca="1" si="172"/>
        <v>5.4193662213200877E-2</v>
      </c>
      <c r="AE354" s="388">
        <f t="shared" ca="1" si="172"/>
        <v>4.0480421505078468E-2</v>
      </c>
      <c r="AF354" s="388">
        <f t="shared" ca="1" si="172"/>
        <v>3.2979227318859161E-2</v>
      </c>
      <c r="AG354" s="388">
        <f t="shared" ca="1" si="172"/>
        <v>4.8088895197183179E-2</v>
      </c>
      <c r="AH354" s="388">
        <f t="shared" ca="1" si="172"/>
        <v>5.6752687174482785E-2</v>
      </c>
    </row>
    <row r="355" spans="1:34">
      <c r="A355" s="165">
        <f t="shared" si="175"/>
        <v>1887</v>
      </c>
      <c r="B355" s="206" t="str">
        <f>IF(AND($A355&gt;=SYear_O,$A355&lt;=EYear_O),IF(B$336&gt;0,B$336*Data_All!$B24,""),"")</f>
        <v/>
      </c>
      <c r="C355" s="206">
        <f>IF(AND($A355&gt;=SYear_O,$A355&lt;=EYear_O),IF(C$336&gt;0,C$336*Data_All!$D24,""),"")</f>
        <v>-0.31651568677334752</v>
      </c>
      <c r="D355" s="206" t="str">
        <f>IF(AND($A355&gt;=SYear_O,$A355&lt;=EYear_O),IF(D$336&gt;0,D$336*Data_All!$T24,""),"")</f>
        <v/>
      </c>
      <c r="E355" s="206">
        <f>IF(AND($A355&gt;=SYear_O,$A355&lt;=EYear_O),IF(E$336&gt;0,E$336*Data_All!$U24,""),"")</f>
        <v>1.8504213483616372</v>
      </c>
      <c r="F355" s="206" t="str">
        <f>IF(AND($A355&gt;=SYear_O,$A355&lt;=EYear_O),IF(F$336&gt;0,F$336*Data_All!$BX24,""),"")</f>
        <v/>
      </c>
      <c r="G355" s="206" t="str">
        <f>IF(AND($A355&gt;=SYear_O,$A355&lt;=EYear_O),IF(G$336&gt;0,G$336*Data_All!$BY24,""),"")</f>
        <v/>
      </c>
      <c r="H355" s="206" t="str">
        <f>IF(AND($A355&gt;=SYear_O,$A355&lt;=EYear_O),IF(H$336&gt;0,H$336*Data_All!$BZ24,""),"")</f>
        <v/>
      </c>
      <c r="I355" s="206">
        <f t="shared" si="167"/>
        <v>1.5339056615882898</v>
      </c>
      <c r="J355" s="446">
        <f t="shared" si="168"/>
        <v>26993.204742341921</v>
      </c>
      <c r="K355" s="206">
        <f>IF(AND($A355&gt;=SYear_O,$A355&lt;=EYear_O),(I355-Data_All!$CA24)/(1+Data_All!$CA24%),"")</f>
        <v>-3.0816193499019877</v>
      </c>
      <c r="L355" s="447">
        <f t="shared" si="169"/>
        <v>40182.872914426109</v>
      </c>
      <c r="P355">
        <f t="shared" si="176"/>
        <v>16</v>
      </c>
      <c r="Q355">
        <f t="shared" ca="1" si="173"/>
        <v>1887</v>
      </c>
      <c r="R355" s="443">
        <f t="shared" si="170"/>
        <v>27839.988938797778</v>
      </c>
      <c r="S355" s="443">
        <f t="shared" ref="S355:Z355" ca="1" si="191">IF(OFFSET(INDIRECT(S$337),$P355,0)="",S354,OFFSET(INDIRECT(S$337),$P355,0))</f>
        <v>27839.988938797778</v>
      </c>
      <c r="T355" s="443">
        <f t="shared" ca="1" si="191"/>
        <v>26993.204742341921</v>
      </c>
      <c r="U355" s="443">
        <f t="shared" ca="1" si="191"/>
        <v>27107.076088632006</v>
      </c>
      <c r="V355" s="443">
        <f t="shared" ca="1" si="191"/>
        <v>41443.420599553559</v>
      </c>
      <c r="W355" s="209">
        <f t="shared" ca="1" si="191"/>
        <v>0</v>
      </c>
      <c r="X355" s="209">
        <f t="shared" ca="1" si="191"/>
        <v>0</v>
      </c>
      <c r="Y355" s="443">
        <f t="shared" ca="1" si="191"/>
        <v>40182.872914426109</v>
      </c>
      <c r="Z355" s="443">
        <f t="shared" ca="1" si="191"/>
        <v>40352.385126119581</v>
      </c>
      <c r="AA355" s="388">
        <f t="shared" ref="AA355:AH364" ca="1" si="192">IF(AA$336,IF(OFFSET(INDIRECT(AA$337),$P355,0)="","",OFFSET(INDIRECT(AA$337),$P355,0)),"")</f>
        <v>3.4584570610547427E-2</v>
      </c>
      <c r="AB355" s="388">
        <f t="shared" ca="1" si="192"/>
        <v>4.1435393358095096E-2</v>
      </c>
      <c r="AC355" s="388">
        <f t="shared" ca="1" si="192"/>
        <v>2.7562799967710605E-2</v>
      </c>
      <c r="AD355" s="388">
        <f t="shared" ca="1" si="192"/>
        <v>5.7829186397438059E-2</v>
      </c>
      <c r="AE355" s="388">
        <f t="shared" ca="1" si="192"/>
        <v>5.1547883347724088E-2</v>
      </c>
      <c r="AF355" s="388">
        <f t="shared" ca="1" si="192"/>
        <v>5.971735303174075E-2</v>
      </c>
      <c r="AG355" s="388">
        <f t="shared" ca="1" si="192"/>
        <v>4.9507153866514164E-2</v>
      </c>
      <c r="AH355" s="388">
        <f t="shared" ca="1" si="192"/>
        <v>5.8674066653790602E-2</v>
      </c>
    </row>
    <row r="356" spans="1:34">
      <c r="A356" s="165">
        <f t="shared" si="175"/>
        <v>1888</v>
      </c>
      <c r="B356" s="206" t="str">
        <f>IF(AND($A356&gt;=SYear_O,$A356&lt;=EYear_O),IF(B$336&gt;0,B$336*Data_All!$B25,""),"")</f>
        <v/>
      </c>
      <c r="C356" s="206">
        <f>IF(AND($A356&gt;=SYear_O,$A356&lt;=EYear_O),IF(C$336&gt;0,C$336*Data_All!$D25,""),"")</f>
        <v>1.7030144799039428</v>
      </c>
      <c r="D356" s="206" t="str">
        <f>IF(AND($A356&gt;=SYear_O,$A356&lt;=EYear_O),IF(D$336&gt;0,D$336*Data_All!$T25,""),"")</f>
        <v/>
      </c>
      <c r="E356" s="206">
        <f>IF(AND($A356&gt;=SYear_O,$A356&lt;=EYear_O),IF(E$336&gt;0,E$336*Data_All!$U25,""),"")</f>
        <v>1.826686176192778</v>
      </c>
      <c r="F356" s="206" t="str">
        <f>IF(AND($A356&gt;=SYear_O,$A356&lt;=EYear_O),IF(F$336&gt;0,F$336*Data_All!$BX25,""),"")</f>
        <v/>
      </c>
      <c r="G356" s="206" t="str">
        <f>IF(AND($A356&gt;=SYear_O,$A356&lt;=EYear_O),IF(G$336&gt;0,G$336*Data_All!$BY25,""),"")</f>
        <v/>
      </c>
      <c r="H356" s="206" t="str">
        <f>IF(AND($A356&gt;=SYear_O,$A356&lt;=EYear_O),IF(H$336&gt;0,H$336*Data_All!$BZ25,""),"")</f>
        <v/>
      </c>
      <c r="I356" s="206">
        <f t="shared" si="167"/>
        <v>3.529700656096721</v>
      </c>
      <c r="J356" s="446">
        <f t="shared" si="168"/>
        <v>27945.984067233894</v>
      </c>
      <c r="K356" s="206">
        <f>IF(AND($A356&gt;=SYear_O,$A356&lt;=EYear_O),(I356-Data_All!$CA25)/(1+Data_All!$CA25%),"")</f>
        <v>8.4600752620805384</v>
      </c>
      <c r="L356" s="447">
        <f t="shared" si="169"/>
        <v>43582.374205452739</v>
      </c>
      <c r="P356">
        <f t="shared" si="176"/>
        <v>17</v>
      </c>
      <c r="Q356">
        <f t="shared" ca="1" si="173"/>
        <v>1888</v>
      </c>
      <c r="R356" s="443">
        <f t="shared" si="170"/>
        <v>28875.149091727999</v>
      </c>
      <c r="S356" s="443">
        <f t="shared" ref="S356:Z356" ca="1" si="193">IF(OFFSET(INDIRECT(S$337),$P356,0)="",S355,OFFSET(INDIRECT(S$337),$P356,0))</f>
        <v>28875.149091727999</v>
      </c>
      <c r="T356" s="443">
        <f t="shared" ca="1" si="193"/>
        <v>27945.984067233894</v>
      </c>
      <c r="U356" s="443">
        <f t="shared" ca="1" si="193"/>
        <v>28075.350382382458</v>
      </c>
      <c r="V356" s="443">
        <f t="shared" ca="1" si="193"/>
        <v>45031.427411047342</v>
      </c>
      <c r="W356" s="209">
        <f t="shared" ca="1" si="193"/>
        <v>0</v>
      </c>
      <c r="X356" s="209">
        <f t="shared" ca="1" si="193"/>
        <v>0</v>
      </c>
      <c r="Y356" s="443">
        <f t="shared" ca="1" si="193"/>
        <v>43582.374205452739</v>
      </c>
      <c r="Z356" s="443">
        <f t="shared" ca="1" si="193"/>
        <v>43784.123807213793</v>
      </c>
      <c r="AA356" s="388">
        <f t="shared" ca="1" si="192"/>
        <v>1.8705544567530152E-2</v>
      </c>
      <c r="AB356" s="388">
        <f t="shared" ca="1" si="192"/>
        <v>4.1642901541692146E-2</v>
      </c>
      <c r="AC356" s="388">
        <f t="shared" ca="1" si="192"/>
        <v>3.8681185083895953E-2</v>
      </c>
      <c r="AD356" s="388">
        <f t="shared" ca="1" si="192"/>
        <v>6.0388934014372397E-2</v>
      </c>
      <c r="AE356" s="388">
        <f t="shared" ca="1" si="192"/>
        <v>4.2970699215104435E-2</v>
      </c>
      <c r="AF356" s="388">
        <f t="shared" ca="1" si="192"/>
        <v>5.3901530438886791E-2</v>
      </c>
      <c r="AG356" s="388">
        <f t="shared" ca="1" si="192"/>
        <v>6.2724967160517231E-2</v>
      </c>
      <c r="AH356" s="388">
        <f t="shared" ca="1" si="192"/>
        <v>5.802196124745751E-2</v>
      </c>
    </row>
    <row r="357" spans="1:34">
      <c r="A357" s="165">
        <f t="shared" si="175"/>
        <v>1889</v>
      </c>
      <c r="B357" s="206" t="str">
        <f>IF(AND($A357&gt;=SYear_O,$A357&lt;=EYear_O),IF(B$336&gt;0,B$336*Data_All!$B26,""),"")</f>
        <v/>
      </c>
      <c r="C357" s="206">
        <f>IF(AND($A357&gt;=SYear_O,$A357&lt;=EYear_O),IF(C$336&gt;0,C$336*Data_All!$D26,""),"")</f>
        <v>4.0133147694720366</v>
      </c>
      <c r="D357" s="206" t="str">
        <f>IF(AND($A357&gt;=SYear_O,$A357&lt;=EYear_O),IF(D$336&gt;0,D$336*Data_All!$T26,""),"")</f>
        <v/>
      </c>
      <c r="E357" s="206">
        <f>IF(AND($A357&gt;=SYear_O,$A357&lt;=EYear_O),IF(E$336&gt;0,E$336*Data_All!$U26,""),"")</f>
        <v>0.7603583250450715</v>
      </c>
      <c r="F357" s="206" t="str">
        <f>IF(AND($A357&gt;=SYear_O,$A357&lt;=EYear_O),IF(F$336&gt;0,F$336*Data_All!$BX26,""),"")</f>
        <v/>
      </c>
      <c r="G357" s="206" t="str">
        <f>IF(AND($A357&gt;=SYear_O,$A357&lt;=EYear_O),IF(G$336&gt;0,G$336*Data_All!$BY26,""),"")</f>
        <v/>
      </c>
      <c r="H357" s="206" t="str">
        <f>IF(AND($A357&gt;=SYear_O,$A357&lt;=EYear_O),IF(H$336&gt;0,H$336*Data_All!$BZ26,""),"")</f>
        <v/>
      </c>
      <c r="I357" s="206">
        <f t="shared" si="167"/>
        <v>4.7736730945171084</v>
      </c>
      <c r="J357" s="446">
        <f t="shared" si="168"/>
        <v>29280.033989649477</v>
      </c>
      <c r="K357" s="206">
        <f>IF(AND($A357&gt;=SYear_O,$A357&lt;=EYear_O),(I357-Data_All!$CA26)/(1+Data_All!$CA26%),"")</f>
        <v>10.012323782293031</v>
      </c>
      <c r="L357" s="447">
        <f t="shared" si="169"/>
        <v>47945.982622913223</v>
      </c>
      <c r="P357">
        <f t="shared" si="176"/>
        <v>18</v>
      </c>
      <c r="Q357">
        <f t="shared" ca="1" si="173"/>
        <v>1889</v>
      </c>
      <c r="R357" s="443">
        <f t="shared" si="170"/>
        <v>30308.516241527894</v>
      </c>
      <c r="S357" s="443">
        <f t="shared" ref="S357:Z357" ca="1" si="194">IF(OFFSET(INDIRECT(S$337),$P357,0)="",S356,OFFSET(INDIRECT(S$337),$P357,0))</f>
        <v>30308.516241527894</v>
      </c>
      <c r="T357" s="443">
        <f t="shared" ca="1" si="194"/>
        <v>29280.033989649477</v>
      </c>
      <c r="U357" s="443">
        <f t="shared" ca="1" si="194"/>
        <v>29575.067723012115</v>
      </c>
      <c r="V357" s="443">
        <f t="shared" ca="1" si="194"/>
        <v>49630.11974495239</v>
      </c>
      <c r="W357" s="209">
        <f t="shared" ca="1" si="194"/>
        <v>0</v>
      </c>
      <c r="X357" s="209">
        <f t="shared" ca="1" si="194"/>
        <v>0</v>
      </c>
      <c r="Y357" s="443">
        <f t="shared" ca="1" si="194"/>
        <v>47945.982622913223</v>
      </c>
      <c r="Z357" s="443">
        <f t="shared" ca="1" si="194"/>
        <v>48429.099625372262</v>
      </c>
      <c r="AA357" s="388">
        <f t="shared" ca="1" si="192"/>
        <v>5.1077416510773466E-2</v>
      </c>
      <c r="AB357" s="388">
        <f t="shared" ca="1" si="192"/>
        <v>2.1694056122616212E-2</v>
      </c>
      <c r="AC357" s="388">
        <f t="shared" ca="1" si="192"/>
        <v>5.302675104594412E-2</v>
      </c>
      <c r="AD357" s="388">
        <f t="shared" ca="1" si="192"/>
        <v>5.1824388357656126E-2</v>
      </c>
      <c r="AE357" s="388">
        <f t="shared" ca="1" si="192"/>
        <v>8.2009049452776317E-2</v>
      </c>
      <c r="AF357" s="388">
        <f t="shared" ca="1" si="192"/>
        <v>5.3683645742490294E-2</v>
      </c>
      <c r="AG357" s="388">
        <f t="shared" ca="1" si="192"/>
        <v>7.0881646989685354E-2</v>
      </c>
      <c r="AH357" s="388">
        <f t="shared" ca="1" si="192"/>
        <v>4.9366516594137266E-2</v>
      </c>
    </row>
    <row r="358" spans="1:34">
      <c r="A358" s="165">
        <f t="shared" si="175"/>
        <v>1890</v>
      </c>
      <c r="B358" s="206" t="str">
        <f>IF(AND($A358&gt;=SYear_O,$A358&lt;=EYear_O),IF(B$336&gt;0,B$336*Data_All!$B27,""),"")</f>
        <v/>
      </c>
      <c r="C358" s="206">
        <f>IF(AND($A358&gt;=SYear_O,$A358&lt;=EYear_O),IF(C$336&gt;0,C$336*Data_All!$D27,""),"")</f>
        <v>-3.6645435102333517</v>
      </c>
      <c r="D358" s="206" t="str">
        <f>IF(AND($A358&gt;=SYear_O,$A358&lt;=EYear_O),IF(D$336&gt;0,D$336*Data_All!$T27,""),"")</f>
        <v/>
      </c>
      <c r="E358" s="206">
        <f>IF(AND($A358&gt;=SYear_O,$A358&lt;=EYear_O),IF(E$336&gt;0,E$336*Data_All!$U27,""),"")</f>
        <v>0.5945516846912966</v>
      </c>
      <c r="F358" s="206" t="str">
        <f>IF(AND($A358&gt;=SYear_O,$A358&lt;=EYear_O),IF(F$336&gt;0,F$336*Data_All!$BX27,""),"")</f>
        <v/>
      </c>
      <c r="G358" s="206" t="str">
        <f>IF(AND($A358&gt;=SYear_O,$A358&lt;=EYear_O),IF(G$336&gt;0,G$336*Data_All!$BY27,""),"")</f>
        <v/>
      </c>
      <c r="H358" s="206" t="str">
        <f>IF(AND($A358&gt;=SYear_O,$A358&lt;=EYear_O),IF(H$336&gt;0,H$336*Data_All!$BZ27,""),"")</f>
        <v/>
      </c>
      <c r="I358" s="206">
        <f t="shared" si="167"/>
        <v>-3.0699918255420551</v>
      </c>
      <c r="J358" s="446">
        <f t="shared" si="168"/>
        <v>28381.139339651305</v>
      </c>
      <c r="K358" s="206">
        <f>IF(AND($A358&gt;=SYear_O,$A358&lt;=EYear_O),(I358-Data_All!$CA27)/(1+Data_All!$CA27%),"")</f>
        <v>-5.4341238517117469</v>
      </c>
      <c r="L358" s="447">
        <f t="shared" si="169"/>
        <v>45340.538545263924</v>
      </c>
      <c r="P358">
        <f t="shared" si="176"/>
        <v>19</v>
      </c>
      <c r="Q358">
        <f t="shared" ca="1" si="173"/>
        <v>1890</v>
      </c>
      <c r="R358" s="443">
        <f t="shared" si="170"/>
        <v>29431.68103271686</v>
      </c>
      <c r="S358" s="443">
        <f t="shared" ref="S358:Z358" ca="1" si="195">IF(OFFSET(INDIRECT(S$337),$P358,0)="",S357,OFFSET(INDIRECT(S$337),$P358,0))</f>
        <v>29431.68103271686</v>
      </c>
      <c r="T358" s="443">
        <f t="shared" ca="1" si="195"/>
        <v>28381.139339651305</v>
      </c>
      <c r="U358" s="443">
        <f t="shared" ca="1" si="195"/>
        <v>28518.14967217837</v>
      </c>
      <c r="V358" s="443">
        <f t="shared" ca="1" si="195"/>
        <v>47018.840658431691</v>
      </c>
      <c r="W358" s="209">
        <f t="shared" ca="1" si="195"/>
        <v>2.8930324461400647E-2</v>
      </c>
      <c r="X358" s="209">
        <f t="shared" ca="1" si="195"/>
        <v>3.5736792244481119E-2</v>
      </c>
      <c r="Y358" s="443">
        <f t="shared" ca="1" si="195"/>
        <v>45340.538545263924</v>
      </c>
      <c r="Z358" s="443">
        <f t="shared" ca="1" si="195"/>
        <v>45559.420605941596</v>
      </c>
      <c r="AA358" s="388">
        <f t="shared" ca="1" si="192"/>
        <v>4.0477976038008512E-2</v>
      </c>
      <c r="AB358" s="388">
        <f t="shared" ca="1" si="192"/>
        <v>1.9565573622231769E-2</v>
      </c>
      <c r="AC358" s="388">
        <f t="shared" ca="1" si="192"/>
        <v>5.0547762249528727E-2</v>
      </c>
      <c r="AD358" s="388">
        <f t="shared" ca="1" si="192"/>
        <v>6.117378752563285E-2</v>
      </c>
      <c r="AE358" s="388">
        <f t="shared" ca="1" si="192"/>
        <v>2.7787856447307746E-2</v>
      </c>
      <c r="AF358" s="388">
        <f t="shared" ca="1" si="192"/>
        <v>5.0178945633506E-2</v>
      </c>
      <c r="AG358" s="388">
        <f t="shared" ca="1" si="192"/>
        <v>4.6687358814065938E-2</v>
      </c>
      <c r="AH358" s="388">
        <f t="shared" ca="1" si="192"/>
        <v>5.3658709786216452E-2</v>
      </c>
    </row>
    <row r="359" spans="1:34">
      <c r="A359" s="165">
        <f t="shared" si="175"/>
        <v>1891</v>
      </c>
      <c r="B359" s="206" t="str">
        <f>IF(AND($A359&gt;=SYear_O,$A359&lt;=EYear_O),IF(B$336&gt;0,B$336*Data_All!$B28,""),"")</f>
        <v/>
      </c>
      <c r="C359" s="206">
        <f>IF(AND($A359&gt;=SYear_O,$A359&lt;=EYear_O),IF(C$336&gt;0,C$336*Data_All!$D28,""),"")</f>
        <v>10.912506590036605</v>
      </c>
      <c r="D359" s="206" t="str">
        <f>IF(AND($A359&gt;=SYear_O,$A359&lt;=EYear_O),IF(D$336&gt;0,D$336*Data_All!$T28,""),"")</f>
        <v/>
      </c>
      <c r="E359" s="206">
        <f>IF(AND($A359&gt;=SYear_O,$A359&lt;=EYear_O),IF(E$336&gt;0,E$336*Data_All!$U28,""),"")</f>
        <v>2.8048227591644039</v>
      </c>
      <c r="F359" s="206" t="str">
        <f>IF(AND($A359&gt;=SYear_O,$A359&lt;=EYear_O),IF(F$336&gt;0,F$336*Data_All!$BX28,""),"")</f>
        <v/>
      </c>
      <c r="G359" s="206" t="str">
        <f>IF(AND($A359&gt;=SYear_O,$A359&lt;=EYear_O),IF(G$336&gt;0,G$336*Data_All!$BY28,""),"")</f>
        <v/>
      </c>
      <c r="H359" s="206" t="str">
        <f>IF(AND($A359&gt;=SYear_O,$A359&lt;=EYear_O),IF(H$336&gt;0,H$336*Data_All!$BZ28,""),"")</f>
        <v/>
      </c>
      <c r="I359" s="206">
        <f t="shared" si="167"/>
        <v>13.717329349201009</v>
      </c>
      <c r="J359" s="446">
        <f t="shared" si="168"/>
        <v>32274.273695926924</v>
      </c>
      <c r="K359" s="206">
        <f>IF(AND($A359&gt;=SYear_O,$A359&lt;=EYear_O),(I359-Data_All!$CA28)/(1+Data_All!$CA28%),"")</f>
        <v>21.101590181426761</v>
      </c>
      <c r="L359" s="447">
        <f t="shared" si="169"/>
        <v>54908.113175137354</v>
      </c>
      <c r="P359">
        <f t="shared" si="176"/>
        <v>20</v>
      </c>
      <c r="Q359">
        <f t="shared" ca="1" si="173"/>
        <v>1891</v>
      </c>
      <c r="R359" s="443">
        <f t="shared" si="170"/>
        <v>33529.598273461357</v>
      </c>
      <c r="S359" s="443">
        <f t="shared" ref="S359:Z359" ca="1" si="196">IF(OFFSET(INDIRECT(S$337),$P359,0)="",S358,OFFSET(INDIRECT(S$337),$P359,0))</f>
        <v>33529.598273461357</v>
      </c>
      <c r="T359" s="443">
        <f t="shared" ca="1" si="196"/>
        <v>32274.273695926924</v>
      </c>
      <c r="U359" s="443">
        <f t="shared" ca="1" si="196"/>
        <v>32718.556651025698</v>
      </c>
      <c r="V359" s="443">
        <f t="shared" ca="1" si="196"/>
        <v>57043.792652364151</v>
      </c>
      <c r="W359" s="209">
        <f t="shared" ca="1" si="196"/>
        <v>0</v>
      </c>
      <c r="X359" s="209">
        <f t="shared" ca="1" si="196"/>
        <v>0</v>
      </c>
      <c r="Y359" s="443">
        <f t="shared" ca="1" si="196"/>
        <v>54908.113175137354</v>
      </c>
      <c r="Z359" s="443">
        <f t="shared" ca="1" si="196"/>
        <v>55663.970270797625</v>
      </c>
      <c r="AA359" s="388">
        <f t="shared" ca="1" si="192"/>
        <v>2.984334546695333E-2</v>
      </c>
      <c r="AB359" s="388">
        <f t="shared" ca="1" si="192"/>
        <v>3.0294723150742442E-2</v>
      </c>
      <c r="AC359" s="388">
        <f t="shared" ca="1" si="192"/>
        <v>6.753308683654069E-2</v>
      </c>
      <c r="AD359" s="388">
        <f t="shared" ca="1" si="192"/>
        <v>7.2004429635868172E-2</v>
      </c>
      <c r="AE359" s="388">
        <f t="shared" ca="1" si="192"/>
        <v>7.5470076725314916E-2</v>
      </c>
      <c r="AF359" s="388">
        <f t="shared" ca="1" si="192"/>
        <v>6.3419576293735735E-2</v>
      </c>
      <c r="AG359" s="388">
        <f t="shared" ca="1" si="192"/>
        <v>6.8843811827896007E-2</v>
      </c>
      <c r="AH359" s="388">
        <f t="shared" ca="1" si="192"/>
        <v>6.616629158864562E-2</v>
      </c>
    </row>
    <row r="360" spans="1:34">
      <c r="A360" s="165">
        <f t="shared" si="175"/>
        <v>1892</v>
      </c>
      <c r="B360" s="206" t="str">
        <f>IF(AND($A360&gt;=SYear_O,$A360&lt;=EYear_O),IF(B$336&gt;0,B$336*Data_All!$B29,""),"")</f>
        <v/>
      </c>
      <c r="C360" s="206">
        <f>IF(AND($A360&gt;=SYear_O,$A360&lt;=EYear_O),IF(C$336&gt;0,C$336*Data_All!$D29,""),"")</f>
        <v>3.5942491231331477</v>
      </c>
      <c r="D360" s="206" t="str">
        <f>IF(AND($A360&gt;=SYear_O,$A360&lt;=EYear_O),IF(D$336&gt;0,D$336*Data_All!$T29,""),"")</f>
        <v/>
      </c>
      <c r="E360" s="206">
        <f>IF(AND($A360&gt;=SYear_O,$A360&lt;=EYear_O),IF(E$336&gt;0,E$336*Data_All!$U29,""),"")</f>
        <v>-1.9579958481261515</v>
      </c>
      <c r="F360" s="206" t="str">
        <f>IF(AND($A360&gt;=SYear_O,$A360&lt;=EYear_O),IF(F$336&gt;0,F$336*Data_All!$BX29,""),"")</f>
        <v/>
      </c>
      <c r="G360" s="206" t="str">
        <f>IF(AND($A360&gt;=SYear_O,$A360&lt;=EYear_O),IF(G$336&gt;0,G$336*Data_All!$BY29,""),"")</f>
        <v/>
      </c>
      <c r="H360" s="206" t="str">
        <f>IF(AND($A360&gt;=SYear_O,$A360&lt;=EYear_O),IF(H$336&gt;0,H$336*Data_All!$BZ29,""),"")</f>
        <v/>
      </c>
      <c r="I360" s="206">
        <f t="shared" si="167"/>
        <v>1.6362532750069962</v>
      </c>
      <c r="J360" s="446">
        <f t="shared" si="168"/>
        <v>32802.362556261251</v>
      </c>
      <c r="K360" s="206">
        <f>IF(AND($A360&gt;=SYear_O,$A360&lt;=EYear_O),(I360-Data_All!$CA29)/(1+Data_All!$CA29%),"")</f>
        <v>-5.711001672024163</v>
      </c>
      <c r="L360" s="447">
        <f t="shared" si="169"/>
        <v>51772.309913628342</v>
      </c>
      <c r="P360">
        <f t="shared" si="176"/>
        <v>21</v>
      </c>
      <c r="Q360">
        <f t="shared" ca="1" si="173"/>
        <v>1892</v>
      </c>
      <c r="R360" s="443">
        <f t="shared" si="170"/>
        <v>34139.987009277371</v>
      </c>
      <c r="S360" s="443">
        <f t="shared" ref="S360:Z360" ca="1" si="197">IF(OFFSET(INDIRECT(S$337),$P360,0)="",S359,OFFSET(INDIRECT(S$337),$P360,0))</f>
        <v>34139.987009277371</v>
      </c>
      <c r="T360" s="443">
        <f t="shared" ca="1" si="197"/>
        <v>32802.362556261251</v>
      </c>
      <c r="U360" s="443">
        <f t="shared" ca="1" si="197"/>
        <v>33647.210161120514</v>
      </c>
      <c r="V360" s="443">
        <f t="shared" ca="1" si="197"/>
        <v>53883.496496936779</v>
      </c>
      <c r="W360" s="209">
        <f t="shared" ca="1" si="197"/>
        <v>0</v>
      </c>
      <c r="X360" s="209">
        <f t="shared" ca="1" si="197"/>
        <v>0</v>
      </c>
      <c r="Y360" s="443">
        <f t="shared" ca="1" si="197"/>
        <v>51772.309913628342</v>
      </c>
      <c r="Z360" s="443">
        <f t="shared" ca="1" si="197"/>
        <v>53105.741673415156</v>
      </c>
      <c r="AA360" s="388">
        <f t="shared" ca="1" si="192"/>
        <v>-1.3712923873668847E-3</v>
      </c>
      <c r="AB360" s="388">
        <f t="shared" ca="1" si="192"/>
        <v>1.3874998498747626E-2</v>
      </c>
      <c r="AC360" s="388">
        <f t="shared" ca="1" si="192"/>
        <v>6.6122604317473854E-2</v>
      </c>
      <c r="AD360" s="388">
        <f t="shared" ca="1" si="192"/>
        <v>6.3461938444834942E-2</v>
      </c>
      <c r="AE360" s="388">
        <f t="shared" ca="1" si="192"/>
        <v>3.5820468521555959E-2</v>
      </c>
      <c r="AF360" s="388">
        <f t="shared" ca="1" si="192"/>
        <v>3.9395328259760554E-2</v>
      </c>
      <c r="AG360" s="388">
        <f t="shared" ca="1" si="192"/>
        <v>5.8152808694350355E-2</v>
      </c>
      <c r="AH360" s="388">
        <f t="shared" ca="1" si="192"/>
        <v>5.0161064455789495E-2</v>
      </c>
    </row>
    <row r="361" spans="1:34">
      <c r="A361" s="165">
        <f t="shared" si="175"/>
        <v>1893</v>
      </c>
      <c r="B361" s="206" t="str">
        <f>IF(AND($A361&gt;=SYear_O,$A361&lt;=EYear_O),IF(B$336&gt;0,B$336*Data_All!$B30,""),"")</f>
        <v/>
      </c>
      <c r="C361" s="206">
        <f>IF(AND($A361&gt;=SYear_O,$A361&lt;=EYear_O),IF(C$336&gt;0,C$336*Data_All!$D30,""),"")</f>
        <v>-11.205944546677069</v>
      </c>
      <c r="D361" s="206" t="str">
        <f>IF(AND($A361&gt;=SYear_O,$A361&lt;=EYear_O),IF(D$336&gt;0,D$336*Data_All!$T30,""),"")</f>
        <v/>
      </c>
      <c r="E361" s="206">
        <f>IF(AND($A361&gt;=SYear_O,$A361&lt;=EYear_O),IF(E$336&gt;0,E$336*Data_All!$U30,""),"")</f>
        <v>5.1923428520778998</v>
      </c>
      <c r="F361" s="206" t="str">
        <f>IF(AND($A361&gt;=SYear_O,$A361&lt;=EYear_O),IF(F$336&gt;0,F$336*Data_All!$BX30,""),"")</f>
        <v/>
      </c>
      <c r="G361" s="206" t="str">
        <f>IF(AND($A361&gt;=SYear_O,$A361&lt;=EYear_O),IF(G$336&gt;0,G$336*Data_All!$BY30,""),"")</f>
        <v/>
      </c>
      <c r="H361" s="206" t="str">
        <f>IF(AND($A361&gt;=SYear_O,$A361&lt;=EYear_O),IF(H$336&gt;0,H$336*Data_All!$BZ30,""),"")</f>
        <v/>
      </c>
      <c r="I361" s="206">
        <f t="shared" si="167"/>
        <v>-6.0136016945991688</v>
      </c>
      <c r="J361" s="446">
        <f t="shared" si="168"/>
        <v>30829.759125709359</v>
      </c>
      <c r="K361" s="206">
        <f>IF(AND($A361&gt;=SYear_O,$A361&lt;=EYear_O),(I361-Data_All!$CA30)/(1+Data_All!$CA30%),"")</f>
        <v>8.3455130690608854</v>
      </c>
      <c r="L361" s="447">
        <f t="shared" si="169"/>
        <v>56092.9748036249</v>
      </c>
      <c r="P361">
        <f t="shared" si="176"/>
        <v>22</v>
      </c>
      <c r="Q361">
        <f t="shared" ca="1" si="173"/>
        <v>1893</v>
      </c>
      <c r="R361" s="443">
        <f t="shared" si="170"/>
        <v>32146.120575037516</v>
      </c>
      <c r="S361" s="443">
        <f t="shared" ref="S361:Z361" ca="1" si="198">IF(OFFSET(INDIRECT(S$337),$P361,0)="",S360,OFFSET(INDIRECT(S$337),$P361,0))</f>
        <v>32146.120575037516</v>
      </c>
      <c r="T361" s="443">
        <f t="shared" ca="1" si="198"/>
        <v>30829.759125709359</v>
      </c>
      <c r="U361" s="443">
        <f t="shared" ca="1" si="198"/>
        <v>30442.362073552824</v>
      </c>
      <c r="V361" s="443">
        <f t="shared" ca="1" si="198"/>
        <v>58488.018803435196</v>
      </c>
      <c r="W361" s="209">
        <f t="shared" ca="1" si="198"/>
        <v>5.8402671146243645E-2</v>
      </c>
      <c r="X361" s="209">
        <f t="shared" ca="1" si="198"/>
        <v>9.5248553214997478E-2</v>
      </c>
      <c r="Y361" s="443">
        <f t="shared" ca="1" si="198"/>
        <v>56092.9748036249</v>
      </c>
      <c r="Z361" s="443">
        <f t="shared" ca="1" si="198"/>
        <v>55388.128132685655</v>
      </c>
      <c r="AA361" s="388">
        <f t="shared" ca="1" si="192"/>
        <v>2.7565295989528948E-4</v>
      </c>
      <c r="AB361" s="388">
        <f t="shared" ca="1" si="192"/>
        <v>3.5727889712024341E-2</v>
      </c>
      <c r="AC361" s="388">
        <f t="shared" ca="1" si="192"/>
        <v>6.9888085155321855E-2</v>
      </c>
      <c r="AD361" s="388">
        <f t="shared" ca="1" si="192"/>
        <v>5.2822049998290765E-2</v>
      </c>
      <c r="AE361" s="388">
        <f t="shared" ca="1" si="192"/>
        <v>5.8716790101515093E-2</v>
      </c>
      <c r="AF361" s="388">
        <f t="shared" ca="1" si="192"/>
        <v>7.1622275143676584E-2</v>
      </c>
      <c r="AG361" s="388">
        <f t="shared" ca="1" si="192"/>
        <v>6.008821382741325E-2</v>
      </c>
      <c r="AH361" s="388">
        <f t="shared" ca="1" si="192"/>
        <v>4.6383160948111568E-2</v>
      </c>
    </row>
    <row r="362" spans="1:34">
      <c r="A362" s="165">
        <f t="shared" si="175"/>
        <v>1894</v>
      </c>
      <c r="B362" s="206" t="str">
        <f>IF(AND($A362&gt;=SYear_O,$A362&lt;=EYear_O),IF(B$336&gt;0,B$336*Data_All!$B31,""),"")</f>
        <v/>
      </c>
      <c r="C362" s="206">
        <f>IF(AND($A362&gt;=SYear_O,$A362&lt;=EYear_O),IF(C$336&gt;0,C$336*Data_All!$D31,""),"")</f>
        <v>1.8393176045167678</v>
      </c>
      <c r="D362" s="206" t="str">
        <f>IF(AND($A362&gt;=SYear_O,$A362&lt;=EYear_O),IF(D$336&gt;0,D$336*Data_All!$T31,""),"")</f>
        <v/>
      </c>
      <c r="E362" s="206">
        <f>IF(AND($A362&gt;=SYear_O,$A362&lt;=EYear_O),IF(E$336&gt;0,E$336*Data_All!$U31,""),"")</f>
        <v>1.8470727654349699</v>
      </c>
      <c r="F362" s="206" t="str">
        <f>IF(AND($A362&gt;=SYear_O,$A362&lt;=EYear_O),IF(F$336&gt;0,F$336*Data_All!$BX31,""),"")</f>
        <v/>
      </c>
      <c r="G362" s="206" t="str">
        <f>IF(AND($A362&gt;=SYear_O,$A362&lt;=EYear_O),IF(G$336&gt;0,G$336*Data_All!$BY31,""),"")</f>
        <v/>
      </c>
      <c r="H362" s="206" t="str">
        <f>IF(AND($A362&gt;=SYear_O,$A362&lt;=EYear_O),IF(H$336&gt;0,H$336*Data_All!$BZ31,""),"")</f>
        <v/>
      </c>
      <c r="I362" s="206">
        <f t="shared" si="167"/>
        <v>3.686390369951738</v>
      </c>
      <c r="J362" s="446">
        <f t="shared" si="168"/>
        <v>31966.264397198825</v>
      </c>
      <c r="K362" s="206">
        <f>IF(AND($A362&gt;=SYear_O,$A362&lt;=EYear_O),(I362-Data_All!$CA31)/(1+Data_All!$CA31%),"")</f>
        <v>8.1944001549649901</v>
      </c>
      <c r="L362" s="447">
        <f t="shared" si="169"/>
        <v>60689.457617857617</v>
      </c>
      <c r="P362">
        <f t="shared" si="176"/>
        <v>23</v>
      </c>
      <c r="Q362">
        <f t="shared" ca="1" si="173"/>
        <v>1894</v>
      </c>
      <c r="R362" s="443">
        <f t="shared" si="170"/>
        <v>33391.85068988525</v>
      </c>
      <c r="S362" s="443">
        <f t="shared" ref="S362:Z362" ca="1" si="199">IF(OFFSET(INDIRECT(S$337),$P362,0)="",S361,OFFSET(INDIRECT(S$337),$P362,0))</f>
        <v>33391.85068988525</v>
      </c>
      <c r="T362" s="443">
        <f t="shared" ca="1" si="199"/>
        <v>31966.264397198825</v>
      </c>
      <c r="U362" s="443">
        <f t="shared" ca="1" si="199"/>
        <v>31600.46896974933</v>
      </c>
      <c r="V362" s="443">
        <f t="shared" ca="1" si="199"/>
        <v>63396.000297213424</v>
      </c>
      <c r="W362" s="209">
        <f t="shared" ca="1" si="199"/>
        <v>2.1913784536262915E-2</v>
      </c>
      <c r="X362" s="209">
        <f t="shared" ca="1" si="199"/>
        <v>6.0829447124154168E-2</v>
      </c>
      <c r="Y362" s="443">
        <f t="shared" ca="1" si="199"/>
        <v>60689.457617857617</v>
      </c>
      <c r="Z362" s="443">
        <f t="shared" ca="1" si="199"/>
        <v>59994.977780765737</v>
      </c>
      <c r="AA362" s="388">
        <f t="shared" ca="1" si="192"/>
        <v>3.7705096867425292E-2</v>
      </c>
      <c r="AB362" s="388">
        <f t="shared" ca="1" si="192"/>
        <v>8.5320338092775172E-2</v>
      </c>
      <c r="AC362" s="388">
        <f t="shared" ca="1" si="192"/>
        <v>6.7221144730542415E-2</v>
      </c>
      <c r="AD362" s="388">
        <f t="shared" ca="1" si="192"/>
        <v>7.3304863972859291E-2</v>
      </c>
      <c r="AE362" s="388">
        <f t="shared" ca="1" si="192"/>
        <v>5.7665718775480546E-2</v>
      </c>
      <c r="AF362" s="388">
        <f t="shared" ca="1" si="192"/>
        <v>8.8360350369910412E-2</v>
      </c>
      <c r="AG362" s="388">
        <f t="shared" ca="1" si="192"/>
        <v>4.7214589573372434E-2</v>
      </c>
      <c r="AH362" s="388">
        <f t="shared" ca="1" si="192"/>
        <v>5.4395265409467042E-2</v>
      </c>
    </row>
    <row r="363" spans="1:34">
      <c r="A363" s="165">
        <f t="shared" si="175"/>
        <v>1895</v>
      </c>
      <c r="B363" s="206" t="str">
        <f>IF(AND($A363&gt;=SYear_O,$A363&lt;=EYear_O),IF(B$336&gt;0,B$336*Data_All!$B32,""),"")</f>
        <v/>
      </c>
      <c r="C363" s="206">
        <f>IF(AND($A363&gt;=SYear_O,$A363&lt;=EYear_O),IF(C$336&gt;0,C$336*Data_All!$D32,""),"")</f>
        <v>2.857847541532331</v>
      </c>
      <c r="D363" s="206" t="str">
        <f>IF(AND($A363&gt;=SYear_O,$A363&lt;=EYear_O),IF(D$336&gt;0,D$336*Data_All!$T32,""),"")</f>
        <v/>
      </c>
      <c r="E363" s="206">
        <f>IF(AND($A363&gt;=SYear_O,$A363&lt;=EYear_O),IF(E$336&gt;0,E$336*Data_All!$U32,""),"")</f>
        <v>-0.71822170480521297</v>
      </c>
      <c r="F363" s="206" t="str">
        <f>IF(AND($A363&gt;=SYear_O,$A363&lt;=EYear_O),IF(F$336&gt;0,F$336*Data_All!$BX32,""),"")</f>
        <v/>
      </c>
      <c r="G363" s="206" t="str">
        <f>IF(AND($A363&gt;=SYear_O,$A363&lt;=EYear_O),IF(G$336&gt;0,G$336*Data_All!$BY32,""),"")</f>
        <v/>
      </c>
      <c r="H363" s="206" t="str">
        <f>IF(AND($A363&gt;=SYear_O,$A363&lt;=EYear_O),IF(H$336&gt;0,H$336*Data_All!$BZ32,""),"")</f>
        <v/>
      </c>
      <c r="I363" s="206">
        <f t="shared" si="167"/>
        <v>2.1396258367271179</v>
      </c>
      <c r="J363" s="446">
        <f t="shared" si="168"/>
        <v>32650.22284927779</v>
      </c>
      <c r="K363" s="206">
        <f>IF(AND($A363&gt;=SYear_O,$A363&lt;=EYear_O),(I363-Data_All!$CA32)/(1+Data_All!$CA32%),"")</f>
        <v>0.68055917633072294</v>
      </c>
      <c r="L363" s="447">
        <f t="shared" si="169"/>
        <v>61102.485290741293</v>
      </c>
      <c r="P363">
        <f t="shared" si="176"/>
        <v>24</v>
      </c>
      <c r="Q363">
        <f t="shared" ca="1" si="173"/>
        <v>1895</v>
      </c>
      <c r="R363" s="443">
        <f t="shared" si="170"/>
        <v>34168.227157737208</v>
      </c>
      <c r="S363" s="443">
        <f t="shared" ref="S363:Z363" ca="1" si="200">IF(OFFSET(INDIRECT(S$337),$P363,0)="",S362,OFFSET(INDIRECT(S$337),$P363,0))</f>
        <v>34168.227157737208</v>
      </c>
      <c r="T363" s="443">
        <f t="shared" ca="1" si="200"/>
        <v>32650.22284927779</v>
      </c>
      <c r="U363" s="443">
        <f t="shared" ca="1" si="200"/>
        <v>32420.408842630593</v>
      </c>
      <c r="V363" s="443">
        <f t="shared" ca="1" si="200"/>
        <v>63943.318456171713</v>
      </c>
      <c r="W363" s="209">
        <f t="shared" ca="1" si="200"/>
        <v>0</v>
      </c>
      <c r="X363" s="209">
        <f t="shared" ca="1" si="200"/>
        <v>3.6460714353890089E-2</v>
      </c>
      <c r="Y363" s="443">
        <f t="shared" ca="1" si="200"/>
        <v>61102.485290741293</v>
      </c>
      <c r="Z363" s="443">
        <f t="shared" ca="1" si="200"/>
        <v>60672.405317762554</v>
      </c>
      <c r="AA363" s="388">
        <f t="shared" ca="1" si="192"/>
        <v>6.8112683306433386E-2</v>
      </c>
      <c r="AB363" s="388">
        <f t="shared" ca="1" si="192"/>
        <v>8.2471426380679169E-2</v>
      </c>
      <c r="AC363" s="388">
        <f t="shared" ca="1" si="192"/>
        <v>8.2610386216988241E-2</v>
      </c>
      <c r="AD363" s="388">
        <f t="shared" ca="1" si="192"/>
        <v>7.7322922108973069E-2</v>
      </c>
      <c r="AE363" s="388">
        <f t="shared" ca="1" si="192"/>
        <v>6.3002267471322426E-2</v>
      </c>
      <c r="AF363" s="388">
        <f t="shared" ca="1" si="192"/>
        <v>4.3207380662432904E-2</v>
      </c>
      <c r="AG363" s="388">
        <f t="shared" ca="1" si="192"/>
        <v>5.5402913297450729E-2</v>
      </c>
      <c r="AH363" s="388">
        <f t="shared" ca="1" si="192"/>
        <v>4.8254921195329592E-2</v>
      </c>
    </row>
    <row r="364" spans="1:34">
      <c r="A364" s="165">
        <f t="shared" si="175"/>
        <v>1896</v>
      </c>
      <c r="B364" s="206" t="str">
        <f>IF(AND($A364&gt;=SYear_O,$A364&lt;=EYear_O),IF(B$336&gt;0,B$336*Data_All!$B33,""),"")</f>
        <v/>
      </c>
      <c r="C364" s="206">
        <f>IF(AND($A364&gt;=SYear_O,$A364&lt;=EYear_O),IF(C$336&gt;0,C$336*Data_All!$D33,""),"")</f>
        <v>1.7217708817726514</v>
      </c>
      <c r="D364" s="206" t="str">
        <f>IF(AND($A364&gt;=SYear_O,$A364&lt;=EYear_O),IF(D$336&gt;0,D$336*Data_All!$T33,""),"")</f>
        <v/>
      </c>
      <c r="E364" s="206">
        <f>IF(AND($A364&gt;=SYear_O,$A364&lt;=EYear_O),IF(E$336&gt;0,E$336*Data_All!$U33,""),"")</f>
        <v>3.2171845547275826</v>
      </c>
      <c r="F364" s="206" t="str">
        <f>IF(AND($A364&gt;=SYear_O,$A364&lt;=EYear_O),IF(F$336&gt;0,F$336*Data_All!$BX33,""),"")</f>
        <v/>
      </c>
      <c r="G364" s="206" t="str">
        <f>IF(AND($A364&gt;=SYear_O,$A364&lt;=EYear_O),IF(G$336&gt;0,G$336*Data_All!$BY33,""),"")</f>
        <v/>
      </c>
      <c r="H364" s="206" t="str">
        <f>IF(AND($A364&gt;=SYear_O,$A364&lt;=EYear_O),IF(H$336&gt;0,H$336*Data_All!$BZ33,""),"")</f>
        <v/>
      </c>
      <c r="I364" s="206">
        <f t="shared" si="167"/>
        <v>4.9389554365002342</v>
      </c>
      <c r="J364" s="446">
        <f t="shared" si="168"/>
        <v>34262.802805721636</v>
      </c>
      <c r="K364" s="206">
        <f>IF(AND($A364&gt;=SYear_O,$A364&lt;=EYear_O),(I364-Data_All!$CA33)/(1+Data_All!$CA33%),"")</f>
        <v>8.0253762681542575</v>
      </c>
      <c r="L364" s="447">
        <f t="shared" si="169"/>
        <v>66006.189644516882</v>
      </c>
      <c r="P364">
        <f t="shared" si="176"/>
        <v>25</v>
      </c>
      <c r="Q364">
        <f t="shared" ca="1" si="173"/>
        <v>1896</v>
      </c>
      <c r="R364" s="443">
        <f t="shared" si="170"/>
        <v>35921.165461376819</v>
      </c>
      <c r="S364" s="443">
        <f t="shared" ref="S364:Z364" ca="1" si="201">IF(OFFSET(INDIRECT(S$337),$P364,0)="",S363,OFFSET(INDIRECT(S$337),$P364,0))</f>
        <v>35921.165461376819</v>
      </c>
      <c r="T364" s="443">
        <f t="shared" ca="1" si="201"/>
        <v>34262.802805721636</v>
      </c>
      <c r="U364" s="443">
        <f t="shared" ca="1" si="201"/>
        <v>33989.181683625131</v>
      </c>
      <c r="V364" s="443">
        <f t="shared" ca="1" si="201"/>
        <v>69200.972061157954</v>
      </c>
      <c r="W364" s="209">
        <f t="shared" ca="1" si="201"/>
        <v>0</v>
      </c>
      <c r="X364" s="209">
        <f t="shared" ca="1" si="201"/>
        <v>0</v>
      </c>
      <c r="Y364" s="443">
        <f t="shared" ca="1" si="201"/>
        <v>66006.189644516882</v>
      </c>
      <c r="Z364" s="443">
        <f t="shared" ca="1" si="201"/>
        <v>65479.067337032109</v>
      </c>
      <c r="AA364" s="388">
        <f t="shared" ca="1" si="192"/>
        <v>0.12313495431840638</v>
      </c>
      <c r="AB364" s="388">
        <f t="shared" ca="1" si="192"/>
        <v>0.10611737193573312</v>
      </c>
      <c r="AC364" s="388">
        <f t="shared" ca="1" si="192"/>
        <v>9.3488278687050563E-2</v>
      </c>
      <c r="AD364" s="388">
        <f t="shared" ca="1" si="192"/>
        <v>7.5913261241974173E-2</v>
      </c>
      <c r="AE364" s="388">
        <f t="shared" ca="1" si="192"/>
        <v>0.11783687720784441</v>
      </c>
      <c r="AF364" s="388">
        <f t="shared" ca="1" si="192"/>
        <v>7.4295715021920561E-2</v>
      </c>
      <c r="AG364" s="388">
        <f t="shared" ca="1" si="192"/>
        <v>6.7542308534621842E-2</v>
      </c>
      <c r="AH364" s="388">
        <f t="shared" ca="1" si="192"/>
        <v>5.276747719434538E-2</v>
      </c>
    </row>
    <row r="365" spans="1:34">
      <c r="A365" s="165">
        <f t="shared" si="175"/>
        <v>1897</v>
      </c>
      <c r="B365" s="206" t="str">
        <f>IF(AND($A365&gt;=SYear_O,$A365&lt;=EYear_O),IF(B$336&gt;0,B$336*Data_All!$B34,""),"")</f>
        <v/>
      </c>
      <c r="C365" s="206">
        <f>IF(AND($A365&gt;=SYear_O,$A365&lt;=EYear_O),IF(C$336&gt;0,C$336*Data_All!$D34,""),"")</f>
        <v>11.821032207332843</v>
      </c>
      <c r="D365" s="206" t="str">
        <f>IF(AND($A365&gt;=SYear_O,$A365&lt;=EYear_O),IF(D$336&gt;0,D$336*Data_All!$T34,""),"")</f>
        <v/>
      </c>
      <c r="E365" s="206">
        <f>IF(AND($A365&gt;=SYear_O,$A365&lt;=EYear_O),IF(E$336&gt;0,E$336*Data_All!$U34,""),"")</f>
        <v>1.2512517781070678</v>
      </c>
      <c r="F365" s="206" t="str">
        <f>IF(AND($A365&gt;=SYear_O,$A365&lt;=EYear_O),IF(F$336&gt;0,F$336*Data_All!$BX34,""),"")</f>
        <v/>
      </c>
      <c r="G365" s="206" t="str">
        <f>IF(AND($A365&gt;=SYear_O,$A365&lt;=EYear_O),IF(G$336&gt;0,G$336*Data_All!$BY34,""),"")</f>
        <v/>
      </c>
      <c r="H365" s="206" t="str">
        <f>IF(AND($A365&gt;=SYear_O,$A365&lt;=EYear_O),IF(H$336&gt;0,H$336*Data_All!$BZ34,""),"")</f>
        <v/>
      </c>
      <c r="I365" s="206">
        <f t="shared" si="167"/>
        <v>13.072283985439912</v>
      </c>
      <c r="J365" s="446">
        <f t="shared" si="168"/>
        <v>38741.733689856846</v>
      </c>
      <c r="K365" s="206">
        <f>IF(AND($A365&gt;=SYear_O,$A365&lt;=EYear_O),(I365-Data_All!$CA34)/(1+Data_All!$CA34%),"")</f>
        <v>9.8416666542948814</v>
      </c>
      <c r="L365" s="447">
        <f t="shared" si="169"/>
        <v>72502.298800531949</v>
      </c>
      <c r="P365">
        <f t="shared" si="176"/>
        <v>26</v>
      </c>
      <c r="Q365">
        <f t="shared" ca="1" si="173"/>
        <v>1897</v>
      </c>
      <c r="R365" s="443">
        <f t="shared" si="170"/>
        <v>40690.376300265911</v>
      </c>
      <c r="S365" s="443">
        <f t="shared" ref="S365:Z365" ca="1" si="202">IF(OFFSET(INDIRECT(S$337),$P365,0)="",S364,OFFSET(INDIRECT(S$337),$P365,0))</f>
        <v>40690.376300265911</v>
      </c>
      <c r="T365" s="443">
        <f t="shared" ca="1" si="202"/>
        <v>38741.733689856846</v>
      </c>
      <c r="U365" s="443">
        <f t="shared" ca="1" si="202"/>
        <v>38753.481345816472</v>
      </c>
      <c r="V365" s="443">
        <f t="shared" ca="1" si="202"/>
        <v>76149.039804079628</v>
      </c>
      <c r="W365" s="209">
        <f t="shared" ca="1" si="202"/>
        <v>0</v>
      </c>
      <c r="X365" s="209">
        <f t="shared" ca="1" si="202"/>
        <v>0</v>
      </c>
      <c r="Y365" s="443">
        <f t="shared" ca="1" si="202"/>
        <v>72502.298800531949</v>
      </c>
      <c r="Z365" s="443">
        <f t="shared" ca="1" si="202"/>
        <v>72524.283672696125</v>
      </c>
      <c r="AA365" s="388">
        <f t="shared" ref="AA365:AH374" ca="1" si="203">IF(AA$336,IF(OFFSET(INDIRECT(AA$337),$P365,0)="","",OFFSET(INDIRECT(AA$337),$P365,0)),"")</f>
        <v>0.1137578012929652</v>
      </c>
      <c r="AB365" s="388">
        <f t="shared" ca="1" si="203"/>
        <v>0.12106266464768445</v>
      </c>
      <c r="AC365" s="388">
        <f t="shared" ca="1" si="203"/>
        <v>8.9157583359468662E-2</v>
      </c>
      <c r="AD365" s="388">
        <f t="shared" ca="1" si="203"/>
        <v>7.4707442291355175E-2</v>
      </c>
      <c r="AE365" s="388">
        <f t="shared" ca="1" si="203"/>
        <v>4.2159774795842653E-2</v>
      </c>
      <c r="AF365" s="388">
        <f t="shared" ca="1" si="203"/>
        <v>7.7248796588698543E-2</v>
      </c>
      <c r="AG365" s="388">
        <f t="shared" ca="1" si="203"/>
        <v>5.5585676212795088E-2</v>
      </c>
      <c r="AH365" s="388">
        <f t="shared" ca="1" si="203"/>
        <v>5.0282250301192599E-2</v>
      </c>
    </row>
    <row r="366" spans="1:34">
      <c r="A366" s="165">
        <f t="shared" si="175"/>
        <v>1898</v>
      </c>
      <c r="B366" s="206" t="str">
        <f>IF(AND($A366&gt;=SYear_O,$A366&lt;=EYear_O),IF(B$336&gt;0,B$336*Data_All!$B35,""),"")</f>
        <v/>
      </c>
      <c r="C366" s="206">
        <f>IF(AND($A366&gt;=SYear_O,$A366&lt;=EYear_O),IF(C$336&gt;0,C$336*Data_All!$D35,""),"")</f>
        <v>17.082075226213796</v>
      </c>
      <c r="D366" s="206" t="str">
        <f>IF(AND($A366&gt;=SYear_O,$A366&lt;=EYear_O),IF(D$336&gt;0,D$336*Data_All!$T35,""),"")</f>
        <v/>
      </c>
      <c r="E366" s="206">
        <f>IF(AND($A366&gt;=SYear_O,$A366&lt;=EYear_O),IF(E$336&gt;0,E$336*Data_All!$U35,""),"")</f>
        <v>1.6705606371548631</v>
      </c>
      <c r="F366" s="206" t="str">
        <f>IF(AND($A366&gt;=SYear_O,$A366&lt;=EYear_O),IF(F$336&gt;0,F$336*Data_All!$BX35,""),"")</f>
        <v/>
      </c>
      <c r="G366" s="206" t="str">
        <f>IF(AND($A366&gt;=SYear_O,$A366&lt;=EYear_O),IF(G$336&gt;0,G$336*Data_All!$BY35,""),"")</f>
        <v/>
      </c>
      <c r="H366" s="206" t="str">
        <f>IF(AND($A366&gt;=SYear_O,$A366&lt;=EYear_O),IF(H$336&gt;0,H$336*Data_All!$BZ35,""),"")</f>
        <v/>
      </c>
      <c r="I366" s="206">
        <f t="shared" si="167"/>
        <v>18.75263586336866</v>
      </c>
      <c r="J366" s="446">
        <f t="shared" si="168"/>
        <v>46006.829935871719</v>
      </c>
      <c r="K366" s="206">
        <f>IF(AND($A366&gt;=SYear_O,$A366&lt;=EYear_O),(I366-Data_All!$CA35)/(1+Data_All!$CA35%),"")</f>
        <v>17.080003213724712</v>
      </c>
      <c r="L366" s="447">
        <f t="shared" si="169"/>
        <v>84885.693765687101</v>
      </c>
      <c r="P366">
        <f t="shared" si="176"/>
        <v>27</v>
      </c>
      <c r="Q366">
        <f t="shared" ca="1" si="173"/>
        <v>1898</v>
      </c>
      <c r="R366" s="443">
        <f t="shared" si="170"/>
        <v>48408.126692146929</v>
      </c>
      <c r="S366" s="443">
        <f t="shared" ref="S366:Z366" ca="1" si="204">IF(OFFSET(INDIRECT(S$337),$P366,0)="",S365,OFFSET(INDIRECT(S$337),$P366,0))</f>
        <v>48408.126692146929</v>
      </c>
      <c r="T366" s="443">
        <f t="shared" ca="1" si="204"/>
        <v>46006.829935871719</v>
      </c>
      <c r="U366" s="443">
        <f t="shared" ca="1" si="204"/>
        <v>46838.155442070361</v>
      </c>
      <c r="V366" s="443">
        <f t="shared" ca="1" si="204"/>
        <v>89316.247693828598</v>
      </c>
      <c r="W366" s="209">
        <f t="shared" ca="1" si="204"/>
        <v>0</v>
      </c>
      <c r="X366" s="209">
        <f t="shared" ca="1" si="204"/>
        <v>0</v>
      </c>
      <c r="Y366" s="443">
        <f t="shared" ca="1" si="204"/>
        <v>84885.693765687101</v>
      </c>
      <c r="Z366" s="443">
        <f t="shared" ca="1" si="204"/>
        <v>86419.545205509086</v>
      </c>
      <c r="AA366" s="388">
        <f t="shared" ca="1" si="203"/>
        <v>0.11612354128003921</v>
      </c>
      <c r="AB366" s="388">
        <f t="shared" ca="1" si="203"/>
        <v>0.10517494616813372</v>
      </c>
      <c r="AC366" s="388">
        <f t="shared" ca="1" si="203"/>
        <v>6.1474639798912545E-2</v>
      </c>
      <c r="AD366" s="388">
        <f t="shared" ca="1" si="203"/>
        <v>6.8976650931538153E-2</v>
      </c>
      <c r="AE366" s="388">
        <f t="shared" ca="1" si="203"/>
        <v>6.3122522786319024E-2</v>
      </c>
      <c r="AF366" s="388">
        <f t="shared" ca="1" si="203"/>
        <v>4.8678295666376492E-2</v>
      </c>
      <c r="AG366" s="388">
        <f t="shared" ca="1" si="203"/>
        <v>3.398740090188479E-2</v>
      </c>
      <c r="AH366" s="388">
        <f t="shared" ca="1" si="203"/>
        <v>4.180299969648571E-2</v>
      </c>
    </row>
    <row r="367" spans="1:34">
      <c r="A367" s="165">
        <f t="shared" si="175"/>
        <v>1899</v>
      </c>
      <c r="B367" s="206" t="str">
        <f>IF(AND($A367&gt;=SYear_O,$A367&lt;=EYear_O),IF(B$336&gt;0,B$336*Data_All!$B36,""),"")</f>
        <v/>
      </c>
      <c r="C367" s="206">
        <f>IF(AND($A367&gt;=SYear_O,$A367&lt;=EYear_O),IF(C$336&gt;0,C$336*Data_All!$D36,""),"")</f>
        <v>2.1640579436011391</v>
      </c>
      <c r="D367" s="206" t="str">
        <f>IF(AND($A367&gt;=SYear_O,$A367&lt;=EYear_O),IF(D$336&gt;0,D$336*Data_All!$T36,""),"")</f>
        <v/>
      </c>
      <c r="E367" s="206">
        <f>IF(AND($A367&gt;=SYear_O,$A367&lt;=EYear_O),IF(E$336&gt;0,E$336*Data_All!$U36,""),"")</f>
        <v>0.16893902759794599</v>
      </c>
      <c r="F367" s="206" t="str">
        <f>IF(AND($A367&gt;=SYear_O,$A367&lt;=EYear_O),IF(F$336&gt;0,F$336*Data_All!$BX36,""),"")</f>
        <v/>
      </c>
      <c r="G367" s="206" t="str">
        <f>IF(AND($A367&gt;=SYear_O,$A367&lt;=EYear_O),IF(G$336&gt;0,G$336*Data_All!$BY36,""),"")</f>
        <v/>
      </c>
      <c r="H367" s="206" t="str">
        <f>IF(AND($A367&gt;=SYear_O,$A367&lt;=EYear_O),IF(H$336&gt;0,H$336*Data_All!$BZ36,""),"")</f>
        <v/>
      </c>
      <c r="I367" s="206">
        <f t="shared" si="167"/>
        <v>2.3329969711990852</v>
      </c>
      <c r="J367" s="446">
        <f t="shared" si="168"/>
        <v>47080.167884820323</v>
      </c>
      <c r="K367" s="206">
        <f>IF(AND($A367&gt;=SYear_O,$A367&lt;=EYear_O),(I367-Data_All!$CA36)/(1+Data_All!$CA36%),"")</f>
        <v>-12.46214145966829</v>
      </c>
      <c r="L367" s="447">
        <f t="shared" si="169"/>
        <v>74307.118529586354</v>
      </c>
      <c r="P367">
        <f t="shared" si="176"/>
        <v>28</v>
      </c>
      <c r="Q367">
        <f t="shared" ca="1" si="173"/>
        <v>1899</v>
      </c>
      <c r="R367" s="443">
        <f t="shared" si="170"/>
        <v>49627.534058554418</v>
      </c>
      <c r="S367" s="443">
        <f t="shared" ref="S367:Z367" ca="1" si="205">IF(OFFSET(INDIRECT(S$337),$P367,0)="",S366,OFFSET(INDIRECT(S$337),$P367,0))</f>
        <v>49627.534058554418</v>
      </c>
      <c r="T367" s="443">
        <f t="shared" ca="1" si="205"/>
        <v>47080.167884820323</v>
      </c>
      <c r="U367" s="443">
        <f t="shared" ca="1" si="205"/>
        <v>48198.369887874338</v>
      </c>
      <c r="V367" s="443">
        <f t="shared" ca="1" si="205"/>
        <v>78327.653050045177</v>
      </c>
      <c r="W367" s="209">
        <f t="shared" ca="1" si="205"/>
        <v>0</v>
      </c>
      <c r="X367" s="209">
        <f t="shared" ca="1" si="205"/>
        <v>0</v>
      </c>
      <c r="Y367" s="443">
        <f t="shared" ca="1" si="205"/>
        <v>74307.118529586354</v>
      </c>
      <c r="Z367" s="443">
        <f t="shared" ca="1" si="205"/>
        <v>76071.988378483918</v>
      </c>
      <c r="AA367" s="388">
        <f t="shared" ca="1" si="203"/>
        <v>9.5285141763765013E-2</v>
      </c>
      <c r="AB367" s="388">
        <f t="shared" ca="1" si="203"/>
        <v>4.9423780044015597E-2</v>
      </c>
      <c r="AC367" s="388">
        <f t="shared" ca="1" si="203"/>
        <v>6.734710263642496E-2</v>
      </c>
      <c r="AD367" s="388">
        <f t="shared" ca="1" si="203"/>
        <v>5.6591768734573611E-2</v>
      </c>
      <c r="AE367" s="388">
        <f t="shared" ca="1" si="203"/>
        <v>3.9730070377910431E-2</v>
      </c>
      <c r="AF367" s="388">
        <f t="shared" ca="1" si="203"/>
        <v>7.624355520298387E-3</v>
      </c>
      <c r="AG367" s="388">
        <f t="shared" ca="1" si="203"/>
        <v>3.7812302896904626E-2</v>
      </c>
      <c r="AH367" s="388">
        <f t="shared" ca="1" si="203"/>
        <v>2.9319928664889972E-2</v>
      </c>
    </row>
    <row r="368" spans="1:34">
      <c r="A368" s="165">
        <f t="shared" si="175"/>
        <v>1900</v>
      </c>
      <c r="B368" s="206" t="str">
        <f>IF(AND($A368&gt;=SYear_O,$A368&lt;=EYear_O),IF(B$336&gt;0,B$336*Data_All!$B37,""),"")</f>
        <v/>
      </c>
      <c r="C368" s="206">
        <f>IF(AND($A368&gt;=SYear_O,$A368&lt;=EYear_O),IF(C$336&gt;0,C$336*Data_All!$D37,""),"")</f>
        <v>12.368776358878435</v>
      </c>
      <c r="D368" s="206" t="str">
        <f>IF(AND($A368&gt;=SYear_O,$A368&lt;=EYear_O),IF(D$336&gt;0,D$336*Data_All!$T37,""),"")</f>
        <v/>
      </c>
      <c r="E368" s="206">
        <f>IF(AND($A368&gt;=SYear_O,$A368&lt;=EYear_O),IF(E$336&gt;0,E$336*Data_All!$U37,""),"")</f>
        <v>1.425598536085994</v>
      </c>
      <c r="F368" s="206" t="str">
        <f>IF(AND($A368&gt;=SYear_O,$A368&lt;=EYear_O),IF(F$336&gt;0,F$336*Data_All!$BX37,""),"")</f>
        <v/>
      </c>
      <c r="G368" s="206" t="str">
        <f>IF(AND($A368&gt;=SYear_O,$A368&lt;=EYear_O),IF(G$336&gt;0,G$336*Data_All!$BY37,""),"")</f>
        <v/>
      </c>
      <c r="H368" s="206" t="str">
        <f>IF(AND($A368&gt;=SYear_O,$A368&lt;=EYear_O),IF(H$336&gt;0,H$336*Data_All!$BZ37,""),"")</f>
        <v/>
      </c>
      <c r="I368" s="206">
        <f t="shared" si="167"/>
        <v>13.794374894964429</v>
      </c>
      <c r="J368" s="446">
        <f t="shared" si="168"/>
        <v>53574.582744031082</v>
      </c>
      <c r="K368" s="206">
        <f>IF(AND($A368&gt;=SYear_O,$A368&lt;=EYear_O),(I368-Data_All!$CA37)/(1+Data_All!$CA37%),"")</f>
        <v>16.604216160147118</v>
      </c>
      <c r="L368" s="447">
        <f t="shared" si="169"/>
        <v>86645.233112615606</v>
      </c>
      <c r="P368">
        <f t="shared" si="176"/>
        <v>29</v>
      </c>
      <c r="Q368">
        <f t="shared" ca="1" si="173"/>
        <v>1900</v>
      </c>
      <c r="R368" s="443">
        <f t="shared" si="170"/>
        <v>56575.514390292425</v>
      </c>
      <c r="S368" s="443">
        <f t="shared" ref="S368:Z368" ca="1" si="206">IF(OFFSET(INDIRECT(S$337),$P368,0)="",S367,OFFSET(INDIRECT(S$337),$P368,0))</f>
        <v>56575.514390292425</v>
      </c>
      <c r="T368" s="443">
        <f t="shared" ca="1" si="206"/>
        <v>53574.582744031082</v>
      </c>
      <c r="U368" s="443">
        <f t="shared" ca="1" si="206"/>
        <v>55998.307470553162</v>
      </c>
      <c r="V368" s="443">
        <f t="shared" ca="1" si="206"/>
        <v>91498.587235551939</v>
      </c>
      <c r="W368" s="209">
        <f t="shared" ca="1" si="206"/>
        <v>0</v>
      </c>
      <c r="X368" s="209">
        <f t="shared" ca="1" si="206"/>
        <v>0</v>
      </c>
      <c r="Y368" s="443">
        <f t="shared" ca="1" si="206"/>
        <v>86645.233112615606</v>
      </c>
      <c r="Z368" s="443">
        <f t="shared" ca="1" si="206"/>
        <v>90565.080606970791</v>
      </c>
      <c r="AA368" s="388">
        <f t="shared" ca="1" si="203"/>
        <v>0.10571038485914652</v>
      </c>
      <c r="AB368" s="388">
        <f t="shared" ca="1" si="203"/>
        <v>8.2749363891953864E-2</v>
      </c>
      <c r="AC368" s="388">
        <f t="shared" ca="1" si="203"/>
        <v>7.4757860104685214E-2</v>
      </c>
      <c r="AD368" s="388">
        <f t="shared" ca="1" si="203"/>
        <v>5.4068509869418691E-2</v>
      </c>
      <c r="AE368" s="388">
        <f t="shared" ca="1" si="203"/>
        <v>7.2309709648100462E-2</v>
      </c>
      <c r="AF368" s="388">
        <f t="shared" ca="1" si="203"/>
        <v>6.7741016833526846E-2</v>
      </c>
      <c r="AG368" s="388">
        <f t="shared" ca="1" si="203"/>
        <v>5.0787842503154934E-2</v>
      </c>
      <c r="AH368" s="388">
        <f t="shared" ca="1" si="203"/>
        <v>3.6919935087679656E-2</v>
      </c>
    </row>
    <row r="369" spans="1:34">
      <c r="A369" s="165">
        <f t="shared" si="175"/>
        <v>1901</v>
      </c>
      <c r="B369" s="206" t="str">
        <f>IF(AND($A369&gt;=SYear_O,$A369&lt;=EYear_O),IF(B$336&gt;0,B$336*Data_All!$B38,""),"")</f>
        <v/>
      </c>
      <c r="C369" s="206">
        <f>IF(AND($A369&gt;=SYear_O,$A369&lt;=EYear_O),IF(C$336&gt;0,C$336*Data_All!$D38,""),"")</f>
        <v>11.505032675004113</v>
      </c>
      <c r="D369" s="206" t="str">
        <f>IF(AND($A369&gt;=SYear_O,$A369&lt;=EYear_O),IF(D$336&gt;0,D$336*Data_All!$T38,""),"")</f>
        <v/>
      </c>
      <c r="E369" s="206">
        <f>IF(AND($A369&gt;=SYear_O,$A369&lt;=EYear_O),IF(E$336&gt;0,E$336*Data_All!$U38,""),"")</f>
        <v>0.71915990056822987</v>
      </c>
      <c r="F369" s="206" t="str">
        <f>IF(AND($A369&gt;=SYear_O,$A369&lt;=EYear_O),IF(F$336&gt;0,F$336*Data_All!$BX38,""),"")</f>
        <v/>
      </c>
      <c r="G369" s="206" t="str">
        <f>IF(AND($A369&gt;=SYear_O,$A369&lt;=EYear_O),IF(G$336&gt;0,G$336*Data_All!$BY38,""),"")</f>
        <v/>
      </c>
      <c r="H369" s="206" t="str">
        <f>IF(AND($A369&gt;=SYear_O,$A369&lt;=EYear_O),IF(H$336&gt;0,H$336*Data_All!$BZ38,""),"")</f>
        <v/>
      </c>
      <c r="I369" s="206">
        <f t="shared" si="167"/>
        <v>12.224192575572342</v>
      </c>
      <c r="J369" s="446">
        <f t="shared" si="168"/>
        <v>60123.642910220791</v>
      </c>
      <c r="K369" s="206">
        <f>IF(AND($A369&gt;=SYear_O,$A369&lt;=EYear_O),(I369-Data_All!$CA38)/(1+Data_All!$CA38%),"")</f>
        <v>9.5198978456324976</v>
      </c>
      <c r="L369" s="447">
        <f t="shared" si="169"/>
        <v>94893.770793046759</v>
      </c>
      <c r="P369">
        <f t="shared" si="176"/>
        <v>30</v>
      </c>
      <c r="Q369">
        <f t="shared" ca="1" si="173"/>
        <v>1901</v>
      </c>
      <c r="R369" s="443">
        <f t="shared" si="170"/>
        <v>63606.260746407126</v>
      </c>
      <c r="S369" s="443">
        <f t="shared" ref="S369:Z369" ca="1" si="207">IF(OFFSET(INDIRECT(S$337),$P369,0)="",S368,OFFSET(INDIRECT(S$337),$P369,0))</f>
        <v>63606.260746407126</v>
      </c>
      <c r="T369" s="443">
        <f t="shared" ca="1" si="207"/>
        <v>60123.642910220791</v>
      </c>
      <c r="U369" s="443">
        <f t="shared" ca="1" si="207"/>
        <v>64485.818367995278</v>
      </c>
      <c r="V369" s="443">
        <f t="shared" ca="1" si="207"/>
        <v>100390.42273744615</v>
      </c>
      <c r="W369" s="209">
        <f t="shared" ca="1" si="207"/>
        <v>0</v>
      </c>
      <c r="X369" s="209">
        <f t="shared" ca="1" si="207"/>
        <v>0</v>
      </c>
      <c r="Y369" s="443">
        <f t="shared" ca="1" si="207"/>
        <v>94893.770793046759</v>
      </c>
      <c r="Z369" s="443">
        <f t="shared" ca="1" si="207"/>
        <v>101778.63767756376</v>
      </c>
      <c r="AA369" s="388">
        <f t="shared" ca="1" si="203"/>
        <v>2.8840591227792256E-2</v>
      </c>
      <c r="AB369" s="388">
        <f t="shared" ca="1" si="203"/>
        <v>8.1003378089464784E-2</v>
      </c>
      <c r="AC369" s="388">
        <f t="shared" ca="1" si="203"/>
        <v>6.1121915449816377E-2</v>
      </c>
      <c r="AD369" s="388">
        <f t="shared" ca="1" si="203"/>
        <v>5.7810206308233303E-2</v>
      </c>
      <c r="AE369" s="388">
        <f t="shared" ca="1" si="203"/>
        <v>4.6230097459780684E-3</v>
      </c>
      <c r="AF369" s="388">
        <f t="shared" ca="1" si="203"/>
        <v>6.083135637209125E-2</v>
      </c>
      <c r="AG369" s="388">
        <f t="shared" ca="1" si="203"/>
        <v>4.2165682545983962E-2</v>
      </c>
      <c r="AH369" s="388">
        <f t="shared" ca="1" si="203"/>
        <v>3.6884644537205302E-2</v>
      </c>
    </row>
    <row r="370" spans="1:34">
      <c r="A370" s="165">
        <f t="shared" si="175"/>
        <v>1902</v>
      </c>
      <c r="B370" s="206" t="str">
        <f>IF(AND($A370&gt;=SYear_O,$A370&lt;=EYear_O),IF(B$336&gt;0,B$336*Data_All!$B39,""),"")</f>
        <v/>
      </c>
      <c r="C370" s="206">
        <f>IF(AND($A370&gt;=SYear_O,$A370&lt;=EYear_O),IF(C$336&gt;0,C$336*Data_All!$D39,""),"")</f>
        <v>4.8405100491725763</v>
      </c>
      <c r="D370" s="206" t="str">
        <f>IF(AND($A370&gt;=SYear_O,$A370&lt;=EYear_O),IF(D$336&gt;0,D$336*Data_All!$T39,""),"")</f>
        <v/>
      </c>
      <c r="E370" s="206">
        <f>IF(AND($A370&gt;=SYear_O,$A370&lt;=EYear_O),IF(E$336&gt;0,E$336*Data_All!$U39,""),"")</f>
        <v>0.44275925848137937</v>
      </c>
      <c r="F370" s="206" t="str">
        <f>IF(AND($A370&gt;=SYear_O,$A370&lt;=EYear_O),IF(F$336&gt;0,F$336*Data_All!$BX39,""),"")</f>
        <v/>
      </c>
      <c r="G370" s="206" t="str">
        <f>IF(AND($A370&gt;=SYear_O,$A370&lt;=EYear_O),IF(G$336&gt;0,G$336*Data_All!$BY39,""),"")</f>
        <v/>
      </c>
      <c r="H370" s="206" t="str">
        <f>IF(AND($A370&gt;=SYear_O,$A370&lt;=EYear_O),IF(H$336&gt;0,H$336*Data_All!$BZ39,""),"")</f>
        <v/>
      </c>
      <c r="I370" s="206">
        <f t="shared" si="167"/>
        <v>5.2832693076539554</v>
      </c>
      <c r="J370" s="446">
        <f t="shared" si="168"/>
        <v>63300.136882739942</v>
      </c>
      <c r="K370" s="206">
        <f>IF(AND($A370&gt;=SYear_O,$A370&lt;=EYear_O),(I370-Data_All!$CA39)/(1+Data_All!$CA39%),"")</f>
        <v>-3.9724359118160786</v>
      </c>
      <c r="L370" s="447">
        <f t="shared" si="169"/>
        <v>91124.176563987334</v>
      </c>
      <c r="P370">
        <f t="shared" si="176"/>
        <v>31</v>
      </c>
      <c r="Q370">
        <f t="shared" ca="1" si="173"/>
        <v>1902</v>
      </c>
      <c r="R370" s="443">
        <f t="shared" si="170"/>
        <v>67088.311512597371</v>
      </c>
      <c r="S370" s="443">
        <f t="shared" ref="S370:Z370" ca="1" si="208">IF(OFFSET(INDIRECT(S$337),$P370,0)="",S369,OFFSET(INDIRECT(S$337),$P370,0))</f>
        <v>67088.311512597371</v>
      </c>
      <c r="T370" s="443">
        <f t="shared" ca="1" si="208"/>
        <v>63300.136882739942</v>
      </c>
      <c r="U370" s="443">
        <f t="shared" ca="1" si="208"/>
        <v>68843.46832174655</v>
      </c>
      <c r="V370" s="443">
        <f t="shared" ca="1" si="208"/>
        <v>96577.471151103266</v>
      </c>
      <c r="W370" s="209">
        <f t="shared" ca="1" si="208"/>
        <v>0</v>
      </c>
      <c r="X370" s="209">
        <f t="shared" ca="1" si="208"/>
        <v>0</v>
      </c>
      <c r="Y370" s="443">
        <f t="shared" ca="1" si="208"/>
        <v>91124.176563987334</v>
      </c>
      <c r="Z370" s="443">
        <f t="shared" ca="1" si="208"/>
        <v>99104.120015554698</v>
      </c>
      <c r="AA370" s="388">
        <f t="shared" ca="1" si="203"/>
        <v>5.1043858920327922E-2</v>
      </c>
      <c r="AB370" s="388">
        <f t="shared" ca="1" si="203"/>
        <v>5.8160510378110208E-2</v>
      </c>
      <c r="AC370" s="388">
        <f t="shared" ca="1" si="203"/>
        <v>5.2253647617331644E-2</v>
      </c>
      <c r="AD370" s="388">
        <f t="shared" ca="1" si="203"/>
        <v>5.3764520877594091E-2</v>
      </c>
      <c r="AE370" s="388">
        <f t="shared" ca="1" si="203"/>
        <v>2.687477927942461E-2</v>
      </c>
      <c r="AF370" s="388">
        <f t="shared" ca="1" si="203"/>
        <v>3.4358194090475358E-2</v>
      </c>
      <c r="AG370" s="388">
        <f t="shared" ca="1" si="203"/>
        <v>3.7053186334363941E-2</v>
      </c>
      <c r="AH370" s="388">
        <f t="shared" ca="1" si="203"/>
        <v>2.6507967654626707E-2</v>
      </c>
    </row>
    <row r="371" spans="1:34">
      <c r="A371" s="165">
        <f t="shared" si="175"/>
        <v>1903</v>
      </c>
      <c r="B371" s="206" t="str">
        <f>IF(AND($A371&gt;=SYear_O,$A371&lt;=EYear_O),IF(B$336&gt;0,B$336*Data_All!$B40,""),"")</f>
        <v/>
      </c>
      <c r="C371" s="206">
        <f>IF(AND($A371&gt;=SYear_O,$A371&lt;=EYear_O),IF(C$336&gt;0,C$336*Data_All!$D40,""),"")</f>
        <v>-10.226458991345929</v>
      </c>
      <c r="D371" s="206" t="str">
        <f>IF(AND($A371&gt;=SYear_O,$A371&lt;=EYear_O),IF(D$336&gt;0,D$336*Data_All!$T40,""),"")</f>
        <v/>
      </c>
      <c r="E371" s="206">
        <f>IF(AND($A371&gt;=SYear_O,$A371&lt;=EYear_O),IF(E$336&gt;0,E$336*Data_All!$U40,""),"")</f>
        <v>1.8967912039156536</v>
      </c>
      <c r="F371" s="206" t="str">
        <f>IF(AND($A371&gt;=SYear_O,$A371&lt;=EYear_O),IF(F$336&gt;0,F$336*Data_All!$BX40,""),"")</f>
        <v/>
      </c>
      <c r="G371" s="206" t="str">
        <f>IF(AND($A371&gt;=SYear_O,$A371&lt;=EYear_O),IF(G$336&gt;0,G$336*Data_All!$BY40,""),"")</f>
        <v/>
      </c>
      <c r="H371" s="206" t="str">
        <f>IF(AND($A371&gt;=SYear_O,$A371&lt;=EYear_O),IF(H$336&gt;0,H$336*Data_All!$BZ40,""),"")</f>
        <v/>
      </c>
      <c r="I371" s="206">
        <f t="shared" ref="I371:I402" si="209">IF(AND($A371&gt;=SYear_O,$A371&lt;=EYear_O),SUM(B371:H371),"")</f>
        <v>-8.3296677874302745</v>
      </c>
      <c r="J371" s="446">
        <f t="shared" ref="J371:J402" si="210">IF(AND($A371&gt;=SYear_O,$A371&lt;=EYear_O),IF($A371=SYear_O,$J$338*(1+I371%),$J370*(1+I371%)),"")</f>
        <v>58027.445771419087</v>
      </c>
      <c r="K371" s="206">
        <f>IF(AND($A371&gt;=SYear_O,$A371&lt;=EYear_O),(I371-Data_All!$CA40)/(1+Data_All!$CA40%),"")</f>
        <v>-4.1149703942217366</v>
      </c>
      <c r="L371" s="447">
        <f t="shared" ref="L371:L402" si="211">IF(AND($A371&gt;=SYear_O,$A371&lt;=EYear_O),IF($A371=SYear_O,$L$338*(1+K371%),$L370*(1+K371%)),"")</f>
        <v>87374.443676400915</v>
      </c>
      <c r="P371">
        <f t="shared" si="176"/>
        <v>32</v>
      </c>
      <c r="Q371">
        <f t="shared" ca="1" si="173"/>
        <v>1903</v>
      </c>
      <c r="R371" s="443">
        <f t="shared" ref="R371:R402" si="212">CB39</f>
        <v>61613.060527007648</v>
      </c>
      <c r="S371" s="443">
        <f t="shared" ref="S371:Z371" ca="1" si="213">IF(OFFSET(INDIRECT(S$337),$P371,0)="",S370,OFFSET(INDIRECT(S$337),$P371,0))</f>
        <v>61613.060527007648</v>
      </c>
      <c r="T371" s="443">
        <f t="shared" ca="1" si="213"/>
        <v>58027.445771419087</v>
      </c>
      <c r="U371" s="443">
        <f t="shared" ca="1" si="213"/>
        <v>60278.835965614715</v>
      </c>
      <c r="V371" s="443">
        <f t="shared" ca="1" si="213"/>
        <v>92773.459441140163</v>
      </c>
      <c r="W371" s="209">
        <f t="shared" ca="1" si="213"/>
        <v>8.1612591853077343E-2</v>
      </c>
      <c r="X371" s="209">
        <f t="shared" ca="1" si="213"/>
        <v>0.12440733398416537</v>
      </c>
      <c r="Y371" s="443">
        <f t="shared" ca="1" si="213"/>
        <v>87374.443676400915</v>
      </c>
      <c r="Z371" s="443">
        <f t="shared" ca="1" si="213"/>
        <v>90764.459609399913</v>
      </c>
      <c r="AA371" s="388">
        <f t="shared" ca="1" si="203"/>
        <v>7.5735832389834057E-2</v>
      </c>
      <c r="AB371" s="388">
        <f t="shared" ca="1" si="203"/>
        <v>1.9502310329082118E-2</v>
      </c>
      <c r="AC371" s="388">
        <f t="shared" ca="1" si="203"/>
        <v>5.1324567872091498E-2</v>
      </c>
      <c r="AD371" s="388">
        <f t="shared" ca="1" si="203"/>
        <v>4.2404834115955303E-2</v>
      </c>
      <c r="AE371" s="388">
        <f t="shared" ca="1" si="203"/>
        <v>8.3735833525298453E-2</v>
      </c>
      <c r="AF371" s="388">
        <f t="shared" ca="1" si="203"/>
        <v>1.9502310329082118E-2</v>
      </c>
      <c r="AG371" s="388">
        <f t="shared" ca="1" si="203"/>
        <v>3.8382273538342782E-2</v>
      </c>
      <c r="AH371" s="388">
        <f t="shared" ca="1" si="203"/>
        <v>9.5393560733658678E-3</v>
      </c>
    </row>
    <row r="372" spans="1:34">
      <c r="A372" s="165">
        <f t="shared" si="175"/>
        <v>1904</v>
      </c>
      <c r="B372" s="206" t="str">
        <f>IF(AND($A372&gt;=SYear_O,$A372&lt;=EYear_O),IF(B$336&gt;0,B$336*Data_All!$B41,""),"")</f>
        <v/>
      </c>
      <c r="C372" s="206">
        <f>IF(AND($A372&gt;=SYear_O,$A372&lt;=EYear_O),IF(C$336&gt;0,C$336*Data_All!$D41,""),"")</f>
        <v>18.369765410777728</v>
      </c>
      <c r="D372" s="206" t="str">
        <f>IF(AND($A372&gt;=SYear_O,$A372&lt;=EYear_O),IF(D$336&gt;0,D$336*Data_All!$T41,""),"")</f>
        <v/>
      </c>
      <c r="E372" s="206">
        <f>IF(AND($A372&gt;=SYear_O,$A372&lt;=EYear_O),IF(E$336&gt;0,E$336*Data_All!$U41,""),"")</f>
        <v>1.2786787207569861</v>
      </c>
      <c r="F372" s="206" t="str">
        <f>IF(AND($A372&gt;=SYear_O,$A372&lt;=EYear_O),IF(F$336&gt;0,F$336*Data_All!$BX41,""),"")</f>
        <v/>
      </c>
      <c r="G372" s="206" t="str">
        <f>IF(AND($A372&gt;=SYear_O,$A372&lt;=EYear_O),IF(G$336&gt;0,G$336*Data_All!$BY41,""),"")</f>
        <v/>
      </c>
      <c r="H372" s="206" t="str">
        <f>IF(AND($A372&gt;=SYear_O,$A372&lt;=EYear_O),IF(H$336&gt;0,H$336*Data_All!$BZ41,""),"")</f>
        <v/>
      </c>
      <c r="I372" s="206">
        <f t="shared" si="209"/>
        <v>19.648444131534713</v>
      </c>
      <c r="J372" s="446">
        <f t="shared" si="210"/>
        <v>69428.936034772982</v>
      </c>
      <c r="K372" s="206">
        <f>IF(AND($A372&gt;=SYear_O,$A372&lt;=EYear_O),(I372-Data_All!$CA41)/(1+Data_All!$CA41%),"")</f>
        <v>16.960293474454097</v>
      </c>
      <c r="L372" s="447">
        <f t="shared" si="211"/>
        <v>102193.40574559011</v>
      </c>
      <c r="P372">
        <f t="shared" si="176"/>
        <v>33</v>
      </c>
      <c r="Q372">
        <f t="shared" ca="1" si="173"/>
        <v>1904</v>
      </c>
      <c r="R372" s="443">
        <f t="shared" si="212"/>
        <v>73852.020635690962</v>
      </c>
      <c r="S372" s="443">
        <f t="shared" ref="S372:Z372" ca="1" si="214">IF(OFFSET(INDIRECT(S$337),$P372,0)="",S371,OFFSET(INDIRECT(S$337),$P372,0))</f>
        <v>73852.020635690962</v>
      </c>
      <c r="T372" s="443">
        <f t="shared" ca="1" si="214"/>
        <v>69428.936034772982</v>
      </c>
      <c r="U372" s="443">
        <f t="shared" ca="1" si="214"/>
        <v>74820.373266312105</v>
      </c>
      <c r="V372" s="443">
        <f t="shared" ca="1" si="214"/>
        <v>108703.80479653185</v>
      </c>
      <c r="W372" s="209">
        <f t="shared" ca="1" si="214"/>
        <v>0</v>
      </c>
      <c r="X372" s="209">
        <f t="shared" ca="1" si="214"/>
        <v>0</v>
      </c>
      <c r="Y372" s="443">
        <f t="shared" ca="1" si="214"/>
        <v>102193.40574559011</v>
      </c>
      <c r="Z372" s="443">
        <f t="shared" ca="1" si="214"/>
        <v>110129.13635045793</v>
      </c>
      <c r="AA372" s="388">
        <f t="shared" ca="1" si="203"/>
        <v>0.11052484125686912</v>
      </c>
      <c r="AB372" s="388">
        <f t="shared" ca="1" si="203"/>
        <v>8.5576541307829546E-2</v>
      </c>
      <c r="AC372" s="388">
        <f t="shared" ca="1" si="203"/>
        <v>6.0194102329825139E-2</v>
      </c>
      <c r="AD372" s="388">
        <f t="shared" ca="1" si="203"/>
        <v>5.6428960818841967E-2</v>
      </c>
      <c r="AE372" s="388">
        <f t="shared" ca="1" si="203"/>
        <v>8.61115762515825E-2</v>
      </c>
      <c r="AF372" s="388">
        <f t="shared" ca="1" si="203"/>
        <v>6.8904666846830276E-2</v>
      </c>
      <c r="AG372" s="388">
        <f t="shared" ca="1" si="203"/>
        <v>4.0342267732910164E-2</v>
      </c>
      <c r="AH372" s="388">
        <f t="shared" ca="1" si="203"/>
        <v>8.9475929145357291E-3</v>
      </c>
    </row>
    <row r="373" spans="1:34">
      <c r="A373" s="165">
        <f t="shared" si="175"/>
        <v>1905</v>
      </c>
      <c r="B373" s="206" t="str">
        <f>IF(AND($A373&gt;=SYear_O,$A373&lt;=EYear_O),IF(B$336&gt;0,B$336*Data_All!$B42,""),"")</f>
        <v/>
      </c>
      <c r="C373" s="206">
        <f>IF(AND($A373&gt;=SYear_O,$A373&lt;=EYear_O),IF(C$336&gt;0,C$336*Data_All!$D42,""),"")</f>
        <v>12.474657850337691</v>
      </c>
      <c r="D373" s="206" t="str">
        <f>IF(AND($A373&gt;=SYear_O,$A373&lt;=EYear_O),IF(D$336&gt;0,D$336*Data_All!$T42,""),"")</f>
        <v/>
      </c>
      <c r="E373" s="206">
        <f>IF(AND($A373&gt;=SYear_O,$A373&lt;=EYear_O),IF(E$336&gt;0,E$336*Data_All!$U42,""),"")</f>
        <v>0.40538241151333587</v>
      </c>
      <c r="F373" s="206" t="str">
        <f>IF(AND($A373&gt;=SYear_O,$A373&lt;=EYear_O),IF(F$336&gt;0,F$336*Data_All!$BX42,""),"")</f>
        <v/>
      </c>
      <c r="G373" s="206" t="str">
        <f>IF(AND($A373&gt;=SYear_O,$A373&lt;=EYear_O),IF(G$336&gt;0,G$336*Data_All!$BY42,""),"")</f>
        <v/>
      </c>
      <c r="H373" s="206" t="str">
        <f>IF(AND($A373&gt;=SYear_O,$A373&lt;=EYear_O),IF(H$336&gt;0,H$336*Data_All!$BZ42,""),"")</f>
        <v/>
      </c>
      <c r="I373" s="206">
        <f t="shared" si="209"/>
        <v>12.880040261851027</v>
      </c>
      <c r="J373" s="446">
        <f t="shared" si="210"/>
        <v>78371.410949426543</v>
      </c>
      <c r="K373" s="206">
        <f>IF(AND($A373&gt;=SYear_O,$A373&lt;=EYear_O),(I373-Data_All!$CA42)/(1+Data_All!$CA42%),"")</f>
        <v>12.880040261851027</v>
      </c>
      <c r="L373" s="447">
        <f t="shared" si="211"/>
        <v>115355.9575505789</v>
      </c>
      <c r="P373">
        <f t="shared" si="176"/>
        <v>34</v>
      </c>
      <c r="Q373">
        <f t="shared" ca="1" si="173"/>
        <v>1905</v>
      </c>
      <c r="R373" s="443">
        <f t="shared" si="212"/>
        <v>83514.861809232621</v>
      </c>
      <c r="S373" s="443">
        <f t="shared" ref="S373:Z373" ca="1" si="215">IF(OFFSET(INDIRECT(S$337),$P373,0)="",S372,OFFSET(INDIRECT(S$337),$P373,0))</f>
        <v>83514.861809232621</v>
      </c>
      <c r="T373" s="443">
        <f t="shared" ca="1" si="215"/>
        <v>78371.410949426543</v>
      </c>
      <c r="U373" s="443">
        <f t="shared" ca="1" si="215"/>
        <v>87512.448199147737</v>
      </c>
      <c r="V373" s="443">
        <f t="shared" ca="1" si="215"/>
        <v>122926.67360455112</v>
      </c>
      <c r="W373" s="209">
        <f t="shared" ca="1" si="215"/>
        <v>0</v>
      </c>
      <c r="X373" s="209">
        <f t="shared" ca="1" si="215"/>
        <v>0</v>
      </c>
      <c r="Y373" s="443">
        <f t="shared" ca="1" si="215"/>
        <v>115355.9575505789</v>
      </c>
      <c r="Z373" s="443">
        <f t="shared" ca="1" si="215"/>
        <v>128810.7759872095</v>
      </c>
      <c r="AA373" s="388">
        <f t="shared" ca="1" si="203"/>
        <v>1.7313153670861503E-4</v>
      </c>
      <c r="AB373" s="388">
        <f t="shared" ca="1" si="203"/>
        <v>6.6825339619472901E-2</v>
      </c>
      <c r="AC373" s="388">
        <f t="shared" ca="1" si="203"/>
        <v>4.0014250033402865E-2</v>
      </c>
      <c r="AD373" s="388">
        <f t="shared" ca="1" si="203"/>
        <v>5.1417949852266664E-2</v>
      </c>
      <c r="AE373" s="388">
        <f t="shared" ca="1" si="203"/>
        <v>-7.2100202798432989E-3</v>
      </c>
      <c r="AF373" s="388">
        <f t="shared" ca="1" si="203"/>
        <v>3.41038440453445E-2</v>
      </c>
      <c r="AG373" s="388">
        <f t="shared" ca="1" si="203"/>
        <v>2.1844643833636601E-2</v>
      </c>
      <c r="AH373" s="388">
        <f t="shared" ca="1" si="203"/>
        <v>-4.7701807176345756E-3</v>
      </c>
    </row>
    <row r="374" spans="1:34">
      <c r="A374" s="165">
        <f t="shared" si="175"/>
        <v>1906</v>
      </c>
      <c r="B374" s="206" t="str">
        <f>IF(AND($A374&gt;=SYear_O,$A374&lt;=EYear_O),IF(B$336&gt;0,B$336*Data_All!$B43,""),"")</f>
        <v/>
      </c>
      <c r="C374" s="206">
        <f>IF(AND($A374&gt;=SYear_O,$A374&lt;=EYear_O),IF(C$336&gt;0,C$336*Data_All!$D43,""),"")</f>
        <v>0.44435705501257267</v>
      </c>
      <c r="D374" s="206" t="str">
        <f>IF(AND($A374&gt;=SYear_O,$A374&lt;=EYear_O),IF(D$336&gt;0,D$336*Data_All!$T43,""),"")</f>
        <v/>
      </c>
      <c r="E374" s="206">
        <f>IF(AND($A374&gt;=SYear_O,$A374&lt;=EYear_O),IF(E$336&gt;0,E$336*Data_All!$U43,""),"")</f>
        <v>0.41218203797966091</v>
      </c>
      <c r="F374" s="206" t="str">
        <f>IF(AND($A374&gt;=SYear_O,$A374&lt;=EYear_O),IF(F$336&gt;0,F$336*Data_All!$BX43,""),"")</f>
        <v/>
      </c>
      <c r="G374" s="206" t="str">
        <f>IF(AND($A374&gt;=SYear_O,$A374&lt;=EYear_O),IF(G$336&gt;0,G$336*Data_All!$BY43,""),"")</f>
        <v/>
      </c>
      <c r="H374" s="206" t="str">
        <f>IF(AND($A374&gt;=SYear_O,$A374&lt;=EYear_O),IF(H$336&gt;0,H$336*Data_All!$BZ43,""),"")</f>
        <v/>
      </c>
      <c r="I374" s="206">
        <f t="shared" si="209"/>
        <v>0.85653909299223363</v>
      </c>
      <c r="J374" s="446">
        <f t="shared" si="210"/>
        <v>79042.692721937987</v>
      </c>
      <c r="K374" s="206">
        <f>IF(AND($A374&gt;=SYear_O,$A374&lt;=EYear_O),(I374-Data_All!$CA43)/(1+Data_All!$CA43%),"")</f>
        <v>-3.4813670317038157</v>
      </c>
      <c r="L374" s="447">
        <f t="shared" si="211"/>
        <v>111339.99327530678</v>
      </c>
      <c r="P374">
        <f t="shared" si="176"/>
        <v>35</v>
      </c>
      <c r="Q374">
        <f t="shared" ca="1" si="173"/>
        <v>1906</v>
      </c>
      <c r="R374" s="443">
        <f t="shared" si="212"/>
        <v>84383.515641205537</v>
      </c>
      <c r="S374" s="443">
        <f t="shared" ref="S374:Z374" ca="1" si="216">IF(OFFSET(INDIRECT(S$337),$P374,0)="",S373,OFFSET(INDIRECT(S$337),$P374,0))</f>
        <v>84383.515641205537</v>
      </c>
      <c r="T374" s="443">
        <f t="shared" ca="1" si="216"/>
        <v>79042.692721937987</v>
      </c>
      <c r="U374" s="443">
        <f t="shared" ca="1" si="216"/>
        <v>88359.944871259067</v>
      </c>
      <c r="V374" s="443">
        <f t="shared" ca="1" si="216"/>
        <v>118863.10727153343</v>
      </c>
      <c r="W374" s="209">
        <f t="shared" ca="1" si="216"/>
        <v>0</v>
      </c>
      <c r="X374" s="209">
        <f t="shared" ca="1" si="216"/>
        <v>0</v>
      </c>
      <c r="Y374" s="443">
        <f t="shared" ca="1" si="216"/>
        <v>111339.99327530678</v>
      </c>
      <c r="Z374" s="443">
        <f t="shared" ca="1" si="216"/>
        <v>124464.32844059686</v>
      </c>
      <c r="AA374" s="388">
        <f t="shared" ca="1" si="203"/>
        <v>3.6104965253305199E-2</v>
      </c>
      <c r="AB374" s="388">
        <f t="shared" ca="1" si="203"/>
        <v>4.1606106206543592E-2</v>
      </c>
      <c r="AC374" s="388">
        <f t="shared" ca="1" si="203"/>
        <v>4.6400898650272637E-2</v>
      </c>
      <c r="AD374" s="388">
        <f t="shared" ca="1" si="203"/>
        <v>3.814733645687074E-2</v>
      </c>
      <c r="AE374" s="388">
        <f t="shared" ca="1" si="203"/>
        <v>1.7397882045596447E-2</v>
      </c>
      <c r="AF374" s="388">
        <f t="shared" ca="1" si="203"/>
        <v>2.3828437340778441E-2</v>
      </c>
      <c r="AG374" s="388">
        <f t="shared" ca="1" si="203"/>
        <v>2.511476850940153E-2</v>
      </c>
      <c r="AH374" s="388">
        <f t="shared" ca="1" si="203"/>
        <v>-1.6304765403828747E-2</v>
      </c>
    </row>
    <row r="375" spans="1:34">
      <c r="A375" s="165">
        <f t="shared" si="175"/>
        <v>1907</v>
      </c>
      <c r="B375" s="206" t="str">
        <f>IF(AND($A375&gt;=SYear_O,$A375&lt;=EYear_O),IF(B$336&gt;0,B$336*Data_All!$B44,""),"")</f>
        <v/>
      </c>
      <c r="C375" s="206">
        <f>IF(AND($A375&gt;=SYear_O,$A375&lt;=EYear_O),IF(C$336&gt;0,C$336*Data_All!$D44,""),"")</f>
        <v>-14.324510257248873</v>
      </c>
      <c r="D375" s="206" t="str">
        <f>IF(AND($A375&gt;=SYear_O,$A375&lt;=EYear_O),IF(D$336&gt;0,D$336*Data_All!$T44,""),"")</f>
        <v/>
      </c>
      <c r="E375" s="206">
        <f>IF(AND($A375&gt;=SYear_O,$A375&lt;=EYear_O),IF(E$336&gt;0,E$336*Data_All!$U44,""),"")</f>
        <v>1.7283579807283584</v>
      </c>
      <c r="F375" s="206" t="str">
        <f>IF(AND($A375&gt;=SYear_O,$A375&lt;=EYear_O),IF(F$336&gt;0,F$336*Data_All!$BX44,""),"")</f>
        <v/>
      </c>
      <c r="G375" s="206" t="str">
        <f>IF(AND($A375&gt;=SYear_O,$A375&lt;=EYear_O),IF(G$336&gt;0,G$336*Data_All!$BY44,""),"")</f>
        <v/>
      </c>
      <c r="H375" s="206" t="str">
        <f>IF(AND($A375&gt;=SYear_O,$A375&lt;=EYear_O),IF(H$336&gt;0,H$336*Data_All!$BZ44,""),"")</f>
        <v/>
      </c>
      <c r="I375" s="206">
        <f t="shared" si="209"/>
        <v>-12.596152276520515</v>
      </c>
      <c r="J375" s="446">
        <f t="shared" si="210"/>
        <v>69086.354783220479</v>
      </c>
      <c r="K375" s="206">
        <f>IF(AND($A375&gt;=SYear_O,$A375&lt;=EYear_O),(I375-Data_All!$CA44)/(1+Data_All!$CA44%),"")</f>
        <v>-10.67561073259326</v>
      </c>
      <c r="L375" s="447">
        <f t="shared" si="211"/>
        <v>99453.769003539506</v>
      </c>
      <c r="P375">
        <f t="shared" si="176"/>
        <v>36</v>
      </c>
      <c r="Q375">
        <f t="shared" ca="1" si="173"/>
        <v>1907</v>
      </c>
      <c r="R375" s="443">
        <f t="shared" si="212"/>
        <v>73890.385618577915</v>
      </c>
      <c r="S375" s="443">
        <f t="shared" ref="S375:Z375" ca="1" si="217">IF(OFFSET(INDIRECT(S$337),$P375,0)="",S374,OFFSET(INDIRECT(S$337),$P375,0))</f>
        <v>73890.385618577915</v>
      </c>
      <c r="T375" s="443">
        <f t="shared" ca="1" si="217"/>
        <v>69086.354783220479</v>
      </c>
      <c r="U375" s="443">
        <f t="shared" ca="1" si="217"/>
        <v>71798.494136431997</v>
      </c>
      <c r="V375" s="443">
        <f t="shared" ca="1" si="217"/>
        <v>106369.4468459253</v>
      </c>
      <c r="W375" s="209">
        <f t="shared" ca="1" si="217"/>
        <v>0.12435047227996388</v>
      </c>
      <c r="X375" s="209">
        <f t="shared" ca="1" si="217"/>
        <v>0.18743165536100315</v>
      </c>
      <c r="Y375" s="443">
        <f t="shared" ca="1" si="217"/>
        <v>99453.769003539506</v>
      </c>
      <c r="Z375" s="443">
        <f t="shared" ca="1" si="217"/>
        <v>103358.04911190645</v>
      </c>
      <c r="AA375" s="388">
        <f t="shared" ref="AA375:AH384" ca="1" si="218">IF(AA$336,IF(OFFSET(INDIRECT(AA$337),$P375,0)="","",OFFSET(INDIRECT(AA$337),$P375,0)),"")</f>
        <v>6.5427233062858692E-2</v>
      </c>
      <c r="AB375" s="388">
        <f t="shared" ca="1" si="218"/>
        <v>4.6379758141165794E-2</v>
      </c>
      <c r="AC375" s="388">
        <f t="shared" ca="1" si="218"/>
        <v>5.1573379337952696E-2</v>
      </c>
      <c r="AD375" s="388">
        <f t="shared" ca="1" si="218"/>
        <v>4.4299330635766188E-2</v>
      </c>
      <c r="AE375" s="388">
        <f t="shared" ca="1" si="218"/>
        <v>2.6453964003619213E-2</v>
      </c>
      <c r="AF375" s="388">
        <f t="shared" ca="1" si="218"/>
        <v>3.9755200307510341E-2</v>
      </c>
      <c r="AG375" s="388">
        <f t="shared" ca="1" si="218"/>
        <v>2.2605224913494704E-2</v>
      </c>
      <c r="AH375" s="388">
        <f t="shared" ca="1" si="218"/>
        <v>2.0854258401103998E-4</v>
      </c>
    </row>
    <row r="376" spans="1:34">
      <c r="A376" s="165">
        <f t="shared" si="175"/>
        <v>1908</v>
      </c>
      <c r="B376" s="206" t="str">
        <f>IF(AND($A376&gt;=SYear_O,$A376&lt;=EYear_O),IF(B$336&gt;0,B$336*Data_All!$B45,""),"")</f>
        <v/>
      </c>
      <c r="C376" s="206">
        <f>IF(AND($A376&gt;=SYear_O,$A376&lt;=EYear_O),IF(C$336&gt;0,C$336*Data_All!$D45,""),"")</f>
        <v>22.720688697826841</v>
      </c>
      <c r="D376" s="206" t="str">
        <f>IF(AND($A376&gt;=SYear_O,$A376&lt;=EYear_O),IF(D$336&gt;0,D$336*Data_All!$T45,""),"")</f>
        <v/>
      </c>
      <c r="E376" s="206">
        <f>IF(AND($A376&gt;=SYear_O,$A376&lt;=EYear_O),IF(E$336&gt;0,E$336*Data_All!$U45,""),"")</f>
        <v>2.7681495145907249</v>
      </c>
      <c r="F376" s="206" t="str">
        <f>IF(AND($A376&gt;=SYear_O,$A376&lt;=EYear_O),IF(F$336&gt;0,F$336*Data_All!$BX45,""),"")</f>
        <v/>
      </c>
      <c r="G376" s="206" t="str">
        <f>IF(AND($A376&gt;=SYear_O,$A376&lt;=EYear_O),IF(G$336&gt;0,G$336*Data_All!$BY45,""),"")</f>
        <v/>
      </c>
      <c r="H376" s="206" t="str">
        <f>IF(AND($A376&gt;=SYear_O,$A376&lt;=EYear_O),IF(H$336&gt;0,H$336*Data_All!$BZ45,""),"")</f>
        <v/>
      </c>
      <c r="I376" s="206">
        <f t="shared" si="209"/>
        <v>25.488838212417566</v>
      </c>
      <c r="J376" s="446">
        <f t="shared" si="210"/>
        <v>86695.663980772355</v>
      </c>
      <c r="K376" s="206">
        <f>IF(AND($A376&gt;=SYear_O,$A376&lt;=EYear_O),(I376-Data_All!$CA45)/(1+Data_All!$CA45%),"")</f>
        <v>21.48417719641354</v>
      </c>
      <c r="L376" s="447">
        <f t="shared" si="211"/>
        <v>120820.59296477173</v>
      </c>
      <c r="P376">
        <f t="shared" si="176"/>
        <v>37</v>
      </c>
      <c r="Q376">
        <f t="shared" ca="1" si="173"/>
        <v>1908</v>
      </c>
      <c r="R376" s="443">
        <f t="shared" si="212"/>
        <v>92891.298045596006</v>
      </c>
      <c r="S376" s="443">
        <f t="shared" ref="S376:Z376" ca="1" si="219">IF(OFFSET(INDIRECT(S$337),$P376,0)="",S375,OFFSET(INDIRECT(S$337),$P376,0))</f>
        <v>92891.298045596006</v>
      </c>
      <c r="T376" s="443">
        <f t="shared" ca="1" si="219"/>
        <v>86695.663980772355</v>
      </c>
      <c r="U376" s="443">
        <f t="shared" ca="1" si="219"/>
        <v>94095.594083646836</v>
      </c>
      <c r="V376" s="443">
        <f t="shared" ca="1" si="219"/>
        <v>129454.93691155499</v>
      </c>
      <c r="W376" s="209">
        <f t="shared" ca="1" si="219"/>
        <v>0</v>
      </c>
      <c r="X376" s="209">
        <f t="shared" ca="1" si="219"/>
        <v>0</v>
      </c>
      <c r="Y376" s="443">
        <f t="shared" ca="1" si="219"/>
        <v>120820.59296477173</v>
      </c>
      <c r="Z376" s="443">
        <f t="shared" ca="1" si="219"/>
        <v>131133.26492406894</v>
      </c>
      <c r="AA376" s="388">
        <f t="shared" ca="1" si="218"/>
        <v>0.11488774052299955</v>
      </c>
      <c r="AB376" s="388">
        <f t="shared" ca="1" si="218"/>
        <v>8.414011014322198E-2</v>
      </c>
      <c r="AC376" s="388">
        <f t="shared" ca="1" si="218"/>
        <v>5.4048314098591899E-2</v>
      </c>
      <c r="AD376" s="388">
        <f t="shared" ca="1" si="218"/>
        <v>6.5706891661649003E-2</v>
      </c>
      <c r="AE376" s="388">
        <f t="shared" ca="1" si="218"/>
        <v>9.1411159031623113E-2</v>
      </c>
      <c r="AF376" s="388">
        <f t="shared" ca="1" si="218"/>
        <v>5.7611871081112653E-2</v>
      </c>
      <c r="AG376" s="388">
        <f t="shared" ca="1" si="218"/>
        <v>4.5944492603278153E-3</v>
      </c>
      <c r="AH376" s="388">
        <f t="shared" ca="1" si="218"/>
        <v>1.9637646835348299E-2</v>
      </c>
    </row>
    <row r="377" spans="1:34">
      <c r="A377" s="165">
        <f t="shared" si="175"/>
        <v>1909</v>
      </c>
      <c r="B377" s="206" t="str">
        <f>IF(AND($A377&gt;=SYear_O,$A377&lt;=EYear_O),IF(B$336&gt;0,B$336*Data_All!$B46,""),"")</f>
        <v/>
      </c>
      <c r="C377" s="206">
        <f>IF(AND($A377&gt;=SYear_O,$A377&lt;=EYear_O),IF(C$336&gt;0,C$336*Data_All!$D46,""),"")</f>
        <v>9.5506380874367842</v>
      </c>
      <c r="D377" s="206" t="str">
        <f>IF(AND($A377&gt;=SYear_O,$A377&lt;=EYear_O),IF(D$336&gt;0,D$336*Data_All!$T46,""),"")</f>
        <v/>
      </c>
      <c r="E377" s="206">
        <f>IF(AND($A377&gt;=SYear_O,$A377&lt;=EYear_O),IF(E$336&gt;0,E$336*Data_All!$U46,""),"")</f>
        <v>0.11453171353216202</v>
      </c>
      <c r="F377" s="206" t="str">
        <f>IF(AND($A377&gt;=SYear_O,$A377&lt;=EYear_O),IF(F$336&gt;0,F$336*Data_All!$BX46,""),"")</f>
        <v/>
      </c>
      <c r="G377" s="206" t="str">
        <f>IF(AND($A377&gt;=SYear_O,$A377&lt;=EYear_O),IF(G$336&gt;0,G$336*Data_All!$BY46,""),"")</f>
        <v/>
      </c>
      <c r="H377" s="206" t="str">
        <f>IF(AND($A377&gt;=SYear_O,$A377&lt;=EYear_O),IF(H$336&gt;0,H$336*Data_All!$BZ46,""),"")</f>
        <v/>
      </c>
      <c r="I377" s="206">
        <f t="shared" si="209"/>
        <v>9.6651698009689468</v>
      </c>
      <c r="J377" s="446">
        <f t="shared" si="210"/>
        <v>95074.947114591472</v>
      </c>
      <c r="K377" s="206">
        <f>IF(AND($A377&gt;=SYear_O,$A377&lt;=EYear_O),(I377-Data_All!$CA46)/(1+Data_All!$CA46%),"")</f>
        <v>-0.87992044755644783</v>
      </c>
      <c r="L377" s="447">
        <f t="shared" si="211"/>
        <v>119757.46786241575</v>
      </c>
      <c r="P377">
        <f t="shared" si="176"/>
        <v>38</v>
      </c>
      <c r="Q377">
        <f t="shared" ca="1" si="173"/>
        <v>1909</v>
      </c>
      <c r="R377" s="443">
        <f t="shared" si="212"/>
        <v>102053.75658433554</v>
      </c>
      <c r="S377" s="443">
        <f t="shared" ref="S377:Z377" ca="1" si="220">IF(OFFSET(INDIRECT(S$337),$P377,0)="",S376,OFFSET(INDIRECT(S$337),$P377,0))</f>
        <v>102053.75658433554</v>
      </c>
      <c r="T377" s="443">
        <f t="shared" ca="1" si="220"/>
        <v>95074.947114591472</v>
      </c>
      <c r="U377" s="443">
        <f t="shared" ca="1" si="220"/>
        <v>106523.37905081877</v>
      </c>
      <c r="V377" s="443">
        <f t="shared" ca="1" si="220"/>
        <v>128548.05440656052</v>
      </c>
      <c r="W377" s="209">
        <f t="shared" ca="1" si="220"/>
        <v>0</v>
      </c>
      <c r="X377" s="209">
        <f t="shared" ca="1" si="220"/>
        <v>0</v>
      </c>
      <c r="Y377" s="443">
        <f t="shared" ca="1" si="220"/>
        <v>119757.46786241575</v>
      </c>
      <c r="Z377" s="443">
        <f t="shared" ca="1" si="220"/>
        <v>134178.04090807124</v>
      </c>
      <c r="AA377" s="388">
        <f t="shared" ca="1" si="218"/>
        <v>4.4503126232528167E-2</v>
      </c>
      <c r="AB377" s="388">
        <f t="shared" ca="1" si="218"/>
        <v>3.5405143575422349E-2</v>
      </c>
      <c r="AC377" s="388">
        <f t="shared" ca="1" si="218"/>
        <v>4.2149975480497037E-2</v>
      </c>
      <c r="AD377" s="388">
        <f t="shared" ca="1" si="218"/>
        <v>5.3390065232844952E-2</v>
      </c>
      <c r="AE377" s="388">
        <f t="shared" ca="1" si="218"/>
        <v>3.7197168585503482E-2</v>
      </c>
      <c r="AF377" s="388">
        <f t="shared" ca="1" si="218"/>
        <v>1.2543089763443982E-2</v>
      </c>
      <c r="AG377" s="388">
        <f t="shared" ca="1" si="218"/>
        <v>-1.9757729983359895E-2</v>
      </c>
      <c r="AH377" s="388">
        <f t="shared" ca="1" si="218"/>
        <v>8.0619212179404709E-3</v>
      </c>
    </row>
    <row r="378" spans="1:34">
      <c r="A378" s="165">
        <f t="shared" si="175"/>
        <v>1910</v>
      </c>
      <c r="B378" s="206" t="str">
        <f>IF(AND($A378&gt;=SYear_O,$A378&lt;=EYear_O),IF(B$336&gt;0,B$336*Data_All!$B47,""),"")</f>
        <v/>
      </c>
      <c r="C378" s="206">
        <f>IF(AND($A378&gt;=SYear_O,$A378&lt;=EYear_O),IF(C$336&gt;0,C$336*Data_All!$D47,""),"")</f>
        <v>-2.1222017807821931</v>
      </c>
      <c r="D378" s="206" t="str">
        <f>IF(AND($A378&gt;=SYear_O,$A378&lt;=EYear_O),IF(D$336&gt;0,D$336*Data_All!$T47,""),"")</f>
        <v/>
      </c>
      <c r="E378" s="206">
        <f>IF(AND($A378&gt;=SYear_O,$A378&lt;=EYear_O),IF(E$336&gt;0,E$336*Data_All!$U47,""),"")</f>
        <v>2.2742384373091808</v>
      </c>
      <c r="F378" s="206" t="str">
        <f>IF(AND($A378&gt;=SYear_O,$A378&lt;=EYear_O),IF(F$336&gt;0,F$336*Data_All!$BX47,""),"")</f>
        <v/>
      </c>
      <c r="G378" s="206" t="str">
        <f>IF(AND($A378&gt;=SYear_O,$A378&lt;=EYear_O),IF(G$336&gt;0,G$336*Data_All!$BY47,""),"")</f>
        <v/>
      </c>
      <c r="H378" s="206" t="str">
        <f>IF(AND($A378&gt;=SYear_O,$A378&lt;=EYear_O),IF(H$336&gt;0,H$336*Data_All!$BZ47,""),"")</f>
        <v/>
      </c>
      <c r="I378" s="206">
        <f t="shared" si="209"/>
        <v>0.15203665652698772</v>
      </c>
      <c r="J378" s="446">
        <f t="shared" si="210"/>
        <v>95219.495885379292</v>
      </c>
      <c r="K378" s="206">
        <f>IF(AND($A378&gt;=SYear_O,$A378&lt;=EYear_O),(I378-Data_All!$CA47)/(1+Data_All!$CA47%),"")</f>
        <v>7.3801461481138704</v>
      </c>
      <c r="L378" s="447">
        <f t="shared" si="211"/>
        <v>128595.74401394253</v>
      </c>
      <c r="P378">
        <f t="shared" si="176"/>
        <v>39</v>
      </c>
      <c r="Q378">
        <f t="shared" ca="1" si="173"/>
        <v>1910</v>
      </c>
      <c r="R378" s="443">
        <f t="shared" si="212"/>
        <v>102395.61359492065</v>
      </c>
      <c r="S378" s="443">
        <f t="shared" ref="S378:Z378" ca="1" si="221">IF(OFFSET(INDIRECT(S$337),$P378,0)="",S377,OFFSET(INDIRECT(S$337),$P378,0))</f>
        <v>102395.61359492065</v>
      </c>
      <c r="T378" s="443">
        <f t="shared" ca="1" si="221"/>
        <v>95219.495885379292</v>
      </c>
      <c r="U378" s="443">
        <f t="shared" ca="1" si="221"/>
        <v>104560.85717710605</v>
      </c>
      <c r="V378" s="443">
        <f t="shared" ca="1" si="221"/>
        <v>138287.22775274483</v>
      </c>
      <c r="W378" s="209">
        <f t="shared" ca="1" si="221"/>
        <v>0</v>
      </c>
      <c r="X378" s="209">
        <f t="shared" ca="1" si="221"/>
        <v>1.8423391101557773E-2</v>
      </c>
      <c r="Y378" s="443">
        <f t="shared" ca="1" si="221"/>
        <v>128595.74401394253</v>
      </c>
      <c r="Z378" s="443">
        <f t="shared" ca="1" si="221"/>
        <v>141211.43047859959</v>
      </c>
      <c r="AA378" s="388">
        <f t="shared" ca="1" si="218"/>
        <v>2.737422644802967E-2</v>
      </c>
      <c r="AB378" s="388">
        <f t="shared" ca="1" si="218"/>
        <v>1.3876967581543331E-2</v>
      </c>
      <c r="AC378" s="388">
        <f t="shared" ca="1" si="218"/>
        <v>4.3797901104632553E-2</v>
      </c>
      <c r="AD378" s="388">
        <f t="shared" ca="1" si="218"/>
        <v>5.8300756753447258E-2</v>
      </c>
      <c r="AE378" s="388">
        <f t="shared" ca="1" si="218"/>
        <v>3.0689042721397053E-2</v>
      </c>
      <c r="AF378" s="388">
        <f t="shared" ca="1" si="218"/>
        <v>9.7307752447592932E-3</v>
      </c>
      <c r="AG378" s="388">
        <f t="shared" ca="1" si="218"/>
        <v>-2.365570329233746E-2</v>
      </c>
      <c r="AH378" s="388">
        <f t="shared" ca="1" si="218"/>
        <v>1.9610353258381119E-2</v>
      </c>
    </row>
    <row r="379" spans="1:34">
      <c r="A379" s="165">
        <f t="shared" si="175"/>
        <v>1911</v>
      </c>
      <c r="B379" s="206" t="str">
        <f>IF(AND($A379&gt;=SYear_O,$A379&lt;=EYear_O),IF(B$336&gt;0,B$336*Data_All!$B48,""),"")</f>
        <v/>
      </c>
      <c r="C379" s="206">
        <f>IF(AND($A379&gt;=SYear_O,$A379&lt;=EYear_O),IF(C$336&gt;0,C$336*Data_All!$D48,""),"")</f>
        <v>1.9658554567268069</v>
      </c>
      <c r="D379" s="206" t="str">
        <f>IF(AND($A379&gt;=SYear_O,$A379&lt;=EYear_O),IF(D$336&gt;0,D$336*Data_All!$T48,""),"")</f>
        <v/>
      </c>
      <c r="E379" s="206">
        <f>IF(AND($A379&gt;=SYear_O,$A379&lt;=EYear_O),IF(E$336&gt;0,E$336*Data_All!$U48,""),"")</f>
        <v>1.2231151349063052</v>
      </c>
      <c r="F379" s="206" t="str">
        <f>IF(AND($A379&gt;=SYear_O,$A379&lt;=EYear_O),IF(F$336&gt;0,F$336*Data_All!$BX48,""),"")</f>
        <v/>
      </c>
      <c r="G379" s="206" t="str">
        <f>IF(AND($A379&gt;=SYear_O,$A379&lt;=EYear_O),IF(G$336&gt;0,G$336*Data_All!$BY48,""),"")</f>
        <v/>
      </c>
      <c r="H379" s="206" t="str">
        <f>IF(AND($A379&gt;=SYear_O,$A379&lt;=EYear_O),IF(H$336&gt;0,H$336*Data_All!$BZ48,""),"")</f>
        <v/>
      </c>
      <c r="I379" s="206">
        <f t="shared" si="209"/>
        <v>3.1889705916331121</v>
      </c>
      <c r="J379" s="446">
        <f t="shared" si="210"/>
        <v>98256.017606665351</v>
      </c>
      <c r="K379" s="206">
        <f>IF(AND($A379&gt;=SYear_O,$A379&lt;=EYear_O),(I379-Data_All!$CA48)/(1+Data_All!$CA48%),"")</f>
        <v>4.2631599572428325</v>
      </c>
      <c r="L379" s="447">
        <f t="shared" si="211"/>
        <v>134077.98627946342</v>
      </c>
      <c r="P379">
        <f t="shared" si="176"/>
        <v>40</v>
      </c>
      <c r="Q379">
        <f t="shared" ca="1" si="173"/>
        <v>1911</v>
      </c>
      <c r="R379" s="443">
        <f t="shared" si="212"/>
        <v>105853.26646340983</v>
      </c>
      <c r="S379" s="443">
        <f t="shared" ref="S379:Z379" ca="1" si="222">IF(OFFSET(INDIRECT(S$337),$P379,0)="",S378,OFFSET(INDIRECT(S$337),$P379,0))</f>
        <v>105853.26646340983</v>
      </c>
      <c r="T379" s="443">
        <f t="shared" ca="1" si="222"/>
        <v>98256.017606665351</v>
      </c>
      <c r="U379" s="443">
        <f t="shared" ca="1" si="222"/>
        <v>108135.25830727657</v>
      </c>
      <c r="V379" s="443">
        <f t="shared" ca="1" si="222"/>
        <v>144445.02386950681</v>
      </c>
      <c r="W379" s="209">
        <f t="shared" ca="1" si="222"/>
        <v>0</v>
      </c>
      <c r="X379" s="209">
        <f t="shared" ca="1" si="222"/>
        <v>0</v>
      </c>
      <c r="Y379" s="443">
        <f t="shared" ca="1" si="222"/>
        <v>134077.98627946342</v>
      </c>
      <c r="Z379" s="443">
        <f t="shared" ca="1" si="222"/>
        <v>147558.97941731493</v>
      </c>
      <c r="AA379" s="388">
        <f t="shared" ca="1" si="218"/>
        <v>2.5845024597259902E-2</v>
      </c>
      <c r="AB379" s="388">
        <f t="shared" ca="1" si="218"/>
        <v>5.1217762810403578E-2</v>
      </c>
      <c r="AC379" s="388">
        <f t="shared" ca="1" si="218"/>
        <v>3.6422260930776051E-2</v>
      </c>
      <c r="AD379" s="388">
        <f t="shared" ca="1" si="218"/>
        <v>6.8948355124384575E-2</v>
      </c>
      <c r="AE379" s="388">
        <f t="shared" ca="1" si="218"/>
        <v>-1.2241351910521336E-3</v>
      </c>
      <c r="AF379" s="388">
        <f t="shared" ca="1" si="218"/>
        <v>2.6402715815860844E-2</v>
      </c>
      <c r="AG379" s="388">
        <f t="shared" ca="1" si="218"/>
        <v>-3.5777509496231152E-2</v>
      </c>
      <c r="AH379" s="388">
        <f t="shared" ca="1" si="218"/>
        <v>2.2767952030986027E-2</v>
      </c>
    </row>
    <row r="380" spans="1:34">
      <c r="A380" s="165">
        <f t="shared" si="175"/>
        <v>1912</v>
      </c>
      <c r="B380" s="206" t="str">
        <f>IF(AND($A380&gt;=SYear_O,$A380&lt;=EYear_O),IF(B$336&gt;0,B$336*Data_All!$B49,""),"")</f>
        <v/>
      </c>
      <c r="C380" s="206">
        <f>IF(AND($A380&gt;=SYear_O,$A380&lt;=EYear_O),IF(C$336&gt;0,C$336*Data_All!$D49,""),"")</f>
        <v>4.2329093173184695</v>
      </c>
      <c r="D380" s="206" t="str">
        <f>IF(AND($A380&gt;=SYear_O,$A380&lt;=EYear_O),IF(D$336&gt;0,D$336*Data_All!$T49,""),"")</f>
        <v/>
      </c>
      <c r="E380" s="206">
        <f>IF(AND($A380&gt;=SYear_O,$A380&lt;=EYear_O),IF(E$336&gt;0,E$336*Data_All!$U49,""),"")</f>
        <v>0.12444260132411417</v>
      </c>
      <c r="F380" s="206" t="str">
        <f>IF(AND($A380&gt;=SYear_O,$A380&lt;=EYear_O),IF(F$336&gt;0,F$336*Data_All!$BX49,""),"")</f>
        <v/>
      </c>
      <c r="G380" s="206" t="str">
        <f>IF(AND($A380&gt;=SYear_O,$A380&lt;=EYear_O),IF(G$336&gt;0,G$336*Data_All!$BY49,""),"")</f>
        <v/>
      </c>
      <c r="H380" s="206" t="str">
        <f>IF(AND($A380&gt;=SYear_O,$A380&lt;=EYear_O),IF(H$336&gt;0,H$336*Data_All!$BZ49,""),"")</f>
        <v/>
      </c>
      <c r="I380" s="206">
        <f t="shared" si="209"/>
        <v>4.3573519186425838</v>
      </c>
      <c r="J380" s="446">
        <f t="shared" si="210"/>
        <v>102537.37807503119</v>
      </c>
      <c r="K380" s="206">
        <f>IF(AND($A380&gt;=SYear_O,$A380&lt;=EYear_O),(I380-Data_All!$CA49)/(1+Data_All!$CA49%),"")</f>
        <v>-2.7346352845264303</v>
      </c>
      <c r="L380" s="447">
        <f t="shared" si="211"/>
        <v>130411.44235788271</v>
      </c>
      <c r="P380">
        <f t="shared" si="176"/>
        <v>41</v>
      </c>
      <c r="Q380">
        <f t="shared" ca="1" si="173"/>
        <v>1912</v>
      </c>
      <c r="R380" s="443">
        <f t="shared" si="212"/>
        <v>110666.19934240321</v>
      </c>
      <c r="S380" s="443">
        <f t="shared" ref="S380:Z380" ca="1" si="223">IF(OFFSET(INDIRECT(S$337),$P380,0)="",S379,OFFSET(INDIRECT(S$337),$P380,0))</f>
        <v>110666.19934240321</v>
      </c>
      <c r="T380" s="443">
        <f t="shared" ca="1" si="223"/>
        <v>102537.37807503119</v>
      </c>
      <c r="U380" s="443">
        <f t="shared" ca="1" si="223"/>
        <v>114667.29237767405</v>
      </c>
      <c r="V380" s="443">
        <f t="shared" ca="1" si="223"/>
        <v>140750.02645325242</v>
      </c>
      <c r="W380" s="209">
        <f t="shared" ca="1" si="223"/>
        <v>0</v>
      </c>
      <c r="X380" s="209">
        <f t="shared" ca="1" si="223"/>
        <v>0</v>
      </c>
      <c r="Y380" s="443">
        <f t="shared" ca="1" si="223"/>
        <v>130411.44235788271</v>
      </c>
      <c r="Z380" s="443">
        <f t="shared" ca="1" si="223"/>
        <v>145838.78845920041</v>
      </c>
      <c r="AA380" s="388">
        <f t="shared" ca="1" si="218"/>
        <v>1.0842917470004432E-2</v>
      </c>
      <c r="AB380" s="388">
        <f t="shared" ca="1" si="218"/>
        <v>5.679277865298582E-2</v>
      </c>
      <c r="AC380" s="388">
        <f t="shared" ca="1" si="218"/>
        <v>4.3260668523567691E-2</v>
      </c>
      <c r="AD380" s="388">
        <f t="shared" ca="1" si="218"/>
        <v>7.2515113615428506E-2</v>
      </c>
      <c r="AE380" s="388">
        <f t="shared" ca="1" si="218"/>
        <v>-2.2469546060044476E-2</v>
      </c>
      <c r="AF380" s="388">
        <f t="shared" ca="1" si="218"/>
        <v>5.7381253886532591E-3</v>
      </c>
      <c r="AG380" s="388">
        <f t="shared" ca="1" si="218"/>
        <v>-1.8997105931301106E-2</v>
      </c>
      <c r="AH380" s="388">
        <f t="shared" ca="1" si="218"/>
        <v>2.7018580110505619E-2</v>
      </c>
    </row>
    <row r="381" spans="1:34">
      <c r="A381" s="165">
        <f t="shared" si="175"/>
        <v>1913</v>
      </c>
      <c r="B381" s="206" t="str">
        <f>IF(AND($A381&gt;=SYear_O,$A381&lt;=EYear_O),IF(B$336&gt;0,B$336*Data_All!$B50,""),"")</f>
        <v/>
      </c>
      <c r="C381" s="206">
        <f>IF(AND($A381&gt;=SYear_O,$A381&lt;=EYear_O),IF(C$336&gt;0,C$336*Data_All!$D50,""),"")</f>
        <v>-3.0001255929436126</v>
      </c>
      <c r="D381" s="206" t="str">
        <f>IF(AND($A381&gt;=SYear_O,$A381&lt;=EYear_O),IF(D$336&gt;0,D$336*Data_All!$T50,""),"")</f>
        <v/>
      </c>
      <c r="E381" s="206">
        <f>IF(AND($A381&gt;=SYear_O,$A381&lt;=EYear_O),IF(E$336&gt;0,E$336*Data_All!$U50,""),"")</f>
        <v>2.7054261415028291</v>
      </c>
      <c r="F381" s="206" t="str">
        <f>IF(AND($A381&gt;=SYear_O,$A381&lt;=EYear_O),IF(F$336&gt;0,F$336*Data_All!$BX50,""),"")</f>
        <v/>
      </c>
      <c r="G381" s="206" t="str">
        <f>IF(AND($A381&gt;=SYear_O,$A381&lt;=EYear_O),IF(G$336&gt;0,G$336*Data_All!$BY50,""),"")</f>
        <v/>
      </c>
      <c r="H381" s="206" t="str">
        <f>IF(AND($A381&gt;=SYear_O,$A381&lt;=EYear_O),IF(H$336&gt;0,H$336*Data_All!$BZ50,""),"")</f>
        <v/>
      </c>
      <c r="I381" s="206">
        <f t="shared" si="209"/>
        <v>-0.29469945144078347</v>
      </c>
      <c r="J381" s="446">
        <f t="shared" si="210"/>
        <v>102235.20098432231</v>
      </c>
      <c r="K381" s="206">
        <f>IF(AND($A381&gt;=SYear_O,$A381&lt;=EYear_O),(I381-Data_All!$CA50)/(1+Data_All!$CA50%),"")</f>
        <v>-2.28880546241197</v>
      </c>
      <c r="L381" s="447">
        <f t="shared" si="211"/>
        <v>127426.57814158525</v>
      </c>
      <c r="P381">
        <f t="shared" si="176"/>
        <v>42</v>
      </c>
      <c r="Q381">
        <f t="shared" ca="1" si="173"/>
        <v>1913</v>
      </c>
      <c r="R381" s="443">
        <f t="shared" si="212"/>
        <v>110541.82291493993</v>
      </c>
      <c r="S381" s="443">
        <f t="shared" ref="S381:Z381" ca="1" si="224">IF(OFFSET(INDIRECT(S$337),$P381,0)="",S380,OFFSET(INDIRECT(S$337),$P381,0))</f>
        <v>110541.82291493993</v>
      </c>
      <c r="T381" s="443">
        <f t="shared" ca="1" si="224"/>
        <v>102235.20098432231</v>
      </c>
      <c r="U381" s="443">
        <f t="shared" ca="1" si="224"/>
        <v>111403.21893637191</v>
      </c>
      <c r="V381" s="443">
        <f t="shared" ca="1" si="224"/>
        <v>137780.00238630094</v>
      </c>
      <c r="W381" s="209">
        <f t="shared" ca="1" si="224"/>
        <v>1.1238881266578682E-3</v>
      </c>
      <c r="X381" s="209">
        <f t="shared" ca="1" si="224"/>
        <v>2.8465601424959242E-2</v>
      </c>
      <c r="Y381" s="443">
        <f t="shared" ca="1" si="224"/>
        <v>127426.57814158525</v>
      </c>
      <c r="Z381" s="443">
        <f t="shared" ca="1" si="224"/>
        <v>138853.65164192941</v>
      </c>
      <c r="AA381" s="388">
        <f t="shared" ca="1" si="218"/>
        <v>5.9034082590360804E-2</v>
      </c>
      <c r="AB381" s="388">
        <f t="shared" ca="1" si="218"/>
        <v>2.479175713488857E-2</v>
      </c>
      <c r="AC381" s="388">
        <f t="shared" ca="1" si="218"/>
        <v>5.6608147469124681E-2</v>
      </c>
      <c r="AD381" s="388">
        <f t="shared" ca="1" si="218"/>
        <v>8.4188252514464823E-2</v>
      </c>
      <c r="AE381" s="388">
        <f t="shared" ca="1" si="218"/>
        <v>3.8263330694604303E-2</v>
      </c>
      <c r="AF381" s="388">
        <f t="shared" ca="1" si="218"/>
        <v>-4.5765242353958957E-2</v>
      </c>
      <c r="AG381" s="388">
        <f t="shared" ca="1" si="218"/>
        <v>1.1649446917303408E-3</v>
      </c>
      <c r="AH381" s="388">
        <f t="shared" ca="1" si="218"/>
        <v>4.3878682527124679E-2</v>
      </c>
    </row>
    <row r="382" spans="1:34">
      <c r="A382" s="165">
        <f t="shared" si="175"/>
        <v>1914</v>
      </c>
      <c r="B382" s="206" t="str">
        <f>IF(AND($A382&gt;=SYear_O,$A382&lt;=EYear_O),IF(B$336&gt;0,B$336*Data_All!$B51,""),"")</f>
        <v/>
      </c>
      <c r="C382" s="206">
        <f>IF(AND($A382&gt;=SYear_O,$A382&lt;=EYear_O),IF(C$336&gt;0,C$336*Data_All!$D51,""),"")</f>
        <v>-3.4652846433464437</v>
      </c>
      <c r="D382" s="206" t="str">
        <f>IF(AND($A382&gt;=SYear_O,$A382&lt;=EYear_O),IF(D$336&gt;0,D$336*Data_All!$T51,""),"")</f>
        <v/>
      </c>
      <c r="E382" s="206">
        <f>IF(AND($A382&gt;=SYear_O,$A382&lt;=EYear_O),IF(E$336&gt;0,E$336*Data_All!$U51,""),"")</f>
        <v>2.1921626126070612</v>
      </c>
      <c r="F382" s="206" t="str">
        <f>IF(AND($A382&gt;=SYear_O,$A382&lt;=EYear_O),IF(F$336&gt;0,F$336*Data_All!$BX51,""),"")</f>
        <v/>
      </c>
      <c r="G382" s="206" t="str">
        <f>IF(AND($A382&gt;=SYear_O,$A382&lt;=EYear_O),IF(G$336&gt;0,G$336*Data_All!$BY51,""),"")</f>
        <v/>
      </c>
      <c r="H382" s="206" t="str">
        <f>IF(AND($A382&gt;=SYear_O,$A382&lt;=EYear_O),IF(H$336&gt;0,H$336*Data_All!$BZ51,""),"")</f>
        <v/>
      </c>
      <c r="I382" s="206">
        <f t="shared" si="209"/>
        <v>-1.2731220307393825</v>
      </c>
      <c r="J382" s="446">
        <f t="shared" si="210"/>
        <v>100933.62211742021</v>
      </c>
      <c r="K382" s="206">
        <f>IF(AND($A382&gt;=SYear_O,$A382&lt;=EYear_O),(I382-Data_All!$CA51)/(1+Data_All!$CA51%),"")</f>
        <v>-2.2506158720191913</v>
      </c>
      <c r="L382" s="447">
        <f t="shared" si="211"/>
        <v>124558.69534875979</v>
      </c>
      <c r="P382">
        <f t="shared" si="176"/>
        <v>43</v>
      </c>
      <c r="Q382">
        <f t="shared" ca="1" si="173"/>
        <v>1914</v>
      </c>
      <c r="R382" s="443">
        <f t="shared" si="212"/>
        <v>109334.01124397686</v>
      </c>
      <c r="S382" s="443">
        <f t="shared" ref="S382:Z382" ca="1" si="225">IF(OFFSET(INDIRECT(S$337),$P382,0)="",S381,OFFSET(INDIRECT(S$337),$P382,0))</f>
        <v>109334.01124397686</v>
      </c>
      <c r="T382" s="443">
        <f t="shared" ca="1" si="225"/>
        <v>100933.62211742021</v>
      </c>
      <c r="U382" s="443">
        <f t="shared" ca="1" si="225"/>
        <v>107486.02689232238</v>
      </c>
      <c r="V382" s="443">
        <f t="shared" ca="1" si="225"/>
        <v>134925.32529897167</v>
      </c>
      <c r="W382" s="209">
        <f t="shared" ca="1" si="225"/>
        <v>1.2037895096627782E-2</v>
      </c>
      <c r="X382" s="209">
        <f t="shared" ca="1" si="225"/>
        <v>6.2626973537485142E-2</v>
      </c>
      <c r="Y382" s="443">
        <f t="shared" ca="1" si="225"/>
        <v>124558.69534875979</v>
      </c>
      <c r="Z382" s="443">
        <f t="shared" ca="1" si="225"/>
        <v>132644.79166668773</v>
      </c>
      <c r="AA382" s="388">
        <f t="shared" ca="1" si="218"/>
        <v>8.0709433158249411E-2</v>
      </c>
      <c r="AB382" s="388">
        <f t="shared" ca="1" si="218"/>
        <v>4.8938744541679347E-2</v>
      </c>
      <c r="AC382" s="388">
        <f t="shared" ca="1" si="218"/>
        <v>6.2499337962542256E-2</v>
      </c>
      <c r="AD382" s="388">
        <f t="shared" ca="1" si="218"/>
        <v>0.10227237420597679</v>
      </c>
      <c r="AE382" s="388">
        <f t="shared" ca="1" si="218"/>
        <v>2.5605454069488776E-2</v>
      </c>
      <c r="AF382" s="388">
        <f t="shared" ca="1" si="218"/>
        <v>-5.1028131403414556E-2</v>
      </c>
      <c r="AG382" s="388">
        <f t="shared" ca="1" si="218"/>
        <v>5.8287794832698747E-3</v>
      </c>
      <c r="AH382" s="388">
        <f t="shared" ca="1" si="218"/>
        <v>6.3544948031074133E-2</v>
      </c>
    </row>
    <row r="383" spans="1:34">
      <c r="A383" s="165">
        <f t="shared" si="175"/>
        <v>1915</v>
      </c>
      <c r="B383" s="206" t="str">
        <f>IF(AND($A383&gt;=SYear_O,$A383&lt;=EYear_O),IF(B$336&gt;0,B$336*Data_All!$B52,""),"")</f>
        <v/>
      </c>
      <c r="C383" s="206">
        <f>IF(AND($A383&gt;=SYear_O,$A383&lt;=EYear_O),IF(C$336&gt;0,C$336*Data_All!$D52,""),"")</f>
        <v>18.155905014950509</v>
      </c>
      <c r="D383" s="206" t="str">
        <f>IF(AND($A383&gt;=SYear_O,$A383&lt;=EYear_O),IF(D$336&gt;0,D$336*Data_All!$T52,""),"")</f>
        <v/>
      </c>
      <c r="E383" s="206">
        <f>IF(AND($A383&gt;=SYear_O,$A383&lt;=EYear_O),IF(E$336&gt;0,E$336*Data_All!$U52,""),"")</f>
        <v>1.8510713717038556</v>
      </c>
      <c r="F383" s="206" t="str">
        <f>IF(AND($A383&gt;=SYear_O,$A383&lt;=EYear_O),IF(F$336&gt;0,F$336*Data_All!$BX52,""),"")</f>
        <v/>
      </c>
      <c r="G383" s="206" t="str">
        <f>IF(AND($A383&gt;=SYear_O,$A383&lt;=EYear_O),IF(G$336&gt;0,G$336*Data_All!$BY52,""),"")</f>
        <v/>
      </c>
      <c r="H383" s="206" t="str">
        <f>IF(AND($A383&gt;=SYear_O,$A383&lt;=EYear_O),IF(H$336&gt;0,H$336*Data_All!$BZ52,""),"")</f>
        <v/>
      </c>
      <c r="I383" s="206">
        <f t="shared" si="209"/>
        <v>20.006976386654365</v>
      </c>
      <c r="J383" s="446">
        <f t="shared" si="210"/>
        <v>121127.38806064741</v>
      </c>
      <c r="K383" s="206">
        <f>IF(AND($A383&gt;=SYear_O,$A383&lt;=EYear_O),(I383-Data_All!$CA52)/(1+Data_All!$CA52%),"")</f>
        <v>16.545236683193178</v>
      </c>
      <c r="L383" s="447">
        <f t="shared" si="211"/>
        <v>145167.22630370961</v>
      </c>
      <c r="P383">
        <f t="shared" si="176"/>
        <v>44</v>
      </c>
      <c r="Q383">
        <f t="shared" ca="1" si="173"/>
        <v>1915</v>
      </c>
      <c r="R383" s="443">
        <f t="shared" si="212"/>
        <v>131445.22264246058</v>
      </c>
      <c r="S383" s="443">
        <f t="shared" ref="S383:Z383" ca="1" si="226">IF(OFFSET(INDIRECT(S$337),$P383,0)="",S382,OFFSET(INDIRECT(S$337),$P383,0))</f>
        <v>131445.22264246058</v>
      </c>
      <c r="T383" s="443">
        <f t="shared" ca="1" si="226"/>
        <v>121127.38806064741</v>
      </c>
      <c r="U383" s="443">
        <f t="shared" ca="1" si="226"/>
        <v>134643.57097279103</v>
      </c>
      <c r="V383" s="443">
        <f t="shared" ca="1" si="226"/>
        <v>157532.81472828944</v>
      </c>
      <c r="W383" s="209">
        <f t="shared" ca="1" si="226"/>
        <v>0</v>
      </c>
      <c r="X383" s="209">
        <f t="shared" ca="1" si="226"/>
        <v>0</v>
      </c>
      <c r="Y383" s="443">
        <f t="shared" ca="1" si="226"/>
        <v>145167.22630370961</v>
      </c>
      <c r="Z383" s="443">
        <f t="shared" ca="1" si="226"/>
        <v>161365.93094833614</v>
      </c>
      <c r="AA383" s="388">
        <f t="shared" ca="1" si="218"/>
        <v>4.5873783761322562E-2</v>
      </c>
      <c r="AB383" s="388">
        <f t="shared" ca="1" si="218"/>
        <v>7.4601843406418844E-2</v>
      </c>
      <c r="AC383" s="388">
        <f t="shared" ca="1" si="218"/>
        <v>8.1237329964004568E-2</v>
      </c>
      <c r="AD383" s="388">
        <f t="shared" ca="1" si="218"/>
        <v>0.10145284163136381</v>
      </c>
      <c r="AE383" s="388">
        <f t="shared" ca="1" si="218"/>
        <v>-6.198369041904439E-2</v>
      </c>
      <c r="AF383" s="388">
        <f t="shared" ca="1" si="218"/>
        <v>-5.5938266829083871E-2</v>
      </c>
      <c r="AG383" s="388">
        <f t="shared" ca="1" si="218"/>
        <v>2.4586332904943164E-2</v>
      </c>
      <c r="AH383" s="388">
        <f t="shared" ca="1" si="218"/>
        <v>6.3459426666282681E-2</v>
      </c>
    </row>
    <row r="384" spans="1:34">
      <c r="A384" s="165">
        <f t="shared" si="175"/>
        <v>1916</v>
      </c>
      <c r="B384" s="206" t="str">
        <f>IF(AND($A384&gt;=SYear_O,$A384&lt;=EYear_O),IF(B$336&gt;0,B$336*Data_All!$B53,""),"")</f>
        <v/>
      </c>
      <c r="C384" s="206">
        <f>IF(AND($A384&gt;=SYear_O,$A384&lt;=EYear_O),IF(C$336&gt;0,C$336*Data_All!$D53,""),"")</f>
        <v>5.0341365017091624</v>
      </c>
      <c r="D384" s="206" t="str">
        <f>IF(AND($A384&gt;=SYear_O,$A384&lt;=EYear_O),IF(D$336&gt;0,D$336*Data_All!$T53,""),"")</f>
        <v/>
      </c>
      <c r="E384" s="206">
        <f>IF(AND($A384&gt;=SYear_O,$A384&lt;=EYear_O),IF(E$336&gt;0,E$336*Data_All!$U53,""),"")</f>
        <v>0.92068854030979375</v>
      </c>
      <c r="F384" s="206" t="str">
        <f>IF(AND($A384&gt;=SYear_O,$A384&lt;=EYear_O),IF(F$336&gt;0,F$336*Data_All!$BX53,""),"")</f>
        <v/>
      </c>
      <c r="G384" s="206" t="str">
        <f>IF(AND($A384&gt;=SYear_O,$A384&lt;=EYear_O),IF(G$336&gt;0,G$336*Data_All!$BY53,""),"")</f>
        <v/>
      </c>
      <c r="H384" s="206" t="str">
        <f>IF(AND($A384&gt;=SYear_O,$A384&lt;=EYear_O),IF(H$336&gt;0,H$336*Data_All!$BZ53,""),"")</f>
        <v/>
      </c>
      <c r="I384" s="206">
        <f t="shared" si="209"/>
        <v>5.9548250420189559</v>
      </c>
      <c r="J384" s="446">
        <f t="shared" si="210"/>
        <v>128340.31209762633</v>
      </c>
      <c r="K384" s="206">
        <f>IF(AND($A384&gt;=SYear_O,$A384&lt;=EYear_O),(I384-Data_All!$CA53)/(1+Data_All!$CA53%),"")</f>
        <v>-5.81793329598315</v>
      </c>
      <c r="L384" s="447">
        <f t="shared" si="211"/>
        <v>136721.4939097309</v>
      </c>
      <c r="P384">
        <f t="shared" si="176"/>
        <v>45</v>
      </c>
      <c r="Q384">
        <f t="shared" ca="1" si="173"/>
        <v>1916</v>
      </c>
      <c r="R384" s="443">
        <f t="shared" si="212"/>
        <v>139525.45550860974</v>
      </c>
      <c r="S384" s="443">
        <f t="shared" ref="S384:Z384" ca="1" si="227">IF(OFFSET(INDIRECT(S$337),$P384,0)="",S383,OFFSET(INDIRECT(S$337),$P384,0))</f>
        <v>139525.45550860974</v>
      </c>
      <c r="T384" s="443">
        <f t="shared" ca="1" si="227"/>
        <v>128340.31209762633</v>
      </c>
      <c r="U384" s="443">
        <f t="shared" ca="1" si="227"/>
        <v>144797.97767756425</v>
      </c>
      <c r="V384" s="443">
        <f t="shared" ca="1" si="227"/>
        <v>148637.07594120497</v>
      </c>
      <c r="W384" s="209">
        <f t="shared" ca="1" si="227"/>
        <v>0</v>
      </c>
      <c r="X384" s="209">
        <f t="shared" ca="1" si="227"/>
        <v>0</v>
      </c>
      <c r="Y384" s="443">
        <f t="shared" ca="1" si="227"/>
        <v>136721.4939097309</v>
      </c>
      <c r="Z384" s="443">
        <f t="shared" ca="1" si="227"/>
        <v>154253.91679058105</v>
      </c>
      <c r="AA384" s="388">
        <f t="shared" ca="1" si="218"/>
        <v>2.214101941556823E-2</v>
      </c>
      <c r="AB384" s="388">
        <f t="shared" ca="1" si="218"/>
        <v>2.1835000277290684E-2</v>
      </c>
      <c r="AC384" s="388">
        <f t="shared" ca="1" si="218"/>
        <v>7.7925484331802908E-2</v>
      </c>
      <c r="AD384" s="388">
        <f t="shared" ca="1" si="218"/>
        <v>7.9898576169877389E-2</v>
      </c>
      <c r="AE384" s="388">
        <f t="shared" ca="1" si="218"/>
        <v>-0.12361699114871105</v>
      </c>
      <c r="AF384" s="388">
        <f t="shared" ca="1" si="218"/>
        <v>-9.4190811396795193E-2</v>
      </c>
      <c r="AG384" s="388">
        <f t="shared" ca="1" si="218"/>
        <v>2.0955399864073021E-2</v>
      </c>
      <c r="AH384" s="388">
        <f t="shared" ca="1" si="218"/>
        <v>4.9764904790459141E-2</v>
      </c>
    </row>
    <row r="385" spans="1:34">
      <c r="A385" s="165">
        <f t="shared" si="175"/>
        <v>1917</v>
      </c>
      <c r="B385" s="206" t="str">
        <f>IF(AND($A385&gt;=SYear_O,$A385&lt;=EYear_O),IF(B$336&gt;0,B$336*Data_All!$B54,""),"")</f>
        <v/>
      </c>
      <c r="C385" s="206">
        <f>IF(AND($A385&gt;=SYear_O,$A385&lt;=EYear_O),IF(C$336&gt;0,C$336*Data_All!$D54,""),"")</f>
        <v>-10.554277164556929</v>
      </c>
      <c r="D385" s="206" t="str">
        <f>IF(AND($A385&gt;=SYear_O,$A385&lt;=EYear_O),IF(D$336&gt;0,D$336*Data_All!$T54,""),"")</f>
        <v/>
      </c>
      <c r="E385" s="206">
        <f>IF(AND($A385&gt;=SYear_O,$A385&lt;=EYear_O),IF(E$336&gt;0,E$336*Data_All!$U54,""),"")</f>
        <v>3.7949190662832422E-2</v>
      </c>
      <c r="F385" s="206" t="str">
        <f>IF(AND($A385&gt;=SYear_O,$A385&lt;=EYear_O),IF(F$336&gt;0,F$336*Data_All!$BX54,""),"")</f>
        <v/>
      </c>
      <c r="G385" s="206" t="str">
        <f>IF(AND($A385&gt;=SYear_O,$A385&lt;=EYear_O),IF(G$336&gt;0,G$336*Data_All!$BY54,""),"")</f>
        <v/>
      </c>
      <c r="H385" s="206" t="str">
        <f>IF(AND($A385&gt;=SYear_O,$A385&lt;=EYear_O),IF(H$336&gt;0,H$336*Data_All!$BZ54,""),"")</f>
        <v/>
      </c>
      <c r="I385" s="206">
        <f t="shared" si="209"/>
        <v>-10.516327973894096</v>
      </c>
      <c r="J385" s="446">
        <f t="shared" si="210"/>
        <v>114843.62395472065</v>
      </c>
      <c r="K385" s="206">
        <f>IF(AND($A385&gt;=SYear_O,$A385&lt;=EYear_O),(I385-Data_All!$CA54)/(1+Data_All!$CA54%),"")</f>
        <v>-25.217216949611494</v>
      </c>
      <c r="L385" s="447">
        <f t="shared" si="211"/>
        <v>102244.13817376418</v>
      </c>
      <c r="P385">
        <f t="shared" si="176"/>
        <v>46</v>
      </c>
      <c r="Q385">
        <f t="shared" ca="1" si="173"/>
        <v>1917</v>
      </c>
      <c r="R385" s="443">
        <f t="shared" si="212"/>
        <v>125081.50919125047</v>
      </c>
      <c r="S385" s="443">
        <f t="shared" ref="S385:Z385" ca="1" si="228">IF(OFFSET(INDIRECT(S$337),$P385,0)="",S384,OFFSET(INDIRECT(S$337),$P385,0))</f>
        <v>125081.50919125047</v>
      </c>
      <c r="T385" s="443">
        <f t="shared" ca="1" si="228"/>
        <v>114843.62395472065</v>
      </c>
      <c r="U385" s="443">
        <f t="shared" ca="1" si="228"/>
        <v>123698.70335853781</v>
      </c>
      <c r="V385" s="443">
        <f t="shared" ca="1" si="228"/>
        <v>111358.82575227189</v>
      </c>
      <c r="W385" s="209">
        <f t="shared" ca="1" si="228"/>
        <v>0.10352194346692511</v>
      </c>
      <c r="X385" s="209">
        <f t="shared" ca="1" si="228"/>
        <v>0.14571525554044851</v>
      </c>
      <c r="Y385" s="443">
        <f t="shared" ca="1" si="228"/>
        <v>102244.13817376418</v>
      </c>
      <c r="Z385" s="443">
        <f t="shared" ca="1" si="228"/>
        <v>110127.72744869425</v>
      </c>
      <c r="AA385" s="388">
        <f t="shared" ref="AA385:AH394" ca="1" si="229">IF(AA$336,IF(OFFSET(INDIRECT(AA$337),$P385,0)="","",OFFSET(INDIRECT(AA$337),$P385,0)),"")</f>
        <v>3.9393299936264503E-2</v>
      </c>
      <c r="AB385" s="388">
        <f t="shared" ca="1" si="229"/>
        <v>2.9901835509827945E-2</v>
      </c>
      <c r="AC385" s="388">
        <f t="shared" ca="1" si="229"/>
        <v>8.0463780138735341E-2</v>
      </c>
      <c r="AD385" s="388">
        <f t="shared" ca="1" si="229"/>
        <v>5.4769621131185664E-2</v>
      </c>
      <c r="AE385" s="388">
        <f t="shared" ca="1" si="229"/>
        <v>-0.12032395844573629</v>
      </c>
      <c r="AF385" s="388">
        <f t="shared" ca="1" si="229"/>
        <v>-4.3123996319350155E-2</v>
      </c>
      <c r="AG385" s="388">
        <f t="shared" ca="1" si="229"/>
        <v>3.7827069445530714E-2</v>
      </c>
      <c r="AH385" s="388">
        <f t="shared" ca="1" si="229"/>
        <v>4.0752831914797838E-2</v>
      </c>
    </row>
    <row r="386" spans="1:34">
      <c r="A386" s="165">
        <f t="shared" si="175"/>
        <v>1918</v>
      </c>
      <c r="B386" s="206" t="str">
        <f>IF(AND($A386&gt;=SYear_O,$A386&lt;=EYear_O),IF(B$336&gt;0,B$336*Data_All!$B55,""),"")</f>
        <v/>
      </c>
      <c r="C386" s="206">
        <f>IF(AND($A386&gt;=SYear_O,$A386&lt;=EYear_O),IF(C$336&gt;0,C$336*Data_All!$D55,""),"")</f>
        <v>9.9504323925332443</v>
      </c>
      <c r="D386" s="206" t="str">
        <f>IF(AND($A386&gt;=SYear_O,$A386&lt;=EYear_O),IF(D$336&gt;0,D$336*Data_All!$T55,""),"")</f>
        <v/>
      </c>
      <c r="E386" s="206">
        <f>IF(AND($A386&gt;=SYear_O,$A386&lt;=EYear_O),IF(E$336&gt;0,E$336*Data_All!$U55,""),"")</f>
        <v>2.0700985562360041</v>
      </c>
      <c r="F386" s="206" t="str">
        <f>IF(AND($A386&gt;=SYear_O,$A386&lt;=EYear_O),IF(F$336&gt;0,F$336*Data_All!$BX55,""),"")</f>
        <v/>
      </c>
      <c r="G386" s="206" t="str">
        <f>IF(AND($A386&gt;=SYear_O,$A386&lt;=EYear_O),IF(G$336&gt;0,G$336*Data_All!$BY55,""),"")</f>
        <v/>
      </c>
      <c r="H386" s="206" t="str">
        <f>IF(AND($A386&gt;=SYear_O,$A386&lt;=EYear_O),IF(H$336&gt;0,H$336*Data_All!$BZ55,""),"")</f>
        <v/>
      </c>
      <c r="I386" s="206">
        <f t="shared" si="209"/>
        <v>12.020530948769249</v>
      </c>
      <c r="J386" s="446">
        <f t="shared" si="210"/>
        <v>128648.43731488602</v>
      </c>
      <c r="K386" s="206">
        <f>IF(AND($A386&gt;=SYear_O,$A386&lt;=EYear_O),(I386-Data_All!$CA55)/(1+Data_All!$CA55%),"")</f>
        <v>-4.9522767707412463</v>
      </c>
      <c r="L386" s="447">
        <f t="shared" si="211"/>
        <v>97180.725469540266</v>
      </c>
      <c r="P386">
        <f t="shared" si="176"/>
        <v>47</v>
      </c>
      <c r="Q386">
        <f t="shared" ca="1" si="173"/>
        <v>1918</v>
      </c>
      <c r="R386" s="443">
        <f t="shared" si="212"/>
        <v>140370.95613924522</v>
      </c>
      <c r="S386" s="443">
        <f t="shared" ref="S386:Z386" ca="1" si="230">IF(OFFSET(INDIRECT(S$337),$P386,0)="",S385,OFFSET(INDIRECT(S$337),$P386,0))</f>
        <v>140370.95613924522</v>
      </c>
      <c r="T386" s="443">
        <f t="shared" ca="1" si="230"/>
        <v>128648.43731488602</v>
      </c>
      <c r="U386" s="443">
        <f t="shared" ca="1" si="230"/>
        <v>141773.08782377999</v>
      </c>
      <c r="V386" s="443">
        <f t="shared" ca="1" si="230"/>
        <v>106035.8884816895</v>
      </c>
      <c r="W386" s="209">
        <f t="shared" ca="1" si="230"/>
        <v>0</v>
      </c>
      <c r="X386" s="209">
        <f t="shared" ca="1" si="230"/>
        <v>2.0890415061735834E-2</v>
      </c>
      <c r="Y386" s="443">
        <f t="shared" ca="1" si="230"/>
        <v>97180.725469540266</v>
      </c>
      <c r="Z386" s="443">
        <f t="shared" ca="1" si="230"/>
        <v>107095.05544205759</v>
      </c>
      <c r="AA386" s="388">
        <f t="shared" ca="1" si="229"/>
        <v>5.3946392354495387E-2</v>
      </c>
      <c r="AB386" s="388">
        <f t="shared" ca="1" si="229"/>
        <v>8.941233135932225E-2</v>
      </c>
      <c r="AC386" s="388">
        <f t="shared" ca="1" si="229"/>
        <v>0.11516526631817214</v>
      </c>
      <c r="AD386" s="388">
        <f t="shared" ca="1" si="229"/>
        <v>6.1204209966861489E-2</v>
      </c>
      <c r="AE386" s="388">
        <f t="shared" ca="1" si="229"/>
        <v>-4.8059071015335353E-2</v>
      </c>
      <c r="AF386" s="388">
        <f t="shared" ca="1" si="229"/>
        <v>5.0403203664684648E-2</v>
      </c>
      <c r="AG386" s="388">
        <f t="shared" ca="1" si="229"/>
        <v>9.1810904174659091E-2</v>
      </c>
      <c r="AH386" s="388">
        <f t="shared" ca="1" si="229"/>
        <v>6.7009253789167111E-2</v>
      </c>
    </row>
    <row r="387" spans="1:34">
      <c r="A387" s="165">
        <f t="shared" si="175"/>
        <v>1919</v>
      </c>
      <c r="B387" s="206" t="str">
        <f>IF(AND($A387&gt;=SYear_O,$A387&lt;=EYear_O),IF(B$336&gt;0,B$336*Data_All!$B56,""),"")</f>
        <v/>
      </c>
      <c r="C387" s="206">
        <f>IF(AND($A387&gt;=SYear_O,$A387&lt;=EYear_O),IF(C$336&gt;0,C$336*Data_All!$D56,""),"")</f>
        <v>11.419987295483025</v>
      </c>
      <c r="D387" s="206" t="str">
        <f>IF(AND($A387&gt;=SYear_O,$A387&lt;=EYear_O),IF(D$336&gt;0,D$336*Data_All!$T56,""),"")</f>
        <v/>
      </c>
      <c r="E387" s="206">
        <f>IF(AND($A387&gt;=SYear_O,$A387&lt;=EYear_O),IF(E$336&gt;0,E$336*Data_All!$U56,""),"")</f>
        <v>-8.0899762487177396E-3</v>
      </c>
      <c r="F387" s="206" t="str">
        <f>IF(AND($A387&gt;=SYear_O,$A387&lt;=EYear_O),IF(F$336&gt;0,F$336*Data_All!$BX56,""),"")</f>
        <v/>
      </c>
      <c r="G387" s="206" t="str">
        <f>IF(AND($A387&gt;=SYear_O,$A387&lt;=EYear_O),IF(G$336&gt;0,G$336*Data_All!$BY56,""),"")</f>
        <v/>
      </c>
      <c r="H387" s="206" t="str">
        <f>IF(AND($A387&gt;=SYear_O,$A387&lt;=EYear_O),IF(H$336&gt;0,H$336*Data_All!$BZ56,""),"")</f>
        <v/>
      </c>
      <c r="I387" s="206">
        <f t="shared" si="209"/>
        <v>11.411897319234308</v>
      </c>
      <c r="J387" s="446">
        <f t="shared" si="210"/>
        <v>143329.66488406033</v>
      </c>
      <c r="K387" s="206">
        <f>IF(AND($A387&gt;=SYear_O,$A387&lt;=EYear_O),(I387-Data_All!$CA56)/(1+Data_All!$CA56%),"")</f>
        <v>-4.7514867478048659</v>
      </c>
      <c r="L387" s="447">
        <f t="shared" si="211"/>
        <v>92563.196177434438</v>
      </c>
      <c r="P387">
        <f t="shared" si="176"/>
        <v>48</v>
      </c>
      <c r="Q387">
        <f t="shared" ca="1" si="173"/>
        <v>1919</v>
      </c>
      <c r="R387" s="443">
        <f t="shared" si="212"/>
        <v>156672.64953521072</v>
      </c>
      <c r="S387" s="443">
        <f t="shared" ref="S387:Z387" ca="1" si="231">IF(OFFSET(INDIRECT(S$337),$P387,0)="",S386,OFFSET(INDIRECT(S$337),$P387,0))</f>
        <v>156672.64953521072</v>
      </c>
      <c r="T387" s="443">
        <f t="shared" ca="1" si="231"/>
        <v>143329.66488406033</v>
      </c>
      <c r="U387" s="443">
        <f t="shared" ca="1" si="231"/>
        <v>164312.74440772668</v>
      </c>
      <c r="V387" s="443">
        <f t="shared" ca="1" si="231"/>
        <v>101180.17931805637</v>
      </c>
      <c r="W387" s="209">
        <f t="shared" ca="1" si="231"/>
        <v>0</v>
      </c>
      <c r="X387" s="209">
        <f t="shared" ca="1" si="231"/>
        <v>0</v>
      </c>
      <c r="Y387" s="443">
        <f t="shared" ca="1" si="231"/>
        <v>92563.196177434438</v>
      </c>
      <c r="Z387" s="443">
        <f t="shared" ca="1" si="231"/>
        <v>106114.20048576753</v>
      </c>
      <c r="AA387" s="388">
        <f t="shared" ca="1" si="229"/>
        <v>4.8218412137507993E-2</v>
      </c>
      <c r="AB387" s="388">
        <f t="shared" ca="1" si="229"/>
        <v>7.6235241614706073E-2</v>
      </c>
      <c r="AC387" s="388">
        <f t="shared" ca="1" si="229"/>
        <v>0.12994764387146973</v>
      </c>
      <c r="AD387" s="388">
        <f t="shared" ca="1" si="229"/>
        <v>7.4288900993012108E-2</v>
      </c>
      <c r="AE387" s="388">
        <f t="shared" ca="1" si="229"/>
        <v>3.9882326378694488E-2</v>
      </c>
      <c r="AF387" s="388">
        <f t="shared" ca="1" si="229"/>
        <v>6.6092227931870751E-2</v>
      </c>
      <c r="AG387" s="388">
        <f t="shared" ca="1" si="229"/>
        <v>0.1259188868005563</v>
      </c>
      <c r="AH387" s="388">
        <f t="shared" ca="1" si="229"/>
        <v>9.0389740045061728E-2</v>
      </c>
    </row>
    <row r="388" spans="1:34">
      <c r="A388" s="165">
        <f t="shared" si="175"/>
        <v>1920</v>
      </c>
      <c r="B388" s="206" t="str">
        <f>IF(AND($A388&gt;=SYear_O,$A388&lt;=EYear_O),IF(B$336&gt;0,B$336*Data_All!$B57,""),"")</f>
        <v/>
      </c>
      <c r="C388" s="206">
        <f>IF(AND($A388&gt;=SYear_O,$A388&lt;=EYear_O),IF(C$336&gt;0,C$336*Data_All!$D57,""),"")</f>
        <v>-8.3098438204316523</v>
      </c>
      <c r="D388" s="206" t="str">
        <f>IF(AND($A388&gt;=SYear_O,$A388&lt;=EYear_O),IF(D$336&gt;0,D$336*Data_All!$T57,""),"")</f>
        <v/>
      </c>
      <c r="E388" s="206">
        <f>IF(AND($A388&gt;=SYear_O,$A388&lt;=EYear_O),IF(E$336&gt;0,E$336*Data_All!$U57,""),"")</f>
        <v>1.6051546477447087</v>
      </c>
      <c r="F388" s="206" t="str">
        <f>IF(AND($A388&gt;=SYear_O,$A388&lt;=EYear_O),IF(F$336&gt;0,F$336*Data_All!$BX57,""),"")</f>
        <v/>
      </c>
      <c r="G388" s="206" t="str">
        <f>IF(AND($A388&gt;=SYear_O,$A388&lt;=EYear_O),IF(G$336&gt;0,G$336*Data_All!$BY57,""),"")</f>
        <v/>
      </c>
      <c r="H388" s="206" t="str">
        <f>IF(AND($A388&gt;=SYear_O,$A388&lt;=EYear_O),IF(H$336&gt;0,H$336*Data_All!$BZ57,""),"")</f>
        <v/>
      </c>
      <c r="I388" s="206">
        <f t="shared" si="209"/>
        <v>-6.704689172686944</v>
      </c>
      <c r="J388" s="446">
        <f t="shared" si="210"/>
        <v>133719.85636133025</v>
      </c>
      <c r="K388" s="206">
        <f>IF(AND($A388&gt;=SYear_O,$A388&lt;=EYear_O),(I388-Data_All!$CA57)/(1+Data_All!$CA57%),"")</f>
        <v>-5.2316053175188379</v>
      </c>
      <c r="L388" s="447">
        <f t="shared" si="211"/>
        <v>87720.655084150378</v>
      </c>
      <c r="P388">
        <f t="shared" si="176"/>
        <v>49</v>
      </c>
      <c r="Q388">
        <f t="shared" ca="1" si="173"/>
        <v>1920</v>
      </c>
      <c r="R388" s="443">
        <f t="shared" si="212"/>
        <v>146436.27653482158</v>
      </c>
      <c r="S388" s="443">
        <f t="shared" ref="S388:Z388" ca="1" si="232">IF(OFFSET(INDIRECT(S$337),$P388,0)="",S387,OFFSET(INDIRECT(S$337),$P388,0))</f>
        <v>146436.27653482158</v>
      </c>
      <c r="T388" s="443">
        <f t="shared" ca="1" si="232"/>
        <v>133719.85636133025</v>
      </c>
      <c r="U388" s="443">
        <f t="shared" ca="1" si="232"/>
        <v>146254.84983852389</v>
      </c>
      <c r="V388" s="443">
        <f t="shared" ca="1" si="232"/>
        <v>96062.667544362354</v>
      </c>
      <c r="W388" s="209">
        <f t="shared" ca="1" si="232"/>
        <v>6.5336055978861829E-2</v>
      </c>
      <c r="X388" s="209">
        <f t="shared" ca="1" si="232"/>
        <v>0.10989953721662526</v>
      </c>
      <c r="Y388" s="443">
        <f t="shared" ca="1" si="232"/>
        <v>87720.655084150378</v>
      </c>
      <c r="Z388" s="443">
        <f t="shared" ca="1" si="232"/>
        <v>95943.651049115855</v>
      </c>
      <c r="AA388" s="388">
        <f t="shared" ca="1" si="229"/>
        <v>7.0008233900488159E-2</v>
      </c>
      <c r="AB388" s="388">
        <f t="shared" ca="1" si="229"/>
        <v>8.7913789540691178E-2</v>
      </c>
      <c r="AC388" s="388">
        <f t="shared" ca="1" si="229"/>
        <v>0.11512889914869606</v>
      </c>
      <c r="AD388" s="388">
        <f t="shared" ca="1" si="229"/>
        <v>6.4420455146934508E-2</v>
      </c>
      <c r="AE388" s="388">
        <f t="shared" ca="1" si="229"/>
        <v>0.12064948383366025</v>
      </c>
      <c r="AF388" s="388">
        <f t="shared" ca="1" si="229"/>
        <v>0.11197935123331981</v>
      </c>
      <c r="AG388" s="388">
        <f t="shared" ca="1" si="229"/>
        <v>0.12870692810469553</v>
      </c>
      <c r="AH388" s="388">
        <f t="shared" ca="1" si="229"/>
        <v>8.9551522528852345E-2</v>
      </c>
    </row>
    <row r="389" spans="1:34">
      <c r="A389" s="165">
        <f t="shared" si="175"/>
        <v>1921</v>
      </c>
      <c r="B389" s="206" t="str">
        <f>IF(AND($A389&gt;=SYear_O,$A389&lt;=EYear_O),IF(B$336&gt;0,B$336*Data_All!$B58,""),"")</f>
        <v/>
      </c>
      <c r="C389" s="206">
        <f>IF(AND($A389&gt;=SYear_O,$A389&lt;=EYear_O),IF(C$336&gt;0,C$336*Data_All!$D58,""),"")</f>
        <v>5.3740961041335167</v>
      </c>
      <c r="D389" s="206" t="str">
        <f>IF(AND($A389&gt;=SYear_O,$A389&lt;=EYear_O),IF(D$336&gt;0,D$336*Data_All!$T58,""),"")</f>
        <v/>
      </c>
      <c r="E389" s="206">
        <f>IF(AND($A389&gt;=SYear_O,$A389&lt;=EYear_O),IF(E$336&gt;0,E$336*Data_All!$U58,""),"")</f>
        <v>4.8288874478637069</v>
      </c>
      <c r="F389" s="206" t="str">
        <f>IF(AND($A389&gt;=SYear_O,$A389&lt;=EYear_O),IF(F$336&gt;0,F$336*Data_All!$BX58,""),"")</f>
        <v/>
      </c>
      <c r="G389" s="206" t="str">
        <f>IF(AND($A389&gt;=SYear_O,$A389&lt;=EYear_O),IF(G$336&gt;0,G$336*Data_All!$BY58,""),"")</f>
        <v/>
      </c>
      <c r="H389" s="206" t="str">
        <f>IF(AND($A389&gt;=SYear_O,$A389&lt;=EYear_O),IF(H$336&gt;0,H$336*Data_All!$BZ58,""),"")</f>
        <v/>
      </c>
      <c r="I389" s="206">
        <f t="shared" si="209"/>
        <v>10.202983551997225</v>
      </c>
      <c r="J389" s="446">
        <f t="shared" si="210"/>
        <v>147363.27131163111</v>
      </c>
      <c r="K389" s="206">
        <f>IF(AND($A389&gt;=SYear_O,$A389&lt;=EYear_O),(I389-Data_All!$CA58)/(1+Data_All!$CA58%),"")</f>
        <v>23.89684541348802</v>
      </c>
      <c r="L389" s="447">
        <f t="shared" si="211"/>
        <v>108683.12442530881</v>
      </c>
      <c r="P389">
        <f t="shared" si="176"/>
        <v>50</v>
      </c>
      <c r="Q389">
        <f t="shared" ca="1" si="173"/>
        <v>1921</v>
      </c>
      <c r="R389" s="443">
        <f t="shared" si="212"/>
        <v>161671.18061766829</v>
      </c>
      <c r="S389" s="443">
        <f t="shared" ref="S389:Z389" ca="1" si="233">IF(OFFSET(INDIRECT(S$337),$P389,0)="",S388,OFFSET(INDIRECT(S$337),$P389,0))</f>
        <v>161671.18061766829</v>
      </c>
      <c r="T389" s="443">
        <f t="shared" ca="1" si="233"/>
        <v>147363.27131163111</v>
      </c>
      <c r="U389" s="443">
        <f t="shared" ca="1" si="233"/>
        <v>160443.24533155095</v>
      </c>
      <c r="V389" s="443">
        <f t="shared" ca="1" si="233"/>
        <v>119235.47083790743</v>
      </c>
      <c r="W389" s="209">
        <f t="shared" ca="1" si="233"/>
        <v>0</v>
      </c>
      <c r="X389" s="209">
        <f t="shared" ca="1" si="233"/>
        <v>2.3549597994504623E-2</v>
      </c>
      <c r="Y389" s="443">
        <f t="shared" ca="1" si="233"/>
        <v>108683.12442530881</v>
      </c>
      <c r="Z389" s="443">
        <f t="shared" ca="1" si="233"/>
        <v>118329.84596748021</v>
      </c>
      <c r="AA389" s="388">
        <f t="shared" ca="1" si="229"/>
        <v>0.11443533917538073</v>
      </c>
      <c r="AB389" s="388">
        <f t="shared" ca="1" si="229"/>
        <v>0.13709488269304315</v>
      </c>
      <c r="AC389" s="388">
        <f t="shared" ca="1" si="229"/>
        <v>0.11015614124493878</v>
      </c>
      <c r="AD389" s="388">
        <f t="shared" ca="1" si="229"/>
        <v>9.005662747706733E-2</v>
      </c>
      <c r="AE389" s="388">
        <f t="shared" ca="1" si="229"/>
        <v>0.14980459850394756</v>
      </c>
      <c r="AF389" s="388">
        <f t="shared" ca="1" si="229"/>
        <v>0.15073896536527309</v>
      </c>
      <c r="AG389" s="388">
        <f t="shared" ca="1" si="229"/>
        <v>0.13010738616533524</v>
      </c>
      <c r="AH389" s="388">
        <f t="shared" ca="1" si="229"/>
        <v>0.11354394491119879</v>
      </c>
    </row>
    <row r="390" spans="1:34">
      <c r="A390" s="165">
        <f t="shared" si="175"/>
        <v>1922</v>
      </c>
      <c r="B390" s="206" t="str">
        <f>IF(AND($A390&gt;=SYear_O,$A390&lt;=EYear_O),IF(B$336&gt;0,B$336*Data_All!$B59,""),"")</f>
        <v/>
      </c>
      <c r="C390" s="206">
        <f>IF(AND($A390&gt;=SYear_O,$A390&lt;=EYear_O),IF(C$336&gt;0,C$336*Data_All!$D59,""),"")</f>
        <v>17.211206702031209</v>
      </c>
      <c r="D390" s="206" t="str">
        <f>IF(AND($A390&gt;=SYear_O,$A390&lt;=EYear_O),IF(D$336&gt;0,D$336*Data_All!$T59,""),"")</f>
        <v/>
      </c>
      <c r="E390" s="206">
        <f>IF(AND($A390&gt;=SYear_O,$A390&lt;=EYear_O),IF(E$336&gt;0,E$336*Data_All!$U59,""),"")</f>
        <v>1.2944121578417092</v>
      </c>
      <c r="F390" s="206" t="str">
        <f>IF(AND($A390&gt;=SYear_O,$A390&lt;=EYear_O),IF(F$336&gt;0,F$336*Data_All!$BX59,""),"")</f>
        <v/>
      </c>
      <c r="G390" s="206" t="str">
        <f>IF(AND($A390&gt;=SYear_O,$A390&lt;=EYear_O),IF(G$336&gt;0,G$336*Data_All!$BY59,""),"")</f>
        <v/>
      </c>
      <c r="H390" s="206" t="str">
        <f>IF(AND($A390&gt;=SYear_O,$A390&lt;=EYear_O),IF(H$336&gt;0,H$336*Data_All!$BZ59,""),"")</f>
        <v/>
      </c>
      <c r="I390" s="206">
        <f t="shared" si="209"/>
        <v>18.505618859872918</v>
      </c>
      <c r="J390" s="446">
        <f t="shared" si="210"/>
        <v>174633.75664000202</v>
      </c>
      <c r="K390" s="206">
        <f>IF(AND($A390&gt;=SYear_O,$A390&lt;=EYear_O),(I390-Data_All!$CA59)/(1+Data_All!$CA59%),"")</f>
        <v>19.211009448324535</v>
      </c>
      <c r="L390" s="447">
        <f t="shared" si="211"/>
        <v>129562.24972738918</v>
      </c>
      <c r="P390">
        <f t="shared" si="176"/>
        <v>51</v>
      </c>
      <c r="Q390">
        <f t="shared" ca="1" si="173"/>
        <v>1922</v>
      </c>
      <c r="R390" s="443">
        <f t="shared" si="212"/>
        <v>191935.16349441546</v>
      </c>
      <c r="S390" s="443">
        <f t="shared" ref="S390:Z390" ca="1" si="234">IF(OFFSET(INDIRECT(S$337),$P390,0)="",S389,OFFSET(INDIRECT(S$337),$P390,0))</f>
        <v>191935.16349441546</v>
      </c>
      <c r="T390" s="443">
        <f t="shared" ca="1" si="234"/>
        <v>174633.75664000202</v>
      </c>
      <c r="U390" s="443">
        <f t="shared" ca="1" si="234"/>
        <v>199405.84777092253</v>
      </c>
      <c r="V390" s="443">
        <f t="shared" ca="1" si="234"/>
        <v>142398.30868091475</v>
      </c>
      <c r="W390" s="209">
        <f t="shared" ca="1" si="234"/>
        <v>0</v>
      </c>
      <c r="X390" s="209">
        <f t="shared" ca="1" si="234"/>
        <v>0</v>
      </c>
      <c r="Y390" s="443">
        <f t="shared" ca="1" si="234"/>
        <v>129562.24972738918</v>
      </c>
      <c r="Z390" s="443">
        <f t="shared" ca="1" si="234"/>
        <v>147940.87204604116</v>
      </c>
      <c r="AA390" s="388">
        <f t="shared" ca="1" si="229"/>
        <v>0.13879179309166534</v>
      </c>
      <c r="AB390" s="388">
        <f t="shared" ca="1" si="229"/>
        <v>0.13350801012388858</v>
      </c>
      <c r="AC390" s="388">
        <f t="shared" ca="1" si="229"/>
        <v>6.7427785452605526E-2</v>
      </c>
      <c r="AD390" s="388">
        <f t="shared" ca="1" si="229"/>
        <v>9.6644103238203494E-2</v>
      </c>
      <c r="AE390" s="388">
        <f t="shared" ca="1" si="229"/>
        <v>0.12994645115451875</v>
      </c>
      <c r="AF390" s="388">
        <f t="shared" ca="1" si="229"/>
        <v>0.12562654087976011</v>
      </c>
      <c r="AG390" s="388">
        <f t="shared" ca="1" si="229"/>
        <v>8.5409379376561123E-2</v>
      </c>
      <c r="AH390" s="388">
        <f t="shared" ca="1" si="229"/>
        <v>0.10996737497625597</v>
      </c>
    </row>
    <row r="391" spans="1:34">
      <c r="A391" s="165">
        <f t="shared" si="175"/>
        <v>1923</v>
      </c>
      <c r="B391" s="206" t="str">
        <f>IF(AND($A391&gt;=SYear_O,$A391&lt;=EYear_O),IF(B$336&gt;0,B$336*Data_All!$B60,""),"")</f>
        <v/>
      </c>
      <c r="C391" s="206">
        <f>IF(AND($A391&gt;=SYear_O,$A391&lt;=EYear_O),IF(C$336&gt;0,C$336*Data_All!$D60,""),"")</f>
        <v>2.9940337381507587</v>
      </c>
      <c r="D391" s="206" t="str">
        <f>IF(AND($A391&gt;=SYear_O,$A391&lt;=EYear_O),IF(D$336&gt;0,D$336*Data_All!$T60,""),"")</f>
        <v/>
      </c>
      <c r="E391" s="206">
        <f>IF(AND($A391&gt;=SYear_O,$A391&lt;=EYear_O),IF(E$336&gt;0,E$336*Data_All!$U60,""),"")</f>
        <v>2.4127956949218405</v>
      </c>
      <c r="F391" s="206" t="str">
        <f>IF(AND($A391&gt;=SYear_O,$A391&lt;=EYear_O),IF(F$336&gt;0,F$336*Data_All!$BX60,""),"")</f>
        <v/>
      </c>
      <c r="G391" s="206" t="str">
        <f>IF(AND($A391&gt;=SYear_O,$A391&lt;=EYear_O),IF(G$336&gt;0,G$336*Data_All!$BY60,""),"")</f>
        <v/>
      </c>
      <c r="H391" s="206" t="str">
        <f>IF(AND($A391&gt;=SYear_O,$A391&lt;=EYear_O),IF(H$336&gt;0,H$336*Data_All!$BZ60,""),"")</f>
        <v/>
      </c>
      <c r="I391" s="206">
        <f t="shared" si="209"/>
        <v>5.4068294330725992</v>
      </c>
      <c r="J391" s="446">
        <f t="shared" si="210"/>
        <v>184075.90599409404</v>
      </c>
      <c r="K391" s="206">
        <f>IF(AND($A391&gt;=SYear_O,$A391&lt;=EYear_O),(I391-Data_All!$CA60)/(1+Data_All!$CA60%),"")</f>
        <v>2.3603892760473899</v>
      </c>
      <c r="L391" s="447">
        <f t="shared" si="211"/>
        <v>132620.4231757602</v>
      </c>
      <c r="P391">
        <f t="shared" si="176"/>
        <v>52</v>
      </c>
      <c r="Q391">
        <f t="shared" ca="1" si="173"/>
        <v>1923</v>
      </c>
      <c r="R391" s="443">
        <f t="shared" si="212"/>
        <v>202681.12363696675</v>
      </c>
      <c r="S391" s="443">
        <f t="shared" ref="S391:Z391" ca="1" si="235">IF(OFFSET(INDIRECT(S$337),$P391,0)="",S390,OFFSET(INDIRECT(S$337),$P391,0))</f>
        <v>202681.12363696675</v>
      </c>
      <c r="T391" s="443">
        <f t="shared" ca="1" si="235"/>
        <v>184075.90599409404</v>
      </c>
      <c r="U391" s="443">
        <f t="shared" ca="1" si="235"/>
        <v>210036.08678546551</v>
      </c>
      <c r="V391" s="443">
        <f t="shared" ca="1" si="235"/>
        <v>146024.84904969341</v>
      </c>
      <c r="W391" s="209">
        <f t="shared" ca="1" si="235"/>
        <v>0</v>
      </c>
      <c r="X391" s="209">
        <f t="shared" ca="1" si="235"/>
        <v>0</v>
      </c>
      <c r="Y391" s="443">
        <f t="shared" ca="1" si="235"/>
        <v>132620.4231757602</v>
      </c>
      <c r="Z391" s="443">
        <f t="shared" ca="1" si="235"/>
        <v>151323.84958932575</v>
      </c>
      <c r="AA391" s="388">
        <f t="shared" ca="1" si="229"/>
        <v>0.13194645909470082</v>
      </c>
      <c r="AB391" s="388">
        <f t="shared" ca="1" si="229"/>
        <v>0.14152698239680905</v>
      </c>
      <c r="AC391" s="388">
        <f t="shared" ca="1" si="229"/>
        <v>4.7375239920806944E-2</v>
      </c>
      <c r="AD391" s="388">
        <f t="shared" ca="1" si="229"/>
        <v>7.0432449559559851E-2</v>
      </c>
      <c r="AE391" s="388">
        <f t="shared" ca="1" si="229"/>
        <v>0.10826759647590478</v>
      </c>
      <c r="AF391" s="388">
        <f t="shared" ca="1" si="229"/>
        <v>0.13485092802060761</v>
      </c>
      <c r="AG391" s="388">
        <f t="shared" ca="1" si="229"/>
        <v>7.5410469210496656E-2</v>
      </c>
      <c r="AH391" s="388">
        <f t="shared" ca="1" si="229"/>
        <v>8.2498562999831604E-2</v>
      </c>
    </row>
    <row r="392" spans="1:34">
      <c r="A392" s="165">
        <f t="shared" si="175"/>
        <v>1924</v>
      </c>
      <c r="B392" s="206" t="str">
        <f>IF(AND($A392&gt;=SYear_O,$A392&lt;=EYear_O),IF(B$336&gt;0,B$336*Data_All!$B61,""),"")</f>
        <v/>
      </c>
      <c r="C392" s="206">
        <f>IF(AND($A392&gt;=SYear_O,$A392&lt;=EYear_O),IF(C$336&gt;0,C$336*Data_All!$D61,""),"")</f>
        <v>15.500188750471874</v>
      </c>
      <c r="D392" s="206" t="str">
        <f>IF(AND($A392&gt;=SYear_O,$A392&lt;=EYear_O),IF(D$336&gt;0,D$336*Data_All!$T61,""),"")</f>
        <v/>
      </c>
      <c r="E392" s="206">
        <f>IF(AND($A392&gt;=SYear_O,$A392&lt;=EYear_O),IF(E$336&gt;0,E$336*Data_All!$U61,""),"")</f>
        <v>2.0891818472852628</v>
      </c>
      <c r="F392" s="206" t="str">
        <f>IF(AND($A392&gt;=SYear_O,$A392&lt;=EYear_O),IF(F$336&gt;0,F$336*Data_All!$BX61,""),"")</f>
        <v/>
      </c>
      <c r="G392" s="206" t="str">
        <f>IF(AND($A392&gt;=SYear_O,$A392&lt;=EYear_O),IF(G$336&gt;0,G$336*Data_All!$BY61,""),"")</f>
        <v/>
      </c>
      <c r="H392" s="206" t="str">
        <f>IF(AND($A392&gt;=SYear_O,$A392&lt;=EYear_O),IF(H$336&gt;0,H$336*Data_All!$BZ61,""),"")</f>
        <v/>
      </c>
      <c r="I392" s="206">
        <f t="shared" si="209"/>
        <v>17.589370597757139</v>
      </c>
      <c r="J392" s="446">
        <f t="shared" si="210"/>
        <v>216453.69928057428</v>
      </c>
      <c r="K392" s="206">
        <f>IF(AND($A392&gt;=SYear_O,$A392&lt;=EYear_O),(I392-Data_All!$CA61)/(1+Data_All!$CA61%),"")</f>
        <v>17.589370597757139</v>
      </c>
      <c r="L392" s="447">
        <f t="shared" si="211"/>
        <v>155947.52089645845</v>
      </c>
      <c r="P392">
        <f t="shared" si="176"/>
        <v>53</v>
      </c>
      <c r="Q392">
        <f t="shared" ca="1" si="173"/>
        <v>1924</v>
      </c>
      <c r="R392" s="443">
        <f t="shared" si="212"/>
        <v>238762.21313110928</v>
      </c>
      <c r="S392" s="443">
        <f t="shared" ref="S392:Z392" ca="1" si="236">IF(OFFSET(INDIRECT(S$337),$P392,0)="",S391,OFFSET(INDIRECT(S$337),$P392,0))</f>
        <v>238762.21313110928</v>
      </c>
      <c r="T392" s="443">
        <f t="shared" ca="1" si="236"/>
        <v>216453.69928057428</v>
      </c>
      <c r="U392" s="443">
        <f t="shared" ca="1" si="236"/>
        <v>258150.23048458627</v>
      </c>
      <c r="V392" s="443">
        <f t="shared" ca="1" si="236"/>
        <v>172020.04560469062</v>
      </c>
      <c r="W392" s="209">
        <f t="shared" ca="1" si="236"/>
        <v>0</v>
      </c>
      <c r="X392" s="209">
        <f t="shared" ca="1" si="236"/>
        <v>0</v>
      </c>
      <c r="Y392" s="443">
        <f t="shared" ca="1" si="236"/>
        <v>155947.52089645845</v>
      </c>
      <c r="Z392" s="443">
        <f t="shared" ca="1" si="236"/>
        <v>185988.45201872499</v>
      </c>
      <c r="AA392" s="388">
        <f t="shared" ca="1" si="229"/>
        <v>0.1428276991037043</v>
      </c>
      <c r="AB392" s="388">
        <f t="shared" ca="1" si="229"/>
        <v>0.18634070742293729</v>
      </c>
      <c r="AC392" s="388">
        <f t="shared" ca="1" si="229"/>
        <v>7.3317051043271464E-2</v>
      </c>
      <c r="AD392" s="388">
        <f t="shared" ca="1" si="229"/>
        <v>7.3728824529448511E-2</v>
      </c>
      <c r="AE392" s="388">
        <f t="shared" ca="1" si="229"/>
        <v>0.13845737840689698</v>
      </c>
      <c r="AF392" s="388">
        <f t="shared" ca="1" si="229"/>
        <v>0.18910288100816786</v>
      </c>
      <c r="AG392" s="388">
        <f t="shared" ca="1" si="229"/>
        <v>0.10274537742053758</v>
      </c>
      <c r="AH392" s="388">
        <f t="shared" ca="1" si="229"/>
        <v>8.8986468082976833E-2</v>
      </c>
    </row>
    <row r="393" spans="1:34">
      <c r="A393" s="165">
        <f t="shared" si="175"/>
        <v>1925</v>
      </c>
      <c r="B393" s="206" t="str">
        <f>IF(AND($A393&gt;=SYear_O,$A393&lt;=EYear_O),IF(B$336&gt;0,B$336*Data_All!$B62,""),"")</f>
        <v/>
      </c>
      <c r="C393" s="206">
        <f>IF(AND($A393&gt;=SYear_O,$A393&lt;=EYear_O),IF(C$336&gt;0,C$336*Data_All!$D62,""),"")</f>
        <v>15.014252708014524</v>
      </c>
      <c r="D393" s="206" t="str">
        <f>IF(AND($A393&gt;=SYear_O,$A393&lt;=EYear_O),IF(D$336&gt;0,D$336*Data_All!$T62,""),"")</f>
        <v/>
      </c>
      <c r="E393" s="206">
        <f>IF(AND($A393&gt;=SYear_O,$A393&lt;=EYear_O),IF(E$336&gt;0,E$336*Data_All!$U62,""),"")</f>
        <v>1.3669133338556883</v>
      </c>
      <c r="F393" s="206" t="str">
        <f>IF(AND($A393&gt;=SYear_O,$A393&lt;=EYear_O),IF(F$336&gt;0,F$336*Data_All!$BX62,""),"")</f>
        <v/>
      </c>
      <c r="G393" s="206" t="str">
        <f>IF(AND($A393&gt;=SYear_O,$A393&lt;=EYear_O),IF(G$336&gt;0,G$336*Data_All!$BY62,""),"")</f>
        <v/>
      </c>
      <c r="H393" s="206" t="str">
        <f>IF(AND($A393&gt;=SYear_O,$A393&lt;=EYear_O),IF(H$336&gt;0,H$336*Data_All!$BZ62,""),"")</f>
        <v/>
      </c>
      <c r="I393" s="206">
        <f t="shared" si="209"/>
        <v>16.381166041870213</v>
      </c>
      <c r="J393" s="446">
        <f t="shared" si="210"/>
        <v>251911.33916349558</v>
      </c>
      <c r="K393" s="206">
        <f>IF(AND($A393&gt;=SYear_O,$A393&lt;=EYear_O),(I393-Data_All!$CA62)/(1+Data_All!$CA62%),"")</f>
        <v>12.480121370075695</v>
      </c>
      <c r="L393" s="447">
        <f t="shared" si="211"/>
        <v>175409.96077796063</v>
      </c>
      <c r="P393">
        <f t="shared" si="176"/>
        <v>54</v>
      </c>
      <c r="Q393">
        <f t="shared" ca="1" si="173"/>
        <v>1925</v>
      </c>
      <c r="R393" s="443">
        <f t="shared" si="212"/>
        <v>278376.26449780026</v>
      </c>
      <c r="S393" s="443">
        <f t="shared" ref="S393:Z393" ca="1" si="237">IF(OFFSET(INDIRECT(S$337),$P393,0)="",S392,OFFSET(INDIRECT(S$337),$P393,0))</f>
        <v>278376.26449780026</v>
      </c>
      <c r="T393" s="443">
        <f t="shared" ca="1" si="237"/>
        <v>251911.33916349558</v>
      </c>
      <c r="U393" s="443">
        <f t="shared" ca="1" si="237"/>
        <v>316007.65527586581</v>
      </c>
      <c r="V393" s="443">
        <f t="shared" ca="1" si="237"/>
        <v>193837.91852808479</v>
      </c>
      <c r="W393" s="209">
        <f t="shared" ca="1" si="237"/>
        <v>0</v>
      </c>
      <c r="X393" s="209">
        <f t="shared" ca="1" si="237"/>
        <v>0</v>
      </c>
      <c r="Y393" s="443">
        <f t="shared" ca="1" si="237"/>
        <v>175409.96077796063</v>
      </c>
      <c r="Z393" s="443">
        <f t="shared" ca="1" si="237"/>
        <v>220041.26769974094</v>
      </c>
      <c r="AA393" s="388">
        <f t="shared" ca="1" si="229"/>
        <v>0.15932878582653531</v>
      </c>
      <c r="AB393" s="388">
        <f t="shared" ca="1" si="229"/>
        <v>0.14302481839262637</v>
      </c>
      <c r="AC393" s="388">
        <f t="shared" ca="1" si="229"/>
        <v>5.2864728926094173E-2</v>
      </c>
      <c r="AD393" s="388">
        <f t="shared" ca="1" si="229"/>
        <v>6.4298596590454116E-2</v>
      </c>
      <c r="AE393" s="388">
        <f t="shared" ca="1" si="229"/>
        <v>0.15932878582653531</v>
      </c>
      <c r="AF393" s="388">
        <f t="shared" ca="1" si="229"/>
        <v>0.14568613899038763</v>
      </c>
      <c r="AG393" s="388">
        <f t="shared" ca="1" si="229"/>
        <v>7.8507815239009071E-2</v>
      </c>
      <c r="AH393" s="388">
        <f t="shared" ca="1" si="229"/>
        <v>7.9938215395962908E-2</v>
      </c>
    </row>
    <row r="394" spans="1:34">
      <c r="A394" s="165">
        <f t="shared" si="175"/>
        <v>1926</v>
      </c>
      <c r="B394" s="206" t="str">
        <f>IF(AND($A394&gt;=SYear_O,$A394&lt;=EYear_O),IF(B$336&gt;0,B$336*Data_All!$B63,""),"")</f>
        <v/>
      </c>
      <c r="C394" s="206">
        <f>IF(AND($A394&gt;=SYear_O,$A394&lt;=EYear_O),IF(C$336&gt;0,C$336*Data_All!$D63,""),"")</f>
        <v>6.7166212695334933</v>
      </c>
      <c r="D394" s="206" t="str">
        <f>IF(AND($A394&gt;=SYear_O,$A394&lt;=EYear_O),IF(D$336&gt;0,D$336*Data_All!$T63,""),"")</f>
        <v/>
      </c>
      <c r="E394" s="206">
        <f>IF(AND($A394&gt;=SYear_O,$A394&lt;=EYear_O),IF(E$336&gt;0,E$336*Data_All!$U63,""),"")</f>
        <v>1.7598706768255958</v>
      </c>
      <c r="F394" s="206" t="str">
        <f>IF(AND($A394&gt;=SYear_O,$A394&lt;=EYear_O),IF(F$336&gt;0,F$336*Data_All!$BX63,""),"")</f>
        <v/>
      </c>
      <c r="G394" s="206" t="str">
        <f>IF(AND($A394&gt;=SYear_O,$A394&lt;=EYear_O),IF(G$336&gt;0,G$336*Data_All!$BY63,""),"")</f>
        <v/>
      </c>
      <c r="H394" s="206" t="str">
        <f>IF(AND($A394&gt;=SYear_O,$A394&lt;=EYear_O),IF(H$336&gt;0,H$336*Data_All!$BZ63,""),"")</f>
        <v/>
      </c>
      <c r="I394" s="206">
        <f t="shared" si="209"/>
        <v>8.47649194635909</v>
      </c>
      <c r="J394" s="446">
        <f t="shared" si="210"/>
        <v>273264.58353965462</v>
      </c>
      <c r="K394" s="206">
        <f>IF(AND($A394&gt;=SYear_O,$A394&lt;=EYear_O),(I394-Data_All!$CA63)/(1+Data_All!$CA63%),"")</f>
        <v>10.955954619418725</v>
      </c>
      <c r="L394" s="447">
        <f t="shared" si="211"/>
        <v>194627.79647873418</v>
      </c>
      <c r="P394">
        <f t="shared" si="176"/>
        <v>55</v>
      </c>
      <c r="Q394">
        <f t="shared" ca="1" si="173"/>
        <v>1926</v>
      </c>
      <c r="R394" s="443">
        <f t="shared" si="212"/>
        <v>302521.03477938188</v>
      </c>
      <c r="S394" s="443">
        <f t="shared" ref="S394:Z394" ca="1" si="238">IF(OFFSET(INDIRECT(S$337),$P394,0)="",S393,OFFSET(INDIRECT(S$337),$P394,0))</f>
        <v>302521.03477938188</v>
      </c>
      <c r="T394" s="443">
        <f t="shared" ca="1" si="238"/>
        <v>273264.58353965462</v>
      </c>
      <c r="U394" s="443">
        <f t="shared" ca="1" si="238"/>
        <v>349611.9580675303</v>
      </c>
      <c r="V394" s="443">
        <f t="shared" ca="1" si="238"/>
        <v>215465.178929905</v>
      </c>
      <c r="W394" s="209">
        <f t="shared" ca="1" si="238"/>
        <v>0</v>
      </c>
      <c r="X394" s="209">
        <f t="shared" ca="1" si="238"/>
        <v>0</v>
      </c>
      <c r="Y394" s="443">
        <f t="shared" ca="1" si="238"/>
        <v>194627.79647873418</v>
      </c>
      <c r="Z394" s="443">
        <f t="shared" ca="1" si="238"/>
        <v>249004.84409617941</v>
      </c>
      <c r="AA394" s="388">
        <f t="shared" ca="1" si="229"/>
        <v>0.19603187719198956</v>
      </c>
      <c r="AB394" s="388">
        <f t="shared" ca="1" si="229"/>
        <v>8.3855601412067049E-2</v>
      </c>
      <c r="AC394" s="388">
        <f t="shared" ca="1" si="229"/>
        <v>6.7272298009652953E-2</v>
      </c>
      <c r="AD394" s="388">
        <f t="shared" ca="1" si="229"/>
        <v>5.0602527077217463E-2</v>
      </c>
      <c r="AE394" s="388">
        <f t="shared" ca="1" si="229"/>
        <v>0.21439991555541993</v>
      </c>
      <c r="AF394" s="388">
        <f t="shared" ca="1" si="229"/>
        <v>0.10984571019549105</v>
      </c>
      <c r="AG394" s="388">
        <f t="shared" ca="1" si="229"/>
        <v>9.539973501922705E-2</v>
      </c>
      <c r="AH394" s="388">
        <f t="shared" ca="1" si="229"/>
        <v>6.744957584724709E-2</v>
      </c>
    </row>
    <row r="395" spans="1:34">
      <c r="A395" s="165">
        <f t="shared" si="175"/>
        <v>1927</v>
      </c>
      <c r="B395" s="206" t="str">
        <f>IF(AND($A395&gt;=SYear_O,$A395&lt;=EYear_O),IF(B$336&gt;0,B$336*Data_All!$B64,""),"")</f>
        <v/>
      </c>
      <c r="C395" s="206">
        <f>IF(AND($A395&gt;=SYear_O,$A395&lt;=EYear_O),IF(C$336&gt;0,C$336*Data_All!$D64,""),"")</f>
        <v>21.80123640557321</v>
      </c>
      <c r="D395" s="206" t="str">
        <f>IF(AND($A395&gt;=SYear_O,$A395&lt;=EYear_O),IF(D$336&gt;0,D$336*Data_All!$T64,""),"")</f>
        <v/>
      </c>
      <c r="E395" s="206">
        <f>IF(AND($A395&gt;=SYear_O,$A395&lt;=EYear_O),IF(E$336&gt;0,E$336*Data_All!$U64,""),"")</f>
        <v>0.95648257151777205</v>
      </c>
      <c r="F395" s="206" t="str">
        <f>IF(AND($A395&gt;=SYear_O,$A395&lt;=EYear_O),IF(F$336&gt;0,F$336*Data_All!$BX64,""),"")</f>
        <v/>
      </c>
      <c r="G395" s="206" t="str">
        <f>IF(AND($A395&gt;=SYear_O,$A395&lt;=EYear_O),IF(G$336&gt;0,G$336*Data_All!$BY64,""),"")</f>
        <v/>
      </c>
      <c r="H395" s="206" t="str">
        <f>IF(AND($A395&gt;=SYear_O,$A395&lt;=EYear_O),IF(H$336&gt;0,H$336*Data_All!$BZ64,""),"")</f>
        <v/>
      </c>
      <c r="I395" s="206">
        <f t="shared" si="209"/>
        <v>22.757718977090981</v>
      </c>
      <c r="J395" s="446">
        <f t="shared" si="210"/>
        <v>335453.36952552723</v>
      </c>
      <c r="K395" s="206">
        <f>IF(AND($A395&gt;=SYear_O,$A395&lt;=EYear_O),(I395-Data_All!$CA64)/(1+Data_All!$CA64%),"")</f>
        <v>24.176883358329018</v>
      </c>
      <c r="L395" s="447">
        <f t="shared" si="211"/>
        <v>241682.73181628372</v>
      </c>
      <c r="P395">
        <f t="shared" si="176"/>
        <v>56</v>
      </c>
      <c r="Q395">
        <f t="shared" ca="1" si="173"/>
        <v>1927</v>
      </c>
      <c r="R395" s="443">
        <f t="shared" si="212"/>
        <v>372036.41778045247</v>
      </c>
      <c r="S395" s="443">
        <f t="shared" ref="S395:Z395" ca="1" si="239">IF(OFFSET(INDIRECT(S$337),$P395,0)="",S394,OFFSET(INDIRECT(S$337),$P395,0))</f>
        <v>372036.41778045247</v>
      </c>
      <c r="T395" s="443">
        <f t="shared" ca="1" si="239"/>
        <v>335453.36952552723</v>
      </c>
      <c r="U395" s="443">
        <f t="shared" ca="1" si="239"/>
        <v>465033.61022474075</v>
      </c>
      <c r="V395" s="443">
        <f t="shared" ca="1" si="239"/>
        <v>268039.57256861526</v>
      </c>
      <c r="W395" s="209">
        <f t="shared" ca="1" si="239"/>
        <v>0</v>
      </c>
      <c r="X395" s="209">
        <f t="shared" ca="1" si="239"/>
        <v>0</v>
      </c>
      <c r="Y395" s="443">
        <f t="shared" ca="1" si="239"/>
        <v>241682.73181628372</v>
      </c>
      <c r="Z395" s="443">
        <f t="shared" ca="1" si="239"/>
        <v>335040.88351973362</v>
      </c>
      <c r="AA395" s="388">
        <f t="shared" ref="AA395:AH404" ca="1" si="240">IF(AA$336,IF(OFFSET(INDIRECT(AA$337),$P395,0)="","",OFFSET(INDIRECT(AA$337),$P395,0)),"")</f>
        <v>0.15477163244618697</v>
      </c>
      <c r="AB395" s="388">
        <f t="shared" ca="1" si="240"/>
        <v>5.1998459470266045E-3</v>
      </c>
      <c r="AC395" s="388">
        <f t="shared" ca="1" si="240"/>
        <v>7.8664199388919442E-2</v>
      </c>
      <c r="AD395" s="388">
        <f t="shared" ca="1" si="240"/>
        <v>4.1233043896532262E-2</v>
      </c>
      <c r="AE395" s="388">
        <f t="shared" ca="1" si="240"/>
        <v>0.16370639098851036</v>
      </c>
      <c r="AF395" s="388">
        <f t="shared" ca="1" si="240"/>
        <v>4.6629124361112995E-2</v>
      </c>
      <c r="AG395" s="388">
        <f t="shared" ca="1" si="240"/>
        <v>0.10221967342355698</v>
      </c>
      <c r="AH395" s="388">
        <f t="shared" ca="1" si="240"/>
        <v>4.8794743180308631E-2</v>
      </c>
    </row>
    <row r="396" spans="1:34">
      <c r="A396" s="165">
        <f t="shared" si="175"/>
        <v>1928</v>
      </c>
      <c r="B396" s="206" t="str">
        <f>IF(AND($A396&gt;=SYear_O,$A396&lt;=EYear_O),IF(B$336&gt;0,B$336*Data_All!$B65,""),"")</f>
        <v/>
      </c>
      <c r="C396" s="206">
        <f>IF(AND($A396&gt;=SYear_O,$A396&lt;=EYear_O),IF(C$336&gt;0,C$336*Data_All!$D65,""),"")</f>
        <v>27.848375958246894</v>
      </c>
      <c r="D396" s="206" t="str">
        <f>IF(AND($A396&gt;=SYear_O,$A396&lt;=EYear_O),IF(D$336&gt;0,D$336*Data_All!$T65,""),"")</f>
        <v/>
      </c>
      <c r="E396" s="206">
        <f>IF(AND($A396&gt;=SYear_O,$A396&lt;=EYear_O),IF(E$336&gt;0,E$336*Data_All!$U65,""),"")</f>
        <v>-5.8429553562038467E-2</v>
      </c>
      <c r="F396" s="206" t="str">
        <f>IF(AND($A396&gt;=SYear_O,$A396&lt;=EYear_O),IF(F$336&gt;0,F$336*Data_All!$BX65,""),"")</f>
        <v/>
      </c>
      <c r="G396" s="206" t="str">
        <f>IF(AND($A396&gt;=SYear_O,$A396&lt;=EYear_O),IF(G$336&gt;0,G$336*Data_All!$BY65,""),"")</f>
        <v/>
      </c>
      <c r="H396" s="206" t="str">
        <f>IF(AND($A396&gt;=SYear_O,$A396&lt;=EYear_O),IF(H$336&gt;0,H$336*Data_All!$BZ65,""),"")</f>
        <v/>
      </c>
      <c r="I396" s="206">
        <f t="shared" si="209"/>
        <v>27.789946404684855</v>
      </c>
      <c r="J396" s="446">
        <f t="shared" si="210"/>
        <v>428675.68112938071</v>
      </c>
      <c r="K396" s="206">
        <f>IF(AND($A396&gt;=SYear_O,$A396&lt;=EYear_O),(I396-Data_All!$CA65)/(1+Data_All!$CA65%),"")</f>
        <v>29.284565660879998</v>
      </c>
      <c r="L396" s="447">
        <f t="shared" si="211"/>
        <v>312458.47010603186</v>
      </c>
      <c r="P396">
        <f t="shared" si="176"/>
        <v>57</v>
      </c>
      <c r="Q396">
        <f t="shared" ca="1" si="173"/>
        <v>1928</v>
      </c>
      <c r="R396" s="443">
        <f t="shared" si="212"/>
        <v>476277.94078002678</v>
      </c>
      <c r="S396" s="443">
        <f t="shared" ref="S396:Z396" ca="1" si="241">IF(OFFSET(INDIRECT(S$337),$P396,0)="",S395,OFFSET(INDIRECT(S$337),$P396,0))</f>
        <v>476277.94078002678</v>
      </c>
      <c r="T396" s="443">
        <f t="shared" ca="1" si="241"/>
        <v>428675.68112938071</v>
      </c>
      <c r="U396" s="443">
        <f t="shared" ca="1" si="241"/>
        <v>664546.56670252699</v>
      </c>
      <c r="V396" s="443">
        <f t="shared" ca="1" si="241"/>
        <v>347155.39806062228</v>
      </c>
      <c r="W396" s="209">
        <f t="shared" ca="1" si="241"/>
        <v>0</v>
      </c>
      <c r="X396" s="209">
        <f t="shared" ca="1" si="241"/>
        <v>0</v>
      </c>
      <c r="Y396" s="443">
        <f t="shared" ca="1" si="241"/>
        <v>312458.47010603186</v>
      </c>
      <c r="Z396" s="443">
        <f t="shared" ca="1" si="241"/>
        <v>484382.97922344238</v>
      </c>
      <c r="AA396" s="388">
        <f t="shared" ca="1" si="240"/>
        <v>3.824845516839126E-2</v>
      </c>
      <c r="AB396" s="388">
        <f t="shared" ca="1" si="240"/>
        <v>-3.9010982556136664E-2</v>
      </c>
      <c r="AC396" s="388">
        <f t="shared" ca="1" si="240"/>
        <v>3.6563252118736012E-2</v>
      </c>
      <c r="AD396" s="388">
        <f t="shared" ca="1" si="240"/>
        <v>3.5226042366808041E-2</v>
      </c>
      <c r="AE396" s="388">
        <f t="shared" ca="1" si="240"/>
        <v>6.7868116370123355E-2</v>
      </c>
      <c r="AF396" s="388">
        <f t="shared" ca="1" si="240"/>
        <v>1.9083342782920676E-2</v>
      </c>
      <c r="AG396" s="388">
        <f t="shared" ca="1" si="240"/>
        <v>5.7235126783020895E-2</v>
      </c>
      <c r="AH396" s="388">
        <f t="shared" ca="1" si="240"/>
        <v>3.6841763127491101E-2</v>
      </c>
    </row>
    <row r="397" spans="1:34">
      <c r="A397" s="165">
        <f t="shared" si="175"/>
        <v>1929</v>
      </c>
      <c r="B397" s="206" t="str">
        <f>IF(AND($A397&gt;=SYear_O,$A397&lt;=EYear_O),IF(B$336&gt;0,B$336*Data_All!$B66,""),"")</f>
        <v/>
      </c>
      <c r="C397" s="206">
        <f>IF(AND($A397&gt;=SYear_O,$A397&lt;=EYear_O),IF(C$336&gt;0,C$336*Data_All!$D66,""),"")</f>
        <v>-5.3543617844836762</v>
      </c>
      <c r="D397" s="206" t="str">
        <f>IF(AND($A397&gt;=SYear_O,$A397&lt;=EYear_O),IF(D$336&gt;0,D$336*Data_All!$T66,""),"")</f>
        <v/>
      </c>
      <c r="E397" s="206">
        <f>IF(AND($A397&gt;=SYear_O,$A397&lt;=EYear_O),IF(E$336&gt;0,E$336*Data_All!$U66,""),"")</f>
        <v>2.9855316704981147</v>
      </c>
      <c r="F397" s="206" t="str">
        <f>IF(AND($A397&gt;=SYear_O,$A397&lt;=EYear_O),IF(F$336&gt;0,F$336*Data_All!$BX66,""),"")</f>
        <v/>
      </c>
      <c r="G397" s="206" t="str">
        <f>IF(AND($A397&gt;=SYear_O,$A397&lt;=EYear_O),IF(G$336&gt;0,G$336*Data_All!$BY66,""),"")</f>
        <v/>
      </c>
      <c r="H397" s="206" t="str">
        <f>IF(AND($A397&gt;=SYear_O,$A397&lt;=EYear_O),IF(H$336&gt;0,H$336*Data_All!$BZ66,""),"")</f>
        <v/>
      </c>
      <c r="I397" s="206">
        <f t="shared" si="209"/>
        <v>-2.3688301139855614</v>
      </c>
      <c r="J397" s="446">
        <f t="shared" si="210"/>
        <v>418521.08250345523</v>
      </c>
      <c r="K397" s="206">
        <f>IF(AND($A397&gt;=SYear_O,$A397&lt;=EYear_O),(I397-Data_All!$CA66)/(1+Data_All!$CA66%),"")</f>
        <v>-2.3688301139855614</v>
      </c>
      <c r="L397" s="447">
        <f t="shared" si="211"/>
        <v>305056.85977246158</v>
      </c>
      <c r="P397">
        <f t="shared" si="176"/>
        <v>58</v>
      </c>
      <c r="Q397">
        <f t="shared" ca="1" si="173"/>
        <v>1929</v>
      </c>
      <c r="R397" s="443">
        <f t="shared" si="212"/>
        <v>465847.63740741857</v>
      </c>
      <c r="S397" s="443">
        <f t="shared" ref="S397:Z397" ca="1" si="242">IF(OFFSET(INDIRECT(S$337),$P397,0)="",S396,OFFSET(INDIRECT(S$337),$P397,0))</f>
        <v>465847.63740741857</v>
      </c>
      <c r="T397" s="443">
        <f t="shared" ca="1" si="242"/>
        <v>418521.08250345523</v>
      </c>
      <c r="U397" s="443">
        <f t="shared" ca="1" si="242"/>
        <v>612445.34818882146</v>
      </c>
      <c r="V397" s="443">
        <f t="shared" ca="1" si="242"/>
        <v>339552.8286170729</v>
      </c>
      <c r="W397" s="209">
        <f t="shared" ca="1" si="242"/>
        <v>2.1899614656782029E-2</v>
      </c>
      <c r="X397" s="209">
        <f t="shared" ca="1" si="242"/>
        <v>7.8401155200050532E-2</v>
      </c>
      <c r="Y397" s="443">
        <f t="shared" ca="1" si="242"/>
        <v>305056.85977246158</v>
      </c>
      <c r="Z397" s="443">
        <f t="shared" ca="1" si="242"/>
        <v>446406.79409308243</v>
      </c>
      <c r="AA397" s="388">
        <f t="shared" ca="1" si="240"/>
        <v>-0.13293352969166028</v>
      </c>
      <c r="AB397" s="388">
        <f t="shared" ca="1" si="240"/>
        <v>-2.8938748496028066E-2</v>
      </c>
      <c r="AC397" s="388">
        <f t="shared" ca="1" si="240"/>
        <v>2.1497249603025237E-2</v>
      </c>
      <c r="AD397" s="388">
        <f t="shared" ca="1" si="240"/>
        <v>2.7920889029831919E-2</v>
      </c>
      <c r="AE397" s="388">
        <f t="shared" ca="1" si="240"/>
        <v>-7.9679526993045036E-2</v>
      </c>
      <c r="AF397" s="388">
        <f t="shared" ca="1" si="240"/>
        <v>2.2659508142265583E-2</v>
      </c>
      <c r="AG397" s="388">
        <f t="shared" ca="1" si="240"/>
        <v>4.2135065313457787E-2</v>
      </c>
      <c r="AH397" s="388">
        <f t="shared" ca="1" si="240"/>
        <v>2.672975731646976E-2</v>
      </c>
    </row>
    <row r="398" spans="1:34">
      <c r="A398" s="165">
        <f t="shared" si="175"/>
        <v>1930</v>
      </c>
      <c r="B398" s="206" t="str">
        <f>IF(AND($A398&gt;=SYear_O,$A398&lt;=EYear_O),IF(B$336&gt;0,B$336*Data_All!$B67,""),"")</f>
        <v/>
      </c>
      <c r="C398" s="206">
        <f>IF(AND($A398&gt;=SYear_O,$A398&lt;=EYear_O),IF(C$336&gt;0,C$336*Data_All!$D67,""),"")</f>
        <v>-13.207138835881349</v>
      </c>
      <c r="D398" s="206" t="str">
        <f>IF(AND($A398&gt;=SYear_O,$A398&lt;=EYear_O),IF(D$336&gt;0,D$336*Data_All!$T67,""),"")</f>
        <v/>
      </c>
      <c r="E398" s="206">
        <f>IF(AND($A398&gt;=SYear_O,$A398&lt;=EYear_O),IF(E$336&gt;0,E$336*Data_All!$U67,""),"")</f>
        <v>2.4237903714051061</v>
      </c>
      <c r="F398" s="206" t="str">
        <f>IF(AND($A398&gt;=SYear_O,$A398&lt;=EYear_O),IF(F$336&gt;0,F$336*Data_All!$BX67,""),"")</f>
        <v/>
      </c>
      <c r="G398" s="206" t="str">
        <f>IF(AND($A398&gt;=SYear_O,$A398&lt;=EYear_O),IF(G$336&gt;0,G$336*Data_All!$BY67,""),"")</f>
        <v/>
      </c>
      <c r="H398" s="206" t="str">
        <f>IF(AND($A398&gt;=SYear_O,$A398&lt;=EYear_O),IF(H$336&gt;0,H$336*Data_All!$BZ67,""),"")</f>
        <v/>
      </c>
      <c r="I398" s="206">
        <f t="shared" si="209"/>
        <v>-10.783348464476243</v>
      </c>
      <c r="J398" s="446">
        <f t="shared" si="210"/>
        <v>373390.49577980954</v>
      </c>
      <c r="K398" s="206">
        <f>IF(AND($A398&gt;=SYear_O,$A398&lt;=EYear_O),(I398-Data_All!$CA67)/(1+Data_All!$CA67%),"")</f>
        <v>-4.050016273115947</v>
      </c>
      <c r="L398" s="447">
        <f t="shared" si="211"/>
        <v>292702.00730942038</v>
      </c>
      <c r="P398">
        <f t="shared" si="176"/>
        <v>59</v>
      </c>
      <c r="Q398">
        <f t="shared" ca="1" si="173"/>
        <v>1930</v>
      </c>
      <c r="R398" s="443">
        <f t="shared" si="212"/>
        <v>416379.49564748886</v>
      </c>
      <c r="S398" s="443">
        <f t="shared" ref="S398:Z398" ca="1" si="243">IF(OFFSET(INDIRECT(S$337),$P398,0)="",S397,OFFSET(INDIRECT(S$337),$P398,0))</f>
        <v>416379.49564748886</v>
      </c>
      <c r="T398" s="443">
        <f t="shared" ca="1" si="243"/>
        <v>373390.49577980954</v>
      </c>
      <c r="U398" s="443">
        <f t="shared" ca="1" si="243"/>
        <v>489824.0681880613</v>
      </c>
      <c r="V398" s="443">
        <f t="shared" ca="1" si="243"/>
        <v>326401.22219493933</v>
      </c>
      <c r="W398" s="209">
        <f t="shared" ca="1" si="243"/>
        <v>0.12576363506241528</v>
      </c>
      <c r="X398" s="209">
        <f t="shared" ca="1" si="243"/>
        <v>0.26291987238973624</v>
      </c>
      <c r="Y398" s="443">
        <f t="shared" ca="1" si="243"/>
        <v>292702.00730942038</v>
      </c>
      <c r="Z398" s="443">
        <f t="shared" ca="1" si="243"/>
        <v>383974.65818642487</v>
      </c>
      <c r="AA398" s="388">
        <f t="shared" ca="1" si="240"/>
        <v>-0.13175046456341644</v>
      </c>
      <c r="AB398" s="388">
        <f t="shared" ca="1" si="240"/>
        <v>-3.0183667424234062E-2</v>
      </c>
      <c r="AC398" s="388">
        <f t="shared" ca="1" si="240"/>
        <v>2.6992812296778856E-2</v>
      </c>
      <c r="AD398" s="388">
        <f t="shared" ca="1" si="240"/>
        <v>3.7684410914434086E-2</v>
      </c>
      <c r="AE398" s="388">
        <f t="shared" ca="1" si="240"/>
        <v>-4.6223334670281835E-2</v>
      </c>
      <c r="AF398" s="388">
        <f t="shared" ca="1" si="240"/>
        <v>1.5268552133002267E-2</v>
      </c>
      <c r="AG398" s="388">
        <f t="shared" ca="1" si="240"/>
        <v>4.8492999358702438E-2</v>
      </c>
      <c r="AH398" s="388">
        <f t="shared" ca="1" si="240"/>
        <v>3.4912659846591865E-2</v>
      </c>
    </row>
    <row r="399" spans="1:34">
      <c r="A399" s="165">
        <f t="shared" si="175"/>
        <v>1931</v>
      </c>
      <c r="B399" s="206" t="str">
        <f>IF(AND($A399&gt;=SYear_O,$A399&lt;=EYear_O),IF(B$336&gt;0,B$336*Data_All!$B68,""),"")</f>
        <v/>
      </c>
      <c r="C399" s="206">
        <f>IF(AND($A399&gt;=SYear_O,$A399&lt;=EYear_O),IF(C$336&gt;0,C$336*Data_All!$D68,""),"")</f>
        <v>-25.815310467824222</v>
      </c>
      <c r="D399" s="206" t="str">
        <f>IF(AND($A399&gt;=SYear_O,$A399&lt;=EYear_O),IF(D$336&gt;0,D$336*Data_All!$T68,""),"")</f>
        <v/>
      </c>
      <c r="E399" s="206">
        <f>IF(AND($A399&gt;=SYear_O,$A399&lt;=EYear_O),IF(E$336&gt;0,E$336*Data_All!$U68,""),"")</f>
        <v>0.24056281845301442</v>
      </c>
      <c r="F399" s="206" t="str">
        <f>IF(AND($A399&gt;=SYear_O,$A399&lt;=EYear_O),IF(F$336&gt;0,F$336*Data_All!$BX68,""),"")</f>
        <v/>
      </c>
      <c r="G399" s="206" t="str">
        <f>IF(AND($A399&gt;=SYear_O,$A399&lt;=EYear_O),IF(G$336&gt;0,G$336*Data_All!$BY68,""),"")</f>
        <v/>
      </c>
      <c r="H399" s="206" t="str">
        <f>IF(AND($A399&gt;=SYear_O,$A399&lt;=EYear_O),IF(H$336&gt;0,H$336*Data_All!$BZ68,""),"")</f>
        <v/>
      </c>
      <c r="I399" s="206">
        <f t="shared" si="209"/>
        <v>-25.574747649371208</v>
      </c>
      <c r="J399" s="446">
        <f t="shared" si="210"/>
        <v>277896.81873738719</v>
      </c>
      <c r="K399" s="206">
        <f>IF(AND($A399&gt;=SYear_O,$A399&lt;=EYear_O),(I399-Data_All!$CA68)/(1+Data_All!$CA68%),"")</f>
        <v>-17.247446687063093</v>
      </c>
      <c r="L399" s="447">
        <f t="shared" si="211"/>
        <v>242218.38464676458</v>
      </c>
      <c r="P399">
        <f t="shared" si="176"/>
        <v>60</v>
      </c>
      <c r="Q399">
        <f t="shared" ca="1" si="173"/>
        <v>1931</v>
      </c>
      <c r="R399" s="443">
        <f t="shared" si="212"/>
        <v>310468.57194130402</v>
      </c>
      <c r="S399" s="443">
        <f t="shared" ref="S399:Z399" ca="1" si="244">IF(OFFSET(INDIRECT(S$337),$P399,0)="",S398,OFFSET(INDIRECT(S$337),$P399,0))</f>
        <v>310468.57194130402</v>
      </c>
      <c r="T399" s="443">
        <f t="shared" ca="1" si="244"/>
        <v>277896.81873738719</v>
      </c>
      <c r="U399" s="443">
        <f t="shared" ca="1" si="244"/>
        <v>298332.24253387726</v>
      </c>
      <c r="V399" s="443">
        <f t="shared" ca="1" si="244"/>
        <v>270608.33701113996</v>
      </c>
      <c r="W399" s="209">
        <f t="shared" ca="1" si="244"/>
        <v>0.34813573050888635</v>
      </c>
      <c r="X399" s="209">
        <f t="shared" ca="1" si="244"/>
        <v>0.55107398415403952</v>
      </c>
      <c r="Y399" s="443">
        <f t="shared" ca="1" si="244"/>
        <v>242218.38464676458</v>
      </c>
      <c r="Z399" s="443">
        <f t="shared" ca="1" si="244"/>
        <v>260030.15868594692</v>
      </c>
      <c r="AA399" s="388">
        <f t="shared" ca="1" si="240"/>
        <v>-4.1328228518537902E-3</v>
      </c>
      <c r="AB399" s="388">
        <f t="shared" ca="1" si="240"/>
        <v>5.0942723933708134E-2</v>
      </c>
      <c r="AC399" s="388">
        <f t="shared" ca="1" si="240"/>
        <v>3.4360550099485021E-2</v>
      </c>
      <c r="AD399" s="388">
        <f t="shared" ca="1" si="240"/>
        <v>6.0750572078087206E-2</v>
      </c>
      <c r="AE399" s="388">
        <f t="shared" ca="1" si="240"/>
        <v>5.9601301431474019E-2</v>
      </c>
      <c r="AF399" s="388">
        <f t="shared" ca="1" si="240"/>
        <v>8.1141791563837495E-2</v>
      </c>
      <c r="AG399" s="388">
        <f t="shared" ca="1" si="240"/>
        <v>4.6862756812234618E-2</v>
      </c>
      <c r="AH399" s="388">
        <f t="shared" ca="1" si="240"/>
        <v>5.1239466302889891E-2</v>
      </c>
    </row>
    <row r="400" spans="1:34">
      <c r="A400" s="165">
        <f t="shared" si="175"/>
        <v>1932</v>
      </c>
      <c r="B400" s="206" t="str">
        <f>IF(AND($A400&gt;=SYear_O,$A400&lt;=EYear_O),IF(B$336&gt;0,B$336*Data_All!$B69,""),"")</f>
        <v/>
      </c>
      <c r="C400" s="206">
        <f>IF(AND($A400&gt;=SYear_O,$A400&lt;=EYear_O),IF(C$336&gt;0,C$336*Data_All!$D69,""),"")</f>
        <v>-5.2256465213955599</v>
      </c>
      <c r="D400" s="206" t="str">
        <f>IF(AND($A400&gt;=SYear_O,$A400&lt;=EYear_O),IF(D$336&gt;0,D$336*Data_All!$T69,""),"")</f>
        <v/>
      </c>
      <c r="E400" s="206">
        <f>IF(AND($A400&gt;=SYear_O,$A400&lt;=EYear_O),IF(E$336&gt;0,E$336*Data_All!$U69,""),"")</f>
        <v>3.2569707075251553</v>
      </c>
      <c r="F400" s="206" t="str">
        <f>IF(AND($A400&gt;=SYear_O,$A400&lt;=EYear_O),IF(F$336&gt;0,F$336*Data_All!$BX69,""),"")</f>
        <v/>
      </c>
      <c r="G400" s="206" t="str">
        <f>IF(AND($A400&gt;=SYear_O,$A400&lt;=EYear_O),IF(G$336&gt;0,G$336*Data_All!$BY69,""),"")</f>
        <v/>
      </c>
      <c r="H400" s="206" t="str">
        <f>IF(AND($A400&gt;=SYear_O,$A400&lt;=EYear_O),IF(H$336&gt;0,H$336*Data_All!$BZ69,""),"")</f>
        <v/>
      </c>
      <c r="I400" s="206">
        <f t="shared" si="209"/>
        <v>-1.9686758138704046</v>
      </c>
      <c r="J400" s="446">
        <f t="shared" si="210"/>
        <v>272425.93127938895</v>
      </c>
      <c r="K400" s="206">
        <f>IF(AND($A400&gt;=SYear_O,$A400&lt;=EYear_O),(I400-Data_All!$CA69)/(1+Data_All!$CA69%),"")</f>
        <v>8.6703826249343585</v>
      </c>
      <c r="L400" s="447">
        <f t="shared" si="211"/>
        <v>263219.6453835743</v>
      </c>
      <c r="P400">
        <f t="shared" si="176"/>
        <v>61</v>
      </c>
      <c r="Q400">
        <f t="shared" ca="1" si="173"/>
        <v>1932</v>
      </c>
      <c r="R400" s="443">
        <f t="shared" si="212"/>
        <v>304914.14801442786</v>
      </c>
      <c r="S400" s="443">
        <f t="shared" ref="S400:Z400" ca="1" si="245">IF(OFFSET(INDIRECT(S$337),$P400,0)="",S399,OFFSET(INDIRECT(S$337),$P400,0))</f>
        <v>304914.14801442786</v>
      </c>
      <c r="T400" s="443">
        <f t="shared" ca="1" si="245"/>
        <v>272425.93127938895</v>
      </c>
      <c r="U400" s="443">
        <f t="shared" ca="1" si="245"/>
        <v>280134.85815849586</v>
      </c>
      <c r="V400" s="443">
        <f t="shared" ca="1" si="245"/>
        <v>294609.96438874863</v>
      </c>
      <c r="W400" s="209">
        <f t="shared" ca="1" si="245"/>
        <v>0.35979787870281565</v>
      </c>
      <c r="X400" s="209">
        <f t="shared" ca="1" si="245"/>
        <v>0.57845714326909836</v>
      </c>
      <c r="Y400" s="443">
        <f t="shared" ca="1" si="245"/>
        <v>263219.6453835743</v>
      </c>
      <c r="Z400" s="443">
        <f t="shared" ca="1" si="245"/>
        <v>270668.0589390574</v>
      </c>
      <c r="AA400" s="388">
        <f t="shared" ca="1" si="240"/>
        <v>8.7822174395488339E-2</v>
      </c>
      <c r="AB400" s="388">
        <f t="shared" ca="1" si="240"/>
        <v>0.15749764560216106</v>
      </c>
      <c r="AC400" s="388">
        <f t="shared" ca="1" si="240"/>
        <v>5.9731165255672902E-2</v>
      </c>
      <c r="AD400" s="388">
        <f t="shared" ca="1" si="240"/>
        <v>7.7015291141923736E-2</v>
      </c>
      <c r="AE400" s="388">
        <f t="shared" ca="1" si="240"/>
        <v>0.10617443456118969</v>
      </c>
      <c r="AF400" s="388">
        <f t="shared" ca="1" si="240"/>
        <v>0.16076285305315663</v>
      </c>
      <c r="AG400" s="388">
        <f t="shared" ca="1" si="240"/>
        <v>4.9879232371456528E-2</v>
      </c>
      <c r="AH400" s="388">
        <f t="shared" ca="1" si="240"/>
        <v>4.8129733193277735E-2</v>
      </c>
    </row>
    <row r="401" spans="1:34">
      <c r="A401" s="165">
        <f t="shared" si="175"/>
        <v>1933</v>
      </c>
      <c r="B401" s="206" t="str">
        <f>IF(AND($A401&gt;=SYear_O,$A401&lt;=EYear_O),IF(B$336&gt;0,B$336*Data_All!$B70,""),"")</f>
        <v/>
      </c>
      <c r="C401" s="206">
        <f>IF(AND($A401&gt;=SYear_O,$A401&lt;=EYear_O),IF(C$336&gt;0,C$336*Data_All!$D70,""),"")</f>
        <v>32.761909830861569</v>
      </c>
      <c r="D401" s="206" t="str">
        <f>IF(AND($A401&gt;=SYear_O,$A401&lt;=EYear_O),IF(D$336&gt;0,D$336*Data_All!$T70,""),"")</f>
        <v/>
      </c>
      <c r="E401" s="206">
        <f>IF(AND($A401&gt;=SYear_O,$A401&lt;=EYear_O),IF(E$336&gt;0,E$336*Data_All!$U70,""),"")</f>
        <v>1.8668652855315093</v>
      </c>
      <c r="F401" s="206" t="str">
        <f>IF(AND($A401&gt;=SYear_O,$A401&lt;=EYear_O),IF(F$336&gt;0,F$336*Data_All!$BX70,""),"")</f>
        <v/>
      </c>
      <c r="G401" s="206" t="str">
        <f>IF(AND($A401&gt;=SYear_O,$A401&lt;=EYear_O),IF(G$336&gt;0,G$336*Data_All!$BY70,""),"")</f>
        <v/>
      </c>
      <c r="H401" s="206" t="str">
        <f>IF(AND($A401&gt;=SYear_O,$A401&lt;=EYear_O),IF(H$336&gt;0,H$336*Data_All!$BZ70,""),"")</f>
        <v/>
      </c>
      <c r="I401" s="206">
        <f t="shared" si="209"/>
        <v>34.628775116393079</v>
      </c>
      <c r="J401" s="446">
        <f t="shared" si="210"/>
        <v>366763.69438086811</v>
      </c>
      <c r="K401" s="206">
        <f>IF(AND($A401&gt;=SYear_O,$A401&lt;=EYear_O),(I401-Data_All!$CA70)/(1+Data_All!$CA70%),"")</f>
        <v>31.569030227384168</v>
      </c>
      <c r="L401" s="447">
        <f t="shared" si="211"/>
        <v>346315.53479912831</v>
      </c>
      <c r="P401">
        <f t="shared" si="176"/>
        <v>62</v>
      </c>
      <c r="Q401">
        <f t="shared" ca="1" si="173"/>
        <v>1933</v>
      </c>
      <c r="R401" s="443">
        <f t="shared" si="212"/>
        <v>411238.33373755403</v>
      </c>
      <c r="S401" s="443">
        <f t="shared" ref="S401:Z401" ca="1" si="246">IF(OFFSET(INDIRECT(S$337),$P401,0)="",S400,OFFSET(INDIRECT(S$337),$P401,0))</f>
        <v>411238.33373755403</v>
      </c>
      <c r="T401" s="443">
        <f t="shared" ca="1" si="246"/>
        <v>366763.69438086811</v>
      </c>
      <c r="U401" s="443">
        <f t="shared" ca="1" si="246"/>
        <v>410381.16067570518</v>
      </c>
      <c r="V401" s="443">
        <f t="shared" ca="1" si="246"/>
        <v>388310.58160933573</v>
      </c>
      <c r="W401" s="209">
        <f t="shared" ca="1" si="246"/>
        <v>0.13655809239444039</v>
      </c>
      <c r="X401" s="209">
        <f t="shared" ca="1" si="246"/>
        <v>0.38246440319146913</v>
      </c>
      <c r="Y401" s="443">
        <f t="shared" ca="1" si="246"/>
        <v>346315.53479912831</v>
      </c>
      <c r="Z401" s="443">
        <f t="shared" ca="1" si="246"/>
        <v>387501.1984782418</v>
      </c>
      <c r="AA401" s="388">
        <f t="shared" ca="1" si="240"/>
        <v>0.20522740738959011</v>
      </c>
      <c r="AB401" s="388">
        <f t="shared" ca="1" si="240"/>
        <v>0.11808080648094976</v>
      </c>
      <c r="AC401" s="388">
        <f t="shared" ca="1" si="240"/>
        <v>7.4468210321978479E-2</v>
      </c>
      <c r="AD401" s="388">
        <f t="shared" ca="1" si="240"/>
        <v>7.994034442833553E-2</v>
      </c>
      <c r="AE401" s="388">
        <f t="shared" ca="1" si="240"/>
        <v>0.17843565405013218</v>
      </c>
      <c r="AF401" s="388">
        <f t="shared" ca="1" si="240"/>
        <v>9.681521263173698E-2</v>
      </c>
      <c r="AG401" s="388">
        <f t="shared" ca="1" si="240"/>
        <v>4.5836684463341326E-2</v>
      </c>
      <c r="AH401" s="388">
        <f t="shared" ca="1" si="240"/>
        <v>3.7024913814114768E-2</v>
      </c>
    </row>
    <row r="402" spans="1:34">
      <c r="A402" s="165">
        <f t="shared" si="175"/>
        <v>1934</v>
      </c>
      <c r="B402" s="206" t="str">
        <f>IF(AND($A402&gt;=SYear_O,$A402&lt;=EYear_O),IF(B$336&gt;0,B$336*Data_All!$B71,""),"")</f>
        <v/>
      </c>
      <c r="C402" s="206">
        <f>IF(AND($A402&gt;=SYear_O,$A402&lt;=EYear_O),IF(C$336&gt;0,C$336*Data_All!$D71,""),"")</f>
        <v>-4.8186659528895746</v>
      </c>
      <c r="D402" s="206" t="str">
        <f>IF(AND($A402&gt;=SYear_O,$A402&lt;=EYear_O),IF(D$336&gt;0,D$336*Data_All!$T71,""),"")</f>
        <v/>
      </c>
      <c r="E402" s="206">
        <f>IF(AND($A402&gt;=SYear_O,$A402&lt;=EYear_O),IF(E$336&gt;0,E$336*Data_All!$U71,""),"")</f>
        <v>1.8258783663623863</v>
      </c>
      <c r="F402" s="206" t="str">
        <f>IF(AND($A402&gt;=SYear_O,$A402&lt;=EYear_O),IF(F$336&gt;0,F$336*Data_All!$BX71,""),"")</f>
        <v/>
      </c>
      <c r="G402" s="206" t="str">
        <f>IF(AND($A402&gt;=SYear_O,$A402&lt;=EYear_O),IF(G$336&gt;0,G$336*Data_All!$BY71,""),"")</f>
        <v/>
      </c>
      <c r="H402" s="206" t="str">
        <f>IF(AND($A402&gt;=SYear_O,$A402&lt;=EYear_O),IF(H$336&gt;0,H$336*Data_All!$BZ71,""),"")</f>
        <v/>
      </c>
      <c r="I402" s="206">
        <f t="shared" si="209"/>
        <v>-2.9927875865271885</v>
      </c>
      <c r="J402" s="446">
        <f t="shared" si="210"/>
        <v>355787.23606354895</v>
      </c>
      <c r="K402" s="206">
        <f>IF(AND($A402&gt;=SYear_O,$A402&lt;=EYear_O),(I402-Data_All!$CA71)/(1+Data_All!$CA71%),"")</f>
        <v>-5.8459408928057979</v>
      </c>
      <c r="L402" s="447">
        <f t="shared" si="211"/>
        <v>326070.13333216694</v>
      </c>
      <c r="P402">
        <f t="shared" si="176"/>
        <v>63</v>
      </c>
      <c r="Q402">
        <f t="shared" ca="1" si="173"/>
        <v>1934</v>
      </c>
      <c r="R402" s="443">
        <f t="shared" si="212"/>
        <v>399660.62758268329</v>
      </c>
      <c r="S402" s="443">
        <f t="shared" ref="S402:Z402" ca="1" si="247">IF(OFFSET(INDIRECT(S$337),$P402,0)="",S401,OFFSET(INDIRECT(S$337),$P402,0))</f>
        <v>399660.62758268329</v>
      </c>
      <c r="T402" s="443">
        <f t="shared" ca="1" si="247"/>
        <v>355787.23606354895</v>
      </c>
      <c r="U402" s="443">
        <f t="shared" ca="1" si="247"/>
        <v>384288.06062310329</v>
      </c>
      <c r="V402" s="443">
        <f t="shared" ca="1" si="247"/>
        <v>366279.00305065053</v>
      </c>
      <c r="W402" s="209">
        <f t="shared" ca="1" si="247"/>
        <v>0.16086681040037887</v>
      </c>
      <c r="X402" s="209">
        <f t="shared" ca="1" si="247"/>
        <v>0.42172892032241382</v>
      </c>
      <c r="Y402" s="443">
        <f t="shared" ca="1" si="247"/>
        <v>326070.13333216694</v>
      </c>
      <c r="Z402" s="443">
        <f t="shared" ca="1" si="247"/>
        <v>352190.42861603375</v>
      </c>
      <c r="AA402" s="388">
        <f t="shared" ca="1" si="240"/>
        <v>0.16191639099258759</v>
      </c>
      <c r="AB402" s="388">
        <f t="shared" ca="1" si="240"/>
        <v>7.4552845487808383E-2</v>
      </c>
      <c r="AC402" s="388">
        <f t="shared" ca="1" si="240"/>
        <v>5.7587295775955782E-2</v>
      </c>
      <c r="AD402" s="388">
        <f t="shared" ca="1" si="240"/>
        <v>6.33329785842911E-2</v>
      </c>
      <c r="AE402" s="388">
        <f t="shared" ca="1" si="240"/>
        <v>0.13664928861606462</v>
      </c>
      <c r="AF402" s="388">
        <f t="shared" ca="1" si="240"/>
        <v>6.1981515557181455E-2</v>
      </c>
      <c r="AG402" s="388">
        <f t="shared" ca="1" si="240"/>
        <v>2.8770952822707585E-2</v>
      </c>
      <c r="AH402" s="388">
        <f t="shared" ca="1" si="240"/>
        <v>2.1786427054667934E-2</v>
      </c>
    </row>
    <row r="403" spans="1:34">
      <c r="A403" s="165">
        <f t="shared" si="175"/>
        <v>1935</v>
      </c>
      <c r="B403" s="206" t="str">
        <f>IF(AND($A403&gt;=SYear_O,$A403&lt;=EYear_O),IF(B$336&gt;0,B$336*Data_All!$B72,""),"")</f>
        <v/>
      </c>
      <c r="C403" s="206">
        <f>IF(AND($A403&gt;=SYear_O,$A403&lt;=EYear_O),IF(C$336&gt;0,C$336*Data_All!$D72,""),"")</f>
        <v>32.046544632224574</v>
      </c>
      <c r="D403" s="206" t="str">
        <f>IF(AND($A403&gt;=SYear_O,$A403&lt;=EYear_O),IF(D$336&gt;0,D$336*Data_All!$T72,""),"")</f>
        <v/>
      </c>
      <c r="E403" s="206">
        <f>IF(AND($A403&gt;=SYear_O,$A403&lt;=EYear_O),IF(E$336&gt;0,E$336*Data_All!$U72,""),"")</f>
        <v>1.2795828656729418</v>
      </c>
      <c r="F403" s="206" t="str">
        <f>IF(AND($A403&gt;=SYear_O,$A403&lt;=EYear_O),IF(F$336&gt;0,F$336*Data_All!$BX72,""),"")</f>
        <v/>
      </c>
      <c r="G403" s="206" t="str">
        <f>IF(AND($A403&gt;=SYear_O,$A403&lt;=EYear_O),IF(G$336&gt;0,G$336*Data_All!$BY72,""),"")</f>
        <v/>
      </c>
      <c r="H403" s="206" t="str">
        <f>IF(AND($A403&gt;=SYear_O,$A403&lt;=EYear_O),IF(H$336&gt;0,H$336*Data_All!$BZ72,""),"")</f>
        <v/>
      </c>
      <c r="I403" s="206">
        <f t="shared" ref="I403:I434" si="248">IF(AND($A403&gt;=SYear_O,$A403&lt;=EYear_O),SUM(B403:H403),"")</f>
        <v>33.326127497897517</v>
      </c>
      <c r="J403" s="446">
        <f t="shared" ref="J403:J434" si="249">IF(AND($A403&gt;=SYear_O,$A403&lt;=EYear_O),IF($A403=SYear_O,$J$338*(1+I403%),$J402*(1+I403%)),"")</f>
        <v>474357.34397533286</v>
      </c>
      <c r="K403" s="206">
        <f>IF(AND($A403&gt;=SYear_O,$A403&lt;=EYear_O),(I403-Data_All!$CA72)/(1+Data_All!$CA72%),"")</f>
        <v>31.393864780536664</v>
      </c>
      <c r="L403" s="447">
        <f t="shared" ref="L403:L434" si="250">IF(AND($A403&gt;=SYear_O,$A403&lt;=EYear_O),IF($A403=SYear_O,$L$338*(1+K403%),$L402*(1+K403%)),"")</f>
        <v>428436.150080183</v>
      </c>
      <c r="P403">
        <f t="shared" si="176"/>
        <v>64</v>
      </c>
      <c r="Q403">
        <f t="shared" ca="1" si="173"/>
        <v>1935</v>
      </c>
      <c r="R403" s="443">
        <f t="shared" ref="R403:R434" si="251">CB71</f>
        <v>533807.37982618168</v>
      </c>
      <c r="S403" s="443">
        <f t="shared" ref="S403:Z403" ca="1" si="252">IF(OFFSET(INDIRECT(S$337),$P403,0)="",S402,OFFSET(INDIRECT(S$337),$P403,0))</f>
        <v>533807.37982618168</v>
      </c>
      <c r="T403" s="443">
        <f t="shared" ca="1" si="252"/>
        <v>474357.34397533286</v>
      </c>
      <c r="U403" s="443">
        <f t="shared" ca="1" si="252"/>
        <v>564628.95234364923</v>
      </c>
      <c r="V403" s="443">
        <f t="shared" ca="1" si="252"/>
        <v>482130.9959712823</v>
      </c>
      <c r="W403" s="209">
        <f t="shared" ca="1" si="252"/>
        <v>0</v>
      </c>
      <c r="X403" s="209">
        <f t="shared" ca="1" si="252"/>
        <v>0.15035457162116983</v>
      </c>
      <c r="Y403" s="443">
        <f t="shared" ca="1" si="252"/>
        <v>428436.150080183</v>
      </c>
      <c r="Z403" s="443">
        <f t="shared" ca="1" si="252"/>
        <v>509968.81915777817</v>
      </c>
      <c r="AA403" s="388">
        <f t="shared" ca="1" si="240"/>
        <v>0.10056929051516805</v>
      </c>
      <c r="AB403" s="388">
        <f t="shared" ca="1" si="240"/>
        <v>8.7540187849794338E-2</v>
      </c>
      <c r="AC403" s="388">
        <f t="shared" ca="1" si="240"/>
        <v>7.3379240706359594E-2</v>
      </c>
      <c r="AD403" s="388">
        <f t="shared" ca="1" si="240"/>
        <v>7.3138772949672859E-2</v>
      </c>
      <c r="AE403" s="388">
        <f t="shared" ca="1" si="240"/>
        <v>8.4844717029844086E-2</v>
      </c>
      <c r="AF403" s="388">
        <f t="shared" ca="1" si="240"/>
        <v>8.280470954663488E-2</v>
      </c>
      <c r="AG403" s="388">
        <f t="shared" ca="1" si="240"/>
        <v>4.4876790212211137E-2</v>
      </c>
      <c r="AH403" s="388">
        <f t="shared" ca="1" si="240"/>
        <v>3.4714708878718303E-2</v>
      </c>
    </row>
    <row r="404" spans="1:34">
      <c r="A404" s="165">
        <f t="shared" si="175"/>
        <v>1936</v>
      </c>
      <c r="B404" s="206" t="str">
        <f>IF(AND($A404&gt;=SYear_O,$A404&lt;=EYear_O),IF(B$336&gt;0,B$336*Data_All!$B73,""),"")</f>
        <v/>
      </c>
      <c r="C404" s="206">
        <f>IF(AND($A404&gt;=SYear_O,$A404&lt;=EYear_O),IF(C$336&gt;0,C$336*Data_All!$D73,""),"")</f>
        <v>19.704618427742592</v>
      </c>
      <c r="D404" s="206" t="str">
        <f>IF(AND($A404&gt;=SYear_O,$A404&lt;=EYear_O),IF(D$336&gt;0,D$336*Data_All!$T73,""),"")</f>
        <v/>
      </c>
      <c r="E404" s="206">
        <f>IF(AND($A404&gt;=SYear_O,$A404&lt;=EYear_O),IF(E$336&gt;0,E$336*Data_All!$U73,""),"")</f>
        <v>0.92441672319935919</v>
      </c>
      <c r="F404" s="206" t="str">
        <f>IF(AND($A404&gt;=SYear_O,$A404&lt;=EYear_O),IF(F$336&gt;0,F$336*Data_All!$BX73,""),"")</f>
        <v/>
      </c>
      <c r="G404" s="206" t="str">
        <f>IF(AND($A404&gt;=SYear_O,$A404&lt;=EYear_O),IF(G$336&gt;0,G$336*Data_All!$BY73,""),"")</f>
        <v/>
      </c>
      <c r="H404" s="206" t="str">
        <f>IF(AND($A404&gt;=SYear_O,$A404&lt;=EYear_O),IF(H$336&gt;0,H$336*Data_All!$BZ73,""),"")</f>
        <v/>
      </c>
      <c r="I404" s="206">
        <f t="shared" si="248"/>
        <v>20.629035150941952</v>
      </c>
      <c r="J404" s="446">
        <f t="shared" si="249"/>
        <v>572212.6872050789</v>
      </c>
      <c r="K404" s="206">
        <f>IF(AND($A404&gt;=SYear_O,$A404&lt;=EYear_O),(I404-Data_All!$CA73)/(1+Data_All!$CA73%),"")</f>
        <v>18.06245993496448</v>
      </c>
      <c r="L404" s="447">
        <f t="shared" si="250"/>
        <v>505822.25803532038</v>
      </c>
      <c r="P404">
        <f t="shared" si="176"/>
        <v>65</v>
      </c>
      <c r="Q404">
        <f t="shared" ref="Q404:Q442" ca="1" si="253">IF(OFFSET(INDIRECT(S$337),$P404,0)="",Q403,OFFSET(INDIRECT(Q$337),$P404,0))</f>
        <v>1936</v>
      </c>
      <c r="R404" s="443">
        <f t="shared" si="251"/>
        <v>645086.90449197579</v>
      </c>
      <c r="S404" s="443">
        <f t="shared" ref="S404:Z404" ca="1" si="254">IF(OFFSET(INDIRECT(S$337),$P404,0)="",S403,OFFSET(INDIRECT(S$337),$P404,0))</f>
        <v>645086.90449197579</v>
      </c>
      <c r="T404" s="443">
        <f t="shared" ca="1" si="254"/>
        <v>572212.6872050789</v>
      </c>
      <c r="U404" s="443">
        <f t="shared" ca="1" si="254"/>
        <v>735048.0843749179</v>
      </c>
      <c r="V404" s="443">
        <f t="shared" ca="1" si="254"/>
        <v>570241.31403469201</v>
      </c>
      <c r="W404" s="209">
        <f t="shared" ca="1" si="254"/>
        <v>0</v>
      </c>
      <c r="X404" s="209">
        <f t="shared" ca="1" si="254"/>
        <v>0</v>
      </c>
      <c r="Y404" s="443">
        <f t="shared" ca="1" si="254"/>
        <v>505822.25803532038</v>
      </c>
      <c r="Z404" s="443">
        <f t="shared" ca="1" si="254"/>
        <v>649764.83415476081</v>
      </c>
      <c r="AA404" s="388">
        <f t="shared" ca="1" si="240"/>
        <v>3.3433740405724999E-2</v>
      </c>
      <c r="AB404" s="388">
        <f t="shared" ca="1" si="240"/>
        <v>1.8040016108049173E-2</v>
      </c>
      <c r="AC404" s="388">
        <f t="shared" ca="1" si="240"/>
        <v>6.5688767089999267E-2</v>
      </c>
      <c r="AD404" s="388">
        <f t="shared" ca="1" si="240"/>
        <v>6.5916756735609372E-2</v>
      </c>
      <c r="AE404" s="388">
        <f t="shared" ca="1" si="240"/>
        <v>2.8489005711368476E-2</v>
      </c>
      <c r="AF404" s="388">
        <f t="shared" ca="1" si="240"/>
        <v>1.3670584332232671E-2</v>
      </c>
      <c r="AG404" s="388">
        <f t="shared" ca="1" si="240"/>
        <v>3.6599888895587185E-2</v>
      </c>
      <c r="AH404" s="388">
        <f t="shared" ca="1" si="240"/>
        <v>2.3433544683715501E-2</v>
      </c>
    </row>
    <row r="405" spans="1:34">
      <c r="A405" s="165">
        <f t="shared" ref="A405:A469" si="255">A404+1</f>
        <v>1937</v>
      </c>
      <c r="B405" s="206" t="str">
        <f>IF(AND($A405&gt;=SYear_O,$A405&lt;=EYear_O),IF(B$336&gt;0,B$336*Data_All!$B74,""),"")</f>
        <v/>
      </c>
      <c r="C405" s="206">
        <f>IF(AND($A405&gt;=SYear_O,$A405&lt;=EYear_O),IF(C$336&gt;0,C$336*Data_All!$D74,""),"")</f>
        <v>-18.76254256337279</v>
      </c>
      <c r="D405" s="206" t="str">
        <f>IF(AND($A405&gt;=SYear_O,$A405&lt;=EYear_O),IF(D$336&gt;0,D$336*Data_All!$T74,""),"")</f>
        <v/>
      </c>
      <c r="E405" s="206">
        <f>IF(AND($A405&gt;=SYear_O,$A405&lt;=EYear_O),IF(E$336&gt;0,E$336*Data_All!$U74,""),"")</f>
        <v>1.1996298998988546</v>
      </c>
      <c r="F405" s="206" t="str">
        <f>IF(AND($A405&gt;=SYear_O,$A405&lt;=EYear_O),IF(F$336&gt;0,F$336*Data_All!$BX74,""),"")</f>
        <v/>
      </c>
      <c r="G405" s="206" t="str">
        <f>IF(AND($A405&gt;=SYear_O,$A405&lt;=EYear_O),IF(G$336&gt;0,G$336*Data_All!$BY74,""),"")</f>
        <v/>
      </c>
      <c r="H405" s="206" t="str">
        <f>IF(AND($A405&gt;=SYear_O,$A405&lt;=EYear_O),IF(H$336&gt;0,H$336*Data_All!$BZ74,""),"")</f>
        <v/>
      </c>
      <c r="I405" s="206">
        <f t="shared" si="248"/>
        <v>-17.562912663473934</v>
      </c>
      <c r="J405" s="446">
        <f t="shared" si="249"/>
        <v>471715.47270193358</v>
      </c>
      <c r="K405" s="206">
        <f>IF(AND($A405&gt;=SYear_O,$A405&lt;=EYear_O),(I405-Data_All!$CA74)/(1+Data_All!$CA74%),"")</f>
        <v>-18.14345553204101</v>
      </c>
      <c r="L405" s="447">
        <f t="shared" si="250"/>
        <v>414048.62157751631</v>
      </c>
      <c r="P405">
        <f t="shared" ref="P405:P469" si="256">P404+1</f>
        <v>66</v>
      </c>
      <c r="Q405">
        <f t="shared" ca="1" si="253"/>
        <v>1937</v>
      </c>
      <c r="R405" s="443">
        <f t="shared" si="251"/>
        <v>532774.63133094693</v>
      </c>
      <c r="S405" s="443">
        <f t="shared" ref="S405:Z405" ca="1" si="257">IF(OFFSET(INDIRECT(S$337),$P405,0)="",S404,OFFSET(INDIRECT(S$337),$P405,0))</f>
        <v>532774.63133094693</v>
      </c>
      <c r="T405" s="443">
        <f t="shared" ca="1" si="257"/>
        <v>471715.47270193358</v>
      </c>
      <c r="U405" s="443">
        <f t="shared" ca="1" si="257"/>
        <v>524827.32880568155</v>
      </c>
      <c r="V405" s="443">
        <f t="shared" ca="1" si="257"/>
        <v>467643.34536348114</v>
      </c>
      <c r="W405" s="209">
        <f t="shared" ca="1" si="257"/>
        <v>0.17410409726031872</v>
      </c>
      <c r="X405" s="209">
        <f t="shared" ca="1" si="257"/>
        <v>0.28599592331161205</v>
      </c>
      <c r="Y405" s="443">
        <f t="shared" ca="1" si="257"/>
        <v>414048.62157751631</v>
      </c>
      <c r="Z405" s="443">
        <f t="shared" ca="1" si="257"/>
        <v>460667.59441556863</v>
      </c>
      <c r="AA405" s="388">
        <f t="shared" ref="AA405:AH414" ca="1" si="258">IF(AA$336,IF(OFFSET(INDIRECT(AA$337),$P405,0)="","",OFFSET(INDIRECT(AA$337),$P405,0)),"")</f>
        <v>-1.953242106032016E-2</v>
      </c>
      <c r="AB405" s="388">
        <f t="shared" ca="1" si="258"/>
        <v>-2.9777600947156868E-2</v>
      </c>
      <c r="AC405" s="388">
        <f t="shared" ca="1" si="258"/>
        <v>3.8897606794071837E-2</v>
      </c>
      <c r="AD405" s="388">
        <f t="shared" ca="1" si="258"/>
        <v>6.1242075961227549E-2</v>
      </c>
      <c r="AE405" s="388">
        <f t="shared" ca="1" si="258"/>
        <v>-1.4852313964286323E-2</v>
      </c>
      <c r="AF405" s="388">
        <f t="shared" ca="1" si="258"/>
        <v>-5.0412063355027126E-2</v>
      </c>
      <c r="AG405" s="388">
        <f t="shared" ca="1" si="258"/>
        <v>-4.0195561502379684E-3</v>
      </c>
      <c r="AH405" s="388">
        <f t="shared" ca="1" si="258"/>
        <v>1.7527158662373976E-2</v>
      </c>
    </row>
    <row r="406" spans="1:34">
      <c r="A406" s="165">
        <f t="shared" si="255"/>
        <v>1938</v>
      </c>
      <c r="B406" s="206" t="str">
        <f>IF(AND($A406&gt;=SYear_O,$A406&lt;=EYear_O),IF(B$336&gt;0,B$336*Data_All!$B75,""),"")</f>
        <v/>
      </c>
      <c r="C406" s="206">
        <f>IF(AND($A406&gt;=SYear_O,$A406&lt;=EYear_O),IF(C$336&gt;0,C$336*Data_All!$D75,""),"")</f>
        <v>8.9014351994182732</v>
      </c>
      <c r="D406" s="206" t="str">
        <f>IF(AND($A406&gt;=SYear_O,$A406&lt;=EYear_O),IF(D$336&gt;0,D$336*Data_All!$T75,""),"")</f>
        <v/>
      </c>
      <c r="E406" s="206">
        <f>IF(AND($A406&gt;=SYear_O,$A406&lt;=EYear_O),IF(E$336&gt;0,E$336*Data_All!$U75,""),"")</f>
        <v>1.4816164472075366</v>
      </c>
      <c r="F406" s="206" t="str">
        <f>IF(AND($A406&gt;=SYear_O,$A406&lt;=EYear_O),IF(F$336&gt;0,F$336*Data_All!$BX75,""),"")</f>
        <v/>
      </c>
      <c r="G406" s="206" t="str">
        <f>IF(AND($A406&gt;=SYear_O,$A406&lt;=EYear_O),IF(G$336&gt;0,G$336*Data_All!$BY75,""),"")</f>
        <v/>
      </c>
      <c r="H406" s="206" t="str">
        <f>IF(AND($A406&gt;=SYear_O,$A406&lt;=EYear_O),IF(H$336&gt;0,H$336*Data_All!$BZ75,""),"")</f>
        <v/>
      </c>
      <c r="I406" s="206">
        <f t="shared" si="248"/>
        <v>10.383051646625809</v>
      </c>
      <c r="J406" s="446">
        <f t="shared" si="249"/>
        <v>520693.93385770038</v>
      </c>
      <c r="K406" s="206">
        <f>IF(AND($A406&gt;=SYear_O,$A406&lt;=EYear_O),(I406-Data_All!$CA75)/(1+Data_All!$CA75%),"")</f>
        <v>11.959952384434747</v>
      </c>
      <c r="L406" s="447">
        <f t="shared" si="250"/>
        <v>463568.63956659567</v>
      </c>
      <c r="P406">
        <f t="shared" si="256"/>
        <v>67</v>
      </c>
      <c r="Q406">
        <f t="shared" ca="1" si="253"/>
        <v>1938</v>
      </c>
      <c r="R406" s="443">
        <f t="shared" si="251"/>
        <v>589158.95544487401</v>
      </c>
      <c r="S406" s="443">
        <f t="shared" ref="S406:Z406" ca="1" si="259">IF(OFFSET(INDIRECT(S$337),$P406,0)="",S405,OFFSET(INDIRECT(S$337),$P406,0))</f>
        <v>589158.95544487401</v>
      </c>
      <c r="T406" s="443">
        <f t="shared" ca="1" si="259"/>
        <v>520693.93385770038</v>
      </c>
      <c r="U406" s="443">
        <f t="shared" ca="1" si="259"/>
        <v>597442.49349061307</v>
      </c>
      <c r="V406" s="443">
        <f t="shared" ca="1" si="259"/>
        <v>524522.36852579936</v>
      </c>
      <c r="W406" s="209">
        <f t="shared" ca="1" si="259"/>
        <v>8.6698317168826367E-2</v>
      </c>
      <c r="X406" s="209">
        <f t="shared" ca="1" si="259"/>
        <v>0.18720624379468198</v>
      </c>
      <c r="Y406" s="443">
        <f t="shared" ca="1" si="259"/>
        <v>463568.63956659567</v>
      </c>
      <c r="Z406" s="443">
        <f t="shared" ca="1" si="259"/>
        <v>531897.12020422192</v>
      </c>
      <c r="AA406" s="388">
        <f t="shared" ca="1" si="258"/>
        <v>3.0912393525559079E-2</v>
      </c>
      <c r="AB406" s="388">
        <f t="shared" ca="1" si="258"/>
        <v>3.2556795806319982E-2</v>
      </c>
      <c r="AC406" s="388">
        <f t="shared" ca="1" si="258"/>
        <v>6.1360822461557163E-2</v>
      </c>
      <c r="AD406" s="388">
        <f t="shared" ca="1" si="258"/>
        <v>8.119036855306061E-2</v>
      </c>
      <c r="AE406" s="388">
        <f t="shared" ca="1" si="258"/>
        <v>3.3343799685938036E-2</v>
      </c>
      <c r="AF406" s="388">
        <f t="shared" ca="1" si="258"/>
        <v>-2.7724287805658276E-3</v>
      </c>
      <c r="AG406" s="388">
        <f t="shared" ca="1" si="258"/>
        <v>8.3633502209101707E-3</v>
      </c>
      <c r="AH406" s="388">
        <f t="shared" ca="1" si="258"/>
        <v>3.6881873015093714E-2</v>
      </c>
    </row>
    <row r="407" spans="1:34">
      <c r="A407" s="165">
        <f t="shared" si="255"/>
        <v>1939</v>
      </c>
      <c r="B407" s="206" t="str">
        <f>IF(AND($A407&gt;=SYear_O,$A407&lt;=EYear_O),IF(B$336&gt;0,B$336*Data_All!$B76,""),"")</f>
        <v/>
      </c>
      <c r="C407" s="206">
        <f>IF(AND($A407&gt;=SYear_O,$A407&lt;=EYear_O),IF(C$336&gt;0,C$336*Data_All!$D76,""),"")</f>
        <v>1.910751722072481</v>
      </c>
      <c r="D407" s="206" t="str">
        <f>IF(AND($A407&gt;=SYear_O,$A407&lt;=EYear_O),IF(D$336&gt;0,D$336*Data_All!$T76,""),"")</f>
        <v/>
      </c>
      <c r="E407" s="206">
        <f>IF(AND($A407&gt;=SYear_O,$A407&lt;=EYear_O),IF(E$336&gt;0,E$336*Data_All!$U76,""),"")</f>
        <v>1.103161749514187</v>
      </c>
      <c r="F407" s="206" t="str">
        <f>IF(AND($A407&gt;=SYear_O,$A407&lt;=EYear_O),IF(F$336&gt;0,F$336*Data_All!$BX76,""),"")</f>
        <v/>
      </c>
      <c r="G407" s="206" t="str">
        <f>IF(AND($A407&gt;=SYear_O,$A407&lt;=EYear_O),IF(G$336&gt;0,G$336*Data_All!$BY76,""),"")</f>
        <v/>
      </c>
      <c r="H407" s="206" t="str">
        <f>IF(AND($A407&gt;=SYear_O,$A407&lt;=EYear_O),IF(H$336&gt;0,H$336*Data_All!$BZ76,""),"")</f>
        <v/>
      </c>
      <c r="I407" s="206">
        <f t="shared" si="248"/>
        <v>3.013913471586668</v>
      </c>
      <c r="J407" s="446">
        <f t="shared" si="249"/>
        <v>536387.19847597217</v>
      </c>
      <c r="K407" s="206">
        <f>IF(AND($A407&gt;=SYear_O,$A407&lt;=EYear_O),(I407-Data_All!$CA76)/(1+Data_All!$CA76%),"")</f>
        <v>3.7550207627491594</v>
      </c>
      <c r="L407" s="447">
        <f t="shared" si="250"/>
        <v>480975.73823191517</v>
      </c>
      <c r="P407">
        <f t="shared" si="256"/>
        <v>68</v>
      </c>
      <c r="Q407">
        <f t="shared" ca="1" si="253"/>
        <v>1939</v>
      </c>
      <c r="R407" s="443">
        <f t="shared" si="251"/>
        <v>608020.10214378429</v>
      </c>
      <c r="S407" s="443">
        <f t="shared" ref="S407:Z407" ca="1" si="260">IF(OFFSET(INDIRECT(S$337),$P407,0)="",S406,OFFSET(INDIRECT(S$337),$P407,0))</f>
        <v>608020.10214378429</v>
      </c>
      <c r="T407" s="443">
        <f t="shared" ca="1" si="260"/>
        <v>536387.19847597217</v>
      </c>
      <c r="U407" s="443">
        <f t="shared" ca="1" si="260"/>
        <v>617284.14326248073</v>
      </c>
      <c r="V407" s="443">
        <f t="shared" ca="1" si="260"/>
        <v>545208.60736304743</v>
      </c>
      <c r="W407" s="209">
        <f t="shared" ca="1" si="260"/>
        <v>5.7460168684376756E-2</v>
      </c>
      <c r="X407" s="209">
        <f t="shared" ca="1" si="260"/>
        <v>0.16021256787926086</v>
      </c>
      <c r="Y407" s="443">
        <f t="shared" ca="1" si="260"/>
        <v>480975.73823191517</v>
      </c>
      <c r="Z407" s="443">
        <f t="shared" ca="1" si="260"/>
        <v>553515.62704721605</v>
      </c>
      <c r="AA407" s="388">
        <f t="shared" ca="1" si="258"/>
        <v>-1.9951860334955884E-2</v>
      </c>
      <c r="AB407" s="388">
        <f t="shared" ca="1" si="258"/>
        <v>4.0889606205401829E-2</v>
      </c>
      <c r="AC407" s="388">
        <f t="shared" ca="1" si="258"/>
        <v>5.7767053675274349E-2</v>
      </c>
      <c r="AD407" s="388">
        <f t="shared" ca="1" si="258"/>
        <v>7.663823412758286E-2</v>
      </c>
      <c r="AE407" s="388">
        <f t="shared" ca="1" si="258"/>
        <v>-5.6684719048354926E-2</v>
      </c>
      <c r="AF407" s="388">
        <f t="shared" ca="1" si="258"/>
        <v>-3.4010405383982922E-3</v>
      </c>
      <c r="AG407" s="388">
        <f t="shared" ca="1" si="258"/>
        <v>2.2630398280987229E-3</v>
      </c>
      <c r="AH407" s="388">
        <f t="shared" ca="1" si="258"/>
        <v>3.0769396027552354E-2</v>
      </c>
    </row>
    <row r="408" spans="1:34">
      <c r="A408" s="165">
        <f t="shared" si="255"/>
        <v>1940</v>
      </c>
      <c r="B408" s="206" t="str">
        <f>IF(AND($A408&gt;=SYear_O,$A408&lt;=EYear_O),IF(B$336&gt;0,B$336*Data_All!$B77,""),"")</f>
        <v/>
      </c>
      <c r="C408" s="206">
        <f>IF(AND($A408&gt;=SYear_O,$A408&lt;=EYear_O),IF(C$336&gt;0,C$336*Data_All!$D77,""),"")</f>
        <v>-5.3611786791722347</v>
      </c>
      <c r="D408" s="206" t="str">
        <f>IF(AND($A408&gt;=SYear_O,$A408&lt;=EYear_O),IF(D$336&gt;0,D$336*Data_All!$T77,""),"")</f>
        <v/>
      </c>
      <c r="E408" s="206">
        <f>IF(AND($A408&gt;=SYear_O,$A408&lt;=EYear_O),IF(E$336&gt;0,E$336*Data_All!$U77,""),"")</f>
        <v>1.1902554892755306</v>
      </c>
      <c r="F408" s="206" t="str">
        <f>IF(AND($A408&gt;=SYear_O,$A408&lt;=EYear_O),IF(F$336&gt;0,F$336*Data_All!$BX77,""),"")</f>
        <v/>
      </c>
      <c r="G408" s="206" t="str">
        <f>IF(AND($A408&gt;=SYear_O,$A408&lt;=EYear_O),IF(G$336&gt;0,G$336*Data_All!$BY77,""),"")</f>
        <v/>
      </c>
      <c r="H408" s="206" t="str">
        <f>IF(AND($A408&gt;=SYear_O,$A408&lt;=EYear_O),IF(H$336&gt;0,H$336*Data_All!$BZ77,""),"")</f>
        <v/>
      </c>
      <c r="I408" s="206">
        <f t="shared" si="248"/>
        <v>-4.1709231898967039</v>
      </c>
      <c r="J408" s="446">
        <f t="shared" si="249"/>
        <v>514014.9004271006</v>
      </c>
      <c r="K408" s="206">
        <f>IF(AND($A408&gt;=SYear_O,$A408&lt;=EYear_O),(I408-Data_All!$CA77)/(1+Data_All!$CA77%),"")</f>
        <v>-5.530200875146388</v>
      </c>
      <c r="L408" s="447">
        <f t="shared" si="250"/>
        <v>454376.81374697201</v>
      </c>
      <c r="P408">
        <f t="shared" si="256"/>
        <v>69</v>
      </c>
      <c r="Q408">
        <f t="shared" ca="1" si="253"/>
        <v>1940</v>
      </c>
      <c r="R408" s="443">
        <f t="shared" si="251"/>
        <v>583725.7063004825</v>
      </c>
      <c r="S408" s="443">
        <f t="shared" ref="S408:Z408" ca="1" si="261">IF(OFFSET(INDIRECT(S$337),$P408,0)="",S407,OFFSET(INDIRECT(S$337),$P408,0))</f>
        <v>583725.7063004825</v>
      </c>
      <c r="T408" s="443">
        <f t="shared" ca="1" si="261"/>
        <v>514014.9004271006</v>
      </c>
      <c r="U408" s="443">
        <f t="shared" ca="1" si="261"/>
        <v>570301.78169433004</v>
      </c>
      <c r="V408" s="443">
        <f t="shared" ca="1" si="261"/>
        <v>515999.49011328368</v>
      </c>
      <c r="W408" s="209">
        <f t="shared" ca="1" si="261"/>
        <v>9.5120824441191854E-2</v>
      </c>
      <c r="X408" s="209">
        <f t="shared" ca="1" si="261"/>
        <v>0.22412996670916785</v>
      </c>
      <c r="Y408" s="443">
        <f t="shared" ca="1" si="261"/>
        <v>454376.81374697201</v>
      </c>
      <c r="Z408" s="443">
        <f t="shared" ca="1" si="261"/>
        <v>504133.06350686651</v>
      </c>
      <c r="AA408" s="388">
        <f t="shared" ca="1" si="258"/>
        <v>9.4042183658473721E-3</v>
      </c>
      <c r="AB408" s="388">
        <f t="shared" ca="1" si="258"/>
        <v>5.9402684380146731E-2</v>
      </c>
      <c r="AC408" s="388">
        <f t="shared" ca="1" si="258"/>
        <v>6.6009738981795962E-2</v>
      </c>
      <c r="AD408" s="388">
        <f t="shared" ca="1" si="258"/>
        <v>9.2386163767856466E-2</v>
      </c>
      <c r="AE408" s="388">
        <f t="shared" ca="1" si="258"/>
        <v>-5.4254070938095311E-2</v>
      </c>
      <c r="AF408" s="388">
        <f t="shared" ca="1" si="258"/>
        <v>8.2773902796293708E-3</v>
      </c>
      <c r="AG408" s="388">
        <f t="shared" ca="1" si="258"/>
        <v>1.1476660898385616E-2</v>
      </c>
      <c r="AH408" s="388">
        <f t="shared" ca="1" si="258"/>
        <v>4.5866919583051224E-2</v>
      </c>
    </row>
    <row r="409" spans="1:34">
      <c r="A409" s="165">
        <f t="shared" si="255"/>
        <v>1941</v>
      </c>
      <c r="B409" s="206" t="str">
        <f>IF(AND($A409&gt;=SYear_O,$A409&lt;=EYear_O),IF(B$336&gt;0,B$336*Data_All!$B78,""),"")</f>
        <v/>
      </c>
      <c r="C409" s="206">
        <f>IF(AND($A409&gt;=SYear_O,$A409&lt;=EYear_O),IF(C$336&gt;0,C$336*Data_All!$D78,""),"")</f>
        <v>-5.2683991716451697</v>
      </c>
      <c r="D409" s="206" t="str">
        <f>IF(AND($A409&gt;=SYear_O,$A409&lt;=EYear_O),IF(D$336&gt;0,D$336*Data_All!$T78,""),"")</f>
        <v/>
      </c>
      <c r="E409" s="206">
        <f>IF(AND($A409&gt;=SYear_O,$A409&lt;=EYear_O),IF(E$336&gt;0,E$336*Data_All!$U78,""),"")</f>
        <v>0.10439671552685091</v>
      </c>
      <c r="F409" s="206" t="str">
        <f>IF(AND($A409&gt;=SYear_O,$A409&lt;=EYear_O),IF(F$336&gt;0,F$336*Data_All!$BX78,""),"")</f>
        <v/>
      </c>
      <c r="G409" s="206" t="str">
        <f>IF(AND($A409&gt;=SYear_O,$A409&lt;=EYear_O),IF(G$336&gt;0,G$336*Data_All!$BY78,""),"")</f>
        <v/>
      </c>
      <c r="H409" s="206" t="str">
        <f>IF(AND($A409&gt;=SYear_O,$A409&lt;=EYear_O),IF(H$336&gt;0,H$336*Data_All!$BZ78,""),"")</f>
        <v/>
      </c>
      <c r="I409" s="206">
        <f t="shared" si="248"/>
        <v>-5.1640024561183191</v>
      </c>
      <c r="J409" s="446">
        <f t="shared" si="249"/>
        <v>487471.15834423096</v>
      </c>
      <c r="K409" s="206">
        <f>IF(AND($A409&gt;=SYear_O,$A409&lt;=EYear_O),(I409-Data_All!$CA78)/(1+Data_All!$CA78%),"")</f>
        <v>-14.828817492437468</v>
      </c>
      <c r="L409" s="447">
        <f t="shared" si="250"/>
        <v>386998.10530848097</v>
      </c>
      <c r="P409">
        <f t="shared" si="256"/>
        <v>70</v>
      </c>
      <c r="Q409">
        <f t="shared" ca="1" si="253"/>
        <v>1941</v>
      </c>
      <c r="R409" s="443">
        <f t="shared" si="251"/>
        <v>554593.4159560604</v>
      </c>
      <c r="S409" s="443">
        <f t="shared" ref="S409:Z409" ca="1" si="262">IF(OFFSET(INDIRECT(S$337),$P409,0)="",S408,OFFSET(INDIRECT(S$337),$P409,0))</f>
        <v>554593.4159560604</v>
      </c>
      <c r="T409" s="443">
        <f t="shared" ca="1" si="262"/>
        <v>487471.15834423096</v>
      </c>
      <c r="U409" s="443">
        <f t="shared" ca="1" si="262"/>
        <v>526767.70516128372</v>
      </c>
      <c r="V409" s="443">
        <f t="shared" ca="1" si="262"/>
        <v>440285.74310030014</v>
      </c>
      <c r="W409" s="209">
        <f t="shared" ca="1" si="262"/>
        <v>0.14028108136403949</v>
      </c>
      <c r="X409" s="209">
        <f t="shared" ca="1" si="262"/>
        <v>0.2833561281786825</v>
      </c>
      <c r="Y409" s="443">
        <f t="shared" ca="1" si="262"/>
        <v>386998.10530848097</v>
      </c>
      <c r="Z409" s="443">
        <f t="shared" ca="1" si="262"/>
        <v>418195.21082549426</v>
      </c>
      <c r="AA409" s="388">
        <f t="shared" ca="1" si="258"/>
        <v>7.2380746127995721E-2</v>
      </c>
      <c r="AB409" s="388">
        <f t="shared" ca="1" si="258"/>
        <v>0.11556768921867855</v>
      </c>
      <c r="AC409" s="388">
        <f t="shared" ca="1" si="258"/>
        <v>9.0692959646894611E-2</v>
      </c>
      <c r="AD409" s="388">
        <f t="shared" ca="1" si="258"/>
        <v>0.10709628285235806</v>
      </c>
      <c r="AE409" s="388">
        <f t="shared" ca="1" si="258"/>
        <v>-2.1727278871808142E-4</v>
      </c>
      <c r="AF409" s="388">
        <f t="shared" ca="1" si="258"/>
        <v>6.0047856046063774E-2</v>
      </c>
      <c r="AG409" s="388">
        <f t="shared" ca="1" si="258"/>
        <v>2.8350229692443829E-2</v>
      </c>
      <c r="AH409" s="388">
        <f t="shared" ca="1" si="258"/>
        <v>6.0696202120102516E-2</v>
      </c>
    </row>
    <row r="410" spans="1:34">
      <c r="A410" s="165">
        <f t="shared" si="255"/>
        <v>1942</v>
      </c>
      <c r="B410" s="206" t="str">
        <f>IF(AND($A410&gt;=SYear_O,$A410&lt;=EYear_O),IF(B$336&gt;0,B$336*Data_All!$B79,""),"")</f>
        <v/>
      </c>
      <c r="C410" s="206">
        <f>IF(AND($A410&gt;=SYear_O,$A410&lt;=EYear_O),IF(C$336&gt;0,C$336*Data_All!$D79,""),"")</f>
        <v>11.636336928229841</v>
      </c>
      <c r="D410" s="206" t="str">
        <f>IF(AND($A410&gt;=SYear_O,$A410&lt;=EYear_O),IF(D$336&gt;0,D$336*Data_All!$T79,""),"")</f>
        <v/>
      </c>
      <c r="E410" s="206">
        <f>IF(AND($A410&gt;=SYear_O,$A410&lt;=EYear_O),IF(E$336&gt;0,E$336*Data_All!$U79,""),"")</f>
        <v>0.91576772507520643</v>
      </c>
      <c r="F410" s="206" t="str">
        <f>IF(AND($A410&gt;=SYear_O,$A410&lt;=EYear_O),IF(F$336&gt;0,F$336*Data_All!$BX79,""),"")</f>
        <v/>
      </c>
      <c r="G410" s="206" t="str">
        <f>IF(AND($A410&gt;=SYear_O,$A410&lt;=EYear_O),IF(G$336&gt;0,G$336*Data_All!$BY79,""),"")</f>
        <v/>
      </c>
      <c r="H410" s="206" t="str">
        <f>IF(AND($A410&gt;=SYear_O,$A410&lt;=EYear_O),IF(H$336&gt;0,H$336*Data_All!$BZ79,""),"")</f>
        <v/>
      </c>
      <c r="I410" s="206">
        <f t="shared" si="248"/>
        <v>12.552104653305047</v>
      </c>
      <c r="J410" s="446">
        <f t="shared" si="249"/>
        <v>548659.04829427716</v>
      </c>
      <c r="K410" s="206">
        <f>IF(AND($A410&gt;=SYear_O,$A410&lt;=EYear_O),(I410-Data_All!$CA79)/(1+Data_All!$CA79%),"")</f>
        <v>4.5602392341354596</v>
      </c>
      <c r="L410" s="447">
        <f t="shared" si="250"/>
        <v>404646.14474211918</v>
      </c>
      <c r="P410">
        <f t="shared" si="256"/>
        <v>71</v>
      </c>
      <c r="Q410">
        <f t="shared" ca="1" si="253"/>
        <v>1942</v>
      </c>
      <c r="R410" s="443">
        <f t="shared" si="251"/>
        <v>625335.78792864806</v>
      </c>
      <c r="S410" s="443">
        <f t="shared" ref="S410:Z410" ca="1" si="263">IF(OFFSET(INDIRECT(S$337),$P410,0)="",S409,OFFSET(INDIRECT(S$337),$P410,0))</f>
        <v>625335.78792864806</v>
      </c>
      <c r="T410" s="443">
        <f t="shared" ca="1" si="263"/>
        <v>548659.04829427716</v>
      </c>
      <c r="U410" s="443">
        <f t="shared" ca="1" si="263"/>
        <v>619299.8957624964</v>
      </c>
      <c r="V410" s="443">
        <f t="shared" ca="1" si="263"/>
        <v>461196.65125596075</v>
      </c>
      <c r="W410" s="209">
        <f t="shared" ca="1" si="263"/>
        <v>3.0617760840893404E-2</v>
      </c>
      <c r="X410" s="209">
        <f t="shared" ca="1" si="263"/>
        <v>0.15747022687754297</v>
      </c>
      <c r="Y410" s="443">
        <f t="shared" ca="1" si="263"/>
        <v>404646.14474211918</v>
      </c>
      <c r="Z410" s="443">
        <f t="shared" ca="1" si="263"/>
        <v>456745.069708722</v>
      </c>
      <c r="AA410" s="388">
        <f t="shared" ca="1" si="258"/>
        <v>0.13522738215623109</v>
      </c>
      <c r="AB410" s="388">
        <f t="shared" ca="1" si="258"/>
        <v>0.11243384862697381</v>
      </c>
      <c r="AC410" s="388">
        <f t="shared" ca="1" si="258"/>
        <v>0.1099055993353808</v>
      </c>
      <c r="AD410" s="388">
        <f t="shared" ca="1" si="258"/>
        <v>0.11389083808634592</v>
      </c>
      <c r="AE410" s="388">
        <f t="shared" ca="1" si="258"/>
        <v>8.8702970722234209E-2</v>
      </c>
      <c r="AF410" s="388">
        <f t="shared" ca="1" si="258"/>
        <v>4.4639475977298781E-2</v>
      </c>
      <c r="AG410" s="388">
        <f t="shared" ca="1" si="258"/>
        <v>5.329838965268241E-2</v>
      </c>
      <c r="AH410" s="388">
        <f t="shared" ca="1" si="258"/>
        <v>7.2775063498583759E-2</v>
      </c>
    </row>
    <row r="411" spans="1:34">
      <c r="A411" s="165">
        <f t="shared" si="255"/>
        <v>1943</v>
      </c>
      <c r="B411" s="206" t="str">
        <f>IF(AND($A411&gt;=SYear_O,$A411&lt;=EYear_O),IF(B$336&gt;0,B$336*Data_All!$B80,""),"")</f>
        <v/>
      </c>
      <c r="C411" s="206">
        <f>IF(AND($A411&gt;=SYear_O,$A411&lt;=EYear_O),IF(C$336&gt;0,C$336*Data_All!$D80,""),"")</f>
        <v>13.967416937291832</v>
      </c>
      <c r="D411" s="206" t="str">
        <f>IF(AND($A411&gt;=SYear_O,$A411&lt;=EYear_O),IF(D$336&gt;0,D$336*Data_All!$T80,""),"")</f>
        <v/>
      </c>
      <c r="E411" s="206">
        <f>IF(AND($A411&gt;=SYear_O,$A411&lt;=EYear_O),IF(E$336&gt;0,E$336*Data_All!$U80,""),"")</f>
        <v>0.94277352280931537</v>
      </c>
      <c r="F411" s="206" t="str">
        <f>IF(AND($A411&gt;=SYear_O,$A411&lt;=EYear_O),IF(F$336&gt;0,F$336*Data_All!$BX80,""),"")</f>
        <v/>
      </c>
      <c r="G411" s="206" t="str">
        <f>IF(AND($A411&gt;=SYear_O,$A411&lt;=EYear_O),IF(G$336&gt;0,G$336*Data_All!$BY80,""),"")</f>
        <v/>
      </c>
      <c r="H411" s="206" t="str">
        <f>IF(AND($A411&gt;=SYear_O,$A411&lt;=EYear_O),IF(H$336&gt;0,H$336*Data_All!$BZ80,""),"")</f>
        <v/>
      </c>
      <c r="I411" s="206">
        <f t="shared" si="248"/>
        <v>14.910190460101147</v>
      </c>
      <c r="J411" s="446">
        <f t="shared" si="249"/>
        <v>630465.15737153217</v>
      </c>
      <c r="K411" s="206">
        <f>IF(AND($A411&gt;=SYear_O,$A411&lt;=EYear_O),(I411-Data_All!$CA80)/(1+Data_All!$CA80%),"")</f>
        <v>11.608173492856869</v>
      </c>
      <c r="L411" s="447">
        <f t="shared" si="250"/>
        <v>451618.17125594115</v>
      </c>
      <c r="P411">
        <f t="shared" si="256"/>
        <v>72</v>
      </c>
      <c r="Q411">
        <f t="shared" ca="1" si="253"/>
        <v>1943</v>
      </c>
      <c r="R411" s="443">
        <f t="shared" si="251"/>
        <v>719872.93059497699</v>
      </c>
      <c r="S411" s="443">
        <f t="shared" ref="S411:Z411" ca="1" si="264">IF(OFFSET(INDIRECT(S$337),$P411,0)="",S410,OFFSET(INDIRECT(S$337),$P411,0))</f>
        <v>719872.93059497699</v>
      </c>
      <c r="T411" s="443">
        <f t="shared" ca="1" si="264"/>
        <v>630465.15737153217</v>
      </c>
      <c r="U411" s="443">
        <f t="shared" ca="1" si="264"/>
        <v>751348.61755326646</v>
      </c>
      <c r="V411" s="443">
        <f t="shared" ca="1" si="264"/>
        <v>515663.22524049226</v>
      </c>
      <c r="W411" s="209">
        <f t="shared" ca="1" si="264"/>
        <v>0</v>
      </c>
      <c r="X411" s="209">
        <f t="shared" ca="1" si="264"/>
        <v>0</v>
      </c>
      <c r="Y411" s="443">
        <f t="shared" ca="1" si="264"/>
        <v>451618.17125594115</v>
      </c>
      <c r="Z411" s="443">
        <f t="shared" ca="1" si="264"/>
        <v>538210.05755457422</v>
      </c>
      <c r="AA411" s="388">
        <f t="shared" ca="1" si="258"/>
        <v>0.17271295691589006</v>
      </c>
      <c r="AB411" s="388">
        <f t="shared" ca="1" si="258"/>
        <v>9.0968361286706267E-2</v>
      </c>
      <c r="AC411" s="388">
        <f t="shared" ca="1" si="258"/>
        <v>0.1063595212676185</v>
      </c>
      <c r="AD411" s="388">
        <f t="shared" ca="1" si="258"/>
        <v>0.10431172566133151</v>
      </c>
      <c r="AE411" s="388">
        <f t="shared" ca="1" si="258"/>
        <v>0.1440987095753572</v>
      </c>
      <c r="AF411" s="388">
        <f t="shared" ca="1" si="258"/>
        <v>1.9623479548779743E-2</v>
      </c>
      <c r="AG411" s="388">
        <f t="shared" ca="1" si="258"/>
        <v>5.7296475573726413E-2</v>
      </c>
      <c r="AH411" s="388">
        <f t="shared" ca="1" si="258"/>
        <v>6.6251679681697428E-2</v>
      </c>
    </row>
    <row r="412" spans="1:34">
      <c r="A412" s="165">
        <f t="shared" si="255"/>
        <v>1944</v>
      </c>
      <c r="B412" s="206" t="str">
        <f>IF(AND($A412&gt;=SYear_O,$A412&lt;=EYear_O),IF(B$336&gt;0,B$336*Data_All!$B81,""),"")</f>
        <v/>
      </c>
      <c r="C412" s="206">
        <f>IF(AND($A412&gt;=SYear_O,$A412&lt;=EYear_O),IF(C$336&gt;0,C$336*Data_All!$D81,""),"")</f>
        <v>11.422884893150005</v>
      </c>
      <c r="D412" s="206" t="str">
        <f>IF(AND($A412&gt;=SYear_O,$A412&lt;=EYear_O),IF(D$336&gt;0,D$336*Data_All!$T81,""),"")</f>
        <v/>
      </c>
      <c r="E412" s="206">
        <f>IF(AND($A412&gt;=SYear_O,$A412&lt;=EYear_O),IF(E$336&gt;0,E$336*Data_All!$U81,""),"")</f>
        <v>1.08482168423916</v>
      </c>
      <c r="F412" s="206" t="str">
        <f>IF(AND($A412&gt;=SYear_O,$A412&lt;=EYear_O),IF(F$336&gt;0,F$336*Data_All!$BX81,""),"")</f>
        <v/>
      </c>
      <c r="G412" s="206" t="str">
        <f>IF(AND($A412&gt;=SYear_O,$A412&lt;=EYear_O),IF(G$336&gt;0,G$336*Data_All!$BY81,""),"")</f>
        <v/>
      </c>
      <c r="H412" s="206" t="str">
        <f>IF(AND($A412&gt;=SYear_O,$A412&lt;=EYear_O),IF(H$336&gt;0,H$336*Data_All!$BZ81,""),"")</f>
        <v/>
      </c>
      <c r="I412" s="206">
        <f t="shared" si="248"/>
        <v>12.507706577389165</v>
      </c>
      <c r="J412" s="446">
        <f t="shared" si="249"/>
        <v>709321.88932823832</v>
      </c>
      <c r="K412" s="206">
        <f>IF(AND($A412&gt;=SYear_O,$A412&lt;=EYear_O),(I412-Data_All!$CA81)/(1+Data_All!$CA81%),"")</f>
        <v>9.9794435082343309</v>
      </c>
      <c r="L412" s="447">
        <f t="shared" si="250"/>
        <v>496687.15152934875</v>
      </c>
      <c r="P412">
        <f t="shared" si="256"/>
        <v>73</v>
      </c>
      <c r="Q412">
        <f t="shared" ca="1" si="253"/>
        <v>1944</v>
      </c>
      <c r="R412" s="443">
        <f t="shared" si="251"/>
        <v>811378.10332843813</v>
      </c>
      <c r="S412" s="443">
        <f t="shared" ref="S412:Z412" ca="1" si="265">IF(OFFSET(INDIRECT(S$337),$P412,0)="",S411,OFFSET(INDIRECT(S$337),$P412,0))</f>
        <v>811378.10332843813</v>
      </c>
      <c r="T412" s="443">
        <f t="shared" ca="1" si="265"/>
        <v>709321.88932823832</v>
      </c>
      <c r="U412" s="443">
        <f t="shared" ca="1" si="265"/>
        <v>885179.21508008125</v>
      </c>
      <c r="V412" s="443">
        <f t="shared" ca="1" si="265"/>
        <v>568149.78505336854</v>
      </c>
      <c r="W412" s="209">
        <f t="shared" ca="1" si="265"/>
        <v>0</v>
      </c>
      <c r="X412" s="209">
        <f t="shared" ca="1" si="265"/>
        <v>0</v>
      </c>
      <c r="Y412" s="443">
        <f t="shared" ca="1" si="265"/>
        <v>496687.15152934875</v>
      </c>
      <c r="Z412" s="443">
        <f t="shared" ca="1" si="265"/>
        <v>619827.40071293595</v>
      </c>
      <c r="AA412" s="388">
        <f t="shared" ca="1" si="258"/>
        <v>9.4871825841326585E-2</v>
      </c>
      <c r="AB412" s="388">
        <f t="shared" ca="1" si="258"/>
        <v>7.4918159592114009E-2</v>
      </c>
      <c r="AC412" s="388">
        <f t="shared" ca="1" si="258"/>
        <v>9.4970356684916046E-2</v>
      </c>
      <c r="AD412" s="388">
        <f t="shared" ca="1" si="258"/>
        <v>0.10925278954708983</v>
      </c>
      <c r="AE412" s="388">
        <f t="shared" ca="1" si="258"/>
        <v>2.0313288869024948E-2</v>
      </c>
      <c r="AF412" s="388">
        <f t="shared" ca="1" si="258"/>
        <v>7.9593114848768298E-3</v>
      </c>
      <c r="AG412" s="388">
        <f t="shared" ca="1" si="258"/>
        <v>4.8291486650088755E-2</v>
      </c>
      <c r="AH412" s="388">
        <f t="shared" ca="1" si="258"/>
        <v>7.211312538675152E-2</v>
      </c>
    </row>
    <row r="413" spans="1:34">
      <c r="A413" s="165">
        <f t="shared" si="255"/>
        <v>1945</v>
      </c>
      <c r="B413" s="206" t="str">
        <f>IF(AND($A413&gt;=SYear_O,$A413&lt;=EYear_O),IF(B$336&gt;0,B$336*Data_All!$B82,""),"")</f>
        <v/>
      </c>
      <c r="C413" s="206">
        <f>IF(AND($A413&gt;=SYear_O,$A413&lt;=EYear_O),IF(C$336&gt;0,C$336*Data_All!$D82,""),"")</f>
        <v>22.942763055215316</v>
      </c>
      <c r="D413" s="206" t="str">
        <f>IF(AND($A413&gt;=SYear_O,$A413&lt;=EYear_O),IF(D$336&gt;0,D$336*Data_All!$T82,""),"")</f>
        <v/>
      </c>
      <c r="E413" s="206">
        <f>IF(AND($A413&gt;=SYear_O,$A413&lt;=EYear_O),IF(E$336&gt;0,E$336*Data_All!$U82,""),"")</f>
        <v>1.1322647239724197</v>
      </c>
      <c r="F413" s="206" t="str">
        <f>IF(AND($A413&gt;=SYear_O,$A413&lt;=EYear_O),IF(F$336&gt;0,F$336*Data_All!$BX82,""),"")</f>
        <v/>
      </c>
      <c r="G413" s="206" t="str">
        <f>IF(AND($A413&gt;=SYear_O,$A413&lt;=EYear_O),IF(G$336&gt;0,G$336*Data_All!$BY82,""),"")</f>
        <v/>
      </c>
      <c r="H413" s="206" t="str">
        <f>IF(AND($A413&gt;=SYear_O,$A413&lt;=EYear_O),IF(H$336&gt;0,H$336*Data_All!$BZ82,""),"")</f>
        <v/>
      </c>
      <c r="I413" s="206">
        <f t="shared" si="248"/>
        <v>24.075027779187735</v>
      </c>
      <c r="J413" s="446">
        <f t="shared" si="249"/>
        <v>880091.33122787089</v>
      </c>
      <c r="K413" s="206">
        <f>IF(AND($A413&gt;=SYear_O,$A413&lt;=EYear_O),(I413-Data_All!$CA82)/(1+Data_All!$CA82%),"")</f>
        <v>21.348104091733081</v>
      </c>
      <c r="L413" s="447">
        <f t="shared" si="250"/>
        <v>602720.44164809817</v>
      </c>
      <c r="P413">
        <f t="shared" si="256"/>
        <v>74</v>
      </c>
      <c r="Q413">
        <f t="shared" ca="1" si="253"/>
        <v>1945</v>
      </c>
      <c r="R413" s="443">
        <f t="shared" si="251"/>
        <v>1008529.1484878864</v>
      </c>
      <c r="S413" s="443">
        <f t="shared" ref="S413:Z413" ca="1" si="266">IF(OFFSET(INDIRECT(S$337),$P413,0)="",S412,OFFSET(INDIRECT(S$337),$P413,0))</f>
        <v>1008529.1484878864</v>
      </c>
      <c r="T413" s="443">
        <f t="shared" ca="1" si="266"/>
        <v>880091.33122787089</v>
      </c>
      <c r="U413" s="443">
        <f t="shared" ca="1" si="266"/>
        <v>1201753.7239545679</v>
      </c>
      <c r="V413" s="443">
        <f t="shared" ca="1" si="266"/>
        <v>690679.60588082869</v>
      </c>
      <c r="W413" s="209">
        <f t="shared" ca="1" si="266"/>
        <v>0</v>
      </c>
      <c r="X413" s="209">
        <f t="shared" ca="1" si="266"/>
        <v>0</v>
      </c>
      <c r="Y413" s="443">
        <f t="shared" ca="1" si="266"/>
        <v>602720.44164809817</v>
      </c>
      <c r="Z413" s="443">
        <f t="shared" ca="1" si="266"/>
        <v>823007.23749158846</v>
      </c>
      <c r="AA413" s="388">
        <f t="shared" ca="1" si="258"/>
        <v>6.0026998939664011E-2</v>
      </c>
      <c r="AB413" s="388">
        <f t="shared" ca="1" si="258"/>
        <v>7.2657999039267507E-2</v>
      </c>
      <c r="AC413" s="388">
        <f t="shared" ca="1" si="258"/>
        <v>0.10926101898716012</v>
      </c>
      <c r="AD413" s="388">
        <f t="shared" ca="1" si="258"/>
        <v>0.1037583778905713</v>
      </c>
      <c r="AE413" s="388">
        <f t="shared" ca="1" si="258"/>
        <v>-3.6450244207292593E-2</v>
      </c>
      <c r="AF413" s="388">
        <f t="shared" ca="1" si="258"/>
        <v>1.4686082823310853E-2</v>
      </c>
      <c r="AG413" s="388">
        <f t="shared" ca="1" si="258"/>
        <v>6.5183978645972473E-2</v>
      </c>
      <c r="AH413" s="388">
        <f t="shared" ca="1" si="258"/>
        <v>6.7687533441668446E-2</v>
      </c>
    </row>
    <row r="414" spans="1:34">
      <c r="A414" s="165">
        <f t="shared" si="255"/>
        <v>1946</v>
      </c>
      <c r="B414" s="206" t="str">
        <f>IF(AND($A414&gt;=SYear_O,$A414&lt;=EYear_O),IF(B$336&gt;0,B$336*Data_All!$B83,""),"")</f>
        <v/>
      </c>
      <c r="C414" s="206">
        <f>IF(AND($A414&gt;=SYear_O,$A414&lt;=EYear_O),IF(C$336&gt;0,C$336*Data_All!$D83,""),"")</f>
        <v>-7.0821911296855218</v>
      </c>
      <c r="D414" s="206" t="str">
        <f>IF(AND($A414&gt;=SYear_O,$A414&lt;=EYear_O),IF(D$336&gt;0,D$336*Data_All!$T83,""),"")</f>
        <v/>
      </c>
      <c r="E414" s="206">
        <f>IF(AND($A414&gt;=SYear_O,$A414&lt;=EYear_O),IF(E$336&gt;0,E$336*Data_All!$U83,""),"")</f>
        <v>0.59327627626553214</v>
      </c>
      <c r="F414" s="206" t="str">
        <f>IF(AND($A414&gt;=SYear_O,$A414&lt;=EYear_O),IF(F$336&gt;0,F$336*Data_All!$BX83,""),"")</f>
        <v/>
      </c>
      <c r="G414" s="206" t="str">
        <f>IF(AND($A414&gt;=SYear_O,$A414&lt;=EYear_O),IF(G$336&gt;0,G$336*Data_All!$BY83,""),"")</f>
        <v/>
      </c>
      <c r="H414" s="206" t="str">
        <f>IF(AND($A414&gt;=SYear_O,$A414&lt;=EYear_O),IF(H$336&gt;0,H$336*Data_All!$BZ83,""),"")</f>
        <v/>
      </c>
      <c r="I414" s="206">
        <f t="shared" si="248"/>
        <v>-6.4889148534199901</v>
      </c>
      <c r="J414" s="446">
        <f t="shared" si="249"/>
        <v>822982.95411216386</v>
      </c>
      <c r="K414" s="206">
        <f>IF(AND($A414&gt;=SYear_O,$A414&lt;=EYear_O),(I414-Data_All!$CA83)/(1+Data_All!$CA83%),"")</f>
        <v>-20.841779085220644</v>
      </c>
      <c r="L414" s="447">
        <f t="shared" si="250"/>
        <v>477102.77869833534</v>
      </c>
      <c r="P414">
        <f t="shared" si="256"/>
        <v>75</v>
      </c>
      <c r="Q414">
        <f t="shared" ca="1" si="253"/>
        <v>1946</v>
      </c>
      <c r="R414" s="443">
        <f t="shared" si="251"/>
        <v>944812.61641396745</v>
      </c>
      <c r="S414" s="443">
        <f t="shared" ref="S414:Z414" ca="1" si="267">IF(OFFSET(INDIRECT(S$337),$P414,0)="",S413,OFFSET(INDIRECT(S$337),$P414,0))</f>
        <v>944812.61641396745</v>
      </c>
      <c r="T414" s="443">
        <f t="shared" ca="1" si="267"/>
        <v>822982.95411216386</v>
      </c>
      <c r="U414" s="443">
        <f t="shared" ca="1" si="267"/>
        <v>1071005.9276407971</v>
      </c>
      <c r="V414" s="443">
        <f t="shared" ca="1" si="267"/>
        <v>547730.32951410697</v>
      </c>
      <c r="W414" s="209">
        <f t="shared" ca="1" si="267"/>
        <v>6.3177680257879287E-2</v>
      </c>
      <c r="X414" s="209">
        <f t="shared" ca="1" si="267"/>
        <v>0.10879749628195345</v>
      </c>
      <c r="Y414" s="443">
        <f t="shared" ca="1" si="267"/>
        <v>477102.77869833534</v>
      </c>
      <c r="Z414" s="443">
        <f t="shared" ca="1" si="267"/>
        <v>620887.59132448805</v>
      </c>
      <c r="AA414" s="388">
        <f t="shared" ca="1" si="258"/>
        <v>8.0485809779069495E-3</v>
      </c>
      <c r="AB414" s="388">
        <f t="shared" ca="1" si="258"/>
        <v>6.6372882363133545E-2</v>
      </c>
      <c r="AC414" s="388">
        <f t="shared" ca="1" si="258"/>
        <v>0.10288473412461752</v>
      </c>
      <c r="AD414" s="388">
        <f t="shared" ca="1" si="258"/>
        <v>9.3395608228713511E-2</v>
      </c>
      <c r="AE414" s="388">
        <f t="shared" ca="1" si="258"/>
        <v>-8.0747446980501181E-2</v>
      </c>
      <c r="AF414" s="388">
        <f t="shared" ca="1" si="258"/>
        <v>-2.3995719844663865E-3</v>
      </c>
      <c r="AG414" s="388">
        <f t="shared" ca="1" si="258"/>
        <v>6.1020523844911079E-2</v>
      </c>
      <c r="AH414" s="388">
        <f t="shared" ca="1" si="258"/>
        <v>5.8037352418600863E-2</v>
      </c>
    </row>
    <row r="415" spans="1:34">
      <c r="A415" s="165">
        <f t="shared" si="255"/>
        <v>1947</v>
      </c>
      <c r="B415" s="206" t="str">
        <f>IF(AND($A415&gt;=SYear_O,$A415&lt;=EYear_O),IF(B$336&gt;0,B$336*Data_All!$B84,""),"")</f>
        <v/>
      </c>
      <c r="C415" s="206">
        <f>IF(AND($A415&gt;=SYear_O,$A415&lt;=EYear_O),IF(C$336&gt;0,C$336*Data_All!$D84,""),"")</f>
        <v>1.7096891891279806</v>
      </c>
      <c r="D415" s="206" t="str">
        <f>IF(AND($A415&gt;=SYear_O,$A415&lt;=EYear_O),IF(D$336&gt;0,D$336*Data_All!$T84,""),"")</f>
        <v/>
      </c>
      <c r="E415" s="206">
        <f>IF(AND($A415&gt;=SYear_O,$A415&lt;=EYear_O),IF(E$336&gt;0,E$336*Data_All!$U84,""),"")</f>
        <v>0.39348714974844956</v>
      </c>
      <c r="F415" s="206" t="str">
        <f>IF(AND($A415&gt;=SYear_O,$A415&lt;=EYear_O),IF(F$336&gt;0,F$336*Data_All!$BX84,""),"")</f>
        <v/>
      </c>
      <c r="G415" s="206" t="str">
        <f>IF(AND($A415&gt;=SYear_O,$A415&lt;=EYear_O),IF(G$336&gt;0,G$336*Data_All!$BY84,""),"")</f>
        <v/>
      </c>
      <c r="H415" s="206" t="str">
        <f>IF(AND($A415&gt;=SYear_O,$A415&lt;=EYear_O),IF(H$336&gt;0,H$336*Data_All!$BZ84,""),"")</f>
        <v/>
      </c>
      <c r="I415" s="206">
        <f t="shared" si="248"/>
        <v>2.1031763388764304</v>
      </c>
      <c r="J415" s="446">
        <f t="shared" si="249"/>
        <v>840291.73687603709</v>
      </c>
      <c r="K415" s="206">
        <f>IF(AND($A415&gt;=SYear_O,$A415&lt;=EYear_O),(I415-Data_All!$CA84)/(1+Data_All!$CA84%),"")</f>
        <v>-7.3747556419475346</v>
      </c>
      <c r="L415" s="447">
        <f t="shared" si="250"/>
        <v>441917.61460839136</v>
      </c>
      <c r="P415">
        <f t="shared" si="256"/>
        <v>76</v>
      </c>
      <c r="Q415">
        <f t="shared" ca="1" si="253"/>
        <v>1947</v>
      </c>
      <c r="R415" s="443">
        <f t="shared" si="251"/>
        <v>966438.146914021</v>
      </c>
      <c r="S415" s="443">
        <f t="shared" ref="S415:Z415" ca="1" si="268">IF(OFFSET(INDIRECT(S$337),$P415,0)="",S414,OFFSET(INDIRECT(S$337),$P415,0))</f>
        <v>966438.146914021</v>
      </c>
      <c r="T415" s="443">
        <f t="shared" ca="1" si="268"/>
        <v>840291.73687603709</v>
      </c>
      <c r="U415" s="443">
        <f t="shared" ca="1" si="268"/>
        <v>1102093.0354048449</v>
      </c>
      <c r="V415" s="443">
        <f t="shared" ca="1" si="268"/>
        <v>508259.24117566785</v>
      </c>
      <c r="W415" s="209">
        <f t="shared" ca="1" si="268"/>
        <v>4.1735037244063355E-2</v>
      </c>
      <c r="X415" s="209">
        <f t="shared" ca="1" si="268"/>
        <v>8.2929377761171597E-2</v>
      </c>
      <c r="Y415" s="443">
        <f t="shared" ca="1" si="268"/>
        <v>441917.61460839136</v>
      </c>
      <c r="Z415" s="443">
        <f t="shared" ca="1" si="268"/>
        <v>579601.46923886752</v>
      </c>
      <c r="AA415" s="388">
        <f t="shared" ref="AA415:AH424" ca="1" si="269">IF(AA$336,IF(OFFSET(INDIRECT(AA$337),$P415,0)="","",OFFSET(INDIRECT(AA$337),$P415,0)),"")</f>
        <v>6.8385518344242557E-2</v>
      </c>
      <c r="AB415" s="388">
        <f t="shared" ca="1" si="269"/>
        <v>0.10738309604341567</v>
      </c>
      <c r="AC415" s="388">
        <f t="shared" ca="1" si="269"/>
        <v>0.11462004825917749</v>
      </c>
      <c r="AD415" s="388">
        <f t="shared" ca="1" si="269"/>
        <v>0.10681178693522364</v>
      </c>
      <c r="AE415" s="388">
        <f t="shared" ca="1" si="269"/>
        <v>3.7173770526684358E-2</v>
      </c>
      <c r="AF415" s="388">
        <f t="shared" ca="1" si="269"/>
        <v>6.2029076210253775E-2</v>
      </c>
      <c r="AG415" s="388">
        <f t="shared" ca="1" si="269"/>
        <v>8.7125763443603121E-2</v>
      </c>
      <c r="AH415" s="388">
        <f t="shared" ca="1" si="269"/>
        <v>8.2500874414465963E-2</v>
      </c>
    </row>
    <row r="416" spans="1:34">
      <c r="A416" s="165">
        <f t="shared" si="255"/>
        <v>1948</v>
      </c>
      <c r="B416" s="206" t="str">
        <f>IF(AND($A416&gt;=SYear_O,$A416&lt;=EYear_O),IF(B$336&gt;0,B$336*Data_All!$B85,""),"")</f>
        <v/>
      </c>
      <c r="C416" s="206">
        <f>IF(AND($A416&gt;=SYear_O,$A416&lt;=EYear_O),IF(C$336&gt;0,C$336*Data_All!$D85,""),"")</f>
        <v>5.7950937216576666</v>
      </c>
      <c r="D416" s="206" t="str">
        <f>IF(AND($A416&gt;=SYear_O,$A416&lt;=EYear_O),IF(D$336&gt;0,D$336*Data_All!$T85,""),"")</f>
        <v/>
      </c>
      <c r="E416" s="206">
        <f>IF(AND($A416&gt;=SYear_O,$A416&lt;=EYear_O),IF(E$336&gt;0,E$336*Data_All!$U85,""),"")</f>
        <v>0.90658283568287334</v>
      </c>
      <c r="F416" s="206" t="str">
        <f>IF(AND($A416&gt;=SYear_O,$A416&lt;=EYear_O),IF(F$336&gt;0,F$336*Data_All!$BX85,""),"")</f>
        <v/>
      </c>
      <c r="G416" s="206" t="str">
        <f>IF(AND($A416&gt;=SYear_O,$A416&lt;=EYear_O),IF(G$336&gt;0,G$336*Data_All!$BY85,""),"")</f>
        <v/>
      </c>
      <c r="H416" s="206" t="str">
        <f>IF(AND($A416&gt;=SYear_O,$A416&lt;=EYear_O),IF(H$336&gt;0,H$336*Data_All!$BZ85,""),"")</f>
        <v/>
      </c>
      <c r="I416" s="206">
        <f t="shared" si="248"/>
        <v>6.7016765573405399</v>
      </c>
      <c r="J416" s="446">
        <f t="shared" si="249"/>
        <v>896605.37121952802</v>
      </c>
      <c r="K416" s="206">
        <f>IF(AND($A416&gt;=SYear_O,$A416&lt;=EYear_O),(I416-Data_All!$CA85)/(1+Data_All!$CA85%),"")</f>
        <v>5.367905600373776</v>
      </c>
      <c r="L416" s="447">
        <f t="shared" si="250"/>
        <v>465639.33499199338</v>
      </c>
      <c r="P416">
        <f t="shared" si="256"/>
        <v>77</v>
      </c>
      <c r="Q416">
        <f t="shared" ca="1" si="253"/>
        <v>1948</v>
      </c>
      <c r="R416" s="443">
        <f t="shared" si="251"/>
        <v>1033077.3563928909</v>
      </c>
      <c r="S416" s="443">
        <f t="shared" ref="S416:Z416" ca="1" si="270">IF(OFFSET(INDIRECT(S$337),$P416,0)="",S415,OFFSET(INDIRECT(S$337),$P416,0))</f>
        <v>1033077.3563928909</v>
      </c>
      <c r="T416" s="443">
        <f t="shared" ca="1" si="270"/>
        <v>896605.37121952802</v>
      </c>
      <c r="U416" s="443">
        <f t="shared" ca="1" si="270"/>
        <v>1205302.9626539296</v>
      </c>
      <c r="V416" s="443">
        <f t="shared" ca="1" si="270"/>
        <v>536514.13282498915</v>
      </c>
      <c r="W416" s="209">
        <f t="shared" ca="1" si="270"/>
        <v>0</v>
      </c>
      <c r="X416" s="209">
        <f t="shared" ca="1" si="270"/>
        <v>0</v>
      </c>
      <c r="Y416" s="443">
        <f t="shared" ca="1" si="270"/>
        <v>465639.33499199338</v>
      </c>
      <c r="Z416" s="443">
        <f t="shared" ca="1" si="270"/>
        <v>625957.06874997145</v>
      </c>
      <c r="AA416" s="388">
        <f t="shared" ca="1" si="269"/>
        <v>0.12898096023729422</v>
      </c>
      <c r="AB416" s="388">
        <f t="shared" ca="1" si="269"/>
        <v>0.12196781660640554</v>
      </c>
      <c r="AC416" s="388">
        <f t="shared" ca="1" si="269"/>
        <v>0.11104448343599649</v>
      </c>
      <c r="AD416" s="388">
        <f t="shared" ca="1" si="269"/>
        <v>0.10559128750037949</v>
      </c>
      <c r="AE416" s="388">
        <f t="shared" ca="1" si="269"/>
        <v>0.10320992659659911</v>
      </c>
      <c r="AF416" s="388">
        <f t="shared" ca="1" si="269"/>
        <v>9.6361411523520291E-2</v>
      </c>
      <c r="AG416" s="388">
        <f t="shared" ca="1" si="269"/>
        <v>9.0359416703603479E-2</v>
      </c>
      <c r="AH416" s="388">
        <f t="shared" ca="1" si="269"/>
        <v>8.7392312743130196E-2</v>
      </c>
    </row>
    <row r="417" spans="1:34">
      <c r="A417" s="165">
        <f t="shared" si="255"/>
        <v>1949</v>
      </c>
      <c r="B417" s="206" t="str">
        <f>IF(AND($A417&gt;=SYear_O,$A417&lt;=EYear_O),IF(B$336&gt;0,B$336*Data_All!$B86,""),"")</f>
        <v/>
      </c>
      <c r="C417" s="206">
        <f>IF(AND($A417&gt;=SYear_O,$A417&lt;=EYear_O),IF(C$336&gt;0,C$336*Data_All!$D86,""),"")</f>
        <v>10.271164021164013</v>
      </c>
      <c r="D417" s="206" t="str">
        <f>IF(AND($A417&gt;=SYear_O,$A417&lt;=EYear_O),IF(D$336&gt;0,D$336*Data_All!$T86,""),"")</f>
        <v/>
      </c>
      <c r="E417" s="206">
        <f>IF(AND($A417&gt;=SYear_O,$A417&lt;=EYear_O),IF(E$336&gt;0,E$336*Data_All!$U86,""),"")</f>
        <v>1.0585719898032131</v>
      </c>
      <c r="F417" s="206" t="str">
        <f>IF(AND($A417&gt;=SYear_O,$A417&lt;=EYear_O),IF(F$336&gt;0,F$336*Data_All!$BX86,""),"")</f>
        <v/>
      </c>
      <c r="G417" s="206" t="str">
        <f>IF(AND($A417&gt;=SYear_O,$A417&lt;=EYear_O),IF(G$336&gt;0,G$336*Data_All!$BY86,""),"")</f>
        <v/>
      </c>
      <c r="H417" s="206" t="str">
        <f>IF(AND($A417&gt;=SYear_O,$A417&lt;=EYear_O),IF(H$336&gt;0,H$336*Data_All!$BZ86,""),"")</f>
        <v/>
      </c>
      <c r="I417" s="206">
        <f t="shared" si="248"/>
        <v>11.329736010967226</v>
      </c>
      <c r="J417" s="446">
        <f t="shared" si="249"/>
        <v>998188.39283885329</v>
      </c>
      <c r="K417" s="206">
        <f>IF(AND($A417&gt;=SYear_O,$A417&lt;=EYear_O),(I417-Data_All!$CA86)/(1+Data_All!$CA86%),"")</f>
        <v>13.698453798434619</v>
      </c>
      <c r="L417" s="447">
        <f t="shared" si="250"/>
        <v>529424.72416320979</v>
      </c>
      <c r="P417">
        <f t="shared" si="256"/>
        <v>78</v>
      </c>
      <c r="Q417">
        <f t="shared" ca="1" si="253"/>
        <v>1949</v>
      </c>
      <c r="R417" s="443">
        <f t="shared" si="251"/>
        <v>1152204.7516035342</v>
      </c>
      <c r="S417" s="443">
        <f t="shared" ref="S417:Z417" ca="1" si="271">IF(OFFSET(INDIRECT(S$337),$P417,0)="",S416,OFFSET(INDIRECT(S$337),$P417,0))</f>
        <v>1152204.7516035342</v>
      </c>
      <c r="T417" s="443">
        <f t="shared" ca="1" si="271"/>
        <v>998188.39283885329</v>
      </c>
      <c r="U417" s="443">
        <f t="shared" ca="1" si="271"/>
        <v>1403399.3198924097</v>
      </c>
      <c r="V417" s="443">
        <f t="shared" ca="1" si="271"/>
        <v>611112.77908409818</v>
      </c>
      <c r="W417" s="209">
        <f t="shared" ca="1" si="271"/>
        <v>0</v>
      </c>
      <c r="X417" s="209">
        <f t="shared" ca="1" si="271"/>
        <v>0</v>
      </c>
      <c r="Y417" s="443">
        <f t="shared" ca="1" si="271"/>
        <v>529424.72416320979</v>
      </c>
      <c r="Z417" s="443">
        <f t="shared" ca="1" si="271"/>
        <v>744342.75448925642</v>
      </c>
      <c r="AA417" s="388">
        <f t="shared" ca="1" si="269"/>
        <v>0.15053746053462458</v>
      </c>
      <c r="AB417" s="388">
        <f t="shared" ca="1" si="269"/>
        <v>0.11539662003072571</v>
      </c>
      <c r="AC417" s="388">
        <f t="shared" ca="1" si="269"/>
        <v>0.12682920485155869</v>
      </c>
      <c r="AD417" s="388">
        <f t="shared" ca="1" si="269"/>
        <v>0.10990661044074868</v>
      </c>
      <c r="AE417" s="388">
        <f t="shared" ca="1" si="269"/>
        <v>0.11315562721121863</v>
      </c>
      <c r="AF417" s="388">
        <f t="shared" ca="1" si="269"/>
        <v>9.0237501119151853E-2</v>
      </c>
      <c r="AG417" s="388">
        <f t="shared" ca="1" si="269"/>
        <v>0.10570536990341206</v>
      </c>
      <c r="AH417" s="388">
        <f t="shared" ca="1" si="269"/>
        <v>9.1364833155209491E-2</v>
      </c>
    </row>
    <row r="418" spans="1:34">
      <c r="A418" s="165">
        <f t="shared" si="255"/>
        <v>1950</v>
      </c>
      <c r="B418" s="206" t="str">
        <f>IF(AND($A418&gt;=SYear_O,$A418&lt;=EYear_O),IF(B$336&gt;0,B$336*Data_All!$B87,""),"")</f>
        <v/>
      </c>
      <c r="C418" s="206">
        <f>IF(AND($A418&gt;=SYear_O,$A418&lt;=EYear_O),IF(C$336&gt;0,C$336*Data_All!$D87,""),"")</f>
        <v>20.479298935884827</v>
      </c>
      <c r="D418" s="206" t="str">
        <f>IF(AND($A418&gt;=SYear_O,$A418&lt;=EYear_O),IF(D$336&gt;0,D$336*Data_All!$T87,""),"")</f>
        <v/>
      </c>
      <c r="E418" s="206">
        <f>IF(AND($A418&gt;=SYear_O,$A418&lt;=EYear_O),IF(E$336&gt;0,E$336*Data_All!$U87,""),"")</f>
        <v>3.0423388988726663E-3</v>
      </c>
      <c r="F418" s="206" t="str">
        <f>IF(AND($A418&gt;=SYear_O,$A418&lt;=EYear_O),IF(F$336&gt;0,F$336*Data_All!$BX87,""),"")</f>
        <v/>
      </c>
      <c r="G418" s="206" t="str">
        <f>IF(AND($A418&gt;=SYear_O,$A418&lt;=EYear_O),IF(G$336&gt;0,G$336*Data_All!$BY87,""),"")</f>
        <v/>
      </c>
      <c r="H418" s="206" t="str">
        <f>IF(AND($A418&gt;=SYear_O,$A418&lt;=EYear_O),IF(H$336&gt;0,H$336*Data_All!$BZ87,""),"")</f>
        <v/>
      </c>
      <c r="I418" s="206">
        <f t="shared" si="248"/>
        <v>20.4823412747837</v>
      </c>
      <c r="J418" s="446">
        <f t="shared" si="249"/>
        <v>1202640.7460253858</v>
      </c>
      <c r="K418" s="206">
        <f>IF(AND($A418&gt;=SYear_O,$A418&lt;=EYear_O),(I418-Data_All!$CA87)/(1+Data_All!$CA87%),"")</f>
        <v>11.469882675488856</v>
      </c>
      <c r="L418" s="447">
        <f t="shared" si="250"/>
        <v>590149.11887976038</v>
      </c>
      <c r="P418">
        <f t="shared" si="256"/>
        <v>79</v>
      </c>
      <c r="Q418">
        <f t="shared" ca="1" si="253"/>
        <v>1950</v>
      </c>
      <c r="R418" s="443">
        <f t="shared" si="251"/>
        <v>1390701.4816413475</v>
      </c>
      <c r="S418" s="443">
        <f t="shared" ref="S418:Z418" ca="1" si="272">IF(OFFSET(INDIRECT(S$337),$P418,0)="",S417,OFFSET(INDIRECT(S$337),$P418,0))</f>
        <v>1390701.4816413475</v>
      </c>
      <c r="T418" s="443">
        <f t="shared" ca="1" si="272"/>
        <v>1202640.7460253858</v>
      </c>
      <c r="U418" s="443">
        <f t="shared" ca="1" si="272"/>
        <v>1859787.1610768337</v>
      </c>
      <c r="V418" s="443">
        <f t="shared" ca="1" si="272"/>
        <v>682432.60236095067</v>
      </c>
      <c r="W418" s="209">
        <f t="shared" ca="1" si="272"/>
        <v>0</v>
      </c>
      <c r="X418" s="209">
        <f t="shared" ca="1" si="272"/>
        <v>0</v>
      </c>
      <c r="Y418" s="443">
        <f t="shared" ca="1" si="272"/>
        <v>590149.11887976038</v>
      </c>
      <c r="Z418" s="443">
        <f t="shared" ca="1" si="272"/>
        <v>912618.13475112233</v>
      </c>
      <c r="AA418" s="388">
        <f t="shared" ca="1" si="269"/>
        <v>0.14248050938862278</v>
      </c>
      <c r="AB418" s="388">
        <f t="shared" ca="1" si="269"/>
        <v>0.14711306804825175</v>
      </c>
      <c r="AC418" s="388">
        <f t="shared" ca="1" si="269"/>
        <v>0.11964509455902039</v>
      </c>
      <c r="AD418" s="388">
        <f t="shared" ca="1" si="269"/>
        <v>0.10967685362428647</v>
      </c>
      <c r="AE418" s="388">
        <f t="shared" ca="1" si="269"/>
        <v>9.6253202269159344E-2</v>
      </c>
      <c r="AF418" s="388">
        <f t="shared" ca="1" si="269"/>
        <v>0.11819500392382576</v>
      </c>
      <c r="AG418" s="388">
        <f t="shared" ca="1" si="269"/>
        <v>9.5217578925282709E-2</v>
      </c>
      <c r="AH418" s="388">
        <f t="shared" ca="1" si="269"/>
        <v>8.8906888546038232E-2</v>
      </c>
    </row>
    <row r="419" spans="1:34">
      <c r="A419" s="165">
        <f t="shared" si="255"/>
        <v>1951</v>
      </c>
      <c r="B419" s="206" t="str">
        <f>IF(AND($A419&gt;=SYear_O,$A419&lt;=EYear_O),IF(B$336&gt;0,B$336*Data_All!$B88,""),"")</f>
        <v/>
      </c>
      <c r="C419" s="206">
        <f>IF(AND($A419&gt;=SYear_O,$A419&lt;=EYear_O),IF(C$336&gt;0,C$336*Data_All!$D88,""),"")</f>
        <v>12.295767633495478</v>
      </c>
      <c r="D419" s="206" t="str">
        <f>IF(AND($A419&gt;=SYear_O,$A419&lt;=EYear_O),IF(D$336&gt;0,D$336*Data_All!$T88,""),"")</f>
        <v/>
      </c>
      <c r="E419" s="206">
        <f>IF(AND($A419&gt;=SYear_O,$A419&lt;=EYear_O),IF(E$336&gt;0,E$336*Data_All!$U88,""),"")</f>
        <v>0.63616034184806902</v>
      </c>
      <c r="F419" s="206" t="str">
        <f>IF(AND($A419&gt;=SYear_O,$A419&lt;=EYear_O),IF(F$336&gt;0,F$336*Data_All!$BX88,""),"")</f>
        <v/>
      </c>
      <c r="G419" s="206" t="str">
        <f>IF(AND($A419&gt;=SYear_O,$A419&lt;=EYear_O),IF(G$336&gt;0,G$336*Data_All!$BY88,""),"")</f>
        <v/>
      </c>
      <c r="H419" s="206" t="str">
        <f>IF(AND($A419&gt;=SYear_O,$A419&lt;=EYear_O),IF(H$336&gt;0,H$336*Data_All!$BZ88,""),"")</f>
        <v/>
      </c>
      <c r="I419" s="206">
        <f t="shared" si="248"/>
        <v>12.931927975343546</v>
      </c>
      <c r="J419" s="446">
        <f t="shared" si="249"/>
        <v>1358165.3811035231</v>
      </c>
      <c r="K419" s="206">
        <f>IF(AND($A419&gt;=SYear_O,$A419&lt;=EYear_O),(I419-Data_All!$CA88)/(1+Data_All!$CA88%),"")</f>
        <v>8.2441875688198358</v>
      </c>
      <c r="L419" s="447">
        <f t="shared" si="250"/>
        <v>638802.11917594541</v>
      </c>
      <c r="P419">
        <f t="shared" si="256"/>
        <v>80</v>
      </c>
      <c r="Q419">
        <f t="shared" ca="1" si="253"/>
        <v>1951</v>
      </c>
      <c r="R419" s="443">
        <f t="shared" si="251"/>
        <v>1573385.4620969479</v>
      </c>
      <c r="S419" s="443">
        <f t="shared" ref="S419:Z419" ca="1" si="273">IF(OFFSET(INDIRECT(S$337),$P419,0)="",S418,OFFSET(INDIRECT(S$337),$P419,0))</f>
        <v>1573385.4620969479</v>
      </c>
      <c r="T419" s="443">
        <f t="shared" ca="1" si="273"/>
        <v>1358165.3811035231</v>
      </c>
      <c r="U419" s="443">
        <f t="shared" ca="1" si="273"/>
        <v>2230398.7100173645</v>
      </c>
      <c r="V419" s="443">
        <f t="shared" ca="1" si="273"/>
        <v>740029.14626753039</v>
      </c>
      <c r="W419" s="209">
        <f t="shared" ca="1" si="273"/>
        <v>0</v>
      </c>
      <c r="X419" s="209">
        <f t="shared" ca="1" si="273"/>
        <v>0</v>
      </c>
      <c r="Y419" s="443">
        <f t="shared" ca="1" si="273"/>
        <v>638802.11917594541</v>
      </c>
      <c r="Z419" s="443">
        <f t="shared" ca="1" si="273"/>
        <v>1049050.0217350102</v>
      </c>
      <c r="AA419" s="388">
        <f t="shared" ca="1" si="269"/>
        <v>8.6463603201689443E-2</v>
      </c>
      <c r="AB419" s="388">
        <f t="shared" ca="1" si="269"/>
        <v>0.1406467258147337</v>
      </c>
      <c r="AC419" s="388">
        <f t="shared" ca="1" si="269"/>
        <v>0.10716268819639496</v>
      </c>
      <c r="AD419" s="388">
        <f t="shared" ca="1" si="269"/>
        <v>0.10109210566533622</v>
      </c>
      <c r="AE419" s="388">
        <f t="shared" ca="1" si="269"/>
        <v>6.5881671070989078E-2</v>
      </c>
      <c r="AF419" s="388">
        <f t="shared" ca="1" si="269"/>
        <v>0.12847240278309124</v>
      </c>
      <c r="AG419" s="388">
        <f t="shared" ca="1" si="269"/>
        <v>8.9615284696808795E-2</v>
      </c>
      <c r="AH419" s="388">
        <f t="shared" ca="1" si="269"/>
        <v>8.4719436369478096E-2</v>
      </c>
    </row>
    <row r="420" spans="1:34">
      <c r="A420" s="165">
        <f t="shared" si="255"/>
        <v>1952</v>
      </c>
      <c r="B420" s="206" t="str">
        <f>IF(AND($A420&gt;=SYear_O,$A420&lt;=EYear_O),IF(B$336&gt;0,B$336*Data_All!$B89,""),"")</f>
        <v/>
      </c>
      <c r="C420" s="206">
        <f>IF(AND($A420&gt;=SYear_O,$A420&lt;=EYear_O),IF(C$336&gt;0,C$336*Data_All!$D89,""),"")</f>
        <v>8.3170978084672242</v>
      </c>
      <c r="D420" s="206" t="str">
        <f>IF(AND($A420&gt;=SYear_O,$A420&lt;=EYear_O),IF(D$336&gt;0,D$336*Data_All!$T89,""),"")</f>
        <v/>
      </c>
      <c r="E420" s="206">
        <f>IF(AND($A420&gt;=SYear_O,$A420&lt;=EYear_O),IF(E$336&gt;0,E$336*Data_All!$U89,""),"")</f>
        <v>0.68998209899617746</v>
      </c>
      <c r="F420" s="206" t="str">
        <f>IF(AND($A420&gt;=SYear_O,$A420&lt;=EYear_O),IF(F$336&gt;0,F$336*Data_All!$BX89,""),"")</f>
        <v/>
      </c>
      <c r="G420" s="206" t="str">
        <f>IF(AND($A420&gt;=SYear_O,$A420&lt;=EYear_O),IF(G$336&gt;0,G$336*Data_All!$BY89,""),"")</f>
        <v/>
      </c>
      <c r="H420" s="206" t="str">
        <f>IF(AND($A420&gt;=SYear_O,$A420&lt;=EYear_O),IF(H$336&gt;0,H$336*Data_All!$BZ89,""),"")</f>
        <v/>
      </c>
      <c r="I420" s="206">
        <f t="shared" si="248"/>
        <v>9.0070799074634014</v>
      </c>
      <c r="J420" s="446">
        <f t="shared" si="249"/>
        <v>1480496.4222550225</v>
      </c>
      <c r="K420" s="206">
        <f>IF(AND($A420&gt;=SYear_O,$A420&lt;=EYear_O),(I420-Data_All!$CA89)/(1+Data_All!$CA89%),"")</f>
        <v>8.5972788551797059</v>
      </c>
      <c r="L420" s="447">
        <f t="shared" si="250"/>
        <v>693721.71869429888</v>
      </c>
      <c r="P420">
        <f t="shared" si="256"/>
        <v>81</v>
      </c>
      <c r="Q420">
        <f t="shared" ca="1" si="253"/>
        <v>1952</v>
      </c>
      <c r="R420" s="443">
        <f t="shared" si="251"/>
        <v>1718209.2836307597</v>
      </c>
      <c r="S420" s="443">
        <f t="shared" ref="S420:Z420" ca="1" si="274">IF(OFFSET(INDIRECT(S$337),$P420,0)="",S419,OFFSET(INDIRECT(S$337),$P420,0))</f>
        <v>1718209.2836307597</v>
      </c>
      <c r="T420" s="443">
        <f t="shared" ca="1" si="274"/>
        <v>1480496.4222550225</v>
      </c>
      <c r="U420" s="443">
        <f t="shared" ca="1" si="274"/>
        <v>2534536.9763735207</v>
      </c>
      <c r="V420" s="443">
        <f t="shared" ca="1" si="274"/>
        <v>805107.71886992862</v>
      </c>
      <c r="W420" s="209">
        <f t="shared" ca="1" si="274"/>
        <v>0</v>
      </c>
      <c r="X420" s="209">
        <f t="shared" ca="1" si="274"/>
        <v>0</v>
      </c>
      <c r="Y420" s="443">
        <f t="shared" ca="1" si="274"/>
        <v>693721.71869429888</v>
      </c>
      <c r="Z420" s="443">
        <f t="shared" ca="1" si="274"/>
        <v>1187617.4240704945</v>
      </c>
      <c r="AA420" s="388">
        <f t="shared" ca="1" si="269"/>
        <v>0.13303125064215693</v>
      </c>
      <c r="AB420" s="388">
        <f t="shared" ca="1" si="269"/>
        <v>0.12190429528877589</v>
      </c>
      <c r="AC420" s="388">
        <f t="shared" ca="1" si="269"/>
        <v>0.10652624291948909</v>
      </c>
      <c r="AD420" s="388">
        <f t="shared" ca="1" si="269"/>
        <v>9.0729732324581258E-2</v>
      </c>
      <c r="AE420" s="388">
        <f t="shared" ca="1" si="269"/>
        <v>0.13019511549973295</v>
      </c>
      <c r="AF420" s="388">
        <f t="shared" ca="1" si="269"/>
        <v>0.11281550761314874</v>
      </c>
      <c r="AG420" s="388">
        <f t="shared" ca="1" si="269"/>
        <v>9.2884282805050455E-2</v>
      </c>
      <c r="AH420" s="388">
        <f t="shared" ca="1" si="269"/>
        <v>7.5112266182279397E-2</v>
      </c>
    </row>
    <row r="421" spans="1:34">
      <c r="A421" s="165">
        <f t="shared" si="255"/>
        <v>1953</v>
      </c>
      <c r="B421" s="206" t="str">
        <f>IF(AND($A421&gt;=SYear_O,$A421&lt;=EYear_O),IF(B$336&gt;0,B$336*Data_All!$B90,""),"")</f>
        <v/>
      </c>
      <c r="C421" s="206">
        <f>IF(AND($A421&gt;=SYear_O,$A421&lt;=EYear_O),IF(C$336&gt;0,C$336*Data_All!$D90,""),"")</f>
        <v>1.5683666262388269</v>
      </c>
      <c r="D421" s="206" t="str">
        <f>IF(AND($A421&gt;=SYear_O,$A421&lt;=EYear_O),IF(D$336&gt;0,D$336*Data_All!$T90,""),"")</f>
        <v/>
      </c>
      <c r="E421" s="206">
        <f>IF(AND($A421&gt;=SYear_O,$A421&lt;=EYear_O),IF(E$336&gt;0,E$336*Data_All!$U90,""),"")</f>
        <v>2.044324126269975</v>
      </c>
      <c r="F421" s="206" t="str">
        <f>IF(AND($A421&gt;=SYear_O,$A421&lt;=EYear_O),IF(F$336&gt;0,F$336*Data_All!$BX90,""),"")</f>
        <v/>
      </c>
      <c r="G421" s="206" t="str">
        <f>IF(AND($A421&gt;=SYear_O,$A421&lt;=EYear_O),IF(G$336&gt;0,G$336*Data_All!$BY90,""),"")</f>
        <v/>
      </c>
      <c r="H421" s="206" t="str">
        <f>IF(AND($A421&gt;=SYear_O,$A421&lt;=EYear_O),IF(H$336&gt;0,H$336*Data_All!$BZ90,""),"")</f>
        <v/>
      </c>
      <c r="I421" s="206">
        <f t="shared" si="248"/>
        <v>3.6126907525088017</v>
      </c>
      <c r="J421" s="446">
        <f t="shared" si="249"/>
        <v>1533982.1795930534</v>
      </c>
      <c r="K421" s="206">
        <f>IF(AND($A421&gt;=SYear_O,$A421&lt;=EYear_O),(I421-Data_All!$CA90)/(1+Data_All!$CA90%),"")</f>
        <v>2.4571588853804536</v>
      </c>
      <c r="L421" s="447">
        <f t="shared" si="250"/>
        <v>710767.56354500982</v>
      </c>
      <c r="P421">
        <f t="shared" si="256"/>
        <v>82</v>
      </c>
      <c r="Q421">
        <f t="shared" ca="1" si="253"/>
        <v>1953</v>
      </c>
      <c r="R421" s="443">
        <f t="shared" si="251"/>
        <v>1783526.075254949</v>
      </c>
      <c r="S421" s="443">
        <f t="shared" ref="S421:Z421" ca="1" si="275">IF(OFFSET(INDIRECT(S$337),$P421,0)="",S420,OFFSET(INDIRECT(S$337),$P421,0))</f>
        <v>1783526.075254949</v>
      </c>
      <c r="T421" s="443">
        <f t="shared" ca="1" si="275"/>
        <v>1533982.1795930534</v>
      </c>
      <c r="U421" s="443">
        <f t="shared" ca="1" si="275"/>
        <v>2607200.7016734164</v>
      </c>
      <c r="V421" s="443">
        <f t="shared" ca="1" si="275"/>
        <v>826393.22665681341</v>
      </c>
      <c r="W421" s="209">
        <f t="shared" ca="1" si="275"/>
        <v>0</v>
      </c>
      <c r="X421" s="209">
        <f t="shared" ca="1" si="275"/>
        <v>0</v>
      </c>
      <c r="Y421" s="443">
        <f t="shared" ca="1" si="275"/>
        <v>710767.56354500982</v>
      </c>
      <c r="Z421" s="443">
        <f t="shared" ca="1" si="275"/>
        <v>1208041.2113345836</v>
      </c>
      <c r="AA421" s="388">
        <f t="shared" ca="1" si="269"/>
        <v>0.16048059384052582</v>
      </c>
      <c r="AB421" s="388">
        <f t="shared" ca="1" si="269"/>
        <v>0.10022749842084244</v>
      </c>
      <c r="AC421" s="388">
        <f t="shared" ca="1" si="269"/>
        <v>9.7492880716354202E-2</v>
      </c>
      <c r="AD421" s="388">
        <f t="shared" ca="1" si="269"/>
        <v>9.1200353502241649E-2</v>
      </c>
      <c r="AE421" s="388">
        <f t="shared" ca="1" si="269"/>
        <v>0.15758661525914386</v>
      </c>
      <c r="AF421" s="388">
        <f t="shared" ca="1" si="269"/>
        <v>8.4390279608739238E-2</v>
      </c>
      <c r="AG421" s="388">
        <f t="shared" ca="1" si="269"/>
        <v>8.2935316340990051E-2</v>
      </c>
      <c r="AH421" s="388">
        <f t="shared" ca="1" si="269"/>
        <v>7.327986471474679E-2</v>
      </c>
    </row>
    <row r="422" spans="1:34">
      <c r="A422" s="165">
        <f t="shared" si="255"/>
        <v>1954</v>
      </c>
      <c r="B422" s="206" t="str">
        <f>IF(AND($A422&gt;=SYear_O,$A422&lt;=EYear_O),IF(B$336&gt;0,B$336*Data_All!$B91,""),"")</f>
        <v/>
      </c>
      <c r="C422" s="206">
        <f>IF(AND($A422&gt;=SYear_O,$A422&lt;=EYear_O),IF(C$336&gt;0,C$336*Data_All!$D91,""),"")</f>
        <v>27.376989361604505</v>
      </c>
      <c r="D422" s="206" t="str">
        <f>IF(AND($A422&gt;=SYear_O,$A422&lt;=EYear_O),IF(D$336&gt;0,D$336*Data_All!$T91,""),"")</f>
        <v/>
      </c>
      <c r="E422" s="206">
        <f>IF(AND($A422&gt;=SYear_O,$A422&lt;=EYear_O),IF(E$336&gt;0,E$336*Data_All!$U91,""),"")</f>
        <v>0.7092057265542635</v>
      </c>
      <c r="F422" s="206" t="str">
        <f>IF(AND($A422&gt;=SYear_O,$A422&lt;=EYear_O),IF(F$336&gt;0,F$336*Data_All!$BX91,""),"")</f>
        <v/>
      </c>
      <c r="G422" s="206" t="str">
        <f>IF(AND($A422&gt;=SYear_O,$A422&lt;=EYear_O),IF(G$336&gt;0,G$336*Data_All!$BY91,""),"")</f>
        <v/>
      </c>
      <c r="H422" s="206" t="str">
        <f>IF(AND($A422&gt;=SYear_O,$A422&lt;=EYear_O),IF(H$336&gt;0,H$336*Data_All!$BZ91,""),"")</f>
        <v/>
      </c>
      <c r="I422" s="206">
        <f t="shared" si="248"/>
        <v>28.086195088158767</v>
      </c>
      <c r="J422" s="446">
        <f t="shared" si="249"/>
        <v>1964819.4071711483</v>
      </c>
      <c r="K422" s="206">
        <f>IF(AND($A422&gt;=SYear_O,$A422&lt;=EYear_O),(I422-Data_All!$CA91)/(1+Data_All!$CA91%),"")</f>
        <v>29.045642242377188</v>
      </c>
      <c r="L422" s="447">
        <f t="shared" si="250"/>
        <v>917214.56722715427</v>
      </c>
      <c r="P422">
        <f t="shared" si="256"/>
        <v>83</v>
      </c>
      <c r="Q422">
        <f t="shared" ca="1" si="253"/>
        <v>1954</v>
      </c>
      <c r="R422" s="443">
        <f t="shared" si="251"/>
        <v>2288552.0721589229</v>
      </c>
      <c r="S422" s="443">
        <f t="shared" ref="S422:Z422" ca="1" si="276">IF(OFFSET(INDIRECT(S$337),$P422,0)="",S421,OFFSET(INDIRECT(S$337),$P422,0))</f>
        <v>2288552.0721589229</v>
      </c>
      <c r="T422" s="443">
        <f t="shared" ca="1" si="276"/>
        <v>1964819.4071711483</v>
      </c>
      <c r="U422" s="443">
        <f t="shared" ca="1" si="276"/>
        <v>3766929.9699460231</v>
      </c>
      <c r="V422" s="443">
        <f t="shared" ca="1" si="276"/>
        <v>1068339.0497777236</v>
      </c>
      <c r="W422" s="209">
        <f t="shared" ca="1" si="276"/>
        <v>0</v>
      </c>
      <c r="X422" s="209">
        <f t="shared" ca="1" si="276"/>
        <v>0</v>
      </c>
      <c r="Y422" s="443">
        <f t="shared" ca="1" si="276"/>
        <v>917214.56722715427</v>
      </c>
      <c r="Z422" s="443">
        <f t="shared" ca="1" si="276"/>
        <v>1758473.5928140618</v>
      </c>
      <c r="AA422" s="388">
        <f t="shared" ca="1" si="269"/>
        <v>0.16174703981346394</v>
      </c>
      <c r="AB422" s="388">
        <f t="shared" ca="1" si="269"/>
        <v>0.13837897130387433</v>
      </c>
      <c r="AC422" s="388">
        <f t="shared" ca="1" si="269"/>
        <v>0.10717174720963651</v>
      </c>
      <c r="AD422" s="388">
        <f t="shared" ca="1" si="269"/>
        <v>9.3721958897396762E-2</v>
      </c>
      <c r="AE422" s="388">
        <f t="shared" ca="1" si="269"/>
        <v>0.15184128448833145</v>
      </c>
      <c r="AF422" s="388">
        <f t="shared" ca="1" si="269"/>
        <v>0.12139269083867732</v>
      </c>
      <c r="AG422" s="388">
        <f t="shared" ca="1" si="269"/>
        <v>9.1928936231189917E-2</v>
      </c>
      <c r="AH422" s="388">
        <f t="shared" ca="1" si="269"/>
        <v>7.3479488146006355E-2</v>
      </c>
    </row>
    <row r="423" spans="1:34">
      <c r="A423" s="165">
        <f t="shared" si="255"/>
        <v>1955</v>
      </c>
      <c r="B423" s="206" t="str">
        <f>IF(AND($A423&gt;=SYear_O,$A423&lt;=EYear_O),IF(B$336&gt;0,B$336*Data_All!$B92,""),"")</f>
        <v/>
      </c>
      <c r="C423" s="206">
        <f>IF(AND($A423&gt;=SYear_O,$A423&lt;=EYear_O),IF(C$336&gt;0,C$336*Data_All!$D92,""),"")</f>
        <v>17.043183890756492</v>
      </c>
      <c r="D423" s="206" t="str">
        <f>IF(AND($A423&gt;=SYear_O,$A423&lt;=EYear_O),IF(D$336&gt;0,D$336*Data_All!$T92,""),"")</f>
        <v/>
      </c>
      <c r="E423" s="206">
        <f>IF(AND($A423&gt;=SYear_O,$A423&lt;=EYear_O),IF(E$336&gt;0,E$336*Data_All!$U92,""),"")</f>
        <v>8.1040517986144367E-2</v>
      </c>
      <c r="F423" s="206" t="str">
        <f>IF(AND($A423&gt;=SYear_O,$A423&lt;=EYear_O),IF(F$336&gt;0,F$336*Data_All!$BX92,""),"")</f>
        <v/>
      </c>
      <c r="G423" s="206" t="str">
        <f>IF(AND($A423&gt;=SYear_O,$A423&lt;=EYear_O),IF(G$336&gt;0,G$336*Data_All!$BY92,""),"")</f>
        <v/>
      </c>
      <c r="H423" s="206" t="str">
        <f>IF(AND($A423&gt;=SYear_O,$A423&lt;=EYear_O),IF(H$336&gt;0,H$336*Data_All!$BZ92,""),"")</f>
        <v/>
      </c>
      <c r="I423" s="206">
        <f t="shared" si="248"/>
        <v>17.124224408742634</v>
      </c>
      <c r="J423" s="446">
        <f t="shared" si="249"/>
        <v>2301279.4916816624</v>
      </c>
      <c r="K423" s="206">
        <f>IF(AND($A423&gt;=SYear_O,$A423&lt;=EYear_O),(I423-Data_All!$CA92)/(1+Data_All!$CA92%),"")</f>
        <v>16.68719372065031</v>
      </c>
      <c r="L423" s="447">
        <f t="shared" si="250"/>
        <v>1070271.9388943738</v>
      </c>
      <c r="P423">
        <f t="shared" si="256"/>
        <v>84</v>
      </c>
      <c r="Q423">
        <f t="shared" ca="1" si="253"/>
        <v>1955</v>
      </c>
      <c r="R423" s="443">
        <f t="shared" si="251"/>
        <v>2685280.8104213425</v>
      </c>
      <c r="S423" s="443">
        <f t="shared" ref="S423:Z423" ca="1" si="277">IF(OFFSET(INDIRECT(S$337),$P423,0)="",S422,OFFSET(INDIRECT(S$337),$P423,0))</f>
        <v>2685280.8104213425</v>
      </c>
      <c r="T423" s="443">
        <f t="shared" ca="1" si="277"/>
        <v>2301279.4916816624</v>
      </c>
      <c r="U423" s="443">
        <f t="shared" ca="1" si="277"/>
        <v>4821333.2769573247</v>
      </c>
      <c r="V423" s="443">
        <f t="shared" ca="1" si="277"/>
        <v>1248862.0829560093</v>
      </c>
      <c r="W423" s="209">
        <f t="shared" ca="1" si="277"/>
        <v>0</v>
      </c>
      <c r="X423" s="209">
        <f t="shared" ca="1" si="277"/>
        <v>0</v>
      </c>
      <c r="Y423" s="443">
        <f t="shared" ca="1" si="277"/>
        <v>1070271.9388943738</v>
      </c>
      <c r="Z423" s="443">
        <f t="shared" ca="1" si="277"/>
        <v>2242290.748706196</v>
      </c>
      <c r="AA423" s="388">
        <f t="shared" ca="1" si="269"/>
        <v>6.5718683565255231E-2</v>
      </c>
      <c r="AB423" s="388">
        <f t="shared" ca="1" si="269"/>
        <v>9.2834850101582544E-2</v>
      </c>
      <c r="AC423" s="388">
        <f t="shared" ca="1" si="269"/>
        <v>9.1419420657662176E-2</v>
      </c>
      <c r="AD423" s="388">
        <f t="shared" ca="1" si="269"/>
        <v>7.1628514062322513E-2</v>
      </c>
      <c r="AE423" s="388">
        <f t="shared" ca="1" si="269"/>
        <v>4.1576059317473657E-2</v>
      </c>
      <c r="AF423" s="388">
        <f t="shared" ca="1" si="269"/>
        <v>7.2712309550500231E-2</v>
      </c>
      <c r="AG423" s="388">
        <f t="shared" ca="1" si="269"/>
        <v>7.4551770477085499E-2</v>
      </c>
      <c r="AH423" s="388">
        <f t="shared" ca="1" si="269"/>
        <v>4.7077654854784878E-2</v>
      </c>
    </row>
    <row r="424" spans="1:34">
      <c r="A424" s="165">
        <f t="shared" si="255"/>
        <v>1956</v>
      </c>
      <c r="B424" s="206" t="str">
        <f>IF(AND($A424&gt;=SYear_O,$A424&lt;=EYear_O),IF(B$336&gt;0,B$336*Data_All!$B93,""),"")</f>
        <v/>
      </c>
      <c r="C424" s="206">
        <f>IF(AND($A424&gt;=SYear_O,$A424&lt;=EYear_O),IF(C$336&gt;0,C$336*Data_All!$D93,""),"")</f>
        <v>3.9953980837333081</v>
      </c>
      <c r="D424" s="206" t="str">
        <f>IF(AND($A424&gt;=SYear_O,$A424&lt;=EYear_O),IF(D$336&gt;0,D$336*Data_All!$T93,""),"")</f>
        <v/>
      </c>
      <c r="E424" s="206">
        <f>IF(AND($A424&gt;=SYear_O,$A424&lt;=EYear_O),IF(E$336&gt;0,E$336*Data_All!$U93,""),"")</f>
        <v>-4.2449556313271131E-2</v>
      </c>
      <c r="F424" s="206" t="str">
        <f>IF(AND($A424&gt;=SYear_O,$A424&lt;=EYear_O),IF(F$336&gt;0,F$336*Data_All!$BX93,""),"")</f>
        <v/>
      </c>
      <c r="G424" s="206" t="str">
        <f>IF(AND($A424&gt;=SYear_O,$A424&lt;=EYear_O),IF(G$336&gt;0,G$336*Data_All!$BY93,""),"")</f>
        <v/>
      </c>
      <c r="H424" s="206" t="str">
        <f>IF(AND($A424&gt;=SYear_O,$A424&lt;=EYear_O),IF(H$336&gt;0,H$336*Data_All!$BZ93,""),"")</f>
        <v/>
      </c>
      <c r="I424" s="206">
        <f t="shared" si="248"/>
        <v>3.9529485274200371</v>
      </c>
      <c r="J424" s="446">
        <f t="shared" si="249"/>
        <v>2392247.885459912</v>
      </c>
      <c r="K424" s="206">
        <f>IF(AND($A424&gt;=SYear_O,$A424&lt;=EYear_O),(I424-Data_All!$CA93)/(1+Data_All!$CA93%),"")</f>
        <v>0.93981958459625947</v>
      </c>
      <c r="L424" s="447">
        <f t="shared" si="250"/>
        <v>1080330.5641845413</v>
      </c>
      <c r="P424">
        <f t="shared" si="256"/>
        <v>85</v>
      </c>
      <c r="Q424">
        <f t="shared" ca="1" si="253"/>
        <v>1956</v>
      </c>
      <c r="R424" s="443">
        <f t="shared" si="251"/>
        <v>2796495.8989880448</v>
      </c>
      <c r="S424" s="443">
        <f t="shared" ref="S424:Z424" ca="1" si="278">IF(OFFSET(INDIRECT(S$337),$P424,0)="",S423,OFFSET(INDIRECT(S$337),$P424,0))</f>
        <v>2796495.8989880448</v>
      </c>
      <c r="T424" s="443">
        <f t="shared" ca="1" si="278"/>
        <v>2392247.885459912</v>
      </c>
      <c r="U424" s="443">
        <f t="shared" ca="1" si="278"/>
        <v>5145408.4028328396</v>
      </c>
      <c r="V424" s="443">
        <f t="shared" ca="1" si="278"/>
        <v>1262887.5170737982</v>
      </c>
      <c r="W424" s="209">
        <f t="shared" ca="1" si="278"/>
        <v>0</v>
      </c>
      <c r="X424" s="209">
        <f t="shared" ca="1" si="278"/>
        <v>0</v>
      </c>
      <c r="Y424" s="443">
        <f t="shared" ca="1" si="278"/>
        <v>1080330.5641845413</v>
      </c>
      <c r="Z424" s="443">
        <f t="shared" ca="1" si="278"/>
        <v>2323647.9783630851</v>
      </c>
      <c r="AA424" s="388">
        <f t="shared" ca="1" si="269"/>
        <v>8.2865937197234008E-2</v>
      </c>
      <c r="AB424" s="388">
        <f t="shared" ca="1" si="269"/>
        <v>7.4661584864240016E-2</v>
      </c>
      <c r="AC424" s="388">
        <f t="shared" ca="1" si="269"/>
        <v>8.1832176473575213E-2</v>
      </c>
      <c r="AD424" s="388">
        <f t="shared" ca="1" si="269"/>
        <v>6.7540589140562712E-2</v>
      </c>
      <c r="AE424" s="388">
        <f t="shared" ca="1" si="269"/>
        <v>5.4759934887556261E-2</v>
      </c>
      <c r="AF424" s="388">
        <f t="shared" ca="1" si="269"/>
        <v>5.2096148489611638E-2</v>
      </c>
      <c r="AG424" s="388">
        <f t="shared" ca="1" si="269"/>
        <v>6.3483268709782381E-2</v>
      </c>
      <c r="AH424" s="388">
        <f t="shared" ca="1" si="269"/>
        <v>3.9763364394109324E-2</v>
      </c>
    </row>
    <row r="425" spans="1:34">
      <c r="A425" s="165">
        <f t="shared" si="255"/>
        <v>1957</v>
      </c>
      <c r="B425" s="206" t="str">
        <f>IF(AND($A425&gt;=SYear_O,$A425&lt;=EYear_O),IF(B$336&gt;0,B$336*Data_All!$B94,""),"")</f>
        <v/>
      </c>
      <c r="C425" s="206">
        <f>IF(AND($A425&gt;=SYear_O,$A425&lt;=EYear_O),IF(C$336&gt;0,C$336*Data_All!$D94,""),"")</f>
        <v>-3.4243757876632879</v>
      </c>
      <c r="D425" s="206" t="str">
        <f>IF(AND($A425&gt;=SYear_O,$A425&lt;=EYear_O),IF(D$336&gt;0,D$336*Data_All!$T94,""),"")</f>
        <v/>
      </c>
      <c r="E425" s="206">
        <f>IF(AND($A425&gt;=SYear_O,$A425&lt;=EYear_O),IF(E$336&gt;0,E$336*Data_All!$U94,""),"")</f>
        <v>2.2981330177818959</v>
      </c>
      <c r="F425" s="206" t="str">
        <f>IF(AND($A425&gt;=SYear_O,$A425&lt;=EYear_O),IF(F$336&gt;0,F$336*Data_All!$BX94,""),"")</f>
        <v/>
      </c>
      <c r="G425" s="206" t="str">
        <f>IF(AND($A425&gt;=SYear_O,$A425&lt;=EYear_O),IF(G$336&gt;0,G$336*Data_All!$BY94,""),"")</f>
        <v/>
      </c>
      <c r="H425" s="206" t="str">
        <f>IF(AND($A425&gt;=SYear_O,$A425&lt;=EYear_O),IF(H$336&gt;0,H$336*Data_All!$BZ94,""),"")</f>
        <v/>
      </c>
      <c r="I425" s="206">
        <f t="shared" si="248"/>
        <v>-1.1262427698813919</v>
      </c>
      <c r="J425" s="446">
        <f t="shared" si="249"/>
        <v>2365305.3666122793</v>
      </c>
      <c r="K425" s="206">
        <f>IF(AND($A425&gt;=SYear_O,$A425&lt;=EYear_O),(I425-Data_All!$CA94)/(1+Data_All!$CA94%),"")</f>
        <v>-4.5833671485568619</v>
      </c>
      <c r="L425" s="447">
        <f t="shared" si="250"/>
        <v>1030815.048009888</v>
      </c>
      <c r="P425">
        <f t="shared" si="256"/>
        <v>86</v>
      </c>
      <c r="Q425">
        <f t="shared" ca="1" si="253"/>
        <v>1957</v>
      </c>
      <c r="R425" s="443">
        <f t="shared" si="251"/>
        <v>2770055.9267446161</v>
      </c>
      <c r="S425" s="443">
        <f t="shared" ref="S425:Z425" ca="1" si="279">IF(OFFSET(INDIRECT(S$337),$P425,0)="",S424,OFFSET(INDIRECT(S$337),$P425,0))</f>
        <v>2770055.9267446161</v>
      </c>
      <c r="T425" s="443">
        <f t="shared" ca="1" si="279"/>
        <v>2365305.3666122793</v>
      </c>
      <c r="U425" s="443">
        <f t="shared" ca="1" si="279"/>
        <v>4869754.1343383286</v>
      </c>
      <c r="V425" s="443">
        <f t="shared" ca="1" si="279"/>
        <v>1207207.9036488263</v>
      </c>
      <c r="W425" s="209">
        <f t="shared" ca="1" si="279"/>
        <v>9.4546794268485224E-3</v>
      </c>
      <c r="X425" s="209">
        <f t="shared" ca="1" si="279"/>
        <v>5.3572864758946626E-2</v>
      </c>
      <c r="Y425" s="443">
        <f t="shared" ca="1" si="279"/>
        <v>1030815.048009888</v>
      </c>
      <c r="Z425" s="443">
        <f t="shared" ca="1" si="279"/>
        <v>2122269.6708180136</v>
      </c>
      <c r="AA425" s="388">
        <f t="shared" ref="AA425:AH434" ca="1" si="280">IF(AA$336,IF(OFFSET(INDIRECT(AA$337),$P425,0)="","",OFFSET(INDIRECT(AA$337),$P425,0)),"")</f>
        <v>8.4525490356650579E-2</v>
      </c>
      <c r="AB425" s="388">
        <f t="shared" ca="1" si="280"/>
        <v>9.1358979024464881E-2</v>
      </c>
      <c r="AC425" s="388">
        <f t="shared" ca="1" si="280"/>
        <v>7.5468816175243703E-2</v>
      </c>
      <c r="AD425" s="388">
        <f t="shared" ca="1" si="280"/>
        <v>7.2308742448042196E-2</v>
      </c>
      <c r="AE425" s="388">
        <f t="shared" ca="1" si="280"/>
        <v>6.3131332687702102E-2</v>
      </c>
      <c r="AF425" s="388">
        <f t="shared" ca="1" si="280"/>
        <v>7.3310038753989781E-2</v>
      </c>
      <c r="AG425" s="388">
        <f t="shared" ca="1" si="280"/>
        <v>5.6742418493258784E-2</v>
      </c>
      <c r="AH425" s="388">
        <f t="shared" ca="1" si="280"/>
        <v>4.4217572591002785E-2</v>
      </c>
    </row>
    <row r="426" spans="1:34">
      <c r="A426" s="165">
        <f t="shared" si="255"/>
        <v>1958</v>
      </c>
      <c r="B426" s="206" t="str">
        <f>IF(AND($A426&gt;=SYear_O,$A426&lt;=EYear_O),IF(B$336&gt;0,B$336*Data_All!$B95,""),"")</f>
        <v/>
      </c>
      <c r="C426" s="206">
        <f>IF(AND($A426&gt;=SYear_O,$A426&lt;=EYear_O),IF(C$336&gt;0,C$336*Data_All!$D95,""),"")</f>
        <v>23.569022156497372</v>
      </c>
      <c r="D426" s="206" t="str">
        <f>IF(AND($A426&gt;=SYear_O,$A426&lt;=EYear_O),IF(D$336&gt;0,D$336*Data_All!$T95,""),"")</f>
        <v/>
      </c>
      <c r="E426" s="206">
        <f>IF(AND($A426&gt;=SYear_O,$A426&lt;=EYear_O),IF(E$336&gt;0,E$336*Data_All!$U95,""),"")</f>
        <v>-0.69898940137946897</v>
      </c>
      <c r="F426" s="206" t="str">
        <f>IF(AND($A426&gt;=SYear_O,$A426&lt;=EYear_O),IF(F$336&gt;0,F$336*Data_All!$BX95,""),"")</f>
        <v/>
      </c>
      <c r="G426" s="206" t="str">
        <f>IF(AND($A426&gt;=SYear_O,$A426&lt;=EYear_O),IF(G$336&gt;0,G$336*Data_All!$BY95,""),"")</f>
        <v/>
      </c>
      <c r="H426" s="206" t="str">
        <f>IF(AND($A426&gt;=SYear_O,$A426&lt;=EYear_O),IF(H$336&gt;0,H$336*Data_All!$BZ95,""),"")</f>
        <v/>
      </c>
      <c r="I426" s="206">
        <f t="shared" si="248"/>
        <v>22.870032755117904</v>
      </c>
      <c r="J426" s="446">
        <f t="shared" si="249"/>
        <v>2906251.4787150691</v>
      </c>
      <c r="K426" s="206">
        <f>IF(AND($A426&gt;=SYear_O,$A426&lt;=EYear_O),(I426-Data_All!$CA95)/(1+Data_All!$CA95%),"")</f>
        <v>21.175273682633524</v>
      </c>
      <c r="L426" s="447">
        <f t="shared" si="250"/>
        <v>1249092.9555877519</v>
      </c>
      <c r="P426">
        <f t="shared" si="256"/>
        <v>87</v>
      </c>
      <c r="Q426">
        <f t="shared" ca="1" si="253"/>
        <v>1958</v>
      </c>
      <c r="R426" s="443">
        <f t="shared" si="251"/>
        <v>3409681.2891798965</v>
      </c>
      <c r="S426" s="443">
        <f t="shared" ref="S426:Z426" ca="1" si="281">IF(OFFSET(INDIRECT(S$337),$P426,0)="",S425,OFFSET(INDIRECT(S$337),$P426,0))</f>
        <v>3409681.2891798965</v>
      </c>
      <c r="T426" s="443">
        <f t="shared" ca="1" si="281"/>
        <v>2906251.4787150691</v>
      </c>
      <c r="U426" s="443">
        <f t="shared" ca="1" si="281"/>
        <v>6757282.6764454162</v>
      </c>
      <c r="V426" s="443">
        <f t="shared" ca="1" si="281"/>
        <v>1465464.675134375</v>
      </c>
      <c r="W426" s="209">
        <f t="shared" ca="1" si="281"/>
        <v>0</v>
      </c>
      <c r="X426" s="209">
        <f t="shared" ca="1" si="281"/>
        <v>0</v>
      </c>
      <c r="Y426" s="443">
        <f t="shared" ca="1" si="281"/>
        <v>1249092.9555877519</v>
      </c>
      <c r="Z426" s="443">
        <f t="shared" ca="1" si="281"/>
        <v>2904247.7059813458</v>
      </c>
      <c r="AA426" s="388">
        <f t="shared" ca="1" si="280"/>
        <v>0.11588626365251153</v>
      </c>
      <c r="AB426" s="388">
        <f t="shared" ca="1" si="280"/>
        <v>9.4765059909780458E-2</v>
      </c>
      <c r="AC426" s="388">
        <f t="shared" ca="1" si="280"/>
        <v>8.6714593855648614E-2</v>
      </c>
      <c r="AD426" s="388">
        <f t="shared" ca="1" si="280"/>
        <v>8.1076602716227075E-2</v>
      </c>
      <c r="AE426" s="388">
        <f t="shared" ca="1" si="280"/>
        <v>0.10070225078694706</v>
      </c>
      <c r="AF426" s="388">
        <f t="shared" ca="1" si="280"/>
        <v>8.14823052468725E-2</v>
      </c>
      <c r="AG426" s="388">
        <f t="shared" ca="1" si="280"/>
        <v>6.776741848369694E-2</v>
      </c>
      <c r="AH426" s="388">
        <f t="shared" ca="1" si="280"/>
        <v>5.2902786559089199E-2</v>
      </c>
    </row>
    <row r="427" spans="1:34">
      <c r="A427" s="165">
        <f t="shared" si="255"/>
        <v>1959</v>
      </c>
      <c r="B427" s="206" t="str">
        <f>IF(AND($A427&gt;=SYear_O,$A427&lt;=EYear_O),IF(B$336&gt;0,B$336*Data_All!$B96,""),"")</f>
        <v/>
      </c>
      <c r="C427" s="206">
        <f>IF(AND($A427&gt;=SYear_O,$A427&lt;=EYear_O),IF(C$336&gt;0,C$336*Data_All!$D96,""),"")</f>
        <v>4.4643049641930146</v>
      </c>
      <c r="D427" s="206" t="str">
        <f>IF(AND($A427&gt;=SYear_O,$A427&lt;=EYear_O),IF(D$336&gt;0,D$336*Data_All!$T96,""),"")</f>
        <v/>
      </c>
      <c r="E427" s="206">
        <f>IF(AND($A427&gt;=SYear_O,$A427&lt;=EYear_O),IF(E$336&gt;0,E$336*Data_All!$U96,""),"")</f>
        <v>-3.2630146759858251E-2</v>
      </c>
      <c r="F427" s="206" t="str">
        <f>IF(AND($A427&gt;=SYear_O,$A427&lt;=EYear_O),IF(F$336&gt;0,F$336*Data_All!$BX96,""),"")</f>
        <v/>
      </c>
      <c r="G427" s="206" t="str">
        <f>IF(AND($A427&gt;=SYear_O,$A427&lt;=EYear_O),IF(G$336&gt;0,G$336*Data_All!$BY96,""),"")</f>
        <v/>
      </c>
      <c r="H427" s="206" t="str">
        <f>IF(AND($A427&gt;=SYear_O,$A427&lt;=EYear_O),IF(H$336&gt;0,H$336*Data_All!$BZ96,""),"")</f>
        <v/>
      </c>
      <c r="I427" s="206">
        <f t="shared" si="248"/>
        <v>4.4316748174331559</v>
      </c>
      <c r="J427" s="446">
        <f t="shared" si="249"/>
        <v>3035047.0936285639</v>
      </c>
      <c r="K427" s="206">
        <f>IF(AND($A427&gt;=SYear_O,$A427&lt;=EYear_O),(I427-Data_All!$CA96)/(1+Data_All!$CA96%),"")</f>
        <v>3.3624085223740998</v>
      </c>
      <c r="L427" s="447">
        <f t="shared" si="250"/>
        <v>1291092.5635788091</v>
      </c>
      <c r="P427">
        <f t="shared" si="256"/>
        <v>88</v>
      </c>
      <c r="Q427">
        <f t="shared" ca="1" si="253"/>
        <v>1959</v>
      </c>
      <c r="R427" s="443">
        <f t="shared" si="251"/>
        <v>3567249.4425762976</v>
      </c>
      <c r="S427" s="443">
        <f t="shared" ref="S427:Z427" ca="1" si="282">IF(OFFSET(INDIRECT(S$337),$P427,0)="",S426,OFFSET(INDIRECT(S$337),$P427,0))</f>
        <v>3567249.4425762976</v>
      </c>
      <c r="T427" s="443">
        <f t="shared" ca="1" si="282"/>
        <v>3035047.0936285639</v>
      </c>
      <c r="U427" s="443">
        <f t="shared" ca="1" si="282"/>
        <v>7265758.1623626733</v>
      </c>
      <c r="V427" s="443">
        <f t="shared" ca="1" si="282"/>
        <v>1517488.5547606472</v>
      </c>
      <c r="W427" s="209">
        <f t="shared" ca="1" si="282"/>
        <v>0</v>
      </c>
      <c r="X427" s="209">
        <f t="shared" ca="1" si="282"/>
        <v>0</v>
      </c>
      <c r="Y427" s="443">
        <f t="shared" ca="1" si="282"/>
        <v>1291092.5635788091</v>
      </c>
      <c r="Z427" s="443">
        <f t="shared" ca="1" si="282"/>
        <v>3090814.0937520941</v>
      </c>
      <c r="AA427" s="388">
        <f t="shared" ca="1" si="280"/>
        <v>8.2877948618939268E-2</v>
      </c>
      <c r="AB427" s="388">
        <f t="shared" ca="1" si="280"/>
        <v>7.6820029814149926E-2</v>
      </c>
      <c r="AC427" s="388">
        <f t="shared" ca="1" si="280"/>
        <v>7.2054749282195463E-2</v>
      </c>
      <c r="AD427" s="388">
        <f t="shared" ca="1" si="280"/>
        <v>6.0286649106484846E-2</v>
      </c>
      <c r="AE427" s="388">
        <f t="shared" ca="1" si="280"/>
        <v>7.0709750664389226E-2</v>
      </c>
      <c r="AF427" s="388">
        <f t="shared" ca="1" si="280"/>
        <v>6.3239319749144762E-2</v>
      </c>
      <c r="AG427" s="388">
        <f t="shared" ca="1" si="280"/>
        <v>5.0296129654080257E-2</v>
      </c>
      <c r="AH427" s="388">
        <f t="shared" ca="1" si="280"/>
        <v>2.7875136778418019E-2</v>
      </c>
    </row>
    <row r="428" spans="1:34">
      <c r="A428" s="165">
        <f t="shared" si="255"/>
        <v>1960</v>
      </c>
      <c r="B428" s="206" t="str">
        <f>IF(AND($A428&gt;=SYear_O,$A428&lt;=EYear_O),IF(B$336&gt;0,B$336*Data_All!$B97,""),"")</f>
        <v/>
      </c>
      <c r="C428" s="206">
        <f>IF(AND($A428&gt;=SYear_O,$A428&lt;=EYear_O),IF(C$336&gt;0,C$336*Data_All!$D97,""),"")</f>
        <v>3.6553564609644935</v>
      </c>
      <c r="D428" s="206" t="str">
        <f>IF(AND($A428&gt;=SYear_O,$A428&lt;=EYear_O),IF(D$336&gt;0,D$336*Data_All!$T97,""),"")</f>
        <v/>
      </c>
      <c r="E428" s="206">
        <f>IF(AND($A428&gt;=SYear_O,$A428&lt;=EYear_O),IF(E$336&gt;0,E$336*Data_All!$U97,""),"")</f>
        <v>4.0466984222581628</v>
      </c>
      <c r="F428" s="206" t="str">
        <f>IF(AND($A428&gt;=SYear_O,$A428&lt;=EYear_O),IF(F$336&gt;0,F$336*Data_All!$BX97,""),"")</f>
        <v/>
      </c>
      <c r="G428" s="206" t="str">
        <f>IF(AND($A428&gt;=SYear_O,$A428&lt;=EYear_O),IF(G$336&gt;0,G$336*Data_All!$BY97,""),"")</f>
        <v/>
      </c>
      <c r="H428" s="206" t="str">
        <f>IF(AND($A428&gt;=SYear_O,$A428&lt;=EYear_O),IF(H$336&gt;0,H$336*Data_All!$BZ97,""),"")</f>
        <v/>
      </c>
      <c r="I428" s="206">
        <f t="shared" si="248"/>
        <v>7.7020548832226563</v>
      </c>
      <c r="J428" s="446">
        <f t="shared" si="249"/>
        <v>3268808.0865114904</v>
      </c>
      <c r="K428" s="206">
        <f>IF(AND($A428&gt;=SYear_O,$A428&lt;=EYear_O),(I428-Data_All!$CA97)/(1+Data_All!$CA97%),"")</f>
        <v>5.8949734254504609</v>
      </c>
      <c r="L428" s="447">
        <f t="shared" si="250"/>
        <v>1367202.1270997471</v>
      </c>
      <c r="P428">
        <f t="shared" si="256"/>
        <v>89</v>
      </c>
      <c r="Q428">
        <f t="shared" ca="1" si="253"/>
        <v>1960</v>
      </c>
      <c r="R428" s="443">
        <f t="shared" si="251"/>
        <v>3849003.7307653511</v>
      </c>
      <c r="S428" s="443">
        <f t="shared" ref="S428:Z428" ca="1" si="283">IF(OFFSET(INDIRECT(S$337),$P428,0)="",S427,OFFSET(INDIRECT(S$337),$P428,0))</f>
        <v>3849003.7307653511</v>
      </c>
      <c r="T428" s="443">
        <f t="shared" ca="1" si="283"/>
        <v>3268808.0865114904</v>
      </c>
      <c r="U428" s="443">
        <f t="shared" ca="1" si="283"/>
        <v>7725113.1220818628</v>
      </c>
      <c r="V428" s="443">
        <f t="shared" ca="1" si="283"/>
        <v>1609873.0634056008</v>
      </c>
      <c r="W428" s="209">
        <f t="shared" ca="1" si="283"/>
        <v>0</v>
      </c>
      <c r="X428" s="209">
        <f t="shared" ca="1" si="283"/>
        <v>0</v>
      </c>
      <c r="Y428" s="443">
        <f t="shared" ca="1" si="283"/>
        <v>1367202.1270997471</v>
      </c>
      <c r="Z428" s="443">
        <f t="shared" ca="1" si="283"/>
        <v>3231083.2612593584</v>
      </c>
      <c r="AA428" s="388">
        <f t="shared" ca="1" si="280"/>
        <v>6.885772375114918E-2</v>
      </c>
      <c r="AB428" s="388">
        <f t="shared" ca="1" si="280"/>
        <v>9.0005824464676643E-2</v>
      </c>
      <c r="AC428" s="388">
        <f t="shared" ca="1" si="280"/>
        <v>6.1180163739974036E-2</v>
      </c>
      <c r="AD428" s="388">
        <f t="shared" ca="1" si="280"/>
        <v>4.9359917724208335E-2</v>
      </c>
      <c r="AE428" s="388">
        <f t="shared" ca="1" si="280"/>
        <v>5.5807101481230026E-2</v>
      </c>
      <c r="AF428" s="388">
        <f t="shared" ca="1" si="280"/>
        <v>7.639438566644019E-2</v>
      </c>
      <c r="AG428" s="388">
        <f t="shared" ca="1" si="280"/>
        <v>3.4490972941966014E-2</v>
      </c>
      <c r="AH428" s="388">
        <f t="shared" ca="1" si="280"/>
        <v>1.0115779894823707E-2</v>
      </c>
    </row>
    <row r="429" spans="1:34">
      <c r="A429" s="165">
        <f t="shared" si="255"/>
        <v>1961</v>
      </c>
      <c r="B429" s="206" t="str">
        <f>IF(AND($A429&gt;=SYear_O,$A429&lt;=EYear_O),IF(B$336&gt;0,B$336*Data_All!$B98,""),"")</f>
        <v/>
      </c>
      <c r="C429" s="206">
        <f>IF(AND($A429&gt;=SYear_O,$A429&lt;=EYear_O),IF(C$336&gt;0,C$336*Data_All!$D98,""),"")</f>
        <v>11.302095212418845</v>
      </c>
      <c r="D429" s="206" t="str">
        <f>IF(AND($A429&gt;=SYear_O,$A429&lt;=EYear_O),IF(D$336&gt;0,D$336*Data_All!$T98,""),"")</f>
        <v/>
      </c>
      <c r="E429" s="206">
        <f>IF(AND($A429&gt;=SYear_O,$A429&lt;=EYear_O),IF(E$336&gt;0,E$336*Data_All!$U98,""),"")</f>
        <v>0.98215424186645084</v>
      </c>
      <c r="F429" s="206" t="str">
        <f>IF(AND($A429&gt;=SYear_O,$A429&lt;=EYear_O),IF(F$336&gt;0,F$336*Data_All!$BX98,""),"")</f>
        <v/>
      </c>
      <c r="G429" s="206" t="str">
        <f>IF(AND($A429&gt;=SYear_O,$A429&lt;=EYear_O),IF(G$336&gt;0,G$336*Data_All!$BY98,""),"")</f>
        <v/>
      </c>
      <c r="H429" s="206" t="str">
        <f>IF(AND($A429&gt;=SYear_O,$A429&lt;=EYear_O),IF(H$336&gt;0,H$336*Data_All!$BZ98,""),"")</f>
        <v/>
      </c>
      <c r="I429" s="206">
        <f t="shared" si="248"/>
        <v>12.284249454285295</v>
      </c>
      <c r="J429" s="446">
        <f t="shared" si="249"/>
        <v>3670356.6260404121</v>
      </c>
      <c r="K429" s="206">
        <f>IF(AND($A429&gt;=SYear_O,$A429&lt;=EYear_O),(I429-Data_All!$CA98)/(1+Data_All!$CA98%),"")</f>
        <v>11.535687791256738</v>
      </c>
      <c r="L429" s="447">
        <f t="shared" si="250"/>
        <v>1524918.2959573949</v>
      </c>
      <c r="P429">
        <f t="shared" si="256"/>
        <v>90</v>
      </c>
      <c r="Q429">
        <f t="shared" ca="1" si="253"/>
        <v>1961</v>
      </c>
      <c r="R429" s="443">
        <f t="shared" si="251"/>
        <v>4329645.2743669776</v>
      </c>
      <c r="S429" s="443">
        <f t="shared" ref="S429:Z429" ca="1" si="284">IF(OFFSET(INDIRECT(S$337),$P429,0)="",S428,OFFSET(INDIRECT(S$337),$P429,0))</f>
        <v>4329645.2743669776</v>
      </c>
      <c r="T429" s="443">
        <f t="shared" ca="1" si="284"/>
        <v>3670356.6260404121</v>
      </c>
      <c r="U429" s="443">
        <f t="shared" ca="1" si="284"/>
        <v>9179871.0749174058</v>
      </c>
      <c r="V429" s="443">
        <f t="shared" ca="1" si="284"/>
        <v>1798832.0936023912</v>
      </c>
      <c r="W429" s="209">
        <f t="shared" ca="1" si="284"/>
        <v>0</v>
      </c>
      <c r="X429" s="209">
        <f t="shared" ca="1" si="284"/>
        <v>0</v>
      </c>
      <c r="Y429" s="443">
        <f t="shared" ca="1" si="284"/>
        <v>1524918.2959573949</v>
      </c>
      <c r="Z429" s="443">
        <f t="shared" ca="1" si="284"/>
        <v>3813949.101663541</v>
      </c>
      <c r="AA429" s="388">
        <f t="shared" ca="1" si="280"/>
        <v>8.6493235649345968E-2</v>
      </c>
      <c r="AB429" s="388">
        <f t="shared" ca="1" si="280"/>
        <v>8.9050613269480827E-2</v>
      </c>
      <c r="AC429" s="388">
        <f t="shared" ca="1" si="280"/>
        <v>6.3997805478897885E-2</v>
      </c>
      <c r="AD429" s="388">
        <f t="shared" ca="1" si="280"/>
        <v>6.0278169541974735E-2</v>
      </c>
      <c r="AE429" s="388">
        <f t="shared" ca="1" si="280"/>
        <v>7.3444565615849333E-2</v>
      </c>
      <c r="AF429" s="388">
        <f t="shared" ca="1" si="280"/>
        <v>7.4993634801630238E-2</v>
      </c>
      <c r="AG429" s="388">
        <f t="shared" ca="1" si="280"/>
        <v>3.3651291061079114E-2</v>
      </c>
      <c r="AH429" s="388">
        <f t="shared" ca="1" si="280"/>
        <v>1.7219565770210332E-2</v>
      </c>
    </row>
    <row r="430" spans="1:34">
      <c r="A430" s="165">
        <f t="shared" si="255"/>
        <v>1962</v>
      </c>
      <c r="B430" s="206" t="str">
        <f>IF(AND($A430&gt;=SYear_O,$A430&lt;=EYear_O),IF(B$336&gt;0,B$336*Data_All!$B99,""),"")</f>
        <v/>
      </c>
      <c r="C430" s="206">
        <f>IF(AND($A430&gt;=SYear_O,$A430&lt;=EYear_O),IF(C$336&gt;0,C$336*Data_All!$D99,""),"")</f>
        <v>-1.7321811065101247</v>
      </c>
      <c r="D430" s="206" t="str">
        <f>IF(AND($A430&gt;=SYear_O,$A430&lt;=EYear_O),IF(D$336&gt;0,D$336*Data_All!$T99,""),"")</f>
        <v/>
      </c>
      <c r="E430" s="206">
        <f>IF(AND($A430&gt;=SYear_O,$A430&lt;=EYear_O),IF(E$336&gt;0,E$336*Data_All!$U99,""),"")</f>
        <v>2.1587418676461123</v>
      </c>
      <c r="F430" s="206" t="str">
        <f>IF(AND($A430&gt;=SYear_O,$A430&lt;=EYear_O),IF(F$336&gt;0,F$336*Data_All!$BX99,""),"")</f>
        <v/>
      </c>
      <c r="G430" s="206" t="str">
        <f>IF(AND($A430&gt;=SYear_O,$A430&lt;=EYear_O),IF(G$336&gt;0,G$336*Data_All!$BY99,""),"")</f>
        <v/>
      </c>
      <c r="H430" s="206" t="str">
        <f>IF(AND($A430&gt;=SYear_O,$A430&lt;=EYear_O),IF(H$336&gt;0,H$336*Data_All!$BZ99,""),"")</f>
        <v/>
      </c>
      <c r="I430" s="206">
        <f t="shared" si="248"/>
        <v>0.42656076113598762</v>
      </c>
      <c r="J430" s="446">
        <f t="shared" si="249"/>
        <v>3686012.9272008552</v>
      </c>
      <c r="K430" s="206">
        <f>IF(AND($A430&gt;=SYear_O,$A430&lt;=EYear_O),(I430-Data_All!$CA99)/(1+Data_All!$CA99%),"")</f>
        <v>-0.8948413541421042</v>
      </c>
      <c r="L430" s="447">
        <f t="shared" si="250"/>
        <v>1511272.6964282889</v>
      </c>
      <c r="P430">
        <f t="shared" si="256"/>
        <v>91</v>
      </c>
      <c r="Q430">
        <f t="shared" ca="1" si="253"/>
        <v>1962</v>
      </c>
      <c r="R430" s="443">
        <f t="shared" si="251"/>
        <v>4356053.2329280535</v>
      </c>
      <c r="S430" s="443">
        <f t="shared" ref="S430:Z430" ca="1" si="285">IF(OFFSET(INDIRECT(S$337),$P430,0)="",S429,OFFSET(INDIRECT(S$337),$P430,0))</f>
        <v>4356053.2329280535</v>
      </c>
      <c r="T430" s="443">
        <f t="shared" ca="1" si="285"/>
        <v>3686012.9272008552</v>
      </c>
      <c r="U430" s="443">
        <f t="shared" ca="1" si="285"/>
        <v>8938367.4272328094</v>
      </c>
      <c r="V430" s="443">
        <f t="shared" ca="1" si="285"/>
        <v>1785990.5662652128</v>
      </c>
      <c r="W430" s="209">
        <f t="shared" ca="1" si="285"/>
        <v>0</v>
      </c>
      <c r="X430" s="209">
        <f t="shared" ca="1" si="285"/>
        <v>2.6307956366017904E-2</v>
      </c>
      <c r="Y430" s="443">
        <f t="shared" ca="1" si="285"/>
        <v>1511272.6964282889</v>
      </c>
      <c r="Z430" s="443">
        <f t="shared" ca="1" si="285"/>
        <v>3664748.5807053591</v>
      </c>
      <c r="AA430" s="388">
        <f t="shared" ca="1" si="280"/>
        <v>8.2285280312274667E-2</v>
      </c>
      <c r="AB430" s="388">
        <f t="shared" ca="1" si="280"/>
        <v>5.9810013749336699E-2</v>
      </c>
      <c r="AC430" s="388">
        <f t="shared" ca="1" si="280"/>
        <v>6.2908688744695684E-2</v>
      </c>
      <c r="AD430" s="388">
        <f t="shared" ca="1" si="280"/>
        <v>5.9471823936360746E-2</v>
      </c>
      <c r="AE430" s="388">
        <f t="shared" ca="1" si="280"/>
        <v>6.822803621172957E-2</v>
      </c>
      <c r="AF430" s="388">
        <f t="shared" ca="1" si="280"/>
        <v>4.043053611924563E-2</v>
      </c>
      <c r="AG430" s="388">
        <f t="shared" ca="1" si="280"/>
        <v>2.9968399943663293E-2</v>
      </c>
      <c r="AH430" s="388">
        <f t="shared" ca="1" si="280"/>
        <v>1.3684088101364233E-2</v>
      </c>
    </row>
    <row r="431" spans="1:34">
      <c r="A431" s="165">
        <f t="shared" si="255"/>
        <v>1963</v>
      </c>
      <c r="B431" s="206" t="str">
        <f>IF(AND($A431&gt;=SYear_O,$A431&lt;=EYear_O),IF(B$336&gt;0,B$336*Data_All!$B100,""),"")</f>
        <v/>
      </c>
      <c r="C431" s="206">
        <f>IF(AND($A431&gt;=SYear_O,$A431&lt;=EYear_O),IF(C$336&gt;0,C$336*Data_All!$D100,""),"")</f>
        <v>12.483602345732519</v>
      </c>
      <c r="D431" s="206" t="str">
        <f>IF(AND($A431&gt;=SYear_O,$A431&lt;=EYear_O),IF(D$336&gt;0,D$336*Data_All!$T100,""),"")</f>
        <v/>
      </c>
      <c r="E431" s="206">
        <f>IF(AND($A431&gt;=SYear_O,$A431&lt;=EYear_O),IF(E$336&gt;0,E$336*Data_All!$U100,""),"")</f>
        <v>0.63963782147488057</v>
      </c>
      <c r="F431" s="206" t="str">
        <f>IF(AND($A431&gt;=SYear_O,$A431&lt;=EYear_O),IF(F$336&gt;0,F$336*Data_All!$BX100,""),"")</f>
        <v/>
      </c>
      <c r="G431" s="206" t="str">
        <f>IF(AND($A431&gt;=SYear_O,$A431&lt;=EYear_O),IF(G$336&gt;0,G$336*Data_All!$BY100,""),"")</f>
        <v/>
      </c>
      <c r="H431" s="206" t="str">
        <f>IF(AND($A431&gt;=SYear_O,$A431&lt;=EYear_O),IF(H$336&gt;0,H$336*Data_All!$BZ100,""),"")</f>
        <v/>
      </c>
      <c r="I431" s="206">
        <f t="shared" si="248"/>
        <v>13.123240167207399</v>
      </c>
      <c r="J431" s="446">
        <f t="shared" si="249"/>
        <v>4169737.2562317355</v>
      </c>
      <c r="K431" s="206">
        <f>IF(AND($A431&gt;=SYear_O,$A431&lt;=EYear_O),(I431-Data_All!$CA100)/(1+Data_All!$CA100%),"")</f>
        <v>11.292767025343199</v>
      </c>
      <c r="L431" s="447">
        <f t="shared" si="250"/>
        <v>1681937.201153558</v>
      </c>
      <c r="P431">
        <f t="shared" si="256"/>
        <v>92</v>
      </c>
      <c r="Q431">
        <f t="shared" ca="1" si="253"/>
        <v>1963</v>
      </c>
      <c r="R431" s="443">
        <f t="shared" si="251"/>
        <v>4936616.7503265999</v>
      </c>
      <c r="S431" s="443">
        <f t="shared" ref="S431:Z431" ca="1" si="286">IF(OFFSET(INDIRECT(S$337),$P431,0)="",S430,OFFSET(INDIRECT(S$337),$P431,0))</f>
        <v>4936616.7503265999</v>
      </c>
      <c r="T431" s="443">
        <f t="shared" ca="1" si="286"/>
        <v>4169737.2562317355</v>
      </c>
      <c r="U431" s="443">
        <f t="shared" ca="1" si="286"/>
        <v>10796078.105402224</v>
      </c>
      <c r="V431" s="443">
        <f t="shared" ca="1" si="286"/>
        <v>1991271.5957829293</v>
      </c>
      <c r="W431" s="209">
        <f t="shared" ca="1" si="286"/>
        <v>0</v>
      </c>
      <c r="X431" s="209">
        <f t="shared" ca="1" si="286"/>
        <v>0</v>
      </c>
      <c r="Y431" s="443">
        <f t="shared" ca="1" si="286"/>
        <v>1681937.201153558</v>
      </c>
      <c r="Z431" s="443">
        <f t="shared" ca="1" si="286"/>
        <v>4354788.8694659509</v>
      </c>
      <c r="AA431" s="388">
        <f t="shared" ca="1" si="280"/>
        <v>0.10619533950227411</v>
      </c>
      <c r="AB431" s="388">
        <f t="shared" ca="1" si="280"/>
        <v>7.8723327721263781E-2</v>
      </c>
      <c r="AC431" s="388">
        <f t="shared" ca="1" si="280"/>
        <v>7.4296691404122983E-2</v>
      </c>
      <c r="AD431" s="388">
        <f t="shared" ca="1" si="280"/>
        <v>5.622144944482943E-2</v>
      </c>
      <c r="AE431" s="388">
        <f t="shared" ca="1" si="280"/>
        <v>8.9717634439400173E-2</v>
      </c>
      <c r="AF431" s="388">
        <f t="shared" ca="1" si="280"/>
        <v>5.4226457930884653E-2</v>
      </c>
      <c r="AG431" s="388">
        <f t="shared" ca="1" si="280"/>
        <v>3.8897505677244482E-2</v>
      </c>
      <c r="AH431" s="388">
        <f t="shared" ca="1" si="280"/>
        <v>7.1027495600519686E-3</v>
      </c>
    </row>
    <row r="432" spans="1:34">
      <c r="A432" s="165">
        <f t="shared" si="255"/>
        <v>1964</v>
      </c>
      <c r="B432" s="206" t="str">
        <f>IF(AND($A432&gt;=SYear_O,$A432&lt;=EYear_O),IF(B$336&gt;0,B$336*Data_All!$B101,""),"")</f>
        <v/>
      </c>
      <c r="C432" s="206">
        <f>IF(AND($A432&gt;=SYear_O,$A432&lt;=EYear_O),IF(C$336&gt;0,C$336*Data_All!$D101,""),"")</f>
        <v>9.4333041285667907</v>
      </c>
      <c r="D432" s="206" t="str">
        <f>IF(AND($A432&gt;=SYear_O,$A432&lt;=EYear_O),IF(D$336&gt;0,D$336*Data_All!$T101,""),"")</f>
        <v/>
      </c>
      <c r="E432" s="206">
        <f>IF(AND($A432&gt;=SYear_O,$A432&lt;=EYear_O),IF(E$336&gt;0,E$336*Data_All!$U101,""),"")</f>
        <v>1.551058645989599</v>
      </c>
      <c r="F432" s="206" t="str">
        <f>IF(AND($A432&gt;=SYear_O,$A432&lt;=EYear_O),IF(F$336&gt;0,F$336*Data_All!$BX101,""),"")</f>
        <v/>
      </c>
      <c r="G432" s="206" t="str">
        <f>IF(AND($A432&gt;=SYear_O,$A432&lt;=EYear_O),IF(G$336&gt;0,G$336*Data_All!$BY101,""),"")</f>
        <v/>
      </c>
      <c r="H432" s="206" t="str">
        <f>IF(AND($A432&gt;=SYear_O,$A432&lt;=EYear_O),IF(H$336&gt;0,H$336*Data_All!$BZ101,""),"")</f>
        <v/>
      </c>
      <c r="I432" s="206">
        <f t="shared" si="248"/>
        <v>10.98436277455639</v>
      </c>
      <c r="J432" s="446">
        <f t="shared" si="249"/>
        <v>4627756.3232020633</v>
      </c>
      <c r="K432" s="206">
        <f>IF(AND($A432&gt;=SYear_O,$A432&lt;=EYear_O),(I432-Data_All!$CA101)/(1+Data_All!$CA101%),"")</f>
        <v>9.917205440185656</v>
      </c>
      <c r="L432" s="447">
        <f t="shared" si="250"/>
        <v>1848738.368766865</v>
      </c>
      <c r="P432">
        <f t="shared" si="256"/>
        <v>93</v>
      </c>
      <c r="Q432">
        <f t="shared" ca="1" si="253"/>
        <v>1964</v>
      </c>
      <c r="R432" s="443">
        <f t="shared" si="251"/>
        <v>5488802.0914213592</v>
      </c>
      <c r="S432" s="443">
        <f t="shared" ref="S432:Z432" ca="1" si="287">IF(OFFSET(INDIRECT(S$337),$P432,0)="",S431,OFFSET(INDIRECT(S$337),$P432,0))</f>
        <v>5488802.0914213592</v>
      </c>
      <c r="T432" s="443">
        <f t="shared" ca="1" si="287"/>
        <v>4627756.3232020633</v>
      </c>
      <c r="U432" s="443">
        <f t="shared" ca="1" si="287"/>
        <v>12501924.586540375</v>
      </c>
      <c r="V432" s="443">
        <f t="shared" ca="1" si="287"/>
        <v>2192716.7975770324</v>
      </c>
      <c r="W432" s="209">
        <f t="shared" ca="1" si="287"/>
        <v>0</v>
      </c>
      <c r="X432" s="209">
        <f t="shared" ca="1" si="287"/>
        <v>0</v>
      </c>
      <c r="Y432" s="443">
        <f t="shared" ca="1" si="287"/>
        <v>1848738.368766865</v>
      </c>
      <c r="Z432" s="443">
        <f t="shared" ca="1" si="287"/>
        <v>4994383.0341038192</v>
      </c>
      <c r="AA432" s="388">
        <f t="shared" ca="1" si="280"/>
        <v>5.4518813711136316E-2</v>
      </c>
      <c r="AB432" s="388">
        <f t="shared" ca="1" si="280"/>
        <v>6.7310556673867206E-2</v>
      </c>
      <c r="AC432" s="388">
        <f t="shared" ca="1" si="280"/>
        <v>5.2115398183148587E-2</v>
      </c>
      <c r="AD432" s="388">
        <f t="shared" ca="1" si="280"/>
        <v>5.4492346086060017E-2</v>
      </c>
      <c r="AE432" s="388">
        <f t="shared" ca="1" si="280"/>
        <v>3.2702415643317106E-2</v>
      </c>
      <c r="AF432" s="388">
        <f t="shared" ca="1" si="280"/>
        <v>3.751050161181535E-2</v>
      </c>
      <c r="AG432" s="388">
        <f t="shared" ca="1" si="280"/>
        <v>1.0636611766318138E-2</v>
      </c>
      <c r="AH432" s="388">
        <f t="shared" ca="1" si="280"/>
        <v>7.7109331439428885E-4</v>
      </c>
    </row>
    <row r="433" spans="1:34">
      <c r="A433" s="165">
        <f t="shared" si="255"/>
        <v>1965</v>
      </c>
      <c r="B433" s="206" t="str">
        <f>IF(AND($A433&gt;=SYear_O,$A433&lt;=EYear_O),IF(B$336&gt;0,B$336*Data_All!$B102,""),"")</f>
        <v/>
      </c>
      <c r="C433" s="206">
        <f>IF(AND($A433&gt;=SYear_O,$A433&lt;=EYear_O),IF(C$336&gt;0,C$336*Data_All!$D102,""),"")</f>
        <v>6.7977304351297585</v>
      </c>
      <c r="D433" s="206" t="str">
        <f>IF(AND($A433&gt;=SYear_O,$A433&lt;=EYear_O),IF(D$336&gt;0,D$336*Data_All!$T102,""),"")</f>
        <v/>
      </c>
      <c r="E433" s="206">
        <f>IF(AND($A433&gt;=SYear_O,$A433&lt;=EYear_O),IF(E$336&gt;0,E$336*Data_All!$U102,""),"")</f>
        <v>0.43425916343338122</v>
      </c>
      <c r="F433" s="206" t="str">
        <f>IF(AND($A433&gt;=SYear_O,$A433&lt;=EYear_O),IF(F$336&gt;0,F$336*Data_All!$BX102,""),"")</f>
        <v/>
      </c>
      <c r="G433" s="206" t="str">
        <f>IF(AND($A433&gt;=SYear_O,$A433&lt;=EYear_O),IF(G$336&gt;0,G$336*Data_All!$BY102,""),"")</f>
        <v/>
      </c>
      <c r="H433" s="206" t="str">
        <f>IF(AND($A433&gt;=SYear_O,$A433&lt;=EYear_O),IF(H$336&gt;0,H$336*Data_All!$BZ102,""),"")</f>
        <v/>
      </c>
      <c r="I433" s="206">
        <f t="shared" si="248"/>
        <v>7.2319895985631399</v>
      </c>
      <c r="J433" s="446">
        <f t="shared" si="249"/>
        <v>4962435.1791428849</v>
      </c>
      <c r="K433" s="206">
        <f>IF(AND($A433&gt;=SYear_O,$A433&lt;=EYear_O),(I433-Data_All!$CA102)/(1+Data_All!$CA102%),"")</f>
        <v>5.2087445117977822</v>
      </c>
      <c r="L433" s="447">
        <f t="shared" si="250"/>
        <v>1945034.4270875088</v>
      </c>
      <c r="P433">
        <f t="shared" si="256"/>
        <v>94</v>
      </c>
      <c r="Q433">
        <f t="shared" ca="1" si="253"/>
        <v>1965</v>
      </c>
      <c r="R433" s="443">
        <f t="shared" si="251"/>
        <v>5896423.2725666417</v>
      </c>
      <c r="S433" s="443">
        <f t="shared" ref="S433:Z433" ca="1" si="288">IF(OFFSET(INDIRECT(S$337),$P433,0)="",S432,OFFSET(INDIRECT(S$337),$P433,0))</f>
        <v>5896423.2725666417</v>
      </c>
      <c r="T433" s="443">
        <f t="shared" ca="1" si="288"/>
        <v>4962435.1791428849</v>
      </c>
      <c r="U433" s="443">
        <f t="shared" ca="1" si="288"/>
        <v>13930505.442711307</v>
      </c>
      <c r="V433" s="443">
        <f t="shared" ca="1" si="288"/>
        <v>2311112.5582103855</v>
      </c>
      <c r="W433" s="209">
        <f t="shared" ca="1" si="288"/>
        <v>0</v>
      </c>
      <c r="X433" s="209">
        <f t="shared" ca="1" si="288"/>
        <v>0</v>
      </c>
      <c r="Y433" s="443">
        <f t="shared" ca="1" si="288"/>
        <v>1945034.4270875088</v>
      </c>
      <c r="Z433" s="443">
        <f t="shared" ca="1" si="288"/>
        <v>5460083.949647354</v>
      </c>
      <c r="AA433" s="388">
        <f t="shared" ca="1" si="280"/>
        <v>5.048209191109132E-2</v>
      </c>
      <c r="AB433" s="388">
        <f t="shared" ca="1" si="280"/>
        <v>3.3116809690672877E-2</v>
      </c>
      <c r="AC433" s="388">
        <f t="shared" ca="1" si="280"/>
        <v>2.9608923574292012E-2</v>
      </c>
      <c r="AD433" s="388">
        <f t="shared" ca="1" si="280"/>
        <v>5.4517995927580998E-2</v>
      </c>
      <c r="AE433" s="388">
        <f t="shared" ca="1" si="280"/>
        <v>1.9816556066233559E-2</v>
      </c>
      <c r="AF433" s="388">
        <f t="shared" ca="1" si="280"/>
        <v>-5.781164089007973E-3</v>
      </c>
      <c r="AG433" s="388">
        <f t="shared" ca="1" si="280"/>
        <v>-2.1477037366194884E-2</v>
      </c>
      <c r="AH433" s="388">
        <f t="shared" ca="1" si="280"/>
        <v>-6.8581623322157004E-3</v>
      </c>
    </row>
    <row r="434" spans="1:34">
      <c r="A434" s="165">
        <f t="shared" si="255"/>
        <v>1966</v>
      </c>
      <c r="B434" s="206" t="str">
        <f>IF(AND($A434&gt;=SYear_O,$A434&lt;=EYear_O),IF(B$336&gt;0,B$336*Data_All!$B103,""),"")</f>
        <v/>
      </c>
      <c r="C434" s="206">
        <f>IF(AND($A434&gt;=SYear_O,$A434&lt;=EYear_O),IF(C$336&gt;0,C$336*Data_All!$D103,""),"")</f>
        <v>-3.9529739006483595</v>
      </c>
      <c r="D434" s="206" t="str">
        <f>IF(AND($A434&gt;=SYear_O,$A434&lt;=EYear_O),IF(D$336&gt;0,D$336*Data_All!$T103,""),"")</f>
        <v/>
      </c>
      <c r="E434" s="206">
        <f>IF(AND($A434&gt;=SYear_O,$A434&lt;=EYear_O),IF(E$336&gt;0,E$336*Data_All!$U103,""),"")</f>
        <v>1.9494389170432058</v>
      </c>
      <c r="F434" s="206" t="str">
        <f>IF(AND($A434&gt;=SYear_O,$A434&lt;=EYear_O),IF(F$336&gt;0,F$336*Data_All!$BX103,""),"")</f>
        <v/>
      </c>
      <c r="G434" s="206" t="str">
        <f>IF(AND($A434&gt;=SYear_O,$A434&lt;=EYear_O),IF(G$336&gt;0,G$336*Data_All!$BY103,""),"")</f>
        <v/>
      </c>
      <c r="H434" s="206" t="str">
        <f>IF(AND($A434&gt;=SYear_O,$A434&lt;=EYear_O),IF(H$336&gt;0,H$336*Data_All!$BZ103,""),"")</f>
        <v/>
      </c>
      <c r="I434" s="206">
        <f t="shared" si="248"/>
        <v>-2.0035349836051539</v>
      </c>
      <c r="J434" s="446">
        <f t="shared" si="249"/>
        <v>4863011.0542900283</v>
      </c>
      <c r="K434" s="206">
        <f>IF(AND($A434&gt;=SYear_O,$A434&lt;=EYear_O),(I434-Data_All!$CA103)/(1+Data_All!$CA103%),"")</f>
        <v>-5.2800125373447884</v>
      </c>
      <c r="L434" s="447">
        <f t="shared" si="250"/>
        <v>1842336.365481616</v>
      </c>
      <c r="P434">
        <f t="shared" si="256"/>
        <v>95</v>
      </c>
      <c r="Q434">
        <f t="shared" ca="1" si="253"/>
        <v>1966</v>
      </c>
      <c r="R434" s="443">
        <f t="shared" si="251"/>
        <v>5788851.5112912208</v>
      </c>
      <c r="S434" s="443">
        <f t="shared" ref="S434:Z434" ca="1" si="289">IF(OFFSET(INDIRECT(S$337),$P434,0)="",S433,OFFSET(INDIRECT(S$337),$P434,0))</f>
        <v>5788851.5112912208</v>
      </c>
      <c r="T434" s="443">
        <f t="shared" ca="1" si="289"/>
        <v>4863011.0542900283</v>
      </c>
      <c r="U434" s="443">
        <f t="shared" ca="1" si="289"/>
        <v>13047943.603653023</v>
      </c>
      <c r="V434" s="443">
        <f t="shared" ca="1" si="289"/>
        <v>2193088.0959475981</v>
      </c>
      <c r="W434" s="209">
        <f t="shared" ca="1" si="289"/>
        <v>1.8243561614021631E-2</v>
      </c>
      <c r="X434" s="209">
        <f t="shared" ca="1" si="289"/>
        <v>6.3354617152104553E-2</v>
      </c>
      <c r="Y434" s="443">
        <f t="shared" ca="1" si="289"/>
        <v>1842336.365481616</v>
      </c>
      <c r="Z434" s="443">
        <f t="shared" ca="1" si="289"/>
        <v>4943172.1884647794</v>
      </c>
      <c r="AA434" s="388">
        <f t="shared" ca="1" si="280"/>
        <v>5.0585966528113646E-2</v>
      </c>
      <c r="AB434" s="388">
        <f t="shared" ca="1" si="280"/>
        <v>3.9521319092062912E-2</v>
      </c>
      <c r="AC434" s="388">
        <f t="shared" ca="1" si="280"/>
        <v>4.6178275761173504E-2</v>
      </c>
      <c r="AD434" s="388">
        <f t="shared" ca="1" si="280"/>
        <v>6.0356308055500962E-2</v>
      </c>
      <c r="AE434" s="388">
        <f t="shared" ca="1" si="280"/>
        <v>1.1790589936585771E-2</v>
      </c>
      <c r="AF434" s="388">
        <f t="shared" ca="1" si="280"/>
        <v>-6.1010996503292336E-3</v>
      </c>
      <c r="AG434" s="388">
        <f t="shared" ca="1" si="280"/>
        <v>-1.0492452380623574E-2</v>
      </c>
      <c r="AH434" s="388">
        <f t="shared" ca="1" si="280"/>
        <v>-7.9210246024031816E-3</v>
      </c>
    </row>
    <row r="435" spans="1:34">
      <c r="A435" s="165">
        <f t="shared" si="255"/>
        <v>1967</v>
      </c>
      <c r="B435" s="206" t="str">
        <f>IF(AND($A435&gt;=SYear_O,$A435&lt;=EYear_O),IF(B$336&gt;0,B$336*Data_All!$B104,""),"")</f>
        <v/>
      </c>
      <c r="C435" s="206">
        <f>IF(AND($A435&gt;=SYear_O,$A435&lt;=EYear_O),IF(C$336&gt;0,C$336*Data_All!$D104,""),"")</f>
        <v>9.4804622550190487</v>
      </c>
      <c r="D435" s="206" t="str">
        <f>IF(AND($A435&gt;=SYear_O,$A435&lt;=EYear_O),IF(D$336&gt;0,D$336*Data_All!$T104,""),"")</f>
        <v/>
      </c>
      <c r="E435" s="206">
        <f>IF(AND($A435&gt;=SYear_O,$A435&lt;=EYear_O),IF(E$336&gt;0,E$336*Data_All!$U104,""),"")</f>
        <v>0.23447331870092755</v>
      </c>
      <c r="F435" s="206" t="str">
        <f>IF(AND($A435&gt;=SYear_O,$A435&lt;=EYear_O),IF(F$336&gt;0,F$336*Data_All!$BX104,""),"")</f>
        <v/>
      </c>
      <c r="G435" s="206" t="str">
        <f>IF(AND($A435&gt;=SYear_O,$A435&lt;=EYear_O),IF(G$336&gt;0,G$336*Data_All!$BY104,""),"")</f>
        <v/>
      </c>
      <c r="H435" s="206" t="str">
        <f>IF(AND($A435&gt;=SYear_O,$A435&lt;=EYear_O),IF(H$336&gt;0,H$336*Data_All!$BZ104,""),"")</f>
        <v/>
      </c>
      <c r="I435" s="206">
        <f t="shared" ref="I435:I442" si="290">IF(AND($A435&gt;=SYear_O,$A435&lt;=EYear_O),SUM(B435:H435),"")</f>
        <v>9.714935573719977</v>
      </c>
      <c r="J435" s="446">
        <f t="shared" ref="J435:J442" si="291">IF(AND($A435&gt;=SYear_O,$A435&lt;=EYear_O),IF($A435=SYear_O,$J$338*(1+I435%),$J434*(1+I435%)),"")</f>
        <v>5335449.4451571852</v>
      </c>
      <c r="K435" s="206">
        <f>IF(AND($A435&gt;=SYear_O,$A435&lt;=EYear_O),(I435-Data_All!$CA104)/(1+Data_All!$CA104%),"")</f>
        <v>5.8539994244981477</v>
      </c>
      <c r="L435" s="447">
        <f t="shared" ref="L435:L442" si="292">IF(AND($A435&gt;=SYear_O,$A435&lt;=EYear_O),IF($A435=SYear_O,$L$338*(1+K435%),$L434*(1+K435%)),"")</f>
        <v>1950186.72571423</v>
      </c>
      <c r="P435">
        <f t="shared" si="256"/>
        <v>96</v>
      </c>
      <c r="Q435">
        <f t="shared" ca="1" si="253"/>
        <v>1967</v>
      </c>
      <c r="R435" s="443">
        <f t="shared" ref="R435:R442" si="293">CB103</f>
        <v>6362730.5392468311</v>
      </c>
      <c r="S435" s="443">
        <f t="shared" ref="S435:Z435" ca="1" si="294">IF(OFFSET(INDIRECT(S$337),$P435,0)="",S434,OFFSET(INDIRECT(S$337),$P435,0))</f>
        <v>6362730.5392468311</v>
      </c>
      <c r="T435" s="443">
        <f t="shared" ca="1" si="294"/>
        <v>5335449.4451571852</v>
      </c>
      <c r="U435" s="443">
        <f t="shared" ca="1" si="294"/>
        <v>15117120.550588626</v>
      </c>
      <c r="V435" s="443">
        <f t="shared" ca="1" si="294"/>
        <v>2325673.3597576362</v>
      </c>
      <c r="W435" s="209">
        <f t="shared" ca="1" si="294"/>
        <v>0</v>
      </c>
      <c r="X435" s="209">
        <f t="shared" ca="1" si="294"/>
        <v>0</v>
      </c>
      <c r="Y435" s="443">
        <f t="shared" ca="1" si="294"/>
        <v>1950186.72571423</v>
      </c>
      <c r="Z435" s="443">
        <f t="shared" ca="1" si="294"/>
        <v>5525534.0963897463</v>
      </c>
      <c r="AA435" s="388">
        <f t="shared" ref="AA435:AH450" ca="1" si="295">IF(AA$336,IF(OFFSET(INDIRECT(AA$337),$P435,0)="","",OFFSET(INDIRECT(AA$337),$P435,0)),"")</f>
        <v>3.7235647119496784E-2</v>
      </c>
      <c r="AB435" s="388">
        <f t="shared" ca="1" si="295"/>
        <v>6.6016423653249001E-2</v>
      </c>
      <c r="AC435" s="388">
        <f t="shared" ca="1" si="295"/>
        <v>5.930276950119473E-2</v>
      </c>
      <c r="AD435" s="388">
        <f t="shared" ca="1" si="295"/>
        <v>6.0363898499491198E-2</v>
      </c>
      <c r="AE435" s="388">
        <f t="shared" ca="1" si="295"/>
        <v>-9.6725889063429271E-3</v>
      </c>
      <c r="AF435" s="388">
        <f t="shared" ca="1" si="295"/>
        <v>1.9611466652422305E-2</v>
      </c>
      <c r="AG435" s="388">
        <f t="shared" ca="1" si="295"/>
        <v>5.6981966937952322E-4</v>
      </c>
      <c r="AH435" s="388">
        <f t="shared" ca="1" si="295"/>
        <v>-1.1311530026727912E-2</v>
      </c>
    </row>
    <row r="436" spans="1:34">
      <c r="A436" s="165">
        <f t="shared" si="255"/>
        <v>1968</v>
      </c>
      <c r="B436" s="206" t="str">
        <f>IF(AND($A436&gt;=SYear_O,$A436&lt;=EYear_O),IF(B$336&gt;0,B$336*Data_All!$B105,""),"")</f>
        <v/>
      </c>
      <c r="C436" s="206">
        <f>IF(AND($A436&gt;=SYear_O,$A436&lt;=EYear_O),IF(C$336&gt;0,C$336*Data_All!$D105,""),"")</f>
        <v>6.2447072300321711</v>
      </c>
      <c r="D436" s="206" t="str">
        <f>IF(AND($A436&gt;=SYear_O,$A436&lt;=EYear_O),IF(D$336&gt;0,D$336*Data_All!$T105,""),"")</f>
        <v/>
      </c>
      <c r="E436" s="206">
        <f>IF(AND($A436&gt;=SYear_O,$A436&lt;=EYear_O),IF(E$336&gt;0,E$336*Data_All!$U105,""),"")</f>
        <v>1.0189242050637122</v>
      </c>
      <c r="F436" s="206" t="str">
        <f>IF(AND($A436&gt;=SYear_O,$A436&lt;=EYear_O),IF(F$336&gt;0,F$336*Data_All!$BX105,""),"")</f>
        <v/>
      </c>
      <c r="G436" s="206" t="str">
        <f>IF(AND($A436&gt;=SYear_O,$A436&lt;=EYear_O),IF(G$336&gt;0,G$336*Data_All!$BY105,""),"")</f>
        <v/>
      </c>
      <c r="H436" s="206" t="str">
        <f>IF(AND($A436&gt;=SYear_O,$A436&lt;=EYear_O),IF(H$336&gt;0,H$336*Data_All!$BZ105,""),"")</f>
        <v/>
      </c>
      <c r="I436" s="206">
        <f t="shared" si="290"/>
        <v>7.263631435095883</v>
      </c>
      <c r="J436" s="446">
        <f t="shared" si="291"/>
        <v>5722996.8282592706</v>
      </c>
      <c r="K436" s="206">
        <f>IF(AND($A436&gt;=SYear_O,$A436&lt;=EYear_O),(I436-Data_All!$CA105)/(1+Data_All!$CA105%),"")</f>
        <v>2.7440964027182515</v>
      </c>
      <c r="L436" s="447">
        <f t="shared" si="292"/>
        <v>2003701.7295008427</v>
      </c>
      <c r="P436">
        <f t="shared" si="256"/>
        <v>97</v>
      </c>
      <c r="Q436">
        <f t="shared" ca="1" si="253"/>
        <v>1968</v>
      </c>
      <c r="R436" s="443">
        <f t="shared" si="293"/>
        <v>6837281.1348303938</v>
      </c>
      <c r="S436" s="443">
        <f t="shared" ref="S436:Z436" ca="1" si="296">IF(OFFSET(INDIRECT(S$337),$P436,0)="",S435,OFFSET(INDIRECT(S$337),$P436,0))</f>
        <v>6837281.1348303938</v>
      </c>
      <c r="T436" s="443">
        <f t="shared" ca="1" si="296"/>
        <v>5722996.8282592706</v>
      </c>
      <c r="U436" s="443">
        <f t="shared" ca="1" si="296"/>
        <v>16709410.029908696</v>
      </c>
      <c r="V436" s="443">
        <f t="shared" ca="1" si="296"/>
        <v>2393828.3465920016</v>
      </c>
      <c r="W436" s="209">
        <f t="shared" ca="1" si="296"/>
        <v>0</v>
      </c>
      <c r="X436" s="209">
        <f t="shared" ca="1" si="296"/>
        <v>0</v>
      </c>
      <c r="Y436" s="443">
        <f t="shared" ca="1" si="296"/>
        <v>2003701.7295008427</v>
      </c>
      <c r="Z436" s="443">
        <f t="shared" ca="1" si="296"/>
        <v>5850199.6035616277</v>
      </c>
      <c r="AA436" s="388">
        <f t="shared" ca="1" si="295"/>
        <v>4.0009662619520991E-2</v>
      </c>
      <c r="AB436" s="388">
        <f t="shared" ca="1" si="295"/>
        <v>6.9888220179532556E-2</v>
      </c>
      <c r="AC436" s="388">
        <f t="shared" ca="1" si="295"/>
        <v>4.5147145766090802E-2</v>
      </c>
      <c r="AD436" s="388">
        <f t="shared" ca="1" si="295"/>
        <v>7.2652357594137129E-2</v>
      </c>
      <c r="AE436" s="388">
        <f t="shared" ca="1" si="295"/>
        <v>-1.221791955110707E-2</v>
      </c>
      <c r="AF436" s="388">
        <f t="shared" ca="1" si="295"/>
        <v>2.3791443653143451E-2</v>
      </c>
      <c r="AG436" s="388">
        <f t="shared" ca="1" si="295"/>
        <v>-1.5663211364221774E-2</v>
      </c>
      <c r="AH436" s="388">
        <f t="shared" ca="1" si="295"/>
        <v>2.9079907707174613E-5</v>
      </c>
    </row>
    <row r="437" spans="1:34">
      <c r="A437" s="165">
        <f t="shared" si="255"/>
        <v>1969</v>
      </c>
      <c r="B437" s="206" t="str">
        <f>IF(AND($A437&gt;=SYear_O,$A437&lt;=EYear_O),IF(B$336&gt;0,B$336*Data_All!$B106,""),"")</f>
        <v/>
      </c>
      <c r="C437" s="206">
        <f>IF(AND($A437&gt;=SYear_O,$A437&lt;=EYear_O),IF(C$336&gt;0,C$336*Data_All!$D106,""),"")</f>
        <v>-5.1324751059224409</v>
      </c>
      <c r="D437" s="206" t="str">
        <f>IF(AND($A437&gt;=SYear_O,$A437&lt;=EYear_O),IF(D$336&gt;0,D$336*Data_All!$T106,""),"")</f>
        <v/>
      </c>
      <c r="E437" s="206">
        <f>IF(AND($A437&gt;=SYear_O,$A437&lt;=EYear_O),IF(E$336&gt;0,E$336*Data_All!$U106,""),"")</f>
        <v>-0.55937867653233375</v>
      </c>
      <c r="F437" s="206" t="str">
        <f>IF(AND($A437&gt;=SYear_O,$A437&lt;=EYear_O),IF(F$336&gt;0,F$336*Data_All!$BX106,""),"")</f>
        <v/>
      </c>
      <c r="G437" s="206" t="str">
        <f>IF(AND($A437&gt;=SYear_O,$A437&lt;=EYear_O),IF(G$336&gt;0,G$336*Data_All!$BY106,""),"")</f>
        <v/>
      </c>
      <c r="H437" s="206" t="str">
        <f>IF(AND($A437&gt;=SYear_O,$A437&lt;=EYear_O),IF(H$336&gt;0,H$336*Data_All!$BZ106,""),"")</f>
        <v/>
      </c>
      <c r="I437" s="206">
        <f t="shared" si="290"/>
        <v>-5.6918537824547748</v>
      </c>
      <c r="J437" s="446">
        <f t="shared" si="291"/>
        <v>5397252.2168202288</v>
      </c>
      <c r="K437" s="206">
        <f>IF(AND($A437&gt;=SYear_O,$A437&lt;=EYear_O),(I437-Data_All!$CA106)/(1+Data_All!$CA106%),"")</f>
        <v>-11.180687689296017</v>
      </c>
      <c r="L437" s="447">
        <f t="shared" si="292"/>
        <v>1779674.0969003306</v>
      </c>
      <c r="P437">
        <f t="shared" si="256"/>
        <v>98</v>
      </c>
      <c r="Q437">
        <f t="shared" ca="1" si="253"/>
        <v>1969</v>
      </c>
      <c r="R437" s="443">
        <f t="shared" si="293"/>
        <v>6459883.8820417449</v>
      </c>
      <c r="S437" s="443">
        <f t="shared" ref="S437:Z437" ca="1" si="297">IF(OFFSET(INDIRECT(S$337),$P437,0)="",S436,OFFSET(INDIRECT(S$337),$P437,0))</f>
        <v>6459883.8820417449</v>
      </c>
      <c r="T437" s="443">
        <f t="shared" ca="1" si="297"/>
        <v>5397252.2168202288</v>
      </c>
      <c r="U437" s="443">
        <f t="shared" ca="1" si="297"/>
        <v>15314953.812294036</v>
      </c>
      <c r="V437" s="443">
        <f t="shared" ca="1" si="297"/>
        <v>2130063.141764157</v>
      </c>
      <c r="W437" s="209">
        <f t="shared" ca="1" si="297"/>
        <v>5.519697747487895E-2</v>
      </c>
      <c r="X437" s="209">
        <f t="shared" ca="1" si="297"/>
        <v>8.345334844968666E-2</v>
      </c>
      <c r="Y437" s="443">
        <f t="shared" ca="1" si="297"/>
        <v>1779674.0969003306</v>
      </c>
      <c r="Z437" s="443">
        <f t="shared" ca="1" si="297"/>
        <v>5049907.897582422</v>
      </c>
      <c r="AA437" s="388">
        <f t="shared" ca="1" si="295"/>
        <v>5.2388637126189241E-2</v>
      </c>
      <c r="AB437" s="388">
        <f t="shared" ca="1" si="295"/>
        <v>3.7136571143584707E-2</v>
      </c>
      <c r="AC437" s="388">
        <f t="shared" ca="1" si="295"/>
        <v>4.8141086032402081E-2</v>
      </c>
      <c r="AD437" s="388">
        <f t="shared" ca="1" si="295"/>
        <v>7.7186597123242384E-2</v>
      </c>
      <c r="AE437" s="388">
        <f t="shared" ca="1" si="295"/>
        <v>3.180024054768138E-3</v>
      </c>
      <c r="AF437" s="388">
        <f t="shared" ca="1" si="295"/>
        <v>-1.5541182999364578E-2</v>
      </c>
      <c r="AG437" s="388">
        <f t="shared" ca="1" si="295"/>
        <v>-1.7107823736790317E-2</v>
      </c>
      <c r="AH437" s="388">
        <f t="shared" ca="1" si="295"/>
        <v>4.6473535953817091E-3</v>
      </c>
    </row>
    <row r="438" spans="1:34">
      <c r="A438" s="165">
        <f t="shared" si="255"/>
        <v>1970</v>
      </c>
      <c r="B438" s="206" t="str">
        <f>IF(AND($A438&gt;=SYear_O,$A438&lt;=EYear_O),IF(B$336&gt;0,B$336*Data_All!$B107,""),"")</f>
        <v/>
      </c>
      <c r="C438" s="206">
        <f>IF(AND($A438&gt;=SYear_O,$A438&lt;=EYear_O),IF(C$336&gt;0,C$336*Data_All!$D107,""),"")</f>
        <v>4.0899176968857294</v>
      </c>
      <c r="D438" s="206" t="str">
        <f>IF(AND($A438&gt;=SYear_O,$A438&lt;=EYear_O),IF(D$336&gt;0,D$336*Data_All!$T107,""),"")</f>
        <v/>
      </c>
      <c r="E438" s="206">
        <f>IF(AND($A438&gt;=SYear_O,$A438&lt;=EYear_O),IF(E$336&gt;0,E$336*Data_All!$U107,""),"")</f>
        <v>6.5058681036189814</v>
      </c>
      <c r="F438" s="206" t="str">
        <f>IF(AND($A438&gt;=SYear_O,$A438&lt;=EYear_O),IF(F$336&gt;0,F$336*Data_All!$BX107,""),"")</f>
        <v/>
      </c>
      <c r="G438" s="206" t="str">
        <f>IF(AND($A438&gt;=SYear_O,$A438&lt;=EYear_O),IF(G$336&gt;0,G$336*Data_All!$BY107,""),"")</f>
        <v/>
      </c>
      <c r="H438" s="206" t="str">
        <f>IF(AND($A438&gt;=SYear_O,$A438&lt;=EYear_O),IF(H$336&gt;0,H$336*Data_All!$BZ107,""),"")</f>
        <v/>
      </c>
      <c r="I438" s="206">
        <f t="shared" si="290"/>
        <v>10.595785800504711</v>
      </c>
      <c r="J438" s="446">
        <f t="shared" si="291"/>
        <v>5969133.5008274922</v>
      </c>
      <c r="K438" s="206">
        <f>IF(AND($A438&gt;=SYear_O,$A438&lt;=EYear_O),(I438-Data_All!$CA107)/(1+Data_All!$CA107%),"")</f>
        <v>5.0382086245999407</v>
      </c>
      <c r="L438" s="447">
        <f t="shared" si="292"/>
        <v>1869337.7907401342</v>
      </c>
      <c r="P438">
        <f t="shared" si="256"/>
        <v>99</v>
      </c>
      <c r="Q438">
        <f t="shared" ca="1" si="253"/>
        <v>1970</v>
      </c>
      <c r="R438" s="443">
        <f t="shared" si="293"/>
        <v>7157406.01954751</v>
      </c>
      <c r="S438" s="443">
        <f t="shared" ref="S438:Z438" ca="1" si="298">IF(OFFSET(INDIRECT(S$337),$P438,0)="",S437,OFFSET(INDIRECT(S$337),$P438,0))</f>
        <v>7157406.01954751</v>
      </c>
      <c r="T438" s="443">
        <f t="shared" ca="1" si="298"/>
        <v>5969133.5008274922</v>
      </c>
      <c r="U438" s="443">
        <f t="shared" ca="1" si="298"/>
        <v>16398332.335552903</v>
      </c>
      <c r="V438" s="443">
        <f t="shared" ca="1" si="298"/>
        <v>2241465.9605378737</v>
      </c>
      <c r="W438" s="209">
        <f t="shared" ca="1" si="298"/>
        <v>0</v>
      </c>
      <c r="X438" s="209">
        <f t="shared" ca="1" si="298"/>
        <v>1.861691668341281E-2</v>
      </c>
      <c r="Y438" s="443">
        <f t="shared" ca="1" si="298"/>
        <v>1869337.7907401342</v>
      </c>
      <c r="Z438" s="443">
        <f t="shared" ca="1" si="298"/>
        <v>5135422.4755930649</v>
      </c>
      <c r="AA438" s="388">
        <f t="shared" ca="1" si="295"/>
        <v>0.11353434417223518</v>
      </c>
      <c r="AB438" s="388">
        <f t="shared" ca="1" si="295"/>
        <v>2.6112948274665149E-2</v>
      </c>
      <c r="AC438" s="388">
        <f t="shared" ca="1" si="295"/>
        <v>6.5384267904156967E-2</v>
      </c>
      <c r="AD438" s="388">
        <f t="shared" ca="1" si="295"/>
        <v>8.809392884970535E-2</v>
      </c>
      <c r="AE438" s="388">
        <f t="shared" ca="1" si="295"/>
        <v>7.0872845698907172E-2</v>
      </c>
      <c r="AF438" s="388">
        <f t="shared" ca="1" si="295"/>
        <v>-3.6925117673630048E-2</v>
      </c>
      <c r="AG438" s="388">
        <f t="shared" ca="1" si="295"/>
        <v>-7.3962238735771901E-3</v>
      </c>
      <c r="AH438" s="388">
        <f t="shared" ca="1" si="295"/>
        <v>1.6257933613430087E-2</v>
      </c>
    </row>
    <row r="439" spans="1:34">
      <c r="A439" s="165">
        <f t="shared" si="255"/>
        <v>1971</v>
      </c>
      <c r="B439" s="206" t="str">
        <f>IF(AND($A439&gt;=SYear_O,$A439&lt;=EYear_O),IF(B$336&gt;0,B$336*Data_All!$B108,""),"")</f>
        <v/>
      </c>
      <c r="C439" s="206">
        <f>IF(AND($A439&gt;=SYear_O,$A439&lt;=EYear_O),IF(C$336&gt;0,C$336*Data_All!$D108,""),"")</f>
        <v>8.1502692614767955</v>
      </c>
      <c r="D439" s="206" t="str">
        <f>IF(AND($A439&gt;=SYear_O,$A439&lt;=EYear_O),IF(D$336&gt;0,D$336*Data_All!$T108,""),"")</f>
        <v/>
      </c>
      <c r="E439" s="206">
        <f>IF(AND($A439&gt;=SYear_O,$A439&lt;=EYear_O),IF(E$336&gt;0,E$336*Data_All!$U108,""),"")</f>
        <v>2.9891831705594671</v>
      </c>
      <c r="F439" s="206" t="str">
        <f>IF(AND($A439&gt;=SYear_O,$A439&lt;=EYear_O),IF(F$336&gt;0,F$336*Data_All!$BX108,""),"")</f>
        <v/>
      </c>
      <c r="G439" s="206" t="str">
        <f>IF(AND($A439&gt;=SYear_O,$A439&lt;=EYear_O),IF(G$336&gt;0,G$336*Data_All!$BY108,""),"")</f>
        <v/>
      </c>
      <c r="H439" s="206" t="str">
        <f>IF(AND($A439&gt;=SYear_O,$A439&lt;=EYear_O),IF(H$336&gt;0,H$336*Data_All!$BZ108,""),"")</f>
        <v/>
      </c>
      <c r="I439" s="206">
        <f t="shared" si="290"/>
        <v>11.139452432036263</v>
      </c>
      <c r="J439" s="446">
        <f t="shared" si="291"/>
        <v>6634062.2877569115</v>
      </c>
      <c r="K439" s="206">
        <f>IF(AND($A439&gt;=SYear_O,$A439&lt;=EYear_O),(I439-Data_All!$CA108)/(1+Data_All!$CA108%),"")</f>
        <v>7.6240926227504353</v>
      </c>
      <c r="L439" s="447">
        <f t="shared" si="292"/>
        <v>2011857.8353382386</v>
      </c>
      <c r="P439">
        <f t="shared" si="256"/>
        <v>100</v>
      </c>
      <c r="Q439">
        <f t="shared" ca="1" si="253"/>
        <v>1971</v>
      </c>
      <c r="R439" s="443">
        <f t="shared" si="293"/>
        <v>7969147.9247372933</v>
      </c>
      <c r="S439" s="443">
        <f t="shared" ref="S439:Z439" ca="1" si="299">IF(OFFSET(INDIRECT(S$337),$P439,0)="",S438,OFFSET(INDIRECT(S$337),$P439,0))</f>
        <v>7969147.9247372933</v>
      </c>
      <c r="T439" s="443">
        <f t="shared" ca="1" si="299"/>
        <v>6634062.2877569115</v>
      </c>
      <c r="U439" s="443">
        <f t="shared" ca="1" si="299"/>
        <v>18648832.687548321</v>
      </c>
      <c r="V439" s="443">
        <f t="shared" ca="1" si="299"/>
        <v>2416738.3418965703</v>
      </c>
      <c r="W439" s="209">
        <f t="shared" ca="1" si="299"/>
        <v>0</v>
      </c>
      <c r="X439" s="209">
        <f t="shared" ca="1" si="299"/>
        <v>0</v>
      </c>
      <c r="Y439" s="443">
        <f t="shared" ca="1" si="299"/>
        <v>2011857.8353382386</v>
      </c>
      <c r="Z439" s="443">
        <f t="shared" ca="1" si="299"/>
        <v>5655479.0315424902</v>
      </c>
      <c r="AA439" s="388">
        <f t="shared" ca="1" si="295"/>
        <v>4.6572153724897092E-2</v>
      </c>
      <c r="AB439" s="388">
        <f t="shared" ca="1" si="295"/>
        <v>5.287786269796646E-2</v>
      </c>
      <c r="AC439" s="388">
        <f t="shared" ca="1" si="295"/>
        <v>7.0929880672945478E-2</v>
      </c>
      <c r="AD439" s="388">
        <f t="shared" ca="1" si="295"/>
        <v>9.6164682311558503E-2</v>
      </c>
      <c r="AE439" s="388">
        <f t="shared" ca="1" si="295"/>
        <v>-4.1753459829396711E-3</v>
      </c>
      <c r="AF439" s="388">
        <f t="shared" ca="1" si="295"/>
        <v>-1.4864402756417872E-2</v>
      </c>
      <c r="AG439" s="388">
        <f t="shared" ca="1" si="295"/>
        <v>-8.8297370248648921E-3</v>
      </c>
      <c r="AH439" s="388">
        <f t="shared" ca="1" si="295"/>
        <v>2.4770620459281023E-2</v>
      </c>
    </row>
    <row r="440" spans="1:34">
      <c r="A440" s="165">
        <f t="shared" si="255"/>
        <v>1972</v>
      </c>
      <c r="B440" s="206" t="str">
        <f>IF(AND($A440&gt;=SYear_O,$A440&lt;=EYear_O),IF(B$336&gt;0,B$336*Data_All!$B109,""),"")</f>
        <v/>
      </c>
      <c r="C440" s="206">
        <f>IF(AND($A440&gt;=SYear_O,$A440&lt;=EYear_O),IF(C$336&gt;0,C$336*Data_All!$D109,""),"")</f>
        <v>11.278825995807127</v>
      </c>
      <c r="D440" s="206" t="str">
        <f>IF(AND($A440&gt;=SYear_O,$A440&lt;=EYear_O),IF(D$336&gt;0,D$336*Data_All!$T109,""),"")</f>
        <v/>
      </c>
      <c r="E440" s="206">
        <f>IF(AND($A440&gt;=SYear_O,$A440&lt;=EYear_O),IF(E$336&gt;0,E$336*Data_All!$U109,""),"")</f>
        <v>2.1956087824351296</v>
      </c>
      <c r="F440" s="206" t="str">
        <f>IF(AND($A440&gt;=SYear_O,$A440&lt;=EYear_O),IF(F$336&gt;0,F$336*Data_All!$BX109,""),"")</f>
        <v/>
      </c>
      <c r="G440" s="206" t="str">
        <f>IF(AND($A440&gt;=SYear_O,$A440&lt;=EYear_O),IF(G$336&gt;0,G$336*Data_All!$BY109,""),"")</f>
        <v/>
      </c>
      <c r="H440" s="206" t="str">
        <f>IF(AND($A440&gt;=SYear_O,$A440&lt;=EYear_O),IF(H$336&gt;0,H$336*Data_All!$BZ109,""),"")</f>
        <v/>
      </c>
      <c r="I440" s="206">
        <f t="shared" si="290"/>
        <v>13.474434778242257</v>
      </c>
      <c r="J440" s="446">
        <f t="shared" si="291"/>
        <v>7527964.6838686829</v>
      </c>
      <c r="K440" s="206">
        <f>IF(AND($A440&gt;=SYear_O,$A440&lt;=EYear_O),(I440-Data_All!$CA109)/(1+Data_All!$CA109%),"")</f>
        <v>9.7364533973119265</v>
      </c>
      <c r="L440" s="447">
        <f t="shared" si="292"/>
        <v>2207741.4358961149</v>
      </c>
      <c r="P440">
        <f t="shared" si="256"/>
        <v>101</v>
      </c>
      <c r="Q440">
        <f t="shared" ca="1" si="253"/>
        <v>1972</v>
      </c>
      <c r="R440" s="443">
        <f t="shared" si="293"/>
        <v>8919398.3499557693</v>
      </c>
      <c r="S440" s="443">
        <f t="shared" ref="S440:Z440" ca="1" si="300">IF(OFFSET(INDIRECT(S$337),$P440,0)="",S439,OFFSET(INDIRECT(S$337),$P440,0))</f>
        <v>8919398.3499557693</v>
      </c>
      <c r="T440" s="443">
        <f t="shared" ca="1" si="300"/>
        <v>7527964.6838686829</v>
      </c>
      <c r="U440" s="443">
        <f t="shared" ca="1" si="300"/>
        <v>21925023.092409041</v>
      </c>
      <c r="V440" s="443">
        <f t="shared" ca="1" si="300"/>
        <v>2615810.0027564247</v>
      </c>
      <c r="W440" s="209">
        <f t="shared" ca="1" si="300"/>
        <v>0</v>
      </c>
      <c r="X440" s="209">
        <f t="shared" ca="1" si="300"/>
        <v>0</v>
      </c>
      <c r="Y440" s="443">
        <f t="shared" ca="1" si="300"/>
        <v>2207741.4358961149</v>
      </c>
      <c r="Z440" s="443">
        <f t="shared" ca="1" si="300"/>
        <v>6429995.8882398847</v>
      </c>
      <c r="AA440" s="388">
        <f t="shared" ca="1" si="295"/>
        <v>-2.6663773671875779E-2</v>
      </c>
      <c r="AB440" s="388">
        <f t="shared" ca="1" si="295"/>
        <v>5.263139720434773E-2</v>
      </c>
      <c r="AC440" s="388">
        <f t="shared" ca="1" si="295"/>
        <v>5.7548885514831616E-2</v>
      </c>
      <c r="AD440" s="388">
        <f t="shared" ca="1" si="295"/>
        <v>0.1051939423338244</v>
      </c>
      <c r="AE440" s="388">
        <f t="shared" ca="1" si="295"/>
        <v>-9.9491723161348466E-2</v>
      </c>
      <c r="AF440" s="388">
        <f t="shared" ca="1" si="295"/>
        <v>-1.8116217032997151E-2</v>
      </c>
      <c r="AG440" s="388">
        <f t="shared" ca="1" si="295"/>
        <v>-2.641954040466632E-2</v>
      </c>
      <c r="AH440" s="388">
        <f t="shared" ca="1" si="295"/>
        <v>3.4674626087972671E-2</v>
      </c>
    </row>
    <row r="441" spans="1:34">
      <c r="A441" s="165">
        <f t="shared" si="255"/>
        <v>1973</v>
      </c>
      <c r="B441" s="206" t="str">
        <f>IF(AND($A441&gt;=SYear_O,$A441&lt;=EYear_O),IF(B$336&gt;0,B$336*Data_All!$B110,""),"")</f>
        <v/>
      </c>
      <c r="C441" s="206">
        <f>IF(AND($A441&gt;=SYear_O,$A441&lt;=EYear_O),IF(C$336&gt;0,C$336*Data_All!$D110,""),"")</f>
        <v>-8.9068583408206035</v>
      </c>
      <c r="D441" s="206" t="str">
        <f>IF(AND($A441&gt;=SYear_O,$A441&lt;=EYear_O),IF(D$336&gt;0,D$336*Data_All!$T110,""),"")</f>
        <v/>
      </c>
      <c r="E441" s="206">
        <f>IF(AND($A441&gt;=SYear_O,$A441&lt;=EYear_O),IF(E$336&gt;0,E$336*Data_All!$U110,""),"")</f>
        <v>1.2774451097804391</v>
      </c>
      <c r="F441" s="206" t="str">
        <f>IF(AND($A441&gt;=SYear_O,$A441&lt;=EYear_O),IF(F$336&gt;0,F$336*Data_All!$BX110,""),"")</f>
        <v/>
      </c>
      <c r="G441" s="206" t="str">
        <f>IF(AND($A441&gt;=SYear_O,$A441&lt;=EYear_O),IF(G$336&gt;0,G$336*Data_All!$BY110,""),"")</f>
        <v/>
      </c>
      <c r="H441" s="206" t="str">
        <f>IF(AND($A441&gt;=SYear_O,$A441&lt;=EYear_O),IF(H$336&gt;0,H$336*Data_All!$BZ110,""),"")</f>
        <v/>
      </c>
      <c r="I441" s="206">
        <f t="shared" si="290"/>
        <v>-7.6294132310401643</v>
      </c>
      <c r="J441" s="446">
        <f t="shared" si="291"/>
        <v>6953625.1502495753</v>
      </c>
      <c r="K441" s="206">
        <f>IF(AND($A441&gt;=SYear_O,$A441&lt;=EYear_O),(I441-Data_All!$CA110)/(1+Data_All!$CA110%),"")</f>
        <v>-15.027057625956868</v>
      </c>
      <c r="L441" s="447">
        <f t="shared" si="292"/>
        <v>1875982.8580918782</v>
      </c>
      <c r="P441">
        <f t="shared" si="256"/>
        <v>102</v>
      </c>
      <c r="Q441">
        <f t="shared" ca="1" si="253"/>
        <v>1973</v>
      </c>
      <c r="R441" s="443">
        <f t="shared" si="293"/>
        <v>8204708.9539021617</v>
      </c>
      <c r="S441" s="443">
        <f t="shared" ref="S441:Z441" ca="1" si="301">IF(OFFSET(INDIRECT(S$337),$P441,0)="",S440,OFFSET(INDIRECT(S$337),$P441,0))</f>
        <v>8204708.9539021617</v>
      </c>
      <c r="T441" s="443">
        <f t="shared" ca="1" si="301"/>
        <v>6953625.1502495753</v>
      </c>
      <c r="U441" s="443">
        <f t="shared" ca="1" si="301"/>
        <v>18451795.736593645</v>
      </c>
      <c r="V441" s="443">
        <f t="shared" ca="1" si="301"/>
        <v>2213506.339581877</v>
      </c>
      <c r="W441" s="209">
        <f t="shared" ca="1" si="301"/>
        <v>8.0127534169067705E-2</v>
      </c>
      <c r="X441" s="209">
        <f t="shared" ca="1" si="301"/>
        <v>0.15841385166056721</v>
      </c>
      <c r="Y441" s="443">
        <f t="shared" ca="1" si="301"/>
        <v>1875982.8580918782</v>
      </c>
      <c r="Z441" s="443">
        <f t="shared" ca="1" si="301"/>
        <v>4978015.3164598113</v>
      </c>
      <c r="AA441" s="388">
        <f t="shared" ca="1" si="295"/>
        <v>1.2597122213876766E-2</v>
      </c>
      <c r="AB441" s="388">
        <f t="shared" ca="1" si="295"/>
        <v>2.0978206601534266E-2</v>
      </c>
      <c r="AC441" s="388">
        <f t="shared" ca="1" si="295"/>
        <v>7.4037103158961948E-2</v>
      </c>
      <c r="AD441" s="388">
        <f t="shared" ca="1" si="295"/>
        <v>9.6361114858649177E-2</v>
      </c>
      <c r="AE441" s="388">
        <f t="shared" ca="1" si="295"/>
        <v>-7.3592623545999603E-2</v>
      </c>
      <c r="AF441" s="388">
        <f t="shared" ca="1" si="295"/>
        <v>-5.3597371350895262E-2</v>
      </c>
      <c r="AG441" s="388">
        <f t="shared" ca="1" si="295"/>
        <v>-1.1644471749404195E-2</v>
      </c>
      <c r="AH441" s="388">
        <f t="shared" ca="1" si="295"/>
        <v>2.5728679393872023E-2</v>
      </c>
    </row>
    <row r="442" spans="1:34">
      <c r="A442" s="165">
        <f t="shared" si="255"/>
        <v>1974</v>
      </c>
      <c r="B442" s="206" t="str">
        <f>IF(AND($A442&gt;=SYear_O,$A442&lt;=EYear_O),IF(B$336&gt;0,B$336*Data_All!$B111,""),"")</f>
        <v/>
      </c>
      <c r="C442" s="206">
        <f>IF(AND($A442&gt;=SYear_O,$A442&lt;=EYear_O),IF(C$336&gt;0,C$336*Data_All!$D111,""),"")</f>
        <v>-15.974842767295597</v>
      </c>
      <c r="D442" s="206" t="str">
        <f>IF(AND($A442&gt;=SYear_O,$A442&lt;=EYear_O),IF(D$336&gt;0,D$336*Data_All!$T111,""),"")</f>
        <v/>
      </c>
      <c r="E442" s="206">
        <f>IF(AND($A442&gt;=SYear_O,$A442&lt;=EYear_O),IF(E$336&gt;0,E$336*Data_All!$U111,""),"")</f>
        <v>2.7145708582834334</v>
      </c>
      <c r="F442" s="206" t="str">
        <f>IF(AND($A442&gt;=SYear_O,$A442&lt;=EYear_O),IF(F$336&gt;0,F$336*Data_All!$BX111,""),"")</f>
        <v/>
      </c>
      <c r="G442" s="206" t="str">
        <f>IF(AND($A442&gt;=SYear_O,$A442&lt;=EYear_O),IF(G$336&gt;0,G$336*Data_All!$BY111,""),"")</f>
        <v/>
      </c>
      <c r="H442" s="206" t="str">
        <f>IF(AND($A442&gt;=SYear_O,$A442&lt;=EYear_O),IF(H$336&gt;0,H$336*Data_All!$BZ111,""),"")</f>
        <v/>
      </c>
      <c r="I442" s="206">
        <f t="shared" si="290"/>
        <v>-13.260271909012163</v>
      </c>
      <c r="J442" s="446">
        <f t="shared" si="291"/>
        <v>6031555.5477930261</v>
      </c>
      <c r="K442" s="206">
        <f>IF(AND($A442&gt;=SYear_O,$A442&lt;=EYear_O),(I442-Data_All!$CA111)/(1+Data_All!$CA111%),"")</f>
        <v>-22.786600427675566</v>
      </c>
      <c r="L442" s="447">
        <f t="shared" si="292"/>
        <v>1448510.1401267941</v>
      </c>
      <c r="P442">
        <f t="shared" si="256"/>
        <v>103</v>
      </c>
      <c r="Q442">
        <f t="shared" ca="1" si="253"/>
        <v>1974</v>
      </c>
      <c r="R442" s="443">
        <f t="shared" si="293"/>
        <v>7348531.3457433498</v>
      </c>
      <c r="S442" s="443">
        <f t="shared" ref="S442:Z442" ca="1" si="302">IF(OFFSET(INDIRECT(S$337),$P442,0)="",S441,OFFSET(INDIRECT(S$337),$P442,0))</f>
        <v>7348531.3457433498</v>
      </c>
      <c r="T442" s="443">
        <f t="shared" ca="1" si="302"/>
        <v>6031555.5477930261</v>
      </c>
      <c r="U442" s="443">
        <f t="shared" ca="1" si="302"/>
        <v>14664186.614092065</v>
      </c>
      <c r="V442" s="443">
        <f t="shared" ca="1" si="302"/>
        <v>1764788.8815752829</v>
      </c>
      <c r="W442" s="209">
        <f t="shared" ca="1" si="302"/>
        <v>0.17611804547559073</v>
      </c>
      <c r="X442" s="209">
        <f t="shared" ca="1" si="302"/>
        <v>0.33116665135148027</v>
      </c>
      <c r="Y442" s="443">
        <f t="shared" ca="1" si="302"/>
        <v>1448510.1401267941</v>
      </c>
      <c r="Z442" s="443">
        <f t="shared" ca="1" si="302"/>
        <v>3521682.3983319281</v>
      </c>
      <c r="AA442" s="388">
        <f t="shared" ca="1" si="295"/>
        <v>7.872340664536126E-2</v>
      </c>
      <c r="AB442" s="388">
        <f t="shared" ca="1" si="295"/>
        <v>5.9262364085596708E-2</v>
      </c>
      <c r="AC442" s="388">
        <f t="shared" ca="1" si="295"/>
        <v>9.7787894350230387E-2</v>
      </c>
      <c r="AD442" s="388">
        <f t="shared" ca="1" si="295"/>
        <v>0.11146958037354038</v>
      </c>
      <c r="AE442" s="388">
        <f t="shared" ca="1" si="295"/>
        <v>-1.1894997641761496E-3</v>
      </c>
      <c r="AF442" s="388">
        <f t="shared" ca="1" si="295"/>
        <v>-1.8671971365151641E-2</v>
      </c>
      <c r="AG442" s="388">
        <f t="shared" ca="1" si="295"/>
        <v>1.4896349505637341E-2</v>
      </c>
      <c r="AH442" s="388">
        <f t="shared" ca="1" si="295"/>
        <v>4.2656471130633866E-2</v>
      </c>
    </row>
    <row r="443" spans="1:34">
      <c r="A443" s="165">
        <f t="shared" si="255"/>
        <v>1975</v>
      </c>
      <c r="B443" s="206" t="str">
        <f>IF(AND($A443&gt;=SYear_O,$A443&lt;=EYear_O),IF(B$336&gt;0,B$336*Data_All!$B112,""),"")</f>
        <v/>
      </c>
      <c r="C443" s="206">
        <f>IF(AND($A443&gt;=SYear_O,$A443&lt;=EYear_O),IF(C$336&gt;0,C$336*Data_All!$D112,""),"")</f>
        <v>22.180293501048215</v>
      </c>
      <c r="D443" s="206" t="str">
        <f>IF(AND($A443&gt;=SYear_O,$A443&lt;=EYear_O),IF(D$336&gt;0,D$336*Data_All!$T112,""),"")</f>
        <v/>
      </c>
      <c r="E443" s="206">
        <f>IF(AND($A443&gt;=SYear_O,$A443&lt;=EYear_O),IF(E$336&gt;0,E$336*Data_All!$U112,""),"")</f>
        <v>3.2335329341317371</v>
      </c>
      <c r="F443" s="206" t="str">
        <f>IF(AND($A443&gt;=SYear_O,$A443&lt;=EYear_O),IF(F$336&gt;0,F$336*Data_All!$BX112,""),"")</f>
        <v/>
      </c>
      <c r="G443" s="206" t="str">
        <f>IF(AND($A443&gt;=SYear_O,$A443&lt;=EYear_O),IF(G$336&gt;0,G$336*Data_All!$BY112,""),"")</f>
        <v/>
      </c>
      <c r="H443" s="206" t="str">
        <f>IF(AND($A443&gt;=SYear_O,$A443&lt;=EYear_O),IF(H$336&gt;0,H$336*Data_All!$BZ112,""),"")</f>
        <v/>
      </c>
      <c r="I443" s="206">
        <f t="shared" ref="I443:I484" si="303">IF(AND($A443&gt;=SYear_O,$A443&lt;=EYear_O),SUM(B443:H443),"")</f>
        <v>25.413826435179953</v>
      </c>
      <c r="J443" s="446">
        <f t="shared" ref="J443:J484" si="304">IF(AND($A443&gt;=SYear_O,$A443&lt;=EYear_O),IF($A443=SYear_O,$J$338*(1+I443%),$J442*(1+I443%)),"")</f>
        <v>7564404.6060506133</v>
      </c>
      <c r="K443" s="206">
        <f>IF(AND($A443&gt;=SYear_O,$A443&lt;=EYear_O),(I443-Data_All!$CA112)/(1+Data_All!$CA112%),"")</f>
        <v>17.278875531276395</v>
      </c>
      <c r="L443" s="447">
        <f t="shared" ref="L443:L484" si="305">IF(AND($A443&gt;=SYear_O,$A443&lt;=EYear_O),IF($A443=SYear_O,$L$338*(1+K443%),$L442*(1+K443%)),"")</f>
        <v>1698796.4042972203</v>
      </c>
      <c r="P443">
        <f t="shared" si="256"/>
        <v>104</v>
      </c>
      <c r="Q443">
        <f t="shared" ref="Q443:Q484" ca="1" si="306">IF(OFFSET(INDIRECT(S$337),$P443,0)="",Q442,OFFSET(INDIRECT(Q$337),$P443,0))</f>
        <v>1975</v>
      </c>
      <c r="R443" s="443">
        <f t="shared" ref="R443:R484" si="307">CB111</f>
        <v>9260738.623907458</v>
      </c>
      <c r="S443" s="443">
        <f t="shared" ref="S443:Z443" ca="1" si="308">IF(OFFSET(INDIRECT(S$337),$P443,0)="",S442,OFFSET(INDIRECT(S$337),$P443,0))</f>
        <v>9260738.623907458</v>
      </c>
      <c r="T443" s="443">
        <f t="shared" ca="1" si="308"/>
        <v>7564404.6060506133</v>
      </c>
      <c r="U443" s="443">
        <f t="shared" ca="1" si="308"/>
        <v>20264615.513022307</v>
      </c>
      <c r="V443" s="443">
        <f t="shared" ca="1" si="308"/>
        <v>2079755.1551970921</v>
      </c>
      <c r="W443" s="209">
        <f t="shared" ca="1" si="308"/>
        <v>0</v>
      </c>
      <c r="X443" s="209">
        <f t="shared" ca="1" si="308"/>
        <v>7.5731166730748312E-2</v>
      </c>
      <c r="Y443" s="443">
        <f t="shared" ca="1" si="308"/>
        <v>1698796.4042972203</v>
      </c>
      <c r="Z443" s="443">
        <f t="shared" ca="1" si="308"/>
        <v>4550980.2503757924</v>
      </c>
      <c r="AA443" s="388">
        <f t="shared" ca="1" si="295"/>
        <v>0.10426283622484589</v>
      </c>
      <c r="AB443" s="388">
        <f t="shared" ca="1" si="295"/>
        <v>0.10615857660325845</v>
      </c>
      <c r="AC443" s="388">
        <f t="shared" ca="1" si="295"/>
        <v>0.12047455029813658</v>
      </c>
      <c r="AD443" s="388">
        <f t="shared" ca="1" si="295"/>
        <v>0.13275071829571417</v>
      </c>
      <c r="AE443" s="388">
        <f t="shared" ca="1" si="295"/>
        <v>4.0154156480723513E-2</v>
      </c>
      <c r="AF443" s="388">
        <f t="shared" ca="1" si="295"/>
        <v>2.3038057020518421E-2</v>
      </c>
      <c r="AG443" s="388">
        <f t="shared" ca="1" si="295"/>
        <v>4.3940857859203986E-2</v>
      </c>
      <c r="AH443" s="388">
        <f t="shared" ca="1" si="295"/>
        <v>6.7655555733985295E-2</v>
      </c>
    </row>
    <row r="444" spans="1:34">
      <c r="A444" s="165">
        <f t="shared" si="255"/>
        <v>1976</v>
      </c>
      <c r="B444" s="206" t="str">
        <f>IF(AND($A444&gt;=SYear_O,$A444&lt;=EYear_O),IF(B$336&gt;0,B$336*Data_All!$B113,""),"")</f>
        <v/>
      </c>
      <c r="C444" s="206">
        <f>IF(AND($A444&gt;=SYear_O,$A444&lt;=EYear_O),IF(C$336&gt;0,C$336*Data_All!$D113,""),"")</f>
        <v>14.213836477987419</v>
      </c>
      <c r="D444" s="206" t="str">
        <f>IF(AND($A444&gt;=SYear_O,$A444&lt;=EYear_O),IF(D$336&gt;0,D$336*Data_All!$T113,""),"")</f>
        <v/>
      </c>
      <c r="E444" s="206">
        <f>IF(AND($A444&gt;=SYear_O,$A444&lt;=EYear_O),IF(E$336&gt;0,E$336*Data_All!$U113,""),"")</f>
        <v>4.5908183632734536</v>
      </c>
      <c r="F444" s="206" t="str">
        <f>IF(AND($A444&gt;=SYear_O,$A444&lt;=EYear_O),IF(F$336&gt;0,F$336*Data_All!$BX113,""),"")</f>
        <v/>
      </c>
      <c r="G444" s="206" t="str">
        <f>IF(AND($A444&gt;=SYear_O,$A444&lt;=EYear_O),IF(G$336&gt;0,G$336*Data_All!$BY113,""),"")</f>
        <v/>
      </c>
      <c r="H444" s="206" t="str">
        <f>IF(AND($A444&gt;=SYear_O,$A444&lt;=EYear_O),IF(H$336&gt;0,H$336*Data_All!$BZ113,""),"")</f>
        <v/>
      </c>
      <c r="I444" s="206">
        <f t="shared" si="303"/>
        <v>18.804654841260874</v>
      </c>
      <c r="J444" s="446">
        <f t="shared" si="304"/>
        <v>8986864.7830148712</v>
      </c>
      <c r="K444" s="206">
        <f>IF(AND($A444&gt;=SYear_O,$A444&lt;=EYear_O),(I444-Data_All!$CA113)/(1+Data_All!$CA113%),"")</f>
        <v>13.29309868883125</v>
      </c>
      <c r="L444" s="447">
        <f t="shared" si="305"/>
        <v>1924619.0868427663</v>
      </c>
      <c r="P444">
        <f t="shared" si="256"/>
        <v>105</v>
      </c>
      <c r="Q444">
        <f t="shared" ca="1" si="306"/>
        <v>1976</v>
      </c>
      <c r="R444" s="443">
        <f t="shared" si="307"/>
        <v>10298962.741168382</v>
      </c>
      <c r="S444" s="443">
        <f t="shared" ref="S444:Z444" ca="1" si="309">IF(OFFSET(INDIRECT(S$337),$P444,0)="",S443,OFFSET(INDIRECT(S$337),$P444,0))</f>
        <v>10298962.741168382</v>
      </c>
      <c r="T444" s="443">
        <f t="shared" ca="1" si="309"/>
        <v>8986864.7830148712</v>
      </c>
      <c r="U444" s="443">
        <f t="shared" ca="1" si="309"/>
        <v>22565310.993287448</v>
      </c>
      <c r="V444" s="443">
        <f t="shared" ca="1" si="309"/>
        <v>2205616.8357843631</v>
      </c>
      <c r="W444" s="209">
        <f t="shared" ca="1" si="309"/>
        <v>0</v>
      </c>
      <c r="X444" s="209">
        <f t="shared" ca="1" si="309"/>
        <v>0</v>
      </c>
      <c r="Y444" s="443">
        <f t="shared" ca="1" si="309"/>
        <v>1924619.0868427663</v>
      </c>
      <c r="Z444" s="443">
        <f t="shared" ca="1" si="309"/>
        <v>4832567.2285963148</v>
      </c>
      <c r="AA444" s="388">
        <f t="shared" ca="1" si="295"/>
        <v>5.7170626151316517E-2</v>
      </c>
      <c r="AB444" s="388">
        <f t="shared" ca="1" si="295"/>
        <v>8.9291407817519763E-2</v>
      </c>
      <c r="AC444" s="388">
        <f t="shared" ca="1" si="295"/>
        <v>0.11847095516093509</v>
      </c>
      <c r="AD444" s="388">
        <f t="shared" ca="1" si="295"/>
        <v>0.11793429861895754</v>
      </c>
      <c r="AE444" s="388">
        <f t="shared" ca="1" si="295"/>
        <v>-1.0581881356858336E-2</v>
      </c>
      <c r="AF444" s="388">
        <f t="shared" ca="1" si="295"/>
        <v>-2.7581046152288513E-3</v>
      </c>
      <c r="AG444" s="388">
        <f t="shared" ca="1" si="295"/>
        <v>4.5182170956334256E-2</v>
      </c>
      <c r="AH444" s="388">
        <f t="shared" ca="1" si="295"/>
        <v>5.4238175609402139E-2</v>
      </c>
    </row>
    <row r="445" spans="1:34">
      <c r="A445" s="165">
        <f t="shared" si="255"/>
        <v>1977</v>
      </c>
      <c r="B445" s="206" t="str">
        <f>IF(AND($A445&gt;=SYear_O,$A445&lt;=EYear_O),IF(B$336&gt;0,B$336*Data_All!$B114,""),"")</f>
        <v/>
      </c>
      <c r="C445" s="206">
        <f>IF(AND($A445&gt;=SYear_O,$A445&lt;=EYear_O),IF(C$336&gt;0,C$336*Data_All!$D114,""),"")</f>
        <v>-4.7738843965259052</v>
      </c>
      <c r="D445" s="206" t="str">
        <f>IF(AND($A445&gt;=SYear_O,$A445&lt;=EYear_O),IF(D$336&gt;0,D$336*Data_All!$T114,""),"")</f>
        <v/>
      </c>
      <c r="E445" s="206">
        <f>IF(AND($A445&gt;=SYear_O,$A445&lt;=EYear_O),IF(E$336&gt;0,E$336*Data_All!$U114,""),"")</f>
        <v>1.1177644710578842</v>
      </c>
      <c r="F445" s="206" t="str">
        <f>IF(AND($A445&gt;=SYear_O,$A445&lt;=EYear_O),IF(F$336&gt;0,F$336*Data_All!$BX114,""),"")</f>
        <v/>
      </c>
      <c r="G445" s="206" t="str">
        <f>IF(AND($A445&gt;=SYear_O,$A445&lt;=EYear_O),IF(G$336&gt;0,G$336*Data_All!$BY114,""),"")</f>
        <v/>
      </c>
      <c r="H445" s="206" t="str">
        <f>IF(AND($A445&gt;=SYear_O,$A445&lt;=EYear_O),IF(H$336&gt;0,H$336*Data_All!$BZ114,""),"")</f>
        <v/>
      </c>
      <c r="I445" s="206">
        <f t="shared" si="303"/>
        <v>-3.6561199254680208</v>
      </c>
      <c r="J445" s="446">
        <f t="shared" si="304"/>
        <v>8658294.2290081959</v>
      </c>
      <c r="K445" s="206">
        <f>IF(AND($A445&gt;=SYear_O,$A445&lt;=EYear_O),(I445-Data_All!$CA114)/(1+Data_All!$CA114%),"")</f>
        <v>-9.7067017658975647</v>
      </c>
      <c r="L445" s="447">
        <f t="shared" si="305"/>
        <v>1737802.0519533979</v>
      </c>
      <c r="P445">
        <f t="shared" si="256"/>
        <v>106</v>
      </c>
      <c r="Q445">
        <f t="shared" ca="1" si="306"/>
        <v>1977</v>
      </c>
      <c r="R445" s="443">
        <f t="shared" si="307"/>
        <v>9895048.3345023859</v>
      </c>
      <c r="S445" s="443">
        <f t="shared" ref="S445:Z445" ca="1" si="310">IF(OFFSET(INDIRECT(S$337),$P445,0)="",S444,OFFSET(INDIRECT(S$337),$P445,0))</f>
        <v>9895048.3345023859</v>
      </c>
      <c r="T445" s="443">
        <f t="shared" ca="1" si="310"/>
        <v>8658294.2290081959</v>
      </c>
      <c r="U445" s="443">
        <f t="shared" ca="1" si="310"/>
        <v>20656780.221596509</v>
      </c>
      <c r="V445" s="443">
        <f t="shared" ca="1" si="310"/>
        <v>1986030.3710013875</v>
      </c>
      <c r="W445" s="209">
        <f t="shared" ca="1" si="310"/>
        <v>3.9218940471686059E-2</v>
      </c>
      <c r="X445" s="209">
        <f t="shared" ca="1" si="310"/>
        <v>8.4578084133592135E-2</v>
      </c>
      <c r="Y445" s="443">
        <f t="shared" ca="1" si="310"/>
        <v>1737802.0519533979</v>
      </c>
      <c r="Z445" s="443">
        <f t="shared" ca="1" si="310"/>
        <v>4146012.3791557578</v>
      </c>
      <c r="AA445" s="388">
        <f t="shared" ca="1" si="295"/>
        <v>5.7218302481432337E-2</v>
      </c>
      <c r="AB445" s="388">
        <f t="shared" ca="1" si="295"/>
        <v>6.2489346436001458E-2</v>
      </c>
      <c r="AC445" s="388">
        <f t="shared" ca="1" si="295"/>
        <v>0.13245142839870661</v>
      </c>
      <c r="AD445" s="388">
        <f t="shared" ca="1" si="295"/>
        <v>0.12645262209569141</v>
      </c>
      <c r="AE445" s="388">
        <f t="shared" ca="1" si="295"/>
        <v>-3.5710998671411032E-2</v>
      </c>
      <c r="AF445" s="388">
        <f t="shared" ca="1" si="295"/>
        <v>-3.4652646526381337E-2</v>
      </c>
      <c r="AG445" s="388">
        <f t="shared" ca="1" si="295"/>
        <v>6.2125056994187577E-2</v>
      </c>
      <c r="AH445" s="388">
        <f t="shared" ca="1" si="295"/>
        <v>6.3498409778926623E-2</v>
      </c>
    </row>
    <row r="446" spans="1:34">
      <c r="A446" s="165">
        <f t="shared" si="255"/>
        <v>1978</v>
      </c>
      <c r="B446" s="206" t="str">
        <f>IF(AND($A446&gt;=SYear_O,$A446&lt;=EYear_O),IF(B$336&gt;0,B$336*Data_All!$B115,""),"")</f>
        <v/>
      </c>
      <c r="C446" s="206">
        <f>IF(AND($A446&gt;=SYear_O,$A446&lt;=EYear_O),IF(C$336&gt;0,C$336*Data_All!$D115,""),"")</f>
        <v>3.54</v>
      </c>
      <c r="D446" s="206" t="str">
        <f>IF(AND($A446&gt;=SYear_O,$A446&lt;=EYear_O),IF(D$336&gt;0,D$336*Data_All!$T115,""),"")</f>
        <v/>
      </c>
      <c r="E446" s="206">
        <f>IF(AND($A446&gt;=SYear_O,$A446&lt;=EYear_O),IF(E$336&gt;0,E$336*Data_All!$U115,""),"")</f>
        <v>0.79840319361277445</v>
      </c>
      <c r="F446" s="206" t="str">
        <f>IF(AND($A446&gt;=SYear_O,$A446&lt;=EYear_O),IF(F$336&gt;0,F$336*Data_All!$BX115,""),"")</f>
        <v/>
      </c>
      <c r="G446" s="206" t="str">
        <f>IF(AND($A446&gt;=SYear_O,$A446&lt;=EYear_O),IF(G$336&gt;0,G$336*Data_All!$BY115,""),"")</f>
        <v/>
      </c>
      <c r="H446" s="206" t="str">
        <f>IF(AND($A446&gt;=SYear_O,$A446&lt;=EYear_O),IF(H$336&gt;0,H$336*Data_All!$BZ115,""),"")</f>
        <v/>
      </c>
      <c r="I446" s="206">
        <f t="shared" si="303"/>
        <v>4.3384031936127743</v>
      </c>
      <c r="J446" s="446">
        <f t="shared" si="304"/>
        <v>9033925.9423518796</v>
      </c>
      <c r="K446" s="206">
        <f>IF(AND($A446&gt;=SYear_O,$A446&lt;=EYear_O),(I446-Data_All!$CA115)/(1+Data_All!$CA115%),"")</f>
        <v>-4.2922475875427839</v>
      </c>
      <c r="L446" s="447">
        <f t="shared" si="305"/>
        <v>1663211.2853021591</v>
      </c>
      <c r="P446">
        <f t="shared" si="256"/>
        <v>107</v>
      </c>
      <c r="Q446">
        <f t="shared" ca="1" si="306"/>
        <v>1978</v>
      </c>
      <c r="R446" s="443">
        <f t="shared" si="307"/>
        <v>10941601.403424375</v>
      </c>
      <c r="S446" s="443">
        <f t="shared" ref="S446:Z446" ca="1" si="311">IF(OFFSET(INDIRECT(S$337),$P446,0)="",S445,OFFSET(INDIRECT(S$337),$P446,0))</f>
        <v>10941601.403424375</v>
      </c>
      <c r="T446" s="443">
        <f t="shared" ca="1" si="311"/>
        <v>9033925.9423518796</v>
      </c>
      <c r="U446" s="443">
        <f t="shared" ca="1" si="311"/>
        <v>23953162.155465219</v>
      </c>
      <c r="V446" s="443">
        <f t="shared" ca="1" si="311"/>
        <v>2014428.1732639149</v>
      </c>
      <c r="W446" s="209">
        <f t="shared" ca="1" si="311"/>
        <v>0</v>
      </c>
      <c r="X446" s="209">
        <f t="shared" ca="1" si="311"/>
        <v>0</v>
      </c>
      <c r="Y446" s="443">
        <f t="shared" ca="1" si="311"/>
        <v>1663211.2853021591</v>
      </c>
      <c r="Z446" s="443">
        <f t="shared" ca="1" si="311"/>
        <v>4409950.8751641084</v>
      </c>
      <c r="AA446" s="388">
        <f t="shared" ca="1" si="295"/>
        <v>0.12801800634548477</v>
      </c>
      <c r="AB446" s="388">
        <f t="shared" ca="1" si="295"/>
        <v>0.12985340088880326</v>
      </c>
      <c r="AC446" s="388">
        <f t="shared" ca="1" si="295"/>
        <v>0.13611475397989392</v>
      </c>
      <c r="AD446" s="388">
        <f t="shared" ca="1" si="295"/>
        <v>0.13541923532783162</v>
      </c>
      <c r="AE446" s="388">
        <f t="shared" ca="1" si="295"/>
        <v>1.0825758651221484E-2</v>
      </c>
      <c r="AF446" s="388">
        <f t="shared" ca="1" si="295"/>
        <v>3.2168149847454863E-2</v>
      </c>
      <c r="AG446" s="388">
        <f t="shared" ca="1" si="295"/>
        <v>6.7851295596776939E-2</v>
      </c>
      <c r="AH446" s="388">
        <f t="shared" ca="1" si="295"/>
        <v>7.455882291014948E-2</v>
      </c>
    </row>
    <row r="447" spans="1:34">
      <c r="A447" s="165">
        <f t="shared" si="255"/>
        <v>1979</v>
      </c>
      <c r="B447" s="206" t="str">
        <f>IF(AND($A447&gt;=SYear_O,$A447&lt;=EYear_O),IF(B$336&gt;0,B$336*Data_All!$B116,""),"")</f>
        <v/>
      </c>
      <c r="C447" s="206">
        <f>IF(AND($A447&gt;=SYear_O,$A447&lt;=EYear_O),IF(C$336&gt;0,C$336*Data_All!$D116,""),"")</f>
        <v>10.799999999999999</v>
      </c>
      <c r="D447" s="206" t="str">
        <f>IF(AND($A447&gt;=SYear_O,$A447&lt;=EYear_O),IF(D$336&gt;0,D$336*Data_All!$T116,""),"")</f>
        <v/>
      </c>
      <c r="E447" s="206">
        <f>IF(AND($A447&gt;=SYear_O,$A447&lt;=EYear_O),IF(E$336&gt;0,E$336*Data_All!$U116,""),"")</f>
        <v>2.5548902195608783</v>
      </c>
      <c r="F447" s="206" t="str">
        <f>IF(AND($A447&gt;=SYear_O,$A447&lt;=EYear_O),IF(F$336&gt;0,F$336*Data_All!$BX116,""),"")</f>
        <v/>
      </c>
      <c r="G447" s="206" t="str">
        <f>IF(AND($A447&gt;=SYear_O,$A447&lt;=EYear_O),IF(G$336&gt;0,G$336*Data_All!$BY116,""),"")</f>
        <v/>
      </c>
      <c r="H447" s="206" t="str">
        <f>IF(AND($A447&gt;=SYear_O,$A447&lt;=EYear_O),IF(H$336&gt;0,H$336*Data_All!$BZ116,""),"")</f>
        <v/>
      </c>
      <c r="I447" s="206">
        <f t="shared" si="303"/>
        <v>13.354890219560877</v>
      </c>
      <c r="J447" s="446">
        <f t="shared" si="304"/>
        <v>10240396.834469402</v>
      </c>
      <c r="K447" s="206">
        <f>IF(AND($A447&gt;=SYear_O,$A447&lt;=EYear_O),(I447-Data_All!$CA116)/(1+Data_All!$CA116%),"")</f>
        <v>5.3794887409016584E-2</v>
      </c>
      <c r="L447" s="447">
        <f t="shared" si="305"/>
        <v>1664106.0079404616</v>
      </c>
      <c r="P447">
        <f t="shared" si="256"/>
        <v>108</v>
      </c>
      <c r="Q447">
        <f t="shared" ca="1" si="306"/>
        <v>1979</v>
      </c>
      <c r="R447" s="443">
        <f t="shared" si="307"/>
        <v>12169913.908331435</v>
      </c>
      <c r="S447" s="443">
        <f t="shared" ref="S447:Z447" ca="1" si="312">IF(OFFSET(INDIRECT(S$337),$P447,0)="",S446,OFFSET(INDIRECT(S$337),$P447,0))</f>
        <v>12169913.908331435</v>
      </c>
      <c r="T447" s="443">
        <f t="shared" ca="1" si="312"/>
        <v>10240396.834469402</v>
      </c>
      <c r="U447" s="443">
        <f t="shared" ca="1" si="312"/>
        <v>27960830.676014032</v>
      </c>
      <c r="V447" s="443">
        <f t="shared" ca="1" si="312"/>
        <v>1977660.3561693798</v>
      </c>
      <c r="W447" s="209">
        <f t="shared" ca="1" si="312"/>
        <v>0</v>
      </c>
      <c r="X447" s="209">
        <f t="shared" ca="1" si="312"/>
        <v>0</v>
      </c>
      <c r="Y447" s="443">
        <f t="shared" ca="1" si="312"/>
        <v>1664106.0079404616</v>
      </c>
      <c r="Z447" s="443">
        <f t="shared" ca="1" si="312"/>
        <v>4543748.3592765369</v>
      </c>
      <c r="AA447" s="388">
        <f t="shared" ca="1" si="295"/>
        <v>8.4206082181410347E-2</v>
      </c>
      <c r="AB447" s="388">
        <f t="shared" ca="1" si="295"/>
        <v>0.13771460390008494</v>
      </c>
      <c r="AC447" s="388">
        <f t="shared" ca="1" si="295"/>
        <v>0.13853031973892671</v>
      </c>
      <c r="AD447" s="388">
        <f t="shared" ca="1" si="295"/>
        <v>0.13570292278838214</v>
      </c>
      <c r="AE447" s="388">
        <f t="shared" ca="1" si="295"/>
        <v>-2.8151032464445169E-2</v>
      </c>
      <c r="AF447" s="388">
        <f t="shared" ca="1" si="295"/>
        <v>4.9612943057123937E-2</v>
      </c>
      <c r="AG447" s="388">
        <f t="shared" ca="1" si="295"/>
        <v>7.4743340627762889E-2</v>
      </c>
      <c r="AH447" s="388">
        <f t="shared" ca="1" si="295"/>
        <v>7.9079610350925922E-2</v>
      </c>
    </row>
    <row r="448" spans="1:34">
      <c r="A448" s="165">
        <f t="shared" si="255"/>
        <v>1980</v>
      </c>
      <c r="B448" s="206" t="str">
        <f>IF(AND($A448&gt;=SYear_O,$A448&lt;=EYear_O),IF(B$336&gt;0,B$336*Data_All!$B117,""),"")</f>
        <v/>
      </c>
      <c r="C448" s="206">
        <f>IF(AND($A448&gt;=SYear_O,$A448&lt;=EYear_O),IF(C$336&gt;0,C$336*Data_All!$D117,""),"")</f>
        <v>19.139999999999997</v>
      </c>
      <c r="D448" s="206" t="str">
        <f>IF(AND($A448&gt;=SYear_O,$A448&lt;=EYear_O),IF(D$336&gt;0,D$336*Data_All!$T117,""),"")</f>
        <v/>
      </c>
      <c r="E448" s="206">
        <f>IF(AND($A448&gt;=SYear_O,$A448&lt;=EYear_O),IF(E$336&gt;0,E$336*Data_All!$U117,""),"")</f>
        <v>2.5548902195608783</v>
      </c>
      <c r="F448" s="206" t="str">
        <f>IF(AND($A448&gt;=SYear_O,$A448&lt;=EYear_O),IF(F$336&gt;0,F$336*Data_All!$BX117,""),"")</f>
        <v/>
      </c>
      <c r="G448" s="206" t="str">
        <f>IF(AND($A448&gt;=SYear_O,$A448&lt;=EYear_O),IF(G$336&gt;0,G$336*Data_All!$BY117,""),"")</f>
        <v/>
      </c>
      <c r="H448" s="206" t="str">
        <f>IF(AND($A448&gt;=SYear_O,$A448&lt;=EYear_O),IF(H$336&gt;0,H$336*Data_All!$BZ117,""),"")</f>
        <v/>
      </c>
      <c r="I448" s="206">
        <f t="shared" si="303"/>
        <v>21.694890219560875</v>
      </c>
      <c r="J448" s="446">
        <f t="shared" si="304"/>
        <v>12462039.685754927</v>
      </c>
      <c r="K448" s="206">
        <f>IF(AND($A448&gt;=SYear_O,$A448&lt;=EYear_O),(I448-Data_All!$CA117)/(1+Data_All!$CA117%),"")</f>
        <v>8.1575675531902689</v>
      </c>
      <c r="L448" s="447">
        <f t="shared" si="305"/>
        <v>1799856.5796949025</v>
      </c>
      <c r="P448">
        <f t="shared" si="256"/>
        <v>109</v>
      </c>
      <c r="Q448">
        <f t="shared" ca="1" si="306"/>
        <v>1980</v>
      </c>
      <c r="R448" s="443">
        <f t="shared" si="307"/>
        <v>14202539.857888779</v>
      </c>
      <c r="S448" s="443">
        <f t="shared" ref="S448:Z448" ca="1" si="313">IF(OFFSET(INDIRECT(S$337),$P448,0)="",S447,OFFSET(INDIRECT(S$337),$P448,0))</f>
        <v>14202539.857888779</v>
      </c>
      <c r="T448" s="443">
        <f t="shared" ca="1" si="313"/>
        <v>12462039.685754927</v>
      </c>
      <c r="U448" s="443">
        <f t="shared" ca="1" si="313"/>
        <v>35038841.895376936</v>
      </c>
      <c r="V448" s="443">
        <f t="shared" ca="1" si="313"/>
        <v>2051232.0178871043</v>
      </c>
      <c r="W448" s="209">
        <f t="shared" ca="1" si="313"/>
        <v>0</v>
      </c>
      <c r="X448" s="209">
        <f t="shared" ca="1" si="313"/>
        <v>0</v>
      </c>
      <c r="Y448" s="443">
        <f t="shared" ca="1" si="313"/>
        <v>1799856.5796949025</v>
      </c>
      <c r="Z448" s="443">
        <f t="shared" ca="1" si="313"/>
        <v>5060559.2439552043</v>
      </c>
      <c r="AA448" s="388">
        <f t="shared" ca="1" si="295"/>
        <v>0.14396736021292988</v>
      </c>
      <c r="AB448" s="388">
        <f t="shared" ca="1" si="295"/>
        <v>0.13497580222270744</v>
      </c>
      <c r="AC448" s="388">
        <f t="shared" ca="1" si="295"/>
        <v>0.146285566145407</v>
      </c>
      <c r="AD448" s="388">
        <f t="shared" ca="1" si="295"/>
        <v>0.12694149556204959</v>
      </c>
      <c r="AE448" s="388">
        <f t="shared" ca="1" si="295"/>
        <v>5.5671544594621647E-2</v>
      </c>
      <c r="AF448" s="388">
        <f t="shared" ca="1" si="295"/>
        <v>6.5270746507481103E-2</v>
      </c>
      <c r="AG448" s="388">
        <f t="shared" ca="1" si="295"/>
        <v>9.0688795249468823E-2</v>
      </c>
      <c r="AH448" s="388">
        <f t="shared" ca="1" si="295"/>
        <v>7.78035459663724E-2</v>
      </c>
    </row>
    <row r="449" spans="1:34">
      <c r="A449" s="165">
        <f t="shared" si="255"/>
        <v>1981</v>
      </c>
      <c r="B449" s="206" t="str">
        <f>IF(AND($A449&gt;=SYear_O,$A449&lt;=EYear_O),IF(B$336&gt;0,B$336*Data_All!$B118,""),"")</f>
        <v/>
      </c>
      <c r="C449" s="206">
        <f>IF(AND($A449&gt;=SYear_O,$A449&lt;=EYear_O),IF(C$336&gt;0,C$336*Data_All!$D118,""),"")</f>
        <v>-3.12</v>
      </c>
      <c r="D449" s="206" t="str">
        <f>IF(AND($A449&gt;=SYear_O,$A449&lt;=EYear_O),IF(D$336&gt;0,D$336*Data_All!$T118,""),"")</f>
        <v/>
      </c>
      <c r="E449" s="206">
        <f>IF(AND($A449&gt;=SYear_O,$A449&lt;=EYear_O),IF(E$336&gt;0,E$336*Data_All!$U118,""),"")</f>
        <v>4.2315369261477054</v>
      </c>
      <c r="F449" s="206" t="str">
        <f>IF(AND($A449&gt;=SYear_O,$A449&lt;=EYear_O),IF(F$336&gt;0,F$336*Data_All!$BX118,""),"")</f>
        <v/>
      </c>
      <c r="G449" s="206" t="str">
        <f>IF(AND($A449&gt;=SYear_O,$A449&lt;=EYear_O),IF(G$336&gt;0,G$336*Data_All!$BY118,""),"")</f>
        <v/>
      </c>
      <c r="H449" s="206" t="str">
        <f>IF(AND($A449&gt;=SYear_O,$A449&lt;=EYear_O),IF(H$336&gt;0,H$336*Data_All!$BZ118,""),"")</f>
        <v/>
      </c>
      <c r="I449" s="206">
        <f t="shared" si="303"/>
        <v>1.1115369261477053</v>
      </c>
      <c r="J449" s="446">
        <f t="shared" si="304"/>
        <v>12600559.858613275</v>
      </c>
      <c r="K449" s="206">
        <f>IF(AND($A449&gt;=SYear_O,$A449&lt;=EYear_O),(I449-Data_All!$CA118)/(1+Data_All!$CA118%),"")</f>
        <v>-7.171003864611202</v>
      </c>
      <c r="L449" s="447">
        <f t="shared" si="305"/>
        <v>1670788.7948075221</v>
      </c>
      <c r="P449">
        <f t="shared" si="256"/>
        <v>110</v>
      </c>
      <c r="Q449">
        <f t="shared" ca="1" si="306"/>
        <v>1981</v>
      </c>
      <c r="R449" s="443">
        <f t="shared" si="307"/>
        <v>13944932.210119298</v>
      </c>
      <c r="S449" s="443">
        <f t="shared" ref="S449:Z449" ca="1" si="314">IF(OFFSET(INDIRECT(S$337),$P449,0)="",S448,OFFSET(INDIRECT(S$337),$P449,0))</f>
        <v>13944932.210119298</v>
      </c>
      <c r="T449" s="443">
        <f t="shared" ca="1" si="314"/>
        <v>12600559.858613275</v>
      </c>
      <c r="U449" s="443">
        <f t="shared" ca="1" si="314"/>
        <v>32680315.67472272</v>
      </c>
      <c r="V449" s="443">
        <f t="shared" ca="1" si="314"/>
        <v>1849047.7202956569</v>
      </c>
      <c r="W449" s="209">
        <f t="shared" ca="1" si="314"/>
        <v>1.8138139399509923E-2</v>
      </c>
      <c r="X449" s="209">
        <f t="shared" ca="1" si="314"/>
        <v>6.7311762977114942E-2</v>
      </c>
      <c r="Y449" s="443">
        <f t="shared" ca="1" si="314"/>
        <v>1670788.7948075221</v>
      </c>
      <c r="Z449" s="443">
        <f t="shared" ca="1" si="314"/>
        <v>4333292.000734048</v>
      </c>
      <c r="AA449" s="388">
        <f t="shared" ca="1" si="295"/>
        <v>0.13665110626572652</v>
      </c>
      <c r="AB449" s="388">
        <f t="shared" ca="1" si="295"/>
        <v>0.14843215374758612</v>
      </c>
      <c r="AC449" s="388">
        <f t="shared" ca="1" si="295"/>
        <v>0.13253695483105576</v>
      </c>
      <c r="AD449" s="388">
        <f t="shared" ca="1" si="295"/>
        <v>0.13406876800841494</v>
      </c>
      <c r="AE449" s="388">
        <f t="shared" ca="1" si="295"/>
        <v>7.7525679624123489E-2</v>
      </c>
      <c r="AF449" s="388">
        <f t="shared" ca="1" si="295"/>
        <v>9.5427072950547309E-2</v>
      </c>
      <c r="AG449" s="388">
        <f t="shared" ca="1" si="295"/>
        <v>8.3946507071277265E-2</v>
      </c>
      <c r="AH449" s="388">
        <f t="shared" ca="1" si="295"/>
        <v>9.1355440958084344E-2</v>
      </c>
    </row>
    <row r="450" spans="1:34">
      <c r="A450" s="165">
        <f t="shared" si="255"/>
        <v>1982</v>
      </c>
      <c r="B450" s="206" t="str">
        <f>IF(AND($A450&gt;=SYear_O,$A450&lt;=EYear_O),IF(B$336&gt;0,B$336*Data_All!$B119,""),"")</f>
        <v/>
      </c>
      <c r="C450" s="206">
        <f>IF(AND($A450&gt;=SYear_O,$A450&lt;=EYear_O),IF(C$336&gt;0,C$336*Data_All!$D119,""),"")</f>
        <v>12.54</v>
      </c>
      <c r="D450" s="206" t="str">
        <f>IF(AND($A450&gt;=SYear_O,$A450&lt;=EYear_O),IF(D$336&gt;0,D$336*Data_All!$T119,""),"")</f>
        <v/>
      </c>
      <c r="E450" s="206">
        <f>IF(AND($A450&gt;=SYear_O,$A450&lt;=EYear_O),IF(E$336&gt;0,E$336*Data_All!$U119,""),"")</f>
        <v>10.059880239520957</v>
      </c>
      <c r="F450" s="206" t="str">
        <f>IF(AND($A450&gt;=SYear_O,$A450&lt;=EYear_O),IF(F$336&gt;0,F$336*Data_All!$BX119,""),"")</f>
        <v/>
      </c>
      <c r="G450" s="206" t="str">
        <f>IF(AND($A450&gt;=SYear_O,$A450&lt;=EYear_O),IF(G$336&gt;0,G$336*Data_All!$BY119,""),"")</f>
        <v/>
      </c>
      <c r="H450" s="206" t="str">
        <f>IF(AND($A450&gt;=SYear_O,$A450&lt;=EYear_O),IF(H$336&gt;0,H$336*Data_All!$BZ119,""),"")</f>
        <v/>
      </c>
      <c r="I450" s="206">
        <f t="shared" si="303"/>
        <v>22.599880239520957</v>
      </c>
      <c r="J450" s="446">
        <f t="shared" si="304"/>
        <v>15448271.296169026</v>
      </c>
      <c r="K450" s="206">
        <f>IF(AND($A450&gt;=SYear_O,$A450&lt;=EYear_O),(I450-Data_All!$CA119)/(1+Data_All!$CA119%),"")</f>
        <v>18.077753509374698</v>
      </c>
      <c r="L450" s="447">
        <f t="shared" si="305"/>
        <v>1972829.8747950783</v>
      </c>
      <c r="P450">
        <f t="shared" si="256"/>
        <v>111</v>
      </c>
      <c r="Q450">
        <f t="shared" ca="1" si="306"/>
        <v>1982</v>
      </c>
      <c r="R450" s="443">
        <f t="shared" si="307"/>
        <v>18219162.352162711</v>
      </c>
      <c r="S450" s="443">
        <f t="shared" ref="S450:Z450" ca="1" si="315">IF(OFFSET(INDIRECT(S$337),$P450,0)="",S449,OFFSET(INDIRECT(S$337),$P450,0))</f>
        <v>18219162.352162711</v>
      </c>
      <c r="T450" s="443">
        <f t="shared" ca="1" si="315"/>
        <v>15448271.296169026</v>
      </c>
      <c r="U450" s="443">
        <f t="shared" ca="1" si="315"/>
        <v>42126335.347531438</v>
      </c>
      <c r="V450" s="443">
        <f t="shared" ca="1" si="315"/>
        <v>2326688.021785446</v>
      </c>
      <c r="W450" s="209">
        <f t="shared" ca="1" si="315"/>
        <v>0</v>
      </c>
      <c r="X450" s="209">
        <f t="shared" ca="1" si="315"/>
        <v>0</v>
      </c>
      <c r="Y450" s="443">
        <f t="shared" ca="1" si="315"/>
        <v>1972829.8747950783</v>
      </c>
      <c r="Z450" s="443">
        <f t="shared" ca="1" si="315"/>
        <v>5379766.5315377917</v>
      </c>
      <c r="AA450" s="388">
        <f t="shared" ca="1" si="295"/>
        <v>0.18014318713714172</v>
      </c>
      <c r="AB450" s="388">
        <f t="shared" ca="1" si="295"/>
        <v>0.20702032635347334</v>
      </c>
      <c r="AC450" s="388">
        <f t="shared" ca="1" si="295"/>
        <v>0.15986409195155238</v>
      </c>
      <c r="AD450" s="388">
        <f t="shared" ca="1" si="295"/>
        <v>0.14738724504923817</v>
      </c>
      <c r="AE450" s="388">
        <f t="shared" ca="1" si="295"/>
        <v>0.13632143148166009</v>
      </c>
      <c r="AF450" s="388">
        <f t="shared" ca="1" si="295"/>
        <v>0.16860488883676772</v>
      </c>
      <c r="AG450" s="388">
        <f t="shared" ca="1" si="295"/>
        <v>0.11625511543053624</v>
      </c>
      <c r="AH450" s="388">
        <f t="shared" ca="1" si="295"/>
        <v>0.10806438399345653</v>
      </c>
    </row>
    <row r="451" spans="1:34">
      <c r="A451" s="165">
        <f t="shared" si="255"/>
        <v>1983</v>
      </c>
      <c r="B451" s="206" t="str">
        <f>IF(AND($A451&gt;=SYear_O,$A451&lt;=EYear_O),IF(B$336&gt;0,B$336*Data_All!$B120,""),"")</f>
        <v/>
      </c>
      <c r="C451" s="206">
        <f>IF(AND($A451&gt;=SYear_O,$A451&lt;=EYear_O),IF(C$336&gt;0,C$336*Data_All!$D120,""),"")</f>
        <v>12.78</v>
      </c>
      <c r="D451" s="206" t="str">
        <f>IF(AND($A451&gt;=SYear_O,$A451&lt;=EYear_O),IF(D$336&gt;0,D$336*Data_All!$T120,""),"")</f>
        <v/>
      </c>
      <c r="E451" s="206">
        <f>IF(AND($A451&gt;=SYear_O,$A451&lt;=EYear_O),IF(E$336&gt;0,E$336*Data_All!$U120,""),"")</f>
        <v>3.1936127744510974</v>
      </c>
      <c r="F451" s="206" t="str">
        <f>IF(AND($A451&gt;=SYear_O,$A451&lt;=EYear_O),IF(F$336&gt;0,F$336*Data_All!$BX120,""),"")</f>
        <v/>
      </c>
      <c r="G451" s="206" t="str">
        <f>IF(AND($A451&gt;=SYear_O,$A451&lt;=EYear_O),IF(G$336&gt;0,G$336*Data_All!$BY120,""),"")</f>
        <v/>
      </c>
      <c r="H451" s="206" t="str">
        <f>IF(AND($A451&gt;=SYear_O,$A451&lt;=EYear_O),IF(H$336&gt;0,H$336*Data_All!$BZ120,""),"")</f>
        <v/>
      </c>
      <c r="I451" s="206">
        <f t="shared" si="303"/>
        <v>15.973612774451096</v>
      </c>
      <c r="J451" s="446">
        <f t="shared" si="304"/>
        <v>17915918.333365746</v>
      </c>
      <c r="K451" s="206">
        <f>IF(AND($A451&gt;=SYear_O,$A451&lt;=EYear_O),(I451-Data_All!$CA120)/(1+Data_All!$CA120%),"")</f>
        <v>11.737656532936093</v>
      </c>
      <c r="L451" s="447">
        <f t="shared" si="305"/>
        <v>2204393.8694776781</v>
      </c>
      <c r="P451">
        <f t="shared" si="256"/>
        <v>112</v>
      </c>
      <c r="Q451">
        <f t="shared" ca="1" si="306"/>
        <v>1983</v>
      </c>
      <c r="R451" s="443">
        <f t="shared" si="307"/>
        <v>20856794.092873536</v>
      </c>
      <c r="S451" s="443">
        <f t="shared" ref="S451:Z451" ca="1" si="316">IF(OFFSET(INDIRECT(S$337),$P451,0)="",S450,OFFSET(INDIRECT(S$337),$P451,0))</f>
        <v>20856794.092873536</v>
      </c>
      <c r="T451" s="443">
        <f t="shared" ca="1" si="316"/>
        <v>17915918.333365746</v>
      </c>
      <c r="U451" s="443">
        <f t="shared" ca="1" si="316"/>
        <v>50608614.368819244</v>
      </c>
      <c r="V451" s="443">
        <f t="shared" ca="1" si="316"/>
        <v>2566242.3873446728</v>
      </c>
      <c r="W451" s="209">
        <f t="shared" ca="1" si="316"/>
        <v>0</v>
      </c>
      <c r="X451" s="209">
        <f t="shared" ca="1" si="316"/>
        <v>0</v>
      </c>
      <c r="Y451" s="443">
        <f t="shared" ca="1" si="316"/>
        <v>2204393.8694776781</v>
      </c>
      <c r="Z451" s="443">
        <f t="shared" ca="1" si="316"/>
        <v>6226938.3674080949</v>
      </c>
      <c r="AA451" s="388">
        <f t="shared" ref="AA451:AH482" ca="1" si="317">IF(AA$336,IF(OFFSET(INDIRECT(AA$337),$P451,0)="","",OFFSET(INDIRECT(AA$337),$P451,0)),"")</f>
        <v>0.15910143243905228</v>
      </c>
      <c r="AB451" s="388">
        <f t="shared" ca="1" si="317"/>
        <v>0.14241080585801336</v>
      </c>
      <c r="AC451" s="388">
        <f t="shared" ca="1" si="317"/>
        <v>0.1382124259351416</v>
      </c>
      <c r="AD451" s="388">
        <f t="shared" ca="1" si="317"/>
        <v>0.14149610609116592</v>
      </c>
      <c r="AE451" s="388">
        <f t="shared" ca="1" si="317"/>
        <v>0.1161725244484535</v>
      </c>
      <c r="AF451" s="388">
        <f t="shared" ca="1" si="317"/>
        <v>0.10476804547422058</v>
      </c>
      <c r="AG451" s="388">
        <f t="shared" ca="1" si="317"/>
        <v>9.6402620165451092E-2</v>
      </c>
      <c r="AH451" s="388">
        <f t="shared" ca="1" si="317"/>
        <v>0.10389762176540263</v>
      </c>
    </row>
    <row r="452" spans="1:34">
      <c r="A452" s="165">
        <f t="shared" si="255"/>
        <v>1984</v>
      </c>
      <c r="B452" s="206" t="str">
        <f>IF(AND($A452&gt;=SYear_O,$A452&lt;=EYear_O),IF(B$336&gt;0,B$336*Data_All!$B121,""),"")</f>
        <v/>
      </c>
      <c r="C452" s="206">
        <f>IF(AND($A452&gt;=SYear_O,$A452&lt;=EYear_O),IF(C$336&gt;0,C$336*Data_All!$D121,""),"")</f>
        <v>3.726</v>
      </c>
      <c r="D452" s="206" t="str">
        <f>IF(AND($A452&gt;=SYear_O,$A452&lt;=EYear_O),IF(D$336&gt;0,D$336*Data_All!$T121,""),"")</f>
        <v/>
      </c>
      <c r="E452" s="206">
        <f>IF(AND($A452&gt;=SYear_O,$A452&lt;=EYear_O),IF(E$336&gt;0,E$336*Data_All!$U121,""),"")</f>
        <v>5.6287425149700603</v>
      </c>
      <c r="F452" s="206" t="str">
        <f>IF(AND($A452&gt;=SYear_O,$A452&lt;=EYear_O),IF(F$336&gt;0,F$336*Data_All!$BX121,""),"")</f>
        <v/>
      </c>
      <c r="G452" s="206" t="str">
        <f>IF(AND($A452&gt;=SYear_O,$A452&lt;=EYear_O),IF(G$336&gt;0,G$336*Data_All!$BY121,""),"")</f>
        <v/>
      </c>
      <c r="H452" s="206" t="str">
        <f>IF(AND($A452&gt;=SYear_O,$A452&lt;=EYear_O),IF(H$336&gt;0,H$336*Data_All!$BZ121,""),"")</f>
        <v/>
      </c>
      <c r="I452" s="206">
        <f t="shared" si="303"/>
        <v>9.3547425149700594</v>
      </c>
      <c r="J452" s="446">
        <f t="shared" si="304"/>
        <v>19591906.362644427</v>
      </c>
      <c r="K452" s="206">
        <f>IF(AND($A452&gt;=SYear_O,$A452&lt;=EYear_O),(I452-Data_All!$CA121)/(1+Data_All!$CA121%),"")</f>
        <v>5.2007162086084344</v>
      </c>
      <c r="L452" s="447">
        <f t="shared" si="305"/>
        <v>2319038.1387491743</v>
      </c>
      <c r="P452">
        <f t="shared" si="256"/>
        <v>113</v>
      </c>
      <c r="Q452">
        <f t="shared" ca="1" si="306"/>
        <v>1984</v>
      </c>
      <c r="R452" s="443">
        <f t="shared" si="307"/>
        <v>22920311.632318757</v>
      </c>
      <c r="S452" s="443">
        <f t="shared" ref="S452:Z452" ca="1" si="318">IF(OFFSET(INDIRECT(S$337),$P452,0)="",S451,OFFSET(INDIRECT(S$337),$P452,0))</f>
        <v>22920311.632318757</v>
      </c>
      <c r="T452" s="443">
        <f t="shared" ca="1" si="318"/>
        <v>19591906.362644427</v>
      </c>
      <c r="U452" s="443">
        <f t="shared" ca="1" si="318"/>
        <v>54505818.578093551</v>
      </c>
      <c r="V452" s="443">
        <f t="shared" ca="1" si="318"/>
        <v>2713011.9878844302</v>
      </c>
      <c r="W452" s="209">
        <f t="shared" ca="1" si="318"/>
        <v>0</v>
      </c>
      <c r="X452" s="209">
        <f t="shared" ca="1" si="318"/>
        <v>0</v>
      </c>
      <c r="Y452" s="443">
        <f t="shared" ca="1" si="318"/>
        <v>2319038.1387491743</v>
      </c>
      <c r="Z452" s="443">
        <f t="shared" ca="1" si="318"/>
        <v>6451698.4578565229</v>
      </c>
      <c r="AA452" s="388">
        <f t="shared" ca="1" si="317"/>
        <v>0.1965033644141323</v>
      </c>
      <c r="AB452" s="388">
        <f t="shared" ca="1" si="317"/>
        <v>0.13934662042771895</v>
      </c>
      <c r="AC452" s="388">
        <f t="shared" ca="1" si="317"/>
        <v>0.13469841650419268</v>
      </c>
      <c r="AD452" s="388">
        <f t="shared" ca="1" si="317"/>
        <v>0.14659805279597049</v>
      </c>
      <c r="AE452" s="388">
        <f t="shared" ca="1" si="317"/>
        <v>0.16233053364257954</v>
      </c>
      <c r="AF452" s="388">
        <f t="shared" ca="1" si="317"/>
        <v>0.10047542369231266</v>
      </c>
      <c r="AG452" s="388">
        <f t="shared" ca="1" si="317"/>
        <v>9.4121723529455581E-2</v>
      </c>
      <c r="AH452" s="388">
        <f t="shared" ca="1" si="317"/>
        <v>0.11040114095010334</v>
      </c>
    </row>
    <row r="453" spans="1:34">
      <c r="A453" s="165">
        <f t="shared" si="255"/>
        <v>1985</v>
      </c>
      <c r="B453" s="206" t="str">
        <f>IF(AND($A453&gt;=SYear_O,$A453&lt;=EYear_O),IF(B$336&gt;0,B$336*Data_All!$B122,""),"")</f>
        <v/>
      </c>
      <c r="C453" s="206">
        <f>IF(AND($A453&gt;=SYear_O,$A453&lt;=EYear_O),IF(C$336&gt;0,C$336*Data_All!$D122,""),"")</f>
        <v>18.738</v>
      </c>
      <c r="D453" s="206" t="str">
        <f>IF(AND($A453&gt;=SYear_O,$A453&lt;=EYear_O),IF(D$336&gt;0,D$336*Data_All!$T122,""),"")</f>
        <v/>
      </c>
      <c r="E453" s="206">
        <f>IF(AND($A453&gt;=SYear_O,$A453&lt;=EYear_O),IF(E$336&gt;0,E$336*Data_All!$U122,""),"")</f>
        <v>7.1057884231536939</v>
      </c>
      <c r="F453" s="206" t="str">
        <f>IF(AND($A453&gt;=SYear_O,$A453&lt;=EYear_O),IF(F$336&gt;0,F$336*Data_All!$BX122,""),"")</f>
        <v/>
      </c>
      <c r="G453" s="206" t="str">
        <f>IF(AND($A453&gt;=SYear_O,$A453&lt;=EYear_O),IF(G$336&gt;0,G$336*Data_All!$BY122,""),"")</f>
        <v/>
      </c>
      <c r="H453" s="206" t="str">
        <f>IF(AND($A453&gt;=SYear_O,$A453&lt;=EYear_O),IF(H$336&gt;0,H$336*Data_All!$BZ122,""),"")</f>
        <v/>
      </c>
      <c r="I453" s="206">
        <f t="shared" si="303"/>
        <v>25.843788423153693</v>
      </c>
      <c r="J453" s="446">
        <f t="shared" si="304"/>
        <v>24655197.191068638</v>
      </c>
      <c r="K453" s="206">
        <f>IF(AND($A453&gt;=SYear_O,$A453&lt;=EYear_O),(I453-Data_All!$CA122)/(1+Data_All!$CA122%),"")</f>
        <v>21.238343284154478</v>
      </c>
      <c r="L453" s="447">
        <f t="shared" si="305"/>
        <v>2811563.4195471909</v>
      </c>
      <c r="P453">
        <f t="shared" si="256"/>
        <v>114</v>
      </c>
      <c r="Q453">
        <f t="shared" ca="1" si="306"/>
        <v>1985</v>
      </c>
      <c r="R453" s="443">
        <f t="shared" si="307"/>
        <v>28372181.767085206</v>
      </c>
      <c r="S453" s="443">
        <f t="shared" ref="S453:Z453" ca="1" si="319">IF(OFFSET(INDIRECT(S$337),$P453,0)="",S452,OFFSET(INDIRECT(S$337),$P453,0))</f>
        <v>28372181.767085206</v>
      </c>
      <c r="T453" s="443">
        <f t="shared" ca="1" si="319"/>
        <v>24655197.191068638</v>
      </c>
      <c r="U453" s="443">
        <f t="shared" ca="1" si="319"/>
        <v>68612514.411140338</v>
      </c>
      <c r="V453" s="443">
        <f t="shared" ca="1" si="319"/>
        <v>3235430.9629280674</v>
      </c>
      <c r="W453" s="209">
        <f t="shared" ca="1" si="319"/>
        <v>0</v>
      </c>
      <c r="X453" s="209">
        <f t="shared" ca="1" si="319"/>
        <v>0</v>
      </c>
      <c r="Y453" s="443">
        <f t="shared" ca="1" si="319"/>
        <v>2811563.4195471909</v>
      </c>
      <c r="Z453" s="443">
        <f t="shared" ca="1" si="319"/>
        <v>7824250.3658173196</v>
      </c>
      <c r="AA453" s="388">
        <f t="shared" ca="1" si="317"/>
        <v>0.15648445585113713</v>
      </c>
      <c r="AB453" s="388">
        <f t="shared" ca="1" si="317"/>
        <v>0.15770802917564386</v>
      </c>
      <c r="AC453" s="388">
        <f t="shared" ca="1" si="317"/>
        <v>0.12294569503595199</v>
      </c>
      <c r="AD453" s="388">
        <f t="shared" ca="1" si="317"/>
        <v>0.14527659470120291</v>
      </c>
      <c r="AE453" s="388">
        <f t="shared" ca="1" si="317"/>
        <v>0.12171016108121768</v>
      </c>
      <c r="AF453" s="388">
        <f t="shared" ca="1" si="317"/>
        <v>0.11671333506799142</v>
      </c>
      <c r="AG453" s="388">
        <f t="shared" ca="1" si="317"/>
        <v>8.4125130408082116E-2</v>
      </c>
      <c r="AH453" s="388">
        <f t="shared" ca="1" si="317"/>
        <v>0.11002647137004118</v>
      </c>
    </row>
    <row r="454" spans="1:34">
      <c r="A454" s="165">
        <f t="shared" si="255"/>
        <v>1986</v>
      </c>
      <c r="B454" s="206" t="str">
        <f>IF(AND($A454&gt;=SYear_O,$A454&lt;=EYear_O),IF(B$336&gt;0,B$336*Data_All!$B123,""),"")</f>
        <v/>
      </c>
      <c r="C454" s="206">
        <f>IF(AND($A454&gt;=SYear_O,$A454&lt;=EYear_O),IF(C$336&gt;0,C$336*Data_All!$D123,""),"")</f>
        <v>10.835999999999999</v>
      </c>
      <c r="D454" s="206" t="str">
        <f>IF(AND($A454&gt;=SYear_O,$A454&lt;=EYear_O),IF(D$336&gt;0,D$336*Data_All!$T123,""),"")</f>
        <v/>
      </c>
      <c r="E454" s="206">
        <f>IF(AND($A454&gt;=SYear_O,$A454&lt;=EYear_O),IF(E$336&gt;0,E$336*Data_All!$U123,""),"")</f>
        <v>5.1497005988023954</v>
      </c>
      <c r="F454" s="206" t="str">
        <f>IF(AND($A454&gt;=SYear_O,$A454&lt;=EYear_O),IF(F$336&gt;0,F$336*Data_All!$BX123,""),"")</f>
        <v/>
      </c>
      <c r="G454" s="206" t="str">
        <f>IF(AND($A454&gt;=SYear_O,$A454&lt;=EYear_O),IF(G$336&gt;0,G$336*Data_All!$BY123,""),"")</f>
        <v/>
      </c>
      <c r="H454" s="206" t="str">
        <f>IF(AND($A454&gt;=SYear_O,$A454&lt;=EYear_O),IF(H$336&gt;0,H$336*Data_All!$BZ123,""),"")</f>
        <v/>
      </c>
      <c r="I454" s="206">
        <f t="shared" si="303"/>
        <v>15.985700598802394</v>
      </c>
      <c r="J454" s="446">
        <f t="shared" si="304"/>
        <v>28596503.196077209</v>
      </c>
      <c r="K454" s="206">
        <f>IF(AND($A454&gt;=SYear_O,$A454&lt;=EYear_O),(I454-Data_All!$CA123)/(1+Data_All!$CA123%),"")</f>
        <v>14.726127379629887</v>
      </c>
      <c r="L454" s="447">
        <f t="shared" si="305"/>
        <v>3225597.830068788</v>
      </c>
      <c r="P454">
        <f t="shared" si="256"/>
        <v>115</v>
      </c>
      <c r="Q454">
        <f t="shared" ca="1" si="306"/>
        <v>1986</v>
      </c>
      <c r="R454" s="443">
        <f t="shared" si="307"/>
        <v>35726405.729562268</v>
      </c>
      <c r="S454" s="443">
        <f t="shared" ref="S454:Z454" ca="1" si="320">IF(OFFSET(INDIRECT(S$337),$P454,0)="",S453,OFFSET(INDIRECT(S$337),$P454,0))</f>
        <v>35726405.729562268</v>
      </c>
      <c r="T454" s="443">
        <f t="shared" ca="1" si="320"/>
        <v>28596503.196077209</v>
      </c>
      <c r="U454" s="443">
        <f t="shared" ca="1" si="320"/>
        <v>89842469.551854968</v>
      </c>
      <c r="V454" s="443">
        <f t="shared" ca="1" si="320"/>
        <v>4029828.9622082678</v>
      </c>
      <c r="W454" s="209">
        <f t="shared" ca="1" si="320"/>
        <v>0</v>
      </c>
      <c r="X454" s="209">
        <f t="shared" ca="1" si="320"/>
        <v>0</v>
      </c>
      <c r="Y454" s="443">
        <f t="shared" ca="1" si="320"/>
        <v>3225597.830068788</v>
      </c>
      <c r="Z454" s="443">
        <f t="shared" ca="1" si="320"/>
        <v>10133954.940135421</v>
      </c>
      <c r="AA454" s="388">
        <f t="shared" ca="1" si="317"/>
        <v>0.12170344611540407</v>
      </c>
      <c r="AB454" s="388">
        <f t="shared" ca="1" si="317"/>
        <v>0.11686175789528819</v>
      </c>
      <c r="AC454" s="388">
        <f t="shared" ca="1" si="317"/>
        <v>0.1269545820406921</v>
      </c>
      <c r="AD454" s="388">
        <f t="shared" ca="1" si="317"/>
        <v>0.13095032611038127</v>
      </c>
      <c r="AE454" s="388">
        <f t="shared" ca="1" si="317"/>
        <v>8.5814805510107339E-2</v>
      </c>
      <c r="AF454" s="388">
        <f t="shared" ca="1" si="317"/>
        <v>7.2586262659462886E-2</v>
      </c>
      <c r="AG454" s="388">
        <f t="shared" ca="1" si="317"/>
        <v>8.9325303730381611E-2</v>
      </c>
      <c r="AH454" s="388">
        <f t="shared" ca="1" si="317"/>
        <v>9.6431719450453146E-2</v>
      </c>
    </row>
    <row r="455" spans="1:34">
      <c r="A455" s="165">
        <f t="shared" si="255"/>
        <v>1987</v>
      </c>
      <c r="B455" s="206" t="str">
        <f>IF(AND($A455&gt;=SYear_O,$A455&lt;=EYear_O),IF(B$336&gt;0,B$336*Data_All!$B124,""),"")</f>
        <v/>
      </c>
      <c r="C455" s="206">
        <f>IF(AND($A455&gt;=SYear_O,$A455&lt;=EYear_O),IF(C$336&gt;0,C$336*Data_All!$D124,""),"")</f>
        <v>2.8260000000000001</v>
      </c>
      <c r="D455" s="206" t="str">
        <f>IF(AND($A455&gt;=SYear_O,$A455&lt;=EYear_O),IF(D$336&gt;0,D$336*Data_All!$T124,""),"")</f>
        <v/>
      </c>
      <c r="E455" s="206">
        <f>IF(AND($A455&gt;=SYear_O,$A455&lt;=EYear_O),IF(E$336&gt;0,E$336*Data_All!$U124,""),"")</f>
        <v>0.37524950099800397</v>
      </c>
      <c r="F455" s="206" t="str">
        <f>IF(AND($A455&gt;=SYear_O,$A455&lt;=EYear_O),IF(F$336&gt;0,F$336*Data_All!$BX124,""),"")</f>
        <v/>
      </c>
      <c r="G455" s="206" t="str">
        <f>IF(AND($A455&gt;=SYear_O,$A455&lt;=EYear_O),IF(G$336&gt;0,G$336*Data_All!$BY124,""),"")</f>
        <v/>
      </c>
      <c r="H455" s="206" t="str">
        <f>IF(AND($A455&gt;=SYear_O,$A455&lt;=EYear_O),IF(H$336&gt;0,H$336*Data_All!$BZ124,""),"")</f>
        <v/>
      </c>
      <c r="I455" s="206">
        <f t="shared" si="303"/>
        <v>3.2012495009980042</v>
      </c>
      <c r="J455" s="446">
        <f t="shared" si="304"/>
        <v>29511948.611944508</v>
      </c>
      <c r="K455" s="206">
        <f>IF(AND($A455&gt;=SYear_O,$A455&lt;=EYear_O),(I455-Data_All!$CA124)/(1+Data_All!$CA124%),"")</f>
        <v>-1.1807792906388321</v>
      </c>
      <c r="L455" s="447">
        <f t="shared" si="305"/>
        <v>3187510.6388920401</v>
      </c>
      <c r="P455">
        <f t="shared" si="256"/>
        <v>116</v>
      </c>
      <c r="Q455">
        <f t="shared" ca="1" si="306"/>
        <v>1987</v>
      </c>
      <c r="R455" s="443">
        <f t="shared" si="307"/>
        <v>35451932.823919952</v>
      </c>
      <c r="S455" s="443">
        <f t="shared" ref="S455:Z455" ca="1" si="321">IF(OFFSET(INDIRECT(S$337),$P455,0)="",S454,OFFSET(INDIRECT(S$337),$P455,0))</f>
        <v>35451932.823919952</v>
      </c>
      <c r="T455" s="443">
        <f t="shared" ca="1" si="321"/>
        <v>29511948.611944508</v>
      </c>
      <c r="U455" s="443">
        <f t="shared" ca="1" si="321"/>
        <v>88086219.56842272</v>
      </c>
      <c r="V455" s="443">
        <f t="shared" ca="1" si="321"/>
        <v>3829073.2520384798</v>
      </c>
      <c r="W455" s="209">
        <f t="shared" ca="1" si="321"/>
        <v>7.6826341759645977E-3</v>
      </c>
      <c r="X455" s="209">
        <f t="shared" ca="1" si="321"/>
        <v>1.9548104501052044E-2</v>
      </c>
      <c r="Y455" s="443">
        <f t="shared" ca="1" si="321"/>
        <v>3187510.6388920401</v>
      </c>
      <c r="Z455" s="443">
        <f t="shared" ca="1" si="321"/>
        <v>9513968.9251318481</v>
      </c>
      <c r="AA455" s="388">
        <f t="shared" ca="1" si="317"/>
        <v>0.10088546954792488</v>
      </c>
      <c r="AB455" s="388">
        <f t="shared" ca="1" si="317"/>
        <v>0.11455017154751301</v>
      </c>
      <c r="AC455" s="388">
        <f t="shared" ca="1" si="317"/>
        <v>0.11868479365979501</v>
      </c>
      <c r="AD455" s="388">
        <f t="shared" ca="1" si="317"/>
        <v>0.10985168133013112</v>
      </c>
      <c r="AE455" s="388">
        <f t="shared" ca="1" si="317"/>
        <v>5.3475734702513655E-2</v>
      </c>
      <c r="AF455" s="388">
        <f t="shared" ca="1" si="317"/>
        <v>6.6250444977289824E-2</v>
      </c>
      <c r="AG455" s="388">
        <f t="shared" ca="1" si="317"/>
        <v>7.8980620051295025E-2</v>
      </c>
      <c r="AH455" s="388">
        <f t="shared" ca="1" si="317"/>
        <v>7.5655807163745648E-2</v>
      </c>
    </row>
    <row r="456" spans="1:34">
      <c r="A456" s="165">
        <f t="shared" si="255"/>
        <v>1988</v>
      </c>
      <c r="B456" s="206" t="str">
        <f>IF(AND($A456&gt;=SYear_O,$A456&lt;=EYear_O),IF(B$336&gt;0,B$336*Data_All!$B125,""),"")</f>
        <v/>
      </c>
      <c r="C456" s="206">
        <f>IF(AND($A456&gt;=SYear_O,$A456&lt;=EYear_O),IF(C$336&gt;0,C$336*Data_All!$D125,""),"")</f>
        <v>9.7319999999999993</v>
      </c>
      <c r="D456" s="206" t="str">
        <f>IF(AND($A456&gt;=SYear_O,$A456&lt;=EYear_O),IF(D$336&gt;0,D$336*Data_All!$T125,""),"")</f>
        <v/>
      </c>
      <c r="E456" s="206">
        <f>IF(AND($A456&gt;=SYear_O,$A456&lt;=EYear_O),IF(E$336&gt;0,E$336*Data_All!$U125,""),"")</f>
        <v>2.94</v>
      </c>
      <c r="F456" s="206" t="str">
        <f>IF(AND($A456&gt;=SYear_O,$A456&lt;=EYear_O),IF(F$336&gt;0,F$336*Data_All!$BX125,""),"")</f>
        <v/>
      </c>
      <c r="G456" s="206" t="str">
        <f>IF(AND($A456&gt;=SYear_O,$A456&lt;=EYear_O),IF(G$336&gt;0,G$336*Data_All!$BY125,""),"")</f>
        <v/>
      </c>
      <c r="H456" s="206" t="str">
        <f>IF(AND($A456&gt;=SYear_O,$A456&lt;=EYear_O),IF(H$336&gt;0,H$336*Data_All!$BZ125,""),"")</f>
        <v/>
      </c>
      <c r="I456" s="206">
        <f t="shared" si="303"/>
        <v>12.671999999999999</v>
      </c>
      <c r="J456" s="446">
        <f t="shared" si="304"/>
        <v>33251702.740050115</v>
      </c>
      <c r="K456" s="206">
        <f>IF(AND($A456&gt;=SYear_O,$A456&lt;=EYear_O),(I456-Data_All!$CA125)/(1+Data_All!$CA125%),"")</f>
        <v>7.9033095435684793</v>
      </c>
      <c r="L456" s="447">
        <f t="shared" si="305"/>
        <v>3439429.4714178555</v>
      </c>
      <c r="P456">
        <f t="shared" si="256"/>
        <v>117</v>
      </c>
      <c r="Q456">
        <f t="shared" ca="1" si="306"/>
        <v>1988</v>
      </c>
      <c r="R456" s="443">
        <f t="shared" si="307"/>
        <v>40043026.622179136</v>
      </c>
      <c r="S456" s="443">
        <f t="shared" ref="S456:Z456" ca="1" si="322">IF(OFFSET(INDIRECT(S$337),$P456,0)="",S455,OFFSET(INDIRECT(S$337),$P456,0))</f>
        <v>40043026.622179136</v>
      </c>
      <c r="T456" s="443">
        <f t="shared" ca="1" si="322"/>
        <v>33251702.740050115</v>
      </c>
      <c r="U456" s="443">
        <f t="shared" ca="1" si="322"/>
        <v>103723242.48418002</v>
      </c>
      <c r="V456" s="443">
        <f t="shared" ca="1" si="322"/>
        <v>4141898.1447590441</v>
      </c>
      <c r="W456" s="209">
        <f t="shared" ca="1" si="322"/>
        <v>0</v>
      </c>
      <c r="X456" s="209">
        <f t="shared" ca="1" si="322"/>
        <v>0</v>
      </c>
      <c r="Y456" s="443">
        <f t="shared" ca="1" si="322"/>
        <v>3439429.4714178555</v>
      </c>
      <c r="Z456" s="443">
        <f t="shared" ca="1" si="322"/>
        <v>10728737.107390976</v>
      </c>
      <c r="AA456" s="388">
        <f t="shared" ca="1" si="317"/>
        <v>0.11622044528793585</v>
      </c>
      <c r="AB456" s="388">
        <f t="shared" ca="1" si="317"/>
        <v>0.13402947513276353</v>
      </c>
      <c r="AC456" s="388">
        <f t="shared" ca="1" si="317"/>
        <v>0.14103903088586511</v>
      </c>
      <c r="AD456" s="388">
        <f t="shared" ca="1" si="317"/>
        <v>0.10451045464793673</v>
      </c>
      <c r="AE456" s="388">
        <f t="shared" ca="1" si="317"/>
        <v>6.2510437041022993E-2</v>
      </c>
      <c r="AF456" s="388">
        <f t="shared" ca="1" si="317"/>
        <v>8.8100538778406401E-2</v>
      </c>
      <c r="AG456" s="388">
        <f t="shared" ca="1" si="317"/>
        <v>0.1034626671155332</v>
      </c>
      <c r="AH456" s="388">
        <f t="shared" ca="1" si="317"/>
        <v>7.1900105831160133E-2</v>
      </c>
    </row>
    <row r="457" spans="1:34">
      <c r="A457" s="165">
        <f t="shared" si="255"/>
        <v>1989</v>
      </c>
      <c r="B457" s="206" t="str">
        <f>IF(AND($A457&gt;=SYear_O,$A457&lt;=EYear_O),IF(B$336&gt;0,B$336*Data_All!$B126,""),"")</f>
        <v/>
      </c>
      <c r="C457" s="206">
        <f>IF(AND($A457&gt;=SYear_O,$A457&lt;=EYear_O),IF(C$336&gt;0,C$336*Data_All!$D126,""),"")</f>
        <v>18.815999999999999</v>
      </c>
      <c r="D457" s="206" t="str">
        <f>IF(AND($A457&gt;=SYear_O,$A457&lt;=EYear_O),IF(D$336&gt;0,D$336*Data_All!$T126,""),"")</f>
        <v/>
      </c>
      <c r="E457" s="206">
        <f>IF(AND($A457&gt;=SYear_O,$A457&lt;=EYear_O),IF(E$336&gt;0,E$336*Data_All!$U126,""),"")</f>
        <v>5.4560000000000004</v>
      </c>
      <c r="F457" s="206" t="str">
        <f>IF(AND($A457&gt;=SYear_O,$A457&lt;=EYear_O),IF(F$336&gt;0,F$336*Data_All!$BX126,""),"")</f>
        <v/>
      </c>
      <c r="G457" s="206" t="str">
        <f>IF(AND($A457&gt;=SYear_O,$A457&lt;=EYear_O),IF(G$336&gt;0,G$336*Data_All!$BY126,""),"")</f>
        <v/>
      </c>
      <c r="H457" s="206" t="str">
        <f>IF(AND($A457&gt;=SYear_O,$A457&lt;=EYear_O),IF(H$336&gt;0,H$336*Data_All!$BZ126,""),"")</f>
        <v/>
      </c>
      <c r="I457" s="206">
        <f t="shared" si="303"/>
        <v>24.271999999999998</v>
      </c>
      <c r="J457" s="446">
        <f t="shared" si="304"/>
        <v>41322556.029115081</v>
      </c>
      <c r="K457" s="206">
        <f>IF(AND($A457&gt;=SYear_O,$A457&lt;=EYear_O),(I457-Data_All!$CA126)/(1+Data_All!$CA126%),"")</f>
        <v>18.753180015860423</v>
      </c>
      <c r="L457" s="447">
        <f t="shared" si="305"/>
        <v>4084431.8717114022</v>
      </c>
      <c r="P457">
        <f t="shared" si="256"/>
        <v>118</v>
      </c>
      <c r="Q457">
        <f t="shared" ca="1" si="306"/>
        <v>1989</v>
      </c>
      <c r="R457" s="443">
        <f t="shared" si="307"/>
        <v>47666772.247766748</v>
      </c>
      <c r="S457" s="443">
        <f t="shared" ref="S457:Z457" ca="1" si="323">IF(OFFSET(INDIRECT(S$337),$P457,0)="",S456,OFFSET(INDIRECT(S$337),$P457,0))</f>
        <v>47666772.247766748</v>
      </c>
      <c r="T457" s="443">
        <f t="shared" ca="1" si="323"/>
        <v>41322556.029115081</v>
      </c>
      <c r="U457" s="443">
        <f t="shared" ca="1" si="323"/>
        <v>127508525.33973582</v>
      </c>
      <c r="V457" s="443">
        <f t="shared" ca="1" si="323"/>
        <v>4711511.1575675802</v>
      </c>
      <c r="W457" s="209">
        <f t="shared" ca="1" si="323"/>
        <v>0</v>
      </c>
      <c r="X457" s="209">
        <f t="shared" ca="1" si="323"/>
        <v>0</v>
      </c>
      <c r="Y457" s="443">
        <f t="shared" ca="1" si="323"/>
        <v>4084431.8717114022</v>
      </c>
      <c r="Z457" s="443">
        <f t="shared" ca="1" si="323"/>
        <v>12603283.408838339</v>
      </c>
      <c r="AA457" s="388">
        <f t="shared" ca="1" si="317"/>
        <v>0.15341832887062368</v>
      </c>
      <c r="AB457" s="388">
        <f t="shared" ca="1" si="317"/>
        <v>0.13006917590519596</v>
      </c>
      <c r="AC457" s="388">
        <f t="shared" ca="1" si="317"/>
        <v>0.15024105771327712</v>
      </c>
      <c r="AD457" s="388">
        <f t="shared" ca="1" si="317"/>
        <v>0.10812415927970953</v>
      </c>
      <c r="AE457" s="388">
        <f t="shared" ca="1" si="317"/>
        <v>0.10270948123917156</v>
      </c>
      <c r="AF457" s="388">
        <f t="shared" ca="1" si="317"/>
        <v>8.7804707062472342E-2</v>
      </c>
      <c r="AG457" s="388">
        <f t="shared" ca="1" si="317"/>
        <v>0.11539752108932566</v>
      </c>
      <c r="AH457" s="388">
        <f t="shared" ca="1" si="317"/>
        <v>7.7174021574760054E-2</v>
      </c>
    </row>
    <row r="458" spans="1:34">
      <c r="A458" s="165">
        <f t="shared" si="255"/>
        <v>1990</v>
      </c>
      <c r="B458" s="206" t="str">
        <f>IF(AND($A458&gt;=SYear_O,$A458&lt;=EYear_O),IF(B$336&gt;0,B$336*Data_All!$B127,""),"")</f>
        <v/>
      </c>
      <c r="C458" s="206">
        <f>IF(AND($A458&gt;=SYear_O,$A458&lt;=EYear_O),IF(C$336&gt;0,C$336*Data_All!$D127,""),"")</f>
        <v>-1.9919999999999998</v>
      </c>
      <c r="D458" s="206" t="str">
        <f>IF(AND($A458&gt;=SYear_O,$A458&lt;=EYear_O),IF(D$336&gt;0,D$336*Data_All!$T127,""),"")</f>
        <v/>
      </c>
      <c r="E458" s="206">
        <f>IF(AND($A458&gt;=SYear_O,$A458&lt;=EYear_O),IF(E$336&gt;0,E$336*Data_All!$U127,""),"")</f>
        <v>3.4600000000000004</v>
      </c>
      <c r="F458" s="206" t="str">
        <f>IF(AND($A458&gt;=SYear_O,$A458&lt;=EYear_O),IF(F$336&gt;0,F$336*Data_All!$BX127,""),"")</f>
        <v/>
      </c>
      <c r="G458" s="206" t="str">
        <f>IF(AND($A458&gt;=SYear_O,$A458&lt;=EYear_O),IF(G$336&gt;0,G$336*Data_All!$BY127,""),"")</f>
        <v/>
      </c>
      <c r="H458" s="206" t="str">
        <f>IF(AND($A458&gt;=SYear_O,$A458&lt;=EYear_O),IF(H$336&gt;0,H$336*Data_All!$BZ127,""),"")</f>
        <v/>
      </c>
      <c r="I458" s="206">
        <f t="shared" si="303"/>
        <v>1.4680000000000006</v>
      </c>
      <c r="J458" s="446">
        <f t="shared" si="304"/>
        <v>41929171.151622489</v>
      </c>
      <c r="K458" s="206">
        <f>IF(AND($A458&gt;=SYear_O,$A458&lt;=EYear_O),(I458-Data_All!$CA127)/(1+Data_All!$CA127%),"")</f>
        <v>-4.3713393124065965</v>
      </c>
      <c r="L458" s="447">
        <f t="shared" si="305"/>
        <v>3905887.4956148169</v>
      </c>
      <c r="P458">
        <f t="shared" si="256"/>
        <v>119</v>
      </c>
      <c r="Q458">
        <f t="shared" ca="1" si="306"/>
        <v>1990</v>
      </c>
      <c r="R458" s="443">
        <f t="shared" si="307"/>
        <v>49304872.125728823</v>
      </c>
      <c r="S458" s="443">
        <f t="shared" ref="S458:Z458" ca="1" si="324">IF(OFFSET(INDIRECT(S$337),$P458,0)="",S457,OFFSET(INDIRECT(S$337),$P458,0))</f>
        <v>49304872.125728823</v>
      </c>
      <c r="T458" s="443">
        <f t="shared" ca="1" si="324"/>
        <v>41929171.151622489</v>
      </c>
      <c r="U458" s="443">
        <f t="shared" ca="1" si="324"/>
        <v>126689018.55764498</v>
      </c>
      <c r="V458" s="443">
        <f t="shared" ca="1" si="324"/>
        <v>4592966.6201217007</v>
      </c>
      <c r="W458" s="209">
        <f t="shared" ca="1" si="324"/>
        <v>0</v>
      </c>
      <c r="X458" s="209">
        <f t="shared" ca="1" si="324"/>
        <v>6.427074424297019E-3</v>
      </c>
      <c r="Y458" s="443">
        <f t="shared" ca="1" si="324"/>
        <v>3905887.4956148169</v>
      </c>
      <c r="Z458" s="443">
        <f t="shared" ca="1" si="324"/>
        <v>11801641.669152617</v>
      </c>
      <c r="AA458" s="388">
        <f t="shared" ca="1" si="317"/>
        <v>0.11733129283775257</v>
      </c>
      <c r="AB458" s="388">
        <f t="shared" ca="1" si="317"/>
        <v>8.9227164553473903E-2</v>
      </c>
      <c r="AC458" s="388">
        <f t="shared" ca="1" si="317"/>
        <v>0.13911102555429378</v>
      </c>
      <c r="AD458" s="388">
        <f t="shared" ca="1" si="317"/>
        <v>9.8561599793780097E-2</v>
      </c>
      <c r="AE458" s="388">
        <f t="shared" ca="1" si="317"/>
        <v>7.4219073138097835E-2</v>
      </c>
      <c r="AF458" s="388">
        <f t="shared" ca="1" si="317"/>
        <v>5.2487922794242303E-2</v>
      </c>
      <c r="AG458" s="388">
        <f t="shared" ca="1" si="317"/>
        <v>0.1066980698571296</v>
      </c>
      <c r="AH458" s="388">
        <f t="shared" ca="1" si="317"/>
        <v>6.8832130386756507E-2</v>
      </c>
    </row>
    <row r="459" spans="1:34">
      <c r="A459" s="165">
        <f t="shared" si="255"/>
        <v>1991</v>
      </c>
      <c r="B459" s="206" t="str">
        <f>IF(AND($A459&gt;=SYear_O,$A459&lt;=EYear_O),IF(B$336&gt;0,B$336*Data_All!$B128,""),"")</f>
        <v/>
      </c>
      <c r="C459" s="206">
        <f>IF(AND($A459&gt;=SYear_O,$A459&lt;=EYear_O),IF(C$336&gt;0,C$336*Data_All!$D128,""),"")</f>
        <v>18.131999999999998</v>
      </c>
      <c r="D459" s="206" t="str">
        <f>IF(AND($A459&gt;=SYear_O,$A459&lt;=EYear_O),IF(D$336&gt;0,D$336*Data_All!$T128,""),"")</f>
        <v/>
      </c>
      <c r="E459" s="206">
        <f>IF(AND($A459&gt;=SYear_O,$A459&lt;=EYear_O),IF(E$336&gt;0,E$336*Data_All!$U128,""),"")</f>
        <v>6.1000000000000005</v>
      </c>
      <c r="F459" s="206" t="str">
        <f>IF(AND($A459&gt;=SYear_O,$A459&lt;=EYear_O),IF(F$336&gt;0,F$336*Data_All!$BX128,""),"")</f>
        <v/>
      </c>
      <c r="G459" s="206" t="str">
        <f>IF(AND($A459&gt;=SYear_O,$A459&lt;=EYear_O),IF(G$336&gt;0,G$336*Data_All!$BY128,""),"")</f>
        <v/>
      </c>
      <c r="H459" s="206" t="str">
        <f>IF(AND($A459&gt;=SYear_O,$A459&lt;=EYear_O),IF(H$336&gt;0,H$336*Data_All!$BZ128,""),"")</f>
        <v/>
      </c>
      <c r="I459" s="206">
        <f t="shared" si="303"/>
        <v>24.231999999999999</v>
      </c>
      <c r="J459" s="446">
        <f t="shared" si="304"/>
        <v>52089447.905083649</v>
      </c>
      <c r="K459" s="206">
        <f>IF(AND($A459&gt;=SYear_O,$A459&lt;=EYear_O),(I459-Data_All!$CA128)/(1+Data_All!$CA128%),"")</f>
        <v>20.538372733865113</v>
      </c>
      <c r="L459" s="447">
        <f t="shared" si="305"/>
        <v>4708093.2280296171</v>
      </c>
      <c r="P459">
        <f t="shared" si="256"/>
        <v>120</v>
      </c>
      <c r="Q459">
        <f t="shared" ca="1" si="306"/>
        <v>1991</v>
      </c>
      <c r="R459" s="443">
        <f t="shared" si="307"/>
        <v>61445126.302435197</v>
      </c>
      <c r="S459" s="443">
        <f t="shared" ref="S459:Z459" ca="1" si="325">IF(OFFSET(INDIRECT(S$337),$P459,0)="",S458,OFFSET(INDIRECT(S$337),$P459,0))</f>
        <v>61445126.302435197</v>
      </c>
      <c r="T459" s="443">
        <f t="shared" ca="1" si="325"/>
        <v>52089447.905083649</v>
      </c>
      <c r="U459" s="443">
        <f t="shared" ca="1" si="325"/>
        <v>166564437.98967424</v>
      </c>
      <c r="V459" s="443">
        <f t="shared" ca="1" si="325"/>
        <v>5553704.1507342756</v>
      </c>
      <c r="W459" s="209">
        <f t="shared" ca="1" si="325"/>
        <v>0</v>
      </c>
      <c r="X459" s="209">
        <f t="shared" ca="1" si="325"/>
        <v>0</v>
      </c>
      <c r="Y459" s="443">
        <f t="shared" ca="1" si="325"/>
        <v>4708093.2280296171</v>
      </c>
      <c r="Z459" s="443">
        <f t="shared" ca="1" si="325"/>
        <v>15054889.887846399</v>
      </c>
      <c r="AA459" s="388">
        <f t="shared" ca="1" si="317"/>
        <v>0.14389826584496745</v>
      </c>
      <c r="AB459" s="388">
        <f t="shared" ca="1" si="317"/>
        <v>0.1371386127284544</v>
      </c>
      <c r="AC459" s="388">
        <f t="shared" ca="1" si="317"/>
        <v>0.13806111545452127</v>
      </c>
      <c r="AD459" s="388">
        <f t="shared" ca="1" si="317"/>
        <v>0.10095861193047906</v>
      </c>
      <c r="AE459" s="388">
        <f t="shared" ca="1" si="317"/>
        <v>0.11161295136375204</v>
      </c>
      <c r="AF459" s="388">
        <f t="shared" ca="1" si="317"/>
        <v>0.10632557833162659</v>
      </c>
      <c r="AG459" s="388">
        <f t="shared" ca="1" si="317"/>
        <v>0.10855251454880022</v>
      </c>
      <c r="AH459" s="388">
        <f t="shared" ca="1" si="317"/>
        <v>7.3000013856017842E-2</v>
      </c>
    </row>
    <row r="460" spans="1:34">
      <c r="A460" s="165">
        <f t="shared" si="255"/>
        <v>1992</v>
      </c>
      <c r="B460" s="206" t="str">
        <f>IF(AND($A460&gt;=SYear_O,$A460&lt;=EYear_O),IF(B$336&gt;0,B$336*Data_All!$B129,""),"")</f>
        <v/>
      </c>
      <c r="C460" s="206">
        <f>IF(AND($A460&gt;=SYear_O,$A460&lt;=EYear_O),IF(C$336&gt;0,C$336*Data_All!$D129,""),"")</f>
        <v>4.452</v>
      </c>
      <c r="D460" s="206" t="str">
        <f>IF(AND($A460&gt;=SYear_O,$A460&lt;=EYear_O),IF(D$336&gt;0,D$336*Data_All!$T129,""),"")</f>
        <v/>
      </c>
      <c r="E460" s="206">
        <f>IF(AND($A460&gt;=SYear_O,$A460&lt;=EYear_O),IF(E$336&gt;0,E$336*Data_All!$U129,""),"")</f>
        <v>2.8559999999999999</v>
      </c>
      <c r="F460" s="206" t="str">
        <f>IF(AND($A460&gt;=SYear_O,$A460&lt;=EYear_O),IF(F$336&gt;0,F$336*Data_All!$BX129,""),"")</f>
        <v/>
      </c>
      <c r="G460" s="206" t="str">
        <f>IF(AND($A460&gt;=SYear_O,$A460&lt;=EYear_O),IF(G$336&gt;0,G$336*Data_All!$BY129,""),"")</f>
        <v/>
      </c>
      <c r="H460" s="206" t="str">
        <f>IF(AND($A460&gt;=SYear_O,$A460&lt;=EYear_O),IF(H$336&gt;0,H$336*Data_All!$BZ129,""),"")</f>
        <v/>
      </c>
      <c r="I460" s="206">
        <f t="shared" si="303"/>
        <v>7.3079999999999998</v>
      </c>
      <c r="J460" s="446">
        <f t="shared" si="304"/>
        <v>55896144.757987164</v>
      </c>
      <c r="K460" s="206">
        <f>IF(AND($A460&gt;=SYear_O,$A460&lt;=EYear_O),(I460-Data_All!$CA129)/(1+Data_All!$CA129%),"")</f>
        <v>4.2831092318534214</v>
      </c>
      <c r="L460" s="447">
        <f t="shared" si="305"/>
        <v>4909746.0037236195</v>
      </c>
      <c r="P460">
        <f t="shared" si="256"/>
        <v>121</v>
      </c>
      <c r="Q460">
        <f t="shared" ca="1" si="306"/>
        <v>1992</v>
      </c>
      <c r="R460" s="443">
        <f t="shared" si="307"/>
        <v>66490811.140107296</v>
      </c>
      <c r="S460" s="443">
        <f t="shared" ref="S460:Z460" ca="1" si="326">IF(OFFSET(INDIRECT(S$337),$P460,0)="",S459,OFFSET(INDIRECT(S$337),$P460,0))</f>
        <v>66490811.140107296</v>
      </c>
      <c r="T460" s="443">
        <f t="shared" ca="1" si="326"/>
        <v>55896144.757987164</v>
      </c>
      <c r="U460" s="443">
        <f t="shared" ca="1" si="326"/>
        <v>179199792.87309441</v>
      </c>
      <c r="V460" s="443">
        <f t="shared" ca="1" si="326"/>
        <v>5840349.0203648834</v>
      </c>
      <c r="W460" s="209">
        <f t="shared" ca="1" si="326"/>
        <v>0</v>
      </c>
      <c r="X460" s="209">
        <f t="shared" ca="1" si="326"/>
        <v>0</v>
      </c>
      <c r="Y460" s="443">
        <f t="shared" ca="1" si="326"/>
        <v>4909746.0037236195</v>
      </c>
      <c r="Z460" s="443">
        <f t="shared" ca="1" si="326"/>
        <v>15740360.461998699</v>
      </c>
      <c r="AA460" s="388">
        <f t="shared" ca="1" si="317"/>
        <v>5.9514425623822698E-2</v>
      </c>
      <c r="AB460" s="388">
        <f t="shared" ca="1" si="317"/>
        <v>0.12283475388824927</v>
      </c>
      <c r="AC460" s="388">
        <f t="shared" ca="1" si="317"/>
        <v>0.10750986904475468</v>
      </c>
      <c r="AD460" s="388">
        <f t="shared" ca="1" si="317"/>
        <v>9.1212091261532624E-2</v>
      </c>
      <c r="AE460" s="388">
        <f t="shared" ca="1" si="317"/>
        <v>3.0910657642963413E-2</v>
      </c>
      <c r="AF460" s="388">
        <f t="shared" ca="1" si="317"/>
        <v>9.1862783204815779E-2</v>
      </c>
      <c r="AG460" s="388">
        <f t="shared" ca="1" si="317"/>
        <v>8.038955432177386E-2</v>
      </c>
      <c r="AH460" s="388">
        <f t="shared" ca="1" si="317"/>
        <v>6.3862195693404677E-2</v>
      </c>
    </row>
    <row r="461" spans="1:34">
      <c r="A461" s="165">
        <f t="shared" si="255"/>
        <v>1993</v>
      </c>
      <c r="B461" s="206" t="str">
        <f>IF(AND($A461&gt;=SYear_O,$A461&lt;=EYear_O),IF(B$336&gt;0,B$336*Data_All!$B130,""),"")</f>
        <v/>
      </c>
      <c r="C461" s="206">
        <f>IF(AND($A461&gt;=SYear_O,$A461&lt;=EYear_O),IF(C$336&gt;0,C$336*Data_All!$D130,""),"")</f>
        <v>5.9340000000000002</v>
      </c>
      <c r="D461" s="206" t="str">
        <f>IF(AND($A461&gt;=SYear_O,$A461&lt;=EYear_O),IF(D$336&gt;0,D$336*Data_All!$T130,""),"")</f>
        <v/>
      </c>
      <c r="E461" s="206">
        <f>IF(AND($A461&gt;=SYear_O,$A461&lt;=EYear_O),IF(E$336&gt;0,E$336*Data_All!$U130,""),"")</f>
        <v>3.8719999999999999</v>
      </c>
      <c r="F461" s="206" t="str">
        <f>IF(AND($A461&gt;=SYear_O,$A461&lt;=EYear_O),IF(F$336&gt;0,F$336*Data_All!$BX130,""),"")</f>
        <v/>
      </c>
      <c r="G461" s="206" t="str">
        <f>IF(AND($A461&gt;=SYear_O,$A461&lt;=EYear_O),IF(G$336&gt;0,G$336*Data_All!$BY130,""),"")</f>
        <v/>
      </c>
      <c r="H461" s="206" t="str">
        <f>IF(AND($A461&gt;=SYear_O,$A461&lt;=EYear_O),IF(H$336&gt;0,H$336*Data_All!$BZ130,""),"")</f>
        <v/>
      </c>
      <c r="I461" s="206">
        <f t="shared" si="303"/>
        <v>9.8060000000000009</v>
      </c>
      <c r="J461" s="446">
        <f t="shared" si="304"/>
        <v>61377320.712955385</v>
      </c>
      <c r="K461" s="206">
        <f>IF(AND($A461&gt;=SYear_O,$A461&lt;=EYear_O),(I461-Data_All!$CA130)/(1+Data_All!$CA130%),"")</f>
        <v>6.8688024691357938</v>
      </c>
      <c r="L461" s="447">
        <f t="shared" si="305"/>
        <v>5246986.7584556835</v>
      </c>
      <c r="P461">
        <f t="shared" si="256"/>
        <v>122</v>
      </c>
      <c r="Q461">
        <f t="shared" ca="1" si="306"/>
        <v>1993</v>
      </c>
      <c r="R461" s="443">
        <f t="shared" si="307"/>
        <v>73799265.86169818</v>
      </c>
      <c r="S461" s="443">
        <f t="shared" ref="S461:Z461" ca="1" si="327">IF(OFFSET(INDIRECT(S$337),$P461,0)="",S460,OFFSET(INDIRECT(S$337),$P461,0))</f>
        <v>73799265.86169818</v>
      </c>
      <c r="T461" s="443">
        <f t="shared" ca="1" si="327"/>
        <v>61377320.712955385</v>
      </c>
      <c r="U461" s="443">
        <f t="shared" ca="1" si="327"/>
        <v>199913394.19906315</v>
      </c>
      <c r="V461" s="443">
        <f t="shared" ca="1" si="327"/>
        <v>6308906.3885831526</v>
      </c>
      <c r="W461" s="209">
        <f t="shared" ca="1" si="327"/>
        <v>0</v>
      </c>
      <c r="X461" s="209">
        <f t="shared" ca="1" si="327"/>
        <v>0</v>
      </c>
      <c r="Y461" s="443">
        <f t="shared" ca="1" si="327"/>
        <v>5246986.7584556835</v>
      </c>
      <c r="Z461" s="443">
        <f t="shared" ca="1" si="327"/>
        <v>17090073.662648629</v>
      </c>
      <c r="AA461" s="388">
        <f t="shared" ca="1" si="317"/>
        <v>0.12132562362930988</v>
      </c>
      <c r="AB461" s="388">
        <f t="shared" ca="1" si="317"/>
        <v>0.14809191344213457</v>
      </c>
      <c r="AC461" s="388">
        <f t="shared" ca="1" si="317"/>
        <v>9.0040351662857843E-2</v>
      </c>
      <c r="AD461" s="388">
        <f t="shared" ca="1" si="317"/>
        <v>8.8405036084278743E-2</v>
      </c>
      <c r="AE461" s="388">
        <f t="shared" ca="1" si="317"/>
        <v>9.2336431126705421E-2</v>
      </c>
      <c r="AF461" s="388">
        <f t="shared" ca="1" si="317"/>
        <v>0.11904168256799164</v>
      </c>
      <c r="AG461" s="388">
        <f t="shared" ca="1" si="317"/>
        <v>6.3890566511066726E-2</v>
      </c>
      <c r="AH461" s="388">
        <f t="shared" ca="1" si="317"/>
        <v>6.0318778776330406E-2</v>
      </c>
    </row>
    <row r="462" spans="1:34">
      <c r="A462" s="165">
        <f t="shared" si="255"/>
        <v>1994</v>
      </c>
      <c r="B462" s="206" t="str">
        <f>IF(AND($A462&gt;=SYear_O,$A462&lt;=EYear_O),IF(B$336&gt;0,B$336*Data_All!$B131,""),"")</f>
        <v/>
      </c>
      <c r="C462" s="206">
        <f>IF(AND($A462&gt;=SYear_O,$A462&lt;=EYear_O),IF(C$336&gt;0,C$336*Data_All!$D131,""),"")</f>
        <v>0.70799999999999996</v>
      </c>
      <c r="D462" s="206" t="str">
        <f>IF(AND($A462&gt;=SYear_O,$A462&lt;=EYear_O),IF(D$336&gt;0,D$336*Data_All!$T131,""),"")</f>
        <v/>
      </c>
      <c r="E462" s="206">
        <f>IF(AND($A462&gt;=SYear_O,$A462&lt;=EYear_O),IF(E$336&gt;0,E$336*Data_All!$U131,""),"")</f>
        <v>-1.0640000000000001</v>
      </c>
      <c r="F462" s="206" t="str">
        <f>IF(AND($A462&gt;=SYear_O,$A462&lt;=EYear_O),IF(F$336&gt;0,F$336*Data_All!$BX131,""),"")</f>
        <v/>
      </c>
      <c r="G462" s="206" t="str">
        <f>IF(AND($A462&gt;=SYear_O,$A462&lt;=EYear_O),IF(G$336&gt;0,G$336*Data_All!$BY131,""),"")</f>
        <v/>
      </c>
      <c r="H462" s="206" t="str">
        <f>IF(AND($A462&gt;=SYear_O,$A462&lt;=EYear_O),IF(H$336&gt;0,H$336*Data_All!$BZ131,""),"")</f>
        <v/>
      </c>
      <c r="I462" s="206">
        <f t="shared" si="303"/>
        <v>-0.35600000000000009</v>
      </c>
      <c r="J462" s="446">
        <f t="shared" si="304"/>
        <v>61158817.451217264</v>
      </c>
      <c r="K462" s="206">
        <f>IF(AND($A462&gt;=SYear_O,$A462&lt;=EYear_O),(I462-Data_All!$CA131)/(1+Data_All!$CA131%),"")</f>
        <v>-2.9519358717434701</v>
      </c>
      <c r="L462" s="447">
        <f t="shared" si="305"/>
        <v>5092099.0741472002</v>
      </c>
      <c r="P462">
        <f t="shared" si="256"/>
        <v>123</v>
      </c>
      <c r="Q462">
        <f t="shared" ca="1" si="306"/>
        <v>1994</v>
      </c>
      <c r="R462" s="443">
        <f t="shared" si="307"/>
        <v>73081602.820274651</v>
      </c>
      <c r="S462" s="443">
        <f t="shared" ref="S462:Z462" ca="1" si="328">IF(OFFSET(INDIRECT(S$337),$P462,0)="",S461,OFFSET(INDIRECT(S$337),$P462,0))</f>
        <v>73081602.820274651</v>
      </c>
      <c r="T462" s="443">
        <f t="shared" ca="1" si="328"/>
        <v>61158817.451217264</v>
      </c>
      <c r="U462" s="443">
        <f t="shared" ca="1" si="328"/>
        <v>202159036.15898731</v>
      </c>
      <c r="V462" s="443">
        <f t="shared" ca="1" si="328"/>
        <v>6084793.2901113927</v>
      </c>
      <c r="W462" s="209">
        <f t="shared" ca="1" si="328"/>
        <v>9.7245281920345095E-3</v>
      </c>
      <c r="X462" s="209">
        <f t="shared" ca="1" si="328"/>
        <v>0</v>
      </c>
      <c r="Y462" s="443">
        <f t="shared" ca="1" si="328"/>
        <v>5092099.0741472002</v>
      </c>
      <c r="Z462" s="443">
        <f t="shared" ca="1" si="328"/>
        <v>16831814.017280061</v>
      </c>
      <c r="AA462" s="388">
        <f t="shared" ca="1" si="317"/>
        <v>0.14113811281374922</v>
      </c>
      <c r="AB462" s="388">
        <f t="shared" ca="1" si="317"/>
        <v>0.17077301023592573</v>
      </c>
      <c r="AC462" s="388">
        <f t="shared" ca="1" si="317"/>
        <v>9.7311979827975348E-2</v>
      </c>
      <c r="AD462" s="388">
        <f t="shared" ca="1" si="317"/>
        <v>6.755695583164778E-2</v>
      </c>
      <c r="AE462" s="388">
        <f t="shared" ca="1" si="317"/>
        <v>0.10957413449518527</v>
      </c>
      <c r="AF462" s="388">
        <f t="shared" ca="1" si="317"/>
        <v>0.14369024327154656</v>
      </c>
      <c r="AG462" s="388">
        <f t="shared" ca="1" si="317"/>
        <v>7.1897701076979459E-2</v>
      </c>
      <c r="AH462" s="388">
        <f t="shared" ca="1" si="317"/>
        <v>4.1826785383092702E-2</v>
      </c>
    </row>
    <row r="463" spans="1:34">
      <c r="A463" s="165">
        <f t="shared" si="255"/>
        <v>1995</v>
      </c>
      <c r="B463" s="206" t="str">
        <f>IF(AND($A463&gt;=SYear_O,$A463&lt;=EYear_O),IF(B$336&gt;0,B$336*Data_All!$B132,""),"")</f>
        <v/>
      </c>
      <c r="C463" s="206">
        <f>IF(AND($A463&gt;=SYear_O,$A463&lt;=EYear_O),IF(C$336&gt;0,C$336*Data_All!$D132,""),"")</f>
        <v>22.470000000000002</v>
      </c>
      <c r="D463" s="206" t="str">
        <f>IF(AND($A463&gt;=SYear_O,$A463&lt;=EYear_O),IF(D$336&gt;0,D$336*Data_All!$T132,""),"")</f>
        <v/>
      </c>
      <c r="E463" s="206">
        <f>IF(AND($A463&gt;=SYear_O,$A463&lt;=EYear_O),IF(E$336&gt;0,E$336*Data_All!$U132,""),"")</f>
        <v>7.2720000000000002</v>
      </c>
      <c r="F463" s="206" t="str">
        <f>IF(AND($A463&gt;=SYear_O,$A463&lt;=EYear_O),IF(F$336&gt;0,F$336*Data_All!$BX132,""),"")</f>
        <v/>
      </c>
      <c r="G463" s="206" t="str">
        <f>IF(AND($A463&gt;=SYear_O,$A463&lt;=EYear_O),IF(G$336&gt;0,G$336*Data_All!$BY132,""),"")</f>
        <v/>
      </c>
      <c r="H463" s="206" t="str">
        <f>IF(AND($A463&gt;=SYear_O,$A463&lt;=EYear_O),IF(H$336&gt;0,H$336*Data_All!$BZ132,""),"")</f>
        <v/>
      </c>
      <c r="I463" s="206">
        <f t="shared" si="303"/>
        <v>29.742000000000004</v>
      </c>
      <c r="J463" s="446">
        <f t="shared" si="304"/>
        <v>79348672.937558308</v>
      </c>
      <c r="K463" s="206">
        <f>IF(AND($A463&gt;=SYear_O,$A463&lt;=EYear_O),(I463-Data_All!$CA132)/(1+Data_All!$CA132%),"")</f>
        <v>26.530145928338751</v>
      </c>
      <c r="L463" s="447">
        <f t="shared" si="305"/>
        <v>6443040.3893340388</v>
      </c>
      <c r="P463">
        <f t="shared" si="256"/>
        <v>124</v>
      </c>
      <c r="Q463">
        <f t="shared" ca="1" si="306"/>
        <v>1995</v>
      </c>
      <c r="R463" s="443">
        <f t="shared" si="307"/>
        <v>93746890.245836318</v>
      </c>
      <c r="S463" s="443">
        <f t="shared" ref="S463:Z463" ca="1" si="329">IF(OFFSET(INDIRECT(S$337),$P463,0)="",S462,OFFSET(INDIRECT(S$337),$P463,0))</f>
        <v>93746890.245836318</v>
      </c>
      <c r="T463" s="443">
        <f t="shared" ca="1" si="329"/>
        <v>79348672.937558308</v>
      </c>
      <c r="U463" s="443">
        <f t="shared" ca="1" si="329"/>
        <v>272804508.23884588</v>
      </c>
      <c r="V463" s="443">
        <f t="shared" ca="1" si="329"/>
        <v>7612162.5966411028</v>
      </c>
      <c r="W463" s="209">
        <f t="shared" ca="1" si="329"/>
        <v>0</v>
      </c>
      <c r="X463" s="209">
        <f t="shared" ca="1" si="329"/>
        <v>0</v>
      </c>
      <c r="Y463" s="443">
        <f t="shared" ca="1" si="329"/>
        <v>6443040.3893340388</v>
      </c>
      <c r="Z463" s="443">
        <f t="shared" ca="1" si="329"/>
        <v>22151479.034293022</v>
      </c>
      <c r="AA463" s="388">
        <f t="shared" ca="1" si="317"/>
        <v>0.21977282185178404</v>
      </c>
      <c r="AB463" s="388">
        <f t="shared" ca="1" si="317"/>
        <v>0.19127944176024303</v>
      </c>
      <c r="AC463" s="388">
        <f t="shared" ca="1" si="317"/>
        <v>0.10325877247029935</v>
      </c>
      <c r="AD463" s="388">
        <f t="shared" ca="1" si="317"/>
        <v>8.0556271805873436E-2</v>
      </c>
      <c r="AE463" s="388">
        <f t="shared" ca="1" si="317"/>
        <v>0.18980218860168163</v>
      </c>
      <c r="AF463" s="388">
        <f t="shared" ca="1" si="317"/>
        <v>0.16370040102107297</v>
      </c>
      <c r="AG463" s="388">
        <f t="shared" ca="1" si="317"/>
        <v>7.70991684292055E-2</v>
      </c>
      <c r="AH463" s="388">
        <f t="shared" ca="1" si="317"/>
        <v>5.4481007501821166E-2</v>
      </c>
    </row>
    <row r="464" spans="1:34">
      <c r="A464" s="165">
        <f t="shared" si="255"/>
        <v>1996</v>
      </c>
      <c r="B464" s="206" t="str">
        <f>IF(AND($A464&gt;=SYear_O,$A464&lt;=EYear_O),IF(B$336&gt;0,B$336*Data_All!$B133,""),"")</f>
        <v/>
      </c>
      <c r="C464" s="206">
        <f>IF(AND($A464&gt;=SYear_O,$A464&lt;=EYear_O),IF(C$336&gt;0,C$336*Data_All!$D133,""),"")</f>
        <v>13.728</v>
      </c>
      <c r="D464" s="206" t="str">
        <f>IF(AND($A464&gt;=SYear_O,$A464&lt;=EYear_O),IF(D$336&gt;0,D$336*Data_All!$T133,""),"")</f>
        <v/>
      </c>
      <c r="E464" s="206">
        <f>IF(AND($A464&gt;=SYear_O,$A464&lt;=EYear_O),IF(E$336&gt;0,E$336*Data_All!$U133,""),"")</f>
        <v>1.4320000000000002</v>
      </c>
      <c r="F464" s="206" t="str">
        <f>IF(AND($A464&gt;=SYear_O,$A464&lt;=EYear_O),IF(F$336&gt;0,F$336*Data_All!$BX133,""),"")</f>
        <v/>
      </c>
      <c r="G464" s="206" t="str">
        <f>IF(AND($A464&gt;=SYear_O,$A464&lt;=EYear_O),IF(G$336&gt;0,G$336*Data_All!$BY133,""),"")</f>
        <v/>
      </c>
      <c r="H464" s="206" t="str">
        <f>IF(AND($A464&gt;=SYear_O,$A464&lt;=EYear_O),IF(H$336&gt;0,H$336*Data_All!$BZ133,""),"")</f>
        <v/>
      </c>
      <c r="I464" s="206">
        <f t="shared" si="303"/>
        <v>15.16</v>
      </c>
      <c r="J464" s="446">
        <f t="shared" si="304"/>
        <v>91377931.754892141</v>
      </c>
      <c r="K464" s="206">
        <f>IF(AND($A464&gt;=SYear_O,$A464&lt;=EYear_O),(I464-Data_All!$CA133)/(1+Data_All!$CA133%),"")</f>
        <v>11.456872635561153</v>
      </c>
      <c r="L464" s="447">
        <f t="shared" si="305"/>
        <v>7181211.3205978023</v>
      </c>
      <c r="P464">
        <f t="shared" si="256"/>
        <v>125</v>
      </c>
      <c r="Q464">
        <f t="shared" ca="1" si="306"/>
        <v>1996</v>
      </c>
      <c r="R464" s="443">
        <f t="shared" si="307"/>
        <v>109664654.15729077</v>
      </c>
      <c r="S464" s="443">
        <f t="shared" ref="S464:Z464" ca="1" si="330">IF(OFFSET(INDIRECT(S$337),$P464,0)="",S463,OFFSET(INDIRECT(S$337),$P464,0))</f>
        <v>109664654.15729077</v>
      </c>
      <c r="T464" s="443">
        <f t="shared" ca="1" si="330"/>
        <v>91377931.754892141</v>
      </c>
      <c r="U464" s="443">
        <f t="shared" ca="1" si="330"/>
        <v>346529437.32473731</v>
      </c>
      <c r="V464" s="443">
        <f t="shared" ca="1" si="330"/>
        <v>8618328.7450212892</v>
      </c>
      <c r="W464" s="209">
        <f t="shared" ca="1" si="330"/>
        <v>0</v>
      </c>
      <c r="X464" s="209">
        <f t="shared" ca="1" si="330"/>
        <v>0</v>
      </c>
      <c r="Y464" s="443">
        <f t="shared" ca="1" si="330"/>
        <v>7181211.3205978023</v>
      </c>
      <c r="Z464" s="443">
        <f t="shared" ca="1" si="330"/>
        <v>27233064.597170264</v>
      </c>
      <c r="AA464" s="388">
        <f t="shared" ca="1" si="317"/>
        <v>0.20084299023881713</v>
      </c>
      <c r="AB464" s="388">
        <f t="shared" ca="1" si="317"/>
        <v>0.13898436656013513</v>
      </c>
      <c r="AC464" s="388">
        <f t="shared" ca="1" si="317"/>
        <v>8.330260147384938E-2</v>
      </c>
      <c r="AD464" s="388">
        <f t="shared" ca="1" si="317"/>
        <v>7.0922552890215984E-2</v>
      </c>
      <c r="AE464" s="388">
        <f t="shared" ca="1" si="317"/>
        <v>0.17488683124101412</v>
      </c>
      <c r="AF464" s="388">
        <f t="shared" ca="1" si="317"/>
        <v>0.11078393339298009</v>
      </c>
      <c r="AG464" s="388">
        <f t="shared" ca="1" si="317"/>
        <v>5.6715589797061039E-2</v>
      </c>
      <c r="AH464" s="388">
        <f t="shared" ca="1" si="317"/>
        <v>4.5792108927282138E-2</v>
      </c>
    </row>
    <row r="465" spans="1:34">
      <c r="A465" s="165">
        <f t="shared" si="255"/>
        <v>1997</v>
      </c>
      <c r="B465" s="206" t="str">
        <f>IF(AND($A465&gt;=SYear_O,$A465&lt;=EYear_O),IF(B$336&gt;0,B$336*Data_All!$B134,""),"")</f>
        <v/>
      </c>
      <c r="C465" s="206">
        <f>IF(AND($A465&gt;=SYear_O,$A465&lt;=EYear_O),IF(C$336&gt;0,C$336*Data_All!$D134,""),"")</f>
        <v>19.913999999999998</v>
      </c>
      <c r="D465" s="206" t="str">
        <f>IF(AND($A465&gt;=SYear_O,$A465&lt;=EYear_O),IF(D$336&gt;0,D$336*Data_All!$T134,""),"")</f>
        <v/>
      </c>
      <c r="E465" s="206">
        <f>IF(AND($A465&gt;=SYear_O,$A465&lt;=EYear_O),IF(E$336&gt;0,E$336*Data_All!$U134,""),"")</f>
        <v>3.7759999999999998</v>
      </c>
      <c r="F465" s="206" t="str">
        <f>IF(AND($A465&gt;=SYear_O,$A465&lt;=EYear_O),IF(F$336&gt;0,F$336*Data_All!$BX134,""),"")</f>
        <v/>
      </c>
      <c r="G465" s="206" t="str">
        <f>IF(AND($A465&gt;=SYear_O,$A465&lt;=EYear_O),IF(G$336&gt;0,G$336*Data_All!$BY134,""),"")</f>
        <v/>
      </c>
      <c r="H465" s="206" t="str">
        <f>IF(AND($A465&gt;=SYear_O,$A465&lt;=EYear_O),IF(H$336&gt;0,H$336*Data_All!$BZ134,""),"")</f>
        <v/>
      </c>
      <c r="I465" s="206">
        <f t="shared" si="303"/>
        <v>23.689999999999998</v>
      </c>
      <c r="J465" s="446">
        <f t="shared" si="304"/>
        <v>113025363.78762607</v>
      </c>
      <c r="K465" s="206">
        <f>IF(AND($A465&gt;=SYear_O,$A465&lt;=EYear_O),(I465-Data_All!$CA134)/(1+Data_All!$CA134%),"")</f>
        <v>21.619553626782373</v>
      </c>
      <c r="L465" s="447">
        <f t="shared" si="305"/>
        <v>8733757.1531070117</v>
      </c>
      <c r="P465">
        <f t="shared" si="256"/>
        <v>126</v>
      </c>
      <c r="Q465">
        <f t="shared" ca="1" si="306"/>
        <v>1997</v>
      </c>
      <c r="R465" s="443">
        <f t="shared" si="307"/>
        <v>132630962.44579853</v>
      </c>
      <c r="S465" s="443">
        <f t="shared" ref="S465:Z465" ca="1" si="331">IF(OFFSET(INDIRECT(S$337),$P465,0)="",S464,OFFSET(INDIRECT(S$337),$P465,0))</f>
        <v>132630962.44579853</v>
      </c>
      <c r="T465" s="443">
        <f t="shared" ca="1" si="331"/>
        <v>113025363.78762607</v>
      </c>
      <c r="U465" s="443">
        <f t="shared" ca="1" si="331"/>
        <v>442499446.24667144</v>
      </c>
      <c r="V465" s="443">
        <f t="shared" ca="1" si="331"/>
        <v>10248731.595865734</v>
      </c>
      <c r="W465" s="209">
        <f t="shared" ca="1" si="331"/>
        <v>0</v>
      </c>
      <c r="X465" s="209">
        <f t="shared" ca="1" si="331"/>
        <v>0</v>
      </c>
      <c r="Y465" s="443">
        <f t="shared" ca="1" si="331"/>
        <v>8733757.1531070117</v>
      </c>
      <c r="Z465" s="443">
        <f t="shared" ca="1" si="331"/>
        <v>34193056.977586702</v>
      </c>
      <c r="AA465" s="388">
        <f t="shared" ca="1" si="317"/>
        <v>0.16932851913726443</v>
      </c>
      <c r="AB465" s="388">
        <f t="shared" ca="1" si="317"/>
        <v>9.2394144181972226E-2</v>
      </c>
      <c r="AC465" s="388">
        <f t="shared" ca="1" si="317"/>
        <v>7.5736318088977628E-2</v>
      </c>
      <c r="AD465" s="388">
        <f t="shared" ca="1" si="317"/>
        <v>7.0975928640305552E-2</v>
      </c>
      <c r="AE465" s="388">
        <f t="shared" ca="1" si="317"/>
        <v>0.1464177394461692</v>
      </c>
      <c r="AF465" s="388">
        <f t="shared" ca="1" si="317"/>
        <v>6.9036885442266716E-2</v>
      </c>
      <c r="AG465" s="388">
        <f t="shared" ca="1" si="317"/>
        <v>5.0132339974324314E-2</v>
      </c>
      <c r="AH465" s="388">
        <f t="shared" ca="1" si="317"/>
        <v>4.700246973796296E-2</v>
      </c>
    </row>
    <row r="466" spans="1:34">
      <c r="A466" s="165">
        <f t="shared" si="255"/>
        <v>1998</v>
      </c>
      <c r="B466" s="206" t="str">
        <f>IF(AND($A466&gt;=SYear_O,$A466&lt;=EYear_O),IF(B$336&gt;0,B$336*Data_All!$B135,""),"")</f>
        <v/>
      </c>
      <c r="C466" s="206">
        <f>IF(AND($A466&gt;=SYear_O,$A466&lt;=EYear_O),IF(C$336&gt;0,C$336*Data_All!$D135,""),"")</f>
        <v>17.172000000000001</v>
      </c>
      <c r="D466" s="206" t="str">
        <f>IF(AND($A466&gt;=SYear_O,$A466&lt;=EYear_O),IF(D$336&gt;0,D$336*Data_All!$T135,""),"")</f>
        <v/>
      </c>
      <c r="E466" s="206">
        <f>IF(AND($A466&gt;=SYear_O,$A466&lt;=EYear_O),IF(E$336&gt;0,E$336*Data_All!$U135,""),"")</f>
        <v>3.4320000000000004</v>
      </c>
      <c r="F466" s="206" t="str">
        <f>IF(AND($A466&gt;=SYear_O,$A466&lt;=EYear_O),IF(F$336&gt;0,F$336*Data_All!$BX135,""),"")</f>
        <v/>
      </c>
      <c r="G466" s="206" t="str">
        <f>IF(AND($A466&gt;=SYear_O,$A466&lt;=EYear_O),IF(G$336&gt;0,G$336*Data_All!$BY135,""),"")</f>
        <v/>
      </c>
      <c r="H466" s="206" t="str">
        <f>IF(AND($A466&gt;=SYear_O,$A466&lt;=EYear_O),IF(H$336&gt;0,H$336*Data_All!$BZ135,""),"")</f>
        <v/>
      </c>
      <c r="I466" s="206">
        <f t="shared" si="303"/>
        <v>20.603999999999999</v>
      </c>
      <c r="J466" s="446">
        <f t="shared" si="304"/>
        <v>136313109.74242854</v>
      </c>
      <c r="K466" s="206">
        <f>IF(AND($A466&gt;=SYear_O,$A466&lt;=EYear_O),(I466-Data_All!$CA135)/(1+Data_All!$CA135%),"")</f>
        <v>18.690818791946306</v>
      </c>
      <c r="L466" s="447">
        <f t="shared" si="305"/>
        <v>10366167.876322892</v>
      </c>
      <c r="P466">
        <f t="shared" si="256"/>
        <v>127</v>
      </c>
      <c r="Q466">
        <f t="shared" ca="1" si="306"/>
        <v>1998</v>
      </c>
      <c r="R466" s="443">
        <f t="shared" si="307"/>
        <v>162336265.95336616</v>
      </c>
      <c r="S466" s="443">
        <f t="shared" ref="S466:Z466" ca="1" si="332">IF(OFFSET(INDIRECT(S$337),$P466,0)="",S465,OFFSET(INDIRECT(S$337),$P466,0))</f>
        <v>162336265.95336616</v>
      </c>
      <c r="T466" s="443">
        <f t="shared" ca="1" si="332"/>
        <v>136313109.74242854</v>
      </c>
      <c r="U466" s="443">
        <f t="shared" ca="1" si="332"/>
        <v>580750523.16738677</v>
      </c>
      <c r="V466" s="443">
        <f t="shared" ca="1" si="332"/>
        <v>12345144.120530687</v>
      </c>
      <c r="W466" s="209">
        <f t="shared" ca="1" si="332"/>
        <v>0</v>
      </c>
      <c r="X466" s="209">
        <f t="shared" ca="1" si="332"/>
        <v>0</v>
      </c>
      <c r="Y466" s="443">
        <f t="shared" ca="1" si="332"/>
        <v>10366167.876322892</v>
      </c>
      <c r="Z466" s="443">
        <f t="shared" ca="1" si="332"/>
        <v>44164185.152777441</v>
      </c>
      <c r="AA466" s="388">
        <f t="shared" ca="1" si="317"/>
        <v>0.1065395001347913</v>
      </c>
      <c r="AB466" s="388">
        <f t="shared" ca="1" si="317"/>
        <v>3.4924080852497763E-2</v>
      </c>
      <c r="AC466" s="388">
        <f t="shared" ca="1" si="317"/>
        <v>5.9735504700628494E-2</v>
      </c>
      <c r="AD466" s="388">
        <f t="shared" ca="1" si="317"/>
        <v>6.5176593481703238E-2</v>
      </c>
      <c r="AE466" s="388">
        <f t="shared" ca="1" si="317"/>
        <v>7.893503231290655E-2</v>
      </c>
      <c r="AF466" s="388">
        <f t="shared" ca="1" si="317"/>
        <v>1.1457531156323197E-2</v>
      </c>
      <c r="AG466" s="388">
        <f t="shared" ca="1" si="317"/>
        <v>3.2123217953478944E-2</v>
      </c>
      <c r="AH466" s="388">
        <f t="shared" ca="1" si="317"/>
        <v>4.1905486898740074E-2</v>
      </c>
    </row>
    <row r="467" spans="1:34">
      <c r="A467" s="165">
        <f t="shared" si="255"/>
        <v>1999</v>
      </c>
      <c r="B467" s="206" t="str">
        <f>IF(AND($A467&gt;=SYear_O,$A467&lt;=EYear_O),IF(B$336&gt;0,B$336*Data_All!$B136,""),"")</f>
        <v/>
      </c>
      <c r="C467" s="206">
        <f>IF(AND($A467&gt;=SYear_O,$A467&lt;=EYear_O),IF(C$336&gt;0,C$336*Data_All!$D136,""),"")</f>
        <v>12.641999999999999</v>
      </c>
      <c r="D467" s="206" t="str">
        <f>IF(AND($A467&gt;=SYear_O,$A467&lt;=EYear_O),IF(D$336&gt;0,D$336*Data_All!$T136,""),"")</f>
        <v/>
      </c>
      <c r="E467" s="206">
        <f>IF(AND($A467&gt;=SYear_O,$A467&lt;=EYear_O),IF(E$336&gt;0,E$336*Data_All!$U136,""),"")</f>
        <v>-0.30400000000000005</v>
      </c>
      <c r="F467" s="206" t="str">
        <f>IF(AND($A467&gt;=SYear_O,$A467&lt;=EYear_O),IF(F$336&gt;0,F$336*Data_All!$BX136,""),"")</f>
        <v/>
      </c>
      <c r="G467" s="206" t="str">
        <f>IF(AND($A467&gt;=SYear_O,$A467&lt;=EYear_O),IF(G$336&gt;0,G$336*Data_All!$BY136,""),"")</f>
        <v/>
      </c>
      <c r="H467" s="206" t="str">
        <f>IF(AND($A467&gt;=SYear_O,$A467&lt;=EYear_O),IF(H$336&gt;0,H$336*Data_All!$BZ136,""),"")</f>
        <v/>
      </c>
      <c r="I467" s="206">
        <f t="shared" si="303"/>
        <v>12.337999999999999</v>
      </c>
      <c r="J467" s="446">
        <f t="shared" si="304"/>
        <v>153131421.22244939</v>
      </c>
      <c r="K467" s="206">
        <f>IF(AND($A467&gt;=SYear_O,$A467&lt;=EYear_O),(I467-Data_All!$CA136)/(1+Data_All!$CA136%),"")</f>
        <v>9.4010588235294144</v>
      </c>
      <c r="L467" s="447">
        <f t="shared" si="305"/>
        <v>11340697.416121816</v>
      </c>
      <c r="P467">
        <f t="shared" si="256"/>
        <v>128</v>
      </c>
      <c r="Q467">
        <f t="shared" ca="1" si="306"/>
        <v>1999</v>
      </c>
      <c r="R467" s="443">
        <f t="shared" si="307"/>
        <v>175338101.2514928</v>
      </c>
      <c r="S467" s="443">
        <f t="shared" ref="S467:Z467" ca="1" si="333">IF(OFFSET(INDIRECT(S$337),$P467,0)="",S466,OFFSET(INDIRECT(S$337),$P467,0))</f>
        <v>175338101.2514928</v>
      </c>
      <c r="T467" s="443">
        <f t="shared" ca="1" si="333"/>
        <v>153131421.22244939</v>
      </c>
      <c r="U467" s="443">
        <f t="shared" ca="1" si="333"/>
        <v>670480796.57147765</v>
      </c>
      <c r="V467" s="443">
        <f t="shared" ca="1" si="333"/>
        <v>12985292.867633888</v>
      </c>
      <c r="W467" s="209">
        <f t="shared" ca="1" si="333"/>
        <v>0</v>
      </c>
      <c r="X467" s="209">
        <f t="shared" ca="1" si="333"/>
        <v>0</v>
      </c>
      <c r="Y467" s="443">
        <f t="shared" ca="1" si="333"/>
        <v>11340697.416121816</v>
      </c>
      <c r="Z467" s="443">
        <f t="shared" ca="1" si="333"/>
        <v>49654863.623264939</v>
      </c>
      <c r="AA467" s="388">
        <f t="shared" ca="1" si="317"/>
        <v>1.6676174487264328E-2</v>
      </c>
      <c r="AB467" s="388">
        <f t="shared" ca="1" si="317"/>
        <v>2.8460316856254275E-2</v>
      </c>
      <c r="AC467" s="388">
        <f t="shared" ca="1" si="317"/>
        <v>1.9413148465914354E-2</v>
      </c>
      <c r="AD467" s="388">
        <f t="shared" ca="1" si="317"/>
        <v>5.1649131120401703E-2</v>
      </c>
      <c r="AE467" s="388">
        <f t="shared" ca="1" si="317"/>
        <v>-8.4907257705137962E-3</v>
      </c>
      <c r="AF467" s="388">
        <f t="shared" ca="1" si="317"/>
        <v>4.6117717044427131E-3</v>
      </c>
      <c r="AG467" s="388">
        <f t="shared" ca="1" si="317"/>
        <v>-5.6504756192508054E-3</v>
      </c>
      <c r="AH467" s="388">
        <f t="shared" ca="1" si="317"/>
        <v>2.9201453847734982E-2</v>
      </c>
    </row>
    <row r="468" spans="1:34">
      <c r="A468" s="165">
        <f t="shared" si="255"/>
        <v>2000</v>
      </c>
      <c r="B468" s="206" t="str">
        <f>IF(AND($A468&gt;=SYear_O,$A468&lt;=EYear_O),IF(B$336&gt;0,B$336*Data_All!$B137,""),"")</f>
        <v/>
      </c>
      <c r="C468" s="206">
        <f>IF(AND($A468&gt;=SYear_O,$A468&lt;=EYear_O),IF(C$336&gt;0,C$336*Data_All!$D137,""),"")</f>
        <v>-5.4359999999999999</v>
      </c>
      <c r="D468" s="206" t="str">
        <f>IF(AND($A468&gt;=SYear_O,$A468&lt;=EYear_O),IF(D$336&gt;0,D$336*Data_All!$T137,""),"")</f>
        <v/>
      </c>
      <c r="E468" s="206">
        <f>IF(AND($A468&gt;=SYear_O,$A468&lt;=EYear_O),IF(E$336&gt;0,E$336*Data_All!$U137,""),"")</f>
        <v>4.556</v>
      </c>
      <c r="F468" s="206" t="str">
        <f>IF(AND($A468&gt;=SYear_O,$A468&lt;=EYear_O),IF(F$336&gt;0,F$336*Data_All!$BX137,""),"")</f>
        <v/>
      </c>
      <c r="G468" s="206" t="str">
        <f>IF(AND($A468&gt;=SYear_O,$A468&lt;=EYear_O),IF(G$336&gt;0,G$336*Data_All!$BY137,""),"")</f>
        <v/>
      </c>
      <c r="H468" s="206" t="str">
        <f>IF(AND($A468&gt;=SYear_O,$A468&lt;=EYear_O),IF(H$336&gt;0,H$336*Data_All!$BZ137,""),"")</f>
        <v/>
      </c>
      <c r="I468" s="206">
        <f t="shared" si="303"/>
        <v>-0.87999999999999989</v>
      </c>
      <c r="J468" s="446">
        <f t="shared" si="304"/>
        <v>151783864.71569183</v>
      </c>
      <c r="K468" s="206">
        <f>IF(AND($A468&gt;=SYear_O,$A468&lt;=EYear_O),(I468-Data_All!$CA137)/(1+Data_All!$CA137%),"")</f>
        <v>-4.1270344827586056</v>
      </c>
      <c r="L468" s="447">
        <f t="shared" si="305"/>
        <v>10872662.923173154</v>
      </c>
      <c r="P468">
        <f t="shared" si="256"/>
        <v>129</v>
      </c>
      <c r="Q468">
        <f t="shared" ca="1" si="306"/>
        <v>2000</v>
      </c>
      <c r="R468" s="443">
        <f t="shared" si="307"/>
        <v>179699010.52697098</v>
      </c>
      <c r="S468" s="443">
        <f t="shared" ref="S468:Z468" ca="1" si="334">IF(OFFSET(INDIRECT(S$337),$P468,0)="",S467,OFFSET(INDIRECT(S$337),$P468,0))</f>
        <v>179699010.52697098</v>
      </c>
      <c r="T468" s="443">
        <f t="shared" ca="1" si="334"/>
        <v>151783864.71569183</v>
      </c>
      <c r="U468" s="443">
        <f t="shared" ca="1" si="334"/>
        <v>636083447.92513907</v>
      </c>
      <c r="V468" s="443">
        <f t="shared" ca="1" si="334"/>
        <v>12872295.56809086</v>
      </c>
      <c r="W468" s="209">
        <f t="shared" ca="1" si="334"/>
        <v>0</v>
      </c>
      <c r="X468" s="209">
        <f t="shared" ca="1" si="334"/>
        <v>5.1302511305663656E-2</v>
      </c>
      <c r="Y468" s="443">
        <f t="shared" ca="1" si="334"/>
        <v>10872662.923173154</v>
      </c>
      <c r="Z468" s="443">
        <f t="shared" ca="1" si="334"/>
        <v>45564269.517409533</v>
      </c>
      <c r="AA468" s="388">
        <f t="shared" ca="1" si="317"/>
        <v>-3.5200593046810336E-2</v>
      </c>
      <c r="AB468" s="388">
        <f t="shared" ca="1" si="317"/>
        <v>2.1741731087173033E-2</v>
      </c>
      <c r="AC468" s="388">
        <f t="shared" ca="1" si="317"/>
        <v>2.9115831102028533E-2</v>
      </c>
      <c r="AD468" s="388" t="str">
        <f t="shared" ca="1" si="317"/>
        <v/>
      </c>
      <c r="AE468" s="388">
        <f t="shared" ca="1" si="317"/>
        <v>-5.8141754388014499E-2</v>
      </c>
      <c r="AF468" s="388">
        <f t="shared" ca="1" si="317"/>
        <v>-3.0573009917888028E-3</v>
      </c>
      <c r="AG468" s="388">
        <f t="shared" ca="1" si="317"/>
        <v>3.7777180925886444E-3</v>
      </c>
      <c r="AH468" s="388" t="str">
        <f t="shared" ca="1" si="317"/>
        <v/>
      </c>
    </row>
    <row r="469" spans="1:34">
      <c r="A469" s="165">
        <f t="shared" si="255"/>
        <v>2001</v>
      </c>
      <c r="B469" s="206" t="str">
        <f>IF(AND($A469&gt;=SYear_O,$A469&lt;=EYear_O),IF(B$336&gt;0,B$336*Data_All!$B138,""),"")</f>
        <v/>
      </c>
      <c r="C469" s="206">
        <f>IF(AND($A469&gt;=SYear_O,$A469&lt;=EYear_O),IF(C$336&gt;0,C$336*Data_All!$D138,""),"")</f>
        <v>-7.2119999999999997</v>
      </c>
      <c r="D469" s="206" t="str">
        <f>IF(AND($A469&gt;=SYear_O,$A469&lt;=EYear_O),IF(D$336&gt;0,D$336*Data_All!$T138,""),"")</f>
        <v/>
      </c>
      <c r="E469" s="206">
        <f>IF(AND($A469&gt;=SYear_O,$A469&lt;=EYear_O),IF(E$336&gt;0,E$336*Data_All!$U138,""),"")</f>
        <v>3.3719999999999999</v>
      </c>
      <c r="F469" s="206" t="str">
        <f>IF(AND($A469&gt;=SYear_O,$A469&lt;=EYear_O),IF(F$336&gt;0,F$336*Data_All!$BX138,""),"")</f>
        <v/>
      </c>
      <c r="G469" s="206" t="str">
        <f>IF(AND($A469&gt;=SYear_O,$A469&lt;=EYear_O),IF(G$336&gt;0,G$336*Data_All!$BY138,""),"")</f>
        <v/>
      </c>
      <c r="H469" s="206" t="str">
        <f>IF(AND($A469&gt;=SYear_O,$A469&lt;=EYear_O),IF(H$336&gt;0,H$336*Data_All!$BZ138,""),"")</f>
        <v/>
      </c>
      <c r="I469" s="206">
        <f t="shared" si="303"/>
        <v>-3.84</v>
      </c>
      <c r="J469" s="446">
        <f t="shared" si="304"/>
        <v>145955364.31060928</v>
      </c>
      <c r="K469" s="206">
        <f>IF(AND($A469&gt;=SYear_O,$A469&lt;=EYear_O),(I469-Data_All!$CA138)/(1+Data_All!$CA138%),"")</f>
        <v>-5.3093378607809827</v>
      </c>
      <c r="L469" s="447">
        <f t="shared" si="305"/>
        <v>10295396.514118025</v>
      </c>
      <c r="P469">
        <f t="shared" si="256"/>
        <v>130</v>
      </c>
      <c r="Q469">
        <f t="shared" ca="1" si="306"/>
        <v>2001</v>
      </c>
      <c r="R469" s="443">
        <f t="shared" si="307"/>
        <v>170593897.0991168</v>
      </c>
      <c r="S469" s="443">
        <f t="shared" ref="S469:Z469" ca="1" si="335">IF(OFFSET(INDIRECT(S$337),$P469,0)="",S468,OFFSET(INDIRECT(S$337),$P469,0))</f>
        <v>170593897.0991168</v>
      </c>
      <c r="T469" s="443">
        <f t="shared" ca="1" si="335"/>
        <v>145955364.31060928</v>
      </c>
      <c r="U469" s="443">
        <f t="shared" ca="1" si="335"/>
        <v>550837298.64333665</v>
      </c>
      <c r="V469" s="443">
        <f t="shared" ca="1" si="335"/>
        <v>12033348.837980283</v>
      </c>
      <c r="W469" s="209">
        <f t="shared" ca="1" si="335"/>
        <v>5.0668689833924252E-2</v>
      </c>
      <c r="X469" s="209">
        <f t="shared" ca="1" si="335"/>
        <v>0.17844433209711807</v>
      </c>
      <c r="Y469" s="443">
        <f t="shared" ca="1" si="335"/>
        <v>10295396.514118025</v>
      </c>
      <c r="Z469" s="443">
        <f t="shared" ca="1" si="335"/>
        <v>38854950.14921204</v>
      </c>
      <c r="AA469" s="388">
        <f t="shared" ca="1" si="317"/>
        <v>1.2983848050571289E-2</v>
      </c>
      <c r="AB469" s="388">
        <f t="shared" ca="1" si="317"/>
        <v>3.0342962392232442E-2</v>
      </c>
      <c r="AC469" s="388">
        <f t="shared" ca="1" si="317"/>
        <v>3.8432364912873496E-2</v>
      </c>
      <c r="AD469" s="388" t="str">
        <f t="shared" ca="1" si="317"/>
        <v/>
      </c>
      <c r="AE469" s="388">
        <f t="shared" ca="1" si="317"/>
        <v>-6.2499619090257141E-3</v>
      </c>
      <c r="AF469" s="388">
        <f t="shared" ca="1" si="317"/>
        <v>5.2790683686416706E-3</v>
      </c>
      <c r="AG469" s="388">
        <f t="shared" ca="1" si="317"/>
        <v>1.4736415601701802E-2</v>
      </c>
      <c r="AH469" s="388" t="str">
        <f t="shared" ca="1" si="317"/>
        <v/>
      </c>
    </row>
    <row r="470" spans="1:34">
      <c r="A470" s="165">
        <f t="shared" ref="A470:A484" si="336">A469+1</f>
        <v>2002</v>
      </c>
      <c r="B470" s="206" t="str">
        <f>IF(AND($A470&gt;=SYear_O,$A470&lt;=EYear_O),IF(B$336&gt;0,B$336*Data_All!$B139,""),"")</f>
        <v/>
      </c>
      <c r="C470" s="206">
        <f>IF(AND($A470&gt;=SYear_O,$A470&lt;=EYear_O),IF(C$336&gt;0,C$336*Data_All!$D139,""),"")</f>
        <v>-13.29</v>
      </c>
      <c r="D470" s="206" t="str">
        <f>IF(AND($A470&gt;=SYear_O,$A470&lt;=EYear_O),IF(D$336&gt;0,D$336*Data_All!$T139,""),"")</f>
        <v/>
      </c>
      <c r="E470" s="206">
        <f>IF(AND($A470&gt;=SYear_O,$A470&lt;=EYear_O),IF(E$336&gt;0,E$336*Data_All!$U139,""),"")</f>
        <v>3.3040000000000003</v>
      </c>
      <c r="F470" s="206" t="str">
        <f>IF(AND($A470&gt;=SYear_O,$A470&lt;=EYear_O),IF(F$336&gt;0,F$336*Data_All!$BX139,""),"")</f>
        <v/>
      </c>
      <c r="G470" s="206" t="str">
        <f>IF(AND($A470&gt;=SYear_O,$A470&lt;=EYear_O),IF(G$336&gt;0,G$336*Data_All!$BY139,""),"")</f>
        <v/>
      </c>
      <c r="H470" s="206" t="str">
        <f>IF(AND($A470&gt;=SYear_O,$A470&lt;=EYear_O),IF(H$336&gt;0,H$336*Data_All!$BZ139,""),"")</f>
        <v/>
      </c>
      <c r="I470" s="206">
        <f t="shared" si="303"/>
        <v>-9.9859999999999989</v>
      </c>
      <c r="J470" s="446">
        <f t="shared" si="304"/>
        <v>131380261.63055184</v>
      </c>
      <c r="K470" s="206">
        <f>IF(AND($A470&gt;=SYear_O,$A470&lt;=EYear_O),(I470-Data_All!$CA139)/(1+Data_All!$CA139%),"")</f>
        <v>-12.075877280265338</v>
      </c>
      <c r="L470" s="447">
        <f t="shared" si="305"/>
        <v>9052137.0655564182</v>
      </c>
      <c r="P470">
        <f t="shared" ref="P470:P484" si="337">P469+1</f>
        <v>131</v>
      </c>
      <c r="Q470">
        <f t="shared" ca="1" si="306"/>
        <v>2002</v>
      </c>
      <c r="R470" s="443">
        <f t="shared" si="307"/>
        <v>157466212.91375217</v>
      </c>
      <c r="S470" s="443">
        <f t="shared" ref="S470:Z470" ca="1" si="338">IF(OFFSET(INDIRECT(S$337),$P470,0)="",S469,OFFSET(INDIRECT(S$337),$P470,0))</f>
        <v>157466212.91375217</v>
      </c>
      <c r="T470" s="443">
        <f t="shared" ca="1" si="338"/>
        <v>131380261.63055184</v>
      </c>
      <c r="U470" s="443">
        <f t="shared" ca="1" si="338"/>
        <v>441058931.40652567</v>
      </c>
      <c r="V470" s="443">
        <f t="shared" ca="1" si="338"/>
        <v>10849466.463217225</v>
      </c>
      <c r="W470" s="209">
        <f t="shared" ca="1" si="338"/>
        <v>0.1237224264508785</v>
      </c>
      <c r="X470" s="209">
        <f t="shared" ca="1" si="338"/>
        <v>0.34217514705582497</v>
      </c>
      <c r="Y470" s="443">
        <f t="shared" ca="1" si="338"/>
        <v>9052137.0655564182</v>
      </c>
      <c r="Z470" s="443">
        <f t="shared" ca="1" si="338"/>
        <v>30389084.718881998</v>
      </c>
      <c r="AA470" s="388">
        <f t="shared" ca="1" si="317"/>
        <v>4.6018797363405639E-2</v>
      </c>
      <c r="AB470" s="388">
        <f t="shared" ca="1" si="317"/>
        <v>5.9332505779947864E-2</v>
      </c>
      <c r="AC470" s="388">
        <f t="shared" ca="1" si="317"/>
        <v>4.9818388013323167E-2</v>
      </c>
      <c r="AD470" s="388" t="str">
        <f t="shared" ca="1" si="317"/>
        <v/>
      </c>
      <c r="AE470" s="388">
        <f t="shared" ca="1" si="317"/>
        <v>2.0482142697573646E-2</v>
      </c>
      <c r="AF470" s="388">
        <f t="shared" ca="1" si="317"/>
        <v>3.1562097133556399E-2</v>
      </c>
      <c r="AG470" s="388">
        <f t="shared" ca="1" si="317"/>
        <v>2.4448338722329321E-2</v>
      </c>
      <c r="AH470" s="388" t="str">
        <f t="shared" ca="1" si="317"/>
        <v/>
      </c>
    </row>
    <row r="471" spans="1:34">
      <c r="A471" s="165">
        <f t="shared" si="336"/>
        <v>2003</v>
      </c>
      <c r="B471" s="206" t="str">
        <f>IF(AND($A471&gt;=SYear_O,$A471&lt;=EYear_O),IF(B$336&gt;0,B$336*Data_All!$B140,""),"")</f>
        <v/>
      </c>
      <c r="C471" s="206">
        <f>IF(AND($A471&gt;=SYear_O,$A471&lt;=EYear_O),IF(C$336&gt;0,C$336*Data_All!$D140,""),"")</f>
        <v>17.099999999999998</v>
      </c>
      <c r="D471" s="206" t="str">
        <f>IF(AND($A471&gt;=SYear_O,$A471&lt;=EYear_O),IF(D$336&gt;0,D$336*Data_All!$T140,""),"")</f>
        <v/>
      </c>
      <c r="E471" s="206">
        <f>IF(AND($A471&gt;=SYear_O,$A471&lt;=EYear_O),IF(E$336&gt;0,E$336*Data_All!$U140,""),"")</f>
        <v>1.5880000000000001</v>
      </c>
      <c r="F471" s="206" t="str">
        <f>IF(AND($A471&gt;=SYear_O,$A471&lt;=EYear_O),IF(F$336&gt;0,F$336*Data_All!$BX140,""),"")</f>
        <v/>
      </c>
      <c r="G471" s="206" t="str">
        <f>IF(AND($A471&gt;=SYear_O,$A471&lt;=EYear_O),IF(G$336&gt;0,G$336*Data_All!$BY140,""),"")</f>
        <v/>
      </c>
      <c r="H471" s="206" t="str">
        <f>IF(AND($A471&gt;=SYear_O,$A471&lt;=EYear_O),IF(H$336&gt;0,H$336*Data_All!$BZ140,""),"")</f>
        <v/>
      </c>
      <c r="I471" s="206">
        <f t="shared" si="303"/>
        <v>18.687999999999999</v>
      </c>
      <c r="J471" s="446">
        <f t="shared" si="304"/>
        <v>155932604.92406937</v>
      </c>
      <c r="K471" s="206">
        <f>IF(AND($A471&gt;=SYear_O,$A471&lt;=EYear_O),(I471-Data_All!$CA140)/(1+Data_All!$CA140%),"")</f>
        <v>16.498422137818757</v>
      </c>
      <c r="L471" s="447">
        <f t="shared" si="305"/>
        <v>10545596.851125875</v>
      </c>
      <c r="P471">
        <f t="shared" si="337"/>
        <v>132</v>
      </c>
      <c r="Q471">
        <f t="shared" ca="1" si="306"/>
        <v>2003</v>
      </c>
      <c r="R471" s="443">
        <f t="shared" si="307"/>
        <v>186789838.94333521</v>
      </c>
      <c r="S471" s="443">
        <f t="shared" ref="S471:Z471" ca="1" si="339">IF(OFFSET(INDIRECT(S$337),$P471,0)="",S470,OFFSET(INDIRECT(S$337),$P471,0))</f>
        <v>186789838.94333521</v>
      </c>
      <c r="T471" s="443">
        <f t="shared" ca="1" si="339"/>
        <v>155932604.92406937</v>
      </c>
      <c r="U471" s="443">
        <f t="shared" ca="1" si="339"/>
        <v>565698379.53177404</v>
      </c>
      <c r="V471" s="443">
        <f t="shared" ca="1" si="339"/>
        <v>12632446.808301175</v>
      </c>
      <c r="W471" s="209">
        <f t="shared" ca="1" si="339"/>
        <v>0</v>
      </c>
      <c r="X471" s="209">
        <f t="shared" ca="1" si="339"/>
        <v>0.15627951997359424</v>
      </c>
      <c r="Y471" s="443">
        <f t="shared" ca="1" si="339"/>
        <v>10545596.851125875</v>
      </c>
      <c r="Z471" s="443">
        <f t="shared" ca="1" si="339"/>
        <v>38257727.13014207</v>
      </c>
      <c r="AA471" s="388">
        <f t="shared" ca="1" si="317"/>
        <v>9.8388008141726102E-2</v>
      </c>
      <c r="AB471" s="388">
        <f t="shared" ca="1" si="317"/>
        <v>8.5141761314525333E-2</v>
      </c>
      <c r="AC471" s="388">
        <f t="shared" ca="1" si="317"/>
        <v>6.9072401873518263E-2</v>
      </c>
      <c r="AD471" s="388" t="str">
        <f t="shared" ca="1" si="317"/>
        <v/>
      </c>
      <c r="AE471" s="388">
        <f t="shared" ca="1" si="317"/>
        <v>6.7973001193344817E-2</v>
      </c>
      <c r="AF471" s="388">
        <f t="shared" ca="1" si="317"/>
        <v>5.3211137615231552E-2</v>
      </c>
      <c r="AG471" s="388">
        <f t="shared" ca="1" si="317"/>
        <v>4.3887260503656655E-2</v>
      </c>
      <c r="AH471" s="388" t="str">
        <f t="shared" ca="1" si="317"/>
        <v/>
      </c>
    </row>
    <row r="472" spans="1:34">
      <c r="A472" s="165">
        <f t="shared" si="336"/>
        <v>2004</v>
      </c>
      <c r="B472" s="206" t="str">
        <f>IF(AND($A472&gt;=SYear_O,$A472&lt;=EYear_O),IF(B$336&gt;0,B$336*Data_All!$B141,""),"")</f>
        <v/>
      </c>
      <c r="C472" s="206">
        <f>IF(AND($A472&gt;=SYear_O,$A472&lt;=EYear_O),IF(C$336&gt;0,C$336*Data_All!$D141,""),"")</f>
        <v>6.444</v>
      </c>
      <c r="D472" s="206" t="str">
        <f>IF(AND($A472&gt;=SYear_O,$A472&lt;=EYear_O),IF(D$336&gt;0,D$336*Data_All!$T141,""),"")</f>
        <v/>
      </c>
      <c r="E472" s="206">
        <f>IF(AND($A472&gt;=SYear_O,$A472&lt;=EYear_O),IF(E$336&gt;0,E$336*Data_All!$U141,""),"")</f>
        <v>1.6960000000000002</v>
      </c>
      <c r="F472" s="206" t="str">
        <f>IF(AND($A472&gt;=SYear_O,$A472&lt;=EYear_O),IF(F$336&gt;0,F$336*Data_All!$BX141,""),"")</f>
        <v/>
      </c>
      <c r="G472" s="206" t="str">
        <f>IF(AND($A472&gt;=SYear_O,$A472&lt;=EYear_O),IF(G$336&gt;0,G$336*Data_All!$BY141,""),"")</f>
        <v/>
      </c>
      <c r="H472" s="206" t="str">
        <f>IF(AND($A472&gt;=SYear_O,$A472&lt;=EYear_O),IF(H$336&gt;0,H$336*Data_All!$BZ141,""),"")</f>
        <v/>
      </c>
      <c r="I472" s="206">
        <f t="shared" si="303"/>
        <v>8.14</v>
      </c>
      <c r="J472" s="446">
        <f t="shared" si="304"/>
        <v>168625518.9648886</v>
      </c>
      <c r="K472" s="206">
        <f>IF(AND($A472&gt;=SYear_O,$A472&lt;=EYear_O),(I472-Data_All!$CA141)/(1+Data_All!$CA141%),"")</f>
        <v>4.7304361534419375</v>
      </c>
      <c r="L472" s="447">
        <f t="shared" si="305"/>
        <v>11044449.577167768</v>
      </c>
      <c r="P472">
        <f t="shared" si="337"/>
        <v>133</v>
      </c>
      <c r="Q472">
        <f t="shared" ca="1" si="306"/>
        <v>2004</v>
      </c>
      <c r="R472" s="443">
        <f t="shared" si="307"/>
        <v>195245915.63043866</v>
      </c>
      <c r="S472" s="443">
        <f t="shared" ref="S472:Z472" ca="1" si="340">IF(OFFSET(INDIRECT(S$337),$P472,0)="",S471,OFFSET(INDIRECT(S$337),$P472,0))</f>
        <v>195245915.63043866</v>
      </c>
      <c r="T472" s="443">
        <f t="shared" ca="1" si="340"/>
        <v>168625518.9648886</v>
      </c>
      <c r="U472" s="443">
        <f t="shared" ca="1" si="340"/>
        <v>599757147.52203035</v>
      </c>
      <c r="V472" s="443">
        <f t="shared" ca="1" si="340"/>
        <v>12788003.165626075</v>
      </c>
      <c r="W472" s="209">
        <f t="shared" ca="1" si="340"/>
        <v>0</v>
      </c>
      <c r="X472" s="209">
        <f t="shared" ca="1" si="340"/>
        <v>0.10548199055229412</v>
      </c>
      <c r="Y472" s="443">
        <f t="shared" ca="1" si="340"/>
        <v>11044449.577167768</v>
      </c>
      <c r="Z472" s="443">
        <f t="shared" ca="1" si="340"/>
        <v>39282236.846561149</v>
      </c>
      <c r="AA472" s="388">
        <f t="shared" ca="1" si="317"/>
        <v>6.8047527743940739E-2</v>
      </c>
      <c r="AB472" s="388">
        <f t="shared" ca="1" si="317"/>
        <v>1.044556628278337E-2</v>
      </c>
      <c r="AC472" s="388">
        <f t="shared" ca="1" si="317"/>
        <v>6.5361134105310414E-2</v>
      </c>
      <c r="AD472" s="388" t="str">
        <f t="shared" ca="1" si="317"/>
        <v/>
      </c>
      <c r="AE472" s="388">
        <f t="shared" ca="1" si="317"/>
        <v>3.6235906369216586E-2</v>
      </c>
      <c r="AF472" s="388">
        <f t="shared" ca="1" si="317"/>
        <v>-1.580789267607019E-2</v>
      </c>
      <c r="AG472" s="388">
        <f t="shared" ca="1" si="317"/>
        <v>4.0649927254332585E-2</v>
      </c>
      <c r="AH472" s="388" t="str">
        <f t="shared" ca="1" si="317"/>
        <v/>
      </c>
    </row>
    <row r="473" spans="1:34">
      <c r="A473" s="165">
        <f t="shared" si="336"/>
        <v>2005</v>
      </c>
      <c r="B473" s="206" t="str">
        <f>IF(AND($A473&gt;=SYear_O,$A473&lt;=EYear_O),IF(B$336&gt;0,B$336*Data_All!$B142,""),"")</f>
        <v/>
      </c>
      <c r="C473" s="206">
        <f>IF(AND($A473&gt;=SYear_O,$A473&lt;=EYear_O),IF(C$336&gt;0,C$336*Data_All!$D142,""),"")</f>
        <v>2.8619999999999997</v>
      </c>
      <c r="D473" s="206" t="str">
        <f>IF(AND($A473&gt;=SYear_O,$A473&lt;=EYear_O),IF(D$336&gt;0,D$336*Data_All!$T142,""),"")</f>
        <v/>
      </c>
      <c r="E473" s="206">
        <f>IF(AND($A473&gt;=SYear_O,$A473&lt;=EYear_O),IF(E$336&gt;0,E$336*Data_All!$U142,""),"")</f>
        <v>0.96</v>
      </c>
      <c r="F473" s="206" t="str">
        <f>IF(AND($A473&gt;=SYear_O,$A473&lt;=EYear_O),IF(F$336&gt;0,F$336*Data_All!$BX142,""),"")</f>
        <v/>
      </c>
      <c r="G473" s="206" t="str">
        <f>IF(AND($A473&gt;=SYear_O,$A473&lt;=EYear_O),IF(G$336&gt;0,G$336*Data_All!$BY142,""),"")</f>
        <v/>
      </c>
      <c r="H473" s="206" t="str">
        <f>IF(AND($A473&gt;=SYear_O,$A473&lt;=EYear_O),IF(H$336&gt;0,H$336*Data_All!$BZ142,""),"")</f>
        <v/>
      </c>
      <c r="I473" s="206">
        <f t="shared" si="303"/>
        <v>3.8219999999999996</v>
      </c>
      <c r="J473" s="446">
        <f t="shared" si="304"/>
        <v>175070386.29972664</v>
      </c>
      <c r="K473" s="206">
        <f>IF(AND($A473&gt;=SYear_O,$A473&lt;=EYear_O),(I473-Data_All!$CA142)/(1+Data_All!$CA142%),"")</f>
        <v>0.39291971544715332</v>
      </c>
      <c r="L473" s="447">
        <f t="shared" si="305"/>
        <v>11087845.397019079</v>
      </c>
      <c r="P473">
        <f t="shared" si="337"/>
        <v>134</v>
      </c>
      <c r="Q473">
        <f t="shared" ca="1" si="306"/>
        <v>2005</v>
      </c>
      <c r="R473" s="443">
        <f t="shared" si="307"/>
        <v>208667460.6794768</v>
      </c>
      <c r="S473" s="443">
        <f t="shared" ref="S473:Z473" ca="1" si="341">IF(OFFSET(INDIRECT(S$337),$P473,0)="",S472,OFFSET(INDIRECT(S$337),$P473,0))</f>
        <v>208667460.6794768</v>
      </c>
      <c r="T473" s="443">
        <f t="shared" ca="1" si="341"/>
        <v>175070386.29972664</v>
      </c>
      <c r="U473" s="443">
        <f t="shared" ca="1" si="341"/>
        <v>660283738.79059255</v>
      </c>
      <c r="V473" s="443">
        <f t="shared" ca="1" si="341"/>
        <v>13215670.521463929</v>
      </c>
      <c r="W473" s="209">
        <f t="shared" ca="1" si="341"/>
        <v>0</v>
      </c>
      <c r="X473" s="209">
        <f t="shared" ca="1" si="341"/>
        <v>1.5208575447690498E-2</v>
      </c>
      <c r="Y473" s="443">
        <f t="shared" ca="1" si="341"/>
        <v>11087845.397019079</v>
      </c>
      <c r="Z473" s="443">
        <f t="shared" ca="1" si="341"/>
        <v>41818174.784522429</v>
      </c>
      <c r="AA473" s="388">
        <f t="shared" ca="1" si="317"/>
        <v>6.6627076666584406E-2</v>
      </c>
      <c r="AB473" s="388">
        <f t="shared" ca="1" si="317"/>
        <v>3.6543151367535165E-2</v>
      </c>
      <c r="AC473" s="388">
        <f t="shared" ca="1" si="317"/>
        <v>7.1082789760755771E-2</v>
      </c>
      <c r="AD473" s="388" t="str">
        <f t="shared" ca="1" si="317"/>
        <v/>
      </c>
      <c r="AE473" s="388">
        <f t="shared" ca="1" si="317"/>
        <v>3.2113885074799509E-2</v>
      </c>
      <c r="AF473" s="388">
        <f t="shared" ca="1" si="317"/>
        <v>1.0659597930277709E-2</v>
      </c>
      <c r="AG473" s="388">
        <f t="shared" ca="1" si="317"/>
        <v>4.8805343028144765E-2</v>
      </c>
      <c r="AH473" s="388" t="str">
        <f t="shared" ca="1" si="317"/>
        <v/>
      </c>
    </row>
    <row r="474" spans="1:34">
      <c r="A474" s="165">
        <f t="shared" si="336"/>
        <v>2006</v>
      </c>
      <c r="B474" s="206" t="str">
        <f>IF(AND($A474&gt;=SYear_O,$A474&lt;=EYear_O),IF(B$336&gt;0,B$336*Data_All!$B143,""),"")</f>
        <v/>
      </c>
      <c r="C474" s="206">
        <f>IF(AND($A474&gt;=SYear_O,$A474&lt;=EYear_O),IF(C$336&gt;0,C$336*Data_All!$D143,""),"")</f>
        <v>9.3840000000000003</v>
      </c>
      <c r="D474" s="206" t="str">
        <f>IF(AND($A474&gt;=SYear_O,$A474&lt;=EYear_O),IF(D$336&gt;0,D$336*Data_All!$T143,""),"")</f>
        <v/>
      </c>
      <c r="E474" s="206">
        <f>IF(AND($A474&gt;=SYear_O,$A474&lt;=EYear_O),IF(E$336&gt;0,E$336*Data_All!$U143,""),"")</f>
        <v>1.708</v>
      </c>
      <c r="F474" s="206" t="str">
        <f>IF(AND($A474&gt;=SYear_O,$A474&lt;=EYear_O),IF(F$336&gt;0,F$336*Data_All!$BX143,""),"")</f>
        <v/>
      </c>
      <c r="G474" s="206" t="str">
        <f>IF(AND($A474&gt;=SYear_O,$A474&lt;=EYear_O),IF(G$336&gt;0,G$336*Data_All!$BY143,""),"")</f>
        <v/>
      </c>
      <c r="H474" s="206" t="str">
        <f>IF(AND($A474&gt;=SYear_O,$A474&lt;=EYear_O),IF(H$336&gt;0,H$336*Data_All!$BZ143,""),"")</f>
        <v/>
      </c>
      <c r="I474" s="206">
        <f t="shared" si="303"/>
        <v>11.092000000000001</v>
      </c>
      <c r="J474" s="446">
        <f t="shared" si="304"/>
        <v>194489193.54809231</v>
      </c>
      <c r="K474" s="206">
        <f>IF(AND($A474&gt;=SYear_O,$A474&lt;=EYear_O),(I474-Data_All!$CA143)/(1+Data_All!$CA143%),"")</f>
        <v>8.3394727452923707</v>
      </c>
      <c r="L474" s="447">
        <f t="shared" si="305"/>
        <v>12012513.241943639</v>
      </c>
      <c r="P474">
        <f t="shared" si="337"/>
        <v>135</v>
      </c>
      <c r="Q474">
        <f t="shared" ca="1" si="306"/>
        <v>2006</v>
      </c>
      <c r="R474" s="443">
        <f t="shared" si="307"/>
        <v>227575227.13995141</v>
      </c>
      <c r="S474" s="443">
        <f t="shared" ref="S474:Z474" ca="1" si="342">IF(OFFSET(INDIRECT(S$337),$P474,0)="",S473,OFFSET(INDIRECT(S$337),$P474,0))</f>
        <v>227575227.13995141</v>
      </c>
      <c r="T474" s="443">
        <f t="shared" ca="1" si="342"/>
        <v>194489193.54809231</v>
      </c>
      <c r="U474" s="443">
        <f t="shared" ca="1" si="342"/>
        <v>748011531.94526291</v>
      </c>
      <c r="V474" s="443">
        <f t="shared" ca="1" si="342"/>
        <v>14056053.08801393</v>
      </c>
      <c r="W474" s="209">
        <f t="shared" ca="1" si="342"/>
        <v>0</v>
      </c>
      <c r="X474" s="209">
        <f t="shared" ca="1" si="342"/>
        <v>0</v>
      </c>
      <c r="Y474" s="443">
        <f t="shared" ca="1" si="342"/>
        <v>12012513.241943639</v>
      </c>
      <c r="Z474" s="443">
        <f t="shared" ca="1" si="342"/>
        <v>46200502.293702714</v>
      </c>
      <c r="AA474" s="388">
        <f t="shared" ca="1" si="317"/>
        <v>-1.9409435883907311E-2</v>
      </c>
      <c r="AB474" s="388">
        <f t="shared" ca="1" si="317"/>
        <v>4.6585278745310266E-2</v>
      </c>
      <c r="AC474" s="388">
        <f t="shared" ca="1" si="317"/>
        <v>6.2371855051836178E-2</v>
      </c>
      <c r="AD474" s="388" t="str">
        <f t="shared" ca="1" si="317"/>
        <v/>
      </c>
      <c r="AE474" s="388">
        <f t="shared" ca="1" si="317"/>
        <v>-4.0748349761481784E-2</v>
      </c>
      <c r="AF474" s="388">
        <f t="shared" ca="1" si="317"/>
        <v>2.4282734563608965E-2</v>
      </c>
      <c r="AG474" s="388">
        <f t="shared" ca="1" si="317"/>
        <v>4.3016937327866156E-2</v>
      </c>
      <c r="AH474" s="388" t="str">
        <f t="shared" ca="1" si="317"/>
        <v/>
      </c>
    </row>
    <row r="475" spans="1:34">
      <c r="A475" s="165">
        <f t="shared" si="336"/>
        <v>2007</v>
      </c>
      <c r="B475" s="206" t="str">
        <f>IF(AND($A475&gt;=SYear_O,$A475&lt;=EYear_O),IF(B$336&gt;0,B$336*Data_All!$B144,""),"")</f>
        <v/>
      </c>
      <c r="C475" s="206">
        <f>IF(AND($A475&gt;=SYear_O,$A475&lt;=EYear_O),IF(C$336&gt;0,C$336*Data_All!$D144,""),"")</f>
        <v>3.2339999999999995</v>
      </c>
      <c r="D475" s="206" t="str">
        <f>IF(AND($A475&gt;=SYear_O,$A475&lt;=EYear_O),IF(D$336&gt;0,D$336*Data_All!$T144,""),"")</f>
        <v/>
      </c>
      <c r="E475" s="206">
        <f>IF(AND($A475&gt;=SYear_O,$A475&lt;=EYear_O),IF(E$336&gt;0,E$336*Data_All!$U144,""),"")</f>
        <v>2.7680000000000002</v>
      </c>
      <c r="F475" s="206" t="str">
        <f>IF(AND($A475&gt;=SYear_O,$A475&lt;=EYear_O),IF(F$336&gt;0,F$336*Data_All!$BX144,""),"")</f>
        <v/>
      </c>
      <c r="G475" s="206" t="str">
        <f>IF(AND($A475&gt;=SYear_O,$A475&lt;=EYear_O),IF(G$336&gt;0,G$336*Data_All!$BY144,""),"")</f>
        <v/>
      </c>
      <c r="H475" s="206" t="str">
        <f>IF(AND($A475&gt;=SYear_O,$A475&lt;=EYear_O),IF(H$336&gt;0,H$336*Data_All!$BZ144,""),"")</f>
        <v/>
      </c>
      <c r="I475" s="206">
        <f t="shared" si="303"/>
        <v>6.0019999999999998</v>
      </c>
      <c r="J475" s="446">
        <f t="shared" si="304"/>
        <v>206162434.94484881</v>
      </c>
      <c r="K475" s="206">
        <f>IF(AND($A475&gt;=SYear_O,$A475&lt;=EYear_O),(I475-Data_All!$CA144)/(1+Data_All!$CA144%),"")</f>
        <v>1.8454150717020035</v>
      </c>
      <c r="L475" s="447">
        <f t="shared" si="305"/>
        <v>12234193.971800664</v>
      </c>
      <c r="P475">
        <f t="shared" si="337"/>
        <v>136</v>
      </c>
      <c r="Q475">
        <f t="shared" ca="1" si="306"/>
        <v>2007</v>
      </c>
      <c r="R475" s="443">
        <f t="shared" si="307"/>
        <v>236929844.91694137</v>
      </c>
      <c r="S475" s="443">
        <f t="shared" ref="S475:Z475" ca="1" si="343">IF(OFFSET(INDIRECT(S$337),$P475,0)="",S474,OFFSET(INDIRECT(S$337),$P475,0))</f>
        <v>236929844.91694137</v>
      </c>
      <c r="T475" s="443">
        <f t="shared" ca="1" si="343"/>
        <v>206162434.94484881</v>
      </c>
      <c r="U475" s="443">
        <f t="shared" ca="1" si="343"/>
        <v>739005998.85945427</v>
      </c>
      <c r="V475" s="443">
        <f t="shared" ca="1" si="343"/>
        <v>14060008.949729089</v>
      </c>
      <c r="W475" s="209">
        <f t="shared" ca="1" si="343"/>
        <v>0</v>
      </c>
      <c r="X475" s="209">
        <f t="shared" ca="1" si="343"/>
        <v>1.2039297124723403E-2</v>
      </c>
      <c r="Y475" s="443">
        <f t="shared" ca="1" si="343"/>
        <v>12234193.971800664</v>
      </c>
      <c r="Z475" s="443">
        <f t="shared" ca="1" si="343"/>
        <v>43854462.326221086</v>
      </c>
      <c r="AA475" s="388">
        <f t="shared" ca="1" si="317"/>
        <v>8.7834960051016431E-3</v>
      </c>
      <c r="AB475" s="388">
        <f t="shared" ca="1" si="317"/>
        <v>4.0389718806412622E-2</v>
      </c>
      <c r="AC475" s="388" t="str">
        <f t="shared" ca="1" si="317"/>
        <v/>
      </c>
      <c r="AD475" s="388" t="str">
        <f t="shared" ca="1" si="317"/>
        <v/>
      </c>
      <c r="AE475" s="388">
        <f t="shared" ca="1" si="317"/>
        <v>-1.3747864366849383E-2</v>
      </c>
      <c r="AF475" s="388">
        <f t="shared" ca="1" si="317"/>
        <v>1.7383637521399153E-2</v>
      </c>
      <c r="AG475" s="388" t="str">
        <f t="shared" ca="1" si="317"/>
        <v/>
      </c>
      <c r="AH475" s="388" t="str">
        <f t="shared" ca="1" si="317"/>
        <v/>
      </c>
    </row>
    <row r="476" spans="1:34">
      <c r="A476" s="165">
        <f t="shared" si="336"/>
        <v>2008</v>
      </c>
      <c r="B476" s="206" t="str">
        <f>IF(AND($A476&gt;=SYear_O,$A476&lt;=EYear_O),IF(B$336&gt;0,B$336*Data_All!$B145,""),"")</f>
        <v/>
      </c>
      <c r="C476" s="206">
        <f>IF(AND($A476&gt;=SYear_O,$A476&lt;=EYear_O),IF(C$336&gt;0,C$336*Data_All!$D145,""),"")</f>
        <v>-22.212</v>
      </c>
      <c r="D476" s="206" t="str">
        <f>IF(AND($A476&gt;=SYear_O,$A476&lt;=EYear_O),IF(D$336&gt;0,D$336*Data_All!$T145,""),"")</f>
        <v/>
      </c>
      <c r="E476" s="206">
        <f>IF(AND($A476&gt;=SYear_O,$A476&lt;=EYear_O),IF(E$336&gt;0,E$336*Data_All!$U145,""),"")</f>
        <v>2.02</v>
      </c>
      <c r="F476" s="206" t="str">
        <f>IF(AND($A476&gt;=SYear_O,$A476&lt;=EYear_O),IF(F$336&gt;0,F$336*Data_All!$BX145,""),"")</f>
        <v/>
      </c>
      <c r="G476" s="206" t="str">
        <f>IF(AND($A476&gt;=SYear_O,$A476&lt;=EYear_O),IF(G$336&gt;0,G$336*Data_All!$BY145,""),"")</f>
        <v/>
      </c>
      <c r="H476" s="206" t="str">
        <f>IF(AND($A476&gt;=SYear_O,$A476&lt;=EYear_O),IF(H$336&gt;0,H$336*Data_All!$BZ145,""),"")</f>
        <v/>
      </c>
      <c r="I476" s="206">
        <f t="shared" si="303"/>
        <v>-20.192</v>
      </c>
      <c r="J476" s="446">
        <f t="shared" si="304"/>
        <v>164534116.08078495</v>
      </c>
      <c r="K476" s="206">
        <f>IF(AND($A476&gt;=SYear_O,$A476&lt;=EYear_O),(I476-Data_All!$CA145)/(1+Data_All!$CA145%),"")</f>
        <v>-20.264888178549004</v>
      </c>
      <c r="L476" s="447">
        <f t="shared" si="305"/>
        <v>9754948.2438684776</v>
      </c>
      <c r="P476">
        <f t="shared" si="337"/>
        <v>137</v>
      </c>
      <c r="Q476">
        <f t="shared" ca="1" si="306"/>
        <v>2008</v>
      </c>
      <c r="R476" s="443">
        <f t="shared" si="307"/>
        <v>196751413.29608274</v>
      </c>
      <c r="S476" s="443">
        <f t="shared" ref="S476:Z476" ca="1" si="344">IF(OFFSET(INDIRECT(S$337),$P476,0)="",S475,OFFSET(INDIRECT(S$337),$P476,0))</f>
        <v>196751413.29608274</v>
      </c>
      <c r="T476" s="443">
        <f t="shared" ca="1" si="344"/>
        <v>164534116.08078495</v>
      </c>
      <c r="U476" s="443">
        <f t="shared" ca="1" si="344"/>
        <v>480211923.4732163</v>
      </c>
      <c r="V476" s="443">
        <f t="shared" ca="1" si="344"/>
        <v>11665057.067367751</v>
      </c>
      <c r="W476" s="209">
        <f t="shared" ca="1" si="344"/>
        <v>0.16957944506714073</v>
      </c>
      <c r="X476" s="209">
        <f t="shared" ca="1" si="344"/>
        <v>0.35801534740462171</v>
      </c>
      <c r="Y476" s="443">
        <f t="shared" ca="1" si="344"/>
        <v>9754948.2438684776</v>
      </c>
      <c r="Z476" s="443">
        <f t="shared" ca="1" si="344"/>
        <v>28470949.193720635</v>
      </c>
      <c r="AA476" s="388">
        <f t="shared" ca="1" si="317"/>
        <v>3.4116235154893815E-2</v>
      </c>
      <c r="AB476" s="388">
        <f t="shared" ca="1" si="317"/>
        <v>5.32410060996098E-2</v>
      </c>
      <c r="AC476" s="388" t="str">
        <f t="shared" ca="1" si="317"/>
        <v/>
      </c>
      <c r="AD476" s="388" t="str">
        <f t="shared" ca="1" si="317"/>
        <v/>
      </c>
      <c r="AE476" s="388">
        <f t="shared" ca="1" si="317"/>
        <v>1.9532220979990411E-2</v>
      </c>
      <c r="AF476" s="388">
        <f t="shared" ca="1" si="317"/>
        <v>3.4645925895941732E-2</v>
      </c>
      <c r="AG476" s="388" t="str">
        <f t="shared" ca="1" si="317"/>
        <v/>
      </c>
      <c r="AH476" s="388" t="str">
        <f t="shared" ca="1" si="317"/>
        <v/>
      </c>
    </row>
    <row r="477" spans="1:34">
      <c r="A477" s="165">
        <f t="shared" si="336"/>
        <v>2009</v>
      </c>
      <c r="B477" s="206" t="str">
        <f>IF(AND($A477&gt;=SYear_O,$A477&lt;=EYear_O),IF(B$336&gt;0,B$336*Data_All!$B146,""),"")</f>
        <v/>
      </c>
      <c r="C477" s="206">
        <f>IF(AND($A477&gt;=SYear_O,$A477&lt;=EYear_O),IF(C$336&gt;0,C$336*Data_All!$D146,""),"")</f>
        <v>15.893999999999998</v>
      </c>
      <c r="D477" s="206" t="str">
        <f>IF(AND($A477&gt;=SYear_O,$A477&lt;=EYear_O),IF(D$336&gt;0,D$336*Data_All!$T146,""),"")</f>
        <v/>
      </c>
      <c r="E477" s="206">
        <f>IF(AND($A477&gt;=SYear_O,$A477&lt;=EYear_O),IF(E$336&gt;0,E$336*Data_All!$U146,""),"")</f>
        <v>2.3719999999999999</v>
      </c>
      <c r="F477" s="206" t="str">
        <f>IF(AND($A477&gt;=SYear_O,$A477&lt;=EYear_O),IF(F$336&gt;0,F$336*Data_All!$BX146,""),"")</f>
        <v/>
      </c>
      <c r="G477" s="206" t="str">
        <f>IF(AND($A477&gt;=SYear_O,$A477&lt;=EYear_O),IF(G$336&gt;0,G$336*Data_All!$BY146,""),"")</f>
        <v/>
      </c>
      <c r="H477" s="206" t="str">
        <f>IF(AND($A477&gt;=SYear_O,$A477&lt;=EYear_O),IF(H$336&gt;0,H$336*Data_All!$BZ146,""),"")</f>
        <v/>
      </c>
      <c r="I477" s="206">
        <f t="shared" si="303"/>
        <v>18.265999999999998</v>
      </c>
      <c r="J477" s="446">
        <f t="shared" si="304"/>
        <v>194587917.72410113</v>
      </c>
      <c r="K477" s="206">
        <f>IF(AND($A477&gt;=SYear_O,$A477&lt;=EYear_O),(I477-Data_All!$CA146)/(1+Data_All!$CA146%),"")</f>
        <v>15.132853812705781</v>
      </c>
      <c r="L477" s="447">
        <f t="shared" si="305"/>
        <v>11231150.301118206</v>
      </c>
      <c r="P477">
        <f t="shared" si="337"/>
        <v>138</v>
      </c>
      <c r="Q477">
        <f t="shared" ca="1" si="306"/>
        <v>2009</v>
      </c>
      <c r="R477" s="443">
        <f t="shared" si="307"/>
        <v>233624771.80168363</v>
      </c>
      <c r="S477" s="443">
        <f t="shared" ref="S477:Z477" ca="1" si="345">IF(OFFSET(INDIRECT(S$337),$P477,0)="",S476,OFFSET(INDIRECT(S$337),$P477,0))</f>
        <v>233624771.80168363</v>
      </c>
      <c r="T477" s="443">
        <f t="shared" ca="1" si="345"/>
        <v>194587917.72410113</v>
      </c>
      <c r="U477" s="443">
        <f t="shared" ca="1" si="345"/>
        <v>634910377.37003767</v>
      </c>
      <c r="V477" s="443">
        <f t="shared" ca="1" si="345"/>
        <v>13484264.371899229</v>
      </c>
      <c r="W477" s="209">
        <f t="shared" ca="1" si="345"/>
        <v>1.3949585441278445E-2</v>
      </c>
      <c r="X477" s="209">
        <f t="shared" ca="1" si="345"/>
        <v>0.15120242101227621</v>
      </c>
      <c r="Y477" s="443">
        <f t="shared" ca="1" si="345"/>
        <v>11231150.301118206</v>
      </c>
      <c r="Z477" s="443">
        <f t="shared" ca="1" si="345"/>
        <v>36645512.010118932</v>
      </c>
      <c r="AA477" s="388">
        <f t="shared" ca="1" si="317"/>
        <v>0.12131886246240775</v>
      </c>
      <c r="AB477" s="388">
        <f t="shared" ca="1" si="317"/>
        <v>0.12326124626144752</v>
      </c>
      <c r="AC477" s="388" t="str">
        <f t="shared" ca="1" si="317"/>
        <v/>
      </c>
      <c r="AD477" s="388" t="str">
        <f t="shared" ca="1" si="317"/>
        <v/>
      </c>
      <c r="AE477" s="388">
        <f t="shared" ca="1" si="317"/>
        <v>9.5132719669806187E-2</v>
      </c>
      <c r="AF477" s="388">
        <f t="shared" ca="1" si="317"/>
        <v>0.10034642935620752</v>
      </c>
      <c r="AG477" s="388" t="str">
        <f t="shared" ca="1" si="317"/>
        <v/>
      </c>
      <c r="AH477" s="388" t="str">
        <f t="shared" ca="1" si="317"/>
        <v/>
      </c>
    </row>
    <row r="478" spans="1:34">
      <c r="A478" s="165">
        <f t="shared" si="336"/>
        <v>2010</v>
      </c>
      <c r="B478" s="206" t="str">
        <f>IF(AND($A478&gt;=SYear_O,$A478&lt;=EYear_O),IF(B$336&gt;0,B$336*Data_All!$B147,""),"")</f>
        <v/>
      </c>
      <c r="C478" s="206">
        <f>IF(AND($A478&gt;=SYear_O,$A478&lt;=EYear_O),IF(C$336&gt;0,C$336*Data_All!$D147,""),"")</f>
        <v>8.9459999999999997</v>
      </c>
      <c r="D478" s="206" t="str">
        <f>IF(AND($A478&gt;=SYear_O,$A478&lt;=EYear_O),IF(D$336&gt;0,D$336*Data_All!$T147,""),"")</f>
        <v/>
      </c>
      <c r="E478" s="206">
        <f>IF(AND($A478&gt;=SYear_O,$A478&lt;=EYear_O),IF(E$336&gt;0,E$336*Data_All!$U147,""),"")</f>
        <v>2.5680000000000001</v>
      </c>
      <c r="F478" s="206" t="str">
        <f>IF(AND($A478&gt;=SYear_O,$A478&lt;=EYear_O),IF(F$336&gt;0,F$336*Data_All!$BX147,""),"")</f>
        <v/>
      </c>
      <c r="G478" s="206" t="str">
        <f>IF(AND($A478&gt;=SYear_O,$A478&lt;=EYear_O),IF(G$336&gt;0,G$336*Data_All!$BY147,""),"")</f>
        <v/>
      </c>
      <c r="H478" s="206" t="str">
        <f>IF(AND($A478&gt;=SYear_O,$A478&lt;=EYear_O),IF(H$336&gt;0,H$336*Data_All!$BZ147,""),"")</f>
        <v/>
      </c>
      <c r="I478" s="206">
        <f t="shared" si="303"/>
        <v>11.513999999999999</v>
      </c>
      <c r="J478" s="446">
        <f t="shared" si="304"/>
        <v>216992770.57085413</v>
      </c>
      <c r="K478" s="206">
        <f>IF(AND($A478&gt;=SYear_O,$A478&lt;=EYear_O),(I478-Data_All!$CA147)/(1+Data_All!$CA147%),"")</f>
        <v>9.8706390028241877</v>
      </c>
      <c r="L478" s="447">
        <f t="shared" si="305"/>
        <v>12339736.603206186</v>
      </c>
      <c r="P478">
        <f t="shared" si="337"/>
        <v>139</v>
      </c>
      <c r="Q478">
        <f t="shared" ca="1" si="306"/>
        <v>2010</v>
      </c>
      <c r="R478" s="443">
        <f t="shared" si="307"/>
        <v>262016016.33402383</v>
      </c>
      <c r="S478" s="443">
        <f t="shared" ref="S478:Z478" ca="1" si="346">IF(OFFSET(INDIRECT(S$337),$P478,0)="",S477,OFFSET(INDIRECT(S$337),$P478,0))</f>
        <v>262016016.33402383</v>
      </c>
      <c r="T478" s="443">
        <f t="shared" ca="1" si="346"/>
        <v>216992770.57085413</v>
      </c>
      <c r="U478" s="443">
        <f t="shared" ca="1" si="346"/>
        <v>737372846.21608937</v>
      </c>
      <c r="V478" s="443">
        <f t="shared" ca="1" si="346"/>
        <v>14900075.329134049</v>
      </c>
      <c r="W478" s="209">
        <f t="shared" ca="1" si="346"/>
        <v>0</v>
      </c>
      <c r="X478" s="209">
        <f t="shared" ca="1" si="346"/>
        <v>1.4222622613192737E-2</v>
      </c>
      <c r="Y478" s="443">
        <f t="shared" ca="1" si="346"/>
        <v>12339736.603206186</v>
      </c>
      <c r="Z478" s="443">
        <f t="shared" ca="1" si="346"/>
        <v>41932211.27471593</v>
      </c>
      <c r="AA478" s="388">
        <f t="shared" ca="1" si="317"/>
        <v>9.5418048126942878E-2</v>
      </c>
      <c r="AB478" s="388">
        <f t="shared" ca="1" si="317"/>
        <v>0.10677335623522466</v>
      </c>
      <c r="AC478" s="388" t="str">
        <f t="shared" ca="1" si="317"/>
        <v/>
      </c>
      <c r="AD478" s="388" t="str">
        <f t="shared" ca="1" si="317"/>
        <v/>
      </c>
      <c r="AE478" s="388">
        <f t="shared" ca="1" si="317"/>
        <v>7.3261867725108454E-2</v>
      </c>
      <c r="AF478" s="388">
        <f t="shared" ca="1" si="317"/>
        <v>8.8390838831443386E-2</v>
      </c>
      <c r="AG478" s="388" t="str">
        <f t="shared" ca="1" si="317"/>
        <v/>
      </c>
      <c r="AH478" s="388" t="str">
        <f t="shared" ca="1" si="317"/>
        <v/>
      </c>
    </row>
    <row r="479" spans="1:34">
      <c r="A479" s="165">
        <f t="shared" si="336"/>
        <v>2011</v>
      </c>
      <c r="B479" s="206" t="str">
        <f>IF(AND($A479&gt;=SYear_O,$A479&lt;=EYear_O),IF(B$336&gt;0,B$336*Data_All!$B148,""),"")</f>
        <v/>
      </c>
      <c r="C479" s="206">
        <f>IF(AND($A479&gt;=SYear_O,$A479&lt;=EYear_O),IF(C$336&gt;0,C$336*Data_All!$D148,""),"")</f>
        <v>1.1819999999999999</v>
      </c>
      <c r="D479" s="206" t="str">
        <f>IF(AND($A479&gt;=SYear_O,$A479&lt;=EYear_O),IF(D$336&gt;0,D$336*Data_All!$T148,""),"")</f>
        <v/>
      </c>
      <c r="E479" s="206">
        <f>IF(AND($A479&gt;=SYear_O,$A479&lt;=EYear_O),IF(E$336&gt;0,E$336*Data_All!$U148,""),"")</f>
        <v>3.024</v>
      </c>
      <c r="F479" s="206" t="str">
        <f>IF(AND($A479&gt;=SYear_O,$A479&lt;=EYear_O),IF(F$336&gt;0,F$336*Data_All!$BX148,""),"")</f>
        <v/>
      </c>
      <c r="G479" s="206" t="str">
        <f>IF(AND($A479&gt;=SYear_O,$A479&lt;=EYear_O),IF(G$336&gt;0,G$336*Data_All!$BY148,""),"")</f>
        <v/>
      </c>
      <c r="H479" s="206" t="str">
        <f>IF(AND($A479&gt;=SYear_O,$A479&lt;=EYear_O),IF(H$336&gt;0,H$336*Data_All!$BZ148,""),"")</f>
        <v/>
      </c>
      <c r="I479" s="206">
        <f t="shared" si="303"/>
        <v>4.2059999999999995</v>
      </c>
      <c r="J479" s="446">
        <f t="shared" si="304"/>
        <v>226119486.50106424</v>
      </c>
      <c r="K479" s="206">
        <f>IF(AND($A479&gt;=SYear_O,$A479&lt;=EYear_O),(I479-Data_All!$CA148)/(1+Data_All!$CA148%),"")</f>
        <v>1.2078010298131716</v>
      </c>
      <c r="L479" s="447">
        <f t="shared" si="305"/>
        <v>12488776.068975942</v>
      </c>
      <c r="P479">
        <f t="shared" si="337"/>
        <v>140</v>
      </c>
      <c r="Q479">
        <f t="shared" ca="1" si="306"/>
        <v>2011</v>
      </c>
      <c r="R479" s="443">
        <f t="shared" si="307"/>
        <v>277399225.36284763</v>
      </c>
      <c r="S479" s="443">
        <f t="shared" ref="S479:Z479" ca="1" si="347">IF(OFFSET(INDIRECT(S$337),$P479,0)="",S478,OFFSET(INDIRECT(S$337),$P479,0))</f>
        <v>277399225.36284763</v>
      </c>
      <c r="T479" s="443">
        <f t="shared" ca="1" si="347"/>
        <v>226119486.50106424</v>
      </c>
      <c r="U479" s="443">
        <f t="shared" ca="1" si="347"/>
        <v>763052438.44032967</v>
      </c>
      <c r="V479" s="443">
        <f t="shared" ca="1" si="347"/>
        <v>15321000.68362616</v>
      </c>
      <c r="W479" s="209">
        <f t="shared" ca="1" si="347"/>
        <v>0</v>
      </c>
      <c r="X479" s="209">
        <f t="shared" ca="1" si="347"/>
        <v>0</v>
      </c>
      <c r="Y479" s="443">
        <f t="shared" ca="1" si="347"/>
        <v>12488776.068975942</v>
      </c>
      <c r="Z479" s="443">
        <f t="shared" ca="1" si="347"/>
        <v>42144050.386928901</v>
      </c>
      <c r="AA479" s="388">
        <f t="shared" ca="1" si="317"/>
        <v>0.10322636712500177</v>
      </c>
      <c r="AB479" s="388">
        <f t="shared" ca="1" si="317"/>
        <v>7.8396554325064205E-2</v>
      </c>
      <c r="AC479" s="388" t="str">
        <f t="shared" ca="1" si="317"/>
        <v/>
      </c>
      <c r="AD479" s="388" t="str">
        <f t="shared" ca="1" si="317"/>
        <v/>
      </c>
      <c r="AE479" s="388">
        <f t="shared" ca="1" si="317"/>
        <v>8.0890912100459955E-2</v>
      </c>
      <c r="AF479" s="388">
        <f t="shared" ca="1" si="317"/>
        <v>6.2093789969319246E-2</v>
      </c>
      <c r="AG479" s="388" t="str">
        <f t="shared" ca="1" si="317"/>
        <v/>
      </c>
      <c r="AH479" s="388" t="str">
        <f t="shared" ca="1" si="317"/>
        <v/>
      </c>
    </row>
    <row r="480" spans="1:34">
      <c r="A480" s="165">
        <f t="shared" si="336"/>
        <v>2012</v>
      </c>
      <c r="B480" s="206" t="str">
        <f>IF(AND($A480&gt;=SYear_O,$A480&lt;=EYear_O),IF(B$336&gt;0,B$336*Data_All!$B149,""),"")</f>
        <v/>
      </c>
      <c r="C480" s="206">
        <f>IF(AND($A480&gt;=SYear_O,$A480&lt;=EYear_O),IF(C$336&gt;0,C$336*Data_All!$D149,""),"")</f>
        <v>9.4919999999999991</v>
      </c>
      <c r="D480" s="206" t="str">
        <f>IF(AND($A480&gt;=SYear_O,$A480&lt;=EYear_O),IF(D$336&gt;0,D$336*Data_All!$T149,""),"")</f>
        <v/>
      </c>
      <c r="E480" s="206">
        <f>IF(AND($A480&gt;=SYear_O,$A480&lt;=EYear_O),IF(E$336&gt;0,E$336*Data_All!$U149,""),"")</f>
        <v>1.62</v>
      </c>
      <c r="F480" s="206" t="str">
        <f>IF(AND($A480&gt;=SYear_O,$A480&lt;=EYear_O),IF(F$336&gt;0,F$336*Data_All!$BX149,""),"")</f>
        <v/>
      </c>
      <c r="G480" s="206" t="str">
        <f>IF(AND($A480&gt;=SYear_O,$A480&lt;=EYear_O),IF(G$336&gt;0,G$336*Data_All!$BY149,""),"")</f>
        <v/>
      </c>
      <c r="H480" s="206" t="str">
        <f>IF(AND($A480&gt;=SYear_O,$A480&lt;=EYear_O),IF(H$336&gt;0,H$336*Data_All!$BZ149,""),"")</f>
        <v/>
      </c>
      <c r="I480" s="206">
        <f t="shared" si="303"/>
        <v>11.111999999999998</v>
      </c>
      <c r="J480" s="446">
        <f t="shared" si="304"/>
        <v>251245883.84106249</v>
      </c>
      <c r="K480" s="206">
        <f>IF(AND($A480&gt;=SYear_O,$A480&lt;=EYear_O),(I480-Data_All!$CA149)/(1+Data_All!$CA149%),"")</f>
        <v>9.210618699395912</v>
      </c>
      <c r="L480" s="447">
        <f t="shared" si="305"/>
        <v>13639069.612910723</v>
      </c>
      <c r="P480">
        <f t="shared" si="337"/>
        <v>141</v>
      </c>
      <c r="Q480">
        <f t="shared" ca="1" si="306"/>
        <v>2012</v>
      </c>
      <c r="R480" s="443">
        <f t="shared" si="307"/>
        <v>307084974.00110638</v>
      </c>
      <c r="S480" s="443">
        <f t="shared" ref="S480:Z480" ca="1" si="348">IF(OFFSET(INDIRECT(S$337),$P480,0)="",S479,OFFSET(INDIRECT(S$337),$P480,0))</f>
        <v>307084974.00110638</v>
      </c>
      <c r="T480" s="443">
        <f t="shared" ca="1" si="348"/>
        <v>251245883.84106249</v>
      </c>
      <c r="U480" s="443">
        <f t="shared" ca="1" si="348"/>
        <v>886485892.16368306</v>
      </c>
      <c r="V480" s="443">
        <f t="shared" ca="1" si="348"/>
        <v>16670336.140231131</v>
      </c>
      <c r="W480" s="209">
        <f t="shared" ca="1" si="348"/>
        <v>0</v>
      </c>
      <c r="X480" s="209">
        <f t="shared" ca="1" si="348"/>
        <v>0</v>
      </c>
      <c r="Y480" s="443">
        <f t="shared" ca="1" si="348"/>
        <v>13639069.612910723</v>
      </c>
      <c r="Z480" s="443">
        <f t="shared" ca="1" si="348"/>
        <v>48123545.784067027</v>
      </c>
      <c r="AA480" s="388">
        <f t="shared" ca="1" si="317"/>
        <v>0.11832759540424309</v>
      </c>
      <c r="AB480" s="388" t="str">
        <f t="shared" ca="1" si="317"/>
        <v/>
      </c>
      <c r="AC480" s="388" t="str">
        <f t="shared" ca="1" si="317"/>
        <v/>
      </c>
      <c r="AD480" s="388" t="str">
        <f t="shared" ca="1" si="317"/>
        <v/>
      </c>
      <c r="AE480" s="388">
        <f t="shared" ca="1" si="317"/>
        <v>0.10362493665912642</v>
      </c>
      <c r="AF480" s="388" t="str">
        <f t="shared" ca="1" si="317"/>
        <v/>
      </c>
      <c r="AG480" s="388" t="str">
        <f t="shared" ca="1" si="317"/>
        <v/>
      </c>
      <c r="AH480" s="388" t="str">
        <f t="shared" ca="1" si="317"/>
        <v/>
      </c>
    </row>
    <row r="481" spans="1:34">
      <c r="A481" s="165">
        <f t="shared" si="336"/>
        <v>2013</v>
      </c>
      <c r="B481" s="206" t="str">
        <f>IF(AND($A481&gt;=SYear_O,$A481&lt;=EYear_O),IF(B$336&gt;0,B$336*Data_All!$B150,""),"")</f>
        <v/>
      </c>
      <c r="C481" s="206">
        <f>IF(AND($A481&gt;=SYear_O,$A481&lt;=EYear_O),IF(C$336&gt;0,C$336*Data_All!$D150,""),"")</f>
        <v>19.308</v>
      </c>
      <c r="D481" s="206" t="str">
        <f>IF(AND($A481&gt;=SYear_O,$A481&lt;=EYear_O),IF(D$336&gt;0,D$336*Data_All!$T150,""),"")</f>
        <v/>
      </c>
      <c r="E481" s="206">
        <f>IF(AND($A481&gt;=SYear_O,$A481&lt;=EYear_O),IF(E$336&gt;0,E$336*Data_All!$U150,""),"")</f>
        <v>-0.90399999999999991</v>
      </c>
      <c r="F481" s="206" t="str">
        <f>IF(AND($A481&gt;=SYear_O,$A481&lt;=EYear_O),IF(F$336&gt;0,F$336*Data_All!$BX150,""),"")</f>
        <v/>
      </c>
      <c r="G481" s="206" t="str">
        <f>IF(AND($A481&gt;=SYear_O,$A481&lt;=EYear_O),IF(G$336&gt;0,G$336*Data_All!$BY150,""),"")</f>
        <v/>
      </c>
      <c r="H481" s="206" t="str">
        <f>IF(AND($A481&gt;=SYear_O,$A481&lt;=EYear_O),IF(H$336&gt;0,H$336*Data_All!$BZ150,""),"")</f>
        <v/>
      </c>
      <c r="I481" s="206">
        <f t="shared" si="303"/>
        <v>18.404</v>
      </c>
      <c r="J481" s="446">
        <f t="shared" si="304"/>
        <v>297485176.30317163</v>
      </c>
      <c r="K481" s="206">
        <f>IF(AND($A481&gt;=SYear_O,$A481&lt;=EYear_O),(I481-Data_All!$CA150)/(1+Data_All!$CA150%),"")</f>
        <v>16.652192474543966</v>
      </c>
      <c r="L481" s="447">
        <f t="shared" si="305"/>
        <v>15910273.736589655</v>
      </c>
      <c r="P481">
        <f t="shared" si="337"/>
        <v>142</v>
      </c>
      <c r="Q481">
        <f t="shared" ca="1" si="306"/>
        <v>2013</v>
      </c>
      <c r="R481" s="443">
        <f t="shared" si="307"/>
        <v>351820983.39309448</v>
      </c>
      <c r="S481" s="443">
        <f t="shared" ref="S481:Z481" ca="1" si="349">IF(OFFSET(INDIRECT(S$337),$P481,0)="",S480,OFFSET(INDIRECT(S$337),$P481,0))</f>
        <v>351820983.39309448</v>
      </c>
      <c r="T481" s="443">
        <f t="shared" ca="1" si="349"/>
        <v>297485176.30317163</v>
      </c>
      <c r="U481" s="443">
        <f t="shared" ca="1" si="349"/>
        <v>1111398476.4279153</v>
      </c>
      <c r="V481" s="443">
        <f t="shared" ca="1" si="349"/>
        <v>18816292.702785768</v>
      </c>
      <c r="W481" s="209">
        <f t="shared" ca="1" si="349"/>
        <v>0</v>
      </c>
      <c r="X481" s="209">
        <f t="shared" ca="1" si="349"/>
        <v>0</v>
      </c>
      <c r="Y481" s="443">
        <f t="shared" ca="1" si="349"/>
        <v>15910273.736589655</v>
      </c>
      <c r="Z481" s="443">
        <f t="shared" ca="1" si="349"/>
        <v>59440454.177038327</v>
      </c>
      <c r="AA481" s="388">
        <f t="shared" ca="1" si="317"/>
        <v>7.5607718935755797E-2</v>
      </c>
      <c r="AB481" s="388" t="str">
        <f t="shared" ca="1" si="317"/>
        <v/>
      </c>
      <c r="AC481" s="388" t="str">
        <f t="shared" ca="1" si="317"/>
        <v/>
      </c>
      <c r="AD481" s="388" t="str">
        <f t="shared" ca="1" si="317"/>
        <v/>
      </c>
      <c r="AE481" s="388">
        <f t="shared" ca="1" si="317"/>
        <v>6.500787290747434E-2</v>
      </c>
      <c r="AF481" s="388" t="str">
        <f t="shared" ca="1" si="317"/>
        <v/>
      </c>
      <c r="AG481" s="388" t="str">
        <f t="shared" ca="1" si="317"/>
        <v/>
      </c>
      <c r="AH481" s="388" t="str">
        <f t="shared" ca="1" si="317"/>
        <v/>
      </c>
    </row>
    <row r="482" spans="1:34">
      <c r="A482" s="165">
        <f t="shared" si="336"/>
        <v>2014</v>
      </c>
      <c r="B482" s="206" t="str">
        <f>IF(AND($A482&gt;=SYear_O,$A482&lt;=EYear_O),IF(B$336&gt;0,B$336*Data_All!$B151,""),"")</f>
        <v/>
      </c>
      <c r="C482" s="206">
        <f>IF(AND($A482&gt;=SYear_O,$A482&lt;=EYear_O),IF(C$336&gt;0,C$336*Data_All!$D151,""),"")</f>
        <v>8.1059999999999999</v>
      </c>
      <c r="D482" s="206" t="str">
        <f>IF(AND($A482&gt;=SYear_O,$A482&lt;=EYear_O),IF(D$336&gt;0,D$336*Data_All!$T151,""),"")</f>
        <v/>
      </c>
      <c r="E482" s="206">
        <f>IF(AND($A482&gt;=SYear_O,$A482&lt;=EYear_O),IF(E$336&gt;0,E$336*Data_All!$U151,""),"")</f>
        <v>2.3039999999999998</v>
      </c>
      <c r="F482" s="206" t="str">
        <f>IF(AND($A482&gt;=SYear_O,$A482&lt;=EYear_O),IF(F$336&gt;0,F$336*Data_All!$BX151,""),"")</f>
        <v/>
      </c>
      <c r="G482" s="206" t="str">
        <f>IF(AND($A482&gt;=SYear_O,$A482&lt;=EYear_O),IF(G$336&gt;0,G$336*Data_All!$BY151,""),"")</f>
        <v/>
      </c>
      <c r="H482" s="206" t="str">
        <f>IF(AND($A482&gt;=SYear_O,$A482&lt;=EYear_O),IF(H$336&gt;0,H$336*Data_All!$BZ151,""),"")</f>
        <v/>
      </c>
      <c r="I482" s="206">
        <f t="shared" si="303"/>
        <v>10.41</v>
      </c>
      <c r="J482" s="446">
        <f t="shared" si="304"/>
        <v>328453383.15633184</v>
      </c>
      <c r="K482" s="206">
        <f>IF(AND($A482&gt;=SYear_O,$A482&lt;=EYear_O),(I482-Data_All!$CA151)/(1+Data_All!$CA151%),"")</f>
        <v>9.5810269066316796</v>
      </c>
      <c r="L482" s="447">
        <f t="shared" si="305"/>
        <v>17434641.344211064</v>
      </c>
      <c r="P482">
        <f t="shared" si="337"/>
        <v>143</v>
      </c>
      <c r="Q482">
        <f t="shared" ca="1" si="306"/>
        <v>2014</v>
      </c>
      <c r="R482" s="443">
        <f t="shared" si="307"/>
        <v>387982706.69419503</v>
      </c>
      <c r="S482" s="443">
        <f t="shared" ref="S482:Z482" ca="1" si="350">IF(OFFSET(INDIRECT(S$337),$P482,0)="",S481,OFFSET(INDIRECT(S$337),$P482,0))</f>
        <v>387982706.69419503</v>
      </c>
      <c r="T482" s="443">
        <f t="shared" ca="1" si="350"/>
        <v>328453383.15633184</v>
      </c>
      <c r="U482" s="443">
        <f t="shared" ca="1" si="350"/>
        <v>1260742177.8358142</v>
      </c>
      <c r="V482" s="443">
        <f t="shared" ca="1" si="350"/>
        <v>20594518.692322195</v>
      </c>
      <c r="W482" s="209">
        <f t="shared" ca="1" si="350"/>
        <v>0</v>
      </c>
      <c r="X482" s="209">
        <f t="shared" ca="1" si="350"/>
        <v>0</v>
      </c>
      <c r="Y482" s="443">
        <f t="shared" ca="1" si="350"/>
        <v>17434641.344211064</v>
      </c>
      <c r="Z482" s="443">
        <f t="shared" ca="1" si="350"/>
        <v>66921483.611648642</v>
      </c>
      <c r="AA482" s="388" t="str">
        <f t="shared" ca="1" si="317"/>
        <v/>
      </c>
      <c r="AB482" s="388" t="str">
        <f t="shared" ca="1" si="317"/>
        <v/>
      </c>
      <c r="AC482" s="388" t="str">
        <f t="shared" ca="1" si="317"/>
        <v/>
      </c>
      <c r="AD482" s="388" t="str">
        <f t="shared" ca="1" si="317"/>
        <v/>
      </c>
      <c r="AE482" s="388" t="str">
        <f t="shared" ca="1" si="317"/>
        <v/>
      </c>
      <c r="AF482" s="388" t="str">
        <f t="shared" ca="1" si="317"/>
        <v/>
      </c>
      <c r="AG482" s="388" t="str">
        <f t="shared" ca="1" si="317"/>
        <v/>
      </c>
      <c r="AH482" s="388" t="str">
        <f t="shared" ref="AA482:AH484" ca="1" si="351">IF(AH$336,IF(OFFSET(INDIRECT(AH$337),$P482,0)="","",OFFSET(INDIRECT(AH$337),$P482,0)),"")</f>
        <v/>
      </c>
    </row>
    <row r="483" spans="1:34">
      <c r="A483" s="165">
        <f t="shared" si="336"/>
        <v>2015</v>
      </c>
      <c r="B483" s="206" t="str">
        <f>IF(AND($A483&gt;=SYear_O,$A483&lt;=EYear_O),IF(B$336&gt;0,B$336*Data_All!$B152,""),"")</f>
        <v/>
      </c>
      <c r="C483" s="206">
        <f>IF(AND($A483&gt;=SYear_O,$A483&lt;=EYear_O),IF(C$336&gt;0,C$336*Data_All!$D152,""),"")</f>
        <v>0.75</v>
      </c>
      <c r="D483" s="206" t="str">
        <f>IF(AND($A483&gt;=SYear_O,$A483&lt;=EYear_O),IF(D$336&gt;0,D$336*Data_All!$T152,""),"")</f>
        <v/>
      </c>
      <c r="E483" s="206">
        <f>IF(AND($A483&gt;=SYear_O,$A483&lt;=EYear_O),IF(E$336&gt;0,E$336*Data_All!$U152,""),"")</f>
        <v>0.12</v>
      </c>
      <c r="F483" s="206" t="str">
        <f>IF(AND($A483&gt;=SYear_O,$A483&lt;=EYear_O),IF(F$336&gt;0,F$336*Data_All!$BX152,""),"")</f>
        <v/>
      </c>
      <c r="G483" s="206" t="str">
        <f>IF(AND($A483&gt;=SYear_O,$A483&lt;=EYear_O),IF(G$336&gt;0,G$336*Data_All!$BY152,""),"")</f>
        <v/>
      </c>
      <c r="H483" s="206" t="str">
        <f>IF(AND($A483&gt;=SYear_O,$A483&lt;=EYear_O),IF(H$336&gt;0,H$336*Data_All!$BZ152,""),"")</f>
        <v/>
      </c>
      <c r="I483" s="206">
        <f t="shared" si="303"/>
        <v>0.87</v>
      </c>
      <c r="J483" s="446">
        <f t="shared" si="304"/>
        <v>331310927.58979189</v>
      </c>
      <c r="K483" s="206">
        <f>IF(AND($A483&gt;=SYear_O,$A483&lt;=EYear_O),(I483-Data_All!$CA152)/(1+Data_All!$CA152%),"")</f>
        <v>0.13946280520030704</v>
      </c>
      <c r="L483" s="447">
        <f t="shared" si="305"/>
        <v>17458956.184106313</v>
      </c>
      <c r="P483">
        <f t="shared" si="337"/>
        <v>144</v>
      </c>
      <c r="Q483">
        <f t="shared" ca="1" si="306"/>
        <v>2015</v>
      </c>
      <c r="R483" s="443">
        <f t="shared" si="307"/>
        <v>382138062.2931599</v>
      </c>
      <c r="S483" s="443">
        <f t="shared" ref="S483:Z483" ca="1" si="352">IF(OFFSET(INDIRECT(S$337),$P483,0)="",S482,OFFSET(INDIRECT(S$337),$P483,0))</f>
        <v>382138062.2931599</v>
      </c>
      <c r="T483" s="443">
        <f t="shared" ca="1" si="352"/>
        <v>331310927.58979189</v>
      </c>
      <c r="U483" s="443">
        <f t="shared" ca="1" si="352"/>
        <v>1219777227.6651621</v>
      </c>
      <c r="V483" s="443">
        <f t="shared" ca="1" si="352"/>
        <v>20137372.873242784</v>
      </c>
      <c r="W483" s="209">
        <f t="shared" ca="1" si="352"/>
        <v>1.5064187914029414E-2</v>
      </c>
      <c r="X483" s="209">
        <f t="shared" ca="1" si="352"/>
        <v>3.2492726023470087E-2</v>
      </c>
      <c r="Y483" s="443">
        <f t="shared" ca="1" si="352"/>
        <v>17458956.184106313</v>
      </c>
      <c r="Z483" s="443">
        <f t="shared" ca="1" si="352"/>
        <v>64278100.716750756</v>
      </c>
      <c r="AA483" s="388" t="str">
        <f t="shared" ca="1" si="351"/>
        <v/>
      </c>
      <c r="AB483" s="388" t="str">
        <f t="shared" ca="1" si="351"/>
        <v/>
      </c>
      <c r="AC483" s="388" t="str">
        <f t="shared" ca="1" si="351"/>
        <v/>
      </c>
      <c r="AD483" s="388" t="str">
        <f t="shared" ca="1" si="351"/>
        <v/>
      </c>
      <c r="AE483" s="388" t="str">
        <f t="shared" ca="1" si="351"/>
        <v/>
      </c>
      <c r="AF483" s="388" t="str">
        <f t="shared" ca="1" si="351"/>
        <v/>
      </c>
      <c r="AG483" s="388" t="str">
        <f t="shared" ca="1" si="351"/>
        <v/>
      </c>
      <c r="AH483" s="388" t="str">
        <f t="shared" ca="1" si="351"/>
        <v/>
      </c>
    </row>
    <row r="484" spans="1:34">
      <c r="A484" s="165">
        <f t="shared" si="336"/>
        <v>2016</v>
      </c>
      <c r="B484" s="206" t="str">
        <f>IF(AND($A484&gt;=SYear_O,$A484&lt;=EYear_O),IF(B$336&gt;0,B$336*Data_All!$B153,""),"")</f>
        <v/>
      </c>
      <c r="C484" s="206" t="str">
        <f>IF(AND($A484&gt;=SYear_O,$A484&lt;=EYear_O),IF(C$336&gt;0,C$336*Data_All!$D153,""),"")</f>
        <v/>
      </c>
      <c r="D484" s="206" t="str">
        <f>IF(AND($A484&gt;=SYear_O,$A484&lt;=EYear_O),IF(D$336&gt;0,D$336*Data_All!$T153,""),"")</f>
        <v/>
      </c>
      <c r="E484" s="206" t="str">
        <f>IF(AND($A484&gt;=SYear_O,$A484&lt;=EYear_O),IF(E$336&gt;0,E$336*Data_All!$U153,""),"")</f>
        <v/>
      </c>
      <c r="F484" s="206" t="str">
        <f>IF(AND($A484&gt;=SYear_O,$A484&lt;=EYear_O),IF(F$336&gt;0,F$336*Data_All!$BX153,""),"")</f>
        <v/>
      </c>
      <c r="G484" s="206" t="str">
        <f>IF(AND($A484&gt;=SYear_O,$A484&lt;=EYear_O),IF(G$336&gt;0,G$336*Data_All!$BY153,""),"")</f>
        <v/>
      </c>
      <c r="H484" s="206" t="str">
        <f>IF(AND($A484&gt;=SYear_O,$A484&lt;=EYear_O),IF(H$336&gt;0,H$336*Data_All!$BZ153,""),"")</f>
        <v/>
      </c>
      <c r="I484" s="206" t="str">
        <f t="shared" si="303"/>
        <v/>
      </c>
      <c r="J484" s="446" t="str">
        <f t="shared" si="304"/>
        <v/>
      </c>
      <c r="K484" s="206" t="str">
        <f>IF(AND($A484&gt;=SYear_O,$A484&lt;=EYear_O),(I484-Data_All!$CA153)/(1+Data_All!$CA153%),"")</f>
        <v/>
      </c>
      <c r="L484" s="447" t="str">
        <f t="shared" si="305"/>
        <v/>
      </c>
      <c r="P484">
        <f t="shared" si="337"/>
        <v>145</v>
      </c>
      <c r="Q484">
        <f t="shared" ca="1" si="306"/>
        <v>2015</v>
      </c>
      <c r="R484" s="443" t="str">
        <f t="shared" si="307"/>
        <v/>
      </c>
      <c r="S484" s="443">
        <f t="shared" ref="S484:Z484" ca="1" si="353">IF(OFFSET(INDIRECT(S$337),$P484,0)="",S483,OFFSET(INDIRECT(S$337),$P484,0))</f>
        <v>382138062.2931599</v>
      </c>
      <c r="T484" s="443">
        <f t="shared" ca="1" si="353"/>
        <v>331310927.58979189</v>
      </c>
      <c r="U484" s="443">
        <f t="shared" ca="1" si="353"/>
        <v>1219777227.6651621</v>
      </c>
      <c r="V484" s="443">
        <f t="shared" ca="1" si="353"/>
        <v>20137372.873242784</v>
      </c>
      <c r="W484" s="209">
        <f t="shared" ca="1" si="353"/>
        <v>1.5064187914029414E-2</v>
      </c>
      <c r="X484" s="209">
        <f t="shared" ca="1" si="353"/>
        <v>3.2492726023470087E-2</v>
      </c>
      <c r="Y484" s="443">
        <f t="shared" ca="1" si="353"/>
        <v>17458956.184106313</v>
      </c>
      <c r="Z484" s="443">
        <f t="shared" ca="1" si="353"/>
        <v>64278100.716750756</v>
      </c>
      <c r="AA484" s="388" t="str">
        <f t="shared" ca="1" si="351"/>
        <v/>
      </c>
      <c r="AB484" s="388" t="str">
        <f t="shared" ca="1" si="351"/>
        <v/>
      </c>
      <c r="AC484" s="388" t="str">
        <f t="shared" ca="1" si="351"/>
        <v/>
      </c>
      <c r="AD484" s="388" t="str">
        <f t="shared" ca="1" si="351"/>
        <v/>
      </c>
      <c r="AE484" s="388" t="str">
        <f t="shared" ca="1" si="351"/>
        <v/>
      </c>
      <c r="AF484" s="388" t="str">
        <f t="shared" ca="1" si="351"/>
        <v/>
      </c>
      <c r="AG484" s="388" t="str">
        <f t="shared" ca="1" si="351"/>
        <v/>
      </c>
      <c r="AH484" s="388" t="str">
        <f t="shared" ca="1" si="351"/>
        <v/>
      </c>
    </row>
    <row r="485" spans="1:34" ht="13" thickBot="1">
      <c r="A485" s="42"/>
      <c r="B485" s="206"/>
      <c r="C485" s="268"/>
      <c r="D485" s="206"/>
      <c r="E485" s="206"/>
      <c r="F485" s="206"/>
      <c r="G485" s="211"/>
      <c r="H485" s="272"/>
      <c r="I485" s="211"/>
      <c r="J485" s="211"/>
      <c r="K485" s="211"/>
      <c r="L485" s="273"/>
    </row>
    <row r="486" spans="1:34" ht="21" thickBot="1">
      <c r="A486" s="212" t="s">
        <v>406</v>
      </c>
      <c r="B486" s="213" t="s">
        <v>175</v>
      </c>
      <c r="C486" s="213" t="s">
        <v>176</v>
      </c>
      <c r="D486" s="213" t="s">
        <v>177</v>
      </c>
      <c r="E486" s="213" t="s">
        <v>178</v>
      </c>
      <c r="F486" s="477" t="s">
        <v>179</v>
      </c>
      <c r="G486" s="477" t="s">
        <v>180</v>
      </c>
      <c r="H486" s="474" t="s">
        <v>181</v>
      </c>
      <c r="I486" s="250"/>
      <c r="J486" s="215"/>
      <c r="K486" s="215"/>
      <c r="L486" s="271"/>
    </row>
    <row r="487" spans="1:34" ht="14" thickTop="1" thickBot="1">
      <c r="A487" s="218" t="s">
        <v>407</v>
      </c>
      <c r="B487" s="441">
        <f>IF(I336="ERROR","ERROR",VLOOKUP(EYear_O,Rebal_C64_ReturnsTable_O,COLUMN(J374),FALSE))</f>
        <v>331310927.58979189</v>
      </c>
      <c r="C487" s="219">
        <f>RATE(Portfolio!$T$85,0,-$J$338,B487)*100</f>
        <v>7.4419890483312354</v>
      </c>
      <c r="D487" s="219">
        <f ca="1">STDEV(Rebal_C64_NominalReturns_O)</f>
        <v>10.936091657120091</v>
      </c>
      <c r="E487" s="219">
        <f ca="1">((AVERAGE(Rebal_C64_NominalReturns_O))-(AVERAGE(TBill_O)))/STDEV(Rebal_C64_NominalReturns_O)</f>
        <v>0.34681540771413183</v>
      </c>
      <c r="F487" s="219">
        <f t="array" aca="1" ref="F487" ca="1">(AVERAGE(Rebal_C64_NominalReturns_O)-MAR_O_Nominal*100)/SQRT(SUM(IF(Rebal_C64_NominalReturns_O&lt;MAR_O_Nominal*100,(Rebal_C64_NominalReturns_O-MAR_O_Nominal*100)^2))/COUNT(Rebal_C64_NominalReturns_O))</f>
        <v>0.48474140843761343</v>
      </c>
      <c r="G487" s="472">
        <f ca="1">PEARSON(Rebal_C64_NominalReturns_O,OFFSET(Data_All!$B$8,$A$489,0,$C$489,1))</f>
        <v>0.98461785663330936</v>
      </c>
      <c r="H487" s="475">
        <f ca="1">PEARSON(Rebal_C64_NominalReturns_O,OFFSET(Data_All!$N$8,$A$489,0,$C$489,1))</f>
        <v>0.608540220908656</v>
      </c>
      <c r="I487" s="274" t="str">
        <f>IF(AND($A487&gt;EYear72-Portfolio!$B$85,$A487&lt;=EYear72),SUM(B487:H487),"")</f>
        <v/>
      </c>
      <c r="J487" s="274"/>
      <c r="K487" s="274"/>
      <c r="L487" s="274" t="str">
        <f>IF(AND(EYear72-Portfolio!$B$85&lt;$A487,EYear72&gt;$A487),IF(EYear72-Portfolio!$B$85+1=$A487,$L$338*(1+I487%),L375*(1+I487%)),"")</f>
        <v/>
      </c>
    </row>
    <row r="488" spans="1:34" ht="13" thickBot="1">
      <c r="A488" s="223" t="s">
        <v>408</v>
      </c>
      <c r="B488" s="442">
        <f>IF(I337="ERROR","ERROR",VLOOKUP(EYear_O,Rebal_C64_ReturnsTable_O,COLUMN(L374),FALSE))</f>
        <v>17458956.184106313</v>
      </c>
      <c r="C488" s="224">
        <f>RATE(Portfolio!$T$85,0,-$L$338,B488)*100</f>
        <v>5.283120052394306</v>
      </c>
      <c r="D488" s="224">
        <f ca="1">STDEV(Rebal_C64_RealReturns_O)</f>
        <v>11.57203583443321</v>
      </c>
      <c r="E488" s="224">
        <f ca="1">((AVERAGE(Rebal_C64_RealReturns_O))-(AVERAGE(TBill_O_Real)))/STDEV(Rebal_C64_RealReturns_O)</f>
        <v>0.31479353704588503</v>
      </c>
      <c r="F488" s="473">
        <f t="array" aca="1" ref="F488" ca="1">(AVERAGE(Rebal_C64_RealReturns_O)-MAR_O_Real*100)/SQRT(SUM(IF(Rebal_C64_RealReturns_O&lt;MAR_O_Real*100,(Rebal_C64_RealReturns_O-MAR_O_Real*100)^2))/COUNT(Rebal_C64_RealReturns_O))</f>
        <v>0.6142512839747104</v>
      </c>
      <c r="G488" s="293">
        <f ca="1">PEARSON(Rebal_C64_RealReturns_O,OFFSET(Data_All!$B$8,$A$489,0,$C$489,1))</f>
        <v>0.83028774072780076</v>
      </c>
      <c r="H488" s="476">
        <f ca="1">PEARSON(Rebal_C64_RealReturns_O,OFFSET(Data_All!$N$8,$A$489,0,$C$489,1))</f>
        <v>0.58544012062912509</v>
      </c>
      <c r="I488" s="274" t="str">
        <f>IF(AND($A488&gt;EYear72-Portfolio!$B$85,$A488&lt;=EYear72),SUM(B488:H488),"")</f>
        <v/>
      </c>
      <c r="J488" s="274"/>
      <c r="K488" s="274"/>
      <c r="L488" s="274" t="str">
        <f>IF(AND(EYear72-Portfolio!$B$85&lt;$A488,EYear72&gt;$A488),IF(EYear72-Portfolio!$B$85+1=$A488,$L$338*(1+I488%),L376*(1+I488%)),"")</f>
        <v/>
      </c>
    </row>
    <row r="489" spans="1:34" ht="13" thickTop="1">
      <c r="A489" s="228">
        <f>MATCH(SYear_O,A339:A485,0)-1</f>
        <v>0</v>
      </c>
      <c r="B489" s="258">
        <f>MATCH(EYear_O,A339:A485,0)-1</f>
        <v>144</v>
      </c>
      <c r="C489" s="258">
        <f>B489-A489+1</f>
        <v>145</v>
      </c>
      <c r="K489" s="47"/>
    </row>
    <row r="490" spans="1:34" ht="13" thickBot="1">
      <c r="A490" s="36" t="s">
        <v>409</v>
      </c>
    </row>
    <row r="491" spans="1:34" ht="13" thickTop="1">
      <c r="A491" s="231" t="s">
        <v>406</v>
      </c>
      <c r="B491" s="232" t="str">
        <f t="shared" ref="B491:G491" si="354">B$1</f>
        <v>MKT-TSM</v>
      </c>
      <c r="C491" s="232" t="str">
        <f t="shared" si="354"/>
        <v>LCV</v>
      </c>
      <c r="D491" s="232" t="str">
        <f t="shared" si="354"/>
        <v>500 Idx</v>
      </c>
      <c r="E491" s="232" t="str">
        <f t="shared" si="354"/>
        <v>LCG</v>
      </c>
      <c r="F491" s="232" t="str">
        <f t="shared" si="354"/>
        <v>MCB</v>
      </c>
      <c r="G491" s="232" t="str">
        <f t="shared" si="354"/>
        <v>SCV</v>
      </c>
      <c r="H491" s="232" t="str">
        <f>H$1</f>
        <v>SCB</v>
      </c>
      <c r="I491" s="232" t="str">
        <f>I$1</f>
        <v>SCG</v>
      </c>
      <c r="J491" s="232" t="str">
        <f>J$1</f>
        <v>D10</v>
      </c>
      <c r="K491" s="455" t="str">
        <f>K$1</f>
        <v>REIT</v>
      </c>
      <c r="L491" s="236"/>
    </row>
    <row r="492" spans="1:34">
      <c r="A492" s="237" t="s">
        <v>411</v>
      </c>
      <c r="B492" s="165" t="str">
        <f t="shared" ref="B492:G492" si="355">B$2</f>
        <v>VTSMX</v>
      </c>
      <c r="C492" s="165" t="str">
        <f t="shared" si="355"/>
        <v>VIVAX</v>
      </c>
      <c r="D492" s="165" t="str">
        <f t="shared" si="355"/>
        <v>VFINX</v>
      </c>
      <c r="E492" s="165" t="str">
        <f t="shared" si="355"/>
        <v>VIGRX</v>
      </c>
      <c r="F492" s="165" t="str">
        <f t="shared" si="355"/>
        <v>VIMSX</v>
      </c>
      <c r="G492" s="165" t="str">
        <f t="shared" si="355"/>
        <v>VISVX</v>
      </c>
      <c r="H492" s="165" t="str">
        <f>H$2</f>
        <v>NAESX</v>
      </c>
      <c r="I492" s="165" t="str">
        <f>I$2</f>
        <v>VISGX</v>
      </c>
      <c r="J492" s="165" t="str">
        <f>J$2</f>
        <v>BRSIX</v>
      </c>
      <c r="K492" s="456" t="str">
        <f>K$2</f>
        <v>VGSIX</v>
      </c>
      <c r="L492" s="48"/>
    </row>
    <row r="493" spans="1:34" ht="13" thickBot="1">
      <c r="A493" s="241"/>
      <c r="B493" s="242">
        <f ca="1">PEARSON(OFFSET(Returns_All!$I$339,$A$489,0,$C$489,1),OFFSET(Data_All!B$8,$A$489,0,$C$489,1))</f>
        <v>0.98461785663330936</v>
      </c>
      <c r="C493" s="242">
        <f ca="1">PEARSON(OFFSET(Returns_All!$I$339,$A$489,0,$C$489,1),OFFSET(Data_All!C$8,$A$489,0,$C$489,1))</f>
        <v>0.91696426418103283</v>
      </c>
      <c r="D493" s="242">
        <f ca="1">PEARSON(OFFSET(Returns_All!$I$339,$A$489,0,$C$489,1),OFFSET(Data_All!D$8,$A$489,0,$C$489,1))</f>
        <v>0.98722892710748045</v>
      </c>
      <c r="E493" s="242">
        <f ca="1">PEARSON(OFFSET(Returns_All!$I$339,$A$489,0,$C$489,1),OFFSET(Data_All!E$8,$A$489,0,$C$489,1))</f>
        <v>0.94260031229088803</v>
      </c>
      <c r="F493" s="242">
        <f ca="1">PEARSON(OFFSET(Returns_All!$I$339,$A$489,0,$C$489,1),OFFSET(Data_All!F$8,$A$489,0,$C$489,1))</f>
        <v>0.88473831933648339</v>
      </c>
      <c r="G493" s="242">
        <f ca="1">PEARSON(OFFSET(Returns_All!$I$339,$A$489,0,$C$489,1),OFFSET(Data_All!G$8,$A$489,0,$C$489,1))</f>
        <v>0.70615570865329014</v>
      </c>
      <c r="H493" s="242">
        <f ca="1">PEARSON(OFFSET(Returns_All!$I$339,$A$489,0,$C$489,1),OFFSET(Data_All!H$8,$A$489,0,$C$489,1))</f>
        <v>0.79863542861982284</v>
      </c>
      <c r="I493" s="242">
        <f ca="1">PEARSON(OFFSET(Returns_All!$I$339,$A$489,0,$C$489,1),OFFSET(Data_All!I$8,$A$489,0,$C$489,1))</f>
        <v>0.77956477621605624</v>
      </c>
      <c r="J493" s="242">
        <f ca="1">PEARSON(OFFSET(Returns_All!$I$339,$A$489,0,$C$489,1),OFFSET(Data_All!J$8,$A$489,0,$C$489,1))</f>
        <v>0.64647766674553231</v>
      </c>
      <c r="K493" s="457">
        <f ca="1">PEARSON(OFFSET(Returns_All!$I$339,$A$489,0,$C$489,1),OFFSET(Data_All!K$8,$A$489,0,$C$489,1))</f>
        <v>0.55359862407927363</v>
      </c>
    </row>
    <row r="494" spans="1:34" ht="13" thickTop="1"/>
    <row r="495" spans="1:34">
      <c r="A495" s="38" t="str">
        <f>"C64 Nominal (Rebalanced) = "&amp;TEXT(B487,"#,##0")</f>
        <v>C64 Nominal (Rebalanced) = 331,310,928</v>
      </c>
      <c r="B495" s="32"/>
      <c r="C495" s="32"/>
      <c r="D495" s="32"/>
    </row>
    <row r="496" spans="1:34">
      <c r="A496" s="38" t="str">
        <f>"C64 Real (Rebalanced) = "&amp;TEXT(B488,"#,##0")</f>
        <v>C64 Real (Rebalanced) = 17,458,956</v>
      </c>
      <c r="B496" s="32"/>
      <c r="C496" s="32"/>
      <c r="D496" s="32"/>
    </row>
  </sheetData>
  <sheetProtection selectLockedCells="1" selectUnlockedCells="1"/>
  <mergeCells count="5">
    <mergeCell ref="CE167:CG167"/>
    <mergeCell ref="CE168:CG168"/>
    <mergeCell ref="Q321:X321"/>
    <mergeCell ref="A332:C332"/>
    <mergeCell ref="A323:E323"/>
  </mergeCells>
  <conditionalFormatting sqref="CA153">
    <cfRule type="cellIs" dxfId="41" priority="622" stopIfTrue="1" operator="equal">
      <formula>MAX(#REF!,1)</formula>
    </cfRule>
    <cfRule type="cellIs" dxfId="40" priority="623" stopIfTrue="1" operator="equal">
      <formula>MIN($AM$7:$AM508)</formula>
    </cfRule>
  </conditionalFormatting>
  <conditionalFormatting sqref="CC153">
    <cfRule type="cellIs" dxfId="39" priority="828" stopIfTrue="1" operator="equal">
      <formula>MAX($AO$7:$AO508)</formula>
    </cfRule>
    <cfRule type="cellIs" dxfId="38" priority="829" stopIfTrue="1" operator="equal">
      <formula>MIN($AO$7:$AO508,0)</formula>
    </cfRule>
  </conditionalFormatting>
  <conditionalFormatting sqref="CA7:CA152">
    <cfRule type="cellIs" dxfId="37" priority="381" stopIfTrue="1" operator="equal">
      <formula>MAX(CA$7:CA$152)</formula>
    </cfRule>
    <cfRule type="cellIs" dxfId="36" priority="382" stopIfTrue="1" operator="equal">
      <formula>MIN(CA$7:CA$152)</formula>
    </cfRule>
  </conditionalFormatting>
  <conditionalFormatting sqref="CC7:CC152">
    <cfRule type="cellIs" dxfId="35" priority="3" stopIfTrue="1" operator="equal">
      <formula>MAX(CC$7:CC$152)</formula>
    </cfRule>
    <cfRule type="cellIs" dxfId="34" priority="4" stopIfTrue="1" operator="equal">
      <formula>MIN(CC$7:CC$152)</formula>
    </cfRule>
  </conditionalFormatting>
  <conditionalFormatting sqref="CA169:CA314">
    <cfRule type="cellIs" dxfId="33" priority="17" stopIfTrue="1" operator="equal">
      <formula>MAX(CA$169:CA$314)</formula>
    </cfRule>
    <cfRule type="cellIs" dxfId="32" priority="18" stopIfTrue="1" operator="equal">
      <formula>MIN(CA$169:CA$314)</formula>
    </cfRule>
  </conditionalFormatting>
  <conditionalFormatting sqref="CC169:CC314">
    <cfRule type="cellIs" dxfId="31" priority="1" stopIfTrue="1" operator="equal">
      <formula>MAX(CC$169:CC$314)</formula>
    </cfRule>
    <cfRule type="cellIs" dxfId="30" priority="2" stopIfTrue="1" operator="equal">
      <formula>MIN(CC$169:CC$314)</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CE7 CD153 CB153 A489:B489 B488 B157:BZ160 B315:BZ317 CN7:CR7 CU7:CY7 B155:F156 I155:BZ156 CB7:CB136 CD7:CD136 B1:BZ136 B162:BZ308 B147:BZ154 B137:BZ146" emptyCellReference="1"/>
    <ignoredError sqref="F337:F338 C334:C335" formula="1"/>
  </ignoredError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93"/>
  <sheetViews>
    <sheetView zoomScale="90" zoomScaleNormal="90" zoomScalePageLayoutView="90" workbookViewId="0"/>
  </sheetViews>
  <sheetFormatPr baseColWidth="10" defaultColWidth="8.83203125" defaultRowHeight="12" x14ac:dyDescent="0"/>
  <cols>
    <col min="1" max="1" width="12.1640625" customWidth="1"/>
    <col min="2" max="2" width="11" customWidth="1"/>
    <col min="3" max="3" width="9.6640625" customWidth="1"/>
    <col min="5" max="5" width="8" customWidth="1"/>
    <col min="6" max="6" width="8.5" customWidth="1"/>
    <col min="7" max="7" width="9.5" customWidth="1"/>
    <col min="8" max="8" width="10" customWidth="1"/>
    <col min="9" max="9" width="8.5" customWidth="1"/>
    <col min="10" max="10" width="8.83203125" customWidth="1"/>
    <col min="11" max="11" width="8.33203125" customWidth="1"/>
    <col min="13" max="13" width="8.1640625" customWidth="1"/>
    <col min="15" max="15" width="10.83203125" customWidth="1"/>
    <col min="16" max="16" width="9.6640625" customWidth="1"/>
    <col min="17" max="17" width="9.5" customWidth="1"/>
    <col min="18" max="18" width="11.6640625" customWidth="1"/>
    <col min="19" max="19" width="11.5" customWidth="1"/>
    <col min="20" max="20" width="12.1640625" customWidth="1"/>
    <col min="21" max="21" width="10.83203125" customWidth="1"/>
    <col min="22" max="22" width="11.5" customWidth="1"/>
    <col min="23" max="24" width="10.83203125" customWidth="1"/>
    <col min="25" max="26" width="11.5" customWidth="1"/>
    <col min="27" max="38" width="8.6640625" customWidth="1"/>
    <col min="39" max="39" width="8.83203125" customWidth="1"/>
    <col min="40" max="40" width="10.1640625" customWidth="1"/>
    <col min="41" max="41" width="8" customWidth="1"/>
    <col min="43" max="44" width="11.33203125" customWidth="1"/>
    <col min="45" max="45" width="11.83203125" customWidth="1"/>
    <col min="53" max="53" width="9.6640625" style="189" customWidth="1"/>
  </cols>
  <sheetData>
    <row r="1" spans="1:63" s="26" customFormat="1" ht="48">
      <c r="A1" s="190" t="s">
        <v>369</v>
      </c>
      <c r="B1" s="191" t="s">
        <v>370</v>
      </c>
      <c r="C1" s="191" t="s">
        <v>371</v>
      </c>
      <c r="D1" s="191" t="s">
        <v>372</v>
      </c>
      <c r="E1" s="191" t="s">
        <v>373</v>
      </c>
      <c r="F1" s="191" t="s">
        <v>374</v>
      </c>
      <c r="G1" s="191" t="s">
        <v>375</v>
      </c>
      <c r="H1" s="191" t="s">
        <v>376</v>
      </c>
      <c r="I1" s="191" t="s">
        <v>377</v>
      </c>
      <c r="J1" s="191" t="s">
        <v>378</v>
      </c>
      <c r="K1" s="191" t="s">
        <v>114</v>
      </c>
      <c r="L1" s="191" t="s">
        <v>292</v>
      </c>
      <c r="M1" s="191" t="s">
        <v>299</v>
      </c>
      <c r="N1" s="192" t="str">
        <f>IF(Data_72_15!N$1="???","",Data_72_15!N$1)</f>
        <v>Total Intl</v>
      </c>
      <c r="O1" s="191" t="s">
        <v>318</v>
      </c>
      <c r="P1" s="191" t="s">
        <v>325</v>
      </c>
      <c r="Q1" s="191" t="s">
        <v>379</v>
      </c>
      <c r="R1" s="191" t="s">
        <v>380</v>
      </c>
      <c r="S1" s="191" t="s">
        <v>381</v>
      </c>
      <c r="T1" s="191" t="s">
        <v>382</v>
      </c>
      <c r="U1" s="191" t="s">
        <v>383</v>
      </c>
      <c r="V1" s="191" t="s">
        <v>384</v>
      </c>
      <c r="W1" s="191" t="s">
        <v>385</v>
      </c>
      <c r="X1" s="191" t="s">
        <v>386</v>
      </c>
      <c r="Y1" s="191" t="s">
        <v>386</v>
      </c>
      <c r="Z1" s="191" t="s">
        <v>143</v>
      </c>
      <c r="AA1" s="191" t="s">
        <v>387</v>
      </c>
      <c r="AB1" s="193" t="str">
        <f>IF(Data_72_15!AB$1="???","",Data_72_15!AB$1)</f>
        <v>GOLD</v>
      </c>
      <c r="AC1" s="193" t="str">
        <f>IF(Data_72_15!AC$1="???","",Data_72_15!AC$1)</f>
        <v>VG Intl Small</v>
      </c>
      <c r="AD1" s="193" t="str">
        <f>IF(Data_72_15!AD$1="","",Data_72_15!AD$1)</f>
        <v/>
      </c>
      <c r="AE1" s="193" t="str">
        <f>IF(Data_72_15!AE$1="","",Data_72_15!AE$1)</f>
        <v/>
      </c>
      <c r="AF1" s="193" t="str">
        <f>IF(Data_72_15!AF$1="","",Data_72_15!AF$1)</f>
        <v/>
      </c>
      <c r="AG1" s="193" t="str">
        <f>IF(Data_72_15!AG$1="","",Data_72_15!AG$1)</f>
        <v/>
      </c>
      <c r="AH1" s="193" t="str">
        <f>IF(Data_72_15!AH$1="","",Data_72_15!AH$1)</f>
        <v/>
      </c>
      <c r="AI1" s="193" t="str">
        <f>IF(Data_72_15!AI$1="","",Data_72_15!AI$1)</f>
        <v/>
      </c>
      <c r="AJ1" s="193" t="str">
        <f>IF(Data_72_15!AJ$1="","",Data_72_15!AJ$1)</f>
        <v/>
      </c>
      <c r="AK1" s="193" t="str">
        <f>IF(Data_72_15!AK$1="","",Data_72_15!AK$1)</f>
        <v/>
      </c>
      <c r="AL1" s="193" t="str">
        <f>IF(Data_72_15!AL$1="","",Data_72_15!AL$1)</f>
        <v/>
      </c>
      <c r="AM1" s="194" t="s">
        <v>388</v>
      </c>
      <c r="AN1" s="191" t="s">
        <v>175</v>
      </c>
      <c r="AO1" s="194" t="s">
        <v>389</v>
      </c>
      <c r="AP1" s="195" t="s">
        <v>631</v>
      </c>
      <c r="AQ1" s="156" t="str">
        <f>"Growth of "&amp;TEXT(AN4,"0")</f>
        <v>Growth of 10000</v>
      </c>
      <c r="AR1" s="181" t="s">
        <v>390</v>
      </c>
      <c r="AU1" s="181" t="s">
        <v>384</v>
      </c>
      <c r="AV1" s="181" t="s">
        <v>391</v>
      </c>
      <c r="AW1" s="181" t="s">
        <v>392</v>
      </c>
      <c r="AZ1" s="181" t="s">
        <v>393</v>
      </c>
      <c r="BA1" s="181" t="s">
        <v>394</v>
      </c>
      <c r="BB1" s="181" t="s">
        <v>395</v>
      </c>
      <c r="BC1" s="181" t="s">
        <v>396</v>
      </c>
      <c r="BD1" s="181" t="s">
        <v>397</v>
      </c>
      <c r="BG1" s="181" t="s">
        <v>398</v>
      </c>
      <c r="BH1" s="181" t="s">
        <v>399</v>
      </c>
      <c r="BI1" s="181" t="s">
        <v>400</v>
      </c>
      <c r="BJ1" s="181" t="s">
        <v>401</v>
      </c>
      <c r="BK1" s="181" t="s">
        <v>402</v>
      </c>
    </row>
    <row r="2" spans="1:63">
      <c r="B2" s="165" t="s">
        <v>97</v>
      </c>
      <c r="C2" s="165" t="s">
        <v>99</v>
      </c>
      <c r="D2" s="165" t="s">
        <v>101</v>
      </c>
      <c r="E2" s="165" t="s">
        <v>103</v>
      </c>
      <c r="F2" s="165" t="s">
        <v>105</v>
      </c>
      <c r="G2" s="165" t="s">
        <v>107</v>
      </c>
      <c r="H2" s="165" t="s">
        <v>109</v>
      </c>
      <c r="I2" s="165" t="s">
        <v>111</v>
      </c>
      <c r="J2" s="165" t="s">
        <v>113</v>
      </c>
      <c r="K2" s="165" t="s">
        <v>115</v>
      </c>
      <c r="L2" s="165" t="s">
        <v>624</v>
      </c>
      <c r="M2" s="165" t="s">
        <v>118</v>
      </c>
      <c r="N2" s="165" t="s">
        <v>120</v>
      </c>
      <c r="O2" s="165" t="s">
        <v>122</v>
      </c>
      <c r="P2" s="165" t="s">
        <v>124</v>
      </c>
      <c r="Q2" s="165" t="s">
        <v>126</v>
      </c>
      <c r="R2" s="165" t="s">
        <v>128</v>
      </c>
      <c r="S2" s="165" t="s">
        <v>130</v>
      </c>
      <c r="T2" s="165" t="s">
        <v>132</v>
      </c>
      <c r="U2" s="165" t="s">
        <v>134</v>
      </c>
      <c r="V2" s="165" t="s">
        <v>136</v>
      </c>
      <c r="W2" s="165" t="s">
        <v>138</v>
      </c>
      <c r="X2" s="165" t="s">
        <v>140</v>
      </c>
      <c r="Y2" s="165" t="s">
        <v>142</v>
      </c>
      <c r="Z2" s="165" t="s">
        <v>144</v>
      </c>
      <c r="AA2" s="165" t="s">
        <v>148</v>
      </c>
      <c r="AB2" s="192" t="str">
        <f>IF(Data_72_15!AB$2="???","",Data_72_15!AB$2)</f>
        <v>GLD</v>
      </c>
      <c r="AC2" s="192" t="str">
        <f>IF(Data_72_15!AC$2="???","",Data_72_15!AC$2)</f>
        <v>VFSVX</v>
      </c>
      <c r="AD2" s="192" t="str">
        <f>IF(Data_72_15!AD$2="","",Data_72_15!AD$2)</f>
        <v/>
      </c>
      <c r="AE2" s="192" t="str">
        <f>IF(Data_72_15!AE$2="","",Data_72_15!AE$2)</f>
        <v/>
      </c>
      <c r="AF2" s="192" t="str">
        <f>IF(Data_72_15!AF$2="","",Data_72_15!AF$2)</f>
        <v/>
      </c>
      <c r="AG2" s="192" t="str">
        <f>IF(Data_72_15!AG$2="","",Data_72_15!AG$2)</f>
        <v/>
      </c>
      <c r="AH2" s="192" t="str">
        <f>IF(Data_72_15!AH$2="","",Data_72_15!AH$2)</f>
        <v/>
      </c>
      <c r="AI2" s="192" t="str">
        <f>IF(Data_72_15!AI$2="","",Data_72_15!AI$2)</f>
        <v/>
      </c>
      <c r="AJ2" s="192" t="str">
        <f>IF(Data_72_15!AJ$2="","",Data_72_15!AJ$2)</f>
        <v/>
      </c>
      <c r="AK2" s="192" t="str">
        <f>IF(Data_72_15!AK$2="","",Data_72_15!AK$2)</f>
        <v/>
      </c>
      <c r="AL2" s="192" t="str">
        <f>IF(Data_72_15!AL$2="","",Data_72_15!AL$2)</f>
        <v/>
      </c>
      <c r="AM2" s="196"/>
      <c r="AN2" s="197"/>
      <c r="AO2" s="197"/>
      <c r="AP2" s="198"/>
      <c r="AQ2" s="36">
        <f>AN4/10000</f>
        <v>1</v>
      </c>
      <c r="AR2" s="36"/>
      <c r="AS2" s="199">
        <f>AVERAGE(AS7:AS51)</f>
        <v>3.6130024138414603E-2</v>
      </c>
      <c r="AU2" s="181" t="s">
        <v>136</v>
      </c>
      <c r="AV2" s="36" t="s">
        <v>403</v>
      </c>
      <c r="BA2" s="189" t="b">
        <v>1</v>
      </c>
      <c r="BB2" s="189" t="b">
        <v>1</v>
      </c>
      <c r="BC2" s="189" t="b">
        <v>1</v>
      </c>
      <c r="BD2" s="189" t="b">
        <v>1</v>
      </c>
      <c r="BH2" s="189" t="b">
        <v>1</v>
      </c>
      <c r="BI2" s="189" t="b">
        <v>1</v>
      </c>
      <c r="BJ2" s="189" t="b">
        <v>1</v>
      </c>
      <c r="BK2" s="189" t="b">
        <v>1</v>
      </c>
    </row>
    <row r="3" spans="1:63" s="36" customFormat="1" ht="14" customHeight="1">
      <c r="A3" s="424" t="s">
        <v>433</v>
      </c>
      <c r="B3" s="200">
        <f t="shared" ref="B3:AL3" si="0">VLOOKUP(B2,Allocation72,2,)</f>
        <v>0.5</v>
      </c>
      <c r="C3" s="200">
        <f t="shared" si="0"/>
        <v>0</v>
      </c>
      <c r="D3" s="200">
        <f t="shared" si="0"/>
        <v>0</v>
      </c>
      <c r="E3" s="200">
        <f t="shared" si="0"/>
        <v>0</v>
      </c>
      <c r="F3" s="200">
        <f t="shared" si="0"/>
        <v>0</v>
      </c>
      <c r="G3" s="200">
        <f t="shared" si="0"/>
        <v>0</v>
      </c>
      <c r="H3" s="200">
        <f t="shared" si="0"/>
        <v>0</v>
      </c>
      <c r="I3" s="200">
        <f t="shared" si="0"/>
        <v>0</v>
      </c>
      <c r="J3" s="200">
        <f t="shared" si="0"/>
        <v>0</v>
      </c>
      <c r="K3" s="200">
        <f t="shared" si="0"/>
        <v>0</v>
      </c>
      <c r="L3" s="200">
        <f t="shared" si="0"/>
        <v>0</v>
      </c>
      <c r="M3" s="200">
        <f t="shared" si="0"/>
        <v>0</v>
      </c>
      <c r="N3" s="200">
        <f t="shared" si="0"/>
        <v>0.3</v>
      </c>
      <c r="O3" s="200">
        <f t="shared" si="0"/>
        <v>0</v>
      </c>
      <c r="P3" s="200">
        <f t="shared" si="0"/>
        <v>0</v>
      </c>
      <c r="Q3" s="200">
        <f t="shared" si="0"/>
        <v>0</v>
      </c>
      <c r="R3" s="200">
        <f t="shared" si="0"/>
        <v>0</v>
      </c>
      <c r="S3" s="200">
        <f t="shared" si="0"/>
        <v>0</v>
      </c>
      <c r="T3" s="200">
        <f t="shared" si="0"/>
        <v>0.2</v>
      </c>
      <c r="U3" s="200">
        <f t="shared" si="0"/>
        <v>0</v>
      </c>
      <c r="V3" s="200">
        <f t="shared" si="0"/>
        <v>0</v>
      </c>
      <c r="W3" s="200">
        <f t="shared" si="0"/>
        <v>0</v>
      </c>
      <c r="X3" s="200">
        <f t="shared" si="0"/>
        <v>0</v>
      </c>
      <c r="Y3" s="200">
        <f t="shared" si="0"/>
        <v>0</v>
      </c>
      <c r="Z3" s="200">
        <f t="shared" si="0"/>
        <v>0</v>
      </c>
      <c r="AA3" s="200">
        <f t="shared" si="0"/>
        <v>0</v>
      </c>
      <c r="AB3" s="200">
        <f t="shared" si="0"/>
        <v>0</v>
      </c>
      <c r="AC3" s="200">
        <f t="shared" si="0"/>
        <v>0</v>
      </c>
      <c r="AD3" s="200">
        <f t="shared" si="0"/>
        <v>0</v>
      </c>
      <c r="AE3" s="200">
        <f t="shared" si="0"/>
        <v>0</v>
      </c>
      <c r="AF3" s="200">
        <f t="shared" si="0"/>
        <v>0</v>
      </c>
      <c r="AG3" s="200">
        <f t="shared" si="0"/>
        <v>0</v>
      </c>
      <c r="AH3" s="200">
        <f t="shared" si="0"/>
        <v>0</v>
      </c>
      <c r="AI3" s="200">
        <f t="shared" si="0"/>
        <v>0</v>
      </c>
      <c r="AJ3" s="200">
        <f t="shared" si="0"/>
        <v>0</v>
      </c>
      <c r="AK3" s="200">
        <f t="shared" si="0"/>
        <v>0</v>
      </c>
      <c r="AL3" s="200">
        <f t="shared" si="0"/>
        <v>0</v>
      </c>
      <c r="AM3" s="201" t="str">
        <f>IF((OR(SUM(B3:AL3)&lt;1,SUM(B3:AL3)&gt;1)),"ERROR","")</f>
        <v/>
      </c>
      <c r="AN3" s="202" t="s">
        <v>309</v>
      </c>
      <c r="AO3" s="201"/>
      <c r="AP3" s="203" t="s">
        <v>309</v>
      </c>
      <c r="AQ3" s="36" t="str">
        <f>"Max. Drawdown Rebalanced = "&amp;TEXT(MAX(AS7:AS51),"0.0%")</f>
        <v>Max. Drawdown Rebalanced = 30.1%</v>
      </c>
    </row>
    <row r="4" spans="1:63">
      <c r="A4" s="204" t="s">
        <v>405</v>
      </c>
      <c r="B4" s="205">
        <f>IF(Portfolio!$B$88*B$3&gt;0,Portfolio!$B$88*B$3,"")</f>
        <v>5000</v>
      </c>
      <c r="C4" s="205" t="str">
        <f>IF(Portfolio!$B$88*C$3&gt;0,Portfolio!$B$88*C$3,"")</f>
        <v/>
      </c>
      <c r="D4" s="205" t="str">
        <f>IF(Portfolio!$B$88*D$3&gt;0,Portfolio!$B$88*D$3,"")</f>
        <v/>
      </c>
      <c r="E4" s="205" t="str">
        <f>IF(Portfolio!$B$88*E$3&gt;0,Portfolio!$B$88*E$3,"")</f>
        <v/>
      </c>
      <c r="F4" s="205" t="str">
        <f>IF(Portfolio!$B$88*F$3&gt;0,Portfolio!$B$88*F$3,"")</f>
        <v/>
      </c>
      <c r="G4" s="205" t="str">
        <f>IF(Portfolio!$B$88*G$3&gt;0,Portfolio!$B$88*G$3,"")</f>
        <v/>
      </c>
      <c r="H4" s="205" t="str">
        <f>IF(Portfolio!$B$88*H$3&gt;0,Portfolio!$B$88*H$3,"")</f>
        <v/>
      </c>
      <c r="I4" s="205" t="str">
        <f>IF(Portfolio!$B$88*I$3&gt;0,Portfolio!$B$88*I$3,"")</f>
        <v/>
      </c>
      <c r="J4" s="205" t="str">
        <f>IF(Portfolio!$B$88*J$3&gt;0,Portfolio!$B$88*J$3,"")</f>
        <v/>
      </c>
      <c r="K4" s="205" t="str">
        <f>IF(Portfolio!$B$88*K$3&gt;0,Portfolio!$B$88*K$3,"")</f>
        <v/>
      </c>
      <c r="L4" s="205" t="str">
        <f>IF(Portfolio!$B$88*L$3&gt;0,Portfolio!$B$88*L$3,"")</f>
        <v/>
      </c>
      <c r="M4" s="205" t="str">
        <f>IF(Portfolio!$B$88*M$3&gt;0,Portfolio!$B$88*M$3,"")</f>
        <v/>
      </c>
      <c r="N4" s="205">
        <f>IF(Portfolio!$B$88*N$3&gt;0,Portfolio!$B$88*N$3,"")</f>
        <v>3000</v>
      </c>
      <c r="O4" s="205" t="str">
        <f>IF(Portfolio!$B$88*O$3&gt;0,Portfolio!$B$88*O$3,"")</f>
        <v/>
      </c>
      <c r="P4" s="205" t="str">
        <f>IF(Portfolio!$B$88*P$3&gt;0,Portfolio!$B$88*P$3,"")</f>
        <v/>
      </c>
      <c r="Q4" s="205" t="str">
        <f>IF(Portfolio!$B$88*Q$3&gt;0,Portfolio!$B$88*Q$3,"")</f>
        <v/>
      </c>
      <c r="R4" s="205" t="str">
        <f>IF(Portfolio!$B$88*R$3&gt;0,Portfolio!$B$88*R$3,"")</f>
        <v/>
      </c>
      <c r="S4" s="205" t="str">
        <f>IF(Portfolio!$B$88*S$3&gt;0,Portfolio!$B$88*S$3,"")</f>
        <v/>
      </c>
      <c r="T4" s="205">
        <f>IF(Portfolio!$B$88*T$3&gt;0,Portfolio!$B$88*T$3,"")</f>
        <v>2000</v>
      </c>
      <c r="U4" s="205" t="str">
        <f>IF(Portfolio!$B$88*U$3&gt;0,Portfolio!$B$88*U$3,"")</f>
        <v/>
      </c>
      <c r="V4" s="205" t="str">
        <f>IF(Portfolio!$B$88*V$3&gt;0,Portfolio!$B$88*V$3,"")</f>
        <v/>
      </c>
      <c r="W4" s="205" t="str">
        <f>IF(Portfolio!$B$88*W$3&gt;0,Portfolio!$B$88*W$3,"")</f>
        <v/>
      </c>
      <c r="X4" s="205" t="str">
        <f>IF(Portfolio!$B$88*X$3&gt;0,Portfolio!$B$88*X$3,"")</f>
        <v/>
      </c>
      <c r="Y4" s="205" t="str">
        <f>IF(Portfolio!$B$88*Y$3&gt;0,Portfolio!$B$88*Y$3,"")</f>
        <v/>
      </c>
      <c r="Z4" s="205" t="str">
        <f>IF(Portfolio!$B$88*Z$3&gt;0,Portfolio!$B$88*Z$3,"")</f>
        <v/>
      </c>
      <c r="AA4" s="205" t="str">
        <f>IF(Portfolio!$B$88*AA$3&gt;0,Portfolio!$B$88*AA$3,"")</f>
        <v/>
      </c>
      <c r="AB4" s="205" t="str">
        <f>IF(Portfolio!$B$88*AB$3&gt;0,Portfolio!$B$88*AB$3,"")</f>
        <v/>
      </c>
      <c r="AC4" s="205" t="str">
        <f>IF(Portfolio!$B$88*AC$3&gt;0,Portfolio!$B$88*AC$3,"")</f>
        <v/>
      </c>
      <c r="AD4" s="205" t="str">
        <f>IF(Portfolio!$B$88*AD$3&gt;0,Portfolio!$B$88*AD$3,"")</f>
        <v/>
      </c>
      <c r="AE4" s="205" t="str">
        <f>IF(Portfolio!$B$88*AE$3&gt;0,Portfolio!$B$88*AE$3,"")</f>
        <v/>
      </c>
      <c r="AF4" s="205" t="str">
        <f>IF(Portfolio!$B$88*AF$3&gt;0,Portfolio!$B$88*AF$3,"")</f>
        <v/>
      </c>
      <c r="AG4" s="205" t="str">
        <f>IF(Portfolio!$B$88*AG$3&gt;0,Portfolio!$B$88*AG$3,"")</f>
        <v/>
      </c>
      <c r="AH4" s="205" t="str">
        <f>IF(Portfolio!$B$88*AH$3&gt;0,Portfolio!$B$88*AH$3,"")</f>
        <v/>
      </c>
      <c r="AI4" s="205" t="str">
        <f>IF(Portfolio!$B$88*AI$3&gt;0,Portfolio!$B$88*AI$3,"")</f>
        <v/>
      </c>
      <c r="AJ4" s="205" t="str">
        <f>IF(Portfolio!$B$88*AJ$3&gt;0,Portfolio!$B$88*AJ$3,"")</f>
        <v/>
      </c>
      <c r="AK4" s="205" t="str">
        <f>IF(Portfolio!$B$88*AK$3&gt;0,Portfolio!$B$88*AK$3,"")</f>
        <v/>
      </c>
      <c r="AL4" s="205" t="str">
        <f>IF(Portfolio!$B$88*AL$3&gt;0,Portfolio!$B$88*AL$3,"")</f>
        <v/>
      </c>
      <c r="AM4" s="206"/>
      <c r="AN4" s="487">
        <f>Portfolio!$B$88</f>
        <v>10000</v>
      </c>
      <c r="AO4" s="206"/>
      <c r="AP4" s="490">
        <f>Portfolio!$B$88</f>
        <v>10000</v>
      </c>
      <c r="AQ4" s="144" t="str">
        <f>"Avg. Drawdown Rebalanced = "&amp;TEXT(AS2,"0.0%")</f>
        <v>Avg. Drawdown Rebalanced = 3.6%</v>
      </c>
    </row>
    <row r="5" spans="1:63">
      <c r="A5" s="164"/>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32"/>
      <c r="AO5" s="206"/>
      <c r="AP5" s="207"/>
      <c r="AQ5" s="144"/>
      <c r="AU5" s="61">
        <f>AVERAGE(TBill72)/100</f>
        <v>4.9653290674756372E-2</v>
      </c>
      <c r="AV5" s="61">
        <f>AVERAGE(AV7:AV51)/100</f>
        <v>4.1025362115189451E-2</v>
      </c>
    </row>
    <row r="6" spans="1:63">
      <c r="A6" s="164"/>
      <c r="B6" s="206"/>
      <c r="C6" s="206"/>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32"/>
      <c r="AO6" s="206"/>
      <c r="AP6" s="207"/>
      <c r="AQ6" s="144"/>
      <c r="AU6" s="61">
        <f>(AU5-AV5)/(1+AV5)</f>
        <v>8.2879138910087764E-3</v>
      </c>
    </row>
    <row r="7" spans="1:63">
      <c r="A7" s="204">
        <v>1972</v>
      </c>
      <c r="B7" s="206">
        <f>IF(AND($A7&gt;=SYear72,$A7&lt;=EYear72,B$3&gt;0),B$3*VLOOKUP($A7,Data_72_15!$A$8:$AM$52,MATCH(B$2,Data_72_15!$B$2:$AM$2,0)+1),"")</f>
        <v>8.3508036338224994</v>
      </c>
      <c r="C7" s="206" t="str">
        <f>IF(AND($A7&gt;=SYear72,$A7&lt;=EYear72,C$3&gt;0),C$3*VLOOKUP($A7,Data_72_15!$A$8:$AM$52,MATCH(C$2,Data_72_15!$B$2:$AM$2,0)+1),"")</f>
        <v/>
      </c>
      <c r="D7" s="206" t="str">
        <f>IF(AND($A7&gt;=SYear72,$A7&lt;=EYear72,D$3&gt;0),D$3*VLOOKUP($A7,Data_72_15!$A$8:$AM$52,MATCH(D$2,Data_72_15!$B$2:$AM$2,0)+1),"")</f>
        <v/>
      </c>
      <c r="E7" s="206" t="str">
        <f>IF(AND($A7&gt;=SYear72,$A7&lt;=EYear72,E$3&gt;0),E$3*VLOOKUP($A7,Data_72_15!$A$8:$AM$52,MATCH(E$2,Data_72_15!$B$2:$AM$2,0)+1),"")</f>
        <v/>
      </c>
      <c r="F7" s="206" t="str">
        <f>IF(AND($A7&gt;=SYear72,$A7&lt;=EYear72,F$3&gt;0),F$3*VLOOKUP($A7,Data_72_15!$A$8:$AM$52,MATCH(F$2,Data_72_15!$B$2:$AM$2,0)+1),"")</f>
        <v/>
      </c>
      <c r="G7" s="206" t="str">
        <f>IF(AND($A7&gt;=SYear72,$A7&lt;=EYear72,G$3&gt;0),G$3*VLOOKUP($A7,Data_72_15!$A$8:$AM$52,MATCH(G$2,Data_72_15!$B$2:$AM$2,0)+1),"")</f>
        <v/>
      </c>
      <c r="H7" s="206" t="str">
        <f>IF(AND($A7&gt;=SYear72,$A7&lt;=EYear72,H$3&gt;0),H$3*VLOOKUP($A7,Data_72_15!$A$8:$AM$52,MATCH(H$2,Data_72_15!$B$2:$AM$2,0)+1),"")</f>
        <v/>
      </c>
      <c r="I7" s="206" t="str">
        <f>IF(AND($A7&gt;=SYear72,$A7&lt;=EYear72,I$3&gt;0),I$3*VLOOKUP($A7,Data_72_15!$A$8:$AM$52,MATCH(I$2,Data_72_15!$B$2:$AM$2,0)+1),"")</f>
        <v/>
      </c>
      <c r="J7" s="206" t="str">
        <f>IF(AND($A7&gt;=SYear72,$A7&lt;=EYear72,J$3&gt;0),J$3*VLOOKUP($A7,Data_72_15!$A$8:$AM$52,MATCH(J$2,Data_72_15!$B$2:$AM$2,0)+1),"")</f>
        <v/>
      </c>
      <c r="K7" s="206" t="str">
        <f>IF(AND($A7&gt;=SYear72,$A7&lt;=EYear72,K$3&gt;0),K$3*VLOOKUP($A7,Data_72_15!$A$8:$AM$52,MATCH(K$2,Data_72_15!$B$2:$AM$2,0)+1),"")</f>
        <v/>
      </c>
      <c r="L7" s="206" t="str">
        <f>IF(AND($A7&gt;=SYear72,$A7&lt;=EYear72,L$3&gt;0),L$3*VLOOKUP($A7,Data_72_15!$A$8:$AM$52,MATCH(L$2,Data_72_15!$B$2:$AM$2,0)+1),"")</f>
        <v/>
      </c>
      <c r="M7" s="206" t="str">
        <f>IF(AND($A7&gt;=SYear72,$A7&lt;=EYear72,M$3&gt;0),M$3*VLOOKUP($A7,Data_72_15!$A$8:$AM$52,MATCH(M$2,Data_72_15!$B$2:$AM$2,0)+1),"")</f>
        <v/>
      </c>
      <c r="N7" s="206">
        <f>IF(AND($A7&gt;=SYear72,$A7&lt;=EYear72,N$3&gt;0),N$3*VLOOKUP($A7,Data_72_15!$A$8:$AM$52,MATCH(N$2,Data_72_15!$B$2:$AM$2,0)+1),"")</f>
        <v>11.424366393933347</v>
      </c>
      <c r="O7" s="206" t="str">
        <f>IF(AND($A7&gt;=SYear72,$A7&lt;=EYear72,O$3&gt;0),O$3*VLOOKUP($A7,Data_72_15!$A$8:$AM$52,MATCH(O$2,Data_72_15!$B$2:$AM$2,0)+1),"")</f>
        <v/>
      </c>
      <c r="P7" s="206" t="str">
        <f>IF(AND($A7&gt;=SYear72,$A7&lt;=EYear72,P$3&gt;0),P$3*VLOOKUP($A7,Data_72_15!$A$8:$AM$52,MATCH(P$2,Data_72_15!$B$2:$AM$2,0)+1),"")</f>
        <v/>
      </c>
      <c r="Q7" s="206" t="str">
        <f>IF(AND($A7&gt;=SYear72,$A7&lt;=EYear72,Q$3&gt;0),Q$3*VLOOKUP($A7,Data_72_15!$A$8:$AM$52,MATCH(Q$2,Data_72_15!$B$2:$AM$2,0)+1),"")</f>
        <v/>
      </c>
      <c r="R7" s="206" t="str">
        <f>IF(AND($A7&gt;=SYear72,$A7&lt;=EYear72,R$3&gt;0),R$3*VLOOKUP($A7,Data_72_15!$A$8:$AM$52,MATCH(R$2,Data_72_15!$B$2:$AM$2,0)+1),"")</f>
        <v/>
      </c>
      <c r="S7" s="206" t="str">
        <f>IF(AND($A7&gt;=SYear72,$A7&lt;=EYear72,S$3&gt;0),S$3*VLOOKUP($A7,Data_72_15!$A$8:$AM$52,MATCH(S$2,Data_72_15!$B$2:$AM$2,0)+1),"")</f>
        <v/>
      </c>
      <c r="T7" s="206">
        <f>IF(AND($A7&gt;=SYear72,$A7&lt;=EYear72,T$3&gt;0),T$3*VLOOKUP($A7,Data_72_15!$A$8:$AM$52,MATCH(T$2,Data_72_15!$B$2:$AM$2,0)+1),"")</f>
        <v>0.61492291344396144</v>
      </c>
      <c r="U7" s="206" t="str">
        <f>IF(AND($A7&gt;=SYear72,$A7&lt;=EYear72,U$3&gt;0),U$3*VLOOKUP($A7,Data_72_15!$A$8:$AM$52,MATCH(U$2,Data_72_15!$B$2:$AM$2,0)+1),"")</f>
        <v/>
      </c>
      <c r="V7" s="206" t="str">
        <f>IF(AND($A7&gt;=SYear72,$A7&lt;=EYear72,V$3&gt;0),V$3*VLOOKUP($A7,Data_72_15!$A$8:$AM$52,MATCH(V$2,Data_72_15!$B$2:$AM$2,0)+1),"")</f>
        <v/>
      </c>
      <c r="W7" s="206" t="str">
        <f>IF(AND($A7&gt;=SYear72,$A7&lt;=EYear72,W$3&gt;0),W$3*VLOOKUP($A7,Data_72_15!$A$8:$AM$52,MATCH(W$2,Data_72_15!$B$2:$AM$2,0)+1),"")</f>
        <v/>
      </c>
      <c r="X7" s="206" t="str">
        <f>IF(AND($A7&gt;=SYear72,$A7&lt;=EYear72,X$3&gt;0),X$3*VLOOKUP($A7,Data_72_15!$A$8:$AM$52,MATCH(X$2,Data_72_15!$B$2:$AM$2,0)+1),"")</f>
        <v/>
      </c>
      <c r="Y7" s="206" t="str">
        <f>IF(AND($A7&gt;=SYear72,$A7&lt;=EYear72,Y$3&gt;0),Y$3*VLOOKUP($A7,Data_72_15!$A$8:$AM$52,MATCH(Y$2,Data_72_15!$B$2:$AM$2,0)+1),"")</f>
        <v/>
      </c>
      <c r="Z7" s="206" t="str">
        <f>IF(AND($A7&gt;=SYear72,$A7&lt;=EYear72,Z$3&gt;0),Z$3*VLOOKUP($A7,Data_72_15!$A$8:$AM$52,MATCH(Z$2,Data_72_15!$B$2:$AM$2,0)+1),"")</f>
        <v/>
      </c>
      <c r="AA7" s="206" t="str">
        <f>IF(AND($A7&gt;=SYear72,$A7&lt;=EYear72,AA$3&gt;0),AA$3*VLOOKUP($A7,Data_72_15!$A$8:$AM$52,MATCH(AA$2,Data_72_15!$B$2:$AM$2,0)+1),"")</f>
        <v/>
      </c>
      <c r="AB7" s="206" t="str">
        <f>IF(AND($A7&gt;=SYear72,$A7&lt;=EYear72,AB$3&gt;0),AB$3*VLOOKUP($A7,Data_72_15!$A$8:$AM$52,MATCH(AB$2,Data_72_15!$B$2:$AM$2,0)+1),"")</f>
        <v/>
      </c>
      <c r="AC7" s="206" t="str">
        <f>IF(AND($A7&gt;=SYear72,$A7&lt;=EYear72,AC$3&gt;0),AC$3*VLOOKUP($A7,Data_72_15!$A$8:$AM$52,MATCH(AC$2,Data_72_15!$B$2:$AM$2,0)+1),"")</f>
        <v/>
      </c>
      <c r="AD7" s="206" t="str">
        <f>IF(AND($A7&gt;=SYear72,$A7&lt;=EYear72,AD$3&gt;0),AD$3*VLOOKUP($A7,Data_72_15!$A$8:$AM$52,MATCH(AD$2,Data_72_15!$B$2:$AM$2,0)+1),"")</f>
        <v/>
      </c>
      <c r="AE7" s="206" t="str">
        <f>IF(AND($A7&gt;=SYear72,$A7&lt;=EYear72,AE$3&gt;0),AE$3*VLOOKUP($A7,Data_72_15!$A$8:$AM$52,MATCH(AE$2,Data_72_15!$B$2:$AM$2,0)+1),"")</f>
        <v/>
      </c>
      <c r="AF7" s="206" t="str">
        <f>IF(AND($A7&gt;=SYear72,$A7&lt;=EYear72,AF$3&gt;0),AF$3*VLOOKUP($A7,Data_72_15!$A$8:$AM$52,MATCH(AF$2,Data_72_15!$B$2:$AM$2,0)+1),"")</f>
        <v/>
      </c>
      <c r="AG7" s="206" t="str">
        <f>IF(AND($A7&gt;=SYear72,$A7&lt;=EYear72,AG$3&gt;0),AG$3*VLOOKUP($A7,Data_72_15!$A$8:$AM$52,MATCH(AG$2,Data_72_15!$B$2:$AM$2,0)+1),"")</f>
        <v/>
      </c>
      <c r="AH7" s="206" t="str">
        <f>IF(AND($A7&gt;=SYear72,$A7&lt;=EYear72,AH$3&gt;0),AH$3*VLOOKUP($A7,Data_72_15!$A$8:$AM$52,MATCH(AH$2,Data_72_15!$B$2:$AM$2,0)+1),"")</f>
        <v/>
      </c>
      <c r="AI7" s="206" t="str">
        <f>IF(AND($A7&gt;=SYear72,$A7&lt;=EYear72,AI$3&gt;0),AI$3*VLOOKUP($A7,Data_72_15!$A$8:$AM$52,MATCH(AI$2,Data_72_15!$B$2:$AM$2,0)+1),"")</f>
        <v/>
      </c>
      <c r="AJ7" s="206" t="str">
        <f>IF(AND($A7&gt;=SYear72,$A7&lt;=EYear72,AJ$3&gt;0),AJ$3*VLOOKUP($A7,Data_72_15!$A$8:$AM$52,MATCH(AJ$2,Data_72_15!$B$2:$AM$2,0)+1),"")</f>
        <v/>
      </c>
      <c r="AK7" s="206" t="str">
        <f>IF(AND($A7&gt;=SYear72,$A7&lt;=EYear72,AK$3&gt;0),AK$3*VLOOKUP($A7,Data_72_15!$A$8:$AM$52,MATCH(AK$2,Data_72_15!$B$2:$AM$2,0)+1),"")</f>
        <v/>
      </c>
      <c r="AL7" s="206" t="str">
        <f>IF(AND($A7&gt;=SYear72,$A7&lt;=EYear72,AL$3&gt;0),AL$3*VLOOKUP($A7,Data_72_15!$A$8:$AM$52,MATCH(AL$2,Data_72_15!$B$2:$AM$2,0)+1),"")</f>
        <v/>
      </c>
      <c r="AM7" s="206">
        <f>IF(AND($A7&gt;=SYear72,$A7&lt;=EYear72),SUM(B7:AL7),"")</f>
        <v>20.390092941199811</v>
      </c>
      <c r="AN7" s="446">
        <f>IF(AND($A7&gt;=SYear72,$A7&lt;=EYear72),IF($A7=SYear72,$AN$4*(1+AM7%),$AN6*(1+AM7%)),"")</f>
        <v>12039.00929411998</v>
      </c>
      <c r="AO7" s="206">
        <f>IF(AND($A7&gt;=SYear72,$A7&lt;=EYear72),(AM7-Data_72_15!AM8)/(1+Data_72_15!AM8%),"")</f>
        <v>16.424301644313235</v>
      </c>
      <c r="AP7" s="606">
        <f>IF(AND($A7&gt;=SYear72,$A7&lt;=EYear72),IF($A7=SYear72,$AP$4*(1+AO7%),$AP6*(1+AO7%)),"")</f>
        <v>11642.430164431324</v>
      </c>
      <c r="AQ7" s="143">
        <f>IF(AND($A7&gt;=SYear72,$A7&lt;=EYear72),IF($A7=SYear72,AQ$2,AQ6*(1+AM7%)),"")</f>
        <v>1</v>
      </c>
      <c r="AR7" s="143">
        <f>IF(AND($A7&gt;=SYear72,$A7&lt;=EYear72),MAX($AQ$7:AQ7),"")</f>
        <v>1</v>
      </c>
      <c r="AS7" s="209">
        <f>IF(AND($A7&gt;=SYear72,$A7&lt;=EYear72),1-(AQ7/AR7),"")</f>
        <v>0</v>
      </c>
      <c r="AU7" s="143">
        <f>IF(AND($A7&gt;=SYear72,$A7&lt;=EYear72),Data_72_15!V8,"")</f>
        <v>3.7066640023978423</v>
      </c>
      <c r="AV7" s="143">
        <f>IF(AND($A7&gt;=SYear72,$A7&lt;=EYear72),Data_72_15!AM8,"")</f>
        <v>3.4063260340632562</v>
      </c>
      <c r="AW7" s="143">
        <f>IF(AND($A7&gt;=SYear72,$A7&lt;=EYear72),(AU7-AV7)/(1+AV7%),"")</f>
        <v>0.29044448231885861</v>
      </c>
      <c r="AZ7" s="61">
        <f t="shared" ref="AZ7:AZ51" si="1">IF(AND($A7&gt;=SYear72,$A7&lt;=EYear72),IF($A7=SYear72,($AN7/$AN$4)-1,($AN7/$AN6)-1),"")</f>
        <v>0.203900929411998</v>
      </c>
      <c r="BA7" s="61">
        <f t="shared" ref="BA7:BA48" si="2">IF(AND($A7&gt;=SYear72,$A7&lt;=EYear72),IF($A7=SYear72,(($AN9/$AN$4)^(1/(1+($A9-$A7)))-1),(($AN9/$AN6)^(1/(1+($A9-$A7)))-1)),"")</f>
        <v>-5.5905546377663096E-2</v>
      </c>
      <c r="BB7" s="61">
        <f t="shared" ref="BB7:BB46" si="3">IF(AND($A7&gt;=SYear72,$A7&lt;=EYear72),IF($A7=SYear72,(($AN11/$AN$4)^(1/(1+($A11-$A7)))-1),(($AN11/$AN6)^(1/(1+($A11-$A7)))-1)),"")</f>
        <v>5.1827893811231762E-2</v>
      </c>
      <c r="BC7" s="61">
        <f t="shared" ref="BC7:BC41" si="4">IF(AND($A7&gt;=SYear72,$A7&lt;=EYear72),IF($A7=SYear72,(($AN16/$AN$4)^(1/(1+($A16-$A7)))-1),(($AN16/$AN6)^(1/(1+($A16-$A7)))-1)),"")</f>
        <v>7.9852832957996389E-2</v>
      </c>
      <c r="BD7" s="61">
        <f t="shared" ref="BD7:BD36" si="5">IF(AND($A7&gt;=SYear72,$A7&lt;=EYear72),IF($A7=SYear72,(($AN21/$AN$4)^(1/(1+($A21-$A7)))-1),(($AN21/$AN6)^(1/(1+($A21-$A7)))-1)),"")</f>
        <v>0.1248414213773763</v>
      </c>
      <c r="BG7" s="61">
        <f t="shared" ref="BG7:BG51" si="6">IF(AND($A7&gt;=SYear72,$A7&lt;=EYear72),IF($A7=SYear72,($AP7/$AP$4)-1,($AP7/$AP6)-1),"")</f>
        <v>0.16424301644313233</v>
      </c>
      <c r="BH7" s="61">
        <f t="shared" ref="BH7:BH48" si="7">IF(AND($A7&gt;=SYear72,$A7&lt;=EYear72),IF($A7=SYear72,(($AP9/$AP$4)^(1/(1+($A9-$A7)))-1),(($AP9/$AP6)^(1/(1+($A9-$A7)))-1)),"")</f>
        <v>-0.12654553831660498</v>
      </c>
      <c r="BI7" s="61">
        <f t="shared" ref="BI7:BI46" si="8">IF(AND($A7&gt;=SYear72,$A7&lt;=EYear72),IF($A7=SYear72,(($AP11/$AP$4)^(1/(1+($A11-$A7)))-1),(($AP11/$AP6)^(1/(1+($A11-$A7)))-1)),"")</f>
        <v>-1.886571676609905E-2</v>
      </c>
      <c r="BJ7" s="61">
        <f t="shared" ref="BJ7:BJ41" si="9">IF(AND($A7&gt;=SYear72,$A7&lt;=EYear72),IF($A7=SYear72,(($AP16/$AP$4)^(1/(1+($A16-$A7)))-1),(($AP16/$AP6)^(1/(1+($A16-$A7)))-1)),"")</f>
        <v>-5.8865062348694153E-3</v>
      </c>
      <c r="BK7" s="61">
        <f t="shared" ref="BK7:BK36" si="10">IF(AND($A7&gt;=SYear72,$A7&lt;=EYear72),IF($A7=SYear72,(($AP21/$AP$4)^(1/(1+($A21-$A7)))-1),(($AP21/$AP6)^(1/(1+($A21-$A7)))-1)),"")</f>
        <v>5.3068454767516871E-2</v>
      </c>
    </row>
    <row r="8" spans="1:63">
      <c r="A8" s="204">
        <f>A7+1</f>
        <v>1973</v>
      </c>
      <c r="B8" s="206">
        <f>IF(AND($A8&gt;=SYear72,$A8&lt;=EYear72,B$3&gt;0),B$3*VLOOKUP($A8,Data_72_15!$A$8:$AM$52,MATCH(B$2,Data_72_15!$B$2:$AM$2,0)+1),"")</f>
        <v>-9.119496855345913</v>
      </c>
      <c r="C8" s="206" t="str">
        <f>IF(AND($A8&gt;=SYear72,$A8&lt;=EYear72,C$3&gt;0),C$3*VLOOKUP($A8,Data_72_15!$A$8:$AM$52,MATCH(C$2,Data_72_15!$B$2:$AM$2,0)+1),"")</f>
        <v/>
      </c>
      <c r="D8" s="206" t="str">
        <f>IF(AND($A8&gt;=SYear72,$A8&lt;=EYear72,D$3&gt;0),D$3*VLOOKUP($A8,Data_72_15!$A$8:$AM$52,MATCH(D$2,Data_72_15!$B$2:$AM$2,0)+1),"")</f>
        <v/>
      </c>
      <c r="E8" s="206" t="str">
        <f>IF(AND($A8&gt;=SYear72,$A8&lt;=EYear72,E$3&gt;0),E$3*VLOOKUP($A8,Data_72_15!$A$8:$AM$52,MATCH(E$2,Data_72_15!$B$2:$AM$2,0)+1),"")</f>
        <v/>
      </c>
      <c r="F8" s="206" t="str">
        <f>IF(AND($A8&gt;=SYear72,$A8&lt;=EYear72,F$3&gt;0),F$3*VLOOKUP($A8,Data_72_15!$A$8:$AM$52,MATCH(F$2,Data_72_15!$B$2:$AM$2,0)+1),"")</f>
        <v/>
      </c>
      <c r="G8" s="206" t="str">
        <f>IF(AND($A8&gt;=SYear72,$A8&lt;=EYear72,G$3&gt;0),G$3*VLOOKUP($A8,Data_72_15!$A$8:$AM$52,MATCH(G$2,Data_72_15!$B$2:$AM$2,0)+1),"")</f>
        <v/>
      </c>
      <c r="H8" s="206" t="str">
        <f>IF(AND($A8&gt;=SYear72,$A8&lt;=EYear72,H$3&gt;0),H$3*VLOOKUP($A8,Data_72_15!$A$8:$AM$52,MATCH(H$2,Data_72_15!$B$2:$AM$2,0)+1),"")</f>
        <v/>
      </c>
      <c r="I8" s="206" t="str">
        <f>IF(AND($A8&gt;=SYear72,$A8&lt;=EYear72,I$3&gt;0),I$3*VLOOKUP($A8,Data_72_15!$A$8:$AM$52,MATCH(I$2,Data_72_15!$B$2:$AM$2,0)+1),"")</f>
        <v/>
      </c>
      <c r="J8" s="206" t="str">
        <f>IF(AND($A8&gt;=SYear72,$A8&lt;=EYear72,J$3&gt;0),J$3*VLOOKUP($A8,Data_72_15!$A$8:$AM$52,MATCH(J$2,Data_72_15!$B$2:$AM$2,0)+1),"")</f>
        <v/>
      </c>
      <c r="K8" s="206" t="str">
        <f>IF(AND($A8&gt;=SYear72,$A8&lt;=EYear72,K$3&gt;0),K$3*VLOOKUP($A8,Data_72_15!$A$8:$AM$52,MATCH(K$2,Data_72_15!$B$2:$AM$2,0)+1),"")</f>
        <v/>
      </c>
      <c r="L8" s="206" t="str">
        <f>IF(AND($A8&gt;=SYear72,$A8&lt;=EYear72,L$3&gt;0),L$3*VLOOKUP($A8,Data_72_15!$A$8:$AM$52,MATCH(L$2,Data_72_15!$B$2:$AM$2,0)+1),"")</f>
        <v/>
      </c>
      <c r="M8" s="206" t="str">
        <f>IF(AND($A8&gt;=SYear72,$A8&lt;=EYear72,M$3&gt;0),M$3*VLOOKUP($A8,Data_72_15!$A$8:$AM$52,MATCH(M$2,Data_72_15!$B$2:$AM$2,0)+1),"")</f>
        <v/>
      </c>
      <c r="N8" s="206">
        <f>IF(AND($A8&gt;=SYear72,$A8&lt;=EYear72,N$3&gt;0),N$3*VLOOKUP($A8,Data_72_15!$A$8:$AM$52,MATCH(N$2,Data_72_15!$B$2:$AM$2,0)+1),"")</f>
        <v>-4.4766513669926162</v>
      </c>
      <c r="O8" s="206" t="str">
        <f>IF(AND($A8&gt;=SYear72,$A8&lt;=EYear72,O$3&gt;0),O$3*VLOOKUP($A8,Data_72_15!$A$8:$AM$52,MATCH(O$2,Data_72_15!$B$2:$AM$2,0)+1),"")</f>
        <v/>
      </c>
      <c r="P8" s="206" t="str">
        <f>IF(AND($A8&gt;=SYear72,$A8&lt;=EYear72,P$3&gt;0),P$3*VLOOKUP($A8,Data_72_15!$A$8:$AM$52,MATCH(P$2,Data_72_15!$B$2:$AM$2,0)+1),"")</f>
        <v/>
      </c>
      <c r="Q8" s="206" t="str">
        <f>IF(AND($A8&gt;=SYear72,$A8&lt;=EYear72,Q$3&gt;0),Q$3*VLOOKUP($A8,Data_72_15!$A$8:$AM$52,MATCH(Q$2,Data_72_15!$B$2:$AM$2,0)+1),"")</f>
        <v/>
      </c>
      <c r="R8" s="206" t="str">
        <f>IF(AND($A8&gt;=SYear72,$A8&lt;=EYear72,R$3&gt;0),R$3*VLOOKUP($A8,Data_72_15!$A$8:$AM$52,MATCH(R$2,Data_72_15!$B$2:$AM$2,0)+1),"")</f>
        <v/>
      </c>
      <c r="S8" s="206" t="str">
        <f>IF(AND($A8&gt;=SYear72,$A8&lt;=EYear72,S$3&gt;0),S$3*VLOOKUP($A8,Data_72_15!$A$8:$AM$52,MATCH(S$2,Data_72_15!$B$2:$AM$2,0)+1),"")</f>
        <v/>
      </c>
      <c r="T8" s="206">
        <f>IF(AND($A8&gt;=SYear72,$A8&lt;=EYear72,T$3&gt;0),T$3*VLOOKUP($A8,Data_72_15!$A$8:$AM$52,MATCH(T$2,Data_72_15!$B$2:$AM$2,0)+1),"")</f>
        <v>0.74777037872363195</v>
      </c>
      <c r="U8" s="206" t="str">
        <f>IF(AND($A8&gt;=SYear72,$A8&lt;=EYear72,U$3&gt;0),U$3*VLOOKUP($A8,Data_72_15!$A$8:$AM$52,MATCH(U$2,Data_72_15!$B$2:$AM$2,0)+1),"")</f>
        <v/>
      </c>
      <c r="V8" s="206" t="str">
        <f>IF(AND($A8&gt;=SYear72,$A8&lt;=EYear72,V$3&gt;0),V$3*VLOOKUP($A8,Data_72_15!$A$8:$AM$52,MATCH(V$2,Data_72_15!$B$2:$AM$2,0)+1),"")</f>
        <v/>
      </c>
      <c r="W8" s="206" t="str">
        <f>IF(AND($A8&gt;=SYear72,$A8&lt;=EYear72,W$3&gt;0),W$3*VLOOKUP($A8,Data_72_15!$A$8:$AM$52,MATCH(W$2,Data_72_15!$B$2:$AM$2,0)+1),"")</f>
        <v/>
      </c>
      <c r="X8" s="206" t="str">
        <f>IF(AND($A8&gt;=SYear72,$A8&lt;=EYear72,X$3&gt;0),X$3*VLOOKUP($A8,Data_72_15!$A$8:$AM$52,MATCH(X$2,Data_72_15!$B$2:$AM$2,0)+1),"")</f>
        <v/>
      </c>
      <c r="Y8" s="206" t="str">
        <f>IF(AND($A8&gt;=SYear72,$A8&lt;=EYear72,Y$3&gt;0),Y$3*VLOOKUP($A8,Data_72_15!$A$8:$AM$52,MATCH(Y$2,Data_72_15!$B$2:$AM$2,0)+1),"")</f>
        <v/>
      </c>
      <c r="Z8" s="206" t="str">
        <f>IF(AND($A8&gt;=SYear72,$A8&lt;=EYear72,Z$3&gt;0),Z$3*VLOOKUP($A8,Data_72_15!$A$8:$AM$52,MATCH(Z$2,Data_72_15!$B$2:$AM$2,0)+1),"")</f>
        <v/>
      </c>
      <c r="AA8" s="206" t="str">
        <f>IF(AND($A8&gt;=SYear72,$A8&lt;=EYear72,AA$3&gt;0),AA$3*VLOOKUP($A8,Data_72_15!$A$8:$AM$52,MATCH(AA$2,Data_72_15!$B$2:$AM$2,0)+1),"")</f>
        <v/>
      </c>
      <c r="AB8" s="206" t="str">
        <f>IF(AND($A8&gt;=SYear72,$A8&lt;=EYear72,AB$3&gt;0),AB$3*VLOOKUP($A8,Data_72_15!$A$8:$AM$52,MATCH(AB$2,Data_72_15!$B$2:$AM$2,0)+1),"")</f>
        <v/>
      </c>
      <c r="AC8" s="206" t="str">
        <f>IF(AND($A8&gt;=SYear72,$A8&lt;=EYear72,AC$3&gt;0),AC$3*VLOOKUP($A8,Data_72_15!$A$8:$AM$52,MATCH(AC$2,Data_72_15!$B$2:$AM$2,0)+1),"")</f>
        <v/>
      </c>
      <c r="AD8" s="206" t="str">
        <f>IF(AND($A8&gt;=SYear72,$A8&lt;=EYear72,AD$3&gt;0),AD$3*VLOOKUP($A8,Data_72_15!$A$8:$AM$52,MATCH(AD$2,Data_72_15!$B$2:$AM$2,0)+1),"")</f>
        <v/>
      </c>
      <c r="AE8" s="206" t="str">
        <f>IF(AND($A8&gt;=SYear72,$A8&lt;=EYear72,AE$3&gt;0),AE$3*VLOOKUP($A8,Data_72_15!$A$8:$AM$52,MATCH(AE$2,Data_72_15!$B$2:$AM$2,0)+1),"")</f>
        <v/>
      </c>
      <c r="AF8" s="206" t="str">
        <f>IF(AND($A8&gt;=SYear72,$A8&lt;=EYear72,AF$3&gt;0),AF$3*VLOOKUP($A8,Data_72_15!$A$8:$AM$52,MATCH(AF$2,Data_72_15!$B$2:$AM$2,0)+1),"")</f>
        <v/>
      </c>
      <c r="AG8" s="206" t="str">
        <f>IF(AND($A8&gt;=SYear72,$A8&lt;=EYear72,AG$3&gt;0),AG$3*VLOOKUP($A8,Data_72_15!$A$8:$AM$52,MATCH(AG$2,Data_72_15!$B$2:$AM$2,0)+1),"")</f>
        <v/>
      </c>
      <c r="AH8" s="206" t="str">
        <f>IF(AND($A8&gt;=SYear72,$A8&lt;=EYear72,AH$3&gt;0),AH$3*VLOOKUP($A8,Data_72_15!$A$8:$AM$52,MATCH(AH$2,Data_72_15!$B$2:$AM$2,0)+1),"")</f>
        <v/>
      </c>
      <c r="AI8" s="206" t="str">
        <f>IF(AND($A8&gt;=SYear72,$A8&lt;=EYear72,AI$3&gt;0),AI$3*VLOOKUP($A8,Data_72_15!$A$8:$AM$52,MATCH(AI$2,Data_72_15!$B$2:$AM$2,0)+1),"")</f>
        <v/>
      </c>
      <c r="AJ8" s="206" t="str">
        <f>IF(AND($A8&gt;=SYear72,$A8&lt;=EYear72,AJ$3&gt;0),AJ$3*VLOOKUP($A8,Data_72_15!$A$8:$AM$52,MATCH(AJ$2,Data_72_15!$B$2:$AM$2,0)+1),"")</f>
        <v/>
      </c>
      <c r="AK8" s="206" t="str">
        <f>IF(AND($A8&gt;=SYear72,$A8&lt;=EYear72,AK$3&gt;0),AK$3*VLOOKUP($A8,Data_72_15!$A$8:$AM$52,MATCH(AK$2,Data_72_15!$B$2:$AM$2,0)+1),"")</f>
        <v/>
      </c>
      <c r="AL8" s="206" t="str">
        <f>IF(AND($A8&gt;=SYear72,$A8&lt;=EYear72,AL$3&gt;0),AL$3*VLOOKUP($A8,Data_72_15!$A$8:$AM$52,MATCH(AL$2,Data_72_15!$B$2:$AM$2,0)+1),"")</f>
        <v/>
      </c>
      <c r="AM8" s="206">
        <f>IF(AND($A8&gt;=SYear72,$A8&lt;=EYear72),SUM(B8:AL8),"")</f>
        <v>-12.848377843614898</v>
      </c>
      <c r="AN8" s="446">
        <f>IF(AND($A8&gt;=SYear72,$A8&lt;=EYear72),IF($A8=SYear72,$AN$4*(1+AM8%),$AN7*(1+AM8%)),"")</f>
        <v>10492.191891383531</v>
      </c>
      <c r="AO8" s="206">
        <f>IF(AND($A8&gt;=SYear72,$A8&lt;=EYear72),(AM8-Data_72_15!AM9)/(1+Data_72_15!AM9%),"")</f>
        <v>-19.828053211117606</v>
      </c>
      <c r="AP8" s="606">
        <f>IF(AND($A8&gt;=SYear72,$A8&lt;=EYear72),IF($A8=SYear72,$AP$4*(1+AO8%),$AP7*(1+AO8%)),"")</f>
        <v>9333.9629163606751</v>
      </c>
      <c r="AQ8" s="143">
        <f>IF(AND($A8&gt;=SYear72,$A8&lt;=EYear72),IF($A8=SYear72,AQ$2,AQ7*(1+AM8%)),"")</f>
        <v>0.871516221563851</v>
      </c>
      <c r="AR8" s="143">
        <f>IF(AND($A8&gt;=SYear72,$A8&lt;=EYear72),MAX($AQ$7:AQ8),"")</f>
        <v>1</v>
      </c>
      <c r="AS8" s="209">
        <f>IF(AND($A8&gt;=SYear72,$A8&lt;=EYear72),1-(AQ8/AR8),"")</f>
        <v>0.128483778436149</v>
      </c>
      <c r="AU8" s="143">
        <f>IF(AND($A8&gt;=SYear72,$A8&lt;=EYear72),Data_72_15!V9,"")</f>
        <v>6.8038765111399755</v>
      </c>
      <c r="AV8" s="143">
        <f>IF(AND($A8&gt;=SYear72,$A8&lt;=EYear72),Data_72_15!AM9,"")</f>
        <v>8.7058823529411846</v>
      </c>
      <c r="AW8" s="143">
        <f>IF(AND($A8&gt;=SYear72,$A8&lt;=EYear72),(AU8-AV8)/(1+AV8%),"")</f>
        <v>-1.7496806986266533</v>
      </c>
      <c r="AZ8" s="61">
        <f t="shared" si="1"/>
        <v>-0.12848377843614889</v>
      </c>
      <c r="BA8" s="61">
        <f t="shared" si="2"/>
        <v>-2.7571825022444929E-2</v>
      </c>
      <c r="BB8" s="61">
        <f t="shared" si="3"/>
        <v>2.3828979820851748E-2</v>
      </c>
      <c r="BC8" s="61">
        <f t="shared" si="4"/>
        <v>7.6370971303458379E-2</v>
      </c>
      <c r="BD8" s="61">
        <f t="shared" si="5"/>
        <v>0.11734026355314753</v>
      </c>
      <c r="BG8" s="61">
        <f t="shared" si="6"/>
        <v>-0.19828053211117591</v>
      </c>
      <c r="BH8" s="61">
        <f t="shared" si="7"/>
        <v>-0.11034249001091723</v>
      </c>
      <c r="BI8" s="61">
        <f t="shared" si="8"/>
        <v>-5.0954827904816202E-2</v>
      </c>
      <c r="BJ8" s="61">
        <f t="shared" si="9"/>
        <v>-9.4967885119847661E-3</v>
      </c>
      <c r="BK8" s="61">
        <f t="shared" si="10"/>
        <v>4.5356258476690892E-2</v>
      </c>
    </row>
    <row r="9" spans="1:63">
      <c r="A9" s="204">
        <f t="shared" ref="A9:A51" si="11">A8+1</f>
        <v>1974</v>
      </c>
      <c r="B9" s="206">
        <f>IF(AND($A9&gt;=SYear72,$A9&lt;=EYear72,B$3&gt;0),B$3*VLOOKUP($A9,Data_72_15!$A$8:$AM$52,MATCH(B$2,Data_72_15!$B$2:$AM$2,0)+1),"")</f>
        <v>-13.6617749825297</v>
      </c>
      <c r="C9" s="206" t="str">
        <f>IF(AND($A9&gt;=SYear72,$A9&lt;=EYear72,C$3&gt;0),C$3*VLOOKUP($A9,Data_72_15!$A$8:$AM$52,MATCH(C$2,Data_72_15!$B$2:$AM$2,0)+1),"")</f>
        <v/>
      </c>
      <c r="D9" s="206" t="str">
        <f>IF(AND($A9&gt;=SYear72,$A9&lt;=EYear72,D$3&gt;0),D$3*VLOOKUP($A9,Data_72_15!$A$8:$AM$52,MATCH(D$2,Data_72_15!$B$2:$AM$2,0)+1),"")</f>
        <v/>
      </c>
      <c r="E9" s="206" t="str">
        <f>IF(AND($A9&gt;=SYear72,$A9&lt;=EYear72,E$3&gt;0),E$3*VLOOKUP($A9,Data_72_15!$A$8:$AM$52,MATCH(E$2,Data_72_15!$B$2:$AM$2,0)+1),"")</f>
        <v/>
      </c>
      <c r="F9" s="206" t="str">
        <f>IF(AND($A9&gt;=SYear72,$A9&lt;=EYear72,F$3&gt;0),F$3*VLOOKUP($A9,Data_72_15!$A$8:$AM$52,MATCH(F$2,Data_72_15!$B$2:$AM$2,0)+1),"")</f>
        <v/>
      </c>
      <c r="G9" s="206" t="str">
        <f>IF(AND($A9&gt;=SYear72,$A9&lt;=EYear72,G$3&gt;0),G$3*VLOOKUP($A9,Data_72_15!$A$8:$AM$52,MATCH(G$2,Data_72_15!$B$2:$AM$2,0)+1),"")</f>
        <v/>
      </c>
      <c r="H9" s="206" t="str">
        <f>IF(AND($A9&gt;=SYear72,$A9&lt;=EYear72,H$3&gt;0),H$3*VLOOKUP($A9,Data_72_15!$A$8:$AM$52,MATCH(H$2,Data_72_15!$B$2:$AM$2,0)+1),"")</f>
        <v/>
      </c>
      <c r="I9" s="206" t="str">
        <f>IF(AND($A9&gt;=SYear72,$A9&lt;=EYear72,I$3&gt;0),I$3*VLOOKUP($A9,Data_72_15!$A$8:$AM$52,MATCH(I$2,Data_72_15!$B$2:$AM$2,0)+1),"")</f>
        <v/>
      </c>
      <c r="J9" s="206" t="str">
        <f>IF(AND($A9&gt;=SYear72,$A9&lt;=EYear72,J$3&gt;0),J$3*VLOOKUP($A9,Data_72_15!$A$8:$AM$52,MATCH(J$2,Data_72_15!$B$2:$AM$2,0)+1),"")</f>
        <v/>
      </c>
      <c r="K9" s="206" t="str">
        <f>IF(AND($A9&gt;=SYear72,$A9&lt;=EYear72,K$3&gt;0),K$3*VLOOKUP($A9,Data_72_15!$A$8:$AM$52,MATCH(K$2,Data_72_15!$B$2:$AM$2,0)+1),"")</f>
        <v/>
      </c>
      <c r="L9" s="206" t="str">
        <f>IF(AND($A9&gt;=SYear72,$A9&lt;=EYear72,L$3&gt;0),L$3*VLOOKUP($A9,Data_72_15!$A$8:$AM$52,MATCH(L$2,Data_72_15!$B$2:$AM$2,0)+1),"")</f>
        <v/>
      </c>
      <c r="M9" s="206" t="str">
        <f>IF(AND($A9&gt;=SYear72,$A9&lt;=EYear72,M$3&gt;0),M$3*VLOOKUP($A9,Data_72_15!$A$8:$AM$52,MATCH(M$2,Data_72_15!$B$2:$AM$2,0)+1),"")</f>
        <v/>
      </c>
      <c r="N9" s="206">
        <f>IF(AND($A9&gt;=SYear72,$A9&lt;=EYear72,N$3&gt;0),N$3*VLOOKUP($A9,Data_72_15!$A$8:$AM$52,MATCH(N$2,Data_72_15!$B$2:$AM$2,0)+1),"")</f>
        <v>-7.1048692875673511</v>
      </c>
      <c r="O9" s="206" t="str">
        <f>IF(AND($A9&gt;=SYear72,$A9&lt;=EYear72,O$3&gt;0),O$3*VLOOKUP($A9,Data_72_15!$A$8:$AM$52,MATCH(O$2,Data_72_15!$B$2:$AM$2,0)+1),"")</f>
        <v/>
      </c>
      <c r="P9" s="206" t="str">
        <f>IF(AND($A9&gt;=SYear72,$A9&lt;=EYear72,P$3&gt;0),P$3*VLOOKUP($A9,Data_72_15!$A$8:$AM$52,MATCH(P$2,Data_72_15!$B$2:$AM$2,0)+1),"")</f>
        <v/>
      </c>
      <c r="Q9" s="206" t="str">
        <f>IF(AND($A9&gt;=SYear72,$A9&lt;=EYear72,Q$3&gt;0),Q$3*VLOOKUP($A9,Data_72_15!$A$8:$AM$52,MATCH(Q$2,Data_72_15!$B$2:$AM$2,0)+1),"")</f>
        <v/>
      </c>
      <c r="R9" s="206" t="str">
        <f>IF(AND($A9&gt;=SYear72,$A9&lt;=EYear72,R$3&gt;0),R$3*VLOOKUP($A9,Data_72_15!$A$8:$AM$52,MATCH(R$2,Data_72_15!$B$2:$AM$2,0)+1),"")</f>
        <v/>
      </c>
      <c r="S9" s="206" t="str">
        <f>IF(AND($A9&gt;=SYear72,$A9&lt;=EYear72,S$3&gt;0),S$3*VLOOKUP($A9,Data_72_15!$A$8:$AM$52,MATCH(S$2,Data_72_15!$B$2:$AM$2,0)+1),"")</f>
        <v/>
      </c>
      <c r="T9" s="206">
        <f>IF(AND($A9&gt;=SYear72,$A9&lt;=EYear72,T$3&gt;0),T$3*VLOOKUP($A9,Data_72_15!$A$8:$AM$52,MATCH(T$2,Data_72_15!$B$2:$AM$2,0)+1),"")</f>
        <v>0.96770531122493919</v>
      </c>
      <c r="U9" s="206" t="str">
        <f>IF(AND($A9&gt;=SYear72,$A9&lt;=EYear72,U$3&gt;0),U$3*VLOOKUP($A9,Data_72_15!$A$8:$AM$52,MATCH(U$2,Data_72_15!$B$2:$AM$2,0)+1),"")</f>
        <v/>
      </c>
      <c r="V9" s="206" t="str">
        <f>IF(AND($A9&gt;=SYear72,$A9&lt;=EYear72,V$3&gt;0),V$3*VLOOKUP($A9,Data_72_15!$A$8:$AM$52,MATCH(V$2,Data_72_15!$B$2:$AM$2,0)+1),"")</f>
        <v/>
      </c>
      <c r="W9" s="206" t="str">
        <f>IF(AND($A9&gt;=SYear72,$A9&lt;=EYear72,W$3&gt;0),W$3*VLOOKUP($A9,Data_72_15!$A$8:$AM$52,MATCH(W$2,Data_72_15!$B$2:$AM$2,0)+1),"")</f>
        <v/>
      </c>
      <c r="X9" s="206" t="str">
        <f>IF(AND($A9&gt;=SYear72,$A9&lt;=EYear72,X$3&gt;0),X$3*VLOOKUP($A9,Data_72_15!$A$8:$AM$52,MATCH(X$2,Data_72_15!$B$2:$AM$2,0)+1),"")</f>
        <v/>
      </c>
      <c r="Y9" s="206" t="str">
        <f>IF(AND($A9&gt;=SYear72,$A9&lt;=EYear72,Y$3&gt;0),Y$3*VLOOKUP($A9,Data_72_15!$A$8:$AM$52,MATCH(Y$2,Data_72_15!$B$2:$AM$2,0)+1),"")</f>
        <v/>
      </c>
      <c r="Z9" s="206" t="str">
        <f>IF(AND($A9&gt;=SYear72,$A9&lt;=EYear72,Z$3&gt;0),Z$3*VLOOKUP($A9,Data_72_15!$A$8:$AM$52,MATCH(Z$2,Data_72_15!$B$2:$AM$2,0)+1),"")</f>
        <v/>
      </c>
      <c r="AA9" s="206" t="str">
        <f>IF(AND($A9&gt;=SYear72,$A9&lt;=EYear72,AA$3&gt;0),AA$3*VLOOKUP($A9,Data_72_15!$A$8:$AM$52,MATCH(AA$2,Data_72_15!$B$2:$AM$2,0)+1),"")</f>
        <v/>
      </c>
      <c r="AB9" s="206" t="str">
        <f>IF(AND($A9&gt;=SYear72,$A9&lt;=EYear72,AB$3&gt;0),AB$3*VLOOKUP($A9,Data_72_15!$A$8:$AM$52,MATCH(AB$2,Data_72_15!$B$2:$AM$2,0)+1),"")</f>
        <v/>
      </c>
      <c r="AC9" s="206" t="str">
        <f>IF(AND($A9&gt;=SYear72,$A9&lt;=EYear72,AC$3&gt;0),AC$3*VLOOKUP($A9,Data_72_15!$A$8:$AM$52,MATCH(AC$2,Data_72_15!$B$2:$AM$2,0)+1),"")</f>
        <v/>
      </c>
      <c r="AD9" s="206" t="str">
        <f>IF(AND($A9&gt;=SYear72,$A9&lt;=EYear72,AD$3&gt;0),AD$3*VLOOKUP($A9,Data_72_15!$A$8:$AM$52,MATCH(AD$2,Data_72_15!$B$2:$AM$2,0)+1),"")</f>
        <v/>
      </c>
      <c r="AE9" s="206" t="str">
        <f>IF(AND($A9&gt;=SYear72,$A9&lt;=EYear72,AE$3&gt;0),AE$3*VLOOKUP($A9,Data_72_15!$A$8:$AM$52,MATCH(AE$2,Data_72_15!$B$2:$AM$2,0)+1),"")</f>
        <v/>
      </c>
      <c r="AF9" s="206" t="str">
        <f>IF(AND($A9&gt;=SYear72,$A9&lt;=EYear72,AF$3&gt;0),AF$3*VLOOKUP($A9,Data_72_15!$A$8:$AM$52,MATCH(AF$2,Data_72_15!$B$2:$AM$2,0)+1),"")</f>
        <v/>
      </c>
      <c r="AG9" s="206" t="str">
        <f>IF(AND($A9&gt;=SYear72,$A9&lt;=EYear72,AG$3&gt;0),AG$3*VLOOKUP($A9,Data_72_15!$A$8:$AM$52,MATCH(AG$2,Data_72_15!$B$2:$AM$2,0)+1),"")</f>
        <v/>
      </c>
      <c r="AH9" s="206" t="str">
        <f>IF(AND($A9&gt;=SYear72,$A9&lt;=EYear72,AH$3&gt;0),AH$3*VLOOKUP($A9,Data_72_15!$A$8:$AM$52,MATCH(AH$2,Data_72_15!$B$2:$AM$2,0)+1),"")</f>
        <v/>
      </c>
      <c r="AI9" s="206" t="str">
        <f>IF(AND($A9&gt;=SYear72,$A9&lt;=EYear72,AI$3&gt;0),AI$3*VLOOKUP($A9,Data_72_15!$A$8:$AM$52,MATCH(AI$2,Data_72_15!$B$2:$AM$2,0)+1),"")</f>
        <v/>
      </c>
      <c r="AJ9" s="206" t="str">
        <f>IF(AND($A9&gt;=SYear72,$A9&lt;=EYear72,AJ$3&gt;0),AJ$3*VLOOKUP($A9,Data_72_15!$A$8:$AM$52,MATCH(AJ$2,Data_72_15!$B$2:$AM$2,0)+1),"")</f>
        <v/>
      </c>
      <c r="AK9" s="206" t="str">
        <f>IF(AND($A9&gt;=SYear72,$A9&lt;=EYear72,AK$3&gt;0),AK$3*VLOOKUP($A9,Data_72_15!$A$8:$AM$52,MATCH(AK$2,Data_72_15!$B$2:$AM$2,0)+1),"")</f>
        <v/>
      </c>
      <c r="AL9" s="206" t="str">
        <f>IF(AND($A9&gt;=SYear72,$A9&lt;=EYear72,AL$3&gt;0),AL$3*VLOOKUP($A9,Data_72_15!$A$8:$AM$52,MATCH(AL$2,Data_72_15!$B$2:$AM$2,0)+1),"")</f>
        <v/>
      </c>
      <c r="AM9" s="206">
        <f t="shared" ref="AM9:AM51" si="12">IF(AND($A9&gt;=SYear72,$A9&lt;=EYear72),SUM(B9:AL9),"")</f>
        <v>-19.79893895887211</v>
      </c>
      <c r="AN9" s="446">
        <f t="shared" ref="AN9:AN51" si="13">IF(AND($A9&gt;=SYear72,$A9&lt;=EYear72),IF($A9=SYear72,$AN$4*(1+AM9%),$AN8*(1+AM9%)),"")</f>
        <v>8414.8492233607758</v>
      </c>
      <c r="AO9" s="206">
        <f>IF(AND($A9&gt;=SYear72,$A9&lt;=EYear72),(AM9-Data_72_15!AM10)/(1+Data_72_15!AM10%),"")</f>
        <v>-28.607147974949743</v>
      </c>
      <c r="AP9" s="606">
        <f t="shared" ref="AP9:AP51" si="14">IF(AND($A9&gt;=SYear72,$A9&lt;=EYear72),IF($A9=SYear72,$AP$4*(1+AO9%),$AP8*(1+AO9%)),"")</f>
        <v>6663.7823329504427</v>
      </c>
      <c r="AQ9" s="143">
        <f t="shared" ref="AQ9:AQ51" si="15">IF(AND($A9&gt;=SYear72,$A9&lt;=EYear72),IF($A9=SYear72,AQ$2,AQ8*(1+AM9%)),"")</f>
        <v>0.69896525683975552</v>
      </c>
      <c r="AR9" s="143">
        <f>IF(AND($A9&gt;=SYear72,$A9&lt;=EYear72),MAX($AQ$7:AQ9),"")</f>
        <v>1</v>
      </c>
      <c r="AS9" s="209">
        <f t="shared" ref="AS9:AS51" si="16">IF(AND($A9&gt;=SYear72,$A9&lt;=EYear72),1-(AQ9/AR9),"")</f>
        <v>0.30103474316024448</v>
      </c>
      <c r="AU9" s="143">
        <f>IF(AND($A9&gt;=SYear72,$A9&lt;=EYear72),Data_72_15!V10,"")</f>
        <v>7.9028874013387957</v>
      </c>
      <c r="AV9" s="143">
        <f>IF(AND($A9&gt;=SYear72,$A9&lt;=EYear72),Data_72_15!AM10,"")</f>
        <v>12.337662337662337</v>
      </c>
      <c r="AW9" s="143">
        <f t="shared" ref="AW9:AW51" si="17">IF(AND($A9&gt;=SYear72,$A9&lt;=EYear72),(AU9-AV9)/(1+AV9%),"")</f>
        <v>-3.9477187294440772</v>
      </c>
      <c r="AZ9" s="61">
        <f t="shared" si="1"/>
        <v>-0.19798938958872114</v>
      </c>
      <c r="BA9" s="61">
        <f t="shared" si="2"/>
        <v>7.0579849494035951E-2</v>
      </c>
      <c r="BB9" s="61">
        <f t="shared" si="3"/>
        <v>8.1668083131645419E-2</v>
      </c>
      <c r="BC9" s="61">
        <f t="shared" si="4"/>
        <v>0.11105389838702373</v>
      </c>
      <c r="BD9" s="61">
        <f t="shared" si="5"/>
        <v>0.14079009289346778</v>
      </c>
      <c r="BG9" s="61">
        <f t="shared" si="6"/>
        <v>-0.28607147974949743</v>
      </c>
      <c r="BH9" s="61">
        <f t="shared" si="7"/>
        <v>-8.729774075372454E-3</v>
      </c>
      <c r="BI9" s="61">
        <f t="shared" si="8"/>
        <v>2.0852657907117766E-3</v>
      </c>
      <c r="BJ9" s="61">
        <f t="shared" si="9"/>
        <v>2.7160666810245315E-2</v>
      </c>
      <c r="BK9" s="61">
        <f t="shared" si="10"/>
        <v>7.0161697234523368E-2</v>
      </c>
    </row>
    <row r="10" spans="1:63">
      <c r="A10" s="204">
        <f t="shared" si="11"/>
        <v>1975</v>
      </c>
      <c r="B10" s="206">
        <f>IF(AND($A10&gt;=SYear72,$A10&lt;=EYear72,B$3&gt;0),B$3*VLOOKUP($A10,Data_72_15!$A$8:$AM$52,MATCH(B$2,Data_72_15!$B$2:$AM$2,0)+1),"")</f>
        <v>19.232305081361684</v>
      </c>
      <c r="C10" s="206" t="str">
        <f>IF(AND($A10&gt;=SYear72,$A10&lt;=EYear72,C$3&gt;0),C$3*VLOOKUP($A10,Data_72_15!$A$8:$AM$52,MATCH(C$2,Data_72_15!$B$2:$AM$2,0)+1),"")</f>
        <v/>
      </c>
      <c r="D10" s="206" t="str">
        <f>IF(AND($A10&gt;=SYear72,$A10&lt;=EYear72,D$3&gt;0),D$3*VLOOKUP($A10,Data_72_15!$A$8:$AM$52,MATCH(D$2,Data_72_15!$B$2:$AM$2,0)+1),"")</f>
        <v/>
      </c>
      <c r="E10" s="206" t="str">
        <f>IF(AND($A10&gt;=SYear72,$A10&lt;=EYear72,E$3&gt;0),E$3*VLOOKUP($A10,Data_72_15!$A$8:$AM$52,MATCH(E$2,Data_72_15!$B$2:$AM$2,0)+1),"")</f>
        <v/>
      </c>
      <c r="F10" s="206" t="str">
        <f>IF(AND($A10&gt;=SYear72,$A10&lt;=EYear72,F$3&gt;0),F$3*VLOOKUP($A10,Data_72_15!$A$8:$AM$52,MATCH(F$2,Data_72_15!$B$2:$AM$2,0)+1),"")</f>
        <v/>
      </c>
      <c r="G10" s="206" t="str">
        <f>IF(AND($A10&gt;=SYear72,$A10&lt;=EYear72,G$3&gt;0),G$3*VLOOKUP($A10,Data_72_15!$A$8:$AM$52,MATCH(G$2,Data_72_15!$B$2:$AM$2,0)+1),"")</f>
        <v/>
      </c>
      <c r="H10" s="206" t="str">
        <f>IF(AND($A10&gt;=SYear72,$A10&lt;=EYear72,H$3&gt;0),H$3*VLOOKUP($A10,Data_72_15!$A$8:$AM$52,MATCH(H$2,Data_72_15!$B$2:$AM$2,0)+1),"")</f>
        <v/>
      </c>
      <c r="I10" s="206" t="str">
        <f>IF(AND($A10&gt;=SYear72,$A10&lt;=EYear72,I$3&gt;0),I$3*VLOOKUP($A10,Data_72_15!$A$8:$AM$52,MATCH(I$2,Data_72_15!$B$2:$AM$2,0)+1),"")</f>
        <v/>
      </c>
      <c r="J10" s="206" t="str">
        <f>IF(AND($A10&gt;=SYear72,$A10&lt;=EYear72,J$3&gt;0),J$3*VLOOKUP($A10,Data_72_15!$A$8:$AM$52,MATCH(J$2,Data_72_15!$B$2:$AM$2,0)+1),"")</f>
        <v/>
      </c>
      <c r="K10" s="206" t="str">
        <f>IF(AND($A10&gt;=SYear72,$A10&lt;=EYear72,K$3&gt;0),K$3*VLOOKUP($A10,Data_72_15!$A$8:$AM$52,MATCH(K$2,Data_72_15!$B$2:$AM$2,0)+1),"")</f>
        <v/>
      </c>
      <c r="L10" s="206" t="str">
        <f>IF(AND($A10&gt;=SYear72,$A10&lt;=EYear72,L$3&gt;0),L$3*VLOOKUP($A10,Data_72_15!$A$8:$AM$52,MATCH(L$2,Data_72_15!$B$2:$AM$2,0)+1),"")</f>
        <v/>
      </c>
      <c r="M10" s="206" t="str">
        <f>IF(AND($A10&gt;=SYear72,$A10&lt;=EYear72,M$3&gt;0),M$3*VLOOKUP($A10,Data_72_15!$A$8:$AM$52,MATCH(M$2,Data_72_15!$B$2:$AM$2,0)+1),"")</f>
        <v/>
      </c>
      <c r="N10" s="206">
        <f>IF(AND($A10&gt;=SYear72,$A10&lt;=EYear72,N$3&gt;0),N$3*VLOOKUP($A10,Data_72_15!$A$8:$AM$52,MATCH(N$2,Data_72_15!$B$2:$AM$2,0)+1),"")</f>
        <v>10.925962881660347</v>
      </c>
      <c r="O10" s="206" t="str">
        <f>IF(AND($A10&gt;=SYear72,$A10&lt;=EYear72,O$3&gt;0),O$3*VLOOKUP($A10,Data_72_15!$A$8:$AM$52,MATCH(O$2,Data_72_15!$B$2:$AM$2,0)+1),"")</f>
        <v/>
      </c>
      <c r="P10" s="206" t="str">
        <f>IF(AND($A10&gt;=SYear72,$A10&lt;=EYear72,P$3&gt;0),P$3*VLOOKUP($A10,Data_72_15!$A$8:$AM$52,MATCH(P$2,Data_72_15!$B$2:$AM$2,0)+1),"")</f>
        <v/>
      </c>
      <c r="Q10" s="206" t="str">
        <f>IF(AND($A10&gt;=SYear72,$A10&lt;=EYear72,Q$3&gt;0),Q$3*VLOOKUP($A10,Data_72_15!$A$8:$AM$52,MATCH(Q$2,Data_72_15!$B$2:$AM$2,0)+1),"")</f>
        <v/>
      </c>
      <c r="R10" s="206" t="str">
        <f>IF(AND($A10&gt;=SYear72,$A10&lt;=EYear72,R$3&gt;0),R$3*VLOOKUP($A10,Data_72_15!$A$8:$AM$52,MATCH(R$2,Data_72_15!$B$2:$AM$2,0)+1),"")</f>
        <v/>
      </c>
      <c r="S10" s="206" t="str">
        <f>IF(AND($A10&gt;=SYear72,$A10&lt;=EYear72,S$3&gt;0),S$3*VLOOKUP($A10,Data_72_15!$A$8:$AM$52,MATCH(S$2,Data_72_15!$B$2:$AM$2,0)+1),"")</f>
        <v/>
      </c>
      <c r="T10" s="206">
        <f>IF(AND($A10&gt;=SYear72,$A10&lt;=EYear72,T$3&gt;0),T$3*VLOOKUP($A10,Data_72_15!$A$8:$AM$52,MATCH(T$2,Data_72_15!$B$2:$AM$2,0)+1),"")</f>
        <v>1.3996560232756745</v>
      </c>
      <c r="U10" s="206" t="str">
        <f>IF(AND($A10&gt;=SYear72,$A10&lt;=EYear72,U$3&gt;0),U$3*VLOOKUP($A10,Data_72_15!$A$8:$AM$52,MATCH(U$2,Data_72_15!$B$2:$AM$2,0)+1),"")</f>
        <v/>
      </c>
      <c r="V10" s="206" t="str">
        <f>IF(AND($A10&gt;=SYear72,$A10&lt;=EYear72,V$3&gt;0),V$3*VLOOKUP($A10,Data_72_15!$A$8:$AM$52,MATCH(V$2,Data_72_15!$B$2:$AM$2,0)+1),"")</f>
        <v/>
      </c>
      <c r="W10" s="206" t="str">
        <f>IF(AND($A10&gt;=SYear72,$A10&lt;=EYear72,W$3&gt;0),W$3*VLOOKUP($A10,Data_72_15!$A$8:$AM$52,MATCH(W$2,Data_72_15!$B$2:$AM$2,0)+1),"")</f>
        <v/>
      </c>
      <c r="X10" s="206" t="str">
        <f>IF(AND($A10&gt;=SYear72,$A10&lt;=EYear72,X$3&gt;0),X$3*VLOOKUP($A10,Data_72_15!$A$8:$AM$52,MATCH(X$2,Data_72_15!$B$2:$AM$2,0)+1),"")</f>
        <v/>
      </c>
      <c r="Y10" s="206" t="str">
        <f>IF(AND($A10&gt;=SYear72,$A10&lt;=EYear72,Y$3&gt;0),Y$3*VLOOKUP($A10,Data_72_15!$A$8:$AM$52,MATCH(Y$2,Data_72_15!$B$2:$AM$2,0)+1),"")</f>
        <v/>
      </c>
      <c r="Z10" s="206" t="str">
        <f>IF(AND($A10&gt;=SYear72,$A10&lt;=EYear72,Z$3&gt;0),Z$3*VLOOKUP($A10,Data_72_15!$A$8:$AM$52,MATCH(Z$2,Data_72_15!$B$2:$AM$2,0)+1),"")</f>
        <v/>
      </c>
      <c r="AA10" s="206" t="str">
        <f>IF(AND($A10&gt;=SYear72,$A10&lt;=EYear72,AA$3&gt;0),AA$3*VLOOKUP($A10,Data_72_15!$A$8:$AM$52,MATCH(AA$2,Data_72_15!$B$2:$AM$2,0)+1),"")</f>
        <v/>
      </c>
      <c r="AB10" s="206" t="str">
        <f>IF(AND($A10&gt;=SYear72,$A10&lt;=EYear72,AB$3&gt;0),AB$3*VLOOKUP($A10,Data_72_15!$A$8:$AM$52,MATCH(AB$2,Data_72_15!$B$2:$AM$2,0)+1),"")</f>
        <v/>
      </c>
      <c r="AC10" s="206" t="str">
        <f>IF(AND($A10&gt;=SYear72,$A10&lt;=EYear72,AC$3&gt;0),AC$3*VLOOKUP($A10,Data_72_15!$A$8:$AM$52,MATCH(AC$2,Data_72_15!$B$2:$AM$2,0)+1),"")</f>
        <v/>
      </c>
      <c r="AD10" s="206" t="str">
        <f>IF(AND($A10&gt;=SYear72,$A10&lt;=EYear72,AD$3&gt;0),AD$3*VLOOKUP($A10,Data_72_15!$A$8:$AM$52,MATCH(AD$2,Data_72_15!$B$2:$AM$2,0)+1),"")</f>
        <v/>
      </c>
      <c r="AE10" s="206" t="str">
        <f>IF(AND($A10&gt;=SYear72,$A10&lt;=EYear72,AE$3&gt;0),AE$3*VLOOKUP($A10,Data_72_15!$A$8:$AM$52,MATCH(AE$2,Data_72_15!$B$2:$AM$2,0)+1),"")</f>
        <v/>
      </c>
      <c r="AF10" s="206" t="str">
        <f>IF(AND($A10&gt;=SYear72,$A10&lt;=EYear72,AF$3&gt;0),AF$3*VLOOKUP($A10,Data_72_15!$A$8:$AM$52,MATCH(AF$2,Data_72_15!$B$2:$AM$2,0)+1),"")</f>
        <v/>
      </c>
      <c r="AG10" s="206" t="str">
        <f>IF(AND($A10&gt;=SYear72,$A10&lt;=EYear72,AG$3&gt;0),AG$3*VLOOKUP($A10,Data_72_15!$A$8:$AM$52,MATCH(AG$2,Data_72_15!$B$2:$AM$2,0)+1),"")</f>
        <v/>
      </c>
      <c r="AH10" s="206" t="str">
        <f>IF(AND($A10&gt;=SYear72,$A10&lt;=EYear72,AH$3&gt;0),AH$3*VLOOKUP($A10,Data_72_15!$A$8:$AM$52,MATCH(AH$2,Data_72_15!$B$2:$AM$2,0)+1),"")</f>
        <v/>
      </c>
      <c r="AI10" s="206" t="str">
        <f>IF(AND($A10&gt;=SYear72,$A10&lt;=EYear72,AI$3&gt;0),AI$3*VLOOKUP($A10,Data_72_15!$A$8:$AM$52,MATCH(AI$2,Data_72_15!$B$2:$AM$2,0)+1),"")</f>
        <v/>
      </c>
      <c r="AJ10" s="206" t="str">
        <f>IF(AND($A10&gt;=SYear72,$A10&lt;=EYear72,AJ$3&gt;0),AJ$3*VLOOKUP($A10,Data_72_15!$A$8:$AM$52,MATCH(AJ$2,Data_72_15!$B$2:$AM$2,0)+1),"")</f>
        <v/>
      </c>
      <c r="AK10" s="206" t="str">
        <f>IF(AND($A10&gt;=SYear72,$A10&lt;=EYear72,AK$3&gt;0),AK$3*VLOOKUP($A10,Data_72_15!$A$8:$AM$52,MATCH(AK$2,Data_72_15!$B$2:$AM$2,0)+1),"")</f>
        <v/>
      </c>
      <c r="AL10" s="206" t="str">
        <f>IF(AND($A10&gt;=SYear72,$A10&lt;=EYear72,AL$3&gt;0),AL$3*VLOOKUP($A10,Data_72_15!$A$8:$AM$52,MATCH(AL$2,Data_72_15!$B$2:$AM$2,0)+1),"")</f>
        <v/>
      </c>
      <c r="AM10" s="206">
        <f t="shared" si="12"/>
        <v>31.557923986297705</v>
      </c>
      <c r="AN10" s="446">
        <f t="shared" si="13"/>
        <v>11070.400944830533</v>
      </c>
      <c r="AO10" s="206">
        <f>IF(AND($A10&gt;=SYear72,$A10&lt;=EYear72),(AM10-Data_72_15!AM11)/(1+Data_72_15!AM11%),"")</f>
        <v>23.024437025024344</v>
      </c>
      <c r="AP10" s="606">
        <f t="shared" si="14"/>
        <v>8198.0806996853153</v>
      </c>
      <c r="AQ10" s="143">
        <f t="shared" si="15"/>
        <v>0.91954418128387616</v>
      </c>
      <c r="AR10" s="143">
        <f>IF(AND($A10&gt;=SYear72,$A10&lt;=EYear72),MAX($AQ$7:AQ10),"")</f>
        <v>1</v>
      </c>
      <c r="AS10" s="209">
        <f t="shared" si="16"/>
        <v>8.0455818716123839E-2</v>
      </c>
      <c r="AU10" s="143">
        <f>IF(AND($A10&gt;=SYear72,$A10&lt;=EYear72),Data_72_15!V11,"")</f>
        <v>5.7048656209411535</v>
      </c>
      <c r="AV10" s="143">
        <f>IF(AND($A10&gt;=SYear72,$A10&lt;=EYear72),Data_72_15!AM11,"")</f>
        <v>6.9364161849710948</v>
      </c>
      <c r="AW10" s="143">
        <f t="shared" si="17"/>
        <v>-1.1516662031198912</v>
      </c>
      <c r="AZ10" s="61">
        <f t="shared" si="1"/>
        <v>0.31557923986297709</v>
      </c>
      <c r="BA10" s="61">
        <f t="shared" si="2"/>
        <v>0.17190885026368541</v>
      </c>
      <c r="BB10" s="61">
        <f t="shared" si="3"/>
        <v>0.15881363379047886</v>
      </c>
      <c r="BC10" s="61">
        <f t="shared" si="4"/>
        <v>0.14373337955388044</v>
      </c>
      <c r="BD10" s="61">
        <f t="shared" si="5"/>
        <v>0.17347544957360905</v>
      </c>
      <c r="BG10" s="61">
        <f t="shared" si="6"/>
        <v>0.23024437025024347</v>
      </c>
      <c r="BH10" s="61">
        <f t="shared" si="7"/>
        <v>0.10387293824503607</v>
      </c>
      <c r="BI10" s="61">
        <f t="shared" si="8"/>
        <v>7.1736434031284935E-2</v>
      </c>
      <c r="BJ10" s="61">
        <f t="shared" si="9"/>
        <v>6.5610999460886443E-2</v>
      </c>
      <c r="BK10" s="61">
        <f t="shared" si="10"/>
        <v>0.1060399812764703</v>
      </c>
    </row>
    <row r="11" spans="1:63">
      <c r="A11" s="204">
        <f t="shared" si="11"/>
        <v>1976</v>
      </c>
      <c r="B11" s="206">
        <f>IF(AND($A11&gt;=SYear72,$A11&lt;=EYear72,B$3&gt;0),B$3*VLOOKUP($A11,Data_72_15!$A$8:$AM$52,MATCH(B$2,Data_72_15!$B$2:$AM$2,0)+1),"")</f>
        <v>13.242487770789657</v>
      </c>
      <c r="C11" s="206" t="str">
        <f>IF(AND($A11&gt;=SYear72,$A11&lt;=EYear72,C$3&gt;0),C$3*VLOOKUP($A11,Data_72_15!$A$8:$AM$52,MATCH(C$2,Data_72_15!$B$2:$AM$2,0)+1),"")</f>
        <v/>
      </c>
      <c r="D11" s="206" t="str">
        <f>IF(AND($A11&gt;=SYear72,$A11&lt;=EYear72,D$3&gt;0),D$3*VLOOKUP($A11,Data_72_15!$A$8:$AM$52,MATCH(D$2,Data_72_15!$B$2:$AM$2,0)+1),"")</f>
        <v/>
      </c>
      <c r="E11" s="206" t="str">
        <f>IF(AND($A11&gt;=SYear72,$A11&lt;=EYear72,E$3&gt;0),E$3*VLOOKUP($A11,Data_72_15!$A$8:$AM$52,MATCH(E$2,Data_72_15!$B$2:$AM$2,0)+1),"")</f>
        <v/>
      </c>
      <c r="F11" s="206" t="str">
        <f>IF(AND($A11&gt;=SYear72,$A11&lt;=EYear72,F$3&gt;0),F$3*VLOOKUP($A11,Data_72_15!$A$8:$AM$52,MATCH(F$2,Data_72_15!$B$2:$AM$2,0)+1),"")</f>
        <v/>
      </c>
      <c r="G11" s="206" t="str">
        <f>IF(AND($A11&gt;=SYear72,$A11&lt;=EYear72,G$3&gt;0),G$3*VLOOKUP($A11,Data_72_15!$A$8:$AM$52,MATCH(G$2,Data_72_15!$B$2:$AM$2,0)+1),"")</f>
        <v/>
      </c>
      <c r="H11" s="206" t="str">
        <f>IF(AND($A11&gt;=SYear72,$A11&lt;=EYear72,H$3&gt;0),H$3*VLOOKUP($A11,Data_72_15!$A$8:$AM$52,MATCH(H$2,Data_72_15!$B$2:$AM$2,0)+1),"")</f>
        <v/>
      </c>
      <c r="I11" s="206" t="str">
        <f>IF(AND($A11&gt;=SYear72,$A11&lt;=EYear72,I$3&gt;0),I$3*VLOOKUP($A11,Data_72_15!$A$8:$AM$52,MATCH(I$2,Data_72_15!$B$2:$AM$2,0)+1),"")</f>
        <v/>
      </c>
      <c r="J11" s="206" t="str">
        <f>IF(AND($A11&gt;=SYear72,$A11&lt;=EYear72,J$3&gt;0),J$3*VLOOKUP($A11,Data_72_15!$A$8:$AM$52,MATCH(J$2,Data_72_15!$B$2:$AM$2,0)+1),"")</f>
        <v/>
      </c>
      <c r="K11" s="206" t="str">
        <f>IF(AND($A11&gt;=SYear72,$A11&lt;=EYear72,K$3&gt;0),K$3*VLOOKUP($A11,Data_72_15!$A$8:$AM$52,MATCH(K$2,Data_72_15!$B$2:$AM$2,0)+1),"")</f>
        <v/>
      </c>
      <c r="L11" s="206" t="str">
        <f>IF(AND($A11&gt;=SYear72,$A11&lt;=EYear72,L$3&gt;0),L$3*VLOOKUP($A11,Data_72_15!$A$8:$AM$52,MATCH(L$2,Data_72_15!$B$2:$AM$2,0)+1),"")</f>
        <v/>
      </c>
      <c r="M11" s="206" t="str">
        <f>IF(AND($A11&gt;=SYear72,$A11&lt;=EYear72,M$3&gt;0),M$3*VLOOKUP($A11,Data_72_15!$A$8:$AM$52,MATCH(M$2,Data_72_15!$B$2:$AM$2,0)+1),"")</f>
        <v/>
      </c>
      <c r="N11" s="206">
        <f>IF(AND($A11&gt;=SYear72,$A11&lt;=EYear72,N$3&gt;0),N$3*VLOOKUP($A11,Data_72_15!$A$8:$AM$52,MATCH(N$2,Data_72_15!$B$2:$AM$2,0)+1),"")</f>
        <v>0.89802434643783668</v>
      </c>
      <c r="O11" s="206" t="str">
        <f>IF(AND($A11&gt;=SYear72,$A11&lt;=EYear72,O$3&gt;0),O$3*VLOOKUP($A11,Data_72_15!$A$8:$AM$52,MATCH(O$2,Data_72_15!$B$2:$AM$2,0)+1),"")</f>
        <v/>
      </c>
      <c r="P11" s="206" t="str">
        <f>IF(AND($A11&gt;=SYear72,$A11&lt;=EYear72,P$3&gt;0),P$3*VLOOKUP($A11,Data_72_15!$A$8:$AM$52,MATCH(P$2,Data_72_15!$B$2:$AM$2,0)+1),"")</f>
        <v/>
      </c>
      <c r="Q11" s="206" t="str">
        <f>IF(AND($A11&gt;=SYear72,$A11&lt;=EYear72,Q$3&gt;0),Q$3*VLOOKUP($A11,Data_72_15!$A$8:$AM$52,MATCH(Q$2,Data_72_15!$B$2:$AM$2,0)+1),"")</f>
        <v/>
      </c>
      <c r="R11" s="206" t="str">
        <f>IF(AND($A11&gt;=SYear72,$A11&lt;=EYear72,R$3&gt;0),R$3*VLOOKUP($A11,Data_72_15!$A$8:$AM$52,MATCH(R$2,Data_72_15!$B$2:$AM$2,0)+1),"")</f>
        <v/>
      </c>
      <c r="S11" s="206" t="str">
        <f>IF(AND($A11&gt;=SYear72,$A11&lt;=EYear72,S$3&gt;0),S$3*VLOOKUP($A11,Data_72_15!$A$8:$AM$52,MATCH(S$2,Data_72_15!$B$2:$AM$2,0)+1),"")</f>
        <v/>
      </c>
      <c r="T11" s="206">
        <f>IF(AND($A11&gt;=SYear72,$A11&lt;=EYear72,T$3&gt;0),T$3*VLOOKUP($A11,Data_72_15!$A$8:$AM$52,MATCH(T$2,Data_72_15!$B$2:$AM$2,0)+1),"")</f>
        <v>2.1542270331650291</v>
      </c>
      <c r="U11" s="206" t="str">
        <f>IF(AND($A11&gt;=SYear72,$A11&lt;=EYear72,U$3&gt;0),U$3*VLOOKUP($A11,Data_72_15!$A$8:$AM$52,MATCH(U$2,Data_72_15!$B$2:$AM$2,0)+1),"")</f>
        <v/>
      </c>
      <c r="V11" s="206" t="str">
        <f>IF(AND($A11&gt;=SYear72,$A11&lt;=EYear72,V$3&gt;0),V$3*VLOOKUP($A11,Data_72_15!$A$8:$AM$52,MATCH(V$2,Data_72_15!$B$2:$AM$2,0)+1),"")</f>
        <v/>
      </c>
      <c r="W11" s="206" t="str">
        <f>IF(AND($A11&gt;=SYear72,$A11&lt;=EYear72,W$3&gt;0),W$3*VLOOKUP($A11,Data_72_15!$A$8:$AM$52,MATCH(W$2,Data_72_15!$B$2:$AM$2,0)+1),"")</f>
        <v/>
      </c>
      <c r="X11" s="206" t="str">
        <f>IF(AND($A11&gt;=SYear72,$A11&lt;=EYear72,X$3&gt;0),X$3*VLOOKUP($A11,Data_72_15!$A$8:$AM$52,MATCH(X$2,Data_72_15!$B$2:$AM$2,0)+1),"")</f>
        <v/>
      </c>
      <c r="Y11" s="206" t="str">
        <f>IF(AND($A11&gt;=SYear72,$A11&lt;=EYear72,Y$3&gt;0),Y$3*VLOOKUP($A11,Data_72_15!$A$8:$AM$52,MATCH(Y$2,Data_72_15!$B$2:$AM$2,0)+1),"")</f>
        <v/>
      </c>
      <c r="Z11" s="206" t="str">
        <f>IF(AND($A11&gt;=SYear72,$A11&lt;=EYear72,Z$3&gt;0),Z$3*VLOOKUP($A11,Data_72_15!$A$8:$AM$52,MATCH(Z$2,Data_72_15!$B$2:$AM$2,0)+1),"")</f>
        <v/>
      </c>
      <c r="AA11" s="206" t="str">
        <f>IF(AND($A11&gt;=SYear72,$A11&lt;=EYear72,AA$3&gt;0),AA$3*VLOOKUP($A11,Data_72_15!$A$8:$AM$52,MATCH(AA$2,Data_72_15!$B$2:$AM$2,0)+1),"")</f>
        <v/>
      </c>
      <c r="AB11" s="206" t="str">
        <f>IF(AND($A11&gt;=SYear72,$A11&lt;=EYear72,AB$3&gt;0),AB$3*VLOOKUP($A11,Data_72_15!$A$8:$AM$52,MATCH(AB$2,Data_72_15!$B$2:$AM$2,0)+1),"")</f>
        <v/>
      </c>
      <c r="AC11" s="206" t="str">
        <f>IF(AND($A11&gt;=SYear72,$A11&lt;=EYear72,AC$3&gt;0),AC$3*VLOOKUP($A11,Data_72_15!$A$8:$AM$52,MATCH(AC$2,Data_72_15!$B$2:$AM$2,0)+1),"")</f>
        <v/>
      </c>
      <c r="AD11" s="206" t="str">
        <f>IF(AND($A11&gt;=SYear72,$A11&lt;=EYear72,AD$3&gt;0),AD$3*VLOOKUP($A11,Data_72_15!$A$8:$AM$52,MATCH(AD$2,Data_72_15!$B$2:$AM$2,0)+1),"")</f>
        <v/>
      </c>
      <c r="AE11" s="206" t="str">
        <f>IF(AND($A11&gt;=SYear72,$A11&lt;=EYear72,AE$3&gt;0),AE$3*VLOOKUP($A11,Data_72_15!$A$8:$AM$52,MATCH(AE$2,Data_72_15!$B$2:$AM$2,0)+1),"")</f>
        <v/>
      </c>
      <c r="AF11" s="206" t="str">
        <f>IF(AND($A11&gt;=SYear72,$A11&lt;=EYear72,AF$3&gt;0),AF$3*VLOOKUP($A11,Data_72_15!$A$8:$AM$52,MATCH(AF$2,Data_72_15!$B$2:$AM$2,0)+1),"")</f>
        <v/>
      </c>
      <c r="AG11" s="206" t="str">
        <f>IF(AND($A11&gt;=SYear72,$A11&lt;=EYear72,AG$3&gt;0),AG$3*VLOOKUP($A11,Data_72_15!$A$8:$AM$52,MATCH(AG$2,Data_72_15!$B$2:$AM$2,0)+1),"")</f>
        <v/>
      </c>
      <c r="AH11" s="206" t="str">
        <f>IF(AND($A11&gt;=SYear72,$A11&lt;=EYear72,AH$3&gt;0),AH$3*VLOOKUP($A11,Data_72_15!$A$8:$AM$52,MATCH(AH$2,Data_72_15!$B$2:$AM$2,0)+1),"")</f>
        <v/>
      </c>
      <c r="AI11" s="206" t="str">
        <f>IF(AND($A11&gt;=SYear72,$A11&lt;=EYear72,AI$3&gt;0),AI$3*VLOOKUP($A11,Data_72_15!$A$8:$AM$52,MATCH(AI$2,Data_72_15!$B$2:$AM$2,0)+1),"")</f>
        <v/>
      </c>
      <c r="AJ11" s="206" t="str">
        <f>IF(AND($A11&gt;=SYear72,$A11&lt;=EYear72,AJ$3&gt;0),AJ$3*VLOOKUP($A11,Data_72_15!$A$8:$AM$52,MATCH(AJ$2,Data_72_15!$B$2:$AM$2,0)+1),"")</f>
        <v/>
      </c>
      <c r="AK11" s="206" t="str">
        <f>IF(AND($A11&gt;=SYear72,$A11&lt;=EYear72,AK$3&gt;0),AK$3*VLOOKUP($A11,Data_72_15!$A$8:$AM$52,MATCH(AK$2,Data_72_15!$B$2:$AM$2,0)+1),"")</f>
        <v/>
      </c>
      <c r="AL11" s="206" t="str">
        <f>IF(AND($A11&gt;=SYear72,$A11&lt;=EYear72,AL$3&gt;0),AL$3*VLOOKUP($A11,Data_72_15!$A$8:$AM$52,MATCH(AL$2,Data_72_15!$B$2:$AM$2,0)+1),"")</f>
        <v/>
      </c>
      <c r="AM11" s="206">
        <f t="shared" si="12"/>
        <v>16.294739150392523</v>
      </c>
      <c r="AN11" s="446">
        <f t="shared" si="13"/>
        <v>12874.293901693258</v>
      </c>
      <c r="AO11" s="206">
        <f>IF(AND($A11&gt;=SYear72,$A11&lt;=EYear72),(AM11-Data_72_15!AM12)/(1+Data_72_15!AM12%),"")</f>
        <v>10.899622385683598</v>
      </c>
      <c r="AP11" s="606">
        <f t="shared" si="14"/>
        <v>9091.6405388246221</v>
      </c>
      <c r="AQ11" s="143">
        <f t="shared" si="15"/>
        <v>1.0693815069966963</v>
      </c>
      <c r="AR11" s="143">
        <f>IF(AND($A11&gt;=SYear72,$A11&lt;=EYear72),MAX($AQ$7:AQ11),"")</f>
        <v>1.0693815069966963</v>
      </c>
      <c r="AS11" s="209">
        <f t="shared" si="16"/>
        <v>0</v>
      </c>
      <c r="AU11" s="143">
        <f>IF(AND($A11&gt;=SYear72,$A11&lt;=EYear72),Data_72_15!V12,"")</f>
        <v>5.0054950544509946</v>
      </c>
      <c r="AV11" s="143">
        <f>IF(AND($A11&gt;=SYear72,$A11&lt;=EYear72),Data_72_15!AM12,"")</f>
        <v>4.8648648648648596</v>
      </c>
      <c r="AW11" s="143">
        <f t="shared" si="17"/>
        <v>0.13410610862595354</v>
      </c>
      <c r="AZ11" s="61">
        <f t="shared" si="1"/>
        <v>0.16294739150392523</v>
      </c>
      <c r="BA11" s="61">
        <f t="shared" si="2"/>
        <v>0.11958649214254313</v>
      </c>
      <c r="BB11" s="61">
        <f t="shared" si="3"/>
        <v>0.1447904819413619</v>
      </c>
      <c r="BC11" s="61">
        <f t="shared" si="4"/>
        <v>0.14850644312546168</v>
      </c>
      <c r="BD11" s="61">
        <f t="shared" si="5"/>
        <v>0.14612374296802022</v>
      </c>
      <c r="BG11" s="61">
        <f t="shared" si="6"/>
        <v>0.10899622385683605</v>
      </c>
      <c r="BH11" s="61">
        <f t="shared" si="7"/>
        <v>4.7833843763452011E-2</v>
      </c>
      <c r="BI11" s="61">
        <f t="shared" si="8"/>
        <v>4.8051074153793394E-2</v>
      </c>
      <c r="BJ11" s="61">
        <f t="shared" si="9"/>
        <v>7.3249557392828679E-2</v>
      </c>
      <c r="BK11" s="61">
        <f t="shared" si="10"/>
        <v>8.0821480566331649E-2</v>
      </c>
    </row>
    <row r="12" spans="1:63">
      <c r="A12" s="204">
        <f t="shared" si="11"/>
        <v>1977</v>
      </c>
      <c r="B12" s="206">
        <f>IF(AND($A12&gt;=SYear72,$A12&lt;=EYear72,B$3&gt;0),B$3*VLOOKUP($A12,Data_72_15!$A$8:$AM$52,MATCH(B$2,Data_72_15!$B$2:$AM$2,0)+1),"")</f>
        <v>-2.1812918039333136</v>
      </c>
      <c r="C12" s="206" t="str">
        <f>IF(AND($A12&gt;=SYear72,$A12&lt;=EYear72,C$3&gt;0),C$3*VLOOKUP($A12,Data_72_15!$A$8:$AM$52,MATCH(C$2,Data_72_15!$B$2:$AM$2,0)+1),"")</f>
        <v/>
      </c>
      <c r="D12" s="206" t="str">
        <f>IF(AND($A12&gt;=SYear72,$A12&lt;=EYear72,D$3&gt;0),D$3*VLOOKUP($A12,Data_72_15!$A$8:$AM$52,MATCH(D$2,Data_72_15!$B$2:$AM$2,0)+1),"")</f>
        <v/>
      </c>
      <c r="E12" s="206" t="str">
        <f>IF(AND($A12&gt;=SYear72,$A12&lt;=EYear72,E$3&gt;0),E$3*VLOOKUP($A12,Data_72_15!$A$8:$AM$52,MATCH(E$2,Data_72_15!$B$2:$AM$2,0)+1),"")</f>
        <v/>
      </c>
      <c r="F12" s="206" t="str">
        <f>IF(AND($A12&gt;=SYear72,$A12&lt;=EYear72,F$3&gt;0),F$3*VLOOKUP($A12,Data_72_15!$A$8:$AM$52,MATCH(F$2,Data_72_15!$B$2:$AM$2,0)+1),"")</f>
        <v/>
      </c>
      <c r="G12" s="206" t="str">
        <f>IF(AND($A12&gt;=SYear72,$A12&lt;=EYear72,G$3&gt;0),G$3*VLOOKUP($A12,Data_72_15!$A$8:$AM$52,MATCH(G$2,Data_72_15!$B$2:$AM$2,0)+1),"")</f>
        <v/>
      </c>
      <c r="H12" s="206" t="str">
        <f>IF(AND($A12&gt;=SYear72,$A12&lt;=EYear72,H$3&gt;0),H$3*VLOOKUP($A12,Data_72_15!$A$8:$AM$52,MATCH(H$2,Data_72_15!$B$2:$AM$2,0)+1),"")</f>
        <v/>
      </c>
      <c r="I12" s="206" t="str">
        <f>IF(AND($A12&gt;=SYear72,$A12&lt;=EYear72,I$3&gt;0),I$3*VLOOKUP($A12,Data_72_15!$A$8:$AM$52,MATCH(I$2,Data_72_15!$B$2:$AM$2,0)+1),"")</f>
        <v/>
      </c>
      <c r="J12" s="206" t="str">
        <f>IF(AND($A12&gt;=SYear72,$A12&lt;=EYear72,J$3&gt;0),J$3*VLOOKUP($A12,Data_72_15!$A$8:$AM$52,MATCH(J$2,Data_72_15!$B$2:$AM$2,0)+1),"")</f>
        <v/>
      </c>
      <c r="K12" s="206" t="str">
        <f>IF(AND($A12&gt;=SYear72,$A12&lt;=EYear72,K$3&gt;0),K$3*VLOOKUP($A12,Data_72_15!$A$8:$AM$52,MATCH(K$2,Data_72_15!$B$2:$AM$2,0)+1),"")</f>
        <v/>
      </c>
      <c r="L12" s="206" t="str">
        <f>IF(AND($A12&gt;=SYear72,$A12&lt;=EYear72,L$3&gt;0),L$3*VLOOKUP($A12,Data_72_15!$A$8:$AM$52,MATCH(L$2,Data_72_15!$B$2:$AM$2,0)+1),"")</f>
        <v/>
      </c>
      <c r="M12" s="206" t="str">
        <f>IF(AND($A12&gt;=SYear72,$A12&lt;=EYear72,M$3&gt;0),M$3*VLOOKUP($A12,Data_72_15!$A$8:$AM$52,MATCH(M$2,Data_72_15!$B$2:$AM$2,0)+1),"")</f>
        <v/>
      </c>
      <c r="N12" s="206">
        <f>IF(AND($A12&gt;=SYear72,$A12&lt;=EYear72,N$3&gt;0),N$3*VLOOKUP($A12,Data_72_15!$A$8:$AM$52,MATCH(N$2,Data_72_15!$B$2:$AM$2,0)+1),"")</f>
        <v>6.811514667730993</v>
      </c>
      <c r="O12" s="206" t="str">
        <f>IF(AND($A12&gt;=SYear72,$A12&lt;=EYear72,O$3&gt;0),O$3*VLOOKUP($A12,Data_72_15!$A$8:$AM$52,MATCH(O$2,Data_72_15!$B$2:$AM$2,0)+1),"")</f>
        <v/>
      </c>
      <c r="P12" s="206" t="str">
        <f>IF(AND($A12&gt;=SYear72,$A12&lt;=EYear72,P$3&gt;0),P$3*VLOOKUP($A12,Data_72_15!$A$8:$AM$52,MATCH(P$2,Data_72_15!$B$2:$AM$2,0)+1),"")</f>
        <v/>
      </c>
      <c r="Q12" s="206" t="str">
        <f>IF(AND($A12&gt;=SYear72,$A12&lt;=EYear72,Q$3&gt;0),Q$3*VLOOKUP($A12,Data_72_15!$A$8:$AM$52,MATCH(Q$2,Data_72_15!$B$2:$AM$2,0)+1),"")</f>
        <v/>
      </c>
      <c r="R12" s="206" t="str">
        <f>IF(AND($A12&gt;=SYear72,$A12&lt;=EYear72,R$3&gt;0),R$3*VLOOKUP($A12,Data_72_15!$A$8:$AM$52,MATCH(R$2,Data_72_15!$B$2:$AM$2,0)+1),"")</f>
        <v/>
      </c>
      <c r="S12" s="206" t="str">
        <f>IF(AND($A12&gt;=SYear72,$A12&lt;=EYear72,S$3&gt;0),S$3*VLOOKUP($A12,Data_72_15!$A$8:$AM$52,MATCH(S$2,Data_72_15!$B$2:$AM$2,0)+1),"")</f>
        <v/>
      </c>
      <c r="T12" s="206">
        <f>IF(AND($A12&gt;=SYear72,$A12&lt;=EYear72,T$3&gt;0),T$3*VLOOKUP($A12,Data_72_15!$A$8:$AM$52,MATCH(T$2,Data_72_15!$B$2:$AM$2,0)+1),"")</f>
        <v>0.56703556072243744</v>
      </c>
      <c r="U12" s="206" t="str">
        <f>IF(AND($A12&gt;=SYear72,$A12&lt;=EYear72,U$3&gt;0),U$3*VLOOKUP($A12,Data_72_15!$A$8:$AM$52,MATCH(U$2,Data_72_15!$B$2:$AM$2,0)+1),"")</f>
        <v/>
      </c>
      <c r="V12" s="206" t="str">
        <f>IF(AND($A12&gt;=SYear72,$A12&lt;=EYear72,V$3&gt;0),V$3*VLOOKUP($A12,Data_72_15!$A$8:$AM$52,MATCH(V$2,Data_72_15!$B$2:$AM$2,0)+1),"")</f>
        <v/>
      </c>
      <c r="W12" s="206" t="str">
        <f>IF(AND($A12&gt;=SYear72,$A12&lt;=EYear72,W$3&gt;0),W$3*VLOOKUP($A12,Data_72_15!$A$8:$AM$52,MATCH(W$2,Data_72_15!$B$2:$AM$2,0)+1),"")</f>
        <v/>
      </c>
      <c r="X12" s="206" t="str">
        <f>IF(AND($A12&gt;=SYear72,$A12&lt;=EYear72,X$3&gt;0),X$3*VLOOKUP($A12,Data_72_15!$A$8:$AM$52,MATCH(X$2,Data_72_15!$B$2:$AM$2,0)+1),"")</f>
        <v/>
      </c>
      <c r="Y12" s="206" t="str">
        <f>IF(AND($A12&gt;=SYear72,$A12&lt;=EYear72,Y$3&gt;0),Y$3*VLOOKUP($A12,Data_72_15!$A$8:$AM$52,MATCH(Y$2,Data_72_15!$B$2:$AM$2,0)+1),"")</f>
        <v/>
      </c>
      <c r="Z12" s="206" t="str">
        <f>IF(AND($A12&gt;=SYear72,$A12&lt;=EYear72,Z$3&gt;0),Z$3*VLOOKUP($A12,Data_72_15!$A$8:$AM$52,MATCH(Z$2,Data_72_15!$B$2:$AM$2,0)+1),"")</f>
        <v/>
      </c>
      <c r="AA12" s="206" t="str">
        <f>IF(AND($A12&gt;=SYear72,$A12&lt;=EYear72,AA$3&gt;0),AA$3*VLOOKUP($A12,Data_72_15!$A$8:$AM$52,MATCH(AA$2,Data_72_15!$B$2:$AM$2,0)+1),"")</f>
        <v/>
      </c>
      <c r="AB12" s="206" t="str">
        <f>IF(AND($A12&gt;=SYear72,$A12&lt;=EYear72,AB$3&gt;0),AB$3*VLOOKUP($A12,Data_72_15!$A$8:$AM$52,MATCH(AB$2,Data_72_15!$B$2:$AM$2,0)+1),"")</f>
        <v/>
      </c>
      <c r="AC12" s="206" t="str">
        <f>IF(AND($A12&gt;=SYear72,$A12&lt;=EYear72,AC$3&gt;0),AC$3*VLOOKUP($A12,Data_72_15!$A$8:$AM$52,MATCH(AC$2,Data_72_15!$B$2:$AM$2,0)+1),"")</f>
        <v/>
      </c>
      <c r="AD12" s="206" t="str">
        <f>IF(AND($A12&gt;=SYear72,$A12&lt;=EYear72,AD$3&gt;0),AD$3*VLOOKUP($A12,Data_72_15!$A$8:$AM$52,MATCH(AD$2,Data_72_15!$B$2:$AM$2,0)+1),"")</f>
        <v/>
      </c>
      <c r="AE12" s="206" t="str">
        <f>IF(AND($A12&gt;=SYear72,$A12&lt;=EYear72,AE$3&gt;0),AE$3*VLOOKUP($A12,Data_72_15!$A$8:$AM$52,MATCH(AE$2,Data_72_15!$B$2:$AM$2,0)+1),"")</f>
        <v/>
      </c>
      <c r="AF12" s="206" t="str">
        <f>IF(AND($A12&gt;=SYear72,$A12&lt;=EYear72,AF$3&gt;0),AF$3*VLOOKUP($A12,Data_72_15!$A$8:$AM$52,MATCH(AF$2,Data_72_15!$B$2:$AM$2,0)+1),"")</f>
        <v/>
      </c>
      <c r="AG12" s="206" t="str">
        <f>IF(AND($A12&gt;=SYear72,$A12&lt;=EYear72,AG$3&gt;0),AG$3*VLOOKUP($A12,Data_72_15!$A$8:$AM$52,MATCH(AG$2,Data_72_15!$B$2:$AM$2,0)+1),"")</f>
        <v/>
      </c>
      <c r="AH12" s="206" t="str">
        <f>IF(AND($A12&gt;=SYear72,$A12&lt;=EYear72,AH$3&gt;0),AH$3*VLOOKUP($A12,Data_72_15!$A$8:$AM$52,MATCH(AH$2,Data_72_15!$B$2:$AM$2,0)+1),"")</f>
        <v/>
      </c>
      <c r="AI12" s="206" t="str">
        <f>IF(AND($A12&gt;=SYear72,$A12&lt;=EYear72,AI$3&gt;0),AI$3*VLOOKUP($A12,Data_72_15!$A$8:$AM$52,MATCH(AI$2,Data_72_15!$B$2:$AM$2,0)+1),"")</f>
        <v/>
      </c>
      <c r="AJ12" s="206" t="str">
        <f>IF(AND($A12&gt;=SYear72,$A12&lt;=EYear72,AJ$3&gt;0),AJ$3*VLOOKUP($A12,Data_72_15!$A$8:$AM$52,MATCH(AJ$2,Data_72_15!$B$2:$AM$2,0)+1),"")</f>
        <v/>
      </c>
      <c r="AK12" s="206" t="str">
        <f>IF(AND($A12&gt;=SYear72,$A12&lt;=EYear72,AK$3&gt;0),AK$3*VLOOKUP($A12,Data_72_15!$A$8:$AM$52,MATCH(AK$2,Data_72_15!$B$2:$AM$2,0)+1),"")</f>
        <v/>
      </c>
      <c r="AL12" s="206" t="str">
        <f>IF(AND($A12&gt;=SYear72,$A12&lt;=EYear72,AL$3&gt;0),AL$3*VLOOKUP($A12,Data_72_15!$A$8:$AM$52,MATCH(AL$2,Data_72_15!$B$2:$AM$2,0)+1),"")</f>
        <v/>
      </c>
      <c r="AM12" s="206">
        <f t="shared" si="12"/>
        <v>5.1972584245201165</v>
      </c>
      <c r="AN12" s="446">
        <f t="shared" si="13"/>
        <v>13543.404226096491</v>
      </c>
      <c r="AO12" s="206">
        <f>IF(AND($A12&gt;=SYear72,$A12&lt;=EYear72),(AM12-Data_72_15!AM13)/(1+Data_72_15!AM13%),"")</f>
        <v>-1.4093326842661695</v>
      </c>
      <c r="AP12" s="606">
        <f t="shared" si="14"/>
        <v>8963.5090771749728</v>
      </c>
      <c r="AQ12" s="143">
        <f t="shared" si="15"/>
        <v>1.1249600274593423</v>
      </c>
      <c r="AR12" s="143">
        <f>IF(AND($A12&gt;=SYear72,$A12&lt;=EYear72),MAX($AQ$7:AQ12),"")</f>
        <v>1.1249600274593423</v>
      </c>
      <c r="AS12" s="209">
        <f t="shared" si="16"/>
        <v>0</v>
      </c>
      <c r="AU12" s="143">
        <f>IF(AND($A12&gt;=SYear72,$A12&lt;=EYear72),Data_72_15!V13,"")</f>
        <v>5.0054950544509946</v>
      </c>
      <c r="AV12" s="143">
        <f>IF(AND($A12&gt;=SYear72,$A12&lt;=EYear72),Data_72_15!AM13,"")</f>
        <v>6.7010309278350499</v>
      </c>
      <c r="AW12" s="143">
        <f t="shared" si="17"/>
        <v>-1.5890529441377137</v>
      </c>
      <c r="AZ12" s="61">
        <f t="shared" si="1"/>
        <v>5.1972584245201237E-2</v>
      </c>
      <c r="BA12" s="61">
        <f t="shared" si="2"/>
        <v>0.10950764768440524</v>
      </c>
      <c r="BB12" s="61">
        <f t="shared" si="3"/>
        <v>0.10862446956239746</v>
      </c>
      <c r="BC12" s="61">
        <f t="shared" si="4"/>
        <v>0.16322736073302124</v>
      </c>
      <c r="BD12" s="61">
        <f t="shared" si="5"/>
        <v>0.15216265956077946</v>
      </c>
      <c r="BG12" s="61">
        <f t="shared" si="6"/>
        <v>-1.4093326842661846E-2</v>
      </c>
      <c r="BH12" s="61">
        <f t="shared" si="7"/>
        <v>1.1982122368541903E-2</v>
      </c>
      <c r="BI12" s="61">
        <f t="shared" si="8"/>
        <v>7.2644034295907822E-3</v>
      </c>
      <c r="BJ12" s="61">
        <f t="shared" si="9"/>
        <v>9.0989773011945552E-2</v>
      </c>
      <c r="BK12" s="61">
        <f t="shared" si="10"/>
        <v>8.7771586851042471E-2</v>
      </c>
    </row>
    <row r="13" spans="1:63">
      <c r="A13" s="204">
        <f t="shared" si="11"/>
        <v>1978</v>
      </c>
      <c r="B13" s="206">
        <f>IF(AND($A13&gt;=SYear72,$A13&lt;=EYear72,B$3&gt;0),B$3*VLOOKUP($A13,Data_72_15!$A$8:$AM$52,MATCH(B$2,Data_72_15!$B$2:$AM$2,0)+1),"")</f>
        <v>3.6587800738744134</v>
      </c>
      <c r="C13" s="206" t="str">
        <f>IF(AND($A13&gt;=SYear72,$A13&lt;=EYear72,C$3&gt;0),C$3*VLOOKUP($A13,Data_72_15!$A$8:$AM$52,MATCH(C$2,Data_72_15!$B$2:$AM$2,0)+1),"")</f>
        <v/>
      </c>
      <c r="D13" s="206" t="str">
        <f>IF(AND($A13&gt;=SYear72,$A13&lt;=EYear72,D$3&gt;0),D$3*VLOOKUP($A13,Data_72_15!$A$8:$AM$52,MATCH(D$2,Data_72_15!$B$2:$AM$2,0)+1),"")</f>
        <v/>
      </c>
      <c r="E13" s="206" t="str">
        <f>IF(AND($A13&gt;=SYear72,$A13&lt;=EYear72,E$3&gt;0),E$3*VLOOKUP($A13,Data_72_15!$A$8:$AM$52,MATCH(E$2,Data_72_15!$B$2:$AM$2,0)+1),"")</f>
        <v/>
      </c>
      <c r="F13" s="206" t="str">
        <f>IF(AND($A13&gt;=SYear72,$A13&lt;=EYear72,F$3&gt;0),F$3*VLOOKUP($A13,Data_72_15!$A$8:$AM$52,MATCH(F$2,Data_72_15!$B$2:$AM$2,0)+1),"")</f>
        <v/>
      </c>
      <c r="G13" s="206" t="str">
        <f>IF(AND($A13&gt;=SYear72,$A13&lt;=EYear72,G$3&gt;0),G$3*VLOOKUP($A13,Data_72_15!$A$8:$AM$52,MATCH(G$2,Data_72_15!$B$2:$AM$2,0)+1),"")</f>
        <v/>
      </c>
      <c r="H13" s="206" t="str">
        <f>IF(AND($A13&gt;=SYear72,$A13&lt;=EYear72,H$3&gt;0),H$3*VLOOKUP($A13,Data_72_15!$A$8:$AM$52,MATCH(H$2,Data_72_15!$B$2:$AM$2,0)+1),"")</f>
        <v/>
      </c>
      <c r="I13" s="206" t="str">
        <f>IF(AND($A13&gt;=SYear72,$A13&lt;=EYear72,I$3&gt;0),I$3*VLOOKUP($A13,Data_72_15!$A$8:$AM$52,MATCH(I$2,Data_72_15!$B$2:$AM$2,0)+1),"")</f>
        <v/>
      </c>
      <c r="J13" s="206" t="str">
        <f>IF(AND($A13&gt;=SYear72,$A13&lt;=EYear72,J$3&gt;0),J$3*VLOOKUP($A13,Data_72_15!$A$8:$AM$52,MATCH(J$2,Data_72_15!$B$2:$AM$2,0)+1),"")</f>
        <v/>
      </c>
      <c r="K13" s="206" t="str">
        <f>IF(AND($A13&gt;=SYear72,$A13&lt;=EYear72,K$3&gt;0),K$3*VLOOKUP($A13,Data_72_15!$A$8:$AM$52,MATCH(K$2,Data_72_15!$B$2:$AM$2,0)+1),"")</f>
        <v/>
      </c>
      <c r="L13" s="206" t="str">
        <f>IF(AND($A13&gt;=SYear72,$A13&lt;=EYear72,L$3&gt;0),L$3*VLOOKUP($A13,Data_72_15!$A$8:$AM$52,MATCH(L$2,Data_72_15!$B$2:$AM$2,0)+1),"")</f>
        <v/>
      </c>
      <c r="M13" s="206" t="str">
        <f>IF(AND($A13&gt;=SYear72,$A13&lt;=EYear72,M$3&gt;0),M$3*VLOOKUP($A13,Data_72_15!$A$8:$AM$52,MATCH(M$2,Data_72_15!$B$2:$AM$2,0)+1),"")</f>
        <v/>
      </c>
      <c r="N13" s="206">
        <f>IF(AND($A13&gt;=SYear72,$A13&lt;=EYear72,N$3&gt;0),N$3*VLOOKUP($A13,Data_72_15!$A$8:$AM$52,MATCH(N$2,Data_72_15!$B$2:$AM$2,0)+1),"")</f>
        <v>10.635601676312115</v>
      </c>
      <c r="O13" s="206" t="str">
        <f>IF(AND($A13&gt;=SYear72,$A13&lt;=EYear72,O$3&gt;0),O$3*VLOOKUP($A13,Data_72_15!$A$8:$AM$52,MATCH(O$2,Data_72_15!$B$2:$AM$2,0)+1),"")</f>
        <v/>
      </c>
      <c r="P13" s="206" t="str">
        <f>IF(AND($A13&gt;=SYear72,$A13&lt;=EYear72,P$3&gt;0),P$3*VLOOKUP($A13,Data_72_15!$A$8:$AM$52,MATCH(P$2,Data_72_15!$B$2:$AM$2,0)+1),"")</f>
        <v/>
      </c>
      <c r="Q13" s="206" t="str">
        <f>IF(AND($A13&gt;=SYear72,$A13&lt;=EYear72,Q$3&gt;0),Q$3*VLOOKUP($A13,Data_72_15!$A$8:$AM$52,MATCH(Q$2,Data_72_15!$B$2:$AM$2,0)+1),"")</f>
        <v/>
      </c>
      <c r="R13" s="206" t="str">
        <f>IF(AND($A13&gt;=SYear72,$A13&lt;=EYear72,R$3&gt;0),R$3*VLOOKUP($A13,Data_72_15!$A$8:$AM$52,MATCH(R$2,Data_72_15!$B$2:$AM$2,0)+1),"")</f>
        <v/>
      </c>
      <c r="S13" s="206" t="str">
        <f>IF(AND($A13&gt;=SYear72,$A13&lt;=EYear72,S$3&gt;0),S$3*VLOOKUP($A13,Data_72_15!$A$8:$AM$52,MATCH(S$2,Data_72_15!$B$2:$AM$2,0)+1),"")</f>
        <v/>
      </c>
      <c r="T13" s="206">
        <f>IF(AND($A13&gt;=SYear72,$A13&lt;=EYear72,T$3&gt;0),T$3*VLOOKUP($A13,Data_72_15!$A$8:$AM$52,MATCH(T$2,Data_72_15!$B$2:$AM$2,0)+1),"")</f>
        <v>0.41751465634013435</v>
      </c>
      <c r="U13" s="206" t="str">
        <f>IF(AND($A13&gt;=SYear72,$A13&lt;=EYear72,U$3&gt;0),U$3*VLOOKUP($A13,Data_72_15!$A$8:$AM$52,MATCH(U$2,Data_72_15!$B$2:$AM$2,0)+1),"")</f>
        <v/>
      </c>
      <c r="V13" s="206" t="str">
        <f>IF(AND($A13&gt;=SYear72,$A13&lt;=EYear72,V$3&gt;0),V$3*VLOOKUP($A13,Data_72_15!$A$8:$AM$52,MATCH(V$2,Data_72_15!$B$2:$AM$2,0)+1),"")</f>
        <v/>
      </c>
      <c r="W13" s="206" t="str">
        <f>IF(AND($A13&gt;=SYear72,$A13&lt;=EYear72,W$3&gt;0),W$3*VLOOKUP($A13,Data_72_15!$A$8:$AM$52,MATCH(W$2,Data_72_15!$B$2:$AM$2,0)+1),"")</f>
        <v/>
      </c>
      <c r="X13" s="206" t="str">
        <f>IF(AND($A13&gt;=SYear72,$A13&lt;=EYear72,X$3&gt;0),X$3*VLOOKUP($A13,Data_72_15!$A$8:$AM$52,MATCH(X$2,Data_72_15!$B$2:$AM$2,0)+1),"")</f>
        <v/>
      </c>
      <c r="Y13" s="206" t="str">
        <f>IF(AND($A13&gt;=SYear72,$A13&lt;=EYear72,Y$3&gt;0),Y$3*VLOOKUP($A13,Data_72_15!$A$8:$AM$52,MATCH(Y$2,Data_72_15!$B$2:$AM$2,0)+1),"")</f>
        <v/>
      </c>
      <c r="Z13" s="206" t="str">
        <f>IF(AND($A13&gt;=SYear72,$A13&lt;=EYear72,Z$3&gt;0),Z$3*VLOOKUP($A13,Data_72_15!$A$8:$AM$52,MATCH(Z$2,Data_72_15!$B$2:$AM$2,0)+1),"")</f>
        <v/>
      </c>
      <c r="AA13" s="206" t="str">
        <f>IF(AND($A13&gt;=SYear72,$A13&lt;=EYear72,AA$3&gt;0),AA$3*VLOOKUP($A13,Data_72_15!$A$8:$AM$52,MATCH(AA$2,Data_72_15!$B$2:$AM$2,0)+1),"")</f>
        <v/>
      </c>
      <c r="AB13" s="206" t="str">
        <f>IF(AND($A13&gt;=SYear72,$A13&lt;=EYear72,AB$3&gt;0),AB$3*VLOOKUP($A13,Data_72_15!$A$8:$AM$52,MATCH(AB$2,Data_72_15!$B$2:$AM$2,0)+1),"")</f>
        <v/>
      </c>
      <c r="AC13" s="206" t="str">
        <f>IF(AND($A13&gt;=SYear72,$A13&lt;=EYear72,AC$3&gt;0),AC$3*VLOOKUP($A13,Data_72_15!$A$8:$AM$52,MATCH(AC$2,Data_72_15!$B$2:$AM$2,0)+1),"")</f>
        <v/>
      </c>
      <c r="AD13" s="206" t="str">
        <f>IF(AND($A13&gt;=SYear72,$A13&lt;=EYear72,AD$3&gt;0),AD$3*VLOOKUP($A13,Data_72_15!$A$8:$AM$52,MATCH(AD$2,Data_72_15!$B$2:$AM$2,0)+1),"")</f>
        <v/>
      </c>
      <c r="AE13" s="206" t="str">
        <f>IF(AND($A13&gt;=SYear72,$A13&lt;=EYear72,AE$3&gt;0),AE$3*VLOOKUP($A13,Data_72_15!$A$8:$AM$52,MATCH(AE$2,Data_72_15!$B$2:$AM$2,0)+1),"")</f>
        <v/>
      </c>
      <c r="AF13" s="206" t="str">
        <f>IF(AND($A13&gt;=SYear72,$A13&lt;=EYear72,AF$3&gt;0),AF$3*VLOOKUP($A13,Data_72_15!$A$8:$AM$52,MATCH(AF$2,Data_72_15!$B$2:$AM$2,0)+1),"")</f>
        <v/>
      </c>
      <c r="AG13" s="206" t="str">
        <f>IF(AND($A13&gt;=SYear72,$A13&lt;=EYear72,AG$3&gt;0),AG$3*VLOOKUP($A13,Data_72_15!$A$8:$AM$52,MATCH(AG$2,Data_72_15!$B$2:$AM$2,0)+1),"")</f>
        <v/>
      </c>
      <c r="AH13" s="206" t="str">
        <f>IF(AND($A13&gt;=SYear72,$A13&lt;=EYear72,AH$3&gt;0),AH$3*VLOOKUP($A13,Data_72_15!$A$8:$AM$52,MATCH(AH$2,Data_72_15!$B$2:$AM$2,0)+1),"")</f>
        <v/>
      </c>
      <c r="AI13" s="206" t="str">
        <f>IF(AND($A13&gt;=SYear72,$A13&lt;=EYear72,AI$3&gt;0),AI$3*VLOOKUP($A13,Data_72_15!$A$8:$AM$52,MATCH(AI$2,Data_72_15!$B$2:$AM$2,0)+1),"")</f>
        <v/>
      </c>
      <c r="AJ13" s="206" t="str">
        <f>IF(AND($A13&gt;=SYear72,$A13&lt;=EYear72,AJ$3&gt;0),AJ$3*VLOOKUP($A13,Data_72_15!$A$8:$AM$52,MATCH(AJ$2,Data_72_15!$B$2:$AM$2,0)+1),"")</f>
        <v/>
      </c>
      <c r="AK13" s="206" t="str">
        <f>IF(AND($A13&gt;=SYear72,$A13&lt;=EYear72,AK$3&gt;0),AK$3*VLOOKUP($A13,Data_72_15!$A$8:$AM$52,MATCH(AK$2,Data_72_15!$B$2:$AM$2,0)+1),"")</f>
        <v/>
      </c>
      <c r="AL13" s="206" t="str">
        <f>IF(AND($A13&gt;=SYear72,$A13&lt;=EYear72,AL$3&gt;0),AL$3*VLOOKUP($A13,Data_72_15!$A$8:$AM$52,MATCH(AL$2,Data_72_15!$B$2:$AM$2,0)+1),"")</f>
        <v/>
      </c>
      <c r="AM13" s="206">
        <f t="shared" si="12"/>
        <v>14.711896406526662</v>
      </c>
      <c r="AN13" s="446">
        <f t="shared" si="13"/>
        <v>15535.895825756959</v>
      </c>
      <c r="AO13" s="206">
        <f>IF(AND($A13&gt;=SYear72,$A13&lt;=EYear72),(AM13-Data_72_15!AM14)/(1+Data_72_15!AM14%),"")</f>
        <v>5.2231723315407095</v>
      </c>
      <c r="AP13" s="606">
        <f t="shared" si="14"/>
        <v>9431.688603229115</v>
      </c>
      <c r="AQ13" s="143">
        <f t="shared" si="15"/>
        <v>1.2904629813139945</v>
      </c>
      <c r="AR13" s="143">
        <f>IF(AND($A13&gt;=SYear72,$A13&lt;=EYear72),MAX($AQ$7:AQ13),"")</f>
        <v>1.2904629813139945</v>
      </c>
      <c r="AS13" s="209">
        <f t="shared" si="16"/>
        <v>0</v>
      </c>
      <c r="AU13" s="143">
        <f>IF(AND($A13&gt;=SYear72,$A13&lt;=EYear72),Data_72_15!V14,"")</f>
        <v>7.103606753921472</v>
      </c>
      <c r="AV13" s="143">
        <f>IF(AND($A13&gt;=SYear72,$A13&lt;=EYear72),Data_72_15!AM14,"")</f>
        <v>9.0177133655394481</v>
      </c>
      <c r="AW13" s="143">
        <f t="shared" si="17"/>
        <v>-1.7557757840690742</v>
      </c>
      <c r="AZ13" s="61">
        <f t="shared" si="1"/>
        <v>0.14711896406526659</v>
      </c>
      <c r="BA13" s="61">
        <f t="shared" si="2"/>
        <v>0.17135495684586588</v>
      </c>
      <c r="BB13" s="61">
        <f t="shared" si="3"/>
        <v>0.13160937099814873</v>
      </c>
      <c r="BC13" s="61">
        <f t="shared" si="4"/>
        <v>0.16725156334343327</v>
      </c>
      <c r="BD13" s="61">
        <f t="shared" si="5"/>
        <v>0.15110901442873881</v>
      </c>
      <c r="BG13" s="61">
        <f t="shared" si="6"/>
        <v>5.2231723315407041E-2</v>
      </c>
      <c r="BH13" s="61">
        <f t="shared" si="7"/>
        <v>4.9660338968870565E-2</v>
      </c>
      <c r="BI13" s="61">
        <f t="shared" si="8"/>
        <v>3.3772301693636875E-2</v>
      </c>
      <c r="BJ13" s="61">
        <f t="shared" si="9"/>
        <v>9.7117249676794248E-2</v>
      </c>
      <c r="BK13" s="61">
        <f t="shared" si="10"/>
        <v>8.9407603023975213E-2</v>
      </c>
    </row>
    <row r="14" spans="1:63">
      <c r="A14" s="204">
        <f t="shared" si="11"/>
        <v>1979</v>
      </c>
      <c r="B14" s="206">
        <f>IF(AND($A14&gt;=SYear72,$A14&lt;=EYear72,B$3&gt;0),B$3*VLOOKUP($A14,Data_72_15!$A$8:$AM$52,MATCH(B$2,Data_72_15!$B$2:$AM$2,0)+1),"")</f>
        <v>11.395627433363281</v>
      </c>
      <c r="C14" s="206" t="str">
        <f>IF(AND($A14&gt;=SYear72,$A14&lt;=EYear72,C$3&gt;0),C$3*VLOOKUP($A14,Data_72_15!$A$8:$AM$52,MATCH(C$2,Data_72_15!$B$2:$AM$2,0)+1),"")</f>
        <v/>
      </c>
      <c r="D14" s="206" t="str">
        <f>IF(AND($A14&gt;=SYear72,$A14&lt;=EYear72,D$3&gt;0),D$3*VLOOKUP($A14,Data_72_15!$A$8:$AM$52,MATCH(D$2,Data_72_15!$B$2:$AM$2,0)+1),"")</f>
        <v/>
      </c>
      <c r="E14" s="206" t="str">
        <f>IF(AND($A14&gt;=SYear72,$A14&lt;=EYear72,E$3&gt;0),E$3*VLOOKUP($A14,Data_72_15!$A$8:$AM$52,MATCH(E$2,Data_72_15!$B$2:$AM$2,0)+1),"")</f>
        <v/>
      </c>
      <c r="F14" s="206" t="str">
        <f>IF(AND($A14&gt;=SYear72,$A14&lt;=EYear72,F$3&gt;0),F$3*VLOOKUP($A14,Data_72_15!$A$8:$AM$52,MATCH(F$2,Data_72_15!$B$2:$AM$2,0)+1),"")</f>
        <v/>
      </c>
      <c r="G14" s="206" t="str">
        <f>IF(AND($A14&gt;=SYear72,$A14&lt;=EYear72,G$3&gt;0),G$3*VLOOKUP($A14,Data_72_15!$A$8:$AM$52,MATCH(G$2,Data_72_15!$B$2:$AM$2,0)+1),"")</f>
        <v/>
      </c>
      <c r="H14" s="206" t="str">
        <f>IF(AND($A14&gt;=SYear72,$A14&lt;=EYear72,H$3&gt;0),H$3*VLOOKUP($A14,Data_72_15!$A$8:$AM$52,MATCH(H$2,Data_72_15!$B$2:$AM$2,0)+1),"")</f>
        <v/>
      </c>
      <c r="I14" s="206" t="str">
        <f>IF(AND($A14&gt;=SYear72,$A14&lt;=EYear72,I$3&gt;0),I$3*VLOOKUP($A14,Data_72_15!$A$8:$AM$52,MATCH(I$2,Data_72_15!$B$2:$AM$2,0)+1),"")</f>
        <v/>
      </c>
      <c r="J14" s="206" t="str">
        <f>IF(AND($A14&gt;=SYear72,$A14&lt;=EYear72,J$3&gt;0),J$3*VLOOKUP($A14,Data_72_15!$A$8:$AM$52,MATCH(J$2,Data_72_15!$B$2:$AM$2,0)+1),"")</f>
        <v/>
      </c>
      <c r="K14" s="206" t="str">
        <f>IF(AND($A14&gt;=SYear72,$A14&lt;=EYear72,K$3&gt;0),K$3*VLOOKUP($A14,Data_72_15!$A$8:$AM$52,MATCH(K$2,Data_72_15!$B$2:$AM$2,0)+1),"")</f>
        <v/>
      </c>
      <c r="L14" s="206" t="str">
        <f>IF(AND($A14&gt;=SYear72,$A14&lt;=EYear72,L$3&gt;0),L$3*VLOOKUP($A14,Data_72_15!$A$8:$AM$52,MATCH(L$2,Data_72_15!$B$2:$AM$2,0)+1),"")</f>
        <v/>
      </c>
      <c r="M14" s="206" t="str">
        <f>IF(AND($A14&gt;=SYear72,$A14&lt;=EYear72,M$3&gt;0),M$3*VLOOKUP($A14,Data_72_15!$A$8:$AM$52,MATCH(M$2,Data_72_15!$B$2:$AM$2,0)+1),"")</f>
        <v/>
      </c>
      <c r="N14" s="206">
        <f>IF(AND($A14&gt;=SYear72,$A14&lt;=EYear72,N$3&gt;0),N$3*VLOOKUP($A14,Data_72_15!$A$8:$AM$52,MATCH(N$2,Data_72_15!$B$2:$AM$2,0)+1),"")</f>
        <v>1.2722011574536021</v>
      </c>
      <c r="O14" s="206" t="str">
        <f>IF(AND($A14&gt;=SYear72,$A14&lt;=EYear72,O$3&gt;0),O$3*VLOOKUP($A14,Data_72_15!$A$8:$AM$52,MATCH(O$2,Data_72_15!$B$2:$AM$2,0)+1),"")</f>
        <v/>
      </c>
      <c r="P14" s="206" t="str">
        <f>IF(AND($A14&gt;=SYear72,$A14&lt;=EYear72,P$3&gt;0),P$3*VLOOKUP($A14,Data_72_15!$A$8:$AM$52,MATCH(P$2,Data_72_15!$B$2:$AM$2,0)+1),"")</f>
        <v/>
      </c>
      <c r="Q14" s="206" t="str">
        <f>IF(AND($A14&gt;=SYear72,$A14&lt;=EYear72,Q$3&gt;0),Q$3*VLOOKUP($A14,Data_72_15!$A$8:$AM$52,MATCH(Q$2,Data_72_15!$B$2:$AM$2,0)+1),"")</f>
        <v/>
      </c>
      <c r="R14" s="206" t="str">
        <f>IF(AND($A14&gt;=SYear72,$A14&lt;=EYear72,R$3&gt;0),R$3*VLOOKUP($A14,Data_72_15!$A$8:$AM$52,MATCH(R$2,Data_72_15!$B$2:$AM$2,0)+1),"")</f>
        <v/>
      </c>
      <c r="S14" s="206" t="str">
        <f>IF(AND($A14&gt;=SYear72,$A14&lt;=EYear72,S$3&gt;0),S$3*VLOOKUP($A14,Data_72_15!$A$8:$AM$52,MATCH(S$2,Data_72_15!$B$2:$AM$2,0)+1),"")</f>
        <v/>
      </c>
      <c r="T14" s="206">
        <f>IF(AND($A14&gt;=SYear72,$A14&lt;=EYear72,T$3&gt;0),T$3*VLOOKUP($A14,Data_72_15!$A$8:$AM$52,MATCH(T$2,Data_72_15!$B$2:$AM$2,0)+1),"")</f>
        <v>0.51434215264775973</v>
      </c>
      <c r="U14" s="206" t="str">
        <f>IF(AND($A14&gt;=SYear72,$A14&lt;=EYear72,U$3&gt;0),U$3*VLOOKUP($A14,Data_72_15!$A$8:$AM$52,MATCH(U$2,Data_72_15!$B$2:$AM$2,0)+1),"")</f>
        <v/>
      </c>
      <c r="V14" s="206" t="str">
        <f>IF(AND($A14&gt;=SYear72,$A14&lt;=EYear72,V$3&gt;0),V$3*VLOOKUP($A14,Data_72_15!$A$8:$AM$52,MATCH(V$2,Data_72_15!$B$2:$AM$2,0)+1),"")</f>
        <v/>
      </c>
      <c r="W14" s="206" t="str">
        <f>IF(AND($A14&gt;=SYear72,$A14&lt;=EYear72,W$3&gt;0),W$3*VLOOKUP($A14,Data_72_15!$A$8:$AM$52,MATCH(W$2,Data_72_15!$B$2:$AM$2,0)+1),"")</f>
        <v/>
      </c>
      <c r="X14" s="206" t="str">
        <f>IF(AND($A14&gt;=SYear72,$A14&lt;=EYear72,X$3&gt;0),X$3*VLOOKUP($A14,Data_72_15!$A$8:$AM$52,MATCH(X$2,Data_72_15!$B$2:$AM$2,0)+1),"")</f>
        <v/>
      </c>
      <c r="Y14" s="206" t="str">
        <f>IF(AND($A14&gt;=SYear72,$A14&lt;=EYear72,Y$3&gt;0),Y$3*VLOOKUP($A14,Data_72_15!$A$8:$AM$52,MATCH(Y$2,Data_72_15!$B$2:$AM$2,0)+1),"")</f>
        <v/>
      </c>
      <c r="Z14" s="206" t="str">
        <f>IF(AND($A14&gt;=SYear72,$A14&lt;=EYear72,Z$3&gt;0),Z$3*VLOOKUP($A14,Data_72_15!$A$8:$AM$52,MATCH(Z$2,Data_72_15!$B$2:$AM$2,0)+1),"")</f>
        <v/>
      </c>
      <c r="AA14" s="206" t="str">
        <f>IF(AND($A14&gt;=SYear72,$A14&lt;=EYear72,AA$3&gt;0),AA$3*VLOOKUP($A14,Data_72_15!$A$8:$AM$52,MATCH(AA$2,Data_72_15!$B$2:$AM$2,0)+1),"")</f>
        <v/>
      </c>
      <c r="AB14" s="206" t="str">
        <f>IF(AND($A14&gt;=SYear72,$A14&lt;=EYear72,AB$3&gt;0),AB$3*VLOOKUP($A14,Data_72_15!$A$8:$AM$52,MATCH(AB$2,Data_72_15!$B$2:$AM$2,0)+1),"")</f>
        <v/>
      </c>
      <c r="AC14" s="206" t="str">
        <f>IF(AND($A14&gt;=SYear72,$A14&lt;=EYear72,AC$3&gt;0),AC$3*VLOOKUP($A14,Data_72_15!$A$8:$AM$52,MATCH(AC$2,Data_72_15!$B$2:$AM$2,0)+1),"")</f>
        <v/>
      </c>
      <c r="AD14" s="206" t="str">
        <f>IF(AND($A14&gt;=SYear72,$A14&lt;=EYear72,AD$3&gt;0),AD$3*VLOOKUP($A14,Data_72_15!$A$8:$AM$52,MATCH(AD$2,Data_72_15!$B$2:$AM$2,0)+1),"")</f>
        <v/>
      </c>
      <c r="AE14" s="206" t="str">
        <f>IF(AND($A14&gt;=SYear72,$A14&lt;=EYear72,AE$3&gt;0),AE$3*VLOOKUP($A14,Data_72_15!$A$8:$AM$52,MATCH(AE$2,Data_72_15!$B$2:$AM$2,0)+1),"")</f>
        <v/>
      </c>
      <c r="AF14" s="206" t="str">
        <f>IF(AND($A14&gt;=SYear72,$A14&lt;=EYear72,AF$3&gt;0),AF$3*VLOOKUP($A14,Data_72_15!$A$8:$AM$52,MATCH(AF$2,Data_72_15!$B$2:$AM$2,0)+1),"")</f>
        <v/>
      </c>
      <c r="AG14" s="206" t="str">
        <f>IF(AND($A14&gt;=SYear72,$A14&lt;=EYear72,AG$3&gt;0),AG$3*VLOOKUP($A14,Data_72_15!$A$8:$AM$52,MATCH(AG$2,Data_72_15!$B$2:$AM$2,0)+1),"")</f>
        <v/>
      </c>
      <c r="AH14" s="206" t="str">
        <f>IF(AND($A14&gt;=SYear72,$A14&lt;=EYear72,AH$3&gt;0),AH$3*VLOOKUP($A14,Data_72_15!$A$8:$AM$52,MATCH(AH$2,Data_72_15!$B$2:$AM$2,0)+1),"")</f>
        <v/>
      </c>
      <c r="AI14" s="206" t="str">
        <f>IF(AND($A14&gt;=SYear72,$A14&lt;=EYear72,AI$3&gt;0),AI$3*VLOOKUP($A14,Data_72_15!$A$8:$AM$52,MATCH(AI$2,Data_72_15!$B$2:$AM$2,0)+1),"")</f>
        <v/>
      </c>
      <c r="AJ14" s="206" t="str">
        <f>IF(AND($A14&gt;=SYear72,$A14&lt;=EYear72,AJ$3&gt;0),AJ$3*VLOOKUP($A14,Data_72_15!$A$8:$AM$52,MATCH(AJ$2,Data_72_15!$B$2:$AM$2,0)+1),"")</f>
        <v/>
      </c>
      <c r="AK14" s="206" t="str">
        <f>IF(AND($A14&gt;=SYear72,$A14&lt;=EYear72,AK$3&gt;0),AK$3*VLOOKUP($A14,Data_72_15!$A$8:$AM$52,MATCH(AK$2,Data_72_15!$B$2:$AM$2,0)+1),"")</f>
        <v/>
      </c>
      <c r="AL14" s="206" t="str">
        <f>IF(AND($A14&gt;=SYear72,$A14&lt;=EYear72,AL$3&gt;0),AL$3*VLOOKUP($A14,Data_72_15!$A$8:$AM$52,MATCH(AL$2,Data_72_15!$B$2:$AM$2,0)+1),"")</f>
        <v/>
      </c>
      <c r="AM14" s="206">
        <f t="shared" si="12"/>
        <v>13.182170743464642</v>
      </c>
      <c r="AN14" s="446">
        <f t="shared" si="13"/>
        <v>17583.864140035039</v>
      </c>
      <c r="AO14" s="206">
        <f>IF(AND($A14&gt;=SYear72,$A14&lt;=EYear72),(AM14-Data_72_15!AM15)/(1+Data_72_15!AM15%),"")</f>
        <v>-9.8657635820646017E-2</v>
      </c>
      <c r="AP14" s="606">
        <f t="shared" si="14"/>
        <v>9422.3835222352045</v>
      </c>
      <c r="AQ14" s="143">
        <f t="shared" si="15"/>
        <v>1.4605740148920094</v>
      </c>
      <c r="AR14" s="143">
        <f>IF(AND($A14&gt;=SYear72,$A14&lt;=EYear72),MAX($AQ$7:AQ14),"")</f>
        <v>1.4605740148920094</v>
      </c>
      <c r="AS14" s="209">
        <f t="shared" si="16"/>
        <v>0</v>
      </c>
      <c r="AU14" s="143">
        <f>IF(AND($A14&gt;=SYear72,$A14&lt;=EYear72),Data_72_15!V15,"")</f>
        <v>10.300729343590771</v>
      </c>
      <c r="AV14" s="143">
        <f>IF(AND($A14&gt;=SYear72,$A14&lt;=EYear72),Data_72_15!AM15,"")</f>
        <v>13.293943870014768</v>
      </c>
      <c r="AW14" s="143">
        <f t="shared" si="17"/>
        <v>-2.641989875344259</v>
      </c>
      <c r="AZ14" s="61">
        <f t="shared" si="1"/>
        <v>0.13182170743464638</v>
      </c>
      <c r="BA14" s="61">
        <f t="shared" si="2"/>
        <v>0.11541498089207702</v>
      </c>
      <c r="BB14" s="61">
        <f t="shared" si="3"/>
        <v>0.14123804184648736</v>
      </c>
      <c r="BC14" s="61">
        <f t="shared" si="4"/>
        <v>0.17155209186527909</v>
      </c>
      <c r="BD14" s="61">
        <f t="shared" si="5"/>
        <v>0.15403604831423179</v>
      </c>
      <c r="BG14" s="61">
        <f t="shared" si="6"/>
        <v>-9.8657635820642575E-4</v>
      </c>
      <c r="BH14" s="61">
        <f t="shared" si="7"/>
        <v>-1.7633605907263483E-4</v>
      </c>
      <c r="BI14" s="61">
        <f t="shared" si="8"/>
        <v>5.2863535129973549E-2</v>
      </c>
      <c r="BJ14" s="61">
        <f t="shared" si="9"/>
        <v>0.10591504424709441</v>
      </c>
      <c r="BK14" s="61">
        <f t="shared" si="10"/>
        <v>9.6498692006872888E-2</v>
      </c>
    </row>
    <row r="15" spans="1:63">
      <c r="A15" s="204">
        <f t="shared" si="11"/>
        <v>1980</v>
      </c>
      <c r="B15" s="206">
        <f>IF(AND($A15&gt;=SYear72,$A15&lt;=EYear72,B$3&gt;0),B$3*VLOOKUP($A15,Data_72_15!$A$8:$AM$52,MATCH(B$2,Data_72_15!$B$2:$AM$2,0)+1),"")</f>
        <v>16.237396426075673</v>
      </c>
      <c r="C15" s="206" t="str">
        <f>IF(AND($A15&gt;=SYear72,$A15&lt;=EYear72,C$3&gt;0),C$3*VLOOKUP($A15,Data_72_15!$A$8:$AM$52,MATCH(C$2,Data_72_15!$B$2:$AM$2,0)+1),"")</f>
        <v/>
      </c>
      <c r="D15" s="206" t="str">
        <f>IF(AND($A15&gt;=SYear72,$A15&lt;=EYear72,D$3&gt;0),D$3*VLOOKUP($A15,Data_72_15!$A$8:$AM$52,MATCH(D$2,Data_72_15!$B$2:$AM$2,0)+1),"")</f>
        <v/>
      </c>
      <c r="E15" s="206" t="str">
        <f>IF(AND($A15&gt;=SYear72,$A15&lt;=EYear72,E$3&gt;0),E$3*VLOOKUP($A15,Data_72_15!$A$8:$AM$52,MATCH(E$2,Data_72_15!$B$2:$AM$2,0)+1),"")</f>
        <v/>
      </c>
      <c r="F15" s="206" t="str">
        <f>IF(AND($A15&gt;=SYear72,$A15&lt;=EYear72,F$3&gt;0),F$3*VLOOKUP($A15,Data_72_15!$A$8:$AM$52,MATCH(F$2,Data_72_15!$B$2:$AM$2,0)+1),"")</f>
        <v/>
      </c>
      <c r="G15" s="206" t="str">
        <f>IF(AND($A15&gt;=SYear72,$A15&lt;=EYear72,G$3&gt;0),G$3*VLOOKUP($A15,Data_72_15!$A$8:$AM$52,MATCH(G$2,Data_72_15!$B$2:$AM$2,0)+1),"")</f>
        <v/>
      </c>
      <c r="H15" s="206" t="str">
        <f>IF(AND($A15&gt;=SYear72,$A15&lt;=EYear72,H$3&gt;0),H$3*VLOOKUP($A15,Data_72_15!$A$8:$AM$52,MATCH(H$2,Data_72_15!$B$2:$AM$2,0)+1),"")</f>
        <v/>
      </c>
      <c r="I15" s="206" t="str">
        <f>IF(AND($A15&gt;=SYear72,$A15&lt;=EYear72,I$3&gt;0),I$3*VLOOKUP($A15,Data_72_15!$A$8:$AM$52,MATCH(I$2,Data_72_15!$B$2:$AM$2,0)+1),"")</f>
        <v/>
      </c>
      <c r="J15" s="206" t="str">
        <f>IF(AND($A15&gt;=SYear72,$A15&lt;=EYear72,J$3&gt;0),J$3*VLOOKUP($A15,Data_72_15!$A$8:$AM$52,MATCH(J$2,Data_72_15!$B$2:$AM$2,0)+1),"")</f>
        <v/>
      </c>
      <c r="K15" s="206" t="str">
        <f>IF(AND($A15&gt;=SYear72,$A15&lt;=EYear72,K$3&gt;0),K$3*VLOOKUP($A15,Data_72_15!$A$8:$AM$52,MATCH(K$2,Data_72_15!$B$2:$AM$2,0)+1),"")</f>
        <v/>
      </c>
      <c r="L15" s="206" t="str">
        <f>IF(AND($A15&gt;=SYear72,$A15&lt;=EYear72,L$3&gt;0),L$3*VLOOKUP($A15,Data_72_15!$A$8:$AM$52,MATCH(L$2,Data_72_15!$B$2:$AM$2,0)+1),"")</f>
        <v/>
      </c>
      <c r="M15" s="206" t="str">
        <f>IF(AND($A15&gt;=SYear72,$A15&lt;=EYear72,M$3&gt;0),M$3*VLOOKUP($A15,Data_72_15!$A$8:$AM$52,MATCH(M$2,Data_72_15!$B$2:$AM$2,0)+1),"")</f>
        <v/>
      </c>
      <c r="N15" s="206">
        <f>IF(AND($A15&gt;=SYear72,$A15&lt;=EYear72,N$3&gt;0),N$3*VLOOKUP($A15,Data_72_15!$A$8:$AM$52,MATCH(N$2,Data_72_15!$B$2:$AM$2,0)+1),"")</f>
        <v>6.8878467371782088</v>
      </c>
      <c r="O15" s="206" t="str">
        <f>IF(AND($A15&gt;=SYear72,$A15&lt;=EYear72,O$3&gt;0),O$3*VLOOKUP($A15,Data_72_15!$A$8:$AM$52,MATCH(O$2,Data_72_15!$B$2:$AM$2,0)+1),"")</f>
        <v/>
      </c>
      <c r="P15" s="206" t="str">
        <f>IF(AND($A15&gt;=SYear72,$A15&lt;=EYear72,P$3&gt;0),P$3*VLOOKUP($A15,Data_72_15!$A$8:$AM$52,MATCH(P$2,Data_72_15!$B$2:$AM$2,0)+1),"")</f>
        <v/>
      </c>
      <c r="Q15" s="206" t="str">
        <f>IF(AND($A15&gt;=SYear72,$A15&lt;=EYear72,Q$3&gt;0),Q$3*VLOOKUP($A15,Data_72_15!$A$8:$AM$52,MATCH(Q$2,Data_72_15!$B$2:$AM$2,0)+1),"")</f>
        <v/>
      </c>
      <c r="R15" s="206" t="str">
        <f>IF(AND($A15&gt;=SYear72,$A15&lt;=EYear72,R$3&gt;0),R$3*VLOOKUP($A15,Data_72_15!$A$8:$AM$52,MATCH(R$2,Data_72_15!$B$2:$AM$2,0)+1),"")</f>
        <v/>
      </c>
      <c r="S15" s="206" t="str">
        <f>IF(AND($A15&gt;=SYear72,$A15&lt;=EYear72,S$3&gt;0),S$3*VLOOKUP($A15,Data_72_15!$A$8:$AM$52,MATCH(S$2,Data_72_15!$B$2:$AM$2,0)+1),"")</f>
        <v/>
      </c>
      <c r="T15" s="206">
        <f>IF(AND($A15&gt;=SYear72,$A15&lt;=EYear72,T$3&gt;0),T$3*VLOOKUP($A15,Data_72_15!$A$8:$AM$52,MATCH(T$2,Data_72_15!$B$2:$AM$2,0)+1),"")</f>
        <v>0.66290910585330154</v>
      </c>
      <c r="U15" s="206" t="str">
        <f>IF(AND($A15&gt;=SYear72,$A15&lt;=EYear72,U$3&gt;0),U$3*VLOOKUP($A15,Data_72_15!$A$8:$AM$52,MATCH(U$2,Data_72_15!$B$2:$AM$2,0)+1),"")</f>
        <v/>
      </c>
      <c r="V15" s="206" t="str">
        <f>IF(AND($A15&gt;=SYear72,$A15&lt;=EYear72,V$3&gt;0),V$3*VLOOKUP($A15,Data_72_15!$A$8:$AM$52,MATCH(V$2,Data_72_15!$B$2:$AM$2,0)+1),"")</f>
        <v/>
      </c>
      <c r="W15" s="206" t="str">
        <f>IF(AND($A15&gt;=SYear72,$A15&lt;=EYear72,W$3&gt;0),W$3*VLOOKUP($A15,Data_72_15!$A$8:$AM$52,MATCH(W$2,Data_72_15!$B$2:$AM$2,0)+1),"")</f>
        <v/>
      </c>
      <c r="X15" s="206" t="str">
        <f>IF(AND($A15&gt;=SYear72,$A15&lt;=EYear72,X$3&gt;0),X$3*VLOOKUP($A15,Data_72_15!$A$8:$AM$52,MATCH(X$2,Data_72_15!$B$2:$AM$2,0)+1),"")</f>
        <v/>
      </c>
      <c r="Y15" s="206" t="str">
        <f>IF(AND($A15&gt;=SYear72,$A15&lt;=EYear72,Y$3&gt;0),Y$3*VLOOKUP($A15,Data_72_15!$A$8:$AM$52,MATCH(Y$2,Data_72_15!$B$2:$AM$2,0)+1),"")</f>
        <v/>
      </c>
      <c r="Z15" s="206" t="str">
        <f>IF(AND($A15&gt;=SYear72,$A15&lt;=EYear72,Z$3&gt;0),Z$3*VLOOKUP($A15,Data_72_15!$A$8:$AM$52,MATCH(Z$2,Data_72_15!$B$2:$AM$2,0)+1),"")</f>
        <v/>
      </c>
      <c r="AA15" s="206" t="str">
        <f>IF(AND($A15&gt;=SYear72,$A15&lt;=EYear72,AA$3&gt;0),AA$3*VLOOKUP($A15,Data_72_15!$A$8:$AM$52,MATCH(AA$2,Data_72_15!$B$2:$AM$2,0)+1),"")</f>
        <v/>
      </c>
      <c r="AB15" s="206" t="str">
        <f>IF(AND($A15&gt;=SYear72,$A15&lt;=EYear72,AB$3&gt;0),AB$3*VLOOKUP($A15,Data_72_15!$A$8:$AM$52,MATCH(AB$2,Data_72_15!$B$2:$AM$2,0)+1),"")</f>
        <v/>
      </c>
      <c r="AC15" s="206" t="str">
        <f>IF(AND($A15&gt;=SYear72,$A15&lt;=EYear72,AC$3&gt;0),AC$3*VLOOKUP($A15,Data_72_15!$A$8:$AM$52,MATCH(AC$2,Data_72_15!$B$2:$AM$2,0)+1),"")</f>
        <v/>
      </c>
      <c r="AD15" s="206" t="str">
        <f>IF(AND($A15&gt;=SYear72,$A15&lt;=EYear72,AD$3&gt;0),AD$3*VLOOKUP($A15,Data_72_15!$A$8:$AM$52,MATCH(AD$2,Data_72_15!$B$2:$AM$2,0)+1),"")</f>
        <v/>
      </c>
      <c r="AE15" s="206" t="str">
        <f>IF(AND($A15&gt;=SYear72,$A15&lt;=EYear72,AE$3&gt;0),AE$3*VLOOKUP($A15,Data_72_15!$A$8:$AM$52,MATCH(AE$2,Data_72_15!$B$2:$AM$2,0)+1),"")</f>
        <v/>
      </c>
      <c r="AF15" s="206" t="str">
        <f>IF(AND($A15&gt;=SYear72,$A15&lt;=EYear72,AF$3&gt;0),AF$3*VLOOKUP($A15,Data_72_15!$A$8:$AM$52,MATCH(AF$2,Data_72_15!$B$2:$AM$2,0)+1),"")</f>
        <v/>
      </c>
      <c r="AG15" s="206" t="str">
        <f>IF(AND($A15&gt;=SYear72,$A15&lt;=EYear72,AG$3&gt;0),AG$3*VLOOKUP($A15,Data_72_15!$A$8:$AM$52,MATCH(AG$2,Data_72_15!$B$2:$AM$2,0)+1),"")</f>
        <v/>
      </c>
      <c r="AH15" s="206" t="str">
        <f>IF(AND($A15&gt;=SYear72,$A15&lt;=EYear72,AH$3&gt;0),AH$3*VLOOKUP($A15,Data_72_15!$A$8:$AM$52,MATCH(AH$2,Data_72_15!$B$2:$AM$2,0)+1),"")</f>
        <v/>
      </c>
      <c r="AI15" s="206" t="str">
        <f>IF(AND($A15&gt;=SYear72,$A15&lt;=EYear72,AI$3&gt;0),AI$3*VLOOKUP($A15,Data_72_15!$A$8:$AM$52,MATCH(AI$2,Data_72_15!$B$2:$AM$2,0)+1),"")</f>
        <v/>
      </c>
      <c r="AJ15" s="206" t="str">
        <f>IF(AND($A15&gt;=SYear72,$A15&lt;=EYear72,AJ$3&gt;0),AJ$3*VLOOKUP($A15,Data_72_15!$A$8:$AM$52,MATCH(AJ$2,Data_72_15!$B$2:$AM$2,0)+1),"")</f>
        <v/>
      </c>
      <c r="AK15" s="206" t="str">
        <f>IF(AND($A15&gt;=SYear72,$A15&lt;=EYear72,AK$3&gt;0),AK$3*VLOOKUP($A15,Data_72_15!$A$8:$AM$52,MATCH(AK$2,Data_72_15!$B$2:$AM$2,0)+1),"")</f>
        <v/>
      </c>
      <c r="AL15" s="206" t="str">
        <f>IF(AND($A15&gt;=SYear72,$A15&lt;=EYear72,AL$3&gt;0),AL$3*VLOOKUP($A15,Data_72_15!$A$8:$AM$52,MATCH(AL$2,Data_72_15!$B$2:$AM$2,0)+1),"")</f>
        <v/>
      </c>
      <c r="AM15" s="206">
        <f t="shared" si="12"/>
        <v>23.788152269107183</v>
      </c>
      <c r="AN15" s="446">
        <f t="shared" si="13"/>
        <v>21766.740516459507</v>
      </c>
      <c r="AO15" s="206">
        <f>IF(AND($A15&gt;=SYear72,$A15&lt;=EYear72),(AM15-Data_72_15!AM16)/(1+Data_72_15!AM16%),"")</f>
        <v>10.01797542341277</v>
      </c>
      <c r="AP15" s="606">
        <f t="shared" si="14"/>
        <v>10366.315587792422</v>
      </c>
      <c r="AQ15" s="143">
        <f t="shared" si="15"/>
        <v>1.8080175855575327</v>
      </c>
      <c r="AR15" s="143">
        <f>IF(AND($A15&gt;=SYear72,$A15&lt;=EYear72),MAX($AQ$7:AQ15),"")</f>
        <v>1.8080175855575327</v>
      </c>
      <c r="AS15" s="209">
        <f t="shared" si="16"/>
        <v>0</v>
      </c>
      <c r="AU15" s="143">
        <f>IF(AND($A15&gt;=SYear72,$A15&lt;=EYear72),Data_72_15!V16,"")</f>
        <v>11.19992007193526</v>
      </c>
      <c r="AV15" s="143">
        <f>IF(AND($A15&gt;=SYear72,$A15&lt;=EYear72),Data_72_15!AM16,"")</f>
        <v>12.516297262059961</v>
      </c>
      <c r="AW15" s="143">
        <f t="shared" si="17"/>
        <v>-1.1699435745372488</v>
      </c>
      <c r="AZ15" s="61">
        <f t="shared" si="1"/>
        <v>0.23788152269107177</v>
      </c>
      <c r="BA15" s="61">
        <f t="shared" si="2"/>
        <v>0.12641579723092633</v>
      </c>
      <c r="BB15" s="61">
        <f t="shared" si="3"/>
        <v>0.12884937263540919</v>
      </c>
      <c r="BC15" s="61">
        <f t="shared" si="4"/>
        <v>0.18087577684586087</v>
      </c>
      <c r="BD15" s="61">
        <f t="shared" si="5"/>
        <v>0.14509319483700844</v>
      </c>
      <c r="BG15" s="61">
        <f t="shared" si="6"/>
        <v>0.10017975423412762</v>
      </c>
      <c r="BH15" s="61">
        <f t="shared" si="7"/>
        <v>3.9474678977920563E-2</v>
      </c>
      <c r="BI15" s="61">
        <f t="shared" si="8"/>
        <v>5.9520574383013169E-2</v>
      </c>
      <c r="BJ15" s="61">
        <f t="shared" si="9"/>
        <v>0.1236013227649011</v>
      </c>
      <c r="BK15" s="61">
        <f t="shared" si="10"/>
        <v>9.5163777993420684E-2</v>
      </c>
    </row>
    <row r="16" spans="1:63">
      <c r="A16" s="204">
        <f t="shared" si="11"/>
        <v>1981</v>
      </c>
      <c r="B16" s="206">
        <f>IF(AND($A16&gt;=SYear72,$A16&lt;=EYear72,B$3&gt;0),B$3*VLOOKUP($A16,Data_72_15!$A$8:$AM$52,MATCH(B$2,Data_72_15!$B$2:$AM$2,0)+1),"")</f>
        <v>-1.9317160826594788</v>
      </c>
      <c r="C16" s="206" t="str">
        <f>IF(AND($A16&gt;=SYear72,$A16&lt;=EYear72,C$3&gt;0),C$3*VLOOKUP($A16,Data_72_15!$A$8:$AM$52,MATCH(C$2,Data_72_15!$B$2:$AM$2,0)+1),"")</f>
        <v/>
      </c>
      <c r="D16" s="206" t="str">
        <f>IF(AND($A16&gt;=SYear72,$A16&lt;=EYear72,D$3&gt;0),D$3*VLOOKUP($A16,Data_72_15!$A$8:$AM$52,MATCH(D$2,Data_72_15!$B$2:$AM$2,0)+1),"")</f>
        <v/>
      </c>
      <c r="E16" s="206" t="str">
        <f>IF(AND($A16&gt;=SYear72,$A16&lt;=EYear72,E$3&gt;0),E$3*VLOOKUP($A16,Data_72_15!$A$8:$AM$52,MATCH(E$2,Data_72_15!$B$2:$AM$2,0)+1),"")</f>
        <v/>
      </c>
      <c r="F16" s="206" t="str">
        <f>IF(AND($A16&gt;=SYear72,$A16&lt;=EYear72,F$3&gt;0),F$3*VLOOKUP($A16,Data_72_15!$A$8:$AM$52,MATCH(F$2,Data_72_15!$B$2:$AM$2,0)+1),"")</f>
        <v/>
      </c>
      <c r="G16" s="206" t="str">
        <f>IF(AND($A16&gt;=SYear72,$A16&lt;=EYear72,G$3&gt;0),G$3*VLOOKUP($A16,Data_72_15!$A$8:$AM$52,MATCH(G$2,Data_72_15!$B$2:$AM$2,0)+1),"")</f>
        <v/>
      </c>
      <c r="H16" s="206" t="str">
        <f>IF(AND($A16&gt;=SYear72,$A16&lt;=EYear72,H$3&gt;0),H$3*VLOOKUP($A16,Data_72_15!$A$8:$AM$52,MATCH(H$2,Data_72_15!$B$2:$AM$2,0)+1),"")</f>
        <v/>
      </c>
      <c r="I16" s="206" t="str">
        <f>IF(AND($A16&gt;=SYear72,$A16&lt;=EYear72,I$3&gt;0),I$3*VLOOKUP($A16,Data_72_15!$A$8:$AM$52,MATCH(I$2,Data_72_15!$B$2:$AM$2,0)+1),"")</f>
        <v/>
      </c>
      <c r="J16" s="206" t="str">
        <f>IF(AND($A16&gt;=SYear72,$A16&lt;=EYear72,J$3&gt;0),J$3*VLOOKUP($A16,Data_72_15!$A$8:$AM$52,MATCH(J$2,Data_72_15!$B$2:$AM$2,0)+1),"")</f>
        <v/>
      </c>
      <c r="K16" s="206" t="str">
        <f>IF(AND($A16&gt;=SYear72,$A16&lt;=EYear72,K$3&gt;0),K$3*VLOOKUP($A16,Data_72_15!$A$8:$AM$52,MATCH(K$2,Data_72_15!$B$2:$AM$2,0)+1),"")</f>
        <v/>
      </c>
      <c r="L16" s="206" t="str">
        <f>IF(AND($A16&gt;=SYear72,$A16&lt;=EYear72,L$3&gt;0),L$3*VLOOKUP($A16,Data_72_15!$A$8:$AM$52,MATCH(L$2,Data_72_15!$B$2:$AM$2,0)+1),"")</f>
        <v/>
      </c>
      <c r="M16" s="206" t="str">
        <f>IF(AND($A16&gt;=SYear72,$A16&lt;=EYear72,M$3&gt;0),M$3*VLOOKUP($A16,Data_72_15!$A$8:$AM$52,MATCH(M$2,Data_72_15!$B$2:$AM$2,0)+1),"")</f>
        <v/>
      </c>
      <c r="N16" s="206">
        <f>IF(AND($A16&gt;=SYear72,$A16&lt;=EYear72,N$3&gt;0),N$3*VLOOKUP($A16,Data_72_15!$A$8:$AM$52,MATCH(N$2,Data_72_15!$B$2:$AM$2,0)+1),"")</f>
        <v>-0.11374975054879265</v>
      </c>
      <c r="O16" s="206" t="str">
        <f>IF(AND($A16&gt;=SYear72,$A16&lt;=EYear72,O$3&gt;0),O$3*VLOOKUP($A16,Data_72_15!$A$8:$AM$52,MATCH(O$2,Data_72_15!$B$2:$AM$2,0)+1),"")</f>
        <v/>
      </c>
      <c r="P16" s="206" t="str">
        <f>IF(AND($A16&gt;=SYear72,$A16&lt;=EYear72,P$3&gt;0),P$3*VLOOKUP($A16,Data_72_15!$A$8:$AM$52,MATCH(P$2,Data_72_15!$B$2:$AM$2,0)+1),"")</f>
        <v/>
      </c>
      <c r="Q16" s="206" t="str">
        <f>IF(AND($A16&gt;=SYear72,$A16&lt;=EYear72,Q$3&gt;0),Q$3*VLOOKUP($A16,Data_72_15!$A$8:$AM$52,MATCH(Q$2,Data_72_15!$B$2:$AM$2,0)+1),"")</f>
        <v/>
      </c>
      <c r="R16" s="206" t="str">
        <f>IF(AND($A16&gt;=SYear72,$A16&lt;=EYear72,R$3&gt;0),R$3*VLOOKUP($A16,Data_72_15!$A$8:$AM$52,MATCH(R$2,Data_72_15!$B$2:$AM$2,0)+1),"")</f>
        <v/>
      </c>
      <c r="S16" s="206" t="str">
        <f>IF(AND($A16&gt;=SYear72,$A16&lt;=EYear72,S$3&gt;0),S$3*VLOOKUP($A16,Data_72_15!$A$8:$AM$52,MATCH(S$2,Data_72_15!$B$2:$AM$2,0)+1),"")</f>
        <v/>
      </c>
      <c r="T16" s="206">
        <f>IF(AND($A16&gt;=SYear72,$A16&lt;=EYear72,T$3&gt;0),T$3*VLOOKUP($A16,Data_72_15!$A$8:$AM$52,MATCH(T$2,Data_72_15!$B$2:$AM$2,0)+1),"")</f>
        <v>1.0949731746731313</v>
      </c>
      <c r="U16" s="206" t="str">
        <f>IF(AND($A16&gt;=SYear72,$A16&lt;=EYear72,U$3&gt;0),U$3*VLOOKUP($A16,Data_72_15!$A$8:$AM$52,MATCH(U$2,Data_72_15!$B$2:$AM$2,0)+1),"")</f>
        <v/>
      </c>
      <c r="V16" s="206" t="str">
        <f>IF(AND($A16&gt;=SYear72,$A16&lt;=EYear72,V$3&gt;0),V$3*VLOOKUP($A16,Data_72_15!$A$8:$AM$52,MATCH(V$2,Data_72_15!$B$2:$AM$2,0)+1),"")</f>
        <v/>
      </c>
      <c r="W16" s="206" t="str">
        <f>IF(AND($A16&gt;=SYear72,$A16&lt;=EYear72,W$3&gt;0),W$3*VLOOKUP($A16,Data_72_15!$A$8:$AM$52,MATCH(W$2,Data_72_15!$B$2:$AM$2,0)+1),"")</f>
        <v/>
      </c>
      <c r="X16" s="206" t="str">
        <f>IF(AND($A16&gt;=SYear72,$A16&lt;=EYear72,X$3&gt;0),X$3*VLOOKUP($A16,Data_72_15!$A$8:$AM$52,MATCH(X$2,Data_72_15!$B$2:$AM$2,0)+1),"")</f>
        <v/>
      </c>
      <c r="Y16" s="206" t="str">
        <f>IF(AND($A16&gt;=SYear72,$A16&lt;=EYear72,Y$3&gt;0),Y$3*VLOOKUP($A16,Data_72_15!$A$8:$AM$52,MATCH(Y$2,Data_72_15!$B$2:$AM$2,0)+1),"")</f>
        <v/>
      </c>
      <c r="Z16" s="206" t="str">
        <f>IF(AND($A16&gt;=SYear72,$A16&lt;=EYear72,Z$3&gt;0),Z$3*VLOOKUP($A16,Data_72_15!$A$8:$AM$52,MATCH(Z$2,Data_72_15!$B$2:$AM$2,0)+1),"")</f>
        <v/>
      </c>
      <c r="AA16" s="206" t="str">
        <f>IF(AND($A16&gt;=SYear72,$A16&lt;=EYear72,AA$3&gt;0),AA$3*VLOOKUP($A16,Data_72_15!$A$8:$AM$52,MATCH(AA$2,Data_72_15!$B$2:$AM$2,0)+1),"")</f>
        <v/>
      </c>
      <c r="AB16" s="206" t="str">
        <f>IF(AND($A16&gt;=SYear72,$A16&lt;=EYear72,AB$3&gt;0),AB$3*VLOOKUP($A16,Data_72_15!$A$8:$AM$52,MATCH(AB$2,Data_72_15!$B$2:$AM$2,0)+1),"")</f>
        <v/>
      </c>
      <c r="AC16" s="206" t="str">
        <f>IF(AND($A16&gt;=SYear72,$A16&lt;=EYear72,AC$3&gt;0),AC$3*VLOOKUP($A16,Data_72_15!$A$8:$AM$52,MATCH(AC$2,Data_72_15!$B$2:$AM$2,0)+1),"")</f>
        <v/>
      </c>
      <c r="AD16" s="206" t="str">
        <f>IF(AND($A16&gt;=SYear72,$A16&lt;=EYear72,AD$3&gt;0),AD$3*VLOOKUP($A16,Data_72_15!$A$8:$AM$52,MATCH(AD$2,Data_72_15!$B$2:$AM$2,0)+1),"")</f>
        <v/>
      </c>
      <c r="AE16" s="206" t="str">
        <f>IF(AND($A16&gt;=SYear72,$A16&lt;=EYear72,AE$3&gt;0),AE$3*VLOOKUP($A16,Data_72_15!$A$8:$AM$52,MATCH(AE$2,Data_72_15!$B$2:$AM$2,0)+1),"")</f>
        <v/>
      </c>
      <c r="AF16" s="206" t="str">
        <f>IF(AND($A16&gt;=SYear72,$A16&lt;=EYear72,AF$3&gt;0),AF$3*VLOOKUP($A16,Data_72_15!$A$8:$AM$52,MATCH(AF$2,Data_72_15!$B$2:$AM$2,0)+1),"")</f>
        <v/>
      </c>
      <c r="AG16" s="206" t="str">
        <f>IF(AND($A16&gt;=SYear72,$A16&lt;=EYear72,AG$3&gt;0),AG$3*VLOOKUP($A16,Data_72_15!$A$8:$AM$52,MATCH(AG$2,Data_72_15!$B$2:$AM$2,0)+1),"")</f>
        <v/>
      </c>
      <c r="AH16" s="206" t="str">
        <f>IF(AND($A16&gt;=SYear72,$A16&lt;=EYear72,AH$3&gt;0),AH$3*VLOOKUP($A16,Data_72_15!$A$8:$AM$52,MATCH(AH$2,Data_72_15!$B$2:$AM$2,0)+1),"")</f>
        <v/>
      </c>
      <c r="AI16" s="206" t="str">
        <f>IF(AND($A16&gt;=SYear72,$A16&lt;=EYear72,AI$3&gt;0),AI$3*VLOOKUP($A16,Data_72_15!$A$8:$AM$52,MATCH(AI$2,Data_72_15!$B$2:$AM$2,0)+1),"")</f>
        <v/>
      </c>
      <c r="AJ16" s="206" t="str">
        <f>IF(AND($A16&gt;=SYear72,$A16&lt;=EYear72,AJ$3&gt;0),AJ$3*VLOOKUP($A16,Data_72_15!$A$8:$AM$52,MATCH(AJ$2,Data_72_15!$B$2:$AM$2,0)+1),"")</f>
        <v/>
      </c>
      <c r="AK16" s="206" t="str">
        <f>IF(AND($A16&gt;=SYear72,$A16&lt;=EYear72,AK$3&gt;0),AK$3*VLOOKUP($A16,Data_72_15!$A$8:$AM$52,MATCH(AK$2,Data_72_15!$B$2:$AM$2,0)+1),"")</f>
        <v/>
      </c>
      <c r="AL16" s="206" t="str">
        <f>IF(AND($A16&gt;=SYear72,$A16&lt;=EYear72,AL$3&gt;0),AL$3*VLOOKUP($A16,Data_72_15!$A$8:$AM$52,MATCH(AL$2,Data_72_15!$B$2:$AM$2,0)+1),"")</f>
        <v/>
      </c>
      <c r="AM16" s="206">
        <f t="shared" si="12"/>
        <v>-0.95049265853514009</v>
      </c>
      <c r="AN16" s="446">
        <f t="shared" si="13"/>
        <v>21559.849245848167</v>
      </c>
      <c r="AO16" s="206">
        <f>IF(AND($A16&gt;=SYear72,$A16&lt;=EYear72),(AM16-Data_72_15!AM17)/(1+Data_72_15!AM17%),"")</f>
        <v>-9.0641225152296006</v>
      </c>
      <c r="AP16" s="606">
        <f t="shared" si="14"/>
        <v>9426.7000425995739</v>
      </c>
      <c r="AQ16" s="143">
        <f t="shared" si="15"/>
        <v>1.790832511141784</v>
      </c>
      <c r="AR16" s="143">
        <f>IF(AND($A16&gt;=SYear72,$A16&lt;=EYear72),MAX($AQ$7:AQ16),"")</f>
        <v>1.8080175855575327</v>
      </c>
      <c r="AS16" s="209">
        <f t="shared" si="16"/>
        <v>9.5049265853514031E-3</v>
      </c>
      <c r="AU16" s="143">
        <f>IF(AND($A16&gt;=SYear72,$A16&lt;=EYear72),Data_72_15!V17,"")</f>
        <v>14.596862823458888</v>
      </c>
      <c r="AV16" s="143">
        <f>IF(AND($A16&gt;=SYear72,$A16&lt;=EYear72),Data_72_15!AM17,"")</f>
        <v>8.9223638470451903</v>
      </c>
      <c r="AW16" s="143">
        <f t="shared" si="17"/>
        <v>5.2096729964308741</v>
      </c>
      <c r="AZ16" s="61">
        <f t="shared" si="1"/>
        <v>-9.5049265853514031E-3</v>
      </c>
      <c r="BA16" s="61">
        <f t="shared" si="2"/>
        <v>0.11380210249416711</v>
      </c>
      <c r="BB16" s="61">
        <f t="shared" si="3"/>
        <v>0.15223446622633974</v>
      </c>
      <c r="BC16" s="61">
        <f t="shared" si="4"/>
        <v>0.14679095565340572</v>
      </c>
      <c r="BD16" s="61">
        <f t="shared" si="5"/>
        <v>0.14577221427715492</v>
      </c>
      <c r="BG16" s="61">
        <f t="shared" si="6"/>
        <v>-9.0641225152296001E-2</v>
      </c>
      <c r="BH16" s="61">
        <f t="shared" si="7"/>
        <v>5.5865217427795155E-2</v>
      </c>
      <c r="BI16" s="61">
        <f t="shared" si="8"/>
        <v>9.9053892362954921E-2</v>
      </c>
      <c r="BJ16" s="61">
        <f t="shared" si="9"/>
        <v>9.7588953207158324E-2</v>
      </c>
      <c r="BK16" s="61">
        <f t="shared" si="10"/>
        <v>0.10261809109329678</v>
      </c>
    </row>
    <row r="17" spans="1:63">
      <c r="A17" s="204">
        <f t="shared" si="11"/>
        <v>1982</v>
      </c>
      <c r="B17" s="206">
        <f>IF(AND($A17&gt;=SYear72,$A17&lt;=EYear72,B$3&gt;0),B$3*VLOOKUP($A17,Data_72_15!$A$8:$AM$52,MATCH(B$2,Data_72_15!$B$2:$AM$2,0)+1),"")</f>
        <v>10.297494259758411</v>
      </c>
      <c r="C17" s="206" t="str">
        <f>IF(AND($A17&gt;=SYear72,$A17&lt;=EYear72,C$3&gt;0),C$3*VLOOKUP($A17,Data_72_15!$A$8:$AM$52,MATCH(C$2,Data_72_15!$B$2:$AM$2,0)+1),"")</f>
        <v/>
      </c>
      <c r="D17" s="206" t="str">
        <f>IF(AND($A17&gt;=SYear72,$A17&lt;=EYear72,D$3&gt;0),D$3*VLOOKUP($A17,Data_72_15!$A$8:$AM$52,MATCH(D$2,Data_72_15!$B$2:$AM$2,0)+1),"")</f>
        <v/>
      </c>
      <c r="E17" s="206" t="str">
        <f>IF(AND($A17&gt;=SYear72,$A17&lt;=EYear72,E$3&gt;0),E$3*VLOOKUP($A17,Data_72_15!$A$8:$AM$52,MATCH(E$2,Data_72_15!$B$2:$AM$2,0)+1),"")</f>
        <v/>
      </c>
      <c r="F17" s="206" t="str">
        <f>IF(AND($A17&gt;=SYear72,$A17&lt;=EYear72,F$3&gt;0),F$3*VLOOKUP($A17,Data_72_15!$A$8:$AM$52,MATCH(F$2,Data_72_15!$B$2:$AM$2,0)+1),"")</f>
        <v/>
      </c>
      <c r="G17" s="206" t="str">
        <f>IF(AND($A17&gt;=SYear72,$A17&lt;=EYear72,G$3&gt;0),G$3*VLOOKUP($A17,Data_72_15!$A$8:$AM$52,MATCH(G$2,Data_72_15!$B$2:$AM$2,0)+1),"")</f>
        <v/>
      </c>
      <c r="H17" s="206" t="str">
        <f>IF(AND($A17&gt;=SYear72,$A17&lt;=EYear72,H$3&gt;0),H$3*VLOOKUP($A17,Data_72_15!$A$8:$AM$52,MATCH(H$2,Data_72_15!$B$2:$AM$2,0)+1),"")</f>
        <v/>
      </c>
      <c r="I17" s="206" t="str">
        <f>IF(AND($A17&gt;=SYear72,$A17&lt;=EYear72,I$3&gt;0),I$3*VLOOKUP($A17,Data_72_15!$A$8:$AM$52,MATCH(I$2,Data_72_15!$B$2:$AM$2,0)+1),"")</f>
        <v/>
      </c>
      <c r="J17" s="206" t="str">
        <f>IF(AND($A17&gt;=SYear72,$A17&lt;=EYear72,J$3&gt;0),J$3*VLOOKUP($A17,Data_72_15!$A$8:$AM$52,MATCH(J$2,Data_72_15!$B$2:$AM$2,0)+1),"")</f>
        <v/>
      </c>
      <c r="K17" s="206" t="str">
        <f>IF(AND($A17&gt;=SYear72,$A17&lt;=EYear72,K$3&gt;0),K$3*VLOOKUP($A17,Data_72_15!$A$8:$AM$52,MATCH(K$2,Data_72_15!$B$2:$AM$2,0)+1),"")</f>
        <v/>
      </c>
      <c r="L17" s="206" t="str">
        <f>IF(AND($A17&gt;=SYear72,$A17&lt;=EYear72,L$3&gt;0),L$3*VLOOKUP($A17,Data_72_15!$A$8:$AM$52,MATCH(L$2,Data_72_15!$B$2:$AM$2,0)+1),"")</f>
        <v/>
      </c>
      <c r="M17" s="206" t="str">
        <f>IF(AND($A17&gt;=SYear72,$A17&lt;=EYear72,M$3&gt;0),M$3*VLOOKUP($A17,Data_72_15!$A$8:$AM$52,MATCH(M$2,Data_72_15!$B$2:$AM$2,0)+1),"")</f>
        <v/>
      </c>
      <c r="N17" s="206">
        <f>IF(AND($A17&gt;=SYear72,$A17&lt;=EYear72,N$3&gt;0),N$3*VLOOKUP($A17,Data_72_15!$A$8:$AM$52,MATCH(N$2,Data_72_15!$B$2:$AM$2,0)+1),"")</f>
        <v>-0.34424266613450416</v>
      </c>
      <c r="O17" s="206" t="str">
        <f>IF(AND($A17&gt;=SYear72,$A17&lt;=EYear72,O$3&gt;0),O$3*VLOOKUP($A17,Data_72_15!$A$8:$AM$52,MATCH(O$2,Data_72_15!$B$2:$AM$2,0)+1),"")</f>
        <v/>
      </c>
      <c r="P17" s="206" t="str">
        <f>IF(AND($A17&gt;=SYear72,$A17&lt;=EYear72,P$3&gt;0),P$3*VLOOKUP($A17,Data_72_15!$A$8:$AM$52,MATCH(P$2,Data_72_15!$B$2:$AM$2,0)+1),"")</f>
        <v/>
      </c>
      <c r="Q17" s="206" t="str">
        <f>IF(AND($A17&gt;=SYear72,$A17&lt;=EYear72,Q$3&gt;0),Q$3*VLOOKUP($A17,Data_72_15!$A$8:$AM$52,MATCH(Q$2,Data_72_15!$B$2:$AM$2,0)+1),"")</f>
        <v/>
      </c>
      <c r="R17" s="206" t="str">
        <f>IF(AND($A17&gt;=SYear72,$A17&lt;=EYear72,R$3&gt;0),R$3*VLOOKUP($A17,Data_72_15!$A$8:$AM$52,MATCH(R$2,Data_72_15!$B$2:$AM$2,0)+1),"")</f>
        <v/>
      </c>
      <c r="S17" s="206" t="str">
        <f>IF(AND($A17&gt;=SYear72,$A17&lt;=EYear72,S$3&gt;0),S$3*VLOOKUP($A17,Data_72_15!$A$8:$AM$52,MATCH(S$2,Data_72_15!$B$2:$AM$2,0)+1),"")</f>
        <v/>
      </c>
      <c r="T17" s="206">
        <f>IF(AND($A17&gt;=SYear72,$A17&lt;=EYear72,T$3&gt;0),T$3*VLOOKUP($A17,Data_72_15!$A$8:$AM$52,MATCH(T$2,Data_72_15!$B$2:$AM$2,0)+1),"")</f>
        <v>6.6108437258524972</v>
      </c>
      <c r="U17" s="206" t="str">
        <f>IF(AND($A17&gt;=SYear72,$A17&lt;=EYear72,U$3&gt;0),U$3*VLOOKUP($A17,Data_72_15!$A$8:$AM$52,MATCH(U$2,Data_72_15!$B$2:$AM$2,0)+1),"")</f>
        <v/>
      </c>
      <c r="V17" s="206" t="str">
        <f>IF(AND($A17&gt;=SYear72,$A17&lt;=EYear72,V$3&gt;0),V$3*VLOOKUP($A17,Data_72_15!$A$8:$AM$52,MATCH(V$2,Data_72_15!$B$2:$AM$2,0)+1),"")</f>
        <v/>
      </c>
      <c r="W17" s="206" t="str">
        <f>IF(AND($A17&gt;=SYear72,$A17&lt;=EYear72,W$3&gt;0),W$3*VLOOKUP($A17,Data_72_15!$A$8:$AM$52,MATCH(W$2,Data_72_15!$B$2:$AM$2,0)+1),"")</f>
        <v/>
      </c>
      <c r="X17" s="206" t="str">
        <f>IF(AND($A17&gt;=SYear72,$A17&lt;=EYear72,X$3&gt;0),X$3*VLOOKUP($A17,Data_72_15!$A$8:$AM$52,MATCH(X$2,Data_72_15!$B$2:$AM$2,0)+1),"")</f>
        <v/>
      </c>
      <c r="Y17" s="206" t="str">
        <f>IF(AND($A17&gt;=SYear72,$A17&lt;=EYear72,Y$3&gt;0),Y$3*VLOOKUP($A17,Data_72_15!$A$8:$AM$52,MATCH(Y$2,Data_72_15!$B$2:$AM$2,0)+1),"")</f>
        <v/>
      </c>
      <c r="Z17" s="206" t="str">
        <f>IF(AND($A17&gt;=SYear72,$A17&lt;=EYear72,Z$3&gt;0),Z$3*VLOOKUP($A17,Data_72_15!$A$8:$AM$52,MATCH(Z$2,Data_72_15!$B$2:$AM$2,0)+1),"")</f>
        <v/>
      </c>
      <c r="AA17" s="206" t="str">
        <f>IF(AND($A17&gt;=SYear72,$A17&lt;=EYear72,AA$3&gt;0),AA$3*VLOOKUP($A17,Data_72_15!$A$8:$AM$52,MATCH(AA$2,Data_72_15!$B$2:$AM$2,0)+1),"")</f>
        <v/>
      </c>
      <c r="AB17" s="206" t="str">
        <f>IF(AND($A17&gt;=SYear72,$A17&lt;=EYear72,AB$3&gt;0),AB$3*VLOOKUP($A17,Data_72_15!$A$8:$AM$52,MATCH(AB$2,Data_72_15!$B$2:$AM$2,0)+1),"")</f>
        <v/>
      </c>
      <c r="AC17" s="206" t="str">
        <f>IF(AND($A17&gt;=SYear72,$A17&lt;=EYear72,AC$3&gt;0),AC$3*VLOOKUP($A17,Data_72_15!$A$8:$AM$52,MATCH(AC$2,Data_72_15!$B$2:$AM$2,0)+1),"")</f>
        <v/>
      </c>
      <c r="AD17" s="206" t="str">
        <f>IF(AND($A17&gt;=SYear72,$A17&lt;=EYear72,AD$3&gt;0),AD$3*VLOOKUP($A17,Data_72_15!$A$8:$AM$52,MATCH(AD$2,Data_72_15!$B$2:$AM$2,0)+1),"")</f>
        <v/>
      </c>
      <c r="AE17" s="206" t="str">
        <f>IF(AND($A17&gt;=SYear72,$A17&lt;=EYear72,AE$3&gt;0),AE$3*VLOOKUP($A17,Data_72_15!$A$8:$AM$52,MATCH(AE$2,Data_72_15!$B$2:$AM$2,0)+1),"")</f>
        <v/>
      </c>
      <c r="AF17" s="206" t="str">
        <f>IF(AND($A17&gt;=SYear72,$A17&lt;=EYear72,AF$3&gt;0),AF$3*VLOOKUP($A17,Data_72_15!$A$8:$AM$52,MATCH(AF$2,Data_72_15!$B$2:$AM$2,0)+1),"")</f>
        <v/>
      </c>
      <c r="AG17" s="206" t="str">
        <f>IF(AND($A17&gt;=SYear72,$A17&lt;=EYear72,AG$3&gt;0),AG$3*VLOOKUP($A17,Data_72_15!$A$8:$AM$52,MATCH(AG$2,Data_72_15!$B$2:$AM$2,0)+1),"")</f>
        <v/>
      </c>
      <c r="AH17" s="206" t="str">
        <f>IF(AND($A17&gt;=SYear72,$A17&lt;=EYear72,AH$3&gt;0),AH$3*VLOOKUP($A17,Data_72_15!$A$8:$AM$52,MATCH(AH$2,Data_72_15!$B$2:$AM$2,0)+1),"")</f>
        <v/>
      </c>
      <c r="AI17" s="206" t="str">
        <f>IF(AND($A17&gt;=SYear72,$A17&lt;=EYear72,AI$3&gt;0),AI$3*VLOOKUP($A17,Data_72_15!$A$8:$AM$52,MATCH(AI$2,Data_72_15!$B$2:$AM$2,0)+1),"")</f>
        <v/>
      </c>
      <c r="AJ17" s="206" t="str">
        <f>IF(AND($A17&gt;=SYear72,$A17&lt;=EYear72,AJ$3&gt;0),AJ$3*VLOOKUP($A17,Data_72_15!$A$8:$AM$52,MATCH(AJ$2,Data_72_15!$B$2:$AM$2,0)+1),"")</f>
        <v/>
      </c>
      <c r="AK17" s="206" t="str">
        <f>IF(AND($A17&gt;=SYear72,$A17&lt;=EYear72,AK$3&gt;0),AK$3*VLOOKUP($A17,Data_72_15!$A$8:$AM$52,MATCH(AK$2,Data_72_15!$B$2:$AM$2,0)+1),"")</f>
        <v/>
      </c>
      <c r="AL17" s="206" t="str">
        <f>IF(AND($A17&gt;=SYear72,$A17&lt;=EYear72,AL$3&gt;0),AL$3*VLOOKUP($A17,Data_72_15!$A$8:$AM$52,MATCH(AL$2,Data_72_15!$B$2:$AM$2,0)+1),"")</f>
        <v/>
      </c>
      <c r="AM17" s="206">
        <f t="shared" si="12"/>
        <v>16.564095319476404</v>
      </c>
      <c r="AN17" s="446">
        <f t="shared" si="13"/>
        <v>25131.043225665871</v>
      </c>
      <c r="AO17" s="206">
        <f>IF(AND($A17&gt;=SYear72,$A17&lt;=EYear72),(AM17-Data_72_15!AM18)/(1+Data_72_15!AM18%),"")</f>
        <v>12.264600000315395</v>
      </c>
      <c r="AP17" s="606">
        <f t="shared" si="14"/>
        <v>10582.847096053973</v>
      </c>
      <c r="AQ17" s="143">
        <f t="shared" si="15"/>
        <v>2.0874677152994821</v>
      </c>
      <c r="AR17" s="143">
        <f>IF(AND($A17&gt;=SYear72,$A17&lt;=EYear72),MAX($AQ$7:AQ17),"")</f>
        <v>2.0874677152994821</v>
      </c>
      <c r="AS17" s="209">
        <f t="shared" si="16"/>
        <v>0</v>
      </c>
      <c r="AU17" s="143">
        <f>IF(AND($A17&gt;=SYear72,$A17&lt;=EYear72),Data_72_15!V18,"")</f>
        <v>10.400639424517935</v>
      </c>
      <c r="AV17" s="143">
        <f>IF(AND($A17&gt;=SYear72,$A17&lt;=EYear72),Data_72_15!AM18,"")</f>
        <v>3.8297872340425476</v>
      </c>
      <c r="AW17" s="143">
        <f t="shared" si="17"/>
        <v>6.3284846916463779</v>
      </c>
      <c r="AZ17" s="61">
        <f t="shared" si="1"/>
        <v>0.16564095319476402</v>
      </c>
      <c r="BA17" s="61">
        <f t="shared" si="2"/>
        <v>0.14344740492515595</v>
      </c>
      <c r="BB17" s="61">
        <f t="shared" si="3"/>
        <v>0.22051959875286942</v>
      </c>
      <c r="BC17" s="61">
        <f t="shared" si="4"/>
        <v>0.17456880953511411</v>
      </c>
      <c r="BD17" s="61">
        <f t="shared" si="5"/>
        <v>0.15597523810726499</v>
      </c>
      <c r="BG17" s="61">
        <f t="shared" si="6"/>
        <v>0.12264600000315395</v>
      </c>
      <c r="BH17" s="61">
        <f t="shared" si="7"/>
        <v>0.10098825816256762</v>
      </c>
      <c r="BI17" s="61">
        <f t="shared" si="8"/>
        <v>0.18167452434931342</v>
      </c>
      <c r="BJ17" s="61">
        <f t="shared" si="9"/>
        <v>0.13040695989016982</v>
      </c>
      <c r="BK17" s="61">
        <f t="shared" si="10"/>
        <v>0.11635805230695961</v>
      </c>
    </row>
    <row r="18" spans="1:63">
      <c r="A18" s="204">
        <f t="shared" si="11"/>
        <v>1983</v>
      </c>
      <c r="B18" s="206">
        <f>IF(AND($A18&gt;=SYear72,$A18&lt;=EYear72,B$3&gt;0),B$3*VLOOKUP($A18,Data_72_15!$A$8:$AM$52,MATCH(B$2,Data_72_15!$B$2:$AM$2,0)+1),"")</f>
        <v>10.896475990815611</v>
      </c>
      <c r="C18" s="206" t="str">
        <f>IF(AND($A18&gt;=SYear72,$A18&lt;=EYear72,C$3&gt;0),C$3*VLOOKUP($A18,Data_72_15!$A$8:$AM$52,MATCH(C$2,Data_72_15!$B$2:$AM$2,0)+1),"")</f>
        <v/>
      </c>
      <c r="D18" s="206" t="str">
        <f>IF(AND($A18&gt;=SYear72,$A18&lt;=EYear72,D$3&gt;0),D$3*VLOOKUP($A18,Data_72_15!$A$8:$AM$52,MATCH(D$2,Data_72_15!$B$2:$AM$2,0)+1),"")</f>
        <v/>
      </c>
      <c r="E18" s="206" t="str">
        <f>IF(AND($A18&gt;=SYear72,$A18&lt;=EYear72,E$3&gt;0),E$3*VLOOKUP($A18,Data_72_15!$A$8:$AM$52,MATCH(E$2,Data_72_15!$B$2:$AM$2,0)+1),"")</f>
        <v/>
      </c>
      <c r="F18" s="206" t="str">
        <f>IF(AND($A18&gt;=SYear72,$A18&lt;=EYear72,F$3&gt;0),F$3*VLOOKUP($A18,Data_72_15!$A$8:$AM$52,MATCH(F$2,Data_72_15!$B$2:$AM$2,0)+1),"")</f>
        <v/>
      </c>
      <c r="G18" s="206" t="str">
        <f>IF(AND($A18&gt;=SYear72,$A18&lt;=EYear72,G$3&gt;0),G$3*VLOOKUP($A18,Data_72_15!$A$8:$AM$52,MATCH(G$2,Data_72_15!$B$2:$AM$2,0)+1),"")</f>
        <v/>
      </c>
      <c r="H18" s="206" t="str">
        <f>IF(AND($A18&gt;=SYear72,$A18&lt;=EYear72,H$3&gt;0),H$3*VLOOKUP($A18,Data_72_15!$A$8:$AM$52,MATCH(H$2,Data_72_15!$B$2:$AM$2,0)+1),"")</f>
        <v/>
      </c>
      <c r="I18" s="206" t="str">
        <f>IF(AND($A18&gt;=SYear72,$A18&lt;=EYear72,I$3&gt;0),I$3*VLOOKUP($A18,Data_72_15!$A$8:$AM$52,MATCH(I$2,Data_72_15!$B$2:$AM$2,0)+1),"")</f>
        <v/>
      </c>
      <c r="J18" s="206" t="str">
        <f>IF(AND($A18&gt;=SYear72,$A18&lt;=EYear72,J$3&gt;0),J$3*VLOOKUP($A18,Data_72_15!$A$8:$AM$52,MATCH(J$2,Data_72_15!$B$2:$AM$2,0)+1),"")</f>
        <v/>
      </c>
      <c r="K18" s="206" t="str">
        <f>IF(AND($A18&gt;=SYear72,$A18&lt;=EYear72,K$3&gt;0),K$3*VLOOKUP($A18,Data_72_15!$A$8:$AM$52,MATCH(K$2,Data_72_15!$B$2:$AM$2,0)+1),"")</f>
        <v/>
      </c>
      <c r="L18" s="206" t="str">
        <f>IF(AND($A18&gt;=SYear72,$A18&lt;=EYear72,L$3&gt;0),L$3*VLOOKUP($A18,Data_72_15!$A$8:$AM$52,MATCH(L$2,Data_72_15!$B$2:$AM$2,0)+1),"")</f>
        <v/>
      </c>
      <c r="M18" s="206" t="str">
        <f>IF(AND($A18&gt;=SYear72,$A18&lt;=EYear72,M$3&gt;0),M$3*VLOOKUP($A18,Data_72_15!$A$8:$AM$52,MATCH(M$2,Data_72_15!$B$2:$AM$2,0)+1),"")</f>
        <v/>
      </c>
      <c r="N18" s="206">
        <f>IF(AND($A18&gt;=SYear72,$A18&lt;=EYear72,N$3&gt;0),N$3*VLOOKUP($A18,Data_72_15!$A$8:$AM$52,MATCH(N$2,Data_72_15!$B$2:$AM$2,0)+1),"")</f>
        <v>7.6571542606266219</v>
      </c>
      <c r="O18" s="206" t="str">
        <f>IF(AND($A18&gt;=SYear72,$A18&lt;=EYear72,O$3&gt;0),O$3*VLOOKUP($A18,Data_72_15!$A$8:$AM$52,MATCH(O$2,Data_72_15!$B$2:$AM$2,0)+1),"")</f>
        <v/>
      </c>
      <c r="P18" s="206" t="str">
        <f>IF(AND($A18&gt;=SYear72,$A18&lt;=EYear72,P$3&gt;0),P$3*VLOOKUP($A18,Data_72_15!$A$8:$AM$52,MATCH(P$2,Data_72_15!$B$2:$AM$2,0)+1),"")</f>
        <v/>
      </c>
      <c r="Q18" s="206" t="str">
        <f>IF(AND($A18&gt;=SYear72,$A18&lt;=EYear72,Q$3&gt;0),Q$3*VLOOKUP($A18,Data_72_15!$A$8:$AM$52,MATCH(Q$2,Data_72_15!$B$2:$AM$2,0)+1),"")</f>
        <v/>
      </c>
      <c r="R18" s="206" t="str">
        <f>IF(AND($A18&gt;=SYear72,$A18&lt;=EYear72,R$3&gt;0),R$3*VLOOKUP($A18,Data_72_15!$A$8:$AM$52,MATCH(R$2,Data_72_15!$B$2:$AM$2,0)+1),"")</f>
        <v/>
      </c>
      <c r="S18" s="206" t="str">
        <f>IF(AND($A18&gt;=SYear72,$A18&lt;=EYear72,S$3&gt;0),S$3*VLOOKUP($A18,Data_72_15!$A$8:$AM$52,MATCH(S$2,Data_72_15!$B$2:$AM$2,0)+1),"")</f>
        <v/>
      </c>
      <c r="T18" s="206">
        <f>IF(AND($A18&gt;=SYear72,$A18&lt;=EYear72,T$3&gt;0),T$3*VLOOKUP($A18,Data_72_15!$A$8:$AM$52,MATCH(T$2,Data_72_15!$B$2:$AM$2,0)+1),"")</f>
        <v>1.1223471147664721</v>
      </c>
      <c r="U18" s="206" t="str">
        <f>IF(AND($A18&gt;=SYear72,$A18&lt;=EYear72,U$3&gt;0),U$3*VLOOKUP($A18,Data_72_15!$A$8:$AM$52,MATCH(U$2,Data_72_15!$B$2:$AM$2,0)+1),"")</f>
        <v/>
      </c>
      <c r="V18" s="206" t="str">
        <f>IF(AND($A18&gt;=SYear72,$A18&lt;=EYear72,V$3&gt;0),V$3*VLOOKUP($A18,Data_72_15!$A$8:$AM$52,MATCH(V$2,Data_72_15!$B$2:$AM$2,0)+1),"")</f>
        <v/>
      </c>
      <c r="W18" s="206" t="str">
        <f>IF(AND($A18&gt;=SYear72,$A18&lt;=EYear72,W$3&gt;0),W$3*VLOOKUP($A18,Data_72_15!$A$8:$AM$52,MATCH(W$2,Data_72_15!$B$2:$AM$2,0)+1),"")</f>
        <v/>
      </c>
      <c r="X18" s="206" t="str">
        <f>IF(AND($A18&gt;=SYear72,$A18&lt;=EYear72,X$3&gt;0),X$3*VLOOKUP($A18,Data_72_15!$A$8:$AM$52,MATCH(X$2,Data_72_15!$B$2:$AM$2,0)+1),"")</f>
        <v/>
      </c>
      <c r="Y18" s="206" t="str">
        <f>IF(AND($A18&gt;=SYear72,$A18&lt;=EYear72,Y$3&gt;0),Y$3*VLOOKUP($A18,Data_72_15!$A$8:$AM$52,MATCH(Y$2,Data_72_15!$B$2:$AM$2,0)+1),"")</f>
        <v/>
      </c>
      <c r="Z18" s="206" t="str">
        <f>IF(AND($A18&gt;=SYear72,$A18&lt;=EYear72,Z$3&gt;0),Z$3*VLOOKUP($A18,Data_72_15!$A$8:$AM$52,MATCH(Z$2,Data_72_15!$B$2:$AM$2,0)+1),"")</f>
        <v/>
      </c>
      <c r="AA18" s="206" t="str">
        <f>IF(AND($A18&gt;=SYear72,$A18&lt;=EYear72,AA$3&gt;0),AA$3*VLOOKUP($A18,Data_72_15!$A$8:$AM$52,MATCH(AA$2,Data_72_15!$B$2:$AM$2,0)+1),"")</f>
        <v/>
      </c>
      <c r="AB18" s="206" t="str">
        <f>IF(AND($A18&gt;=SYear72,$A18&lt;=EYear72,AB$3&gt;0),AB$3*VLOOKUP($A18,Data_72_15!$A$8:$AM$52,MATCH(AB$2,Data_72_15!$B$2:$AM$2,0)+1),"")</f>
        <v/>
      </c>
      <c r="AC18" s="206" t="str">
        <f>IF(AND($A18&gt;=SYear72,$A18&lt;=EYear72,AC$3&gt;0),AC$3*VLOOKUP($A18,Data_72_15!$A$8:$AM$52,MATCH(AC$2,Data_72_15!$B$2:$AM$2,0)+1),"")</f>
        <v/>
      </c>
      <c r="AD18" s="206" t="str">
        <f>IF(AND($A18&gt;=SYear72,$A18&lt;=EYear72,AD$3&gt;0),AD$3*VLOOKUP($A18,Data_72_15!$A$8:$AM$52,MATCH(AD$2,Data_72_15!$B$2:$AM$2,0)+1),"")</f>
        <v/>
      </c>
      <c r="AE18" s="206" t="str">
        <f>IF(AND($A18&gt;=SYear72,$A18&lt;=EYear72,AE$3&gt;0),AE$3*VLOOKUP($A18,Data_72_15!$A$8:$AM$52,MATCH(AE$2,Data_72_15!$B$2:$AM$2,0)+1),"")</f>
        <v/>
      </c>
      <c r="AF18" s="206" t="str">
        <f>IF(AND($A18&gt;=SYear72,$A18&lt;=EYear72,AF$3&gt;0),AF$3*VLOOKUP($A18,Data_72_15!$A$8:$AM$52,MATCH(AF$2,Data_72_15!$B$2:$AM$2,0)+1),"")</f>
        <v/>
      </c>
      <c r="AG18" s="206" t="str">
        <f>IF(AND($A18&gt;=SYear72,$A18&lt;=EYear72,AG$3&gt;0),AG$3*VLOOKUP($A18,Data_72_15!$A$8:$AM$52,MATCH(AG$2,Data_72_15!$B$2:$AM$2,0)+1),"")</f>
        <v/>
      </c>
      <c r="AH18" s="206" t="str">
        <f>IF(AND($A18&gt;=SYear72,$A18&lt;=EYear72,AH$3&gt;0),AH$3*VLOOKUP($A18,Data_72_15!$A$8:$AM$52,MATCH(AH$2,Data_72_15!$B$2:$AM$2,0)+1),"")</f>
        <v/>
      </c>
      <c r="AI18" s="206" t="str">
        <f>IF(AND($A18&gt;=SYear72,$A18&lt;=EYear72,AI$3&gt;0),AI$3*VLOOKUP($A18,Data_72_15!$A$8:$AM$52,MATCH(AI$2,Data_72_15!$B$2:$AM$2,0)+1),"")</f>
        <v/>
      </c>
      <c r="AJ18" s="206" t="str">
        <f>IF(AND($A18&gt;=SYear72,$A18&lt;=EYear72,AJ$3&gt;0),AJ$3*VLOOKUP($A18,Data_72_15!$A$8:$AM$52,MATCH(AJ$2,Data_72_15!$B$2:$AM$2,0)+1),"")</f>
        <v/>
      </c>
      <c r="AK18" s="206" t="str">
        <f>IF(AND($A18&gt;=SYear72,$A18&lt;=EYear72,AK$3&gt;0),AK$3*VLOOKUP($A18,Data_72_15!$A$8:$AM$52,MATCH(AK$2,Data_72_15!$B$2:$AM$2,0)+1),"")</f>
        <v/>
      </c>
      <c r="AL18" s="206" t="str">
        <f>IF(AND($A18&gt;=SYear72,$A18&lt;=EYear72,AL$3&gt;0),AL$3*VLOOKUP($A18,Data_72_15!$A$8:$AM$52,MATCH(AL$2,Data_72_15!$B$2:$AM$2,0)+1),"")</f>
        <v/>
      </c>
      <c r="AM18" s="206">
        <f t="shared" si="12"/>
        <v>19.675977366208706</v>
      </c>
      <c r="AN18" s="446">
        <f t="shared" si="13"/>
        <v>30075.821602640011</v>
      </c>
      <c r="AO18" s="206">
        <f>IF(AND($A18&gt;=SYear72,$A18&lt;=EYear72),(AM18-Data_72_15!AM19)/(1+Data_72_15!AM19%),"")</f>
        <v>15.304791618380737</v>
      </c>
      <c r="AP18" s="606">
        <f t="shared" si="14"/>
        <v>12202.529791396892</v>
      </c>
      <c r="AQ18" s="143">
        <f t="shared" si="15"/>
        <v>2.498197390488722</v>
      </c>
      <c r="AR18" s="143">
        <f>IF(AND($A18&gt;=SYear72,$A18&lt;=EYear72),MAX($AQ$7:AQ18),"")</f>
        <v>2.498197390488722</v>
      </c>
      <c r="AS18" s="209">
        <f t="shared" si="16"/>
        <v>0</v>
      </c>
      <c r="AU18" s="143">
        <f>IF(AND($A18&gt;=SYear72,$A18&lt;=EYear72),Data_72_15!V19,"")</f>
        <v>8.7021680487561213</v>
      </c>
      <c r="AV18" s="143">
        <f>IF(AND($A18&gt;=SYear72,$A18&lt;=EYear72),Data_72_15!AM19,"")</f>
        <v>3.7909836065573854</v>
      </c>
      <c r="AW18" s="143">
        <f t="shared" si="17"/>
        <v>4.7318025820197098</v>
      </c>
      <c r="AZ18" s="61">
        <f t="shared" si="1"/>
        <v>0.19675977366208697</v>
      </c>
      <c r="BA18" s="61">
        <f t="shared" si="2"/>
        <v>0.20715322090374766</v>
      </c>
      <c r="BB18" s="61">
        <f t="shared" si="3"/>
        <v>0.20401637441894094</v>
      </c>
      <c r="BC18" s="61">
        <f t="shared" si="4"/>
        <v>0.16098448166577151</v>
      </c>
      <c r="BD18" s="61">
        <f t="shared" si="5"/>
        <v>0.15625677067700328</v>
      </c>
      <c r="BG18" s="61">
        <f t="shared" si="6"/>
        <v>0.15304791618380742</v>
      </c>
      <c r="BH18" s="61">
        <f t="shared" si="7"/>
        <v>0.16244464915978463</v>
      </c>
      <c r="BI18" s="61">
        <f t="shared" si="8"/>
        <v>0.16434369306122631</v>
      </c>
      <c r="BJ18" s="61">
        <f t="shared" si="9"/>
        <v>0.11833819299940895</v>
      </c>
      <c r="BK18" s="61">
        <f t="shared" si="10"/>
        <v>0.11817210106063136</v>
      </c>
    </row>
    <row r="19" spans="1:63">
      <c r="A19" s="204">
        <f t="shared" si="11"/>
        <v>1984</v>
      </c>
      <c r="B19" s="206">
        <f>IF(AND($A19&gt;=SYear72,$A19&lt;=EYear72,B$3&gt;0),B$3*VLOOKUP($A19,Data_72_15!$A$8:$AM$52,MATCH(B$2,Data_72_15!$B$2:$AM$2,0)+1),"")</f>
        <v>2.1613257462314066</v>
      </c>
      <c r="C19" s="206" t="str">
        <f>IF(AND($A19&gt;=SYear72,$A19&lt;=EYear72,C$3&gt;0),C$3*VLOOKUP($A19,Data_72_15!$A$8:$AM$52,MATCH(C$2,Data_72_15!$B$2:$AM$2,0)+1),"")</f>
        <v/>
      </c>
      <c r="D19" s="206" t="str">
        <f>IF(AND($A19&gt;=SYear72,$A19&lt;=EYear72,D$3&gt;0),D$3*VLOOKUP($A19,Data_72_15!$A$8:$AM$52,MATCH(D$2,Data_72_15!$B$2:$AM$2,0)+1),"")</f>
        <v/>
      </c>
      <c r="E19" s="206" t="str">
        <f>IF(AND($A19&gt;=SYear72,$A19&lt;=EYear72,E$3&gt;0),E$3*VLOOKUP($A19,Data_72_15!$A$8:$AM$52,MATCH(E$2,Data_72_15!$B$2:$AM$2,0)+1),"")</f>
        <v/>
      </c>
      <c r="F19" s="206" t="str">
        <f>IF(AND($A19&gt;=SYear72,$A19&lt;=EYear72,F$3&gt;0),F$3*VLOOKUP($A19,Data_72_15!$A$8:$AM$52,MATCH(F$2,Data_72_15!$B$2:$AM$2,0)+1),"")</f>
        <v/>
      </c>
      <c r="G19" s="206" t="str">
        <f>IF(AND($A19&gt;=SYear72,$A19&lt;=EYear72,G$3&gt;0),G$3*VLOOKUP($A19,Data_72_15!$A$8:$AM$52,MATCH(G$2,Data_72_15!$B$2:$AM$2,0)+1),"")</f>
        <v/>
      </c>
      <c r="H19" s="206" t="str">
        <f>IF(AND($A19&gt;=SYear72,$A19&lt;=EYear72,H$3&gt;0),H$3*VLOOKUP($A19,Data_72_15!$A$8:$AM$52,MATCH(H$2,Data_72_15!$B$2:$AM$2,0)+1),"")</f>
        <v/>
      </c>
      <c r="I19" s="206" t="str">
        <f>IF(AND($A19&gt;=SYear72,$A19&lt;=EYear72,I$3&gt;0),I$3*VLOOKUP($A19,Data_72_15!$A$8:$AM$52,MATCH(I$2,Data_72_15!$B$2:$AM$2,0)+1),"")</f>
        <v/>
      </c>
      <c r="J19" s="206" t="str">
        <f>IF(AND($A19&gt;=SYear72,$A19&lt;=EYear72,J$3&gt;0),J$3*VLOOKUP($A19,Data_72_15!$A$8:$AM$52,MATCH(J$2,Data_72_15!$B$2:$AM$2,0)+1),"")</f>
        <v/>
      </c>
      <c r="K19" s="206" t="str">
        <f>IF(AND($A19&gt;=SYear72,$A19&lt;=EYear72,K$3&gt;0),K$3*VLOOKUP($A19,Data_72_15!$A$8:$AM$52,MATCH(K$2,Data_72_15!$B$2:$AM$2,0)+1),"")</f>
        <v/>
      </c>
      <c r="L19" s="206" t="str">
        <f>IF(AND($A19&gt;=SYear72,$A19&lt;=EYear72,L$3&gt;0),L$3*VLOOKUP($A19,Data_72_15!$A$8:$AM$52,MATCH(L$2,Data_72_15!$B$2:$AM$2,0)+1),"")</f>
        <v/>
      </c>
      <c r="M19" s="206" t="str">
        <f>IF(AND($A19&gt;=SYear72,$A19&lt;=EYear72,M$3&gt;0),M$3*VLOOKUP($A19,Data_72_15!$A$8:$AM$52,MATCH(M$2,Data_72_15!$B$2:$AM$2,0)+1),"")</f>
        <v/>
      </c>
      <c r="N19" s="206">
        <f>IF(AND($A19&gt;=SYear72,$A19&lt;=EYear72,N$3&gt;0),N$3*VLOOKUP($A19,Data_72_15!$A$8:$AM$52,MATCH(N$2,Data_72_15!$B$2:$AM$2,0)+1),"")</f>
        <v>2.4067052484534019</v>
      </c>
      <c r="O19" s="206" t="str">
        <f>IF(AND($A19&gt;=SYear72,$A19&lt;=EYear72,O$3&gt;0),O$3*VLOOKUP($A19,Data_72_15!$A$8:$AM$52,MATCH(O$2,Data_72_15!$B$2:$AM$2,0)+1),"")</f>
        <v/>
      </c>
      <c r="P19" s="206" t="str">
        <f>IF(AND($A19&gt;=SYear72,$A19&lt;=EYear72,P$3&gt;0),P$3*VLOOKUP($A19,Data_72_15!$A$8:$AM$52,MATCH(P$2,Data_72_15!$B$2:$AM$2,0)+1),"")</f>
        <v/>
      </c>
      <c r="Q19" s="206" t="str">
        <f>IF(AND($A19&gt;=SYear72,$A19&lt;=EYear72,Q$3&gt;0),Q$3*VLOOKUP($A19,Data_72_15!$A$8:$AM$52,MATCH(Q$2,Data_72_15!$B$2:$AM$2,0)+1),"")</f>
        <v/>
      </c>
      <c r="R19" s="206" t="str">
        <f>IF(AND($A19&gt;=SYear72,$A19&lt;=EYear72,R$3&gt;0),R$3*VLOOKUP($A19,Data_72_15!$A$8:$AM$52,MATCH(R$2,Data_72_15!$B$2:$AM$2,0)+1),"")</f>
        <v/>
      </c>
      <c r="S19" s="206" t="str">
        <f>IF(AND($A19&gt;=SYear72,$A19&lt;=EYear72,S$3&gt;0),S$3*VLOOKUP($A19,Data_72_15!$A$8:$AM$52,MATCH(S$2,Data_72_15!$B$2:$AM$2,0)+1),"")</f>
        <v/>
      </c>
      <c r="T19" s="206">
        <f>IF(AND($A19&gt;=SYear72,$A19&lt;=EYear72,T$3&gt;0),T$3*VLOOKUP($A19,Data_72_15!$A$8:$AM$52,MATCH(T$2,Data_72_15!$B$2:$AM$2,0)+1),"")</f>
        <v>2.6028496076029963</v>
      </c>
      <c r="U19" s="206" t="str">
        <f>IF(AND($A19&gt;=SYear72,$A19&lt;=EYear72,U$3&gt;0),U$3*VLOOKUP($A19,Data_72_15!$A$8:$AM$52,MATCH(U$2,Data_72_15!$B$2:$AM$2,0)+1),"")</f>
        <v/>
      </c>
      <c r="V19" s="206" t="str">
        <f>IF(AND($A19&gt;=SYear72,$A19&lt;=EYear72,V$3&gt;0),V$3*VLOOKUP($A19,Data_72_15!$A$8:$AM$52,MATCH(V$2,Data_72_15!$B$2:$AM$2,0)+1),"")</f>
        <v/>
      </c>
      <c r="W19" s="206" t="str">
        <f>IF(AND($A19&gt;=SYear72,$A19&lt;=EYear72,W$3&gt;0),W$3*VLOOKUP($A19,Data_72_15!$A$8:$AM$52,MATCH(W$2,Data_72_15!$B$2:$AM$2,0)+1),"")</f>
        <v/>
      </c>
      <c r="X19" s="206" t="str">
        <f>IF(AND($A19&gt;=SYear72,$A19&lt;=EYear72,X$3&gt;0),X$3*VLOOKUP($A19,Data_72_15!$A$8:$AM$52,MATCH(X$2,Data_72_15!$B$2:$AM$2,0)+1),"")</f>
        <v/>
      </c>
      <c r="Y19" s="206" t="str">
        <f>IF(AND($A19&gt;=SYear72,$A19&lt;=EYear72,Y$3&gt;0),Y$3*VLOOKUP($A19,Data_72_15!$A$8:$AM$52,MATCH(Y$2,Data_72_15!$B$2:$AM$2,0)+1),"")</f>
        <v/>
      </c>
      <c r="Z19" s="206" t="str">
        <f>IF(AND($A19&gt;=SYear72,$A19&lt;=EYear72,Z$3&gt;0),Z$3*VLOOKUP($A19,Data_72_15!$A$8:$AM$52,MATCH(Z$2,Data_72_15!$B$2:$AM$2,0)+1),"")</f>
        <v/>
      </c>
      <c r="AA19" s="206" t="str">
        <f>IF(AND($A19&gt;=SYear72,$A19&lt;=EYear72,AA$3&gt;0),AA$3*VLOOKUP($A19,Data_72_15!$A$8:$AM$52,MATCH(AA$2,Data_72_15!$B$2:$AM$2,0)+1),"")</f>
        <v/>
      </c>
      <c r="AB19" s="206" t="str">
        <f>IF(AND($A19&gt;=SYear72,$A19&lt;=EYear72,AB$3&gt;0),AB$3*VLOOKUP($A19,Data_72_15!$A$8:$AM$52,MATCH(AB$2,Data_72_15!$B$2:$AM$2,0)+1),"")</f>
        <v/>
      </c>
      <c r="AC19" s="206" t="str">
        <f>IF(AND($A19&gt;=SYear72,$A19&lt;=EYear72,AC$3&gt;0),AC$3*VLOOKUP($A19,Data_72_15!$A$8:$AM$52,MATCH(AC$2,Data_72_15!$B$2:$AM$2,0)+1),"")</f>
        <v/>
      </c>
      <c r="AD19" s="206" t="str">
        <f>IF(AND($A19&gt;=SYear72,$A19&lt;=EYear72,AD$3&gt;0),AD$3*VLOOKUP($A19,Data_72_15!$A$8:$AM$52,MATCH(AD$2,Data_72_15!$B$2:$AM$2,0)+1),"")</f>
        <v/>
      </c>
      <c r="AE19" s="206" t="str">
        <f>IF(AND($A19&gt;=SYear72,$A19&lt;=EYear72,AE$3&gt;0),AE$3*VLOOKUP($A19,Data_72_15!$A$8:$AM$52,MATCH(AE$2,Data_72_15!$B$2:$AM$2,0)+1),"")</f>
        <v/>
      </c>
      <c r="AF19" s="206" t="str">
        <f>IF(AND($A19&gt;=SYear72,$A19&lt;=EYear72,AF$3&gt;0),AF$3*VLOOKUP($A19,Data_72_15!$A$8:$AM$52,MATCH(AF$2,Data_72_15!$B$2:$AM$2,0)+1),"")</f>
        <v/>
      </c>
      <c r="AG19" s="206" t="str">
        <f>IF(AND($A19&gt;=SYear72,$A19&lt;=EYear72,AG$3&gt;0),AG$3*VLOOKUP($A19,Data_72_15!$A$8:$AM$52,MATCH(AG$2,Data_72_15!$B$2:$AM$2,0)+1),"")</f>
        <v/>
      </c>
      <c r="AH19" s="206" t="str">
        <f>IF(AND($A19&gt;=SYear72,$A19&lt;=EYear72,AH$3&gt;0),AH$3*VLOOKUP($A19,Data_72_15!$A$8:$AM$52,MATCH(AH$2,Data_72_15!$B$2:$AM$2,0)+1),"")</f>
        <v/>
      </c>
      <c r="AI19" s="206" t="str">
        <f>IF(AND($A19&gt;=SYear72,$A19&lt;=EYear72,AI$3&gt;0),AI$3*VLOOKUP($A19,Data_72_15!$A$8:$AM$52,MATCH(AI$2,Data_72_15!$B$2:$AM$2,0)+1),"")</f>
        <v/>
      </c>
      <c r="AJ19" s="206" t="str">
        <f>IF(AND($A19&gt;=SYear72,$A19&lt;=EYear72,AJ$3&gt;0),AJ$3*VLOOKUP($A19,Data_72_15!$A$8:$AM$52,MATCH(AJ$2,Data_72_15!$B$2:$AM$2,0)+1),"")</f>
        <v/>
      </c>
      <c r="AK19" s="206" t="str">
        <f>IF(AND($A19&gt;=SYear72,$A19&lt;=EYear72,AK$3&gt;0),AK$3*VLOOKUP($A19,Data_72_15!$A$8:$AM$52,MATCH(AK$2,Data_72_15!$B$2:$AM$2,0)+1),"")</f>
        <v/>
      </c>
      <c r="AL19" s="206" t="str">
        <f>IF(AND($A19&gt;=SYear72,$A19&lt;=EYear72,AL$3&gt;0),AL$3*VLOOKUP($A19,Data_72_15!$A$8:$AM$52,MATCH(AL$2,Data_72_15!$B$2:$AM$2,0)+1),"")</f>
        <v/>
      </c>
      <c r="AM19" s="206">
        <f t="shared" si="12"/>
        <v>7.1708806022878049</v>
      </c>
      <c r="AN19" s="446">
        <f t="shared" si="13"/>
        <v>32232.52285992241</v>
      </c>
      <c r="AO19" s="206">
        <f>IF(AND($A19&gt;=SYear72,$A19&lt;=EYear72),(AM19-Data_72_15!AM20)/(1+Data_72_15!AM20%),"")</f>
        <v>3.0998120134069871</v>
      </c>
      <c r="AP19" s="606">
        <f t="shared" si="14"/>
        <v>12580.78527581018</v>
      </c>
      <c r="AQ19" s="143">
        <f t="shared" si="15"/>
        <v>2.677340142570138</v>
      </c>
      <c r="AR19" s="143">
        <f>IF(AND($A19&gt;=SYear72,$A19&lt;=EYear72),MAX($AQ$7:AQ19),"")</f>
        <v>2.677340142570138</v>
      </c>
      <c r="AS19" s="209">
        <f t="shared" si="16"/>
        <v>0</v>
      </c>
      <c r="AU19" s="143">
        <f>IF(AND($A19&gt;=SYear72,$A19&lt;=EYear72),Data_72_15!V20,"")</f>
        <v>9.7012688580277775</v>
      </c>
      <c r="AV19" s="143">
        <f>IF(AND($A19&gt;=SYear72,$A19&lt;=EYear72),Data_72_15!AM20,"")</f>
        <v>3.948667324777877</v>
      </c>
      <c r="AW19" s="143">
        <f t="shared" si="17"/>
        <v>5.5340791578178061</v>
      </c>
      <c r="AZ19" s="61">
        <f t="shared" si="1"/>
        <v>7.1708806022878102E-2</v>
      </c>
      <c r="BA19" s="61">
        <f t="shared" si="2"/>
        <v>0.24752905515133827</v>
      </c>
      <c r="BB19" s="61">
        <f t="shared" si="3"/>
        <v>0.20267135656746382</v>
      </c>
      <c r="BC19" s="61">
        <f t="shared" si="4"/>
        <v>0.16048877088126945</v>
      </c>
      <c r="BD19" s="61">
        <f t="shared" si="5"/>
        <v>0.15545160685211346</v>
      </c>
      <c r="BG19" s="61">
        <f t="shared" si="6"/>
        <v>3.0998120134069884E-2</v>
      </c>
      <c r="BH19" s="61">
        <f t="shared" si="7"/>
        <v>0.21189890102706976</v>
      </c>
      <c r="BI19" s="61">
        <f t="shared" si="8"/>
        <v>0.16163970380175674</v>
      </c>
      <c r="BJ19" s="61">
        <f t="shared" si="9"/>
        <v>0.11898981761600269</v>
      </c>
      <c r="BK19" s="61">
        <f t="shared" si="10"/>
        <v>0.11897519748319429</v>
      </c>
    </row>
    <row r="20" spans="1:63">
      <c r="A20" s="204">
        <f t="shared" si="11"/>
        <v>1985</v>
      </c>
      <c r="B20" s="206">
        <f>IF(AND($A20&gt;=SYear72,$A20&lt;=EYear72,B$3&gt;0),B$3*VLOOKUP($A20,Data_72_15!$A$8:$AM$52,MATCH(B$2,Data_72_15!$B$2:$AM$2,0)+1),"")</f>
        <v>15.987820704801837</v>
      </c>
      <c r="C20" s="206" t="str">
        <f>IF(AND($A20&gt;=SYear72,$A20&lt;=EYear72,C$3&gt;0),C$3*VLOOKUP($A20,Data_72_15!$A$8:$AM$52,MATCH(C$2,Data_72_15!$B$2:$AM$2,0)+1),"")</f>
        <v/>
      </c>
      <c r="D20" s="206" t="str">
        <f>IF(AND($A20&gt;=SYear72,$A20&lt;=EYear72,D$3&gt;0),D$3*VLOOKUP($A20,Data_72_15!$A$8:$AM$52,MATCH(D$2,Data_72_15!$B$2:$AM$2,0)+1),"")</f>
        <v/>
      </c>
      <c r="E20" s="206" t="str">
        <f>IF(AND($A20&gt;=SYear72,$A20&lt;=EYear72,E$3&gt;0),E$3*VLOOKUP($A20,Data_72_15!$A$8:$AM$52,MATCH(E$2,Data_72_15!$B$2:$AM$2,0)+1),"")</f>
        <v/>
      </c>
      <c r="F20" s="206" t="str">
        <f>IF(AND($A20&gt;=SYear72,$A20&lt;=EYear72,F$3&gt;0),F$3*VLOOKUP($A20,Data_72_15!$A$8:$AM$52,MATCH(F$2,Data_72_15!$B$2:$AM$2,0)+1),"")</f>
        <v/>
      </c>
      <c r="G20" s="206" t="str">
        <f>IF(AND($A20&gt;=SYear72,$A20&lt;=EYear72,G$3&gt;0),G$3*VLOOKUP($A20,Data_72_15!$A$8:$AM$52,MATCH(G$2,Data_72_15!$B$2:$AM$2,0)+1),"")</f>
        <v/>
      </c>
      <c r="H20" s="206" t="str">
        <f>IF(AND($A20&gt;=SYear72,$A20&lt;=EYear72,H$3&gt;0),H$3*VLOOKUP($A20,Data_72_15!$A$8:$AM$52,MATCH(H$2,Data_72_15!$B$2:$AM$2,0)+1),"")</f>
        <v/>
      </c>
      <c r="I20" s="206" t="str">
        <f>IF(AND($A20&gt;=SYear72,$A20&lt;=EYear72,I$3&gt;0),I$3*VLOOKUP($A20,Data_72_15!$A$8:$AM$52,MATCH(I$2,Data_72_15!$B$2:$AM$2,0)+1),"")</f>
        <v/>
      </c>
      <c r="J20" s="206" t="str">
        <f>IF(AND($A20&gt;=SYear72,$A20&lt;=EYear72,J$3&gt;0),J$3*VLOOKUP($A20,Data_72_15!$A$8:$AM$52,MATCH(J$2,Data_72_15!$B$2:$AM$2,0)+1),"")</f>
        <v/>
      </c>
      <c r="K20" s="206" t="str">
        <f>IF(AND($A20&gt;=SYear72,$A20&lt;=EYear72,K$3&gt;0),K$3*VLOOKUP($A20,Data_72_15!$A$8:$AM$52,MATCH(K$2,Data_72_15!$B$2:$AM$2,0)+1),"")</f>
        <v/>
      </c>
      <c r="L20" s="206" t="str">
        <f>IF(AND($A20&gt;=SYear72,$A20&lt;=EYear72,L$3&gt;0),L$3*VLOOKUP($A20,Data_72_15!$A$8:$AM$52,MATCH(L$2,Data_72_15!$B$2:$AM$2,0)+1),"")</f>
        <v/>
      </c>
      <c r="M20" s="206" t="str">
        <f>IF(AND($A20&gt;=SYear72,$A20&lt;=EYear72,M$3&gt;0),M$3*VLOOKUP($A20,Data_72_15!$A$8:$AM$52,MATCH(M$2,Data_72_15!$B$2:$AM$2,0)+1),"")</f>
        <v/>
      </c>
      <c r="N20" s="206">
        <f>IF(AND($A20&gt;=SYear72,$A20&lt;=EYear72,N$3&gt;0),N$3*VLOOKUP($A20,Data_72_15!$A$8:$AM$52,MATCH(N$2,Data_72_15!$B$2:$AM$2,0)+1),"")</f>
        <v>17.095390141688284</v>
      </c>
      <c r="O20" s="206" t="str">
        <f>IF(AND($A20&gt;=SYear72,$A20&lt;=EYear72,O$3&gt;0),O$3*VLOOKUP($A20,Data_72_15!$A$8:$AM$52,MATCH(O$2,Data_72_15!$B$2:$AM$2,0)+1),"")</f>
        <v/>
      </c>
      <c r="P20" s="206" t="str">
        <f>IF(AND($A20&gt;=SYear72,$A20&lt;=EYear72,P$3&gt;0),P$3*VLOOKUP($A20,Data_72_15!$A$8:$AM$52,MATCH(P$2,Data_72_15!$B$2:$AM$2,0)+1),"")</f>
        <v/>
      </c>
      <c r="Q20" s="206" t="str">
        <f>IF(AND($A20&gt;=SYear72,$A20&lt;=EYear72,Q$3&gt;0),Q$3*VLOOKUP($A20,Data_72_15!$A$8:$AM$52,MATCH(Q$2,Data_72_15!$B$2:$AM$2,0)+1),"")</f>
        <v/>
      </c>
      <c r="R20" s="206" t="str">
        <f>IF(AND($A20&gt;=SYear72,$A20&lt;=EYear72,R$3&gt;0),R$3*VLOOKUP($A20,Data_72_15!$A$8:$AM$52,MATCH(R$2,Data_72_15!$B$2:$AM$2,0)+1),"")</f>
        <v/>
      </c>
      <c r="S20" s="206" t="str">
        <f>IF(AND($A20&gt;=SYear72,$A20&lt;=EYear72,S$3&gt;0),S$3*VLOOKUP($A20,Data_72_15!$A$8:$AM$52,MATCH(S$2,Data_72_15!$B$2:$AM$2,0)+1),"")</f>
        <v/>
      </c>
      <c r="T20" s="206">
        <f>IF(AND($A20&gt;=SYear72,$A20&lt;=EYear72,T$3&gt;0),T$3*VLOOKUP($A20,Data_72_15!$A$8:$AM$52,MATCH(T$2,Data_72_15!$B$2:$AM$2,0)+1),"")</f>
        <v>4.0691887313145889</v>
      </c>
      <c r="U20" s="206" t="str">
        <f>IF(AND($A20&gt;=SYear72,$A20&lt;=EYear72,U$3&gt;0),U$3*VLOOKUP($A20,Data_72_15!$A$8:$AM$52,MATCH(U$2,Data_72_15!$B$2:$AM$2,0)+1),"")</f>
        <v/>
      </c>
      <c r="V20" s="206" t="str">
        <f>IF(AND($A20&gt;=SYear72,$A20&lt;=EYear72,V$3&gt;0),V$3*VLOOKUP($A20,Data_72_15!$A$8:$AM$52,MATCH(V$2,Data_72_15!$B$2:$AM$2,0)+1),"")</f>
        <v/>
      </c>
      <c r="W20" s="206" t="str">
        <f>IF(AND($A20&gt;=SYear72,$A20&lt;=EYear72,W$3&gt;0),W$3*VLOOKUP($A20,Data_72_15!$A$8:$AM$52,MATCH(W$2,Data_72_15!$B$2:$AM$2,0)+1),"")</f>
        <v/>
      </c>
      <c r="X20" s="206" t="str">
        <f>IF(AND($A20&gt;=SYear72,$A20&lt;=EYear72,X$3&gt;0),X$3*VLOOKUP($A20,Data_72_15!$A$8:$AM$52,MATCH(X$2,Data_72_15!$B$2:$AM$2,0)+1),"")</f>
        <v/>
      </c>
      <c r="Y20" s="206" t="str">
        <f>IF(AND($A20&gt;=SYear72,$A20&lt;=EYear72,Y$3&gt;0),Y$3*VLOOKUP($A20,Data_72_15!$A$8:$AM$52,MATCH(Y$2,Data_72_15!$B$2:$AM$2,0)+1),"")</f>
        <v/>
      </c>
      <c r="Z20" s="206" t="str">
        <f>IF(AND($A20&gt;=SYear72,$A20&lt;=EYear72,Z$3&gt;0),Z$3*VLOOKUP($A20,Data_72_15!$A$8:$AM$52,MATCH(Z$2,Data_72_15!$B$2:$AM$2,0)+1),"")</f>
        <v/>
      </c>
      <c r="AA20" s="206" t="str">
        <f>IF(AND($A20&gt;=SYear72,$A20&lt;=EYear72,AA$3&gt;0),AA$3*VLOOKUP($A20,Data_72_15!$A$8:$AM$52,MATCH(AA$2,Data_72_15!$B$2:$AM$2,0)+1),"")</f>
        <v/>
      </c>
      <c r="AB20" s="206" t="str">
        <f>IF(AND($A20&gt;=SYear72,$A20&lt;=EYear72,AB$3&gt;0),AB$3*VLOOKUP($A20,Data_72_15!$A$8:$AM$52,MATCH(AB$2,Data_72_15!$B$2:$AM$2,0)+1),"")</f>
        <v/>
      </c>
      <c r="AC20" s="206" t="str">
        <f>IF(AND($A20&gt;=SYear72,$A20&lt;=EYear72,AC$3&gt;0),AC$3*VLOOKUP($A20,Data_72_15!$A$8:$AM$52,MATCH(AC$2,Data_72_15!$B$2:$AM$2,0)+1),"")</f>
        <v/>
      </c>
      <c r="AD20" s="206" t="str">
        <f>IF(AND($A20&gt;=SYear72,$A20&lt;=EYear72,AD$3&gt;0),AD$3*VLOOKUP($A20,Data_72_15!$A$8:$AM$52,MATCH(AD$2,Data_72_15!$B$2:$AM$2,0)+1),"")</f>
        <v/>
      </c>
      <c r="AE20" s="206" t="str">
        <f>IF(AND($A20&gt;=SYear72,$A20&lt;=EYear72,AE$3&gt;0),AE$3*VLOOKUP($A20,Data_72_15!$A$8:$AM$52,MATCH(AE$2,Data_72_15!$B$2:$AM$2,0)+1),"")</f>
        <v/>
      </c>
      <c r="AF20" s="206" t="str">
        <f>IF(AND($A20&gt;=SYear72,$A20&lt;=EYear72,AF$3&gt;0),AF$3*VLOOKUP($A20,Data_72_15!$A$8:$AM$52,MATCH(AF$2,Data_72_15!$B$2:$AM$2,0)+1),"")</f>
        <v/>
      </c>
      <c r="AG20" s="206" t="str">
        <f>IF(AND($A20&gt;=SYear72,$A20&lt;=EYear72,AG$3&gt;0),AG$3*VLOOKUP($A20,Data_72_15!$A$8:$AM$52,MATCH(AG$2,Data_72_15!$B$2:$AM$2,0)+1),"")</f>
        <v/>
      </c>
      <c r="AH20" s="206" t="str">
        <f>IF(AND($A20&gt;=SYear72,$A20&lt;=EYear72,AH$3&gt;0),AH$3*VLOOKUP($A20,Data_72_15!$A$8:$AM$52,MATCH(AH$2,Data_72_15!$B$2:$AM$2,0)+1),"")</f>
        <v/>
      </c>
      <c r="AI20" s="206" t="str">
        <f>IF(AND($A20&gt;=SYear72,$A20&lt;=EYear72,AI$3&gt;0),AI$3*VLOOKUP($A20,Data_72_15!$A$8:$AM$52,MATCH(AI$2,Data_72_15!$B$2:$AM$2,0)+1),"")</f>
        <v/>
      </c>
      <c r="AJ20" s="206" t="str">
        <f>IF(AND($A20&gt;=SYear72,$A20&lt;=EYear72,AJ$3&gt;0),AJ$3*VLOOKUP($A20,Data_72_15!$A$8:$AM$52,MATCH(AJ$2,Data_72_15!$B$2:$AM$2,0)+1),"")</f>
        <v/>
      </c>
      <c r="AK20" s="206" t="str">
        <f>IF(AND($A20&gt;=SYear72,$A20&lt;=EYear72,AK$3&gt;0),AK$3*VLOOKUP($A20,Data_72_15!$A$8:$AM$52,MATCH(AK$2,Data_72_15!$B$2:$AM$2,0)+1),"")</f>
        <v/>
      </c>
      <c r="AL20" s="206" t="str">
        <f>IF(AND($A20&gt;=SYear72,$A20&lt;=EYear72,AL$3&gt;0),AL$3*VLOOKUP($A20,Data_72_15!$A$8:$AM$52,MATCH(AL$2,Data_72_15!$B$2:$AM$2,0)+1),"")</f>
        <v/>
      </c>
      <c r="AM20" s="206">
        <f t="shared" si="12"/>
        <v>37.152399577804708</v>
      </c>
      <c r="AN20" s="446">
        <f t="shared" si="13"/>
        <v>44207.678546848023</v>
      </c>
      <c r="AO20" s="206">
        <f>IF(AND($A20&gt;=SYear72,$A20&lt;=EYear72),(AM20-Data_72_15!AM21)/(1+Data_72_15!AM21%),"")</f>
        <v>32.133098586851197</v>
      </c>
      <c r="AP20" s="606">
        <f t="shared" si="14"/>
        <v>16623.381411486327</v>
      </c>
      <c r="AQ20" s="143">
        <f t="shared" si="15"/>
        <v>3.6720362503947617</v>
      </c>
      <c r="AR20" s="143">
        <f>IF(AND($A20&gt;=SYear72,$A20&lt;=EYear72),MAX($AQ$7:AQ20),"")</f>
        <v>3.6720362503947617</v>
      </c>
      <c r="AS20" s="209">
        <f t="shared" si="16"/>
        <v>0</v>
      </c>
      <c r="AU20" s="143">
        <f>IF(AND($A20&gt;=SYear72,$A20&lt;=EYear72),Data_72_15!V21,"")</f>
        <v>7.37</v>
      </c>
      <c r="AV20" s="143">
        <f>IF(AND($A20&gt;=SYear72,$A20&lt;=EYear72),Data_72_15!AM21,"")</f>
        <v>3.7986704653371284</v>
      </c>
      <c r="AW20" s="143">
        <f t="shared" si="17"/>
        <v>3.4406312900274512</v>
      </c>
      <c r="AZ20" s="61">
        <f t="shared" si="1"/>
        <v>0.37152399577804696</v>
      </c>
      <c r="BA20" s="61">
        <f t="shared" si="2"/>
        <v>0.25417862485107556</v>
      </c>
      <c r="BB20" s="61">
        <f t="shared" si="3"/>
        <v>0.23529997371198808</v>
      </c>
      <c r="BC20" s="61">
        <f t="shared" si="4"/>
        <v>0.15330255084205846</v>
      </c>
      <c r="BD20" s="61">
        <f t="shared" si="5"/>
        <v>0.16430849141857462</v>
      </c>
      <c r="BG20" s="61">
        <f t="shared" si="6"/>
        <v>0.32133098586851228</v>
      </c>
      <c r="BH20" s="61">
        <f t="shared" si="7"/>
        <v>0.21646676718273783</v>
      </c>
      <c r="BI20" s="61">
        <f t="shared" si="8"/>
        <v>0.19155773190549952</v>
      </c>
      <c r="BJ20" s="61">
        <f t="shared" si="9"/>
        <v>0.11343254073527609</v>
      </c>
      <c r="BK20" s="61">
        <f t="shared" si="10"/>
        <v>0.12847259107108577</v>
      </c>
    </row>
    <row r="21" spans="1:63">
      <c r="A21" s="204">
        <f t="shared" si="11"/>
        <v>1986</v>
      </c>
      <c r="B21" s="206">
        <f>IF(AND($A21&gt;=SYear72,$A21&lt;=EYear72,B$3&gt;0),B$3*VLOOKUP($A21,Data_72_15!$A$8:$AM$52,MATCH(B$2,Data_72_15!$B$2:$AM$2,0)+1),"")</f>
        <v>7.9514824797843673</v>
      </c>
      <c r="C21" s="206" t="str">
        <f>IF(AND($A21&gt;=SYear72,$A21&lt;=EYear72,C$3&gt;0),C$3*VLOOKUP($A21,Data_72_15!$A$8:$AM$52,MATCH(C$2,Data_72_15!$B$2:$AM$2,0)+1),"")</f>
        <v/>
      </c>
      <c r="D21" s="206" t="str">
        <f>IF(AND($A21&gt;=SYear72,$A21&lt;=EYear72,D$3&gt;0),D$3*VLOOKUP($A21,Data_72_15!$A$8:$AM$52,MATCH(D$2,Data_72_15!$B$2:$AM$2,0)+1),"")</f>
        <v/>
      </c>
      <c r="E21" s="206" t="str">
        <f>IF(AND($A21&gt;=SYear72,$A21&lt;=EYear72,E$3&gt;0),E$3*VLOOKUP($A21,Data_72_15!$A$8:$AM$52,MATCH(E$2,Data_72_15!$B$2:$AM$2,0)+1),"")</f>
        <v/>
      </c>
      <c r="F21" s="206" t="str">
        <f>IF(AND($A21&gt;=SYear72,$A21&lt;=EYear72,F$3&gt;0),F$3*VLOOKUP($A21,Data_72_15!$A$8:$AM$52,MATCH(F$2,Data_72_15!$B$2:$AM$2,0)+1),"")</f>
        <v/>
      </c>
      <c r="G21" s="206" t="str">
        <f>IF(AND($A21&gt;=SYear72,$A21&lt;=EYear72,G$3&gt;0),G$3*VLOOKUP($A21,Data_72_15!$A$8:$AM$52,MATCH(G$2,Data_72_15!$B$2:$AM$2,0)+1),"")</f>
        <v/>
      </c>
      <c r="H21" s="206" t="str">
        <f>IF(AND($A21&gt;=SYear72,$A21&lt;=EYear72,H$3&gt;0),H$3*VLOOKUP($A21,Data_72_15!$A$8:$AM$52,MATCH(H$2,Data_72_15!$B$2:$AM$2,0)+1),"")</f>
        <v/>
      </c>
      <c r="I21" s="206" t="str">
        <f>IF(AND($A21&gt;=SYear72,$A21&lt;=EYear72,I$3&gt;0),I$3*VLOOKUP($A21,Data_72_15!$A$8:$AM$52,MATCH(I$2,Data_72_15!$B$2:$AM$2,0)+1),"")</f>
        <v/>
      </c>
      <c r="J21" s="206" t="str">
        <f>IF(AND($A21&gt;=SYear72,$A21&lt;=EYear72,J$3&gt;0),J$3*VLOOKUP($A21,Data_72_15!$A$8:$AM$52,MATCH(J$2,Data_72_15!$B$2:$AM$2,0)+1),"")</f>
        <v/>
      </c>
      <c r="K21" s="206" t="str">
        <f>IF(AND($A21&gt;=SYear72,$A21&lt;=EYear72,K$3&gt;0),K$3*VLOOKUP($A21,Data_72_15!$A$8:$AM$52,MATCH(K$2,Data_72_15!$B$2:$AM$2,0)+1),"")</f>
        <v/>
      </c>
      <c r="L21" s="206" t="str">
        <f>IF(AND($A21&gt;=SYear72,$A21&lt;=EYear72,L$3&gt;0),L$3*VLOOKUP($A21,Data_72_15!$A$8:$AM$52,MATCH(L$2,Data_72_15!$B$2:$AM$2,0)+1),"")</f>
        <v/>
      </c>
      <c r="M21" s="206" t="str">
        <f>IF(AND($A21&gt;=SYear72,$A21&lt;=EYear72,M$3&gt;0),M$3*VLOOKUP($A21,Data_72_15!$A$8:$AM$52,MATCH(M$2,Data_72_15!$B$2:$AM$2,0)+1),"")</f>
        <v/>
      </c>
      <c r="N21" s="206">
        <f>IF(AND($A21&gt;=SYear72,$A21&lt;=EYear72,N$3&gt;0),N$3*VLOOKUP($A21,Data_72_15!$A$8:$AM$52,MATCH(N$2,Data_72_15!$B$2:$AM$2,0)+1),"")</f>
        <v>20.534823388545203</v>
      </c>
      <c r="O21" s="206" t="str">
        <f>IF(AND($A21&gt;=SYear72,$A21&lt;=EYear72,O$3&gt;0),O$3*VLOOKUP($A21,Data_72_15!$A$8:$AM$52,MATCH(O$2,Data_72_15!$B$2:$AM$2,0)+1),"")</f>
        <v/>
      </c>
      <c r="P21" s="206" t="str">
        <f>IF(AND($A21&gt;=SYear72,$A21&lt;=EYear72,P$3&gt;0),P$3*VLOOKUP($A21,Data_72_15!$A$8:$AM$52,MATCH(P$2,Data_72_15!$B$2:$AM$2,0)+1),"")</f>
        <v/>
      </c>
      <c r="Q21" s="206" t="str">
        <f>IF(AND($A21&gt;=SYear72,$A21&lt;=EYear72,Q$3&gt;0),Q$3*VLOOKUP($A21,Data_72_15!$A$8:$AM$52,MATCH(Q$2,Data_72_15!$B$2:$AM$2,0)+1),"")</f>
        <v/>
      </c>
      <c r="R21" s="206" t="str">
        <f>IF(AND($A21&gt;=SYear72,$A21&lt;=EYear72,R$3&gt;0),R$3*VLOOKUP($A21,Data_72_15!$A$8:$AM$52,MATCH(R$2,Data_72_15!$B$2:$AM$2,0)+1),"")</f>
        <v/>
      </c>
      <c r="S21" s="206" t="str">
        <f>IF(AND($A21&gt;=SYear72,$A21&lt;=EYear72,S$3&gt;0),S$3*VLOOKUP($A21,Data_72_15!$A$8:$AM$52,MATCH(S$2,Data_72_15!$B$2:$AM$2,0)+1),"")</f>
        <v/>
      </c>
      <c r="T21" s="206">
        <f>IF(AND($A21&gt;=SYear72,$A21&lt;=EYear72,T$3&gt;0),T$3*VLOOKUP($A21,Data_72_15!$A$8:$AM$52,MATCH(T$2,Data_72_15!$B$2:$AM$2,0)+1),"")</f>
        <v>3.6042592070092447</v>
      </c>
      <c r="U21" s="206" t="str">
        <f>IF(AND($A21&gt;=SYear72,$A21&lt;=EYear72,U$3&gt;0),U$3*VLOOKUP($A21,Data_72_15!$A$8:$AM$52,MATCH(U$2,Data_72_15!$B$2:$AM$2,0)+1),"")</f>
        <v/>
      </c>
      <c r="V21" s="206" t="str">
        <f>IF(AND($A21&gt;=SYear72,$A21&lt;=EYear72,V$3&gt;0),V$3*VLOOKUP($A21,Data_72_15!$A$8:$AM$52,MATCH(V$2,Data_72_15!$B$2:$AM$2,0)+1),"")</f>
        <v/>
      </c>
      <c r="W21" s="206" t="str">
        <f>IF(AND($A21&gt;=SYear72,$A21&lt;=EYear72,W$3&gt;0),W$3*VLOOKUP($A21,Data_72_15!$A$8:$AM$52,MATCH(W$2,Data_72_15!$B$2:$AM$2,0)+1),"")</f>
        <v/>
      </c>
      <c r="X21" s="206" t="str">
        <f>IF(AND($A21&gt;=SYear72,$A21&lt;=EYear72,X$3&gt;0),X$3*VLOOKUP($A21,Data_72_15!$A$8:$AM$52,MATCH(X$2,Data_72_15!$B$2:$AM$2,0)+1),"")</f>
        <v/>
      </c>
      <c r="Y21" s="206" t="str">
        <f>IF(AND($A21&gt;=SYear72,$A21&lt;=EYear72,Y$3&gt;0),Y$3*VLOOKUP($A21,Data_72_15!$A$8:$AM$52,MATCH(Y$2,Data_72_15!$B$2:$AM$2,0)+1),"")</f>
        <v/>
      </c>
      <c r="Z21" s="206" t="str">
        <f>IF(AND($A21&gt;=SYear72,$A21&lt;=EYear72,Z$3&gt;0),Z$3*VLOOKUP($A21,Data_72_15!$A$8:$AM$52,MATCH(Z$2,Data_72_15!$B$2:$AM$2,0)+1),"")</f>
        <v/>
      </c>
      <c r="AA21" s="206" t="str">
        <f>IF(AND($A21&gt;=SYear72,$A21&lt;=EYear72,AA$3&gt;0),AA$3*VLOOKUP($A21,Data_72_15!$A$8:$AM$52,MATCH(AA$2,Data_72_15!$B$2:$AM$2,0)+1),"")</f>
        <v/>
      </c>
      <c r="AB21" s="206" t="str">
        <f>IF(AND($A21&gt;=SYear72,$A21&lt;=EYear72,AB$3&gt;0),AB$3*VLOOKUP($A21,Data_72_15!$A$8:$AM$52,MATCH(AB$2,Data_72_15!$B$2:$AM$2,0)+1),"")</f>
        <v/>
      </c>
      <c r="AC21" s="206" t="str">
        <f>IF(AND($A21&gt;=SYear72,$A21&lt;=EYear72,AC$3&gt;0),AC$3*VLOOKUP($A21,Data_72_15!$A$8:$AM$52,MATCH(AC$2,Data_72_15!$B$2:$AM$2,0)+1),"")</f>
        <v/>
      </c>
      <c r="AD21" s="206" t="str">
        <f>IF(AND($A21&gt;=SYear72,$A21&lt;=EYear72,AD$3&gt;0),AD$3*VLOOKUP($A21,Data_72_15!$A$8:$AM$52,MATCH(AD$2,Data_72_15!$B$2:$AM$2,0)+1),"")</f>
        <v/>
      </c>
      <c r="AE21" s="206" t="str">
        <f>IF(AND($A21&gt;=SYear72,$A21&lt;=EYear72,AE$3&gt;0),AE$3*VLOOKUP($A21,Data_72_15!$A$8:$AM$52,MATCH(AE$2,Data_72_15!$B$2:$AM$2,0)+1),"")</f>
        <v/>
      </c>
      <c r="AF21" s="206" t="str">
        <f>IF(AND($A21&gt;=SYear72,$A21&lt;=EYear72,AF$3&gt;0),AF$3*VLOOKUP($A21,Data_72_15!$A$8:$AM$52,MATCH(AF$2,Data_72_15!$B$2:$AM$2,0)+1),"")</f>
        <v/>
      </c>
      <c r="AG21" s="206" t="str">
        <f>IF(AND($A21&gt;=SYear72,$A21&lt;=EYear72,AG$3&gt;0),AG$3*VLOOKUP($A21,Data_72_15!$A$8:$AM$52,MATCH(AG$2,Data_72_15!$B$2:$AM$2,0)+1),"")</f>
        <v/>
      </c>
      <c r="AH21" s="206" t="str">
        <f>IF(AND($A21&gt;=SYear72,$A21&lt;=EYear72,AH$3&gt;0),AH$3*VLOOKUP($A21,Data_72_15!$A$8:$AM$52,MATCH(AH$2,Data_72_15!$B$2:$AM$2,0)+1),"")</f>
        <v/>
      </c>
      <c r="AI21" s="206" t="str">
        <f>IF(AND($A21&gt;=SYear72,$A21&lt;=EYear72,AI$3&gt;0),AI$3*VLOOKUP($A21,Data_72_15!$A$8:$AM$52,MATCH(AI$2,Data_72_15!$B$2:$AM$2,0)+1),"")</f>
        <v/>
      </c>
      <c r="AJ21" s="206" t="str">
        <f>IF(AND($A21&gt;=SYear72,$A21&lt;=EYear72,AJ$3&gt;0),AJ$3*VLOOKUP($A21,Data_72_15!$A$8:$AM$52,MATCH(AJ$2,Data_72_15!$B$2:$AM$2,0)+1),"")</f>
        <v/>
      </c>
      <c r="AK21" s="206" t="str">
        <f>IF(AND($A21&gt;=SYear72,$A21&lt;=EYear72,AK$3&gt;0),AK$3*VLOOKUP($A21,Data_72_15!$A$8:$AM$52,MATCH(AK$2,Data_72_15!$B$2:$AM$2,0)+1),"")</f>
        <v/>
      </c>
      <c r="AL21" s="206" t="str">
        <f>IF(AND($A21&gt;=SYear72,$A21&lt;=EYear72,AL$3&gt;0),AL$3*VLOOKUP($A21,Data_72_15!$A$8:$AM$52,MATCH(AL$2,Data_72_15!$B$2:$AM$2,0)+1),"")</f>
        <v/>
      </c>
      <c r="AM21" s="206">
        <f t="shared" si="12"/>
        <v>32.090565075338816</v>
      </c>
      <c r="AN21" s="446">
        <f t="shared" si="13"/>
        <v>58394.172399220894</v>
      </c>
      <c r="AO21" s="206">
        <f>IF(AND($A21&gt;=SYear72,$A21&lt;=EYear72),(AM21-Data_72_15!AM22)/(1+Data_72_15!AM22%),"")</f>
        <v>30.656097400312522</v>
      </c>
      <c r="AP21" s="606">
        <f t="shared" si="14"/>
        <v>21719.461408217023</v>
      </c>
      <c r="AQ21" s="143">
        <f t="shared" si="15"/>
        <v>4.8504134329177244</v>
      </c>
      <c r="AR21" s="143">
        <f>IF(AND($A21&gt;=SYear72,$A21&lt;=EYear72),MAX($AQ$7:AQ21),"")</f>
        <v>4.8504134329177244</v>
      </c>
      <c r="AS21" s="209">
        <f t="shared" si="16"/>
        <v>0</v>
      </c>
      <c r="AU21" s="143">
        <f>IF(AND($A21&gt;=SYear72,$A21&lt;=EYear72),Data_72_15!V22,"")</f>
        <v>6</v>
      </c>
      <c r="AV21" s="143">
        <f>IF(AND($A21&gt;=SYear72,$A21&lt;=EYear72),Data_72_15!AM22,"")</f>
        <v>1.0978956999085021</v>
      </c>
      <c r="AW21" s="143">
        <f t="shared" si="17"/>
        <v>4.8488687782805497</v>
      </c>
      <c r="AZ21" s="61">
        <f t="shared" si="1"/>
        <v>0.32090565075338828</v>
      </c>
      <c r="BA21" s="61">
        <f t="shared" si="2"/>
        <v>0.19623969529327678</v>
      </c>
      <c r="BB21" s="61">
        <f t="shared" si="3"/>
        <v>0.14137316190133253</v>
      </c>
      <c r="BC21" s="61">
        <f t="shared" si="4"/>
        <v>0.14255469224536599</v>
      </c>
      <c r="BD21" s="61">
        <f t="shared" si="5"/>
        <v>0.13440871913584851</v>
      </c>
      <c r="BG21" s="61">
        <f t="shared" si="6"/>
        <v>0.30656097400312521</v>
      </c>
      <c r="BH21" s="61">
        <f t="shared" si="7"/>
        <v>0.15796628474894203</v>
      </c>
      <c r="BI21" s="61">
        <f t="shared" si="8"/>
        <v>9.6125966682388375E-2</v>
      </c>
      <c r="BJ21" s="61">
        <f t="shared" si="9"/>
        <v>0.1044045225895498</v>
      </c>
      <c r="BK21" s="61">
        <f t="shared" si="10"/>
        <v>9.9784556196598873E-2</v>
      </c>
    </row>
    <row r="22" spans="1:63">
      <c r="A22" s="204">
        <f t="shared" si="11"/>
        <v>1987</v>
      </c>
      <c r="B22" s="206">
        <f>IF(AND($A22&gt;=SYear72,$A22&lt;=EYear72,B$3&gt;0),B$3*VLOOKUP($A22,Data_72_15!$A$8:$AM$52,MATCH(B$2,Data_72_15!$B$2:$AM$2,0)+1),"")</f>
        <v>0.7637017070979335</v>
      </c>
      <c r="C22" s="206" t="str">
        <f>IF(AND($A22&gt;=SYear72,$A22&lt;=EYear72,C$3&gt;0),C$3*VLOOKUP($A22,Data_72_15!$A$8:$AM$52,MATCH(C$2,Data_72_15!$B$2:$AM$2,0)+1),"")</f>
        <v/>
      </c>
      <c r="D22" s="206" t="str">
        <f>IF(AND($A22&gt;=SYear72,$A22&lt;=EYear72,D$3&gt;0),D$3*VLOOKUP($A22,Data_72_15!$A$8:$AM$52,MATCH(D$2,Data_72_15!$B$2:$AM$2,0)+1),"")</f>
        <v/>
      </c>
      <c r="E22" s="206" t="str">
        <f>IF(AND($A22&gt;=SYear72,$A22&lt;=EYear72,E$3&gt;0),E$3*VLOOKUP($A22,Data_72_15!$A$8:$AM$52,MATCH(E$2,Data_72_15!$B$2:$AM$2,0)+1),"")</f>
        <v/>
      </c>
      <c r="F22" s="206" t="str">
        <f>IF(AND($A22&gt;=SYear72,$A22&lt;=EYear72,F$3&gt;0),F$3*VLOOKUP($A22,Data_72_15!$A$8:$AM$52,MATCH(F$2,Data_72_15!$B$2:$AM$2,0)+1),"")</f>
        <v/>
      </c>
      <c r="G22" s="206" t="str">
        <f>IF(AND($A22&gt;=SYear72,$A22&lt;=EYear72,G$3&gt;0),G$3*VLOOKUP($A22,Data_72_15!$A$8:$AM$52,MATCH(G$2,Data_72_15!$B$2:$AM$2,0)+1),"")</f>
        <v/>
      </c>
      <c r="H22" s="206" t="str">
        <f>IF(AND($A22&gt;=SYear72,$A22&lt;=EYear72,H$3&gt;0),H$3*VLOOKUP($A22,Data_72_15!$A$8:$AM$52,MATCH(H$2,Data_72_15!$B$2:$AM$2,0)+1),"")</f>
        <v/>
      </c>
      <c r="I22" s="206" t="str">
        <f>IF(AND($A22&gt;=SYear72,$A22&lt;=EYear72,I$3&gt;0),I$3*VLOOKUP($A22,Data_72_15!$A$8:$AM$52,MATCH(I$2,Data_72_15!$B$2:$AM$2,0)+1),"")</f>
        <v/>
      </c>
      <c r="J22" s="206" t="str">
        <f>IF(AND($A22&gt;=SYear72,$A22&lt;=EYear72,J$3&gt;0),J$3*VLOOKUP($A22,Data_72_15!$A$8:$AM$52,MATCH(J$2,Data_72_15!$B$2:$AM$2,0)+1),"")</f>
        <v/>
      </c>
      <c r="K22" s="206" t="str">
        <f>IF(AND($A22&gt;=SYear72,$A22&lt;=EYear72,K$3&gt;0),K$3*VLOOKUP($A22,Data_72_15!$A$8:$AM$52,MATCH(K$2,Data_72_15!$B$2:$AM$2,0)+1),"")</f>
        <v/>
      </c>
      <c r="L22" s="206" t="str">
        <f>IF(AND($A22&gt;=SYear72,$A22&lt;=EYear72,L$3&gt;0),L$3*VLOOKUP($A22,Data_72_15!$A$8:$AM$52,MATCH(L$2,Data_72_15!$B$2:$AM$2,0)+1),"")</f>
        <v/>
      </c>
      <c r="M22" s="206" t="str">
        <f>IF(AND($A22&gt;=SYear72,$A22&lt;=EYear72,M$3&gt;0),M$3*VLOOKUP($A22,Data_72_15!$A$8:$AM$52,MATCH(M$2,Data_72_15!$B$2:$AM$2,0)+1),"")</f>
        <v/>
      </c>
      <c r="N22" s="206">
        <f>IF(AND($A22&gt;=SYear72,$A22&lt;=EYear72,N$3&gt;0),N$3*VLOOKUP($A22,Data_72_15!$A$8:$AM$52,MATCH(N$2,Data_72_15!$B$2:$AM$2,0)+1),"")</f>
        <v>7.962482538415486</v>
      </c>
      <c r="O22" s="206" t="str">
        <f>IF(AND($A22&gt;=SYear72,$A22&lt;=EYear72,O$3&gt;0),O$3*VLOOKUP($A22,Data_72_15!$A$8:$AM$52,MATCH(O$2,Data_72_15!$B$2:$AM$2,0)+1),"")</f>
        <v/>
      </c>
      <c r="P22" s="206" t="str">
        <f>IF(AND($A22&gt;=SYear72,$A22&lt;=EYear72,P$3&gt;0),P$3*VLOOKUP($A22,Data_72_15!$A$8:$AM$52,MATCH(P$2,Data_72_15!$B$2:$AM$2,0)+1),"")</f>
        <v/>
      </c>
      <c r="Q22" s="206" t="str">
        <f>IF(AND($A22&gt;=SYear72,$A22&lt;=EYear72,Q$3&gt;0),Q$3*VLOOKUP($A22,Data_72_15!$A$8:$AM$52,MATCH(Q$2,Data_72_15!$B$2:$AM$2,0)+1),"")</f>
        <v/>
      </c>
      <c r="R22" s="206" t="str">
        <f>IF(AND($A22&gt;=SYear72,$A22&lt;=EYear72,R$3&gt;0),R$3*VLOOKUP($A22,Data_72_15!$A$8:$AM$52,MATCH(R$2,Data_72_15!$B$2:$AM$2,0)+1),"")</f>
        <v/>
      </c>
      <c r="S22" s="206" t="str">
        <f>IF(AND($A22&gt;=SYear72,$A22&lt;=EYear72,S$3&gt;0),S$3*VLOOKUP($A22,Data_72_15!$A$8:$AM$52,MATCH(S$2,Data_72_15!$B$2:$AM$2,0)+1),"")</f>
        <v/>
      </c>
      <c r="T22" s="206">
        <f>IF(AND($A22&gt;=SYear72,$A22&lt;=EYear72,T$3&gt;0),T$3*VLOOKUP($A22,Data_72_15!$A$8:$AM$52,MATCH(T$2,Data_72_15!$B$2:$AM$2,0)+1),"")</f>
        <v>0.16757125688806651</v>
      </c>
      <c r="U22" s="206" t="str">
        <f>IF(AND($A22&gt;=SYear72,$A22&lt;=EYear72,U$3&gt;0),U$3*VLOOKUP($A22,Data_72_15!$A$8:$AM$52,MATCH(U$2,Data_72_15!$B$2:$AM$2,0)+1),"")</f>
        <v/>
      </c>
      <c r="V22" s="206" t="str">
        <f>IF(AND($A22&gt;=SYear72,$A22&lt;=EYear72,V$3&gt;0),V$3*VLOOKUP($A22,Data_72_15!$A$8:$AM$52,MATCH(V$2,Data_72_15!$B$2:$AM$2,0)+1),"")</f>
        <v/>
      </c>
      <c r="W22" s="206" t="str">
        <f>IF(AND($A22&gt;=SYear72,$A22&lt;=EYear72,W$3&gt;0),W$3*VLOOKUP($A22,Data_72_15!$A$8:$AM$52,MATCH(W$2,Data_72_15!$B$2:$AM$2,0)+1),"")</f>
        <v/>
      </c>
      <c r="X22" s="206" t="str">
        <f>IF(AND($A22&gt;=SYear72,$A22&lt;=EYear72,X$3&gt;0),X$3*VLOOKUP($A22,Data_72_15!$A$8:$AM$52,MATCH(X$2,Data_72_15!$B$2:$AM$2,0)+1),"")</f>
        <v/>
      </c>
      <c r="Y22" s="206" t="str">
        <f>IF(AND($A22&gt;=SYear72,$A22&lt;=EYear72,Y$3&gt;0),Y$3*VLOOKUP($A22,Data_72_15!$A$8:$AM$52,MATCH(Y$2,Data_72_15!$B$2:$AM$2,0)+1),"")</f>
        <v/>
      </c>
      <c r="Z22" s="206" t="str">
        <f>IF(AND($A22&gt;=SYear72,$A22&lt;=EYear72,Z$3&gt;0),Z$3*VLOOKUP($A22,Data_72_15!$A$8:$AM$52,MATCH(Z$2,Data_72_15!$B$2:$AM$2,0)+1),"")</f>
        <v/>
      </c>
      <c r="AA22" s="206" t="str">
        <f>IF(AND($A22&gt;=SYear72,$A22&lt;=EYear72,AA$3&gt;0),AA$3*VLOOKUP($A22,Data_72_15!$A$8:$AM$52,MATCH(AA$2,Data_72_15!$B$2:$AM$2,0)+1),"")</f>
        <v/>
      </c>
      <c r="AB22" s="206" t="str">
        <f>IF(AND($A22&gt;=SYear72,$A22&lt;=EYear72,AB$3&gt;0),AB$3*VLOOKUP($A22,Data_72_15!$A$8:$AM$52,MATCH(AB$2,Data_72_15!$B$2:$AM$2,0)+1),"")</f>
        <v/>
      </c>
      <c r="AC22" s="206" t="str">
        <f>IF(AND($A22&gt;=SYear72,$A22&lt;=EYear72,AC$3&gt;0),AC$3*VLOOKUP($A22,Data_72_15!$A$8:$AM$52,MATCH(AC$2,Data_72_15!$B$2:$AM$2,0)+1),"")</f>
        <v/>
      </c>
      <c r="AD22" s="206" t="str">
        <f>IF(AND($A22&gt;=SYear72,$A22&lt;=EYear72,AD$3&gt;0),AD$3*VLOOKUP($A22,Data_72_15!$A$8:$AM$52,MATCH(AD$2,Data_72_15!$B$2:$AM$2,0)+1),"")</f>
        <v/>
      </c>
      <c r="AE22" s="206" t="str">
        <f>IF(AND($A22&gt;=SYear72,$A22&lt;=EYear72,AE$3&gt;0),AE$3*VLOOKUP($A22,Data_72_15!$A$8:$AM$52,MATCH(AE$2,Data_72_15!$B$2:$AM$2,0)+1),"")</f>
        <v/>
      </c>
      <c r="AF22" s="206" t="str">
        <f>IF(AND($A22&gt;=SYear72,$A22&lt;=EYear72,AF$3&gt;0),AF$3*VLOOKUP($A22,Data_72_15!$A$8:$AM$52,MATCH(AF$2,Data_72_15!$B$2:$AM$2,0)+1),"")</f>
        <v/>
      </c>
      <c r="AG22" s="206" t="str">
        <f>IF(AND($A22&gt;=SYear72,$A22&lt;=EYear72,AG$3&gt;0),AG$3*VLOOKUP($A22,Data_72_15!$A$8:$AM$52,MATCH(AG$2,Data_72_15!$B$2:$AM$2,0)+1),"")</f>
        <v/>
      </c>
      <c r="AH22" s="206" t="str">
        <f>IF(AND($A22&gt;=SYear72,$A22&lt;=EYear72,AH$3&gt;0),AH$3*VLOOKUP($A22,Data_72_15!$A$8:$AM$52,MATCH(AH$2,Data_72_15!$B$2:$AM$2,0)+1),"")</f>
        <v/>
      </c>
      <c r="AI22" s="206" t="str">
        <f>IF(AND($A22&gt;=SYear72,$A22&lt;=EYear72,AI$3&gt;0),AI$3*VLOOKUP($A22,Data_72_15!$A$8:$AM$52,MATCH(AI$2,Data_72_15!$B$2:$AM$2,0)+1),"")</f>
        <v/>
      </c>
      <c r="AJ22" s="206" t="str">
        <f>IF(AND($A22&gt;=SYear72,$A22&lt;=EYear72,AJ$3&gt;0),AJ$3*VLOOKUP($A22,Data_72_15!$A$8:$AM$52,MATCH(AJ$2,Data_72_15!$B$2:$AM$2,0)+1),"")</f>
        <v/>
      </c>
      <c r="AK22" s="206" t="str">
        <f>IF(AND($A22&gt;=SYear72,$A22&lt;=EYear72,AK$3&gt;0),AK$3*VLOOKUP($A22,Data_72_15!$A$8:$AM$52,MATCH(AK$2,Data_72_15!$B$2:$AM$2,0)+1),"")</f>
        <v/>
      </c>
      <c r="AL22" s="206" t="str">
        <f>IF(AND($A22&gt;=SYear72,$A22&lt;=EYear72,AL$3&gt;0),AL$3*VLOOKUP($A22,Data_72_15!$A$8:$AM$52,MATCH(AL$2,Data_72_15!$B$2:$AM$2,0)+1),"")</f>
        <v/>
      </c>
      <c r="AM22" s="206">
        <f t="shared" si="12"/>
        <v>8.8937555024014863</v>
      </c>
      <c r="AN22" s="446">
        <f t="shared" si="13"/>
        <v>63587.607320058407</v>
      </c>
      <c r="AO22" s="206">
        <f>IF(AND($A22&gt;=SYear72,$A22&lt;=EYear72),(AM22-Data_72_15!AM23)/(1+Data_72_15!AM23%),"")</f>
        <v>4.2700171838419712</v>
      </c>
      <c r="AP22" s="606">
        <f t="shared" si="14"/>
        <v>22646.886142585816</v>
      </c>
      <c r="AQ22" s="143">
        <f t="shared" si="15"/>
        <v>5.2817973444970647</v>
      </c>
      <c r="AR22" s="143">
        <f>IF(AND($A22&gt;=SYear72,$A22&lt;=EYear72),MAX($AQ$7:AQ22),"")</f>
        <v>5.2817973444970647</v>
      </c>
      <c r="AS22" s="209">
        <f t="shared" si="16"/>
        <v>0</v>
      </c>
      <c r="AU22" s="143">
        <f>IF(AND($A22&gt;=SYear72,$A22&lt;=EYear72),Data_72_15!V23,"")</f>
        <v>6.12</v>
      </c>
      <c r="AV22" s="143">
        <f>IF(AND($A22&gt;=SYear72,$A22&lt;=EYear72),Data_72_15!AM23,"")</f>
        <v>4.4343891402714997</v>
      </c>
      <c r="AW22" s="143">
        <f t="shared" si="17"/>
        <v>1.6140381282495606</v>
      </c>
      <c r="AZ22" s="61">
        <f t="shared" si="1"/>
        <v>8.8937555024014792E-2</v>
      </c>
      <c r="BA22" s="61">
        <f t="shared" si="2"/>
        <v>0.16661883597431193</v>
      </c>
      <c r="BB22" s="61">
        <f t="shared" si="3"/>
        <v>0.1303480007551101</v>
      </c>
      <c r="BC22" s="61">
        <f t="shared" si="4"/>
        <v>0.1249945488762656</v>
      </c>
      <c r="BD22" s="61">
        <f t="shared" si="5"/>
        <v>0.10574377197982865</v>
      </c>
      <c r="BG22" s="61">
        <f t="shared" si="6"/>
        <v>4.2700171838419676E-2</v>
      </c>
      <c r="BH22" s="61">
        <f t="shared" si="7"/>
        <v>0.11637828760744418</v>
      </c>
      <c r="BI22" s="61">
        <f t="shared" si="8"/>
        <v>8.1363665406736896E-2</v>
      </c>
      <c r="BJ22" s="61">
        <f t="shared" si="9"/>
        <v>8.5066430490861933E-2</v>
      </c>
      <c r="BK22" s="61">
        <f t="shared" si="10"/>
        <v>7.1674467474590609E-2</v>
      </c>
    </row>
    <row r="23" spans="1:63">
      <c r="A23" s="204">
        <f t="shared" si="11"/>
        <v>1988</v>
      </c>
      <c r="B23" s="206">
        <f>IF(AND($A23&gt;=SYear72,$A23&lt;=EYear72,B$3&gt;0),B$3*VLOOKUP($A23,Data_72_15!$A$8:$AM$52,MATCH(B$2,Data_72_15!$B$2:$AM$2,0)+1),"")</f>
        <v>8.8998702206249369</v>
      </c>
      <c r="C23" s="206" t="str">
        <f>IF(AND($A23&gt;=SYear72,$A23&lt;=EYear72,C$3&gt;0),C$3*VLOOKUP($A23,Data_72_15!$A$8:$AM$52,MATCH(C$2,Data_72_15!$B$2:$AM$2,0)+1),"")</f>
        <v/>
      </c>
      <c r="D23" s="206" t="str">
        <f>IF(AND($A23&gt;=SYear72,$A23&lt;=EYear72,D$3&gt;0),D$3*VLOOKUP($A23,Data_72_15!$A$8:$AM$52,MATCH(D$2,Data_72_15!$B$2:$AM$2,0)+1),"")</f>
        <v/>
      </c>
      <c r="E23" s="206" t="str">
        <f>IF(AND($A23&gt;=SYear72,$A23&lt;=EYear72,E$3&gt;0),E$3*VLOOKUP($A23,Data_72_15!$A$8:$AM$52,MATCH(E$2,Data_72_15!$B$2:$AM$2,0)+1),"")</f>
        <v/>
      </c>
      <c r="F23" s="206" t="str">
        <f>IF(AND($A23&gt;=SYear72,$A23&lt;=EYear72,F$3&gt;0),F$3*VLOOKUP($A23,Data_72_15!$A$8:$AM$52,MATCH(F$2,Data_72_15!$B$2:$AM$2,0)+1),"")</f>
        <v/>
      </c>
      <c r="G23" s="206" t="str">
        <f>IF(AND($A23&gt;=SYear72,$A23&lt;=EYear72,G$3&gt;0),G$3*VLOOKUP($A23,Data_72_15!$A$8:$AM$52,MATCH(G$2,Data_72_15!$B$2:$AM$2,0)+1),"")</f>
        <v/>
      </c>
      <c r="H23" s="206" t="str">
        <f>IF(AND($A23&gt;=SYear72,$A23&lt;=EYear72,H$3&gt;0),H$3*VLOOKUP($A23,Data_72_15!$A$8:$AM$52,MATCH(H$2,Data_72_15!$B$2:$AM$2,0)+1),"")</f>
        <v/>
      </c>
      <c r="I23" s="206" t="str">
        <f>IF(AND($A23&gt;=SYear72,$A23&lt;=EYear72,I$3&gt;0),I$3*VLOOKUP($A23,Data_72_15!$A$8:$AM$52,MATCH(I$2,Data_72_15!$B$2:$AM$2,0)+1),"")</f>
        <v/>
      </c>
      <c r="J23" s="206" t="str">
        <f>IF(AND($A23&gt;=SYear72,$A23&lt;=EYear72,J$3&gt;0),J$3*VLOOKUP($A23,Data_72_15!$A$8:$AM$52,MATCH(J$2,Data_72_15!$B$2:$AM$2,0)+1),"")</f>
        <v/>
      </c>
      <c r="K23" s="206" t="str">
        <f>IF(AND($A23&gt;=SYear72,$A23&lt;=EYear72,K$3&gt;0),K$3*VLOOKUP($A23,Data_72_15!$A$8:$AM$52,MATCH(K$2,Data_72_15!$B$2:$AM$2,0)+1),"")</f>
        <v/>
      </c>
      <c r="L23" s="206" t="str">
        <f>IF(AND($A23&gt;=SYear72,$A23&lt;=EYear72,L$3&gt;0),L$3*VLOOKUP($A23,Data_72_15!$A$8:$AM$52,MATCH(L$2,Data_72_15!$B$2:$AM$2,0)+1),"")</f>
        <v/>
      </c>
      <c r="M23" s="206" t="str">
        <f>IF(AND($A23&gt;=SYear72,$A23&lt;=EYear72,M$3&gt;0),M$3*VLOOKUP($A23,Data_72_15!$A$8:$AM$52,MATCH(M$2,Data_72_15!$B$2:$AM$2,0)+1),"")</f>
        <v/>
      </c>
      <c r="N23" s="206">
        <f>IF(AND($A23&gt;=SYear72,$A23&lt;=EYear72,N$3&gt;0),N$3*VLOOKUP($A23,Data_72_15!$A$8:$AM$52,MATCH(N$2,Data_72_15!$B$2:$AM$2,0)+1),"")</f>
        <v>9.0251446817002599</v>
      </c>
      <c r="O23" s="206" t="str">
        <f>IF(AND($A23&gt;=SYear72,$A23&lt;=EYear72,O$3&gt;0),O$3*VLOOKUP($A23,Data_72_15!$A$8:$AM$52,MATCH(O$2,Data_72_15!$B$2:$AM$2,0)+1),"")</f>
        <v/>
      </c>
      <c r="P23" s="206" t="str">
        <f>IF(AND($A23&gt;=SYear72,$A23&lt;=EYear72,P$3&gt;0),P$3*VLOOKUP($A23,Data_72_15!$A$8:$AM$52,MATCH(P$2,Data_72_15!$B$2:$AM$2,0)+1),"")</f>
        <v/>
      </c>
      <c r="Q23" s="206" t="str">
        <f>IF(AND($A23&gt;=SYear72,$A23&lt;=EYear72,Q$3&gt;0),Q$3*VLOOKUP($A23,Data_72_15!$A$8:$AM$52,MATCH(Q$2,Data_72_15!$B$2:$AM$2,0)+1),"")</f>
        <v/>
      </c>
      <c r="R23" s="206" t="str">
        <f>IF(AND($A23&gt;=SYear72,$A23&lt;=EYear72,R$3&gt;0),R$3*VLOOKUP($A23,Data_72_15!$A$8:$AM$52,MATCH(R$2,Data_72_15!$B$2:$AM$2,0)+1),"")</f>
        <v/>
      </c>
      <c r="S23" s="206" t="str">
        <f>IF(AND($A23&gt;=SYear72,$A23&lt;=EYear72,S$3&gt;0),S$3*VLOOKUP($A23,Data_72_15!$A$8:$AM$52,MATCH(S$2,Data_72_15!$B$2:$AM$2,0)+1),"")</f>
        <v/>
      </c>
      <c r="T23" s="206">
        <f>IF(AND($A23&gt;=SYear72,$A23&lt;=EYear72,T$3&gt;0),T$3*VLOOKUP($A23,Data_72_15!$A$8:$AM$52,MATCH(T$2,Data_72_15!$B$2:$AM$2,0)+1),"")</f>
        <v>1.0839985548386937</v>
      </c>
      <c r="U23" s="206" t="str">
        <f>IF(AND($A23&gt;=SYear72,$A23&lt;=EYear72,U$3&gt;0),U$3*VLOOKUP($A23,Data_72_15!$A$8:$AM$52,MATCH(U$2,Data_72_15!$B$2:$AM$2,0)+1),"")</f>
        <v/>
      </c>
      <c r="V23" s="206" t="str">
        <f>IF(AND($A23&gt;=SYear72,$A23&lt;=EYear72,V$3&gt;0),V$3*VLOOKUP($A23,Data_72_15!$A$8:$AM$52,MATCH(V$2,Data_72_15!$B$2:$AM$2,0)+1),"")</f>
        <v/>
      </c>
      <c r="W23" s="206" t="str">
        <f>IF(AND($A23&gt;=SYear72,$A23&lt;=EYear72,W$3&gt;0),W$3*VLOOKUP($A23,Data_72_15!$A$8:$AM$52,MATCH(W$2,Data_72_15!$B$2:$AM$2,0)+1),"")</f>
        <v/>
      </c>
      <c r="X23" s="206" t="str">
        <f>IF(AND($A23&gt;=SYear72,$A23&lt;=EYear72,X$3&gt;0),X$3*VLOOKUP($A23,Data_72_15!$A$8:$AM$52,MATCH(X$2,Data_72_15!$B$2:$AM$2,0)+1),"")</f>
        <v/>
      </c>
      <c r="Y23" s="206" t="str">
        <f>IF(AND($A23&gt;=SYear72,$A23&lt;=EYear72,Y$3&gt;0),Y$3*VLOOKUP($A23,Data_72_15!$A$8:$AM$52,MATCH(Y$2,Data_72_15!$B$2:$AM$2,0)+1),"")</f>
        <v/>
      </c>
      <c r="Z23" s="206" t="str">
        <f>IF(AND($A23&gt;=SYear72,$A23&lt;=EYear72,Z$3&gt;0),Z$3*VLOOKUP($A23,Data_72_15!$A$8:$AM$52,MATCH(Z$2,Data_72_15!$B$2:$AM$2,0)+1),"")</f>
        <v/>
      </c>
      <c r="AA23" s="206" t="str">
        <f>IF(AND($A23&gt;=SYear72,$A23&lt;=EYear72,AA$3&gt;0),AA$3*VLOOKUP($A23,Data_72_15!$A$8:$AM$52,MATCH(AA$2,Data_72_15!$B$2:$AM$2,0)+1),"")</f>
        <v/>
      </c>
      <c r="AB23" s="206" t="str">
        <f>IF(AND($A23&gt;=SYear72,$A23&lt;=EYear72,AB$3&gt;0),AB$3*VLOOKUP($A23,Data_72_15!$A$8:$AM$52,MATCH(AB$2,Data_72_15!$B$2:$AM$2,0)+1),"")</f>
        <v/>
      </c>
      <c r="AC23" s="206" t="str">
        <f>IF(AND($A23&gt;=SYear72,$A23&lt;=EYear72,AC$3&gt;0),AC$3*VLOOKUP($A23,Data_72_15!$A$8:$AM$52,MATCH(AC$2,Data_72_15!$B$2:$AM$2,0)+1),"")</f>
        <v/>
      </c>
      <c r="AD23" s="206" t="str">
        <f>IF(AND($A23&gt;=SYear72,$A23&lt;=EYear72,AD$3&gt;0),AD$3*VLOOKUP($A23,Data_72_15!$A$8:$AM$52,MATCH(AD$2,Data_72_15!$B$2:$AM$2,0)+1),"")</f>
        <v/>
      </c>
      <c r="AE23" s="206" t="str">
        <f>IF(AND($A23&gt;=SYear72,$A23&lt;=EYear72,AE$3&gt;0),AE$3*VLOOKUP($A23,Data_72_15!$A$8:$AM$52,MATCH(AE$2,Data_72_15!$B$2:$AM$2,0)+1),"")</f>
        <v/>
      </c>
      <c r="AF23" s="206" t="str">
        <f>IF(AND($A23&gt;=SYear72,$A23&lt;=EYear72,AF$3&gt;0),AF$3*VLOOKUP($A23,Data_72_15!$A$8:$AM$52,MATCH(AF$2,Data_72_15!$B$2:$AM$2,0)+1),"")</f>
        <v/>
      </c>
      <c r="AG23" s="206" t="str">
        <f>IF(AND($A23&gt;=SYear72,$A23&lt;=EYear72,AG$3&gt;0),AG$3*VLOOKUP($A23,Data_72_15!$A$8:$AM$52,MATCH(AG$2,Data_72_15!$B$2:$AM$2,0)+1),"")</f>
        <v/>
      </c>
      <c r="AH23" s="206" t="str">
        <f>IF(AND($A23&gt;=SYear72,$A23&lt;=EYear72,AH$3&gt;0),AH$3*VLOOKUP($A23,Data_72_15!$A$8:$AM$52,MATCH(AH$2,Data_72_15!$B$2:$AM$2,0)+1),"")</f>
        <v/>
      </c>
      <c r="AI23" s="206" t="str">
        <f>IF(AND($A23&gt;=SYear72,$A23&lt;=EYear72,AI$3&gt;0),AI$3*VLOOKUP($A23,Data_72_15!$A$8:$AM$52,MATCH(AI$2,Data_72_15!$B$2:$AM$2,0)+1),"")</f>
        <v/>
      </c>
      <c r="AJ23" s="206" t="str">
        <f>IF(AND($A23&gt;=SYear72,$A23&lt;=EYear72,AJ$3&gt;0),AJ$3*VLOOKUP($A23,Data_72_15!$A$8:$AM$52,MATCH(AJ$2,Data_72_15!$B$2:$AM$2,0)+1),"")</f>
        <v/>
      </c>
      <c r="AK23" s="206" t="str">
        <f>IF(AND($A23&gt;=SYear72,$A23&lt;=EYear72,AK$3&gt;0),AK$3*VLOOKUP($A23,Data_72_15!$A$8:$AM$52,MATCH(AK$2,Data_72_15!$B$2:$AM$2,0)+1),"")</f>
        <v/>
      </c>
      <c r="AL23" s="206" t="str">
        <f>IF(AND($A23&gt;=SYear72,$A23&lt;=EYear72,AL$3&gt;0),AL$3*VLOOKUP($A23,Data_72_15!$A$8:$AM$52,MATCH(AL$2,Data_72_15!$B$2:$AM$2,0)+1),"")</f>
        <v/>
      </c>
      <c r="AM23" s="206">
        <f t="shared" si="12"/>
        <v>19.009013457163888</v>
      </c>
      <c r="AN23" s="446">
        <f t="shared" si="13"/>
        <v>75674.984152616831</v>
      </c>
      <c r="AO23" s="206">
        <f>IF(AND($A23&gt;=SYear72,$A23&lt;=EYear72),(AM23-Data_72_15!AM24)/(1+Data_72_15!AM24%),"")</f>
        <v>13.972117451922944</v>
      </c>
      <c r="AP23" s="606">
        <f t="shared" si="14"/>
        <v>25811.135673631168</v>
      </c>
      <c r="AQ23" s="143">
        <f t="shared" si="15"/>
        <v>6.2858149124926364</v>
      </c>
      <c r="AR23" s="143">
        <f>IF(AND($A23&gt;=SYear72,$A23&lt;=EYear72),MAX($AQ$7:AQ23),"")</f>
        <v>6.2858149124926364</v>
      </c>
      <c r="AS23" s="209">
        <f t="shared" si="16"/>
        <v>0</v>
      </c>
      <c r="AU23" s="143">
        <f>IF(AND($A23&gt;=SYear72,$A23&lt;=EYear72),Data_72_15!V24,"")</f>
        <v>7.18</v>
      </c>
      <c r="AV23" s="143">
        <f>IF(AND($A23&gt;=SYear72,$A23&lt;=EYear72),Data_72_15!AM24,"")</f>
        <v>4.4194107452339537</v>
      </c>
      <c r="AW23" s="143">
        <f t="shared" si="17"/>
        <v>2.6437510373444129</v>
      </c>
      <c r="AZ23" s="61">
        <f t="shared" si="1"/>
        <v>0.19009013457163881</v>
      </c>
      <c r="BA23" s="61">
        <f t="shared" si="2"/>
        <v>0.10430194220837463</v>
      </c>
      <c r="BB23" s="61">
        <f t="shared" si="3"/>
        <v>0.11949056118047419</v>
      </c>
      <c r="BC23" s="61">
        <f t="shared" si="4"/>
        <v>0.13309216522150713</v>
      </c>
      <c r="BD23" s="61">
        <f t="shared" si="5"/>
        <v>9.0006724185064391E-2</v>
      </c>
      <c r="BG23" s="61">
        <f t="shared" si="6"/>
        <v>0.1397211745192295</v>
      </c>
      <c r="BH23" s="61">
        <f t="shared" si="7"/>
        <v>5.1165425426697553E-2</v>
      </c>
      <c r="BI23" s="61">
        <f t="shared" si="8"/>
        <v>7.4150460361893655E-2</v>
      </c>
      <c r="BJ23" s="61">
        <f t="shared" si="9"/>
        <v>9.5777505307883981E-2</v>
      </c>
      <c r="BK23" s="61">
        <f t="shared" si="10"/>
        <v>5.7824593777220601E-2</v>
      </c>
    </row>
    <row r="24" spans="1:63">
      <c r="A24" s="204">
        <f t="shared" si="11"/>
        <v>1989</v>
      </c>
      <c r="B24" s="206">
        <f>IF(AND($A24&gt;=SYear72,$A24&lt;=EYear72,B$3&gt;0),B$3*VLOOKUP($A24,Data_72_15!$A$8:$AM$52,MATCH(B$2,Data_72_15!$B$2:$AM$2,0)+1),"")</f>
        <v>14.340620944394527</v>
      </c>
      <c r="C24" s="206" t="str">
        <f>IF(AND($A24&gt;=SYear72,$A24&lt;=EYear72,C$3&gt;0),C$3*VLOOKUP($A24,Data_72_15!$A$8:$AM$52,MATCH(C$2,Data_72_15!$B$2:$AM$2,0)+1),"")</f>
        <v/>
      </c>
      <c r="D24" s="206" t="str">
        <f>IF(AND($A24&gt;=SYear72,$A24&lt;=EYear72,D$3&gt;0),D$3*VLOOKUP($A24,Data_72_15!$A$8:$AM$52,MATCH(D$2,Data_72_15!$B$2:$AM$2,0)+1),"")</f>
        <v/>
      </c>
      <c r="E24" s="206" t="str">
        <f>IF(AND($A24&gt;=SYear72,$A24&lt;=EYear72,E$3&gt;0),E$3*VLOOKUP($A24,Data_72_15!$A$8:$AM$52,MATCH(E$2,Data_72_15!$B$2:$AM$2,0)+1),"")</f>
        <v/>
      </c>
      <c r="F24" s="206" t="str">
        <f>IF(AND($A24&gt;=SYear72,$A24&lt;=EYear72,F$3&gt;0),F$3*VLOOKUP($A24,Data_72_15!$A$8:$AM$52,MATCH(F$2,Data_72_15!$B$2:$AM$2,0)+1),"")</f>
        <v/>
      </c>
      <c r="G24" s="206" t="str">
        <f>IF(AND($A24&gt;=SYear72,$A24&lt;=EYear72,G$3&gt;0),G$3*VLOOKUP($A24,Data_72_15!$A$8:$AM$52,MATCH(G$2,Data_72_15!$B$2:$AM$2,0)+1),"")</f>
        <v/>
      </c>
      <c r="H24" s="206" t="str">
        <f>IF(AND($A24&gt;=SYear72,$A24&lt;=EYear72,H$3&gt;0),H$3*VLOOKUP($A24,Data_72_15!$A$8:$AM$52,MATCH(H$2,Data_72_15!$B$2:$AM$2,0)+1),"")</f>
        <v/>
      </c>
      <c r="I24" s="206" t="str">
        <f>IF(AND($A24&gt;=SYear72,$A24&lt;=EYear72,I$3&gt;0),I$3*VLOOKUP($A24,Data_72_15!$A$8:$AM$52,MATCH(I$2,Data_72_15!$B$2:$AM$2,0)+1),"")</f>
        <v/>
      </c>
      <c r="J24" s="206" t="str">
        <f>IF(AND($A24&gt;=SYear72,$A24&lt;=EYear72,J$3&gt;0),J$3*VLOOKUP($A24,Data_72_15!$A$8:$AM$52,MATCH(J$2,Data_72_15!$B$2:$AM$2,0)+1),"")</f>
        <v/>
      </c>
      <c r="K24" s="206" t="str">
        <f>IF(AND($A24&gt;=SYear72,$A24&lt;=EYear72,K$3&gt;0),K$3*VLOOKUP($A24,Data_72_15!$A$8:$AM$52,MATCH(K$2,Data_72_15!$B$2:$AM$2,0)+1),"")</f>
        <v/>
      </c>
      <c r="L24" s="206" t="str">
        <f>IF(AND($A24&gt;=SYear72,$A24&lt;=EYear72,L$3&gt;0),L$3*VLOOKUP($A24,Data_72_15!$A$8:$AM$52,MATCH(L$2,Data_72_15!$B$2:$AM$2,0)+1),"")</f>
        <v/>
      </c>
      <c r="M24" s="206" t="str">
        <f>IF(AND($A24&gt;=SYear72,$A24&lt;=EYear72,M$3&gt;0),M$3*VLOOKUP($A24,Data_72_15!$A$8:$AM$52,MATCH(M$2,Data_72_15!$B$2:$AM$2,0)+1),"")</f>
        <v/>
      </c>
      <c r="N24" s="206">
        <f>IF(AND($A24&gt;=SYear72,$A24&lt;=EYear72,N$3&gt;0),N$3*VLOOKUP($A24,Data_72_15!$A$8:$AM$52,MATCH(N$2,Data_72_15!$B$2:$AM$2,0)+1),"")</f>
        <v>5.6006785072839751</v>
      </c>
      <c r="O24" s="206" t="str">
        <f>IF(AND($A24&gt;=SYear72,$A24&lt;=EYear72,O$3&gt;0),O$3*VLOOKUP($A24,Data_72_15!$A$8:$AM$52,MATCH(O$2,Data_72_15!$B$2:$AM$2,0)+1),"")</f>
        <v/>
      </c>
      <c r="P24" s="206" t="str">
        <f>IF(AND($A24&gt;=SYear72,$A24&lt;=EYear72,P$3&gt;0),P$3*VLOOKUP($A24,Data_72_15!$A$8:$AM$52,MATCH(P$2,Data_72_15!$B$2:$AM$2,0)+1),"")</f>
        <v/>
      </c>
      <c r="Q24" s="206" t="str">
        <f>IF(AND($A24&gt;=SYear72,$A24&lt;=EYear72,Q$3&gt;0),Q$3*VLOOKUP($A24,Data_72_15!$A$8:$AM$52,MATCH(Q$2,Data_72_15!$B$2:$AM$2,0)+1),"")</f>
        <v/>
      </c>
      <c r="R24" s="206" t="str">
        <f>IF(AND($A24&gt;=SYear72,$A24&lt;=EYear72,R$3&gt;0),R$3*VLOOKUP($A24,Data_72_15!$A$8:$AM$52,MATCH(R$2,Data_72_15!$B$2:$AM$2,0)+1),"")</f>
        <v/>
      </c>
      <c r="S24" s="206" t="str">
        <f>IF(AND($A24&gt;=SYear72,$A24&lt;=EYear72,S$3&gt;0),S$3*VLOOKUP($A24,Data_72_15!$A$8:$AM$52,MATCH(S$2,Data_72_15!$B$2:$AM$2,0)+1),"")</f>
        <v/>
      </c>
      <c r="T24" s="206">
        <f>IF(AND($A24&gt;=SYear72,$A24&lt;=EYear72,T$3&gt;0),T$3*VLOOKUP($A24,Data_72_15!$A$8:$AM$52,MATCH(T$2,Data_72_15!$B$2:$AM$2,0)+1),"")</f>
        <v>2.5778918517922458</v>
      </c>
      <c r="U24" s="206" t="str">
        <f>IF(AND($A24&gt;=SYear72,$A24&lt;=EYear72,U$3&gt;0),U$3*VLOOKUP($A24,Data_72_15!$A$8:$AM$52,MATCH(U$2,Data_72_15!$B$2:$AM$2,0)+1),"")</f>
        <v/>
      </c>
      <c r="V24" s="206" t="str">
        <f>IF(AND($A24&gt;=SYear72,$A24&lt;=EYear72,V$3&gt;0),V$3*VLOOKUP($A24,Data_72_15!$A$8:$AM$52,MATCH(V$2,Data_72_15!$B$2:$AM$2,0)+1),"")</f>
        <v/>
      </c>
      <c r="W24" s="206" t="str">
        <f>IF(AND($A24&gt;=SYear72,$A24&lt;=EYear72,W$3&gt;0),W$3*VLOOKUP($A24,Data_72_15!$A$8:$AM$52,MATCH(W$2,Data_72_15!$B$2:$AM$2,0)+1),"")</f>
        <v/>
      </c>
      <c r="X24" s="206" t="str">
        <f>IF(AND($A24&gt;=SYear72,$A24&lt;=EYear72,X$3&gt;0),X$3*VLOOKUP($A24,Data_72_15!$A$8:$AM$52,MATCH(X$2,Data_72_15!$B$2:$AM$2,0)+1),"")</f>
        <v/>
      </c>
      <c r="Y24" s="206" t="str">
        <f>IF(AND($A24&gt;=SYear72,$A24&lt;=EYear72,Y$3&gt;0),Y$3*VLOOKUP($A24,Data_72_15!$A$8:$AM$52,MATCH(Y$2,Data_72_15!$B$2:$AM$2,0)+1),"")</f>
        <v/>
      </c>
      <c r="Z24" s="206" t="str">
        <f>IF(AND($A24&gt;=SYear72,$A24&lt;=EYear72,Z$3&gt;0),Z$3*VLOOKUP($A24,Data_72_15!$A$8:$AM$52,MATCH(Z$2,Data_72_15!$B$2:$AM$2,0)+1),"")</f>
        <v/>
      </c>
      <c r="AA24" s="206" t="str">
        <f>IF(AND($A24&gt;=SYear72,$A24&lt;=EYear72,AA$3&gt;0),AA$3*VLOOKUP($A24,Data_72_15!$A$8:$AM$52,MATCH(AA$2,Data_72_15!$B$2:$AM$2,0)+1),"")</f>
        <v/>
      </c>
      <c r="AB24" s="206" t="str">
        <f>IF(AND($A24&gt;=SYear72,$A24&lt;=EYear72,AB$3&gt;0),AB$3*VLOOKUP($A24,Data_72_15!$A$8:$AM$52,MATCH(AB$2,Data_72_15!$B$2:$AM$2,0)+1),"")</f>
        <v/>
      </c>
      <c r="AC24" s="206" t="str">
        <f>IF(AND($A24&gt;=SYear72,$A24&lt;=EYear72,AC$3&gt;0),AC$3*VLOOKUP($A24,Data_72_15!$A$8:$AM$52,MATCH(AC$2,Data_72_15!$B$2:$AM$2,0)+1),"")</f>
        <v/>
      </c>
      <c r="AD24" s="206" t="str">
        <f>IF(AND($A24&gt;=SYear72,$A24&lt;=EYear72,AD$3&gt;0),AD$3*VLOOKUP($A24,Data_72_15!$A$8:$AM$52,MATCH(AD$2,Data_72_15!$B$2:$AM$2,0)+1),"")</f>
        <v/>
      </c>
      <c r="AE24" s="206" t="str">
        <f>IF(AND($A24&gt;=SYear72,$A24&lt;=EYear72,AE$3&gt;0),AE$3*VLOOKUP($A24,Data_72_15!$A$8:$AM$52,MATCH(AE$2,Data_72_15!$B$2:$AM$2,0)+1),"")</f>
        <v/>
      </c>
      <c r="AF24" s="206" t="str">
        <f>IF(AND($A24&gt;=SYear72,$A24&lt;=EYear72,AF$3&gt;0),AF$3*VLOOKUP($A24,Data_72_15!$A$8:$AM$52,MATCH(AF$2,Data_72_15!$B$2:$AM$2,0)+1),"")</f>
        <v/>
      </c>
      <c r="AG24" s="206" t="str">
        <f>IF(AND($A24&gt;=SYear72,$A24&lt;=EYear72,AG$3&gt;0),AG$3*VLOOKUP($A24,Data_72_15!$A$8:$AM$52,MATCH(AG$2,Data_72_15!$B$2:$AM$2,0)+1),"")</f>
        <v/>
      </c>
      <c r="AH24" s="206" t="str">
        <f>IF(AND($A24&gt;=SYear72,$A24&lt;=EYear72,AH$3&gt;0),AH$3*VLOOKUP($A24,Data_72_15!$A$8:$AM$52,MATCH(AH$2,Data_72_15!$B$2:$AM$2,0)+1),"")</f>
        <v/>
      </c>
      <c r="AI24" s="206" t="str">
        <f>IF(AND($A24&gt;=SYear72,$A24&lt;=EYear72,AI$3&gt;0),AI$3*VLOOKUP($A24,Data_72_15!$A$8:$AM$52,MATCH(AI$2,Data_72_15!$B$2:$AM$2,0)+1),"")</f>
        <v/>
      </c>
      <c r="AJ24" s="206" t="str">
        <f>IF(AND($A24&gt;=SYear72,$A24&lt;=EYear72,AJ$3&gt;0),AJ$3*VLOOKUP($A24,Data_72_15!$A$8:$AM$52,MATCH(AJ$2,Data_72_15!$B$2:$AM$2,0)+1),"")</f>
        <v/>
      </c>
      <c r="AK24" s="206" t="str">
        <f>IF(AND($A24&gt;=SYear72,$A24&lt;=EYear72,AK$3&gt;0),AK$3*VLOOKUP($A24,Data_72_15!$A$8:$AM$52,MATCH(AK$2,Data_72_15!$B$2:$AM$2,0)+1),"")</f>
        <v/>
      </c>
      <c r="AL24" s="206" t="str">
        <f>IF(AND($A24&gt;=SYear72,$A24&lt;=EYear72,AL$3&gt;0),AL$3*VLOOKUP($A24,Data_72_15!$A$8:$AM$52,MATCH(AL$2,Data_72_15!$B$2:$AM$2,0)+1),"")</f>
        <v/>
      </c>
      <c r="AM24" s="206">
        <f t="shared" si="12"/>
        <v>22.519191303470748</v>
      </c>
      <c r="AN24" s="446">
        <f t="shared" si="13"/>
        <v>92716.378602815792</v>
      </c>
      <c r="AO24" s="206">
        <f>IF(AND($A24&gt;=SYear72,$A24&lt;=EYear72),(AM24-Data_72_15!AM25)/(1+Data_72_15!AM25%),"")</f>
        <v>17.07821214962906</v>
      </c>
      <c r="AP24" s="606">
        <f t="shared" si="14"/>
        <v>30219.216182202486</v>
      </c>
      <c r="AQ24" s="143">
        <f t="shared" si="15"/>
        <v>7.7013295976189458</v>
      </c>
      <c r="AR24" s="143">
        <f>IF(AND($A24&gt;=SYear72,$A24&lt;=EYear72),MAX($AQ$7:AQ24),"")</f>
        <v>7.7013295976189458</v>
      </c>
      <c r="AS24" s="209">
        <f t="shared" si="16"/>
        <v>0</v>
      </c>
      <c r="AU24" s="143">
        <f>IF(AND($A24&gt;=SYear72,$A24&lt;=EYear72),Data_72_15!V25,"")</f>
        <v>8.8699999999999992</v>
      </c>
      <c r="AV24" s="143">
        <f>IF(AND($A24&gt;=SYear72,$A24&lt;=EYear72),Data_72_15!AM25,"")</f>
        <v>4.647302904564321</v>
      </c>
      <c r="AW24" s="143">
        <f t="shared" si="17"/>
        <v>4.035170499603483</v>
      </c>
      <c r="AZ24" s="61">
        <f t="shared" si="1"/>
        <v>0.22519191303470754</v>
      </c>
      <c r="BA24" s="61">
        <f t="shared" si="2"/>
        <v>0.12501766174641271</v>
      </c>
      <c r="BB24" s="61">
        <f t="shared" si="3"/>
        <v>0.11978570038054648</v>
      </c>
      <c r="BC24" s="61">
        <f t="shared" si="4"/>
        <v>0.13254158480936318</v>
      </c>
      <c r="BD24" s="61">
        <f t="shared" si="5"/>
        <v>9.5455072632940396E-2</v>
      </c>
      <c r="BG24" s="61">
        <f t="shared" si="6"/>
        <v>0.17078212149629057</v>
      </c>
      <c r="BH24" s="61">
        <f t="shared" si="7"/>
        <v>7.5557420163421263E-2</v>
      </c>
      <c r="BI24" s="61">
        <f t="shared" si="8"/>
        <v>7.7905832445601897E-2</v>
      </c>
      <c r="BJ24" s="61">
        <f t="shared" si="9"/>
        <v>9.82342073045952E-2</v>
      </c>
      <c r="BK24" s="61">
        <f t="shared" si="10"/>
        <v>6.4858785146876485E-2</v>
      </c>
    </row>
    <row r="25" spans="1:63">
      <c r="A25" s="204">
        <f t="shared" si="11"/>
        <v>1990</v>
      </c>
      <c r="B25" s="206">
        <f>IF(AND($A25&gt;=SYear72,$A25&lt;=EYear72,B$3&gt;0),B$3*VLOOKUP($A25,Data_72_15!$A$8:$AM$52,MATCH(B$2,Data_72_15!$B$2:$AM$2,0)+1),"")</f>
        <v>-3.0797644005191174</v>
      </c>
      <c r="C25" s="206" t="str">
        <f>IF(AND($A25&gt;=SYear72,$A25&lt;=EYear72,C$3&gt;0),C$3*VLOOKUP($A25,Data_72_15!$A$8:$AM$52,MATCH(C$2,Data_72_15!$B$2:$AM$2,0)+1),"")</f>
        <v/>
      </c>
      <c r="D25" s="206" t="str">
        <f>IF(AND($A25&gt;=SYear72,$A25&lt;=EYear72,D$3&gt;0),D$3*VLOOKUP($A25,Data_72_15!$A$8:$AM$52,MATCH(D$2,Data_72_15!$B$2:$AM$2,0)+1),"")</f>
        <v/>
      </c>
      <c r="E25" s="206" t="str">
        <f>IF(AND($A25&gt;=SYear72,$A25&lt;=EYear72,E$3&gt;0),E$3*VLOOKUP($A25,Data_72_15!$A$8:$AM$52,MATCH(E$2,Data_72_15!$B$2:$AM$2,0)+1),"")</f>
        <v/>
      </c>
      <c r="F25" s="206" t="str">
        <f>IF(AND($A25&gt;=SYear72,$A25&lt;=EYear72,F$3&gt;0),F$3*VLOOKUP($A25,Data_72_15!$A$8:$AM$52,MATCH(F$2,Data_72_15!$B$2:$AM$2,0)+1),"")</f>
        <v/>
      </c>
      <c r="G25" s="206" t="str">
        <f>IF(AND($A25&gt;=SYear72,$A25&lt;=EYear72,G$3&gt;0),G$3*VLOOKUP($A25,Data_72_15!$A$8:$AM$52,MATCH(G$2,Data_72_15!$B$2:$AM$2,0)+1),"")</f>
        <v/>
      </c>
      <c r="H25" s="206" t="str">
        <f>IF(AND($A25&gt;=SYear72,$A25&lt;=EYear72,H$3&gt;0),H$3*VLOOKUP($A25,Data_72_15!$A$8:$AM$52,MATCH(H$2,Data_72_15!$B$2:$AM$2,0)+1),"")</f>
        <v/>
      </c>
      <c r="I25" s="206" t="str">
        <f>IF(AND($A25&gt;=SYear72,$A25&lt;=EYear72,I$3&gt;0),I$3*VLOOKUP($A25,Data_72_15!$A$8:$AM$52,MATCH(I$2,Data_72_15!$B$2:$AM$2,0)+1),"")</f>
        <v/>
      </c>
      <c r="J25" s="206" t="str">
        <f>IF(AND($A25&gt;=SYear72,$A25&lt;=EYear72,J$3&gt;0),J$3*VLOOKUP($A25,Data_72_15!$A$8:$AM$52,MATCH(J$2,Data_72_15!$B$2:$AM$2,0)+1),"")</f>
        <v/>
      </c>
      <c r="K25" s="206" t="str">
        <f>IF(AND($A25&gt;=SYear72,$A25&lt;=EYear72,K$3&gt;0),K$3*VLOOKUP($A25,Data_72_15!$A$8:$AM$52,MATCH(K$2,Data_72_15!$B$2:$AM$2,0)+1),"")</f>
        <v/>
      </c>
      <c r="L25" s="206" t="str">
        <f>IF(AND($A25&gt;=SYear72,$A25&lt;=EYear72,L$3&gt;0),L$3*VLOOKUP($A25,Data_72_15!$A$8:$AM$52,MATCH(L$2,Data_72_15!$B$2:$AM$2,0)+1),"")</f>
        <v/>
      </c>
      <c r="M25" s="206" t="str">
        <f>IF(AND($A25&gt;=SYear72,$A25&lt;=EYear72,M$3&gt;0),M$3*VLOOKUP($A25,Data_72_15!$A$8:$AM$52,MATCH(M$2,Data_72_15!$B$2:$AM$2,0)+1),"")</f>
        <v/>
      </c>
      <c r="N25" s="206">
        <f>IF(AND($A25&gt;=SYear72,$A25&lt;=EYear72,N$3&gt;0),N$3*VLOOKUP($A25,Data_72_15!$A$8:$AM$52,MATCH(N$2,Data_72_15!$B$2:$AM$2,0)+1),"")</f>
        <v>-6.4448213929355411</v>
      </c>
      <c r="O25" s="206" t="str">
        <f>IF(AND($A25&gt;=SYear72,$A25&lt;=EYear72,O$3&gt;0),O$3*VLOOKUP($A25,Data_72_15!$A$8:$AM$52,MATCH(O$2,Data_72_15!$B$2:$AM$2,0)+1),"")</f>
        <v/>
      </c>
      <c r="P25" s="206" t="str">
        <f>IF(AND($A25&gt;=SYear72,$A25&lt;=EYear72,P$3&gt;0),P$3*VLOOKUP($A25,Data_72_15!$A$8:$AM$52,MATCH(P$2,Data_72_15!$B$2:$AM$2,0)+1),"")</f>
        <v/>
      </c>
      <c r="Q25" s="206" t="str">
        <f>IF(AND($A25&gt;=SYear72,$A25&lt;=EYear72,Q$3&gt;0),Q$3*VLOOKUP($A25,Data_72_15!$A$8:$AM$52,MATCH(Q$2,Data_72_15!$B$2:$AM$2,0)+1),"")</f>
        <v/>
      </c>
      <c r="R25" s="206" t="str">
        <f>IF(AND($A25&gt;=SYear72,$A25&lt;=EYear72,R$3&gt;0),R$3*VLOOKUP($A25,Data_72_15!$A$8:$AM$52,MATCH(R$2,Data_72_15!$B$2:$AM$2,0)+1),"")</f>
        <v/>
      </c>
      <c r="S25" s="206" t="str">
        <f>IF(AND($A25&gt;=SYear72,$A25&lt;=EYear72,S$3&gt;0),S$3*VLOOKUP($A25,Data_72_15!$A$8:$AM$52,MATCH(S$2,Data_72_15!$B$2:$AM$2,0)+1),"")</f>
        <v/>
      </c>
      <c r="T25" s="206">
        <f>IF(AND($A25&gt;=SYear72,$A25&lt;=EYear72,T$3&gt;0),T$3*VLOOKUP($A25,Data_72_15!$A$8:$AM$52,MATCH(T$2,Data_72_15!$B$2:$AM$2,0)+1),"")</f>
        <v>1.8836515763903277</v>
      </c>
      <c r="U25" s="206" t="str">
        <f>IF(AND($A25&gt;=SYear72,$A25&lt;=EYear72,U$3&gt;0),U$3*VLOOKUP($A25,Data_72_15!$A$8:$AM$52,MATCH(U$2,Data_72_15!$B$2:$AM$2,0)+1),"")</f>
        <v/>
      </c>
      <c r="V25" s="206" t="str">
        <f>IF(AND($A25&gt;=SYear72,$A25&lt;=EYear72,V$3&gt;0),V$3*VLOOKUP($A25,Data_72_15!$A$8:$AM$52,MATCH(V$2,Data_72_15!$B$2:$AM$2,0)+1),"")</f>
        <v/>
      </c>
      <c r="W25" s="206" t="str">
        <f>IF(AND($A25&gt;=SYear72,$A25&lt;=EYear72,W$3&gt;0),W$3*VLOOKUP($A25,Data_72_15!$A$8:$AM$52,MATCH(W$2,Data_72_15!$B$2:$AM$2,0)+1),"")</f>
        <v/>
      </c>
      <c r="X25" s="206" t="str">
        <f>IF(AND($A25&gt;=SYear72,$A25&lt;=EYear72,X$3&gt;0),X$3*VLOOKUP($A25,Data_72_15!$A$8:$AM$52,MATCH(X$2,Data_72_15!$B$2:$AM$2,0)+1),"")</f>
        <v/>
      </c>
      <c r="Y25" s="206" t="str">
        <f>IF(AND($A25&gt;=SYear72,$A25&lt;=EYear72,Y$3&gt;0),Y$3*VLOOKUP($A25,Data_72_15!$A$8:$AM$52,MATCH(Y$2,Data_72_15!$B$2:$AM$2,0)+1),"")</f>
        <v/>
      </c>
      <c r="Z25" s="206" t="str">
        <f>IF(AND($A25&gt;=SYear72,$A25&lt;=EYear72,Z$3&gt;0),Z$3*VLOOKUP($A25,Data_72_15!$A$8:$AM$52,MATCH(Z$2,Data_72_15!$B$2:$AM$2,0)+1),"")</f>
        <v/>
      </c>
      <c r="AA25" s="206" t="str">
        <f>IF(AND($A25&gt;=SYear72,$A25&lt;=EYear72,AA$3&gt;0),AA$3*VLOOKUP($A25,Data_72_15!$A$8:$AM$52,MATCH(AA$2,Data_72_15!$B$2:$AM$2,0)+1),"")</f>
        <v/>
      </c>
      <c r="AB25" s="206" t="str">
        <f>IF(AND($A25&gt;=SYear72,$A25&lt;=EYear72,AB$3&gt;0),AB$3*VLOOKUP($A25,Data_72_15!$A$8:$AM$52,MATCH(AB$2,Data_72_15!$B$2:$AM$2,0)+1),"")</f>
        <v/>
      </c>
      <c r="AC25" s="206" t="str">
        <f>IF(AND($A25&gt;=SYear72,$A25&lt;=EYear72,AC$3&gt;0),AC$3*VLOOKUP($A25,Data_72_15!$A$8:$AM$52,MATCH(AC$2,Data_72_15!$B$2:$AM$2,0)+1),"")</f>
        <v/>
      </c>
      <c r="AD25" s="206" t="str">
        <f>IF(AND($A25&gt;=SYear72,$A25&lt;=EYear72,AD$3&gt;0),AD$3*VLOOKUP($A25,Data_72_15!$A$8:$AM$52,MATCH(AD$2,Data_72_15!$B$2:$AM$2,0)+1),"")</f>
        <v/>
      </c>
      <c r="AE25" s="206" t="str">
        <f>IF(AND($A25&gt;=SYear72,$A25&lt;=EYear72,AE$3&gt;0),AE$3*VLOOKUP($A25,Data_72_15!$A$8:$AM$52,MATCH(AE$2,Data_72_15!$B$2:$AM$2,0)+1),"")</f>
        <v/>
      </c>
      <c r="AF25" s="206" t="str">
        <f>IF(AND($A25&gt;=SYear72,$A25&lt;=EYear72,AF$3&gt;0),AF$3*VLOOKUP($A25,Data_72_15!$A$8:$AM$52,MATCH(AF$2,Data_72_15!$B$2:$AM$2,0)+1),"")</f>
        <v/>
      </c>
      <c r="AG25" s="206" t="str">
        <f>IF(AND($A25&gt;=SYear72,$A25&lt;=EYear72,AG$3&gt;0),AG$3*VLOOKUP($A25,Data_72_15!$A$8:$AM$52,MATCH(AG$2,Data_72_15!$B$2:$AM$2,0)+1),"")</f>
        <v/>
      </c>
      <c r="AH25" s="206" t="str">
        <f>IF(AND($A25&gt;=SYear72,$A25&lt;=EYear72,AH$3&gt;0),AH$3*VLOOKUP($A25,Data_72_15!$A$8:$AM$52,MATCH(AH$2,Data_72_15!$B$2:$AM$2,0)+1),"")</f>
        <v/>
      </c>
      <c r="AI25" s="206" t="str">
        <f>IF(AND($A25&gt;=SYear72,$A25&lt;=EYear72,AI$3&gt;0),AI$3*VLOOKUP($A25,Data_72_15!$A$8:$AM$52,MATCH(AI$2,Data_72_15!$B$2:$AM$2,0)+1),"")</f>
        <v/>
      </c>
      <c r="AJ25" s="206" t="str">
        <f>IF(AND($A25&gt;=SYear72,$A25&lt;=EYear72,AJ$3&gt;0),AJ$3*VLOOKUP($A25,Data_72_15!$A$8:$AM$52,MATCH(AJ$2,Data_72_15!$B$2:$AM$2,0)+1),"")</f>
        <v/>
      </c>
      <c r="AK25" s="206" t="str">
        <f>IF(AND($A25&gt;=SYear72,$A25&lt;=EYear72,AK$3&gt;0),AK$3*VLOOKUP($A25,Data_72_15!$A$8:$AM$52,MATCH(AK$2,Data_72_15!$B$2:$AM$2,0)+1),"")</f>
        <v/>
      </c>
      <c r="AL25" s="206" t="str">
        <f>IF(AND($A25&gt;=SYear72,$A25&lt;=EYear72,AL$3&gt;0),AL$3*VLOOKUP($A25,Data_72_15!$A$8:$AM$52,MATCH(AL$2,Data_72_15!$B$2:$AM$2,0)+1),"")</f>
        <v/>
      </c>
      <c r="AM25" s="206">
        <f t="shared" si="12"/>
        <v>-7.6409342170643306</v>
      </c>
      <c r="AN25" s="446">
        <f t="shared" si="13"/>
        <v>85631.981105330327</v>
      </c>
      <c r="AO25" s="206">
        <f>IF(AND($A25&gt;=SYear72,$A25&lt;=EYear72),(AM25-Data_72_15!AM26)/(1+Data_72_15!AM26%),"")</f>
        <v>-12.956067300237777</v>
      </c>
      <c r="AP25" s="606">
        <f t="shared" si="14"/>
        <v>26303.994196031988</v>
      </c>
      <c r="AQ25" s="143">
        <f t="shared" si="15"/>
        <v>7.1128760692255772</v>
      </c>
      <c r="AR25" s="143">
        <f>IF(AND($A25&gt;=SYear72,$A25&lt;=EYear72),MAX($AQ$7:AQ25),"")</f>
        <v>7.7013295976189458</v>
      </c>
      <c r="AS25" s="209">
        <f t="shared" si="16"/>
        <v>7.6409342170643324E-2</v>
      </c>
      <c r="AU25" s="143">
        <f>IF(AND($A25&gt;=SYear72,$A25&lt;=EYear72),Data_72_15!V26,"")</f>
        <v>7.94</v>
      </c>
      <c r="AV25" s="143">
        <f>IF(AND($A25&gt;=SYear72,$A25&lt;=EYear72),Data_72_15!AM26,"")</f>
        <v>6.1062648691514898</v>
      </c>
      <c r="AW25" s="143">
        <f t="shared" si="17"/>
        <v>1.7282062780268843</v>
      </c>
      <c r="AZ25" s="61">
        <f t="shared" si="1"/>
        <v>-7.6409342170643324E-2</v>
      </c>
      <c r="BA25" s="61">
        <f t="shared" si="2"/>
        <v>6.4402946729442245E-2</v>
      </c>
      <c r="BB25" s="61">
        <f t="shared" si="3"/>
        <v>7.6747998125445749E-2</v>
      </c>
      <c r="BC25" s="61">
        <f t="shared" si="4"/>
        <v>0.13035765855624248</v>
      </c>
      <c r="BD25" s="61">
        <f t="shared" si="5"/>
        <v>8.9687606633775507E-2</v>
      </c>
      <c r="BG25" s="61">
        <f t="shared" si="6"/>
        <v>-0.12956067300237772</v>
      </c>
      <c r="BH25" s="61">
        <f t="shared" si="7"/>
        <v>2.3332966874306083E-2</v>
      </c>
      <c r="BI25" s="61">
        <f t="shared" si="8"/>
        <v>4.0429674175898933E-2</v>
      </c>
      <c r="BJ25" s="61">
        <f t="shared" si="9"/>
        <v>9.8193776470292482E-2</v>
      </c>
      <c r="BK25" s="61">
        <f t="shared" si="10"/>
        <v>6.0198286808002655E-2</v>
      </c>
    </row>
    <row r="26" spans="1:63">
      <c r="A26" s="204">
        <f t="shared" si="11"/>
        <v>1991</v>
      </c>
      <c r="B26" s="206">
        <f>IF(AND($A26&gt;=SYear72,$A26&lt;=EYear72,B$3&gt;0),B$3*VLOOKUP($A26,Data_72_15!$A$8:$AM$52,MATCH(B$2,Data_72_15!$B$2:$AM$2,0)+1),"")</f>
        <v>17.235699311171008</v>
      </c>
      <c r="C26" s="206" t="str">
        <f>IF(AND($A26&gt;=SYear72,$A26&lt;=EYear72,C$3&gt;0),C$3*VLOOKUP($A26,Data_72_15!$A$8:$AM$52,MATCH(C$2,Data_72_15!$B$2:$AM$2,0)+1),"")</f>
        <v/>
      </c>
      <c r="D26" s="206" t="str">
        <f>IF(AND($A26&gt;=SYear72,$A26&lt;=EYear72,D$3&gt;0),D$3*VLOOKUP($A26,Data_72_15!$A$8:$AM$52,MATCH(D$2,Data_72_15!$B$2:$AM$2,0)+1),"")</f>
        <v/>
      </c>
      <c r="E26" s="206" t="str">
        <f>IF(AND($A26&gt;=SYear72,$A26&lt;=EYear72,E$3&gt;0),E$3*VLOOKUP($A26,Data_72_15!$A$8:$AM$52,MATCH(E$2,Data_72_15!$B$2:$AM$2,0)+1),"")</f>
        <v/>
      </c>
      <c r="F26" s="206" t="str">
        <f>IF(AND($A26&gt;=SYear72,$A26&lt;=EYear72,F$3&gt;0),F$3*VLOOKUP($A26,Data_72_15!$A$8:$AM$52,MATCH(F$2,Data_72_15!$B$2:$AM$2,0)+1),"")</f>
        <v/>
      </c>
      <c r="G26" s="206" t="str">
        <f>IF(AND($A26&gt;=SYear72,$A26&lt;=EYear72,G$3&gt;0),G$3*VLOOKUP($A26,Data_72_15!$A$8:$AM$52,MATCH(G$2,Data_72_15!$B$2:$AM$2,0)+1),"")</f>
        <v/>
      </c>
      <c r="H26" s="206" t="str">
        <f>IF(AND($A26&gt;=SYear72,$A26&lt;=EYear72,H$3&gt;0),H$3*VLOOKUP($A26,Data_72_15!$A$8:$AM$52,MATCH(H$2,Data_72_15!$B$2:$AM$2,0)+1),"")</f>
        <v/>
      </c>
      <c r="I26" s="206" t="str">
        <f>IF(AND($A26&gt;=SYear72,$A26&lt;=EYear72,I$3&gt;0),I$3*VLOOKUP($A26,Data_72_15!$A$8:$AM$52,MATCH(I$2,Data_72_15!$B$2:$AM$2,0)+1),"")</f>
        <v/>
      </c>
      <c r="J26" s="206" t="str">
        <f>IF(AND($A26&gt;=SYear72,$A26&lt;=EYear72,J$3&gt;0),J$3*VLOOKUP($A26,Data_72_15!$A$8:$AM$52,MATCH(J$2,Data_72_15!$B$2:$AM$2,0)+1),"")</f>
        <v/>
      </c>
      <c r="K26" s="206" t="str">
        <f>IF(AND($A26&gt;=SYear72,$A26&lt;=EYear72,K$3&gt;0),K$3*VLOOKUP($A26,Data_72_15!$A$8:$AM$52,MATCH(K$2,Data_72_15!$B$2:$AM$2,0)+1),"")</f>
        <v/>
      </c>
      <c r="L26" s="206" t="str">
        <f>IF(AND($A26&gt;=SYear72,$A26&lt;=EYear72,L$3&gt;0),L$3*VLOOKUP($A26,Data_72_15!$A$8:$AM$52,MATCH(L$2,Data_72_15!$B$2:$AM$2,0)+1),"")</f>
        <v/>
      </c>
      <c r="M26" s="206" t="str">
        <f>IF(AND($A26&gt;=SYear72,$A26&lt;=EYear72,M$3&gt;0),M$3*VLOOKUP($A26,Data_72_15!$A$8:$AM$52,MATCH(M$2,Data_72_15!$B$2:$AM$2,0)+1),"")</f>
        <v/>
      </c>
      <c r="N26" s="206">
        <f>IF(AND($A26&gt;=SYear72,$A26&lt;=EYear72,N$3&gt;0),N$3*VLOOKUP($A26,Data_72_15!$A$8:$AM$52,MATCH(N$2,Data_72_15!$B$2:$AM$2,0)+1),"")</f>
        <v>5.8042306924765521</v>
      </c>
      <c r="O26" s="206" t="str">
        <f>IF(AND($A26&gt;=SYear72,$A26&lt;=EYear72,O$3&gt;0),O$3*VLOOKUP($A26,Data_72_15!$A$8:$AM$52,MATCH(O$2,Data_72_15!$B$2:$AM$2,0)+1),"")</f>
        <v/>
      </c>
      <c r="P26" s="206" t="str">
        <f>IF(AND($A26&gt;=SYear72,$A26&lt;=EYear72,P$3&gt;0),P$3*VLOOKUP($A26,Data_72_15!$A$8:$AM$52,MATCH(P$2,Data_72_15!$B$2:$AM$2,0)+1),"")</f>
        <v/>
      </c>
      <c r="Q26" s="206" t="str">
        <f>IF(AND($A26&gt;=SYear72,$A26&lt;=EYear72,Q$3&gt;0),Q$3*VLOOKUP($A26,Data_72_15!$A$8:$AM$52,MATCH(Q$2,Data_72_15!$B$2:$AM$2,0)+1),"")</f>
        <v/>
      </c>
      <c r="R26" s="206" t="str">
        <f>IF(AND($A26&gt;=SYear72,$A26&lt;=EYear72,R$3&gt;0),R$3*VLOOKUP($A26,Data_72_15!$A$8:$AM$52,MATCH(R$2,Data_72_15!$B$2:$AM$2,0)+1),"")</f>
        <v/>
      </c>
      <c r="S26" s="206" t="str">
        <f>IF(AND($A26&gt;=SYear72,$A26&lt;=EYear72,S$3&gt;0),S$3*VLOOKUP($A26,Data_72_15!$A$8:$AM$52,MATCH(S$2,Data_72_15!$B$2:$AM$2,0)+1),"")</f>
        <v/>
      </c>
      <c r="T26" s="206">
        <f>IF(AND($A26&gt;=SYear72,$A26&lt;=EYear72,T$3&gt;0),T$3*VLOOKUP($A26,Data_72_15!$A$8:$AM$52,MATCH(T$2,Data_72_15!$B$2:$AM$2,0)+1),"")</f>
        <v>2.7930172276822867</v>
      </c>
      <c r="U26" s="206" t="str">
        <f>IF(AND($A26&gt;=SYear72,$A26&lt;=EYear72,U$3&gt;0),U$3*VLOOKUP($A26,Data_72_15!$A$8:$AM$52,MATCH(U$2,Data_72_15!$B$2:$AM$2,0)+1),"")</f>
        <v/>
      </c>
      <c r="V26" s="206" t="str">
        <f>IF(AND($A26&gt;=SYear72,$A26&lt;=EYear72,V$3&gt;0),V$3*VLOOKUP($A26,Data_72_15!$A$8:$AM$52,MATCH(V$2,Data_72_15!$B$2:$AM$2,0)+1),"")</f>
        <v/>
      </c>
      <c r="W26" s="206" t="str">
        <f>IF(AND($A26&gt;=SYear72,$A26&lt;=EYear72,W$3&gt;0),W$3*VLOOKUP($A26,Data_72_15!$A$8:$AM$52,MATCH(W$2,Data_72_15!$B$2:$AM$2,0)+1),"")</f>
        <v/>
      </c>
      <c r="X26" s="206" t="str">
        <f>IF(AND($A26&gt;=SYear72,$A26&lt;=EYear72,X$3&gt;0),X$3*VLOOKUP($A26,Data_72_15!$A$8:$AM$52,MATCH(X$2,Data_72_15!$B$2:$AM$2,0)+1),"")</f>
        <v/>
      </c>
      <c r="Y26" s="206" t="str">
        <f>IF(AND($A26&gt;=SYear72,$A26&lt;=EYear72,Y$3&gt;0),Y$3*VLOOKUP($A26,Data_72_15!$A$8:$AM$52,MATCH(Y$2,Data_72_15!$B$2:$AM$2,0)+1),"")</f>
        <v/>
      </c>
      <c r="Z26" s="206" t="str">
        <f>IF(AND($A26&gt;=SYear72,$A26&lt;=EYear72,Z$3&gt;0),Z$3*VLOOKUP($A26,Data_72_15!$A$8:$AM$52,MATCH(Z$2,Data_72_15!$B$2:$AM$2,0)+1),"")</f>
        <v/>
      </c>
      <c r="AA26" s="206" t="str">
        <f>IF(AND($A26&gt;=SYear72,$A26&lt;=EYear72,AA$3&gt;0),AA$3*VLOOKUP($A26,Data_72_15!$A$8:$AM$52,MATCH(AA$2,Data_72_15!$B$2:$AM$2,0)+1),"")</f>
        <v/>
      </c>
      <c r="AB26" s="206" t="str">
        <f>IF(AND($A26&gt;=SYear72,$A26&lt;=EYear72,AB$3&gt;0),AB$3*VLOOKUP($A26,Data_72_15!$A$8:$AM$52,MATCH(AB$2,Data_72_15!$B$2:$AM$2,0)+1),"")</f>
        <v/>
      </c>
      <c r="AC26" s="206" t="str">
        <f>IF(AND($A26&gt;=SYear72,$A26&lt;=EYear72,AC$3&gt;0),AC$3*VLOOKUP($A26,Data_72_15!$A$8:$AM$52,MATCH(AC$2,Data_72_15!$B$2:$AM$2,0)+1),"")</f>
        <v/>
      </c>
      <c r="AD26" s="206" t="str">
        <f>IF(AND($A26&gt;=SYear72,$A26&lt;=EYear72,AD$3&gt;0),AD$3*VLOOKUP($A26,Data_72_15!$A$8:$AM$52,MATCH(AD$2,Data_72_15!$B$2:$AM$2,0)+1),"")</f>
        <v/>
      </c>
      <c r="AE26" s="206" t="str">
        <f>IF(AND($A26&gt;=SYear72,$A26&lt;=EYear72,AE$3&gt;0),AE$3*VLOOKUP($A26,Data_72_15!$A$8:$AM$52,MATCH(AE$2,Data_72_15!$B$2:$AM$2,0)+1),"")</f>
        <v/>
      </c>
      <c r="AF26" s="206" t="str">
        <f>IF(AND($A26&gt;=SYear72,$A26&lt;=EYear72,AF$3&gt;0),AF$3*VLOOKUP($A26,Data_72_15!$A$8:$AM$52,MATCH(AF$2,Data_72_15!$B$2:$AM$2,0)+1),"")</f>
        <v/>
      </c>
      <c r="AG26" s="206" t="str">
        <f>IF(AND($A26&gt;=SYear72,$A26&lt;=EYear72,AG$3&gt;0),AG$3*VLOOKUP($A26,Data_72_15!$A$8:$AM$52,MATCH(AG$2,Data_72_15!$B$2:$AM$2,0)+1),"")</f>
        <v/>
      </c>
      <c r="AH26" s="206" t="str">
        <f>IF(AND($A26&gt;=SYear72,$A26&lt;=EYear72,AH$3&gt;0),AH$3*VLOOKUP($A26,Data_72_15!$A$8:$AM$52,MATCH(AH$2,Data_72_15!$B$2:$AM$2,0)+1),"")</f>
        <v/>
      </c>
      <c r="AI26" s="206" t="str">
        <f>IF(AND($A26&gt;=SYear72,$A26&lt;=EYear72,AI$3&gt;0),AI$3*VLOOKUP($A26,Data_72_15!$A$8:$AM$52,MATCH(AI$2,Data_72_15!$B$2:$AM$2,0)+1),"")</f>
        <v/>
      </c>
      <c r="AJ26" s="206" t="str">
        <f>IF(AND($A26&gt;=SYear72,$A26&lt;=EYear72,AJ$3&gt;0),AJ$3*VLOOKUP($A26,Data_72_15!$A$8:$AM$52,MATCH(AJ$2,Data_72_15!$B$2:$AM$2,0)+1),"")</f>
        <v/>
      </c>
      <c r="AK26" s="206" t="str">
        <f>IF(AND($A26&gt;=SYear72,$A26&lt;=EYear72,AK$3&gt;0),AK$3*VLOOKUP($A26,Data_72_15!$A$8:$AM$52,MATCH(AK$2,Data_72_15!$B$2:$AM$2,0)+1),"")</f>
        <v/>
      </c>
      <c r="AL26" s="206" t="str">
        <f>IF(AND($A26&gt;=SYear72,$A26&lt;=EYear72,AL$3&gt;0),AL$3*VLOOKUP($A26,Data_72_15!$A$8:$AM$52,MATCH(AL$2,Data_72_15!$B$2:$AM$2,0)+1),"")</f>
        <v/>
      </c>
      <c r="AM26" s="206">
        <f t="shared" si="12"/>
        <v>25.832947231329847</v>
      </c>
      <c r="AN26" s="446">
        <f t="shared" si="13"/>
        <v>107753.24559741266</v>
      </c>
      <c r="AO26" s="206">
        <f>IF(AND($A26&gt;=SYear72,$A26&lt;=EYear72),(AM26-Data_72_15!AM27)/(1+Data_72_15!AM27%),"")</f>
        <v>22.091721098998786</v>
      </c>
      <c r="AP26" s="606">
        <f t="shared" si="14"/>
        <v>32114.9992317162</v>
      </c>
      <c r="AQ26" s="143">
        <f t="shared" si="15"/>
        <v>8.9503415908185087</v>
      </c>
      <c r="AR26" s="143">
        <f>IF(AND($A26&gt;=SYear72,$A26&lt;=EYear72),MAX($AQ$7:AQ26),"")</f>
        <v>8.9503415908185087</v>
      </c>
      <c r="AS26" s="209">
        <f t="shared" si="16"/>
        <v>0</v>
      </c>
      <c r="AU26" s="143">
        <f>IF(AND($A26&gt;=SYear72,$A26&lt;=EYear72),Data_72_15!V27,"")</f>
        <v>5.73</v>
      </c>
      <c r="AV26" s="143">
        <f>IF(AND($A26&gt;=SYear72,$A26&lt;=EYear72),Data_72_15!AM27,"")</f>
        <v>3.0642750373692129</v>
      </c>
      <c r="AW26" s="143">
        <f t="shared" si="17"/>
        <v>2.5864684554024611</v>
      </c>
      <c r="AZ26" s="61">
        <f t="shared" si="1"/>
        <v>0.2583294723132985</v>
      </c>
      <c r="BA26" s="61">
        <f t="shared" si="2"/>
        <v>0.1587692924409414</v>
      </c>
      <c r="BB26" s="61">
        <f t="shared" si="3"/>
        <v>0.14373744568978464</v>
      </c>
      <c r="BC26" s="61">
        <f t="shared" si="4"/>
        <v>0.13094244988789838</v>
      </c>
      <c r="BD26" s="61">
        <f t="shared" si="5"/>
        <v>0.10119724829923982</v>
      </c>
      <c r="BG26" s="61">
        <f t="shared" si="6"/>
        <v>0.22091721098998773</v>
      </c>
      <c r="BH26" s="61">
        <f t="shared" si="7"/>
        <v>0.1260642590173644</v>
      </c>
      <c r="BI26" s="61">
        <f t="shared" si="8"/>
        <v>0.11274560277767076</v>
      </c>
      <c r="BJ26" s="61">
        <f t="shared" si="9"/>
        <v>0.10161842769972962</v>
      </c>
      <c r="BK26" s="61">
        <f t="shared" si="10"/>
        <v>7.3232590107487949E-2</v>
      </c>
    </row>
    <row r="27" spans="1:63">
      <c r="A27" s="204">
        <f t="shared" si="11"/>
        <v>1992</v>
      </c>
      <c r="B27" s="206">
        <f>IF(AND($A27&gt;=SYear72,$A27&lt;=EYear72,B$3&gt;0),B$3*VLOOKUP($A27,Data_72_15!$A$8:$AM$52,MATCH(B$2,Data_72_15!$B$2:$AM$2,0)+1),"")</f>
        <v>4.8068283917340526</v>
      </c>
      <c r="C27" s="206" t="str">
        <f>IF(AND($A27&gt;=SYear72,$A27&lt;=EYear72,C$3&gt;0),C$3*VLOOKUP($A27,Data_72_15!$A$8:$AM$52,MATCH(C$2,Data_72_15!$B$2:$AM$2,0)+1),"")</f>
        <v/>
      </c>
      <c r="D27" s="206" t="str">
        <f>IF(AND($A27&gt;=SYear72,$A27&lt;=EYear72,D$3&gt;0),D$3*VLOOKUP($A27,Data_72_15!$A$8:$AM$52,MATCH(D$2,Data_72_15!$B$2:$AM$2,0)+1),"")</f>
        <v/>
      </c>
      <c r="E27" s="206" t="str">
        <f>IF(AND($A27&gt;=SYear72,$A27&lt;=EYear72,E$3&gt;0),E$3*VLOOKUP($A27,Data_72_15!$A$8:$AM$52,MATCH(E$2,Data_72_15!$B$2:$AM$2,0)+1),"")</f>
        <v/>
      </c>
      <c r="F27" s="206" t="str">
        <f>IF(AND($A27&gt;=SYear72,$A27&lt;=EYear72,F$3&gt;0),F$3*VLOOKUP($A27,Data_72_15!$A$8:$AM$52,MATCH(F$2,Data_72_15!$B$2:$AM$2,0)+1),"")</f>
        <v/>
      </c>
      <c r="G27" s="206" t="str">
        <f>IF(AND($A27&gt;=SYear72,$A27&lt;=EYear72,G$3&gt;0),G$3*VLOOKUP($A27,Data_72_15!$A$8:$AM$52,MATCH(G$2,Data_72_15!$B$2:$AM$2,0)+1),"")</f>
        <v/>
      </c>
      <c r="H27" s="206" t="str">
        <f>IF(AND($A27&gt;=SYear72,$A27&lt;=EYear72,H$3&gt;0),H$3*VLOOKUP($A27,Data_72_15!$A$8:$AM$52,MATCH(H$2,Data_72_15!$B$2:$AM$2,0)+1),"")</f>
        <v/>
      </c>
      <c r="I27" s="206" t="str">
        <f>IF(AND($A27&gt;=SYear72,$A27&lt;=EYear72,I$3&gt;0),I$3*VLOOKUP($A27,Data_72_15!$A$8:$AM$52,MATCH(I$2,Data_72_15!$B$2:$AM$2,0)+1),"")</f>
        <v/>
      </c>
      <c r="J27" s="206" t="str">
        <f>IF(AND($A27&gt;=SYear72,$A27&lt;=EYear72,J$3&gt;0),J$3*VLOOKUP($A27,Data_72_15!$A$8:$AM$52,MATCH(J$2,Data_72_15!$B$2:$AM$2,0)+1),"")</f>
        <v/>
      </c>
      <c r="K27" s="206" t="str">
        <f>IF(AND($A27&gt;=SYear72,$A27&lt;=EYear72,K$3&gt;0),K$3*VLOOKUP($A27,Data_72_15!$A$8:$AM$52,MATCH(K$2,Data_72_15!$B$2:$AM$2,0)+1),"")</f>
        <v/>
      </c>
      <c r="L27" s="206" t="str">
        <f>IF(AND($A27&gt;=SYear72,$A27&lt;=EYear72,L$3&gt;0),L$3*VLOOKUP($A27,Data_72_15!$A$8:$AM$52,MATCH(L$2,Data_72_15!$B$2:$AM$2,0)+1),"")</f>
        <v/>
      </c>
      <c r="M27" s="206" t="str">
        <f>IF(AND($A27&gt;=SYear72,$A27&lt;=EYear72,M$3&gt;0),M$3*VLOOKUP($A27,Data_72_15!$A$8:$AM$52,MATCH(M$2,Data_72_15!$B$2:$AM$2,0)+1),"")</f>
        <v/>
      </c>
      <c r="N27" s="206">
        <f>IF(AND($A27&gt;=SYear72,$A27&lt;=EYear72,N$3&gt;0),N$3*VLOOKUP($A27,Data_72_15!$A$8:$AM$52,MATCH(N$2,Data_72_15!$B$2:$AM$2,0)+1),"")</f>
        <v>-2.5563759728597089</v>
      </c>
      <c r="O27" s="206" t="str">
        <f>IF(AND($A27&gt;=SYear72,$A27&lt;=EYear72,O$3&gt;0),O$3*VLOOKUP($A27,Data_72_15!$A$8:$AM$52,MATCH(O$2,Data_72_15!$B$2:$AM$2,0)+1),"")</f>
        <v/>
      </c>
      <c r="P27" s="206" t="str">
        <f>IF(AND($A27&gt;=SYear72,$A27&lt;=EYear72,P$3&gt;0),P$3*VLOOKUP($A27,Data_72_15!$A$8:$AM$52,MATCH(P$2,Data_72_15!$B$2:$AM$2,0)+1),"")</f>
        <v/>
      </c>
      <c r="Q27" s="206" t="str">
        <f>IF(AND($A27&gt;=SYear72,$A27&lt;=EYear72,Q$3&gt;0),Q$3*VLOOKUP($A27,Data_72_15!$A$8:$AM$52,MATCH(Q$2,Data_72_15!$B$2:$AM$2,0)+1),"")</f>
        <v/>
      </c>
      <c r="R27" s="206" t="str">
        <f>IF(AND($A27&gt;=SYear72,$A27&lt;=EYear72,R$3&gt;0),R$3*VLOOKUP($A27,Data_72_15!$A$8:$AM$52,MATCH(R$2,Data_72_15!$B$2:$AM$2,0)+1),"")</f>
        <v/>
      </c>
      <c r="S27" s="206" t="str">
        <f>IF(AND($A27&gt;=SYear72,$A27&lt;=EYear72,S$3&gt;0),S$3*VLOOKUP($A27,Data_72_15!$A$8:$AM$52,MATCH(S$2,Data_72_15!$B$2:$AM$2,0)+1),"")</f>
        <v/>
      </c>
      <c r="T27" s="206">
        <f>IF(AND($A27&gt;=SYear72,$A27&lt;=EYear72,T$3&gt;0),T$3*VLOOKUP($A27,Data_72_15!$A$8:$AM$52,MATCH(T$2,Data_72_15!$B$2:$AM$2,0)+1),"")</f>
        <v>1.5129740518962078</v>
      </c>
      <c r="U27" s="206" t="str">
        <f>IF(AND($A27&gt;=SYear72,$A27&lt;=EYear72,U$3&gt;0),U$3*VLOOKUP($A27,Data_72_15!$A$8:$AM$52,MATCH(U$2,Data_72_15!$B$2:$AM$2,0)+1),"")</f>
        <v/>
      </c>
      <c r="V27" s="206" t="str">
        <f>IF(AND($A27&gt;=SYear72,$A27&lt;=EYear72,V$3&gt;0),V$3*VLOOKUP($A27,Data_72_15!$A$8:$AM$52,MATCH(V$2,Data_72_15!$B$2:$AM$2,0)+1),"")</f>
        <v/>
      </c>
      <c r="W27" s="206" t="str">
        <f>IF(AND($A27&gt;=SYear72,$A27&lt;=EYear72,W$3&gt;0),W$3*VLOOKUP($A27,Data_72_15!$A$8:$AM$52,MATCH(W$2,Data_72_15!$B$2:$AM$2,0)+1),"")</f>
        <v/>
      </c>
      <c r="X27" s="206" t="str">
        <f>IF(AND($A27&gt;=SYear72,$A27&lt;=EYear72,X$3&gt;0),X$3*VLOOKUP($A27,Data_72_15!$A$8:$AM$52,MATCH(X$2,Data_72_15!$B$2:$AM$2,0)+1),"")</f>
        <v/>
      </c>
      <c r="Y27" s="206" t="str">
        <f>IF(AND($A27&gt;=SYear72,$A27&lt;=EYear72,Y$3&gt;0),Y$3*VLOOKUP($A27,Data_72_15!$A$8:$AM$52,MATCH(Y$2,Data_72_15!$B$2:$AM$2,0)+1),"")</f>
        <v/>
      </c>
      <c r="Z27" s="206" t="str">
        <f>IF(AND($A27&gt;=SYear72,$A27&lt;=EYear72,Z$3&gt;0),Z$3*VLOOKUP($A27,Data_72_15!$A$8:$AM$52,MATCH(Z$2,Data_72_15!$B$2:$AM$2,0)+1),"")</f>
        <v/>
      </c>
      <c r="AA27" s="206" t="str">
        <f>IF(AND($A27&gt;=SYear72,$A27&lt;=EYear72,AA$3&gt;0),AA$3*VLOOKUP($A27,Data_72_15!$A$8:$AM$52,MATCH(AA$2,Data_72_15!$B$2:$AM$2,0)+1),"")</f>
        <v/>
      </c>
      <c r="AB27" s="206" t="str">
        <f>IF(AND($A27&gt;=SYear72,$A27&lt;=EYear72,AB$3&gt;0),AB$3*VLOOKUP($A27,Data_72_15!$A$8:$AM$52,MATCH(AB$2,Data_72_15!$B$2:$AM$2,0)+1),"")</f>
        <v/>
      </c>
      <c r="AC27" s="206" t="str">
        <f>IF(AND($A27&gt;=SYear72,$A27&lt;=EYear72,AC$3&gt;0),AC$3*VLOOKUP($A27,Data_72_15!$A$8:$AM$52,MATCH(AC$2,Data_72_15!$B$2:$AM$2,0)+1),"")</f>
        <v/>
      </c>
      <c r="AD27" s="206" t="str">
        <f>IF(AND($A27&gt;=SYear72,$A27&lt;=EYear72,AD$3&gt;0),AD$3*VLOOKUP($A27,Data_72_15!$A$8:$AM$52,MATCH(AD$2,Data_72_15!$B$2:$AM$2,0)+1),"")</f>
        <v/>
      </c>
      <c r="AE27" s="206" t="str">
        <f>IF(AND($A27&gt;=SYear72,$A27&lt;=EYear72,AE$3&gt;0),AE$3*VLOOKUP($A27,Data_72_15!$A$8:$AM$52,MATCH(AE$2,Data_72_15!$B$2:$AM$2,0)+1),"")</f>
        <v/>
      </c>
      <c r="AF27" s="206" t="str">
        <f>IF(AND($A27&gt;=SYear72,$A27&lt;=EYear72,AF$3&gt;0),AF$3*VLOOKUP($A27,Data_72_15!$A$8:$AM$52,MATCH(AF$2,Data_72_15!$B$2:$AM$2,0)+1),"")</f>
        <v/>
      </c>
      <c r="AG27" s="206" t="str">
        <f>IF(AND($A27&gt;=SYear72,$A27&lt;=EYear72,AG$3&gt;0),AG$3*VLOOKUP($A27,Data_72_15!$A$8:$AM$52,MATCH(AG$2,Data_72_15!$B$2:$AM$2,0)+1),"")</f>
        <v/>
      </c>
      <c r="AH27" s="206" t="str">
        <f>IF(AND($A27&gt;=SYear72,$A27&lt;=EYear72,AH$3&gt;0),AH$3*VLOOKUP($A27,Data_72_15!$A$8:$AM$52,MATCH(AH$2,Data_72_15!$B$2:$AM$2,0)+1),"")</f>
        <v/>
      </c>
      <c r="AI27" s="206" t="str">
        <f>IF(AND($A27&gt;=SYear72,$A27&lt;=EYear72,AI$3&gt;0),AI$3*VLOOKUP($A27,Data_72_15!$A$8:$AM$52,MATCH(AI$2,Data_72_15!$B$2:$AM$2,0)+1),"")</f>
        <v/>
      </c>
      <c r="AJ27" s="206" t="str">
        <f>IF(AND($A27&gt;=SYear72,$A27&lt;=EYear72,AJ$3&gt;0),AJ$3*VLOOKUP($A27,Data_72_15!$A$8:$AM$52,MATCH(AJ$2,Data_72_15!$B$2:$AM$2,0)+1),"")</f>
        <v/>
      </c>
      <c r="AK27" s="206" t="str">
        <f>IF(AND($A27&gt;=SYear72,$A27&lt;=EYear72,AK$3&gt;0),AK$3*VLOOKUP($A27,Data_72_15!$A$8:$AM$52,MATCH(AK$2,Data_72_15!$B$2:$AM$2,0)+1),"")</f>
        <v/>
      </c>
      <c r="AL27" s="206" t="str">
        <f>IF(AND($A27&gt;=SYear72,$A27&lt;=EYear72,AL$3&gt;0),AL$3*VLOOKUP($A27,Data_72_15!$A$8:$AM$52,MATCH(AL$2,Data_72_15!$B$2:$AM$2,0)+1),"")</f>
        <v/>
      </c>
      <c r="AM27" s="206">
        <f t="shared" si="12"/>
        <v>3.7634264707705514</v>
      </c>
      <c r="AN27" s="446">
        <f t="shared" si="13"/>
        <v>111808.45976534009</v>
      </c>
      <c r="AO27" s="206">
        <f>IF(AND($A27&gt;=SYear72,$A27&lt;=EYear72),(AM27-Data_72_15!AM28)/(1+Data_72_15!AM28%),"")</f>
        <v>0.8384532087333304</v>
      </c>
      <c r="AP27" s="606">
        <f t="shared" si="14"/>
        <v>32384.268473259206</v>
      </c>
      <c r="AQ27" s="143">
        <f t="shared" si="15"/>
        <v>9.2871811154717587</v>
      </c>
      <c r="AR27" s="143">
        <f>IF(AND($A27&gt;=SYear72,$A27&lt;=EYear72),MAX($AQ$7:AQ27),"")</f>
        <v>9.2871811154717587</v>
      </c>
      <c r="AS27" s="209">
        <f t="shared" si="16"/>
        <v>0</v>
      </c>
      <c r="AU27" s="143">
        <f>IF(AND($A27&gt;=SYear72,$A27&lt;=EYear72),Data_72_15!V28,"")</f>
        <v>3.53</v>
      </c>
      <c r="AV27" s="143">
        <f>IF(AND($A27&gt;=SYear72,$A27&lt;=EYear72),Data_72_15!AM28,"")</f>
        <v>2.9006526468455363</v>
      </c>
      <c r="AW27" s="143">
        <f t="shared" si="17"/>
        <v>0.61160676532769931</v>
      </c>
      <c r="AZ27" s="61">
        <f t="shared" si="1"/>
        <v>3.7634264707705478E-2</v>
      </c>
      <c r="BA27" s="61">
        <f t="shared" si="2"/>
        <v>7.5884097535557249E-2</v>
      </c>
      <c r="BB27" s="61">
        <f t="shared" si="3"/>
        <v>0.11966645153160016</v>
      </c>
      <c r="BC27" s="61">
        <f t="shared" si="4"/>
        <v>9.3643226832401671E-2</v>
      </c>
      <c r="BD27" s="61">
        <f t="shared" si="5"/>
        <v>9.54758448627544E-2</v>
      </c>
      <c r="BG27" s="61">
        <f t="shared" si="6"/>
        <v>8.3845320873332518E-3</v>
      </c>
      <c r="BH27" s="61">
        <f t="shared" si="7"/>
        <v>4.6838396640938695E-2</v>
      </c>
      <c r="BI27" s="61">
        <f t="shared" si="8"/>
        <v>8.8781874444923803E-2</v>
      </c>
      <c r="BJ27" s="61">
        <f t="shared" si="9"/>
        <v>6.6862473599084593E-2</v>
      </c>
      <c r="BK27" s="61">
        <f t="shared" si="10"/>
        <v>6.8019083528882751E-2</v>
      </c>
    </row>
    <row r="28" spans="1:63">
      <c r="A28" s="204">
        <f t="shared" si="11"/>
        <v>1993</v>
      </c>
      <c r="B28" s="206">
        <f>IF(AND($A28&gt;=SYear72,$A28&lt;=EYear72,B$3&gt;0),B$3*VLOOKUP($A28,Data_72_15!$A$8:$AM$52,MATCH(B$2,Data_72_15!$B$2:$AM$2,0)+1),"")</f>
        <v>5.2161325746231402</v>
      </c>
      <c r="C28" s="206" t="str">
        <f>IF(AND($A28&gt;=SYear72,$A28&lt;=EYear72,C$3&gt;0),C$3*VLOOKUP($A28,Data_72_15!$A$8:$AM$52,MATCH(C$2,Data_72_15!$B$2:$AM$2,0)+1),"")</f>
        <v/>
      </c>
      <c r="D28" s="206" t="str">
        <f>IF(AND($A28&gt;=SYear72,$A28&lt;=EYear72,D$3&gt;0),D$3*VLOOKUP($A28,Data_72_15!$A$8:$AM$52,MATCH(D$2,Data_72_15!$B$2:$AM$2,0)+1),"")</f>
        <v/>
      </c>
      <c r="E28" s="206" t="str">
        <f>IF(AND($A28&gt;=SYear72,$A28&lt;=EYear72,E$3&gt;0),E$3*VLOOKUP($A28,Data_72_15!$A$8:$AM$52,MATCH(E$2,Data_72_15!$B$2:$AM$2,0)+1),"")</f>
        <v/>
      </c>
      <c r="F28" s="206" t="str">
        <f>IF(AND($A28&gt;=SYear72,$A28&lt;=EYear72,F$3&gt;0),F$3*VLOOKUP($A28,Data_72_15!$A$8:$AM$52,MATCH(F$2,Data_72_15!$B$2:$AM$2,0)+1),"")</f>
        <v/>
      </c>
      <c r="G28" s="206" t="str">
        <f>IF(AND($A28&gt;=SYear72,$A28&lt;=EYear72,G$3&gt;0),G$3*VLOOKUP($A28,Data_72_15!$A$8:$AM$52,MATCH(G$2,Data_72_15!$B$2:$AM$2,0)+1),"")</f>
        <v/>
      </c>
      <c r="H28" s="206" t="str">
        <f>IF(AND($A28&gt;=SYear72,$A28&lt;=EYear72,H$3&gt;0),H$3*VLOOKUP($A28,Data_72_15!$A$8:$AM$52,MATCH(H$2,Data_72_15!$B$2:$AM$2,0)+1),"")</f>
        <v/>
      </c>
      <c r="I28" s="206" t="str">
        <f>IF(AND($A28&gt;=SYear72,$A28&lt;=EYear72,I$3&gt;0),I$3*VLOOKUP($A28,Data_72_15!$A$8:$AM$52,MATCH(I$2,Data_72_15!$B$2:$AM$2,0)+1),"")</f>
        <v/>
      </c>
      <c r="J28" s="206" t="str">
        <f>IF(AND($A28&gt;=SYear72,$A28&lt;=EYear72,J$3&gt;0),J$3*VLOOKUP($A28,Data_72_15!$A$8:$AM$52,MATCH(J$2,Data_72_15!$B$2:$AM$2,0)+1),"")</f>
        <v/>
      </c>
      <c r="K28" s="206" t="str">
        <f>IF(AND($A28&gt;=SYear72,$A28&lt;=EYear72,K$3&gt;0),K$3*VLOOKUP($A28,Data_72_15!$A$8:$AM$52,MATCH(K$2,Data_72_15!$B$2:$AM$2,0)+1),"")</f>
        <v/>
      </c>
      <c r="L28" s="206" t="str">
        <f>IF(AND($A28&gt;=SYear72,$A28&lt;=EYear72,L$3&gt;0),L$3*VLOOKUP($A28,Data_72_15!$A$8:$AM$52,MATCH(L$2,Data_72_15!$B$2:$AM$2,0)+1),"")</f>
        <v/>
      </c>
      <c r="M28" s="206" t="str">
        <f>IF(AND($A28&gt;=SYear72,$A28&lt;=EYear72,M$3&gt;0),M$3*VLOOKUP($A28,Data_72_15!$A$8:$AM$52,MATCH(M$2,Data_72_15!$B$2:$AM$2,0)+1),"")</f>
        <v/>
      </c>
      <c r="N28" s="206">
        <f>IF(AND($A28&gt;=SYear72,$A28&lt;=EYear72,N$3&gt;0),N$3*VLOOKUP($A28,Data_72_15!$A$8:$AM$52,MATCH(N$2,Data_72_15!$B$2:$AM$2,0)+1),"")</f>
        <v>11.663839552983436</v>
      </c>
      <c r="O28" s="206" t="str">
        <f>IF(AND($A28&gt;=SYear72,$A28&lt;=EYear72,O$3&gt;0),O$3*VLOOKUP($A28,Data_72_15!$A$8:$AM$52,MATCH(O$2,Data_72_15!$B$2:$AM$2,0)+1),"")</f>
        <v/>
      </c>
      <c r="P28" s="206" t="str">
        <f>IF(AND($A28&gt;=SYear72,$A28&lt;=EYear72,P$3&gt;0),P$3*VLOOKUP($A28,Data_72_15!$A$8:$AM$52,MATCH(P$2,Data_72_15!$B$2:$AM$2,0)+1),"")</f>
        <v/>
      </c>
      <c r="Q28" s="206" t="str">
        <f>IF(AND($A28&gt;=SYear72,$A28&lt;=EYear72,Q$3&gt;0),Q$3*VLOOKUP($A28,Data_72_15!$A$8:$AM$52,MATCH(Q$2,Data_72_15!$B$2:$AM$2,0)+1),"")</f>
        <v/>
      </c>
      <c r="R28" s="206" t="str">
        <f>IF(AND($A28&gt;=SYear72,$A28&lt;=EYear72,R$3&gt;0),R$3*VLOOKUP($A28,Data_72_15!$A$8:$AM$52,MATCH(R$2,Data_72_15!$B$2:$AM$2,0)+1),"")</f>
        <v/>
      </c>
      <c r="S28" s="206" t="str">
        <f>IF(AND($A28&gt;=SYear72,$A28&lt;=EYear72,S$3&gt;0),S$3*VLOOKUP($A28,Data_72_15!$A$8:$AM$52,MATCH(S$2,Data_72_15!$B$2:$AM$2,0)+1),"")</f>
        <v/>
      </c>
      <c r="T28" s="206">
        <f>IF(AND($A28&gt;=SYear72,$A28&lt;=EYear72,T$3&gt;0),T$3*VLOOKUP($A28,Data_72_15!$A$8:$AM$52,MATCH(T$2,Data_72_15!$B$2:$AM$2,0)+1),"")</f>
        <v>2.286</v>
      </c>
      <c r="U28" s="206" t="str">
        <f>IF(AND($A28&gt;=SYear72,$A28&lt;=EYear72,U$3&gt;0),U$3*VLOOKUP($A28,Data_72_15!$A$8:$AM$52,MATCH(U$2,Data_72_15!$B$2:$AM$2,0)+1),"")</f>
        <v/>
      </c>
      <c r="V28" s="206" t="str">
        <f>IF(AND($A28&gt;=SYear72,$A28&lt;=EYear72,V$3&gt;0),V$3*VLOOKUP($A28,Data_72_15!$A$8:$AM$52,MATCH(V$2,Data_72_15!$B$2:$AM$2,0)+1),"")</f>
        <v/>
      </c>
      <c r="W28" s="206" t="str">
        <f>IF(AND($A28&gt;=SYear72,$A28&lt;=EYear72,W$3&gt;0),W$3*VLOOKUP($A28,Data_72_15!$A$8:$AM$52,MATCH(W$2,Data_72_15!$B$2:$AM$2,0)+1),"")</f>
        <v/>
      </c>
      <c r="X28" s="206" t="str">
        <f>IF(AND($A28&gt;=SYear72,$A28&lt;=EYear72,X$3&gt;0),X$3*VLOOKUP($A28,Data_72_15!$A$8:$AM$52,MATCH(X$2,Data_72_15!$B$2:$AM$2,0)+1),"")</f>
        <v/>
      </c>
      <c r="Y28" s="206" t="str">
        <f>IF(AND($A28&gt;=SYear72,$A28&lt;=EYear72,Y$3&gt;0),Y$3*VLOOKUP($A28,Data_72_15!$A$8:$AM$52,MATCH(Y$2,Data_72_15!$B$2:$AM$2,0)+1),"")</f>
        <v/>
      </c>
      <c r="Z28" s="206" t="str">
        <f>IF(AND($A28&gt;=SYear72,$A28&lt;=EYear72,Z$3&gt;0),Z$3*VLOOKUP($A28,Data_72_15!$A$8:$AM$52,MATCH(Z$2,Data_72_15!$B$2:$AM$2,0)+1),"")</f>
        <v/>
      </c>
      <c r="AA28" s="206" t="str">
        <f>IF(AND($A28&gt;=SYear72,$A28&lt;=EYear72,AA$3&gt;0),AA$3*VLOOKUP($A28,Data_72_15!$A$8:$AM$52,MATCH(AA$2,Data_72_15!$B$2:$AM$2,0)+1),"")</f>
        <v/>
      </c>
      <c r="AB28" s="206" t="str">
        <f>IF(AND($A28&gt;=SYear72,$A28&lt;=EYear72,AB$3&gt;0),AB$3*VLOOKUP($A28,Data_72_15!$A$8:$AM$52,MATCH(AB$2,Data_72_15!$B$2:$AM$2,0)+1),"")</f>
        <v/>
      </c>
      <c r="AC28" s="206" t="str">
        <f>IF(AND($A28&gt;=SYear72,$A28&lt;=EYear72,AC$3&gt;0),AC$3*VLOOKUP($A28,Data_72_15!$A$8:$AM$52,MATCH(AC$2,Data_72_15!$B$2:$AM$2,0)+1),"")</f>
        <v/>
      </c>
      <c r="AD28" s="206" t="str">
        <f>IF(AND($A28&gt;=SYear72,$A28&lt;=EYear72,AD$3&gt;0),AD$3*VLOOKUP($A28,Data_72_15!$A$8:$AM$52,MATCH(AD$2,Data_72_15!$B$2:$AM$2,0)+1),"")</f>
        <v/>
      </c>
      <c r="AE28" s="206" t="str">
        <f>IF(AND($A28&gt;=SYear72,$A28&lt;=EYear72,AE$3&gt;0),AE$3*VLOOKUP($A28,Data_72_15!$A$8:$AM$52,MATCH(AE$2,Data_72_15!$B$2:$AM$2,0)+1),"")</f>
        <v/>
      </c>
      <c r="AF28" s="206" t="str">
        <f>IF(AND($A28&gt;=SYear72,$A28&lt;=EYear72,AF$3&gt;0),AF$3*VLOOKUP($A28,Data_72_15!$A$8:$AM$52,MATCH(AF$2,Data_72_15!$B$2:$AM$2,0)+1),"")</f>
        <v/>
      </c>
      <c r="AG28" s="206" t="str">
        <f>IF(AND($A28&gt;=SYear72,$A28&lt;=EYear72,AG$3&gt;0),AG$3*VLOOKUP($A28,Data_72_15!$A$8:$AM$52,MATCH(AG$2,Data_72_15!$B$2:$AM$2,0)+1),"")</f>
        <v/>
      </c>
      <c r="AH28" s="206" t="str">
        <f>IF(AND($A28&gt;=SYear72,$A28&lt;=EYear72,AH$3&gt;0),AH$3*VLOOKUP($A28,Data_72_15!$A$8:$AM$52,MATCH(AH$2,Data_72_15!$B$2:$AM$2,0)+1),"")</f>
        <v/>
      </c>
      <c r="AI28" s="206" t="str">
        <f>IF(AND($A28&gt;=SYear72,$A28&lt;=EYear72,AI$3&gt;0),AI$3*VLOOKUP($A28,Data_72_15!$A$8:$AM$52,MATCH(AI$2,Data_72_15!$B$2:$AM$2,0)+1),"")</f>
        <v/>
      </c>
      <c r="AJ28" s="206" t="str">
        <f>IF(AND($A28&gt;=SYear72,$A28&lt;=EYear72,AJ$3&gt;0),AJ$3*VLOOKUP($A28,Data_72_15!$A$8:$AM$52,MATCH(AJ$2,Data_72_15!$B$2:$AM$2,0)+1),"")</f>
        <v/>
      </c>
      <c r="AK28" s="206" t="str">
        <f>IF(AND($A28&gt;=SYear72,$A28&lt;=EYear72,AK$3&gt;0),AK$3*VLOOKUP($A28,Data_72_15!$A$8:$AM$52,MATCH(AK$2,Data_72_15!$B$2:$AM$2,0)+1),"")</f>
        <v/>
      </c>
      <c r="AL28" s="206" t="str">
        <f>IF(AND($A28&gt;=SYear72,$A28&lt;=EYear72,AL$3&gt;0),AL$3*VLOOKUP($A28,Data_72_15!$A$8:$AM$52,MATCH(AL$2,Data_72_15!$B$2:$AM$2,0)+1),"")</f>
        <v/>
      </c>
      <c r="AM28" s="206">
        <f t="shared" si="12"/>
        <v>19.16597212760658</v>
      </c>
      <c r="AN28" s="446">
        <f t="shared" si="13"/>
        <v>133237.63800027137</v>
      </c>
      <c r="AO28" s="206">
        <f>IF(AND($A28&gt;=SYear72,$A28&lt;=EYear72),(AM28-Data_72_15!AM29)/(1+Data_72_15!AM29%),"")</f>
        <v>15.978404971929848</v>
      </c>
      <c r="AP28" s="606">
        <f t="shared" si="14"/>
        <v>37558.75803711357</v>
      </c>
      <c r="AQ28" s="143">
        <f t="shared" si="15"/>
        <v>11.067159659503417</v>
      </c>
      <c r="AR28" s="143">
        <f>IF(AND($A28&gt;=SYear72,$A28&lt;=EYear72),MAX($AQ$7:AQ28),"")</f>
        <v>11.067159659503417</v>
      </c>
      <c r="AS28" s="209">
        <f t="shared" si="16"/>
        <v>0</v>
      </c>
      <c r="AU28" s="143">
        <f>IF(AND($A28&gt;=SYear72,$A28&lt;=EYear72),Data_72_15!V29,"")</f>
        <v>2.86</v>
      </c>
      <c r="AV28" s="143">
        <f>IF(AND($A28&gt;=SYear72,$A28&lt;=EYear72),Data_72_15!AM29,"")</f>
        <v>2.748414376321362</v>
      </c>
      <c r="AW28" s="143">
        <f t="shared" si="17"/>
        <v>0.10860082304525868</v>
      </c>
      <c r="AZ28" s="61">
        <f t="shared" si="1"/>
        <v>0.19165972127606579</v>
      </c>
      <c r="BA28" s="61">
        <f t="shared" si="2"/>
        <v>0.14445224562393899</v>
      </c>
      <c r="BB28" s="61">
        <f t="shared" si="3"/>
        <v>0.14685902624540748</v>
      </c>
      <c r="BC28" s="61">
        <f t="shared" si="4"/>
        <v>7.5557288251772547E-2</v>
      </c>
      <c r="BD28" s="61">
        <f t="shared" si="5"/>
        <v>9.9343837781127764E-2</v>
      </c>
      <c r="BG28" s="61">
        <f t="shared" si="6"/>
        <v>0.1597840497192986</v>
      </c>
      <c r="BH28" s="61">
        <f t="shared" si="7"/>
        <v>0.11486516961380588</v>
      </c>
      <c r="BI28" s="61">
        <f t="shared" si="8"/>
        <v>0.11783999118171073</v>
      </c>
      <c r="BJ28" s="61">
        <f t="shared" si="9"/>
        <v>4.9754948032604274E-2</v>
      </c>
      <c r="BK28" s="61">
        <f t="shared" si="10"/>
        <v>7.0975305043617043E-2</v>
      </c>
    </row>
    <row r="29" spans="1:63">
      <c r="A29" s="204">
        <f t="shared" si="11"/>
        <v>1994</v>
      </c>
      <c r="B29" s="206">
        <f>IF(AND($A29&gt;=SYear72,$A29&lt;=EYear72,B$3&gt;0),B$3*VLOOKUP($A29,Data_72_15!$A$8:$AM$52,MATCH(B$2,Data_72_15!$B$2:$AM$2,0)+1),"")</f>
        <v>-8.5000000000000006E-2</v>
      </c>
      <c r="C29" s="206" t="str">
        <f>IF(AND($A29&gt;=SYear72,$A29&lt;=EYear72,C$3&gt;0),C$3*VLOOKUP($A29,Data_72_15!$A$8:$AM$52,MATCH(C$2,Data_72_15!$B$2:$AM$2,0)+1),"")</f>
        <v/>
      </c>
      <c r="D29" s="206" t="str">
        <f>IF(AND($A29&gt;=SYear72,$A29&lt;=EYear72,D$3&gt;0),D$3*VLOOKUP($A29,Data_72_15!$A$8:$AM$52,MATCH(D$2,Data_72_15!$B$2:$AM$2,0)+1),"")</f>
        <v/>
      </c>
      <c r="E29" s="206" t="str">
        <f>IF(AND($A29&gt;=SYear72,$A29&lt;=EYear72,E$3&gt;0),E$3*VLOOKUP($A29,Data_72_15!$A$8:$AM$52,MATCH(E$2,Data_72_15!$B$2:$AM$2,0)+1),"")</f>
        <v/>
      </c>
      <c r="F29" s="206" t="str">
        <f>IF(AND($A29&gt;=SYear72,$A29&lt;=EYear72,F$3&gt;0),F$3*VLOOKUP($A29,Data_72_15!$A$8:$AM$52,MATCH(F$2,Data_72_15!$B$2:$AM$2,0)+1),"")</f>
        <v/>
      </c>
      <c r="G29" s="206" t="str">
        <f>IF(AND($A29&gt;=SYear72,$A29&lt;=EYear72,G$3&gt;0),G$3*VLOOKUP($A29,Data_72_15!$A$8:$AM$52,MATCH(G$2,Data_72_15!$B$2:$AM$2,0)+1),"")</f>
        <v/>
      </c>
      <c r="H29" s="206" t="str">
        <f>IF(AND($A29&gt;=SYear72,$A29&lt;=EYear72,H$3&gt;0),H$3*VLOOKUP($A29,Data_72_15!$A$8:$AM$52,MATCH(H$2,Data_72_15!$B$2:$AM$2,0)+1),"")</f>
        <v/>
      </c>
      <c r="I29" s="206" t="str">
        <f>IF(AND($A29&gt;=SYear72,$A29&lt;=EYear72,I$3&gt;0),I$3*VLOOKUP($A29,Data_72_15!$A$8:$AM$52,MATCH(I$2,Data_72_15!$B$2:$AM$2,0)+1),"")</f>
        <v/>
      </c>
      <c r="J29" s="206" t="str">
        <f>IF(AND($A29&gt;=SYear72,$A29&lt;=EYear72,J$3&gt;0),J$3*VLOOKUP($A29,Data_72_15!$A$8:$AM$52,MATCH(J$2,Data_72_15!$B$2:$AM$2,0)+1),"")</f>
        <v/>
      </c>
      <c r="K29" s="206" t="str">
        <f>IF(AND($A29&gt;=SYear72,$A29&lt;=EYear72,K$3&gt;0),K$3*VLOOKUP($A29,Data_72_15!$A$8:$AM$52,MATCH(K$2,Data_72_15!$B$2:$AM$2,0)+1),"")</f>
        <v/>
      </c>
      <c r="L29" s="206" t="str">
        <f>IF(AND($A29&gt;=SYear72,$A29&lt;=EYear72,L$3&gt;0),L$3*VLOOKUP($A29,Data_72_15!$A$8:$AM$52,MATCH(L$2,Data_72_15!$B$2:$AM$2,0)+1),"")</f>
        <v/>
      </c>
      <c r="M29" s="206" t="str">
        <f>IF(AND($A29&gt;=SYear72,$A29&lt;=EYear72,M$3&gt;0),M$3*VLOOKUP($A29,Data_72_15!$A$8:$AM$52,MATCH(M$2,Data_72_15!$B$2:$AM$2,0)+1),"")</f>
        <v/>
      </c>
      <c r="N29" s="206">
        <f>IF(AND($A29&gt;=SYear72,$A29&lt;=EYear72,N$3&gt;0),N$3*VLOOKUP($A29,Data_72_15!$A$8:$AM$52,MATCH(N$2,Data_72_15!$B$2:$AM$2,0)+1),"")</f>
        <v>1.6673318698862503</v>
      </c>
      <c r="O29" s="206" t="str">
        <f>IF(AND($A29&gt;=SYear72,$A29&lt;=EYear72,O$3&gt;0),O$3*VLOOKUP($A29,Data_72_15!$A$8:$AM$52,MATCH(O$2,Data_72_15!$B$2:$AM$2,0)+1),"")</f>
        <v/>
      </c>
      <c r="P29" s="206" t="str">
        <f>IF(AND($A29&gt;=SYear72,$A29&lt;=EYear72,P$3&gt;0),P$3*VLOOKUP($A29,Data_72_15!$A$8:$AM$52,MATCH(P$2,Data_72_15!$B$2:$AM$2,0)+1),"")</f>
        <v/>
      </c>
      <c r="Q29" s="206" t="str">
        <f>IF(AND($A29&gt;=SYear72,$A29&lt;=EYear72,Q$3&gt;0),Q$3*VLOOKUP($A29,Data_72_15!$A$8:$AM$52,MATCH(Q$2,Data_72_15!$B$2:$AM$2,0)+1),"")</f>
        <v/>
      </c>
      <c r="R29" s="206" t="str">
        <f>IF(AND($A29&gt;=SYear72,$A29&lt;=EYear72,R$3&gt;0),R$3*VLOOKUP($A29,Data_72_15!$A$8:$AM$52,MATCH(R$2,Data_72_15!$B$2:$AM$2,0)+1),"")</f>
        <v/>
      </c>
      <c r="S29" s="206" t="str">
        <f>IF(AND($A29&gt;=SYear72,$A29&lt;=EYear72,S$3&gt;0),S$3*VLOOKUP($A29,Data_72_15!$A$8:$AM$52,MATCH(S$2,Data_72_15!$B$2:$AM$2,0)+1),"")</f>
        <v/>
      </c>
      <c r="T29" s="206">
        <f>IF(AND($A29&gt;=SYear72,$A29&lt;=EYear72,T$3&gt;0),T$3*VLOOKUP($A29,Data_72_15!$A$8:$AM$52,MATCH(T$2,Data_72_15!$B$2:$AM$2,0)+1),"")</f>
        <v>-0.8660000000000001</v>
      </c>
      <c r="U29" s="206" t="str">
        <f>IF(AND($A29&gt;=SYear72,$A29&lt;=EYear72,U$3&gt;0),U$3*VLOOKUP($A29,Data_72_15!$A$8:$AM$52,MATCH(U$2,Data_72_15!$B$2:$AM$2,0)+1),"")</f>
        <v/>
      </c>
      <c r="V29" s="206" t="str">
        <f>IF(AND($A29&gt;=SYear72,$A29&lt;=EYear72,V$3&gt;0),V$3*VLOOKUP($A29,Data_72_15!$A$8:$AM$52,MATCH(V$2,Data_72_15!$B$2:$AM$2,0)+1),"")</f>
        <v/>
      </c>
      <c r="W29" s="206" t="str">
        <f>IF(AND($A29&gt;=SYear72,$A29&lt;=EYear72,W$3&gt;0),W$3*VLOOKUP($A29,Data_72_15!$A$8:$AM$52,MATCH(W$2,Data_72_15!$B$2:$AM$2,0)+1),"")</f>
        <v/>
      </c>
      <c r="X29" s="206" t="str">
        <f>IF(AND($A29&gt;=SYear72,$A29&lt;=EYear72,X$3&gt;0),X$3*VLOOKUP($A29,Data_72_15!$A$8:$AM$52,MATCH(X$2,Data_72_15!$B$2:$AM$2,0)+1),"")</f>
        <v/>
      </c>
      <c r="Y29" s="206" t="str">
        <f>IF(AND($A29&gt;=SYear72,$A29&lt;=EYear72,Y$3&gt;0),Y$3*VLOOKUP($A29,Data_72_15!$A$8:$AM$52,MATCH(Y$2,Data_72_15!$B$2:$AM$2,0)+1),"")</f>
        <v/>
      </c>
      <c r="Z29" s="206" t="str">
        <f>IF(AND($A29&gt;=SYear72,$A29&lt;=EYear72,Z$3&gt;0),Z$3*VLOOKUP($A29,Data_72_15!$A$8:$AM$52,MATCH(Z$2,Data_72_15!$B$2:$AM$2,0)+1),"")</f>
        <v/>
      </c>
      <c r="AA29" s="206" t="str">
        <f>IF(AND($A29&gt;=SYear72,$A29&lt;=EYear72,AA$3&gt;0),AA$3*VLOOKUP($A29,Data_72_15!$A$8:$AM$52,MATCH(AA$2,Data_72_15!$B$2:$AM$2,0)+1),"")</f>
        <v/>
      </c>
      <c r="AB29" s="206" t="str">
        <f>IF(AND($A29&gt;=SYear72,$A29&lt;=EYear72,AB$3&gt;0),AB$3*VLOOKUP($A29,Data_72_15!$A$8:$AM$52,MATCH(AB$2,Data_72_15!$B$2:$AM$2,0)+1),"")</f>
        <v/>
      </c>
      <c r="AC29" s="206" t="str">
        <f>IF(AND($A29&gt;=SYear72,$A29&lt;=EYear72,AC$3&gt;0),AC$3*VLOOKUP($A29,Data_72_15!$A$8:$AM$52,MATCH(AC$2,Data_72_15!$B$2:$AM$2,0)+1),"")</f>
        <v/>
      </c>
      <c r="AD29" s="206" t="str">
        <f>IF(AND($A29&gt;=SYear72,$A29&lt;=EYear72,AD$3&gt;0),AD$3*VLOOKUP($A29,Data_72_15!$A$8:$AM$52,MATCH(AD$2,Data_72_15!$B$2:$AM$2,0)+1),"")</f>
        <v/>
      </c>
      <c r="AE29" s="206" t="str">
        <f>IF(AND($A29&gt;=SYear72,$A29&lt;=EYear72,AE$3&gt;0),AE$3*VLOOKUP($A29,Data_72_15!$A$8:$AM$52,MATCH(AE$2,Data_72_15!$B$2:$AM$2,0)+1),"")</f>
        <v/>
      </c>
      <c r="AF29" s="206" t="str">
        <f>IF(AND($A29&gt;=SYear72,$A29&lt;=EYear72,AF$3&gt;0),AF$3*VLOOKUP($A29,Data_72_15!$A$8:$AM$52,MATCH(AF$2,Data_72_15!$B$2:$AM$2,0)+1),"")</f>
        <v/>
      </c>
      <c r="AG29" s="206" t="str">
        <f>IF(AND($A29&gt;=SYear72,$A29&lt;=EYear72,AG$3&gt;0),AG$3*VLOOKUP($A29,Data_72_15!$A$8:$AM$52,MATCH(AG$2,Data_72_15!$B$2:$AM$2,0)+1),"")</f>
        <v/>
      </c>
      <c r="AH29" s="206" t="str">
        <f>IF(AND($A29&gt;=SYear72,$A29&lt;=EYear72,AH$3&gt;0),AH$3*VLOOKUP($A29,Data_72_15!$A$8:$AM$52,MATCH(AH$2,Data_72_15!$B$2:$AM$2,0)+1),"")</f>
        <v/>
      </c>
      <c r="AI29" s="206" t="str">
        <f>IF(AND($A29&gt;=SYear72,$A29&lt;=EYear72,AI$3&gt;0),AI$3*VLOOKUP($A29,Data_72_15!$A$8:$AM$52,MATCH(AI$2,Data_72_15!$B$2:$AM$2,0)+1),"")</f>
        <v/>
      </c>
      <c r="AJ29" s="206" t="str">
        <f>IF(AND($A29&gt;=SYear72,$A29&lt;=EYear72,AJ$3&gt;0),AJ$3*VLOOKUP($A29,Data_72_15!$A$8:$AM$52,MATCH(AJ$2,Data_72_15!$B$2:$AM$2,0)+1),"")</f>
        <v/>
      </c>
      <c r="AK29" s="206" t="str">
        <f>IF(AND($A29&gt;=SYear72,$A29&lt;=EYear72,AK$3&gt;0),AK$3*VLOOKUP($A29,Data_72_15!$A$8:$AM$52,MATCH(AK$2,Data_72_15!$B$2:$AM$2,0)+1),"")</f>
        <v/>
      </c>
      <c r="AL29" s="206" t="str">
        <f>IF(AND($A29&gt;=SYear72,$A29&lt;=EYear72,AL$3&gt;0),AL$3*VLOOKUP($A29,Data_72_15!$A$8:$AM$52,MATCH(AL$2,Data_72_15!$B$2:$AM$2,0)+1),"")</f>
        <v/>
      </c>
      <c r="AM29" s="206">
        <f t="shared" si="12"/>
        <v>0.71633186988625019</v>
      </c>
      <c r="AN29" s="446">
        <f t="shared" si="13"/>
        <v>134192.06166395097</v>
      </c>
      <c r="AO29" s="206">
        <f>IF(AND($A29&gt;=SYear72,$A29&lt;=EYear72),(AM29-Data_72_15!AM30)/(1+Data_72_15!AM30%),"")</f>
        <v>-1.9075405034775028</v>
      </c>
      <c r="AP29" s="606">
        <f t="shared" si="14"/>
        <v>36842.309514952518</v>
      </c>
      <c r="AQ29" s="143">
        <f t="shared" si="15"/>
        <v>11.146437251235634</v>
      </c>
      <c r="AR29" s="143">
        <f>IF(AND($A29&gt;=SYear72,$A29&lt;=EYear72),MAX($AQ$7:AQ29),"")</f>
        <v>11.146437251235634</v>
      </c>
      <c r="AS29" s="209">
        <f t="shared" si="16"/>
        <v>0</v>
      </c>
      <c r="AU29" s="143">
        <f>IF(AND($A29&gt;=SYear72,$A29&lt;=EYear72),Data_72_15!V30,"")</f>
        <v>3.81</v>
      </c>
      <c r="AV29" s="143">
        <f>IF(AND($A29&gt;=SYear72,$A29&lt;=EYear72),Data_72_15!AM30,"")</f>
        <v>2.6748971193415461</v>
      </c>
      <c r="AW29" s="143">
        <f t="shared" si="17"/>
        <v>1.105531062124266</v>
      </c>
      <c r="AZ29" s="61">
        <f t="shared" si="1"/>
        <v>7.163318698862442E-3</v>
      </c>
      <c r="BA29" s="61">
        <f t="shared" si="2"/>
        <v>0.12481799214465683</v>
      </c>
      <c r="BB29" s="61">
        <f t="shared" si="3"/>
        <v>0.14544277613708556</v>
      </c>
      <c r="BC29" s="61">
        <f t="shared" si="4"/>
        <v>8.3488727919266648E-2</v>
      </c>
      <c r="BD29" s="61">
        <f t="shared" si="5"/>
        <v>6.1953566729177956E-2</v>
      </c>
      <c r="BG29" s="61">
        <f t="shared" si="6"/>
        <v>-1.9075405034775006E-2</v>
      </c>
      <c r="BH29" s="61">
        <f t="shared" si="7"/>
        <v>9.3705429767047876E-2</v>
      </c>
      <c r="BI29" s="61">
        <f t="shared" si="8"/>
        <v>0.11894595779063177</v>
      </c>
      <c r="BJ29" s="61">
        <f t="shared" si="9"/>
        <v>5.8394602400634321E-2</v>
      </c>
      <c r="BK29" s="61">
        <f t="shared" si="10"/>
        <v>3.6358448706546032E-2</v>
      </c>
    </row>
    <row r="30" spans="1:63">
      <c r="A30" s="204">
        <f t="shared" si="11"/>
        <v>1995</v>
      </c>
      <c r="B30" s="206">
        <f>IF(AND($A30&gt;=SYear72,$A30&lt;=EYear72,B$3&gt;0),B$3*VLOOKUP($A30,Data_72_15!$A$8:$AM$52,MATCH(B$2,Data_72_15!$B$2:$AM$2,0)+1),"")</f>
        <v>17.895</v>
      </c>
      <c r="C30" s="206" t="str">
        <f>IF(AND($A30&gt;=SYear72,$A30&lt;=EYear72,C$3&gt;0),C$3*VLOOKUP($A30,Data_72_15!$A$8:$AM$52,MATCH(C$2,Data_72_15!$B$2:$AM$2,0)+1),"")</f>
        <v/>
      </c>
      <c r="D30" s="206" t="str">
        <f>IF(AND($A30&gt;=SYear72,$A30&lt;=EYear72,D$3&gt;0),D$3*VLOOKUP($A30,Data_72_15!$A$8:$AM$52,MATCH(D$2,Data_72_15!$B$2:$AM$2,0)+1),"")</f>
        <v/>
      </c>
      <c r="E30" s="206" t="str">
        <f>IF(AND($A30&gt;=SYear72,$A30&lt;=EYear72,E$3&gt;0),E$3*VLOOKUP($A30,Data_72_15!$A$8:$AM$52,MATCH(E$2,Data_72_15!$B$2:$AM$2,0)+1),"")</f>
        <v/>
      </c>
      <c r="F30" s="206" t="str">
        <f>IF(AND($A30&gt;=SYear72,$A30&lt;=EYear72,F$3&gt;0),F$3*VLOOKUP($A30,Data_72_15!$A$8:$AM$52,MATCH(F$2,Data_72_15!$B$2:$AM$2,0)+1),"")</f>
        <v/>
      </c>
      <c r="G30" s="206" t="str">
        <f>IF(AND($A30&gt;=SYear72,$A30&lt;=EYear72,G$3&gt;0),G$3*VLOOKUP($A30,Data_72_15!$A$8:$AM$52,MATCH(G$2,Data_72_15!$B$2:$AM$2,0)+1),"")</f>
        <v/>
      </c>
      <c r="H30" s="206" t="str">
        <f>IF(AND($A30&gt;=SYear72,$A30&lt;=EYear72,H$3&gt;0),H$3*VLOOKUP($A30,Data_72_15!$A$8:$AM$52,MATCH(H$2,Data_72_15!$B$2:$AM$2,0)+1),"")</f>
        <v/>
      </c>
      <c r="I30" s="206" t="str">
        <f>IF(AND($A30&gt;=SYear72,$A30&lt;=EYear72,I$3&gt;0),I$3*VLOOKUP($A30,Data_72_15!$A$8:$AM$52,MATCH(I$2,Data_72_15!$B$2:$AM$2,0)+1),"")</f>
        <v/>
      </c>
      <c r="J30" s="206" t="str">
        <f>IF(AND($A30&gt;=SYear72,$A30&lt;=EYear72,J$3&gt;0),J$3*VLOOKUP($A30,Data_72_15!$A$8:$AM$52,MATCH(J$2,Data_72_15!$B$2:$AM$2,0)+1),"")</f>
        <v/>
      </c>
      <c r="K30" s="206" t="str">
        <f>IF(AND($A30&gt;=SYear72,$A30&lt;=EYear72,K$3&gt;0),K$3*VLOOKUP($A30,Data_72_15!$A$8:$AM$52,MATCH(K$2,Data_72_15!$B$2:$AM$2,0)+1),"")</f>
        <v/>
      </c>
      <c r="L30" s="206" t="str">
        <f>IF(AND($A30&gt;=SYear72,$A30&lt;=EYear72,L$3&gt;0),L$3*VLOOKUP($A30,Data_72_15!$A$8:$AM$52,MATCH(L$2,Data_72_15!$B$2:$AM$2,0)+1),"")</f>
        <v/>
      </c>
      <c r="M30" s="206" t="str">
        <f>IF(AND($A30&gt;=SYear72,$A30&lt;=EYear72,M$3&gt;0),M$3*VLOOKUP($A30,Data_72_15!$A$8:$AM$52,MATCH(M$2,Data_72_15!$B$2:$AM$2,0)+1),"")</f>
        <v/>
      </c>
      <c r="N30" s="206">
        <f>IF(AND($A30&gt;=SYear72,$A30&lt;=EYear72,N$3&gt;0),N$3*VLOOKUP($A30,Data_72_15!$A$8:$AM$52,MATCH(N$2,Data_72_15!$B$2:$AM$2,0)+1),"")</f>
        <v>2.910796248253841</v>
      </c>
      <c r="O30" s="206" t="str">
        <f>IF(AND($A30&gt;=SYear72,$A30&lt;=EYear72,O$3&gt;0),O$3*VLOOKUP($A30,Data_72_15!$A$8:$AM$52,MATCH(O$2,Data_72_15!$B$2:$AM$2,0)+1),"")</f>
        <v/>
      </c>
      <c r="P30" s="206" t="str">
        <f>IF(AND($A30&gt;=SYear72,$A30&lt;=EYear72,P$3&gt;0),P$3*VLOOKUP($A30,Data_72_15!$A$8:$AM$52,MATCH(P$2,Data_72_15!$B$2:$AM$2,0)+1),"")</f>
        <v/>
      </c>
      <c r="Q30" s="206" t="str">
        <f>IF(AND($A30&gt;=SYear72,$A30&lt;=EYear72,Q$3&gt;0),Q$3*VLOOKUP($A30,Data_72_15!$A$8:$AM$52,MATCH(Q$2,Data_72_15!$B$2:$AM$2,0)+1),"")</f>
        <v/>
      </c>
      <c r="R30" s="206" t="str">
        <f>IF(AND($A30&gt;=SYear72,$A30&lt;=EYear72,R$3&gt;0),R$3*VLOOKUP($A30,Data_72_15!$A$8:$AM$52,MATCH(R$2,Data_72_15!$B$2:$AM$2,0)+1),"")</f>
        <v/>
      </c>
      <c r="S30" s="206" t="str">
        <f>IF(AND($A30&gt;=SYear72,$A30&lt;=EYear72,S$3&gt;0),S$3*VLOOKUP($A30,Data_72_15!$A$8:$AM$52,MATCH(S$2,Data_72_15!$B$2:$AM$2,0)+1),"")</f>
        <v/>
      </c>
      <c r="T30" s="206">
        <f>IF(AND($A30&gt;=SYear72,$A30&lt;=EYear72,T$3&gt;0),T$3*VLOOKUP($A30,Data_72_15!$A$8:$AM$52,MATCH(T$2,Data_72_15!$B$2:$AM$2,0)+1),"")</f>
        <v>4.0880000000000001</v>
      </c>
      <c r="U30" s="206" t="str">
        <f>IF(AND($A30&gt;=SYear72,$A30&lt;=EYear72,U$3&gt;0),U$3*VLOOKUP($A30,Data_72_15!$A$8:$AM$52,MATCH(U$2,Data_72_15!$B$2:$AM$2,0)+1),"")</f>
        <v/>
      </c>
      <c r="V30" s="206" t="str">
        <f>IF(AND($A30&gt;=SYear72,$A30&lt;=EYear72,V$3&gt;0),V$3*VLOOKUP($A30,Data_72_15!$A$8:$AM$52,MATCH(V$2,Data_72_15!$B$2:$AM$2,0)+1),"")</f>
        <v/>
      </c>
      <c r="W30" s="206" t="str">
        <f>IF(AND($A30&gt;=SYear72,$A30&lt;=EYear72,W$3&gt;0),W$3*VLOOKUP($A30,Data_72_15!$A$8:$AM$52,MATCH(W$2,Data_72_15!$B$2:$AM$2,0)+1),"")</f>
        <v/>
      </c>
      <c r="X30" s="206" t="str">
        <f>IF(AND($A30&gt;=SYear72,$A30&lt;=EYear72,X$3&gt;0),X$3*VLOOKUP($A30,Data_72_15!$A$8:$AM$52,MATCH(X$2,Data_72_15!$B$2:$AM$2,0)+1),"")</f>
        <v/>
      </c>
      <c r="Y30" s="206" t="str">
        <f>IF(AND($A30&gt;=SYear72,$A30&lt;=EYear72,Y$3&gt;0),Y$3*VLOOKUP($A30,Data_72_15!$A$8:$AM$52,MATCH(Y$2,Data_72_15!$B$2:$AM$2,0)+1),"")</f>
        <v/>
      </c>
      <c r="Z30" s="206" t="str">
        <f>IF(AND($A30&gt;=SYear72,$A30&lt;=EYear72,Z$3&gt;0),Z$3*VLOOKUP($A30,Data_72_15!$A$8:$AM$52,MATCH(Z$2,Data_72_15!$B$2:$AM$2,0)+1),"")</f>
        <v/>
      </c>
      <c r="AA30" s="206" t="str">
        <f>IF(AND($A30&gt;=SYear72,$A30&lt;=EYear72,AA$3&gt;0),AA$3*VLOOKUP($A30,Data_72_15!$A$8:$AM$52,MATCH(AA$2,Data_72_15!$B$2:$AM$2,0)+1),"")</f>
        <v/>
      </c>
      <c r="AB30" s="206" t="str">
        <f>IF(AND($A30&gt;=SYear72,$A30&lt;=EYear72,AB$3&gt;0),AB$3*VLOOKUP($A30,Data_72_15!$A$8:$AM$52,MATCH(AB$2,Data_72_15!$B$2:$AM$2,0)+1),"")</f>
        <v/>
      </c>
      <c r="AC30" s="206" t="str">
        <f>IF(AND($A30&gt;=SYear72,$A30&lt;=EYear72,AC$3&gt;0),AC$3*VLOOKUP($A30,Data_72_15!$A$8:$AM$52,MATCH(AC$2,Data_72_15!$B$2:$AM$2,0)+1),"")</f>
        <v/>
      </c>
      <c r="AD30" s="206" t="str">
        <f>IF(AND($A30&gt;=SYear72,$A30&lt;=EYear72,AD$3&gt;0),AD$3*VLOOKUP($A30,Data_72_15!$A$8:$AM$52,MATCH(AD$2,Data_72_15!$B$2:$AM$2,0)+1),"")</f>
        <v/>
      </c>
      <c r="AE30" s="206" t="str">
        <f>IF(AND($A30&gt;=SYear72,$A30&lt;=EYear72,AE$3&gt;0),AE$3*VLOOKUP($A30,Data_72_15!$A$8:$AM$52,MATCH(AE$2,Data_72_15!$B$2:$AM$2,0)+1),"")</f>
        <v/>
      </c>
      <c r="AF30" s="206" t="str">
        <f>IF(AND($A30&gt;=SYear72,$A30&lt;=EYear72,AF$3&gt;0),AF$3*VLOOKUP($A30,Data_72_15!$A$8:$AM$52,MATCH(AF$2,Data_72_15!$B$2:$AM$2,0)+1),"")</f>
        <v/>
      </c>
      <c r="AG30" s="206" t="str">
        <f>IF(AND($A30&gt;=SYear72,$A30&lt;=EYear72,AG$3&gt;0),AG$3*VLOOKUP($A30,Data_72_15!$A$8:$AM$52,MATCH(AG$2,Data_72_15!$B$2:$AM$2,0)+1),"")</f>
        <v/>
      </c>
      <c r="AH30" s="206" t="str">
        <f>IF(AND($A30&gt;=SYear72,$A30&lt;=EYear72,AH$3&gt;0),AH$3*VLOOKUP($A30,Data_72_15!$A$8:$AM$52,MATCH(AH$2,Data_72_15!$B$2:$AM$2,0)+1),"")</f>
        <v/>
      </c>
      <c r="AI30" s="206" t="str">
        <f>IF(AND($A30&gt;=SYear72,$A30&lt;=EYear72,AI$3&gt;0),AI$3*VLOOKUP($A30,Data_72_15!$A$8:$AM$52,MATCH(AI$2,Data_72_15!$B$2:$AM$2,0)+1),"")</f>
        <v/>
      </c>
      <c r="AJ30" s="206" t="str">
        <f>IF(AND($A30&gt;=SYear72,$A30&lt;=EYear72,AJ$3&gt;0),AJ$3*VLOOKUP($A30,Data_72_15!$A$8:$AM$52,MATCH(AJ$2,Data_72_15!$B$2:$AM$2,0)+1),"")</f>
        <v/>
      </c>
      <c r="AK30" s="206" t="str">
        <f>IF(AND($A30&gt;=SYear72,$A30&lt;=EYear72,AK$3&gt;0),AK$3*VLOOKUP($A30,Data_72_15!$A$8:$AM$52,MATCH(AK$2,Data_72_15!$B$2:$AM$2,0)+1),"")</f>
        <v/>
      </c>
      <c r="AL30" s="206" t="str">
        <f>IF(AND($A30&gt;=SYear72,$A30&lt;=EYear72,AL$3&gt;0),AL$3*VLOOKUP($A30,Data_72_15!$A$8:$AM$52,MATCH(AL$2,Data_72_15!$B$2:$AM$2,0)+1),"")</f>
        <v/>
      </c>
      <c r="AM30" s="206">
        <f t="shared" si="12"/>
        <v>24.893796248253842</v>
      </c>
      <c r="AN30" s="446">
        <f t="shared" si="13"/>
        <v>167597.56007590605</v>
      </c>
      <c r="AO30" s="206">
        <f>IF(AND($A30&gt;=SYear72,$A30&lt;=EYear72),(AM30-Data_72_15!AM31)/(1+Data_72_15!AM31%),"")</f>
        <v>21.801962855788911</v>
      </c>
      <c r="AP30" s="606">
        <f t="shared" si="14"/>
        <v>44874.656150617244</v>
      </c>
      <c r="AQ30" s="143">
        <f t="shared" si="15"/>
        <v>13.921208629497697</v>
      </c>
      <c r="AR30" s="143">
        <f>IF(AND($A30&gt;=SYear72,$A30&lt;=EYear72),MAX($AQ$7:AQ30),"")</f>
        <v>13.921208629497697</v>
      </c>
      <c r="AS30" s="209">
        <f t="shared" si="16"/>
        <v>0</v>
      </c>
      <c r="AU30" s="143">
        <f>IF(AND($A30&gt;=SYear72,$A30&lt;=EYear72),Data_72_15!V31,"")</f>
        <v>5.49</v>
      </c>
      <c r="AV30" s="143">
        <f>IF(AND($A30&gt;=SYear72,$A30&lt;=EYear72),Data_72_15!AM31,"")</f>
        <v>2.5384101536406245</v>
      </c>
      <c r="AW30" s="143">
        <f t="shared" si="17"/>
        <v>2.8785211726384268</v>
      </c>
      <c r="AZ30" s="61">
        <f t="shared" si="1"/>
        <v>0.2489379624825383</v>
      </c>
      <c r="BA30" s="61">
        <f t="shared" si="2"/>
        <v>0.18240432115745797</v>
      </c>
      <c r="BB30" s="61">
        <f t="shared" si="3"/>
        <v>0.18663646320324268</v>
      </c>
      <c r="BC30" s="61">
        <f t="shared" si="4"/>
        <v>9.6215606824122224E-2</v>
      </c>
      <c r="BD30" s="61">
        <f t="shared" si="5"/>
        <v>7.7374556307237219E-2</v>
      </c>
      <c r="BG30" s="61">
        <f t="shared" si="6"/>
        <v>0.21801962855788903</v>
      </c>
      <c r="BH30" s="61">
        <f t="shared" si="7"/>
        <v>0.15335185693797504</v>
      </c>
      <c r="BI30" s="61">
        <f t="shared" si="8"/>
        <v>0.15916491100982078</v>
      </c>
      <c r="BJ30" s="61">
        <f t="shared" si="9"/>
        <v>7.0223004785729293E-2</v>
      </c>
      <c r="BK30" s="61">
        <f t="shared" si="10"/>
        <v>5.1376071042585236E-2</v>
      </c>
    </row>
    <row r="31" spans="1:63">
      <c r="A31" s="204">
        <f t="shared" si="11"/>
        <v>1996</v>
      </c>
      <c r="B31" s="206">
        <f>IF(AND($A31&gt;=SYear72,$A31&lt;=EYear72,B$3&gt;0),B$3*VLOOKUP($A31,Data_72_15!$A$8:$AM$52,MATCH(B$2,Data_72_15!$B$2:$AM$2,0)+1),"")</f>
        <v>10.48</v>
      </c>
      <c r="C31" s="206" t="str">
        <f>IF(AND($A31&gt;=SYear72,$A31&lt;=EYear72,C$3&gt;0),C$3*VLOOKUP($A31,Data_72_15!$A$8:$AM$52,MATCH(C$2,Data_72_15!$B$2:$AM$2,0)+1),"")</f>
        <v/>
      </c>
      <c r="D31" s="206" t="str">
        <f>IF(AND($A31&gt;=SYear72,$A31&lt;=EYear72,D$3&gt;0),D$3*VLOOKUP($A31,Data_72_15!$A$8:$AM$52,MATCH(D$2,Data_72_15!$B$2:$AM$2,0)+1),"")</f>
        <v/>
      </c>
      <c r="E31" s="206" t="str">
        <f>IF(AND($A31&gt;=SYear72,$A31&lt;=EYear72,E$3&gt;0),E$3*VLOOKUP($A31,Data_72_15!$A$8:$AM$52,MATCH(E$2,Data_72_15!$B$2:$AM$2,0)+1),"")</f>
        <v/>
      </c>
      <c r="F31" s="206" t="str">
        <f>IF(AND($A31&gt;=SYear72,$A31&lt;=EYear72,F$3&gt;0),F$3*VLOOKUP($A31,Data_72_15!$A$8:$AM$52,MATCH(F$2,Data_72_15!$B$2:$AM$2,0)+1),"")</f>
        <v/>
      </c>
      <c r="G31" s="206" t="str">
        <f>IF(AND($A31&gt;=SYear72,$A31&lt;=EYear72,G$3&gt;0),G$3*VLOOKUP($A31,Data_72_15!$A$8:$AM$52,MATCH(G$2,Data_72_15!$B$2:$AM$2,0)+1),"")</f>
        <v/>
      </c>
      <c r="H31" s="206" t="str">
        <f>IF(AND($A31&gt;=SYear72,$A31&lt;=EYear72,H$3&gt;0),H$3*VLOOKUP($A31,Data_72_15!$A$8:$AM$52,MATCH(H$2,Data_72_15!$B$2:$AM$2,0)+1),"")</f>
        <v/>
      </c>
      <c r="I31" s="206" t="str">
        <f>IF(AND($A31&gt;=SYear72,$A31&lt;=EYear72,I$3&gt;0),I$3*VLOOKUP($A31,Data_72_15!$A$8:$AM$52,MATCH(I$2,Data_72_15!$B$2:$AM$2,0)+1),"")</f>
        <v/>
      </c>
      <c r="J31" s="206" t="str">
        <f>IF(AND($A31&gt;=SYear72,$A31&lt;=EYear72,J$3&gt;0),J$3*VLOOKUP($A31,Data_72_15!$A$8:$AM$52,MATCH(J$2,Data_72_15!$B$2:$AM$2,0)+1),"")</f>
        <v/>
      </c>
      <c r="K31" s="206" t="str">
        <f>IF(AND($A31&gt;=SYear72,$A31&lt;=EYear72,K$3&gt;0),K$3*VLOOKUP($A31,Data_72_15!$A$8:$AM$52,MATCH(K$2,Data_72_15!$B$2:$AM$2,0)+1),"")</f>
        <v/>
      </c>
      <c r="L31" s="206" t="str">
        <f>IF(AND($A31&gt;=SYear72,$A31&lt;=EYear72,L$3&gt;0),L$3*VLOOKUP($A31,Data_72_15!$A$8:$AM$52,MATCH(L$2,Data_72_15!$B$2:$AM$2,0)+1),"")</f>
        <v/>
      </c>
      <c r="M31" s="206" t="str">
        <f>IF(AND($A31&gt;=SYear72,$A31&lt;=EYear72,M$3&gt;0),M$3*VLOOKUP($A31,Data_72_15!$A$8:$AM$52,MATCH(M$2,Data_72_15!$B$2:$AM$2,0)+1),"")</f>
        <v/>
      </c>
      <c r="N31" s="206">
        <f>IF(AND($A31&gt;=SYear72,$A31&lt;=EYear72,N$3&gt;0),N$3*VLOOKUP($A31,Data_72_15!$A$8:$AM$52,MATCH(N$2,Data_72_15!$B$2:$AM$2,0)+1),"")</f>
        <v>2.2733486330073842</v>
      </c>
      <c r="O31" s="206" t="str">
        <f>IF(AND($A31&gt;=SYear72,$A31&lt;=EYear72,O$3&gt;0),O$3*VLOOKUP($A31,Data_72_15!$A$8:$AM$52,MATCH(O$2,Data_72_15!$B$2:$AM$2,0)+1),"")</f>
        <v/>
      </c>
      <c r="P31" s="206" t="str">
        <f>IF(AND($A31&gt;=SYear72,$A31&lt;=EYear72,P$3&gt;0),P$3*VLOOKUP($A31,Data_72_15!$A$8:$AM$52,MATCH(P$2,Data_72_15!$B$2:$AM$2,0)+1),"")</f>
        <v/>
      </c>
      <c r="Q31" s="206" t="str">
        <f>IF(AND($A31&gt;=SYear72,$A31&lt;=EYear72,Q$3&gt;0),Q$3*VLOOKUP($A31,Data_72_15!$A$8:$AM$52,MATCH(Q$2,Data_72_15!$B$2:$AM$2,0)+1),"")</f>
        <v/>
      </c>
      <c r="R31" s="206" t="str">
        <f>IF(AND($A31&gt;=SYear72,$A31&lt;=EYear72,R$3&gt;0),R$3*VLOOKUP($A31,Data_72_15!$A$8:$AM$52,MATCH(R$2,Data_72_15!$B$2:$AM$2,0)+1),"")</f>
        <v/>
      </c>
      <c r="S31" s="206" t="str">
        <f>IF(AND($A31&gt;=SYear72,$A31&lt;=EYear72,S$3&gt;0),S$3*VLOOKUP($A31,Data_72_15!$A$8:$AM$52,MATCH(S$2,Data_72_15!$B$2:$AM$2,0)+1),"")</f>
        <v/>
      </c>
      <c r="T31" s="206">
        <f>IF(AND($A31&gt;=SYear72,$A31&lt;=EYear72,T$3&gt;0),T$3*VLOOKUP($A31,Data_72_15!$A$8:$AM$52,MATCH(T$2,Data_72_15!$B$2:$AM$2,0)+1),"")</f>
        <v>0.38400000000000001</v>
      </c>
      <c r="U31" s="206" t="str">
        <f>IF(AND($A31&gt;=SYear72,$A31&lt;=EYear72,U$3&gt;0),U$3*VLOOKUP($A31,Data_72_15!$A$8:$AM$52,MATCH(U$2,Data_72_15!$B$2:$AM$2,0)+1),"")</f>
        <v/>
      </c>
      <c r="V31" s="206" t="str">
        <f>IF(AND($A31&gt;=SYear72,$A31&lt;=EYear72,V$3&gt;0),V$3*VLOOKUP($A31,Data_72_15!$A$8:$AM$52,MATCH(V$2,Data_72_15!$B$2:$AM$2,0)+1),"")</f>
        <v/>
      </c>
      <c r="W31" s="206" t="str">
        <f>IF(AND($A31&gt;=SYear72,$A31&lt;=EYear72,W$3&gt;0),W$3*VLOOKUP($A31,Data_72_15!$A$8:$AM$52,MATCH(W$2,Data_72_15!$B$2:$AM$2,0)+1),"")</f>
        <v/>
      </c>
      <c r="X31" s="206" t="str">
        <f>IF(AND($A31&gt;=SYear72,$A31&lt;=EYear72,X$3&gt;0),X$3*VLOOKUP($A31,Data_72_15!$A$8:$AM$52,MATCH(X$2,Data_72_15!$B$2:$AM$2,0)+1),"")</f>
        <v/>
      </c>
      <c r="Y31" s="206" t="str">
        <f>IF(AND($A31&gt;=SYear72,$A31&lt;=EYear72,Y$3&gt;0),Y$3*VLOOKUP($A31,Data_72_15!$A$8:$AM$52,MATCH(Y$2,Data_72_15!$B$2:$AM$2,0)+1),"")</f>
        <v/>
      </c>
      <c r="Z31" s="206" t="str">
        <f>IF(AND($A31&gt;=SYear72,$A31&lt;=EYear72,Z$3&gt;0),Z$3*VLOOKUP($A31,Data_72_15!$A$8:$AM$52,MATCH(Z$2,Data_72_15!$B$2:$AM$2,0)+1),"")</f>
        <v/>
      </c>
      <c r="AA31" s="206" t="str">
        <f>IF(AND($A31&gt;=SYear72,$A31&lt;=EYear72,AA$3&gt;0),AA$3*VLOOKUP($A31,Data_72_15!$A$8:$AM$52,MATCH(AA$2,Data_72_15!$B$2:$AM$2,0)+1),"")</f>
        <v/>
      </c>
      <c r="AB31" s="206" t="str">
        <f>IF(AND($A31&gt;=SYear72,$A31&lt;=EYear72,AB$3&gt;0),AB$3*VLOOKUP($A31,Data_72_15!$A$8:$AM$52,MATCH(AB$2,Data_72_15!$B$2:$AM$2,0)+1),"")</f>
        <v/>
      </c>
      <c r="AC31" s="206" t="str">
        <f>IF(AND($A31&gt;=SYear72,$A31&lt;=EYear72,AC$3&gt;0),AC$3*VLOOKUP($A31,Data_72_15!$A$8:$AM$52,MATCH(AC$2,Data_72_15!$B$2:$AM$2,0)+1),"")</f>
        <v/>
      </c>
      <c r="AD31" s="206" t="str">
        <f>IF(AND($A31&gt;=SYear72,$A31&lt;=EYear72,AD$3&gt;0),AD$3*VLOOKUP($A31,Data_72_15!$A$8:$AM$52,MATCH(AD$2,Data_72_15!$B$2:$AM$2,0)+1),"")</f>
        <v/>
      </c>
      <c r="AE31" s="206" t="str">
        <f>IF(AND($A31&gt;=SYear72,$A31&lt;=EYear72,AE$3&gt;0),AE$3*VLOOKUP($A31,Data_72_15!$A$8:$AM$52,MATCH(AE$2,Data_72_15!$B$2:$AM$2,0)+1),"")</f>
        <v/>
      </c>
      <c r="AF31" s="206" t="str">
        <f>IF(AND($A31&gt;=SYear72,$A31&lt;=EYear72,AF$3&gt;0),AF$3*VLOOKUP($A31,Data_72_15!$A$8:$AM$52,MATCH(AF$2,Data_72_15!$B$2:$AM$2,0)+1),"")</f>
        <v/>
      </c>
      <c r="AG31" s="206" t="str">
        <f>IF(AND($A31&gt;=SYear72,$A31&lt;=EYear72,AG$3&gt;0),AG$3*VLOOKUP($A31,Data_72_15!$A$8:$AM$52,MATCH(AG$2,Data_72_15!$B$2:$AM$2,0)+1),"")</f>
        <v/>
      </c>
      <c r="AH31" s="206" t="str">
        <f>IF(AND($A31&gt;=SYear72,$A31&lt;=EYear72,AH$3&gt;0),AH$3*VLOOKUP($A31,Data_72_15!$A$8:$AM$52,MATCH(AH$2,Data_72_15!$B$2:$AM$2,0)+1),"")</f>
        <v/>
      </c>
      <c r="AI31" s="206" t="str">
        <f>IF(AND($A31&gt;=SYear72,$A31&lt;=EYear72,AI$3&gt;0),AI$3*VLOOKUP($A31,Data_72_15!$A$8:$AM$52,MATCH(AI$2,Data_72_15!$B$2:$AM$2,0)+1),"")</f>
        <v/>
      </c>
      <c r="AJ31" s="206" t="str">
        <f>IF(AND($A31&gt;=SYear72,$A31&lt;=EYear72,AJ$3&gt;0),AJ$3*VLOOKUP($A31,Data_72_15!$A$8:$AM$52,MATCH(AJ$2,Data_72_15!$B$2:$AM$2,0)+1),"")</f>
        <v/>
      </c>
      <c r="AK31" s="206" t="str">
        <f>IF(AND($A31&gt;=SYear72,$A31&lt;=EYear72,AK$3&gt;0),AK$3*VLOOKUP($A31,Data_72_15!$A$8:$AM$52,MATCH(AK$2,Data_72_15!$B$2:$AM$2,0)+1),"")</f>
        <v/>
      </c>
      <c r="AL31" s="206" t="str">
        <f>IF(AND($A31&gt;=SYear72,$A31&lt;=EYear72,AL$3&gt;0),AL$3*VLOOKUP($A31,Data_72_15!$A$8:$AM$52,MATCH(AL$2,Data_72_15!$B$2:$AM$2,0)+1),"")</f>
        <v/>
      </c>
      <c r="AM31" s="206">
        <f t="shared" si="12"/>
        <v>13.137348633007385</v>
      </c>
      <c r="AN31" s="446">
        <f t="shared" si="13"/>
        <v>189615.43584349184</v>
      </c>
      <c r="AO31" s="206">
        <f>IF(AND($A31&gt;=SYear72,$A31&lt;=EYear72),(AM31-Data_72_15!AM32)/(1+Data_72_15!AM32%),"")</f>
        <v>9.4992623907101663</v>
      </c>
      <c r="AP31" s="606">
        <f t="shared" si="14"/>
        <v>49137.417485293336</v>
      </c>
      <c r="AQ31" s="143">
        <f t="shared" si="15"/>
        <v>15.75008634108312</v>
      </c>
      <c r="AR31" s="143">
        <f>IF(AND($A31&gt;=SYear72,$A31&lt;=EYear72),MAX($AQ$7:AQ31),"")</f>
        <v>15.75008634108312</v>
      </c>
      <c r="AS31" s="209">
        <f t="shared" si="16"/>
        <v>0</v>
      </c>
      <c r="AU31" s="143">
        <f>IF(AND($A31&gt;=SYear72,$A31&lt;=EYear72),Data_72_15!V32,"")</f>
        <v>5.09</v>
      </c>
      <c r="AV31" s="143">
        <f>IF(AND($A31&gt;=SYear72,$A31&lt;=EYear72),Data_72_15!AM32,"")</f>
        <v>3.3224755700325792</v>
      </c>
      <c r="AW31" s="143">
        <f t="shared" si="17"/>
        <v>1.7106872635561101</v>
      </c>
      <c r="AZ31" s="61">
        <f t="shared" si="1"/>
        <v>0.13137348633007395</v>
      </c>
      <c r="BA31" s="61">
        <f t="shared" si="2"/>
        <v>0.16165029531003472</v>
      </c>
      <c r="BB31" s="61">
        <f t="shared" si="3"/>
        <v>0.11829059175994883</v>
      </c>
      <c r="BC31" s="61">
        <f t="shared" si="4"/>
        <v>8.0524220412740988E-2</v>
      </c>
      <c r="BD31" s="61">
        <f t="shared" si="5"/>
        <v>7.0431828780614714E-2</v>
      </c>
      <c r="BG31" s="61">
        <f t="shared" si="6"/>
        <v>9.4992623907101725E-2</v>
      </c>
      <c r="BH31" s="61">
        <f t="shared" si="7"/>
        <v>0.13654128438187363</v>
      </c>
      <c r="BI31" s="61">
        <f t="shared" si="8"/>
        <v>9.0602521563140304E-2</v>
      </c>
      <c r="BJ31" s="61">
        <f t="shared" si="9"/>
        <v>5.4005397300822322E-2</v>
      </c>
      <c r="BK31" s="61">
        <f t="shared" si="10"/>
        <v>4.5312900229980801E-2</v>
      </c>
    </row>
    <row r="32" spans="1:63">
      <c r="A32" s="204">
        <f t="shared" si="11"/>
        <v>1997</v>
      </c>
      <c r="B32" s="206">
        <f>IF(AND($A32&gt;=SYear72,$A32&lt;=EYear72,B$3&gt;0),B$3*VLOOKUP($A32,Data_72_15!$A$8:$AM$52,MATCH(B$2,Data_72_15!$B$2:$AM$2,0)+1),"")</f>
        <v>15.494999999999999</v>
      </c>
      <c r="C32" s="206" t="str">
        <f>IF(AND($A32&gt;=SYear72,$A32&lt;=EYear72,C$3&gt;0),C$3*VLOOKUP($A32,Data_72_15!$A$8:$AM$52,MATCH(C$2,Data_72_15!$B$2:$AM$2,0)+1),"")</f>
        <v/>
      </c>
      <c r="D32" s="206" t="str">
        <f>IF(AND($A32&gt;=SYear72,$A32&lt;=EYear72,D$3&gt;0),D$3*VLOOKUP($A32,Data_72_15!$A$8:$AM$52,MATCH(D$2,Data_72_15!$B$2:$AM$2,0)+1),"")</f>
        <v/>
      </c>
      <c r="E32" s="206" t="str">
        <f>IF(AND($A32&gt;=SYear72,$A32&lt;=EYear72,E$3&gt;0),E$3*VLOOKUP($A32,Data_72_15!$A$8:$AM$52,MATCH(E$2,Data_72_15!$B$2:$AM$2,0)+1),"")</f>
        <v/>
      </c>
      <c r="F32" s="206" t="str">
        <f>IF(AND($A32&gt;=SYear72,$A32&lt;=EYear72,F$3&gt;0),F$3*VLOOKUP($A32,Data_72_15!$A$8:$AM$52,MATCH(F$2,Data_72_15!$B$2:$AM$2,0)+1),"")</f>
        <v/>
      </c>
      <c r="G32" s="206" t="str">
        <f>IF(AND($A32&gt;=SYear72,$A32&lt;=EYear72,G$3&gt;0),G$3*VLOOKUP($A32,Data_72_15!$A$8:$AM$52,MATCH(G$2,Data_72_15!$B$2:$AM$2,0)+1),"")</f>
        <v/>
      </c>
      <c r="H32" s="206" t="str">
        <f>IF(AND($A32&gt;=SYear72,$A32&lt;=EYear72,H$3&gt;0),H$3*VLOOKUP($A32,Data_72_15!$A$8:$AM$52,MATCH(H$2,Data_72_15!$B$2:$AM$2,0)+1),"")</f>
        <v/>
      </c>
      <c r="I32" s="206" t="str">
        <f>IF(AND($A32&gt;=SYear72,$A32&lt;=EYear72,I$3&gt;0),I$3*VLOOKUP($A32,Data_72_15!$A$8:$AM$52,MATCH(I$2,Data_72_15!$B$2:$AM$2,0)+1),"")</f>
        <v/>
      </c>
      <c r="J32" s="206" t="str">
        <f>IF(AND($A32&gt;=SYear72,$A32&lt;=EYear72,J$3&gt;0),J$3*VLOOKUP($A32,Data_72_15!$A$8:$AM$52,MATCH(J$2,Data_72_15!$B$2:$AM$2,0)+1),"")</f>
        <v/>
      </c>
      <c r="K32" s="206" t="str">
        <f>IF(AND($A32&gt;=SYear72,$A32&lt;=EYear72,K$3&gt;0),K$3*VLOOKUP($A32,Data_72_15!$A$8:$AM$52,MATCH(K$2,Data_72_15!$B$2:$AM$2,0)+1),"")</f>
        <v/>
      </c>
      <c r="L32" s="206" t="str">
        <f>IF(AND($A32&gt;=SYear72,$A32&lt;=EYear72,L$3&gt;0),L$3*VLOOKUP($A32,Data_72_15!$A$8:$AM$52,MATCH(L$2,Data_72_15!$B$2:$AM$2,0)+1),"")</f>
        <v/>
      </c>
      <c r="M32" s="206" t="str">
        <f>IF(AND($A32&gt;=SYear72,$A32&lt;=EYear72,M$3&gt;0),M$3*VLOOKUP($A32,Data_72_15!$A$8:$AM$52,MATCH(M$2,Data_72_15!$B$2:$AM$2,0)+1),"")</f>
        <v/>
      </c>
      <c r="N32" s="206">
        <f>IF(AND($A32&gt;=SYear72,$A32&lt;=EYear72,N$3&gt;0),N$3*VLOOKUP($A32,Data_72_15!$A$8:$AM$52,MATCH(N$2,Data_72_15!$B$2:$AM$2,0)+1),"")</f>
        <v>-0.29634803432448614</v>
      </c>
      <c r="O32" s="206" t="str">
        <f>IF(AND($A32&gt;=SYear72,$A32&lt;=EYear72,O$3&gt;0),O$3*VLOOKUP($A32,Data_72_15!$A$8:$AM$52,MATCH(O$2,Data_72_15!$B$2:$AM$2,0)+1),"")</f>
        <v/>
      </c>
      <c r="P32" s="206" t="str">
        <f>IF(AND($A32&gt;=SYear72,$A32&lt;=EYear72,P$3&gt;0),P$3*VLOOKUP($A32,Data_72_15!$A$8:$AM$52,MATCH(P$2,Data_72_15!$B$2:$AM$2,0)+1),"")</f>
        <v/>
      </c>
      <c r="Q32" s="206" t="str">
        <f>IF(AND($A32&gt;=SYear72,$A32&lt;=EYear72,Q$3&gt;0),Q$3*VLOOKUP($A32,Data_72_15!$A$8:$AM$52,MATCH(Q$2,Data_72_15!$B$2:$AM$2,0)+1),"")</f>
        <v/>
      </c>
      <c r="R32" s="206" t="str">
        <f>IF(AND($A32&gt;=SYear72,$A32&lt;=EYear72,R$3&gt;0),R$3*VLOOKUP($A32,Data_72_15!$A$8:$AM$52,MATCH(R$2,Data_72_15!$B$2:$AM$2,0)+1),"")</f>
        <v/>
      </c>
      <c r="S32" s="206" t="str">
        <f>IF(AND($A32&gt;=SYear72,$A32&lt;=EYear72,S$3&gt;0),S$3*VLOOKUP($A32,Data_72_15!$A$8:$AM$52,MATCH(S$2,Data_72_15!$B$2:$AM$2,0)+1),"")</f>
        <v/>
      </c>
      <c r="T32" s="206">
        <f>IF(AND($A32&gt;=SYear72,$A32&lt;=EYear72,T$3&gt;0),T$3*VLOOKUP($A32,Data_72_15!$A$8:$AM$52,MATCH(T$2,Data_72_15!$B$2:$AM$2,0)+1),"")</f>
        <v>1.7920000000000003</v>
      </c>
      <c r="U32" s="206" t="str">
        <f>IF(AND($A32&gt;=SYear72,$A32&lt;=EYear72,U$3&gt;0),U$3*VLOOKUP($A32,Data_72_15!$A$8:$AM$52,MATCH(U$2,Data_72_15!$B$2:$AM$2,0)+1),"")</f>
        <v/>
      </c>
      <c r="V32" s="206" t="str">
        <f>IF(AND($A32&gt;=SYear72,$A32&lt;=EYear72,V$3&gt;0),V$3*VLOOKUP($A32,Data_72_15!$A$8:$AM$52,MATCH(V$2,Data_72_15!$B$2:$AM$2,0)+1),"")</f>
        <v/>
      </c>
      <c r="W32" s="206" t="str">
        <f>IF(AND($A32&gt;=SYear72,$A32&lt;=EYear72,W$3&gt;0),W$3*VLOOKUP($A32,Data_72_15!$A$8:$AM$52,MATCH(W$2,Data_72_15!$B$2:$AM$2,0)+1),"")</f>
        <v/>
      </c>
      <c r="X32" s="206" t="str">
        <f>IF(AND($A32&gt;=SYear72,$A32&lt;=EYear72,X$3&gt;0),X$3*VLOOKUP($A32,Data_72_15!$A$8:$AM$52,MATCH(X$2,Data_72_15!$B$2:$AM$2,0)+1),"")</f>
        <v/>
      </c>
      <c r="Y32" s="206" t="str">
        <f>IF(AND($A32&gt;=SYear72,$A32&lt;=EYear72,Y$3&gt;0),Y$3*VLOOKUP($A32,Data_72_15!$A$8:$AM$52,MATCH(Y$2,Data_72_15!$B$2:$AM$2,0)+1),"")</f>
        <v/>
      </c>
      <c r="Z32" s="206" t="str">
        <f>IF(AND($A32&gt;=SYear72,$A32&lt;=EYear72,Z$3&gt;0),Z$3*VLOOKUP($A32,Data_72_15!$A$8:$AM$52,MATCH(Z$2,Data_72_15!$B$2:$AM$2,0)+1),"")</f>
        <v/>
      </c>
      <c r="AA32" s="206" t="str">
        <f>IF(AND($A32&gt;=SYear72,$A32&lt;=EYear72,AA$3&gt;0),AA$3*VLOOKUP($A32,Data_72_15!$A$8:$AM$52,MATCH(AA$2,Data_72_15!$B$2:$AM$2,0)+1),"")</f>
        <v/>
      </c>
      <c r="AB32" s="206" t="str">
        <f>IF(AND($A32&gt;=SYear72,$A32&lt;=EYear72,AB$3&gt;0),AB$3*VLOOKUP($A32,Data_72_15!$A$8:$AM$52,MATCH(AB$2,Data_72_15!$B$2:$AM$2,0)+1),"")</f>
        <v/>
      </c>
      <c r="AC32" s="206" t="str">
        <f>IF(AND($A32&gt;=SYear72,$A32&lt;=EYear72,AC$3&gt;0),AC$3*VLOOKUP($A32,Data_72_15!$A$8:$AM$52,MATCH(AC$2,Data_72_15!$B$2:$AM$2,0)+1),"")</f>
        <v/>
      </c>
      <c r="AD32" s="206" t="str">
        <f>IF(AND($A32&gt;=SYear72,$A32&lt;=EYear72,AD$3&gt;0),AD$3*VLOOKUP($A32,Data_72_15!$A$8:$AM$52,MATCH(AD$2,Data_72_15!$B$2:$AM$2,0)+1),"")</f>
        <v/>
      </c>
      <c r="AE32" s="206" t="str">
        <f>IF(AND($A32&gt;=SYear72,$A32&lt;=EYear72,AE$3&gt;0),AE$3*VLOOKUP($A32,Data_72_15!$A$8:$AM$52,MATCH(AE$2,Data_72_15!$B$2:$AM$2,0)+1),"")</f>
        <v/>
      </c>
      <c r="AF32" s="206" t="str">
        <f>IF(AND($A32&gt;=SYear72,$A32&lt;=EYear72,AF$3&gt;0),AF$3*VLOOKUP($A32,Data_72_15!$A$8:$AM$52,MATCH(AF$2,Data_72_15!$B$2:$AM$2,0)+1),"")</f>
        <v/>
      </c>
      <c r="AG32" s="206" t="str">
        <f>IF(AND($A32&gt;=SYear72,$A32&lt;=EYear72,AG$3&gt;0),AG$3*VLOOKUP($A32,Data_72_15!$A$8:$AM$52,MATCH(AG$2,Data_72_15!$B$2:$AM$2,0)+1),"")</f>
        <v/>
      </c>
      <c r="AH32" s="206" t="str">
        <f>IF(AND($A32&gt;=SYear72,$A32&lt;=EYear72,AH$3&gt;0),AH$3*VLOOKUP($A32,Data_72_15!$A$8:$AM$52,MATCH(AH$2,Data_72_15!$B$2:$AM$2,0)+1),"")</f>
        <v/>
      </c>
      <c r="AI32" s="206" t="str">
        <f>IF(AND($A32&gt;=SYear72,$A32&lt;=EYear72,AI$3&gt;0),AI$3*VLOOKUP($A32,Data_72_15!$A$8:$AM$52,MATCH(AI$2,Data_72_15!$B$2:$AM$2,0)+1),"")</f>
        <v/>
      </c>
      <c r="AJ32" s="206" t="str">
        <f>IF(AND($A32&gt;=SYear72,$A32&lt;=EYear72,AJ$3&gt;0),AJ$3*VLOOKUP($A32,Data_72_15!$A$8:$AM$52,MATCH(AJ$2,Data_72_15!$B$2:$AM$2,0)+1),"")</f>
        <v/>
      </c>
      <c r="AK32" s="206" t="str">
        <f>IF(AND($A32&gt;=SYear72,$A32&lt;=EYear72,AK$3&gt;0),AK$3*VLOOKUP($A32,Data_72_15!$A$8:$AM$52,MATCH(AK$2,Data_72_15!$B$2:$AM$2,0)+1),"")</f>
        <v/>
      </c>
      <c r="AL32" s="206" t="str">
        <f>IF(AND($A32&gt;=SYear72,$A32&lt;=EYear72,AL$3&gt;0),AL$3*VLOOKUP($A32,Data_72_15!$A$8:$AM$52,MATCH(AL$2,Data_72_15!$B$2:$AM$2,0)+1),"")</f>
        <v/>
      </c>
      <c r="AM32" s="206">
        <f t="shared" si="12"/>
        <v>16.990651965675514</v>
      </c>
      <c r="AN32" s="446">
        <f t="shared" si="13"/>
        <v>221832.33462085825</v>
      </c>
      <c r="AO32" s="206">
        <f>IF(AND($A32&gt;=SYear72,$A32&lt;=EYear72),(AM32-Data_72_15!AM33)/(1+Data_72_15!AM33%),"")</f>
        <v>15.032345950131024</v>
      </c>
      <c r="AP32" s="606">
        <f t="shared" si="14"/>
        <v>56523.924072642803</v>
      </c>
      <c r="AQ32" s="143">
        <f t="shared" si="15"/>
        <v>18.426128695589949</v>
      </c>
      <c r="AR32" s="143">
        <f>IF(AND($A32&gt;=SYear72,$A32&lt;=EYear72),MAX($AQ$7:AQ32),"")</f>
        <v>18.426128695589949</v>
      </c>
      <c r="AS32" s="209">
        <f t="shared" si="16"/>
        <v>0</v>
      </c>
      <c r="AU32" s="143">
        <f>IF(AND($A32&gt;=SYear72,$A32&lt;=EYear72),Data_72_15!V33,"")</f>
        <v>5.12</v>
      </c>
      <c r="AV32" s="143">
        <f>IF(AND($A32&gt;=SYear72,$A32&lt;=EYear72),Data_72_15!AM33,"")</f>
        <v>1.7023959646910614</v>
      </c>
      <c r="AW32" s="143">
        <f t="shared" si="17"/>
        <v>3.3603967761934137</v>
      </c>
      <c r="AZ32" s="61">
        <f t="shared" si="1"/>
        <v>0.16990651965675507</v>
      </c>
      <c r="BA32" s="61">
        <f t="shared" si="2"/>
        <v>0.18526063559375761</v>
      </c>
      <c r="BB32" s="61">
        <f t="shared" si="3"/>
        <v>6.8224832458179563E-2</v>
      </c>
      <c r="BC32" s="61">
        <f t="shared" si="4"/>
        <v>8.357724404284772E-2</v>
      </c>
      <c r="BD32" s="61">
        <f t="shared" si="5"/>
        <v>6.0282556346854088E-2</v>
      </c>
      <c r="BG32" s="61">
        <f t="shared" si="6"/>
        <v>0.15032345950131032</v>
      </c>
      <c r="BH32" s="61">
        <f t="shared" si="7"/>
        <v>0.16203769622796571</v>
      </c>
      <c r="BI32" s="61">
        <f t="shared" si="8"/>
        <v>4.5384355019893574E-2</v>
      </c>
      <c r="BJ32" s="61">
        <f t="shared" si="9"/>
        <v>5.7786641294308216E-2</v>
      </c>
      <c r="BK32" s="61">
        <f t="shared" si="10"/>
        <v>3.5642784007741124E-2</v>
      </c>
    </row>
    <row r="33" spans="1:63">
      <c r="A33" s="204">
        <f t="shared" si="11"/>
        <v>1998</v>
      </c>
      <c r="B33" s="206">
        <f>IF(AND($A33&gt;=SYear72,$A33&lt;=EYear72,B$3&gt;0),B$3*VLOOKUP($A33,Data_72_15!$A$8:$AM$52,MATCH(B$2,Data_72_15!$B$2:$AM$2,0)+1),"")</f>
        <v>11.63</v>
      </c>
      <c r="C33" s="206" t="str">
        <f>IF(AND($A33&gt;=SYear72,$A33&lt;=EYear72,C$3&gt;0),C$3*VLOOKUP($A33,Data_72_15!$A$8:$AM$52,MATCH(C$2,Data_72_15!$B$2:$AM$2,0)+1),"")</f>
        <v/>
      </c>
      <c r="D33" s="206" t="str">
        <f>IF(AND($A33&gt;=SYear72,$A33&lt;=EYear72,D$3&gt;0),D$3*VLOOKUP($A33,Data_72_15!$A$8:$AM$52,MATCH(D$2,Data_72_15!$B$2:$AM$2,0)+1),"")</f>
        <v/>
      </c>
      <c r="E33" s="206" t="str">
        <f>IF(AND($A33&gt;=SYear72,$A33&lt;=EYear72,E$3&gt;0),E$3*VLOOKUP($A33,Data_72_15!$A$8:$AM$52,MATCH(E$2,Data_72_15!$B$2:$AM$2,0)+1),"")</f>
        <v/>
      </c>
      <c r="F33" s="206" t="str">
        <f>IF(AND($A33&gt;=SYear72,$A33&lt;=EYear72,F$3&gt;0),F$3*VLOOKUP($A33,Data_72_15!$A$8:$AM$52,MATCH(F$2,Data_72_15!$B$2:$AM$2,0)+1),"")</f>
        <v/>
      </c>
      <c r="G33" s="206" t="str">
        <f>IF(AND($A33&gt;=SYear72,$A33&lt;=EYear72,G$3&gt;0),G$3*VLOOKUP($A33,Data_72_15!$A$8:$AM$52,MATCH(G$2,Data_72_15!$B$2:$AM$2,0)+1),"")</f>
        <v/>
      </c>
      <c r="H33" s="206" t="str">
        <f>IF(AND($A33&gt;=SYear72,$A33&lt;=EYear72,H$3&gt;0),H$3*VLOOKUP($A33,Data_72_15!$A$8:$AM$52,MATCH(H$2,Data_72_15!$B$2:$AM$2,0)+1),"")</f>
        <v/>
      </c>
      <c r="I33" s="206" t="str">
        <f>IF(AND($A33&gt;=SYear72,$A33&lt;=EYear72,I$3&gt;0),I$3*VLOOKUP($A33,Data_72_15!$A$8:$AM$52,MATCH(I$2,Data_72_15!$B$2:$AM$2,0)+1),"")</f>
        <v/>
      </c>
      <c r="J33" s="206" t="str">
        <f>IF(AND($A33&gt;=SYear72,$A33&lt;=EYear72,J$3&gt;0),J$3*VLOOKUP($A33,Data_72_15!$A$8:$AM$52,MATCH(J$2,Data_72_15!$B$2:$AM$2,0)+1),"")</f>
        <v/>
      </c>
      <c r="K33" s="206" t="str">
        <f>IF(AND($A33&gt;=SYear72,$A33&lt;=EYear72,K$3&gt;0),K$3*VLOOKUP($A33,Data_72_15!$A$8:$AM$52,MATCH(K$2,Data_72_15!$B$2:$AM$2,0)+1),"")</f>
        <v/>
      </c>
      <c r="L33" s="206" t="str">
        <f>IF(AND($A33&gt;=SYear72,$A33&lt;=EYear72,L$3&gt;0),L$3*VLOOKUP($A33,Data_72_15!$A$8:$AM$52,MATCH(L$2,Data_72_15!$B$2:$AM$2,0)+1),"")</f>
        <v/>
      </c>
      <c r="M33" s="206" t="str">
        <f>IF(AND($A33&gt;=SYear72,$A33&lt;=EYear72,M$3&gt;0),M$3*VLOOKUP($A33,Data_72_15!$A$8:$AM$52,MATCH(M$2,Data_72_15!$B$2:$AM$2,0)+1),"")</f>
        <v/>
      </c>
      <c r="N33" s="206">
        <f>IF(AND($A33&gt;=SYear72,$A33&lt;=EYear72,N$3&gt;0),N$3*VLOOKUP($A33,Data_72_15!$A$8:$AM$52,MATCH(N$2,Data_72_15!$B$2:$AM$2,0)+1),"")</f>
        <v>4.68</v>
      </c>
      <c r="O33" s="206" t="str">
        <f>IF(AND($A33&gt;=SYear72,$A33&lt;=EYear72,O$3&gt;0),O$3*VLOOKUP($A33,Data_72_15!$A$8:$AM$52,MATCH(O$2,Data_72_15!$B$2:$AM$2,0)+1),"")</f>
        <v/>
      </c>
      <c r="P33" s="206" t="str">
        <f>IF(AND($A33&gt;=SYear72,$A33&lt;=EYear72,P$3&gt;0),P$3*VLOOKUP($A33,Data_72_15!$A$8:$AM$52,MATCH(P$2,Data_72_15!$B$2:$AM$2,0)+1),"")</f>
        <v/>
      </c>
      <c r="Q33" s="206" t="str">
        <f>IF(AND($A33&gt;=SYear72,$A33&lt;=EYear72,Q$3&gt;0),Q$3*VLOOKUP($A33,Data_72_15!$A$8:$AM$52,MATCH(Q$2,Data_72_15!$B$2:$AM$2,0)+1),"")</f>
        <v/>
      </c>
      <c r="R33" s="206" t="str">
        <f>IF(AND($A33&gt;=SYear72,$A33&lt;=EYear72,R$3&gt;0),R$3*VLOOKUP($A33,Data_72_15!$A$8:$AM$52,MATCH(R$2,Data_72_15!$B$2:$AM$2,0)+1),"")</f>
        <v/>
      </c>
      <c r="S33" s="206" t="str">
        <f>IF(AND($A33&gt;=SYear72,$A33&lt;=EYear72,S$3&gt;0),S$3*VLOOKUP($A33,Data_72_15!$A$8:$AM$52,MATCH(S$2,Data_72_15!$B$2:$AM$2,0)+1),"")</f>
        <v/>
      </c>
      <c r="T33" s="206">
        <f>IF(AND($A33&gt;=SYear72,$A33&lt;=EYear72,T$3&gt;0),T$3*VLOOKUP($A33,Data_72_15!$A$8:$AM$52,MATCH(T$2,Data_72_15!$B$2:$AM$2,0)+1),"")</f>
        <v>2.1219999999999999</v>
      </c>
      <c r="U33" s="206" t="str">
        <f>IF(AND($A33&gt;=SYear72,$A33&lt;=EYear72,U$3&gt;0),U$3*VLOOKUP($A33,Data_72_15!$A$8:$AM$52,MATCH(U$2,Data_72_15!$B$2:$AM$2,0)+1),"")</f>
        <v/>
      </c>
      <c r="V33" s="206" t="str">
        <f>IF(AND($A33&gt;=SYear72,$A33&lt;=EYear72,V$3&gt;0),V$3*VLOOKUP($A33,Data_72_15!$A$8:$AM$52,MATCH(V$2,Data_72_15!$B$2:$AM$2,0)+1),"")</f>
        <v/>
      </c>
      <c r="W33" s="206" t="str">
        <f>IF(AND($A33&gt;=SYear72,$A33&lt;=EYear72,W$3&gt;0),W$3*VLOOKUP($A33,Data_72_15!$A$8:$AM$52,MATCH(W$2,Data_72_15!$B$2:$AM$2,0)+1),"")</f>
        <v/>
      </c>
      <c r="X33" s="206" t="str">
        <f>IF(AND($A33&gt;=SYear72,$A33&lt;=EYear72,X$3&gt;0),X$3*VLOOKUP($A33,Data_72_15!$A$8:$AM$52,MATCH(X$2,Data_72_15!$B$2:$AM$2,0)+1),"")</f>
        <v/>
      </c>
      <c r="Y33" s="206" t="str">
        <f>IF(AND($A33&gt;=SYear72,$A33&lt;=EYear72,Y$3&gt;0),Y$3*VLOOKUP($A33,Data_72_15!$A$8:$AM$52,MATCH(Y$2,Data_72_15!$B$2:$AM$2,0)+1),"")</f>
        <v/>
      </c>
      <c r="Z33" s="206" t="str">
        <f>IF(AND($A33&gt;=SYear72,$A33&lt;=EYear72,Z$3&gt;0),Z$3*VLOOKUP($A33,Data_72_15!$A$8:$AM$52,MATCH(Z$2,Data_72_15!$B$2:$AM$2,0)+1),"")</f>
        <v/>
      </c>
      <c r="AA33" s="206" t="str">
        <f>IF(AND($A33&gt;=SYear72,$A33&lt;=EYear72,AA$3&gt;0),AA$3*VLOOKUP($A33,Data_72_15!$A$8:$AM$52,MATCH(AA$2,Data_72_15!$B$2:$AM$2,0)+1),"")</f>
        <v/>
      </c>
      <c r="AB33" s="206" t="str">
        <f>IF(AND($A33&gt;=SYear72,$A33&lt;=EYear72,AB$3&gt;0),AB$3*VLOOKUP($A33,Data_72_15!$A$8:$AM$52,MATCH(AB$2,Data_72_15!$B$2:$AM$2,0)+1),"")</f>
        <v/>
      </c>
      <c r="AC33" s="206" t="str">
        <f>IF(AND($A33&gt;=SYear72,$A33&lt;=EYear72,AC$3&gt;0),AC$3*VLOOKUP($A33,Data_72_15!$A$8:$AM$52,MATCH(AC$2,Data_72_15!$B$2:$AM$2,0)+1),"")</f>
        <v/>
      </c>
      <c r="AD33" s="206" t="str">
        <f>IF(AND($A33&gt;=SYear72,$A33&lt;=EYear72,AD$3&gt;0),AD$3*VLOOKUP($A33,Data_72_15!$A$8:$AM$52,MATCH(AD$2,Data_72_15!$B$2:$AM$2,0)+1),"")</f>
        <v/>
      </c>
      <c r="AE33" s="206" t="str">
        <f>IF(AND($A33&gt;=SYear72,$A33&lt;=EYear72,AE$3&gt;0),AE$3*VLOOKUP($A33,Data_72_15!$A$8:$AM$52,MATCH(AE$2,Data_72_15!$B$2:$AM$2,0)+1),"")</f>
        <v/>
      </c>
      <c r="AF33" s="206" t="str">
        <f>IF(AND($A33&gt;=SYear72,$A33&lt;=EYear72,AF$3&gt;0),AF$3*VLOOKUP($A33,Data_72_15!$A$8:$AM$52,MATCH(AF$2,Data_72_15!$B$2:$AM$2,0)+1),"")</f>
        <v/>
      </c>
      <c r="AG33" s="206" t="str">
        <f>IF(AND($A33&gt;=SYear72,$A33&lt;=EYear72,AG$3&gt;0),AG$3*VLOOKUP($A33,Data_72_15!$A$8:$AM$52,MATCH(AG$2,Data_72_15!$B$2:$AM$2,0)+1),"")</f>
        <v/>
      </c>
      <c r="AH33" s="206" t="str">
        <f>IF(AND($A33&gt;=SYear72,$A33&lt;=EYear72,AH$3&gt;0),AH$3*VLOOKUP($A33,Data_72_15!$A$8:$AM$52,MATCH(AH$2,Data_72_15!$B$2:$AM$2,0)+1),"")</f>
        <v/>
      </c>
      <c r="AI33" s="206" t="str">
        <f>IF(AND($A33&gt;=SYear72,$A33&lt;=EYear72,AI$3&gt;0),AI$3*VLOOKUP($A33,Data_72_15!$A$8:$AM$52,MATCH(AI$2,Data_72_15!$B$2:$AM$2,0)+1),"")</f>
        <v/>
      </c>
      <c r="AJ33" s="206" t="str">
        <f>IF(AND($A33&gt;=SYear72,$A33&lt;=EYear72,AJ$3&gt;0),AJ$3*VLOOKUP($A33,Data_72_15!$A$8:$AM$52,MATCH(AJ$2,Data_72_15!$B$2:$AM$2,0)+1),"")</f>
        <v/>
      </c>
      <c r="AK33" s="206" t="str">
        <f>IF(AND($A33&gt;=SYear72,$A33&lt;=EYear72,AK$3&gt;0),AK$3*VLOOKUP($A33,Data_72_15!$A$8:$AM$52,MATCH(AK$2,Data_72_15!$B$2:$AM$2,0)+1),"")</f>
        <v/>
      </c>
      <c r="AL33" s="206" t="str">
        <f>IF(AND($A33&gt;=SYear72,$A33&lt;=EYear72,AL$3&gt;0),AL$3*VLOOKUP($A33,Data_72_15!$A$8:$AM$52,MATCH(AL$2,Data_72_15!$B$2:$AM$2,0)+1),"")</f>
        <v/>
      </c>
      <c r="AM33" s="206">
        <f t="shared" si="12"/>
        <v>18.432000000000002</v>
      </c>
      <c r="AN33" s="446">
        <f t="shared" si="13"/>
        <v>262720.47053817485</v>
      </c>
      <c r="AO33" s="206">
        <f>IF(AND($A33&gt;=SYear72,$A33&lt;=EYear72),(AM33-Data_72_15!AM34)/(1+Data_72_15!AM34%),"")</f>
        <v>16.553273947528982</v>
      </c>
      <c r="AP33" s="606">
        <f t="shared" si="14"/>
        <v>65880.484070280654</v>
      </c>
      <c r="AQ33" s="143">
        <f t="shared" si="15"/>
        <v>21.82243273676109</v>
      </c>
      <c r="AR33" s="143">
        <f>IF(AND($A33&gt;=SYear72,$A33&lt;=EYear72),MAX($AQ$7:AQ33),"")</f>
        <v>21.82243273676109</v>
      </c>
      <c r="AS33" s="209">
        <f t="shared" si="16"/>
        <v>0</v>
      </c>
      <c r="AU33" s="143">
        <f>IF(AND($A33&gt;=SYear72,$A33&lt;=EYear72),Data_72_15!V34,"")</f>
        <v>5</v>
      </c>
      <c r="AV33" s="143">
        <f>IF(AND($A33&gt;=SYear72,$A33&lt;=EYear72),Data_72_15!AM34,"")</f>
        <v>1.6119032858028515</v>
      </c>
      <c r="AW33" s="143">
        <f t="shared" si="17"/>
        <v>3.3343502135448446</v>
      </c>
      <c r="AZ33" s="61">
        <f t="shared" si="1"/>
        <v>0.18432000000000004</v>
      </c>
      <c r="BA33" s="61">
        <f t="shared" si="2"/>
        <v>9.733373955632052E-2</v>
      </c>
      <c r="BB33" s="61">
        <f t="shared" si="3"/>
        <v>8.688473332873814E-3</v>
      </c>
      <c r="BC33" s="61">
        <f t="shared" si="4"/>
        <v>7.6329642499944006E-2</v>
      </c>
      <c r="BD33" s="61">
        <f t="shared" si="5"/>
        <v>5.8516183968515767E-2</v>
      </c>
      <c r="BG33" s="61">
        <f t="shared" si="6"/>
        <v>0.1655327394752899</v>
      </c>
      <c r="BH33" s="61">
        <f t="shared" si="7"/>
        <v>6.9958924739713879E-2</v>
      </c>
      <c r="BI33" s="61">
        <f t="shared" si="8"/>
        <v>-1.418319293266157E-2</v>
      </c>
      <c r="BJ33" s="61">
        <f t="shared" si="9"/>
        <v>4.8284981741351096E-2</v>
      </c>
      <c r="BK33" s="61">
        <f t="shared" si="10"/>
        <v>3.3891286757597117E-2</v>
      </c>
    </row>
    <row r="34" spans="1:63">
      <c r="A34" s="204">
        <f t="shared" si="11"/>
        <v>1999</v>
      </c>
      <c r="B34" s="206">
        <f>IF(AND($A34&gt;=SYear72,$A34&lt;=EYear72,B$3&gt;0),B$3*VLOOKUP($A34,Data_72_15!$A$8:$AM$52,MATCH(B$2,Data_72_15!$B$2:$AM$2,0)+1),"")</f>
        <v>11.904999999999999</v>
      </c>
      <c r="C34" s="206" t="str">
        <f>IF(AND($A34&gt;=SYear72,$A34&lt;=EYear72,C$3&gt;0),C$3*VLOOKUP($A34,Data_72_15!$A$8:$AM$52,MATCH(C$2,Data_72_15!$B$2:$AM$2,0)+1),"")</f>
        <v/>
      </c>
      <c r="D34" s="206" t="str">
        <f>IF(AND($A34&gt;=SYear72,$A34&lt;=EYear72,D$3&gt;0),D$3*VLOOKUP($A34,Data_72_15!$A$8:$AM$52,MATCH(D$2,Data_72_15!$B$2:$AM$2,0)+1),"")</f>
        <v/>
      </c>
      <c r="E34" s="206" t="str">
        <f>IF(AND($A34&gt;=SYear72,$A34&lt;=EYear72,E$3&gt;0),E$3*VLOOKUP($A34,Data_72_15!$A$8:$AM$52,MATCH(E$2,Data_72_15!$B$2:$AM$2,0)+1),"")</f>
        <v/>
      </c>
      <c r="F34" s="206" t="str">
        <f>IF(AND($A34&gt;=SYear72,$A34&lt;=EYear72,F$3&gt;0),F$3*VLOOKUP($A34,Data_72_15!$A$8:$AM$52,MATCH(F$2,Data_72_15!$B$2:$AM$2,0)+1),"")</f>
        <v/>
      </c>
      <c r="G34" s="206" t="str">
        <f>IF(AND($A34&gt;=SYear72,$A34&lt;=EYear72,G$3&gt;0),G$3*VLOOKUP($A34,Data_72_15!$A$8:$AM$52,MATCH(G$2,Data_72_15!$B$2:$AM$2,0)+1),"")</f>
        <v/>
      </c>
      <c r="H34" s="206" t="str">
        <f>IF(AND($A34&gt;=SYear72,$A34&lt;=EYear72,H$3&gt;0),H$3*VLOOKUP($A34,Data_72_15!$A$8:$AM$52,MATCH(H$2,Data_72_15!$B$2:$AM$2,0)+1),"")</f>
        <v/>
      </c>
      <c r="I34" s="206" t="str">
        <f>IF(AND($A34&gt;=SYear72,$A34&lt;=EYear72,I$3&gt;0),I$3*VLOOKUP($A34,Data_72_15!$A$8:$AM$52,MATCH(I$2,Data_72_15!$B$2:$AM$2,0)+1),"")</f>
        <v/>
      </c>
      <c r="J34" s="206" t="str">
        <f>IF(AND($A34&gt;=SYear72,$A34&lt;=EYear72,J$3&gt;0),J$3*VLOOKUP($A34,Data_72_15!$A$8:$AM$52,MATCH(J$2,Data_72_15!$B$2:$AM$2,0)+1),"")</f>
        <v/>
      </c>
      <c r="K34" s="206" t="str">
        <f>IF(AND($A34&gt;=SYear72,$A34&lt;=EYear72,K$3&gt;0),K$3*VLOOKUP($A34,Data_72_15!$A$8:$AM$52,MATCH(K$2,Data_72_15!$B$2:$AM$2,0)+1),"")</f>
        <v/>
      </c>
      <c r="L34" s="206" t="str">
        <f>IF(AND($A34&gt;=SYear72,$A34&lt;=EYear72,L$3&gt;0),L$3*VLOOKUP($A34,Data_72_15!$A$8:$AM$52,MATCH(L$2,Data_72_15!$B$2:$AM$2,0)+1),"")</f>
        <v/>
      </c>
      <c r="M34" s="206" t="str">
        <f>IF(AND($A34&gt;=SYear72,$A34&lt;=EYear72,M$3&gt;0),M$3*VLOOKUP($A34,Data_72_15!$A$8:$AM$52,MATCH(M$2,Data_72_15!$B$2:$AM$2,0)+1),"")</f>
        <v/>
      </c>
      <c r="N34" s="206">
        <f>IF(AND($A34&gt;=SYear72,$A34&lt;=EYear72,N$3&gt;0),N$3*VLOOKUP($A34,Data_72_15!$A$8:$AM$52,MATCH(N$2,Data_72_15!$B$2:$AM$2,0)+1),"")</f>
        <v>8.9760000000000009</v>
      </c>
      <c r="O34" s="206" t="str">
        <f>IF(AND($A34&gt;=SYear72,$A34&lt;=EYear72,O$3&gt;0),O$3*VLOOKUP($A34,Data_72_15!$A$8:$AM$52,MATCH(O$2,Data_72_15!$B$2:$AM$2,0)+1),"")</f>
        <v/>
      </c>
      <c r="P34" s="206" t="str">
        <f>IF(AND($A34&gt;=SYear72,$A34&lt;=EYear72,P$3&gt;0),P$3*VLOOKUP($A34,Data_72_15!$A$8:$AM$52,MATCH(P$2,Data_72_15!$B$2:$AM$2,0)+1),"")</f>
        <v/>
      </c>
      <c r="Q34" s="206" t="str">
        <f>IF(AND($A34&gt;=SYear72,$A34&lt;=EYear72,Q$3&gt;0),Q$3*VLOOKUP($A34,Data_72_15!$A$8:$AM$52,MATCH(Q$2,Data_72_15!$B$2:$AM$2,0)+1),"")</f>
        <v/>
      </c>
      <c r="R34" s="206" t="str">
        <f>IF(AND($A34&gt;=SYear72,$A34&lt;=EYear72,R$3&gt;0),R$3*VLOOKUP($A34,Data_72_15!$A$8:$AM$52,MATCH(R$2,Data_72_15!$B$2:$AM$2,0)+1),"")</f>
        <v/>
      </c>
      <c r="S34" s="206" t="str">
        <f>IF(AND($A34&gt;=SYear72,$A34&lt;=EYear72,S$3&gt;0),S$3*VLOOKUP($A34,Data_72_15!$A$8:$AM$52,MATCH(S$2,Data_72_15!$B$2:$AM$2,0)+1),"")</f>
        <v/>
      </c>
      <c r="T34" s="206">
        <f>IF(AND($A34&gt;=SYear72,$A34&lt;=EYear72,T$3&gt;0),T$3*VLOOKUP($A34,Data_72_15!$A$8:$AM$52,MATCH(T$2,Data_72_15!$B$2:$AM$2,0)+1),"")</f>
        <v>-0.70400000000000007</v>
      </c>
      <c r="U34" s="206" t="str">
        <f>IF(AND($A34&gt;=SYear72,$A34&lt;=EYear72,U$3&gt;0),U$3*VLOOKUP($A34,Data_72_15!$A$8:$AM$52,MATCH(U$2,Data_72_15!$B$2:$AM$2,0)+1),"")</f>
        <v/>
      </c>
      <c r="V34" s="206" t="str">
        <f>IF(AND($A34&gt;=SYear72,$A34&lt;=EYear72,V$3&gt;0),V$3*VLOOKUP($A34,Data_72_15!$A$8:$AM$52,MATCH(V$2,Data_72_15!$B$2:$AM$2,0)+1),"")</f>
        <v/>
      </c>
      <c r="W34" s="206" t="str">
        <f>IF(AND($A34&gt;=SYear72,$A34&lt;=EYear72,W$3&gt;0),W$3*VLOOKUP($A34,Data_72_15!$A$8:$AM$52,MATCH(W$2,Data_72_15!$B$2:$AM$2,0)+1),"")</f>
        <v/>
      </c>
      <c r="X34" s="206" t="str">
        <f>IF(AND($A34&gt;=SYear72,$A34&lt;=EYear72,X$3&gt;0),X$3*VLOOKUP($A34,Data_72_15!$A$8:$AM$52,MATCH(X$2,Data_72_15!$B$2:$AM$2,0)+1),"")</f>
        <v/>
      </c>
      <c r="Y34" s="206" t="str">
        <f>IF(AND($A34&gt;=SYear72,$A34&lt;=EYear72,Y$3&gt;0),Y$3*VLOOKUP($A34,Data_72_15!$A$8:$AM$52,MATCH(Y$2,Data_72_15!$B$2:$AM$2,0)+1),"")</f>
        <v/>
      </c>
      <c r="Z34" s="206" t="str">
        <f>IF(AND($A34&gt;=SYear72,$A34&lt;=EYear72,Z$3&gt;0),Z$3*VLOOKUP($A34,Data_72_15!$A$8:$AM$52,MATCH(Z$2,Data_72_15!$B$2:$AM$2,0)+1),"")</f>
        <v/>
      </c>
      <c r="AA34" s="206" t="str">
        <f>IF(AND($A34&gt;=SYear72,$A34&lt;=EYear72,AA$3&gt;0),AA$3*VLOOKUP($A34,Data_72_15!$A$8:$AM$52,MATCH(AA$2,Data_72_15!$B$2:$AM$2,0)+1),"")</f>
        <v/>
      </c>
      <c r="AB34" s="206" t="str">
        <f>IF(AND($A34&gt;=SYear72,$A34&lt;=EYear72,AB$3&gt;0),AB$3*VLOOKUP($A34,Data_72_15!$A$8:$AM$52,MATCH(AB$2,Data_72_15!$B$2:$AM$2,0)+1),"")</f>
        <v/>
      </c>
      <c r="AC34" s="206" t="str">
        <f>IF(AND($A34&gt;=SYear72,$A34&lt;=EYear72,AC$3&gt;0),AC$3*VLOOKUP($A34,Data_72_15!$A$8:$AM$52,MATCH(AC$2,Data_72_15!$B$2:$AM$2,0)+1),"")</f>
        <v/>
      </c>
      <c r="AD34" s="206" t="str">
        <f>IF(AND($A34&gt;=SYear72,$A34&lt;=EYear72,AD$3&gt;0),AD$3*VLOOKUP($A34,Data_72_15!$A$8:$AM$52,MATCH(AD$2,Data_72_15!$B$2:$AM$2,0)+1),"")</f>
        <v/>
      </c>
      <c r="AE34" s="206" t="str">
        <f>IF(AND($A34&gt;=SYear72,$A34&lt;=EYear72,AE$3&gt;0),AE$3*VLOOKUP($A34,Data_72_15!$A$8:$AM$52,MATCH(AE$2,Data_72_15!$B$2:$AM$2,0)+1),"")</f>
        <v/>
      </c>
      <c r="AF34" s="206" t="str">
        <f>IF(AND($A34&gt;=SYear72,$A34&lt;=EYear72,AF$3&gt;0),AF$3*VLOOKUP($A34,Data_72_15!$A$8:$AM$52,MATCH(AF$2,Data_72_15!$B$2:$AM$2,0)+1),"")</f>
        <v/>
      </c>
      <c r="AG34" s="206" t="str">
        <f>IF(AND($A34&gt;=SYear72,$A34&lt;=EYear72,AG$3&gt;0),AG$3*VLOOKUP($A34,Data_72_15!$A$8:$AM$52,MATCH(AG$2,Data_72_15!$B$2:$AM$2,0)+1),"")</f>
        <v/>
      </c>
      <c r="AH34" s="206" t="str">
        <f>IF(AND($A34&gt;=SYear72,$A34&lt;=EYear72,AH$3&gt;0),AH$3*VLOOKUP($A34,Data_72_15!$A$8:$AM$52,MATCH(AH$2,Data_72_15!$B$2:$AM$2,0)+1),"")</f>
        <v/>
      </c>
      <c r="AI34" s="206" t="str">
        <f>IF(AND($A34&gt;=SYear72,$A34&lt;=EYear72,AI$3&gt;0),AI$3*VLOOKUP($A34,Data_72_15!$A$8:$AM$52,MATCH(AI$2,Data_72_15!$B$2:$AM$2,0)+1),"")</f>
        <v/>
      </c>
      <c r="AJ34" s="206" t="str">
        <f>IF(AND($A34&gt;=SYear72,$A34&lt;=EYear72,AJ$3&gt;0),AJ$3*VLOOKUP($A34,Data_72_15!$A$8:$AM$52,MATCH(AJ$2,Data_72_15!$B$2:$AM$2,0)+1),"")</f>
        <v/>
      </c>
      <c r="AK34" s="206" t="str">
        <f>IF(AND($A34&gt;=SYear72,$A34&lt;=EYear72,AK$3&gt;0),AK$3*VLOOKUP($A34,Data_72_15!$A$8:$AM$52,MATCH(AK$2,Data_72_15!$B$2:$AM$2,0)+1),"")</f>
        <v/>
      </c>
      <c r="AL34" s="206" t="str">
        <f>IF(AND($A34&gt;=SYear72,$A34&lt;=EYear72,AL$3&gt;0),AL$3*VLOOKUP($A34,Data_72_15!$A$8:$AM$52,MATCH(AL$2,Data_72_15!$B$2:$AM$2,0)+1),"")</f>
        <v/>
      </c>
      <c r="AM34" s="206">
        <f t="shared" si="12"/>
        <v>20.177</v>
      </c>
      <c r="AN34" s="446">
        <f t="shared" si="13"/>
        <v>315729.57987866236</v>
      </c>
      <c r="AO34" s="206">
        <f>IF(AND($A34&gt;=SYear72,$A34&lt;=EYear72),(AM34-Data_72_15!AM35)/(1+Data_72_15!AM35%),"")</f>
        <v>17.035117647058826</v>
      </c>
      <c r="AP34" s="606">
        <f t="shared" si="14"/>
        <v>77103.302038104812</v>
      </c>
      <c r="AQ34" s="143">
        <f t="shared" si="15"/>
        <v>26.225544990057376</v>
      </c>
      <c r="AR34" s="143">
        <f>IF(AND($A34&gt;=SYear72,$A34&lt;=EYear72),MAX($AQ$7:AQ34),"")</f>
        <v>26.225544990057376</v>
      </c>
      <c r="AS34" s="209">
        <f t="shared" si="16"/>
        <v>0</v>
      </c>
      <c r="AU34" s="143">
        <f>IF(AND($A34&gt;=SYear72,$A34&lt;=EYear72),Data_72_15!V35,"")</f>
        <v>4.55</v>
      </c>
      <c r="AV34" s="143">
        <f>IF(AND($A34&gt;=SYear72,$A34&lt;=EYear72),Data_72_15!AM35,"")</f>
        <v>2.6845637583892579</v>
      </c>
      <c r="AW34" s="143">
        <f t="shared" si="17"/>
        <v>1.8166666666666704</v>
      </c>
      <c r="AZ34" s="61">
        <f t="shared" si="1"/>
        <v>0.20177</v>
      </c>
      <c r="BA34" s="61">
        <f t="shared" si="2"/>
        <v>1.3003648162213111E-3</v>
      </c>
      <c r="BB34" s="61">
        <f t="shared" si="3"/>
        <v>2.4885614528170397E-2</v>
      </c>
      <c r="BC34" s="61">
        <f t="shared" si="4"/>
        <v>2.2519485960510899E-2</v>
      </c>
      <c r="BD34" s="61">
        <f t="shared" si="5"/>
        <v>5.9778916965992135E-2</v>
      </c>
      <c r="BG34" s="61">
        <f t="shared" si="6"/>
        <v>0.17035117647058828</v>
      </c>
      <c r="BH34" s="61">
        <f t="shared" si="7"/>
        <v>-2.3485921163299506E-2</v>
      </c>
      <c r="BI34" s="61">
        <f t="shared" si="8"/>
        <v>1.1199616848693861E-3</v>
      </c>
      <c r="BJ34" s="61">
        <f t="shared" si="9"/>
        <v>-2.6205115512316635E-3</v>
      </c>
      <c r="BK34" s="61">
        <f t="shared" si="10"/>
        <v>3.5199506172050699E-2</v>
      </c>
    </row>
    <row r="35" spans="1:63">
      <c r="A35" s="204">
        <f t="shared" si="11"/>
        <v>2000</v>
      </c>
      <c r="B35" s="206">
        <f>IF(AND($A35&gt;=SYear72,$A35&lt;=EYear72,B$3&gt;0),B$3*VLOOKUP($A35,Data_72_15!$A$8:$AM$52,MATCH(B$2,Data_72_15!$B$2:$AM$2,0)+1),"")</f>
        <v>-5.2850000000000001</v>
      </c>
      <c r="C35" s="206" t="str">
        <f>IF(AND($A35&gt;=SYear72,$A35&lt;=EYear72,C$3&gt;0),C$3*VLOOKUP($A35,Data_72_15!$A$8:$AM$52,MATCH(C$2,Data_72_15!$B$2:$AM$2,0)+1),"")</f>
        <v/>
      </c>
      <c r="D35" s="206" t="str">
        <f>IF(AND($A35&gt;=SYear72,$A35&lt;=EYear72,D$3&gt;0),D$3*VLOOKUP($A35,Data_72_15!$A$8:$AM$52,MATCH(D$2,Data_72_15!$B$2:$AM$2,0)+1),"")</f>
        <v/>
      </c>
      <c r="E35" s="206" t="str">
        <f>IF(AND($A35&gt;=SYear72,$A35&lt;=EYear72,E$3&gt;0),E$3*VLOOKUP($A35,Data_72_15!$A$8:$AM$52,MATCH(E$2,Data_72_15!$B$2:$AM$2,0)+1),"")</f>
        <v/>
      </c>
      <c r="F35" s="206" t="str">
        <f>IF(AND($A35&gt;=SYear72,$A35&lt;=EYear72,F$3&gt;0),F$3*VLOOKUP($A35,Data_72_15!$A$8:$AM$52,MATCH(F$2,Data_72_15!$B$2:$AM$2,0)+1),"")</f>
        <v/>
      </c>
      <c r="G35" s="206" t="str">
        <f>IF(AND($A35&gt;=SYear72,$A35&lt;=EYear72,G$3&gt;0),G$3*VLOOKUP($A35,Data_72_15!$A$8:$AM$52,MATCH(G$2,Data_72_15!$B$2:$AM$2,0)+1),"")</f>
        <v/>
      </c>
      <c r="H35" s="206" t="str">
        <f>IF(AND($A35&gt;=SYear72,$A35&lt;=EYear72,H$3&gt;0),H$3*VLOOKUP($A35,Data_72_15!$A$8:$AM$52,MATCH(H$2,Data_72_15!$B$2:$AM$2,0)+1),"")</f>
        <v/>
      </c>
      <c r="I35" s="206" t="str">
        <f>IF(AND($A35&gt;=SYear72,$A35&lt;=EYear72,I$3&gt;0),I$3*VLOOKUP($A35,Data_72_15!$A$8:$AM$52,MATCH(I$2,Data_72_15!$B$2:$AM$2,0)+1),"")</f>
        <v/>
      </c>
      <c r="J35" s="206" t="str">
        <f>IF(AND($A35&gt;=SYear72,$A35&lt;=EYear72,J$3&gt;0),J$3*VLOOKUP($A35,Data_72_15!$A$8:$AM$52,MATCH(J$2,Data_72_15!$B$2:$AM$2,0)+1),"")</f>
        <v/>
      </c>
      <c r="K35" s="206" t="str">
        <f>IF(AND($A35&gt;=SYear72,$A35&lt;=EYear72,K$3&gt;0),K$3*VLOOKUP($A35,Data_72_15!$A$8:$AM$52,MATCH(K$2,Data_72_15!$B$2:$AM$2,0)+1),"")</f>
        <v/>
      </c>
      <c r="L35" s="206" t="str">
        <f>IF(AND($A35&gt;=SYear72,$A35&lt;=EYear72,L$3&gt;0),L$3*VLOOKUP($A35,Data_72_15!$A$8:$AM$52,MATCH(L$2,Data_72_15!$B$2:$AM$2,0)+1),"")</f>
        <v/>
      </c>
      <c r="M35" s="206" t="str">
        <f>IF(AND($A35&gt;=SYear72,$A35&lt;=EYear72,M$3&gt;0),M$3*VLOOKUP($A35,Data_72_15!$A$8:$AM$52,MATCH(M$2,Data_72_15!$B$2:$AM$2,0)+1),"")</f>
        <v/>
      </c>
      <c r="N35" s="206">
        <f>IF(AND($A35&gt;=SYear72,$A35&lt;=EYear72,N$3&gt;0),N$3*VLOOKUP($A35,Data_72_15!$A$8:$AM$52,MATCH(N$2,Data_72_15!$B$2:$AM$2,0)+1),"")</f>
        <v>-4.6829999999999998</v>
      </c>
      <c r="O35" s="206" t="str">
        <f>IF(AND($A35&gt;=SYear72,$A35&lt;=EYear72,O$3&gt;0),O$3*VLOOKUP($A35,Data_72_15!$A$8:$AM$52,MATCH(O$2,Data_72_15!$B$2:$AM$2,0)+1),"")</f>
        <v/>
      </c>
      <c r="P35" s="206" t="str">
        <f>IF(AND($A35&gt;=SYear72,$A35&lt;=EYear72,P$3&gt;0),P$3*VLOOKUP($A35,Data_72_15!$A$8:$AM$52,MATCH(P$2,Data_72_15!$B$2:$AM$2,0)+1),"")</f>
        <v/>
      </c>
      <c r="Q35" s="206" t="str">
        <f>IF(AND($A35&gt;=SYear72,$A35&lt;=EYear72,Q$3&gt;0),Q$3*VLOOKUP($A35,Data_72_15!$A$8:$AM$52,MATCH(Q$2,Data_72_15!$B$2:$AM$2,0)+1),"")</f>
        <v/>
      </c>
      <c r="R35" s="206" t="str">
        <f>IF(AND($A35&gt;=SYear72,$A35&lt;=EYear72,R$3&gt;0),R$3*VLOOKUP($A35,Data_72_15!$A$8:$AM$52,MATCH(R$2,Data_72_15!$B$2:$AM$2,0)+1),"")</f>
        <v/>
      </c>
      <c r="S35" s="206" t="str">
        <f>IF(AND($A35&gt;=SYear72,$A35&lt;=EYear72,S$3&gt;0),S$3*VLOOKUP($A35,Data_72_15!$A$8:$AM$52,MATCH(S$2,Data_72_15!$B$2:$AM$2,0)+1),"")</f>
        <v/>
      </c>
      <c r="T35" s="206">
        <f>IF(AND($A35&gt;=SYear72,$A35&lt;=EYear72,T$3&gt;0),T$3*VLOOKUP($A35,Data_72_15!$A$8:$AM$52,MATCH(T$2,Data_72_15!$B$2:$AM$2,0)+1),"")</f>
        <v>2.806</v>
      </c>
      <c r="U35" s="206" t="str">
        <f>IF(AND($A35&gt;=SYear72,$A35&lt;=EYear72,U$3&gt;0),U$3*VLOOKUP($A35,Data_72_15!$A$8:$AM$52,MATCH(U$2,Data_72_15!$B$2:$AM$2,0)+1),"")</f>
        <v/>
      </c>
      <c r="V35" s="206" t="str">
        <f>IF(AND($A35&gt;=SYear72,$A35&lt;=EYear72,V$3&gt;0),V$3*VLOOKUP($A35,Data_72_15!$A$8:$AM$52,MATCH(V$2,Data_72_15!$B$2:$AM$2,0)+1),"")</f>
        <v/>
      </c>
      <c r="W35" s="206" t="str">
        <f>IF(AND($A35&gt;=SYear72,$A35&lt;=EYear72,W$3&gt;0),W$3*VLOOKUP($A35,Data_72_15!$A$8:$AM$52,MATCH(W$2,Data_72_15!$B$2:$AM$2,0)+1),"")</f>
        <v/>
      </c>
      <c r="X35" s="206" t="str">
        <f>IF(AND($A35&gt;=SYear72,$A35&lt;=EYear72,X$3&gt;0),X$3*VLOOKUP($A35,Data_72_15!$A$8:$AM$52,MATCH(X$2,Data_72_15!$B$2:$AM$2,0)+1),"")</f>
        <v/>
      </c>
      <c r="Y35" s="206" t="str">
        <f>IF(AND($A35&gt;=SYear72,$A35&lt;=EYear72,Y$3&gt;0),Y$3*VLOOKUP($A35,Data_72_15!$A$8:$AM$52,MATCH(Y$2,Data_72_15!$B$2:$AM$2,0)+1),"")</f>
        <v/>
      </c>
      <c r="Z35" s="206" t="str">
        <f>IF(AND($A35&gt;=SYear72,$A35&lt;=EYear72,Z$3&gt;0),Z$3*VLOOKUP($A35,Data_72_15!$A$8:$AM$52,MATCH(Z$2,Data_72_15!$B$2:$AM$2,0)+1),"")</f>
        <v/>
      </c>
      <c r="AA35" s="206" t="str">
        <f>IF(AND($A35&gt;=SYear72,$A35&lt;=EYear72,AA$3&gt;0),AA$3*VLOOKUP($A35,Data_72_15!$A$8:$AM$52,MATCH(AA$2,Data_72_15!$B$2:$AM$2,0)+1),"")</f>
        <v/>
      </c>
      <c r="AB35" s="206" t="str">
        <f>IF(AND($A35&gt;=SYear72,$A35&lt;=EYear72,AB$3&gt;0),AB$3*VLOOKUP($A35,Data_72_15!$A$8:$AM$52,MATCH(AB$2,Data_72_15!$B$2:$AM$2,0)+1),"")</f>
        <v/>
      </c>
      <c r="AC35" s="206" t="str">
        <f>IF(AND($A35&gt;=SYear72,$A35&lt;=EYear72,AC$3&gt;0),AC$3*VLOOKUP($A35,Data_72_15!$A$8:$AM$52,MATCH(AC$2,Data_72_15!$B$2:$AM$2,0)+1),"")</f>
        <v/>
      </c>
      <c r="AD35" s="206" t="str">
        <f>IF(AND($A35&gt;=SYear72,$A35&lt;=EYear72,AD$3&gt;0),AD$3*VLOOKUP($A35,Data_72_15!$A$8:$AM$52,MATCH(AD$2,Data_72_15!$B$2:$AM$2,0)+1),"")</f>
        <v/>
      </c>
      <c r="AE35" s="206" t="str">
        <f>IF(AND($A35&gt;=SYear72,$A35&lt;=EYear72,AE$3&gt;0),AE$3*VLOOKUP($A35,Data_72_15!$A$8:$AM$52,MATCH(AE$2,Data_72_15!$B$2:$AM$2,0)+1),"")</f>
        <v/>
      </c>
      <c r="AF35" s="206" t="str">
        <f>IF(AND($A35&gt;=SYear72,$A35&lt;=EYear72,AF$3&gt;0),AF$3*VLOOKUP($A35,Data_72_15!$A$8:$AM$52,MATCH(AF$2,Data_72_15!$B$2:$AM$2,0)+1),"")</f>
        <v/>
      </c>
      <c r="AG35" s="206" t="str">
        <f>IF(AND($A35&gt;=SYear72,$A35&lt;=EYear72,AG$3&gt;0),AG$3*VLOOKUP($A35,Data_72_15!$A$8:$AM$52,MATCH(AG$2,Data_72_15!$B$2:$AM$2,0)+1),"")</f>
        <v/>
      </c>
      <c r="AH35" s="206" t="str">
        <f>IF(AND($A35&gt;=SYear72,$A35&lt;=EYear72,AH$3&gt;0),AH$3*VLOOKUP($A35,Data_72_15!$A$8:$AM$52,MATCH(AH$2,Data_72_15!$B$2:$AM$2,0)+1),"")</f>
        <v/>
      </c>
      <c r="AI35" s="206" t="str">
        <f>IF(AND($A35&gt;=SYear72,$A35&lt;=EYear72,AI$3&gt;0),AI$3*VLOOKUP($A35,Data_72_15!$A$8:$AM$52,MATCH(AI$2,Data_72_15!$B$2:$AM$2,0)+1),"")</f>
        <v/>
      </c>
      <c r="AJ35" s="206" t="str">
        <f>IF(AND($A35&gt;=SYear72,$A35&lt;=EYear72,AJ$3&gt;0),AJ$3*VLOOKUP($A35,Data_72_15!$A$8:$AM$52,MATCH(AJ$2,Data_72_15!$B$2:$AM$2,0)+1),"")</f>
        <v/>
      </c>
      <c r="AK35" s="206" t="str">
        <f>IF(AND($A35&gt;=SYear72,$A35&lt;=EYear72,AK$3&gt;0),AK$3*VLOOKUP($A35,Data_72_15!$A$8:$AM$52,MATCH(AK$2,Data_72_15!$B$2:$AM$2,0)+1),"")</f>
        <v/>
      </c>
      <c r="AL35" s="206" t="str">
        <f>IF(AND($A35&gt;=SYear72,$A35&lt;=EYear72,AL$3&gt;0),AL$3*VLOOKUP($A35,Data_72_15!$A$8:$AM$52,MATCH(AL$2,Data_72_15!$B$2:$AM$2,0)+1),"")</f>
        <v/>
      </c>
      <c r="AM35" s="206">
        <f t="shared" si="12"/>
        <v>-7.1619999999999999</v>
      </c>
      <c r="AN35" s="446">
        <f t="shared" si="13"/>
        <v>293117.02736775257</v>
      </c>
      <c r="AO35" s="206">
        <f>IF(AND($A35&gt;=SYear72,$A35&lt;=EYear72),(AM35-Data_72_15!AM36)/(1+Data_72_15!AM36%),"")</f>
        <v>-10.203244827586193</v>
      </c>
      <c r="AP35" s="606">
        <f t="shared" si="14"/>
        <v>69236.26336100373</v>
      </c>
      <c r="AQ35" s="143">
        <f t="shared" si="15"/>
        <v>24.347271457869468</v>
      </c>
      <c r="AR35" s="143">
        <f>IF(AND($A35&gt;=SYear72,$A35&lt;=EYear72),MAX($AQ$7:AQ35),"")</f>
        <v>26.225544990057376</v>
      </c>
      <c r="AS35" s="209">
        <f t="shared" si="16"/>
        <v>7.1619999999999906E-2</v>
      </c>
      <c r="AU35" s="143">
        <f>IF(AND($A35&gt;=SYear72,$A35&lt;=EYear72),Data_72_15!V36,"")</f>
        <v>5.8</v>
      </c>
      <c r="AV35" s="143">
        <f>IF(AND($A35&gt;=SYear72,$A35&lt;=EYear72),Data_72_15!AM36,"")</f>
        <v>3.3868092691621943</v>
      </c>
      <c r="AW35" s="143">
        <f t="shared" si="17"/>
        <v>2.3341379310344985</v>
      </c>
      <c r="AZ35" s="61">
        <f t="shared" si="1"/>
        <v>-7.1620000000000017E-2</v>
      </c>
      <c r="BA35" s="61">
        <f t="shared" si="2"/>
        <v>-9.8086357762725007E-2</v>
      </c>
      <c r="BB35" s="61">
        <f t="shared" si="3"/>
        <v>1.2684755532375691E-2</v>
      </c>
      <c r="BC35" s="61">
        <f t="shared" si="4"/>
        <v>2.6576285644510644E-2</v>
      </c>
      <c r="BD35" s="61">
        <f t="shared" si="5"/>
        <v>5.0819552304467663E-2</v>
      </c>
      <c r="BG35" s="61">
        <f t="shared" si="6"/>
        <v>-0.10203244827586189</v>
      </c>
      <c r="BH35" s="61">
        <f t="shared" si="7"/>
        <v>-0.11953221089372967</v>
      </c>
      <c r="BI35" s="61">
        <f t="shared" si="8"/>
        <v>-1.1894451692136321E-2</v>
      </c>
      <c r="BJ35" s="61">
        <f t="shared" si="9"/>
        <v>1.3006994059652222E-3</v>
      </c>
      <c r="BK35" s="61">
        <f t="shared" si="10"/>
        <v>2.7745854140967641E-2</v>
      </c>
    </row>
    <row r="36" spans="1:63">
      <c r="A36" s="204">
        <f t="shared" si="11"/>
        <v>2001</v>
      </c>
      <c r="B36" s="206">
        <f>IF(AND($A36&gt;=SYear72,$A36&lt;=EYear72,B$3&gt;0),B$3*VLOOKUP($A36,Data_72_15!$A$8:$AM$52,MATCH(B$2,Data_72_15!$B$2:$AM$2,0)+1),"")</f>
        <v>-5.4850000000000003</v>
      </c>
      <c r="C36" s="206" t="str">
        <f>IF(AND($A36&gt;=SYear72,$A36&lt;=EYear72,C$3&gt;0),C$3*VLOOKUP($A36,Data_72_15!$A$8:$AM$52,MATCH(C$2,Data_72_15!$B$2:$AM$2,0)+1),"")</f>
        <v/>
      </c>
      <c r="D36" s="206" t="str">
        <f>IF(AND($A36&gt;=SYear72,$A36&lt;=EYear72,D$3&gt;0),D$3*VLOOKUP($A36,Data_72_15!$A$8:$AM$52,MATCH(D$2,Data_72_15!$B$2:$AM$2,0)+1),"")</f>
        <v/>
      </c>
      <c r="E36" s="206" t="str">
        <f>IF(AND($A36&gt;=SYear72,$A36&lt;=EYear72,E$3&gt;0),E$3*VLOOKUP($A36,Data_72_15!$A$8:$AM$52,MATCH(E$2,Data_72_15!$B$2:$AM$2,0)+1),"")</f>
        <v/>
      </c>
      <c r="F36" s="206" t="str">
        <f>IF(AND($A36&gt;=SYear72,$A36&lt;=EYear72,F$3&gt;0),F$3*VLOOKUP($A36,Data_72_15!$A$8:$AM$52,MATCH(F$2,Data_72_15!$B$2:$AM$2,0)+1),"")</f>
        <v/>
      </c>
      <c r="G36" s="206" t="str">
        <f>IF(AND($A36&gt;=SYear72,$A36&lt;=EYear72,G$3&gt;0),G$3*VLOOKUP($A36,Data_72_15!$A$8:$AM$52,MATCH(G$2,Data_72_15!$B$2:$AM$2,0)+1),"")</f>
        <v/>
      </c>
      <c r="H36" s="206" t="str">
        <f>IF(AND($A36&gt;=SYear72,$A36&lt;=EYear72,H$3&gt;0),H$3*VLOOKUP($A36,Data_72_15!$A$8:$AM$52,MATCH(H$2,Data_72_15!$B$2:$AM$2,0)+1),"")</f>
        <v/>
      </c>
      <c r="I36" s="206" t="str">
        <f>IF(AND($A36&gt;=SYear72,$A36&lt;=EYear72,I$3&gt;0),I$3*VLOOKUP($A36,Data_72_15!$A$8:$AM$52,MATCH(I$2,Data_72_15!$B$2:$AM$2,0)+1),"")</f>
        <v/>
      </c>
      <c r="J36" s="206" t="str">
        <f>IF(AND($A36&gt;=SYear72,$A36&lt;=EYear72,J$3&gt;0),J$3*VLOOKUP($A36,Data_72_15!$A$8:$AM$52,MATCH(J$2,Data_72_15!$B$2:$AM$2,0)+1),"")</f>
        <v/>
      </c>
      <c r="K36" s="206" t="str">
        <f>IF(AND($A36&gt;=SYear72,$A36&lt;=EYear72,K$3&gt;0),K$3*VLOOKUP($A36,Data_72_15!$A$8:$AM$52,MATCH(K$2,Data_72_15!$B$2:$AM$2,0)+1),"")</f>
        <v/>
      </c>
      <c r="L36" s="206" t="str">
        <f>IF(AND($A36&gt;=SYear72,$A36&lt;=EYear72,L$3&gt;0),L$3*VLOOKUP($A36,Data_72_15!$A$8:$AM$52,MATCH(L$2,Data_72_15!$B$2:$AM$2,0)+1),"")</f>
        <v/>
      </c>
      <c r="M36" s="206" t="str">
        <f>IF(AND($A36&gt;=SYear72,$A36&lt;=EYear72,M$3&gt;0),M$3*VLOOKUP($A36,Data_72_15!$A$8:$AM$52,MATCH(M$2,Data_72_15!$B$2:$AM$2,0)+1),"")</f>
        <v/>
      </c>
      <c r="N36" s="206">
        <f>IF(AND($A36&gt;=SYear72,$A36&lt;=EYear72,N$3&gt;0),N$3*VLOOKUP($A36,Data_72_15!$A$8:$AM$52,MATCH(N$2,Data_72_15!$B$2:$AM$2,0)+1),"")</f>
        <v>-6.044999999999999</v>
      </c>
      <c r="O36" s="206" t="str">
        <f>IF(AND($A36&gt;=SYear72,$A36&lt;=EYear72,O$3&gt;0),O$3*VLOOKUP($A36,Data_72_15!$A$8:$AM$52,MATCH(O$2,Data_72_15!$B$2:$AM$2,0)+1),"")</f>
        <v/>
      </c>
      <c r="P36" s="206" t="str">
        <f>IF(AND($A36&gt;=SYear72,$A36&lt;=EYear72,P$3&gt;0),P$3*VLOOKUP($A36,Data_72_15!$A$8:$AM$52,MATCH(P$2,Data_72_15!$B$2:$AM$2,0)+1),"")</f>
        <v/>
      </c>
      <c r="Q36" s="206" t="str">
        <f>IF(AND($A36&gt;=SYear72,$A36&lt;=EYear72,Q$3&gt;0),Q$3*VLOOKUP($A36,Data_72_15!$A$8:$AM$52,MATCH(Q$2,Data_72_15!$B$2:$AM$2,0)+1),"")</f>
        <v/>
      </c>
      <c r="R36" s="206" t="str">
        <f>IF(AND($A36&gt;=SYear72,$A36&lt;=EYear72,R$3&gt;0),R$3*VLOOKUP($A36,Data_72_15!$A$8:$AM$52,MATCH(R$2,Data_72_15!$B$2:$AM$2,0)+1),"")</f>
        <v/>
      </c>
      <c r="S36" s="206" t="str">
        <f>IF(AND($A36&gt;=SYear72,$A36&lt;=EYear72,S$3&gt;0),S$3*VLOOKUP($A36,Data_72_15!$A$8:$AM$52,MATCH(S$2,Data_72_15!$B$2:$AM$2,0)+1),"")</f>
        <v/>
      </c>
      <c r="T36" s="206">
        <f>IF(AND($A36&gt;=SYear72,$A36&lt;=EYear72,T$3&gt;0),T$3*VLOOKUP($A36,Data_72_15!$A$8:$AM$52,MATCH(T$2,Data_72_15!$B$2:$AM$2,0)+1),"")</f>
        <v>1.51</v>
      </c>
      <c r="U36" s="206" t="str">
        <f>IF(AND($A36&gt;=SYear72,$A36&lt;=EYear72,U$3&gt;0),U$3*VLOOKUP($A36,Data_72_15!$A$8:$AM$52,MATCH(U$2,Data_72_15!$B$2:$AM$2,0)+1),"")</f>
        <v/>
      </c>
      <c r="V36" s="206" t="str">
        <f>IF(AND($A36&gt;=SYear72,$A36&lt;=EYear72,V$3&gt;0),V$3*VLOOKUP($A36,Data_72_15!$A$8:$AM$52,MATCH(V$2,Data_72_15!$B$2:$AM$2,0)+1),"")</f>
        <v/>
      </c>
      <c r="W36" s="206" t="str">
        <f>IF(AND($A36&gt;=SYear72,$A36&lt;=EYear72,W$3&gt;0),W$3*VLOOKUP($A36,Data_72_15!$A$8:$AM$52,MATCH(W$2,Data_72_15!$B$2:$AM$2,0)+1),"")</f>
        <v/>
      </c>
      <c r="X36" s="206" t="str">
        <f>IF(AND($A36&gt;=SYear72,$A36&lt;=EYear72,X$3&gt;0),X$3*VLOOKUP($A36,Data_72_15!$A$8:$AM$52,MATCH(X$2,Data_72_15!$B$2:$AM$2,0)+1),"")</f>
        <v/>
      </c>
      <c r="Y36" s="206" t="str">
        <f>IF(AND($A36&gt;=SYear72,$A36&lt;=EYear72,Y$3&gt;0),Y$3*VLOOKUP($A36,Data_72_15!$A$8:$AM$52,MATCH(Y$2,Data_72_15!$B$2:$AM$2,0)+1),"")</f>
        <v/>
      </c>
      <c r="Z36" s="206" t="str">
        <f>IF(AND($A36&gt;=SYear72,$A36&lt;=EYear72,Z$3&gt;0),Z$3*VLOOKUP($A36,Data_72_15!$A$8:$AM$52,MATCH(Z$2,Data_72_15!$B$2:$AM$2,0)+1),"")</f>
        <v/>
      </c>
      <c r="AA36" s="206" t="str">
        <f>IF(AND($A36&gt;=SYear72,$A36&lt;=EYear72,AA$3&gt;0),AA$3*VLOOKUP($A36,Data_72_15!$A$8:$AM$52,MATCH(AA$2,Data_72_15!$B$2:$AM$2,0)+1),"")</f>
        <v/>
      </c>
      <c r="AB36" s="206" t="str">
        <f>IF(AND($A36&gt;=SYear72,$A36&lt;=EYear72,AB$3&gt;0),AB$3*VLOOKUP($A36,Data_72_15!$A$8:$AM$52,MATCH(AB$2,Data_72_15!$B$2:$AM$2,0)+1),"")</f>
        <v/>
      </c>
      <c r="AC36" s="206" t="str">
        <f>IF(AND($A36&gt;=SYear72,$A36&lt;=EYear72,AC$3&gt;0),AC$3*VLOOKUP($A36,Data_72_15!$A$8:$AM$52,MATCH(AC$2,Data_72_15!$B$2:$AM$2,0)+1),"")</f>
        <v/>
      </c>
      <c r="AD36" s="206" t="str">
        <f>IF(AND($A36&gt;=SYear72,$A36&lt;=EYear72,AD$3&gt;0),AD$3*VLOOKUP($A36,Data_72_15!$A$8:$AM$52,MATCH(AD$2,Data_72_15!$B$2:$AM$2,0)+1),"")</f>
        <v/>
      </c>
      <c r="AE36" s="206" t="str">
        <f>IF(AND($A36&gt;=SYear72,$A36&lt;=EYear72,AE$3&gt;0),AE$3*VLOOKUP($A36,Data_72_15!$A$8:$AM$52,MATCH(AE$2,Data_72_15!$B$2:$AM$2,0)+1),"")</f>
        <v/>
      </c>
      <c r="AF36" s="206" t="str">
        <f>IF(AND($A36&gt;=SYear72,$A36&lt;=EYear72,AF$3&gt;0),AF$3*VLOOKUP($A36,Data_72_15!$A$8:$AM$52,MATCH(AF$2,Data_72_15!$B$2:$AM$2,0)+1),"")</f>
        <v/>
      </c>
      <c r="AG36" s="206" t="str">
        <f>IF(AND($A36&gt;=SYear72,$A36&lt;=EYear72,AG$3&gt;0),AG$3*VLOOKUP($A36,Data_72_15!$A$8:$AM$52,MATCH(AG$2,Data_72_15!$B$2:$AM$2,0)+1),"")</f>
        <v/>
      </c>
      <c r="AH36" s="206" t="str">
        <f>IF(AND($A36&gt;=SYear72,$A36&lt;=EYear72,AH$3&gt;0),AH$3*VLOOKUP($A36,Data_72_15!$A$8:$AM$52,MATCH(AH$2,Data_72_15!$B$2:$AM$2,0)+1),"")</f>
        <v/>
      </c>
      <c r="AI36" s="206" t="str">
        <f>IF(AND($A36&gt;=SYear72,$A36&lt;=EYear72,AI$3&gt;0),AI$3*VLOOKUP($A36,Data_72_15!$A$8:$AM$52,MATCH(AI$2,Data_72_15!$B$2:$AM$2,0)+1),"")</f>
        <v/>
      </c>
      <c r="AJ36" s="206" t="str">
        <f>IF(AND($A36&gt;=SYear72,$A36&lt;=EYear72,AJ$3&gt;0),AJ$3*VLOOKUP($A36,Data_72_15!$A$8:$AM$52,MATCH(AJ$2,Data_72_15!$B$2:$AM$2,0)+1),"")</f>
        <v/>
      </c>
      <c r="AK36" s="206" t="str">
        <f>IF(AND($A36&gt;=SYear72,$A36&lt;=EYear72,AK$3&gt;0),AK$3*VLOOKUP($A36,Data_72_15!$A$8:$AM$52,MATCH(AK$2,Data_72_15!$B$2:$AM$2,0)+1),"")</f>
        <v/>
      </c>
      <c r="AL36" s="206" t="str">
        <f>IF(AND($A36&gt;=SYear72,$A36&lt;=EYear72,AL$3&gt;0),AL$3*VLOOKUP($A36,Data_72_15!$A$8:$AM$52,MATCH(AL$2,Data_72_15!$B$2:$AM$2,0)+1),"")</f>
        <v/>
      </c>
      <c r="AM36" s="206">
        <f t="shared" si="12"/>
        <v>-10.02</v>
      </c>
      <c r="AN36" s="446">
        <f t="shared" si="13"/>
        <v>263746.70122550376</v>
      </c>
      <c r="AO36" s="206">
        <f>IF(AND($A36&gt;=SYear72,$A36&lt;=EYear72),(AM36-Data_72_15!AM37)/(1+Data_72_15!AM37%),"")</f>
        <v>-11.394906621392188</v>
      </c>
      <c r="AP36" s="606">
        <f t="shared" si="14"/>
        <v>61346.855802876184</v>
      </c>
      <c r="AQ36" s="143">
        <f t="shared" si="15"/>
        <v>21.907674857790948</v>
      </c>
      <c r="AR36" s="143">
        <f>IF(AND($A36&gt;=SYear72,$A36&lt;=EYear72),MAX($AQ$7:AQ36),"")</f>
        <v>26.225544990057376</v>
      </c>
      <c r="AS36" s="209">
        <f t="shared" si="16"/>
        <v>0.16464367599999996</v>
      </c>
      <c r="AU36" s="143">
        <f>IF(AND($A36&gt;=SYear72,$A36&lt;=EYear72),Data_72_15!V37,"")</f>
        <v>3.99</v>
      </c>
      <c r="AV36" s="143">
        <f>IF(AND($A36&gt;=SYear72,$A36&lt;=EYear72),Data_72_15!AM37,"")</f>
        <v>1.551724137931032</v>
      </c>
      <c r="AW36" s="143">
        <f t="shared" si="17"/>
        <v>2.4010186757215646</v>
      </c>
      <c r="AZ36" s="61">
        <f t="shared" si="1"/>
        <v>-0.10020000000000007</v>
      </c>
      <c r="BA36" s="61">
        <f t="shared" si="2"/>
        <v>4.4846029036818003E-3</v>
      </c>
      <c r="BB36" s="61">
        <f t="shared" si="3"/>
        <v>4.4033276772110552E-2</v>
      </c>
      <c r="BC36" s="61">
        <f t="shared" si="4"/>
        <v>4.7276083316752926E-2</v>
      </c>
      <c r="BD36" s="61">
        <f t="shared" si="5"/>
        <v>5.5426356307912039E-2</v>
      </c>
      <c r="BG36" s="61">
        <f t="shared" si="6"/>
        <v>-0.11394906621392187</v>
      </c>
      <c r="BH36" s="61">
        <f t="shared" si="7"/>
        <v>-1.4587829491731874E-2</v>
      </c>
      <c r="BI36" s="61">
        <f t="shared" si="8"/>
        <v>1.8636355202070298E-2</v>
      </c>
      <c r="BJ36" s="61">
        <f t="shared" si="9"/>
        <v>2.3378329525962194E-2</v>
      </c>
      <c r="BK36" s="61">
        <f t="shared" si="10"/>
        <v>3.4044943077028433E-2</v>
      </c>
    </row>
    <row r="37" spans="1:63">
      <c r="A37" s="204">
        <f t="shared" si="11"/>
        <v>2002</v>
      </c>
      <c r="B37" s="206">
        <f>IF(AND($A37&gt;=SYear72,$A37&lt;=EYear72,B$3&gt;0),B$3*VLOOKUP($A37,Data_72_15!$A$8:$AM$52,MATCH(B$2,Data_72_15!$B$2:$AM$2,0)+1),"")</f>
        <v>-10.48</v>
      </c>
      <c r="C37" s="206" t="str">
        <f>IF(AND($A37&gt;=SYear72,$A37&lt;=EYear72,C$3&gt;0),C$3*VLOOKUP($A37,Data_72_15!$A$8:$AM$52,MATCH(C$2,Data_72_15!$B$2:$AM$2,0)+1),"")</f>
        <v/>
      </c>
      <c r="D37" s="206" t="str">
        <f>IF(AND($A37&gt;=SYear72,$A37&lt;=EYear72,D$3&gt;0),D$3*VLOOKUP($A37,Data_72_15!$A$8:$AM$52,MATCH(D$2,Data_72_15!$B$2:$AM$2,0)+1),"")</f>
        <v/>
      </c>
      <c r="E37" s="206" t="str">
        <f>IF(AND($A37&gt;=SYear72,$A37&lt;=EYear72,E$3&gt;0),E$3*VLOOKUP($A37,Data_72_15!$A$8:$AM$52,MATCH(E$2,Data_72_15!$B$2:$AM$2,0)+1),"")</f>
        <v/>
      </c>
      <c r="F37" s="206" t="str">
        <f>IF(AND($A37&gt;=SYear72,$A37&lt;=EYear72,F$3&gt;0),F$3*VLOOKUP($A37,Data_72_15!$A$8:$AM$52,MATCH(F$2,Data_72_15!$B$2:$AM$2,0)+1),"")</f>
        <v/>
      </c>
      <c r="G37" s="206" t="str">
        <f>IF(AND($A37&gt;=SYear72,$A37&lt;=EYear72,G$3&gt;0),G$3*VLOOKUP($A37,Data_72_15!$A$8:$AM$52,MATCH(G$2,Data_72_15!$B$2:$AM$2,0)+1),"")</f>
        <v/>
      </c>
      <c r="H37" s="206" t="str">
        <f>IF(AND($A37&gt;=SYear72,$A37&lt;=EYear72,H$3&gt;0),H$3*VLOOKUP($A37,Data_72_15!$A$8:$AM$52,MATCH(H$2,Data_72_15!$B$2:$AM$2,0)+1),"")</f>
        <v/>
      </c>
      <c r="I37" s="206" t="str">
        <f>IF(AND($A37&gt;=SYear72,$A37&lt;=EYear72,I$3&gt;0),I$3*VLOOKUP($A37,Data_72_15!$A$8:$AM$52,MATCH(I$2,Data_72_15!$B$2:$AM$2,0)+1),"")</f>
        <v/>
      </c>
      <c r="J37" s="206" t="str">
        <f>IF(AND($A37&gt;=SYear72,$A37&lt;=EYear72,J$3&gt;0),J$3*VLOOKUP($A37,Data_72_15!$A$8:$AM$52,MATCH(J$2,Data_72_15!$B$2:$AM$2,0)+1),"")</f>
        <v/>
      </c>
      <c r="K37" s="206" t="str">
        <f>IF(AND($A37&gt;=SYear72,$A37&lt;=EYear72,K$3&gt;0),K$3*VLOOKUP($A37,Data_72_15!$A$8:$AM$52,MATCH(K$2,Data_72_15!$B$2:$AM$2,0)+1),"")</f>
        <v/>
      </c>
      <c r="L37" s="206" t="str">
        <f>IF(AND($A37&gt;=SYear72,$A37&lt;=EYear72,L$3&gt;0),L$3*VLOOKUP($A37,Data_72_15!$A$8:$AM$52,MATCH(L$2,Data_72_15!$B$2:$AM$2,0)+1),"")</f>
        <v/>
      </c>
      <c r="M37" s="206" t="str">
        <f>IF(AND($A37&gt;=SYear72,$A37&lt;=EYear72,M$3&gt;0),M$3*VLOOKUP($A37,Data_72_15!$A$8:$AM$52,MATCH(M$2,Data_72_15!$B$2:$AM$2,0)+1),"")</f>
        <v/>
      </c>
      <c r="N37" s="206">
        <f>IF(AND($A37&gt;=SYear72,$A37&lt;=EYear72,N$3&gt;0),N$3*VLOOKUP($A37,Data_72_15!$A$8:$AM$52,MATCH(N$2,Data_72_15!$B$2:$AM$2,0)+1),"")</f>
        <v>-4.524</v>
      </c>
      <c r="O37" s="206" t="str">
        <f>IF(AND($A37&gt;=SYear72,$A37&lt;=EYear72,O$3&gt;0),O$3*VLOOKUP($A37,Data_72_15!$A$8:$AM$52,MATCH(O$2,Data_72_15!$B$2:$AM$2,0)+1),"")</f>
        <v/>
      </c>
      <c r="P37" s="206" t="str">
        <f>IF(AND($A37&gt;=SYear72,$A37&lt;=EYear72,P$3&gt;0),P$3*VLOOKUP($A37,Data_72_15!$A$8:$AM$52,MATCH(P$2,Data_72_15!$B$2:$AM$2,0)+1),"")</f>
        <v/>
      </c>
      <c r="Q37" s="206" t="str">
        <f>IF(AND($A37&gt;=SYear72,$A37&lt;=EYear72,Q$3&gt;0),Q$3*VLOOKUP($A37,Data_72_15!$A$8:$AM$52,MATCH(Q$2,Data_72_15!$B$2:$AM$2,0)+1),"")</f>
        <v/>
      </c>
      <c r="R37" s="206" t="str">
        <f>IF(AND($A37&gt;=SYear72,$A37&lt;=EYear72,R$3&gt;0),R$3*VLOOKUP($A37,Data_72_15!$A$8:$AM$52,MATCH(R$2,Data_72_15!$B$2:$AM$2,0)+1),"")</f>
        <v/>
      </c>
      <c r="S37" s="206" t="str">
        <f>IF(AND($A37&gt;=SYear72,$A37&lt;=EYear72,S$3&gt;0),S$3*VLOOKUP($A37,Data_72_15!$A$8:$AM$52,MATCH(S$2,Data_72_15!$B$2:$AM$2,0)+1),"")</f>
        <v/>
      </c>
      <c r="T37" s="206">
        <f>IF(AND($A37&gt;=SYear72,$A37&lt;=EYear72,T$3&gt;0),T$3*VLOOKUP($A37,Data_72_15!$A$8:$AM$52,MATCH(T$2,Data_72_15!$B$2:$AM$2,0)+1),"")</f>
        <v>2.83</v>
      </c>
      <c r="U37" s="206" t="str">
        <f>IF(AND($A37&gt;=SYear72,$A37&lt;=EYear72,U$3&gt;0),U$3*VLOOKUP($A37,Data_72_15!$A$8:$AM$52,MATCH(U$2,Data_72_15!$B$2:$AM$2,0)+1),"")</f>
        <v/>
      </c>
      <c r="V37" s="206" t="str">
        <f>IF(AND($A37&gt;=SYear72,$A37&lt;=EYear72,V$3&gt;0),V$3*VLOOKUP($A37,Data_72_15!$A$8:$AM$52,MATCH(V$2,Data_72_15!$B$2:$AM$2,0)+1),"")</f>
        <v/>
      </c>
      <c r="W37" s="206" t="str">
        <f>IF(AND($A37&gt;=SYear72,$A37&lt;=EYear72,W$3&gt;0),W$3*VLOOKUP($A37,Data_72_15!$A$8:$AM$52,MATCH(W$2,Data_72_15!$B$2:$AM$2,0)+1),"")</f>
        <v/>
      </c>
      <c r="X37" s="206" t="str">
        <f>IF(AND($A37&gt;=SYear72,$A37&lt;=EYear72,X$3&gt;0),X$3*VLOOKUP($A37,Data_72_15!$A$8:$AM$52,MATCH(X$2,Data_72_15!$B$2:$AM$2,0)+1),"")</f>
        <v/>
      </c>
      <c r="Y37" s="206" t="str">
        <f>IF(AND($A37&gt;=SYear72,$A37&lt;=EYear72,Y$3&gt;0),Y$3*VLOOKUP($A37,Data_72_15!$A$8:$AM$52,MATCH(Y$2,Data_72_15!$B$2:$AM$2,0)+1),"")</f>
        <v/>
      </c>
      <c r="Z37" s="206" t="str">
        <f>IF(AND($A37&gt;=SYear72,$A37&lt;=EYear72,Z$3&gt;0),Z$3*VLOOKUP($A37,Data_72_15!$A$8:$AM$52,MATCH(Z$2,Data_72_15!$B$2:$AM$2,0)+1),"")</f>
        <v/>
      </c>
      <c r="AA37" s="206" t="str">
        <f>IF(AND($A37&gt;=SYear72,$A37&lt;=EYear72,AA$3&gt;0),AA$3*VLOOKUP($A37,Data_72_15!$A$8:$AM$52,MATCH(AA$2,Data_72_15!$B$2:$AM$2,0)+1),"")</f>
        <v/>
      </c>
      <c r="AB37" s="206" t="str">
        <f>IF(AND($A37&gt;=SYear72,$A37&lt;=EYear72,AB$3&gt;0),AB$3*VLOOKUP($A37,Data_72_15!$A$8:$AM$52,MATCH(AB$2,Data_72_15!$B$2:$AM$2,0)+1),"")</f>
        <v/>
      </c>
      <c r="AC37" s="206" t="str">
        <f>IF(AND($A37&gt;=SYear72,$A37&lt;=EYear72,AC$3&gt;0),AC$3*VLOOKUP($A37,Data_72_15!$A$8:$AM$52,MATCH(AC$2,Data_72_15!$B$2:$AM$2,0)+1),"")</f>
        <v/>
      </c>
      <c r="AD37" s="206" t="str">
        <f>IF(AND($A37&gt;=SYear72,$A37&lt;=EYear72,AD$3&gt;0),AD$3*VLOOKUP($A37,Data_72_15!$A$8:$AM$52,MATCH(AD$2,Data_72_15!$B$2:$AM$2,0)+1),"")</f>
        <v/>
      </c>
      <c r="AE37" s="206" t="str">
        <f>IF(AND($A37&gt;=SYear72,$A37&lt;=EYear72,AE$3&gt;0),AE$3*VLOOKUP($A37,Data_72_15!$A$8:$AM$52,MATCH(AE$2,Data_72_15!$B$2:$AM$2,0)+1),"")</f>
        <v/>
      </c>
      <c r="AF37" s="206" t="str">
        <f>IF(AND($A37&gt;=SYear72,$A37&lt;=EYear72,AF$3&gt;0),AF$3*VLOOKUP($A37,Data_72_15!$A$8:$AM$52,MATCH(AF$2,Data_72_15!$B$2:$AM$2,0)+1),"")</f>
        <v/>
      </c>
      <c r="AG37" s="206" t="str">
        <f>IF(AND($A37&gt;=SYear72,$A37&lt;=EYear72,AG$3&gt;0),AG$3*VLOOKUP($A37,Data_72_15!$A$8:$AM$52,MATCH(AG$2,Data_72_15!$B$2:$AM$2,0)+1),"")</f>
        <v/>
      </c>
      <c r="AH37" s="206" t="str">
        <f>IF(AND($A37&gt;=SYear72,$A37&lt;=EYear72,AH$3&gt;0),AH$3*VLOOKUP($A37,Data_72_15!$A$8:$AM$52,MATCH(AH$2,Data_72_15!$B$2:$AM$2,0)+1),"")</f>
        <v/>
      </c>
      <c r="AI37" s="206" t="str">
        <f>IF(AND($A37&gt;=SYear72,$A37&lt;=EYear72,AI$3&gt;0),AI$3*VLOOKUP($A37,Data_72_15!$A$8:$AM$52,MATCH(AI$2,Data_72_15!$B$2:$AM$2,0)+1),"")</f>
        <v/>
      </c>
      <c r="AJ37" s="206" t="str">
        <f>IF(AND($A37&gt;=SYear72,$A37&lt;=EYear72,AJ$3&gt;0),AJ$3*VLOOKUP($A37,Data_72_15!$A$8:$AM$52,MATCH(AJ$2,Data_72_15!$B$2:$AM$2,0)+1),"")</f>
        <v/>
      </c>
      <c r="AK37" s="206" t="str">
        <f>IF(AND($A37&gt;=SYear72,$A37&lt;=EYear72,AK$3&gt;0),AK$3*VLOOKUP($A37,Data_72_15!$A$8:$AM$52,MATCH(AK$2,Data_72_15!$B$2:$AM$2,0)+1),"")</f>
        <v/>
      </c>
      <c r="AL37" s="206" t="str">
        <f>IF(AND($A37&gt;=SYear72,$A37&lt;=EYear72,AL$3&gt;0),AL$3*VLOOKUP($A37,Data_72_15!$A$8:$AM$52,MATCH(AL$2,Data_72_15!$B$2:$AM$2,0)+1),"")</f>
        <v/>
      </c>
      <c r="AM37" s="206">
        <f t="shared" si="12"/>
        <v>-12.174000000000001</v>
      </c>
      <c r="AN37" s="446">
        <f t="shared" si="13"/>
        <v>231638.17781831094</v>
      </c>
      <c r="AO37" s="206">
        <f>IF(AND($A37&gt;=SYear72,$A37&lt;=EYear72),(AM37-Data_72_15!AM38)/(1+Data_72_15!AM38%),"")</f>
        <v>-14.213077943615259</v>
      </c>
      <c r="AP37" s="606">
        <f t="shared" si="14"/>
        <v>52627.579371656131</v>
      </c>
      <c r="AQ37" s="143">
        <f t="shared" si="15"/>
        <v>19.240634520603479</v>
      </c>
      <c r="AR37" s="143">
        <f>IF(AND($A37&gt;=SYear72,$A37&lt;=EYear72),MAX($AQ$7:AQ37),"")</f>
        <v>26.225544990057376</v>
      </c>
      <c r="AS37" s="209">
        <f t="shared" si="16"/>
        <v>0.26633995488375994</v>
      </c>
      <c r="AU37" s="143">
        <f>IF(AND($A37&gt;=SYear72,$A37&lt;=EYear72),Data_72_15!V38,"")</f>
        <v>1.51</v>
      </c>
      <c r="AV37" s="143">
        <f>IF(AND($A37&gt;=SYear72,$A37&lt;=EYear72),Data_72_15!AM38,"")</f>
        <v>2.3769100169779289</v>
      </c>
      <c r="AW37" s="143">
        <f t="shared" si="17"/>
        <v>-0.8467827529021561</v>
      </c>
      <c r="AZ37" s="61">
        <f t="shared" si="1"/>
        <v>-0.12173999999999996</v>
      </c>
      <c r="BA37" s="61">
        <f t="shared" si="2"/>
        <v>8.4342630851324207E-2</v>
      </c>
      <c r="BB37" s="61">
        <f t="shared" si="3"/>
        <v>9.9150298823875938E-2</v>
      </c>
      <c r="BC37" s="61">
        <f t="shared" si="4"/>
        <v>5.6333589935174899E-2</v>
      </c>
      <c r="BD37" s="61"/>
      <c r="BG37" s="61">
        <f t="shared" si="6"/>
        <v>-0.1421307794361526</v>
      </c>
      <c r="BH37" s="61">
        <f t="shared" si="7"/>
        <v>5.7870369192846827E-2</v>
      </c>
      <c r="BI37" s="61">
        <f t="shared" si="8"/>
        <v>7.0336066469447456E-2</v>
      </c>
      <c r="BJ37" s="61">
        <f t="shared" si="9"/>
        <v>3.0806093417322211E-2</v>
      </c>
      <c r="BK37" s="61"/>
    </row>
    <row r="38" spans="1:63">
      <c r="A38" s="204">
        <f t="shared" si="11"/>
        <v>2003</v>
      </c>
      <c r="B38" s="206">
        <f>IF(AND($A38&gt;=SYear72,$A38&lt;=EYear72,B$3&gt;0),B$3*VLOOKUP($A38,Data_72_15!$A$8:$AM$52,MATCH(B$2,Data_72_15!$B$2:$AM$2,0)+1),"")</f>
        <v>15.675000000000001</v>
      </c>
      <c r="C38" s="206" t="str">
        <f>IF(AND($A38&gt;=SYear72,$A38&lt;=EYear72,C$3&gt;0),C$3*VLOOKUP($A38,Data_72_15!$A$8:$AM$52,MATCH(C$2,Data_72_15!$B$2:$AM$2,0)+1),"")</f>
        <v/>
      </c>
      <c r="D38" s="206" t="str">
        <f>IF(AND($A38&gt;=SYear72,$A38&lt;=EYear72,D$3&gt;0),D$3*VLOOKUP($A38,Data_72_15!$A$8:$AM$52,MATCH(D$2,Data_72_15!$B$2:$AM$2,0)+1),"")</f>
        <v/>
      </c>
      <c r="E38" s="206" t="str">
        <f>IF(AND($A38&gt;=SYear72,$A38&lt;=EYear72,E$3&gt;0),E$3*VLOOKUP($A38,Data_72_15!$A$8:$AM$52,MATCH(E$2,Data_72_15!$B$2:$AM$2,0)+1),"")</f>
        <v/>
      </c>
      <c r="F38" s="206" t="str">
        <f>IF(AND($A38&gt;=SYear72,$A38&lt;=EYear72,F$3&gt;0),F$3*VLOOKUP($A38,Data_72_15!$A$8:$AM$52,MATCH(F$2,Data_72_15!$B$2:$AM$2,0)+1),"")</f>
        <v/>
      </c>
      <c r="G38" s="206" t="str">
        <f>IF(AND($A38&gt;=SYear72,$A38&lt;=EYear72,G$3&gt;0),G$3*VLOOKUP($A38,Data_72_15!$A$8:$AM$52,MATCH(G$2,Data_72_15!$B$2:$AM$2,0)+1),"")</f>
        <v/>
      </c>
      <c r="H38" s="206" t="str">
        <f>IF(AND($A38&gt;=SYear72,$A38&lt;=EYear72,H$3&gt;0),H$3*VLOOKUP($A38,Data_72_15!$A$8:$AM$52,MATCH(H$2,Data_72_15!$B$2:$AM$2,0)+1),"")</f>
        <v/>
      </c>
      <c r="I38" s="206" t="str">
        <f>IF(AND($A38&gt;=SYear72,$A38&lt;=EYear72,I$3&gt;0),I$3*VLOOKUP($A38,Data_72_15!$A$8:$AM$52,MATCH(I$2,Data_72_15!$B$2:$AM$2,0)+1),"")</f>
        <v/>
      </c>
      <c r="J38" s="206" t="str">
        <f>IF(AND($A38&gt;=SYear72,$A38&lt;=EYear72,J$3&gt;0),J$3*VLOOKUP($A38,Data_72_15!$A$8:$AM$52,MATCH(J$2,Data_72_15!$B$2:$AM$2,0)+1),"")</f>
        <v/>
      </c>
      <c r="K38" s="206" t="str">
        <f>IF(AND($A38&gt;=SYear72,$A38&lt;=EYear72,K$3&gt;0),K$3*VLOOKUP($A38,Data_72_15!$A$8:$AM$52,MATCH(K$2,Data_72_15!$B$2:$AM$2,0)+1),"")</f>
        <v/>
      </c>
      <c r="L38" s="206" t="str">
        <f>IF(AND($A38&gt;=SYear72,$A38&lt;=EYear72,L$3&gt;0),L$3*VLOOKUP($A38,Data_72_15!$A$8:$AM$52,MATCH(L$2,Data_72_15!$B$2:$AM$2,0)+1),"")</f>
        <v/>
      </c>
      <c r="M38" s="206" t="str">
        <f>IF(AND($A38&gt;=SYear72,$A38&lt;=EYear72,M$3&gt;0),M$3*VLOOKUP($A38,Data_72_15!$A$8:$AM$52,MATCH(M$2,Data_72_15!$B$2:$AM$2,0)+1),"")</f>
        <v/>
      </c>
      <c r="N38" s="206">
        <f>IF(AND($A38&gt;=SYear72,$A38&lt;=EYear72,N$3&gt;0),N$3*VLOOKUP($A38,Data_72_15!$A$8:$AM$52,MATCH(N$2,Data_72_15!$B$2:$AM$2,0)+1),"")</f>
        <v>12.102</v>
      </c>
      <c r="O38" s="206" t="str">
        <f>IF(AND($A38&gt;=SYear72,$A38&lt;=EYear72,O$3&gt;0),O$3*VLOOKUP($A38,Data_72_15!$A$8:$AM$52,MATCH(O$2,Data_72_15!$B$2:$AM$2,0)+1),"")</f>
        <v/>
      </c>
      <c r="P38" s="206" t="str">
        <f>IF(AND($A38&gt;=SYear72,$A38&lt;=EYear72,P$3&gt;0),P$3*VLOOKUP($A38,Data_72_15!$A$8:$AM$52,MATCH(P$2,Data_72_15!$B$2:$AM$2,0)+1),"")</f>
        <v/>
      </c>
      <c r="Q38" s="206" t="str">
        <f>IF(AND($A38&gt;=SYear72,$A38&lt;=EYear72,Q$3&gt;0),Q$3*VLOOKUP($A38,Data_72_15!$A$8:$AM$52,MATCH(Q$2,Data_72_15!$B$2:$AM$2,0)+1),"")</f>
        <v/>
      </c>
      <c r="R38" s="206" t="str">
        <f>IF(AND($A38&gt;=SYear72,$A38&lt;=EYear72,R$3&gt;0),R$3*VLOOKUP($A38,Data_72_15!$A$8:$AM$52,MATCH(R$2,Data_72_15!$B$2:$AM$2,0)+1),"")</f>
        <v/>
      </c>
      <c r="S38" s="206" t="str">
        <f>IF(AND($A38&gt;=SYear72,$A38&lt;=EYear72,S$3&gt;0),S$3*VLOOKUP($A38,Data_72_15!$A$8:$AM$52,MATCH(S$2,Data_72_15!$B$2:$AM$2,0)+1),"")</f>
        <v/>
      </c>
      <c r="T38" s="206">
        <f>IF(AND($A38&gt;=SYear72,$A38&lt;=EYear72,T$3&gt;0),T$3*VLOOKUP($A38,Data_72_15!$A$8:$AM$52,MATCH(T$2,Data_72_15!$B$2:$AM$2,0)+1),"")</f>
        <v>0.47400000000000003</v>
      </c>
      <c r="U38" s="206" t="str">
        <f>IF(AND($A38&gt;=SYear72,$A38&lt;=EYear72,U$3&gt;0),U$3*VLOOKUP($A38,Data_72_15!$A$8:$AM$52,MATCH(U$2,Data_72_15!$B$2:$AM$2,0)+1),"")</f>
        <v/>
      </c>
      <c r="V38" s="206" t="str">
        <f>IF(AND($A38&gt;=SYear72,$A38&lt;=EYear72,V$3&gt;0),V$3*VLOOKUP($A38,Data_72_15!$A$8:$AM$52,MATCH(V$2,Data_72_15!$B$2:$AM$2,0)+1),"")</f>
        <v/>
      </c>
      <c r="W38" s="206" t="str">
        <f>IF(AND($A38&gt;=SYear72,$A38&lt;=EYear72,W$3&gt;0),W$3*VLOOKUP($A38,Data_72_15!$A$8:$AM$52,MATCH(W$2,Data_72_15!$B$2:$AM$2,0)+1),"")</f>
        <v/>
      </c>
      <c r="X38" s="206" t="str">
        <f>IF(AND($A38&gt;=SYear72,$A38&lt;=EYear72,X$3&gt;0),X$3*VLOOKUP($A38,Data_72_15!$A$8:$AM$52,MATCH(X$2,Data_72_15!$B$2:$AM$2,0)+1),"")</f>
        <v/>
      </c>
      <c r="Y38" s="206" t="str">
        <f>IF(AND($A38&gt;=SYear72,$A38&lt;=EYear72,Y$3&gt;0),Y$3*VLOOKUP($A38,Data_72_15!$A$8:$AM$52,MATCH(Y$2,Data_72_15!$B$2:$AM$2,0)+1),"")</f>
        <v/>
      </c>
      <c r="Z38" s="206" t="str">
        <f>IF(AND($A38&gt;=SYear72,$A38&lt;=EYear72,Z$3&gt;0),Z$3*VLOOKUP($A38,Data_72_15!$A$8:$AM$52,MATCH(Z$2,Data_72_15!$B$2:$AM$2,0)+1),"")</f>
        <v/>
      </c>
      <c r="AA38" s="206" t="str">
        <f>IF(AND($A38&gt;=SYear72,$A38&lt;=EYear72,AA$3&gt;0),AA$3*VLOOKUP($A38,Data_72_15!$A$8:$AM$52,MATCH(AA$2,Data_72_15!$B$2:$AM$2,0)+1),"")</f>
        <v/>
      </c>
      <c r="AB38" s="206" t="str">
        <f>IF(AND($A38&gt;=SYear72,$A38&lt;=EYear72,AB$3&gt;0),AB$3*VLOOKUP($A38,Data_72_15!$A$8:$AM$52,MATCH(AB$2,Data_72_15!$B$2:$AM$2,0)+1),"")</f>
        <v/>
      </c>
      <c r="AC38" s="206" t="str">
        <f>IF(AND($A38&gt;=SYear72,$A38&lt;=EYear72,AC$3&gt;0),AC$3*VLOOKUP($A38,Data_72_15!$A$8:$AM$52,MATCH(AC$2,Data_72_15!$B$2:$AM$2,0)+1),"")</f>
        <v/>
      </c>
      <c r="AD38" s="206" t="str">
        <f>IF(AND($A38&gt;=SYear72,$A38&lt;=EYear72,AD$3&gt;0),AD$3*VLOOKUP($A38,Data_72_15!$A$8:$AM$52,MATCH(AD$2,Data_72_15!$B$2:$AM$2,0)+1),"")</f>
        <v/>
      </c>
      <c r="AE38" s="206" t="str">
        <f>IF(AND($A38&gt;=SYear72,$A38&lt;=EYear72,AE$3&gt;0),AE$3*VLOOKUP($A38,Data_72_15!$A$8:$AM$52,MATCH(AE$2,Data_72_15!$B$2:$AM$2,0)+1),"")</f>
        <v/>
      </c>
      <c r="AF38" s="206" t="str">
        <f>IF(AND($A38&gt;=SYear72,$A38&lt;=EYear72,AF$3&gt;0),AF$3*VLOOKUP($A38,Data_72_15!$A$8:$AM$52,MATCH(AF$2,Data_72_15!$B$2:$AM$2,0)+1),"")</f>
        <v/>
      </c>
      <c r="AG38" s="206" t="str">
        <f>IF(AND($A38&gt;=SYear72,$A38&lt;=EYear72,AG$3&gt;0),AG$3*VLOOKUP($A38,Data_72_15!$A$8:$AM$52,MATCH(AG$2,Data_72_15!$B$2:$AM$2,0)+1),"")</f>
        <v/>
      </c>
      <c r="AH38" s="206" t="str">
        <f>IF(AND($A38&gt;=SYear72,$A38&lt;=EYear72,AH$3&gt;0),AH$3*VLOOKUP($A38,Data_72_15!$A$8:$AM$52,MATCH(AH$2,Data_72_15!$B$2:$AM$2,0)+1),"")</f>
        <v/>
      </c>
      <c r="AI38" s="206" t="str">
        <f>IF(AND($A38&gt;=SYear72,$A38&lt;=EYear72,AI$3&gt;0),AI$3*VLOOKUP($A38,Data_72_15!$A$8:$AM$52,MATCH(AI$2,Data_72_15!$B$2:$AM$2,0)+1),"")</f>
        <v/>
      </c>
      <c r="AJ38" s="206" t="str">
        <f>IF(AND($A38&gt;=SYear72,$A38&lt;=EYear72,AJ$3&gt;0),AJ$3*VLOOKUP($A38,Data_72_15!$A$8:$AM$52,MATCH(AJ$2,Data_72_15!$B$2:$AM$2,0)+1),"")</f>
        <v/>
      </c>
      <c r="AK38" s="206" t="str">
        <f>IF(AND($A38&gt;=SYear72,$A38&lt;=EYear72,AK$3&gt;0),AK$3*VLOOKUP($A38,Data_72_15!$A$8:$AM$52,MATCH(AK$2,Data_72_15!$B$2:$AM$2,0)+1),"")</f>
        <v/>
      </c>
      <c r="AL38" s="206" t="str">
        <f>IF(AND($A38&gt;=SYear72,$A38&lt;=EYear72,AL$3&gt;0),AL$3*VLOOKUP($A38,Data_72_15!$A$8:$AM$52,MATCH(AL$2,Data_72_15!$B$2:$AM$2,0)+1),"")</f>
        <v/>
      </c>
      <c r="AM38" s="206">
        <f t="shared" si="12"/>
        <v>28.251000000000001</v>
      </c>
      <c r="AN38" s="446">
        <f t="shared" si="13"/>
        <v>297078.27943376196</v>
      </c>
      <c r="AO38" s="206">
        <f>IF(AND($A38&gt;=SYear72,$A38&lt;=EYear72),(AM38-Data_72_15!AM39)/(1+Data_72_15!AM39%),"")</f>
        <v>25.885002170374374</v>
      </c>
      <c r="AP38" s="606">
        <f t="shared" si="14"/>
        <v>66250.229434224821</v>
      </c>
      <c r="AQ38" s="143">
        <f t="shared" si="15"/>
        <v>24.676306179019168</v>
      </c>
      <c r="AR38" s="143">
        <f>IF(AND($A38&gt;=SYear72,$A38&lt;=EYear72),MAX($AQ$7:AQ38),"")</f>
        <v>26.225544990057376</v>
      </c>
      <c r="AS38" s="209">
        <f t="shared" si="16"/>
        <v>5.9073655537970948E-2</v>
      </c>
      <c r="AU38" s="143">
        <f>IF(AND($A38&gt;=SYear72,$A38&lt;=EYear72),Data_72_15!V39,"")</f>
        <v>0.82</v>
      </c>
      <c r="AV38" s="143">
        <f>IF(AND($A38&gt;=SYear72,$A38&lt;=EYear72),Data_72_15!AM39,"")</f>
        <v>1.8794914317302513</v>
      </c>
      <c r="AW38" s="143">
        <f t="shared" si="17"/>
        <v>-1.0399457406402739</v>
      </c>
      <c r="AZ38" s="61">
        <f t="shared" si="1"/>
        <v>0.28251000000000004</v>
      </c>
      <c r="BA38" s="61">
        <f t="shared" si="2"/>
        <v>0.16216432042514106</v>
      </c>
      <c r="BB38" s="61">
        <f t="shared" si="3"/>
        <v>0.1485067292344775</v>
      </c>
      <c r="BC38" s="61">
        <f t="shared" si="4"/>
        <v>8.434560784525913E-2</v>
      </c>
      <c r="BD38" s="61"/>
      <c r="BG38" s="61">
        <f t="shared" si="6"/>
        <v>0.25885002170374372</v>
      </c>
      <c r="BH38" s="61">
        <f t="shared" si="7"/>
        <v>0.12998331005459574</v>
      </c>
      <c r="BI38" s="61">
        <f t="shared" si="8"/>
        <v>0.11471157223778405</v>
      </c>
      <c r="BJ38" s="61">
        <f t="shared" si="9"/>
        <v>5.8800661235925311E-2</v>
      </c>
      <c r="BK38" s="61"/>
    </row>
    <row r="39" spans="1:63">
      <c r="A39" s="204">
        <f t="shared" si="11"/>
        <v>2004</v>
      </c>
      <c r="B39" s="206">
        <f>IF(AND($A39&gt;=SYear72,$A39&lt;=EYear72,B$3&gt;0),B$3*VLOOKUP($A39,Data_72_15!$A$8:$AM$52,MATCH(B$2,Data_72_15!$B$2:$AM$2,0)+1),"")</f>
        <v>6.26</v>
      </c>
      <c r="C39" s="206" t="str">
        <f>IF(AND($A39&gt;=SYear72,$A39&lt;=EYear72,C$3&gt;0),C$3*VLOOKUP($A39,Data_72_15!$A$8:$AM$52,MATCH(C$2,Data_72_15!$B$2:$AM$2,0)+1),"")</f>
        <v/>
      </c>
      <c r="D39" s="206" t="str">
        <f>IF(AND($A39&gt;=SYear72,$A39&lt;=EYear72,D$3&gt;0),D$3*VLOOKUP($A39,Data_72_15!$A$8:$AM$52,MATCH(D$2,Data_72_15!$B$2:$AM$2,0)+1),"")</f>
        <v/>
      </c>
      <c r="E39" s="206" t="str">
        <f>IF(AND($A39&gt;=SYear72,$A39&lt;=EYear72,E$3&gt;0),E$3*VLOOKUP($A39,Data_72_15!$A$8:$AM$52,MATCH(E$2,Data_72_15!$B$2:$AM$2,0)+1),"")</f>
        <v/>
      </c>
      <c r="F39" s="206" t="str">
        <f>IF(AND($A39&gt;=SYear72,$A39&lt;=EYear72,F$3&gt;0),F$3*VLOOKUP($A39,Data_72_15!$A$8:$AM$52,MATCH(F$2,Data_72_15!$B$2:$AM$2,0)+1),"")</f>
        <v/>
      </c>
      <c r="G39" s="206" t="str">
        <f>IF(AND($A39&gt;=SYear72,$A39&lt;=EYear72,G$3&gt;0),G$3*VLOOKUP($A39,Data_72_15!$A$8:$AM$52,MATCH(G$2,Data_72_15!$B$2:$AM$2,0)+1),"")</f>
        <v/>
      </c>
      <c r="H39" s="206" t="str">
        <f>IF(AND($A39&gt;=SYear72,$A39&lt;=EYear72,H$3&gt;0),H$3*VLOOKUP($A39,Data_72_15!$A$8:$AM$52,MATCH(H$2,Data_72_15!$B$2:$AM$2,0)+1),"")</f>
        <v/>
      </c>
      <c r="I39" s="206" t="str">
        <f>IF(AND($A39&gt;=SYear72,$A39&lt;=EYear72,I$3&gt;0),I$3*VLOOKUP($A39,Data_72_15!$A$8:$AM$52,MATCH(I$2,Data_72_15!$B$2:$AM$2,0)+1),"")</f>
        <v/>
      </c>
      <c r="J39" s="206" t="str">
        <f>IF(AND($A39&gt;=SYear72,$A39&lt;=EYear72,J$3&gt;0),J$3*VLOOKUP($A39,Data_72_15!$A$8:$AM$52,MATCH(J$2,Data_72_15!$B$2:$AM$2,0)+1),"")</f>
        <v/>
      </c>
      <c r="K39" s="206" t="str">
        <f>IF(AND($A39&gt;=SYear72,$A39&lt;=EYear72,K$3&gt;0),K$3*VLOOKUP($A39,Data_72_15!$A$8:$AM$52,MATCH(K$2,Data_72_15!$B$2:$AM$2,0)+1),"")</f>
        <v/>
      </c>
      <c r="L39" s="206" t="str">
        <f>IF(AND($A39&gt;=SYear72,$A39&lt;=EYear72,L$3&gt;0),L$3*VLOOKUP($A39,Data_72_15!$A$8:$AM$52,MATCH(L$2,Data_72_15!$B$2:$AM$2,0)+1),"")</f>
        <v/>
      </c>
      <c r="M39" s="206" t="str">
        <f>IF(AND($A39&gt;=SYear72,$A39&lt;=EYear72,M$3&gt;0),M$3*VLOOKUP($A39,Data_72_15!$A$8:$AM$52,MATCH(M$2,Data_72_15!$B$2:$AM$2,0)+1),"")</f>
        <v/>
      </c>
      <c r="N39" s="206">
        <f>IF(AND($A39&gt;=SYear72,$A39&lt;=EYear72,N$3&gt;0),N$3*VLOOKUP($A39,Data_72_15!$A$8:$AM$52,MATCH(N$2,Data_72_15!$B$2:$AM$2,0)+1),"")</f>
        <v>6.2519999999999998</v>
      </c>
      <c r="O39" s="206" t="str">
        <f>IF(AND($A39&gt;=SYear72,$A39&lt;=EYear72,O$3&gt;0),O$3*VLOOKUP($A39,Data_72_15!$A$8:$AM$52,MATCH(O$2,Data_72_15!$B$2:$AM$2,0)+1),"")</f>
        <v/>
      </c>
      <c r="P39" s="206" t="str">
        <f>IF(AND($A39&gt;=SYear72,$A39&lt;=EYear72,P$3&gt;0),P$3*VLOOKUP($A39,Data_72_15!$A$8:$AM$52,MATCH(P$2,Data_72_15!$B$2:$AM$2,0)+1),"")</f>
        <v/>
      </c>
      <c r="Q39" s="206" t="str">
        <f>IF(AND($A39&gt;=SYear72,$A39&lt;=EYear72,Q$3&gt;0),Q$3*VLOOKUP($A39,Data_72_15!$A$8:$AM$52,MATCH(Q$2,Data_72_15!$B$2:$AM$2,0)+1),"")</f>
        <v/>
      </c>
      <c r="R39" s="206" t="str">
        <f>IF(AND($A39&gt;=SYear72,$A39&lt;=EYear72,R$3&gt;0),R$3*VLOOKUP($A39,Data_72_15!$A$8:$AM$52,MATCH(R$2,Data_72_15!$B$2:$AM$2,0)+1),"")</f>
        <v/>
      </c>
      <c r="S39" s="206" t="str">
        <f>IF(AND($A39&gt;=SYear72,$A39&lt;=EYear72,S$3&gt;0),S$3*VLOOKUP($A39,Data_72_15!$A$8:$AM$52,MATCH(S$2,Data_72_15!$B$2:$AM$2,0)+1),"")</f>
        <v/>
      </c>
      <c r="T39" s="206">
        <f>IF(AND($A39&gt;=SYear72,$A39&lt;=EYear72,T$3&gt;0),T$3*VLOOKUP($A39,Data_72_15!$A$8:$AM$52,MATCH(T$2,Data_72_15!$B$2:$AM$2,0)+1),"")</f>
        <v>0.68</v>
      </c>
      <c r="U39" s="206" t="str">
        <f>IF(AND($A39&gt;=SYear72,$A39&lt;=EYear72,U$3&gt;0),U$3*VLOOKUP($A39,Data_72_15!$A$8:$AM$52,MATCH(U$2,Data_72_15!$B$2:$AM$2,0)+1),"")</f>
        <v/>
      </c>
      <c r="V39" s="206" t="str">
        <f>IF(AND($A39&gt;=SYear72,$A39&lt;=EYear72,V$3&gt;0),V$3*VLOOKUP($A39,Data_72_15!$A$8:$AM$52,MATCH(V$2,Data_72_15!$B$2:$AM$2,0)+1),"")</f>
        <v/>
      </c>
      <c r="W39" s="206" t="str">
        <f>IF(AND($A39&gt;=SYear72,$A39&lt;=EYear72,W$3&gt;0),W$3*VLOOKUP($A39,Data_72_15!$A$8:$AM$52,MATCH(W$2,Data_72_15!$B$2:$AM$2,0)+1),"")</f>
        <v/>
      </c>
      <c r="X39" s="206" t="str">
        <f>IF(AND($A39&gt;=SYear72,$A39&lt;=EYear72,X$3&gt;0),X$3*VLOOKUP($A39,Data_72_15!$A$8:$AM$52,MATCH(X$2,Data_72_15!$B$2:$AM$2,0)+1),"")</f>
        <v/>
      </c>
      <c r="Y39" s="206" t="str">
        <f>IF(AND($A39&gt;=SYear72,$A39&lt;=EYear72,Y$3&gt;0),Y$3*VLOOKUP($A39,Data_72_15!$A$8:$AM$52,MATCH(Y$2,Data_72_15!$B$2:$AM$2,0)+1),"")</f>
        <v/>
      </c>
      <c r="Z39" s="206" t="str">
        <f>IF(AND($A39&gt;=SYear72,$A39&lt;=EYear72,Z$3&gt;0),Z$3*VLOOKUP($A39,Data_72_15!$A$8:$AM$52,MATCH(Z$2,Data_72_15!$B$2:$AM$2,0)+1),"")</f>
        <v/>
      </c>
      <c r="AA39" s="206" t="str">
        <f>IF(AND($A39&gt;=SYear72,$A39&lt;=EYear72,AA$3&gt;0),AA$3*VLOOKUP($A39,Data_72_15!$A$8:$AM$52,MATCH(AA$2,Data_72_15!$B$2:$AM$2,0)+1),"")</f>
        <v/>
      </c>
      <c r="AB39" s="206" t="str">
        <f>IF(AND($A39&gt;=SYear72,$A39&lt;=EYear72,AB$3&gt;0),AB$3*VLOOKUP($A39,Data_72_15!$A$8:$AM$52,MATCH(AB$2,Data_72_15!$B$2:$AM$2,0)+1),"")</f>
        <v/>
      </c>
      <c r="AC39" s="206" t="str">
        <f>IF(AND($A39&gt;=SYear72,$A39&lt;=EYear72,AC$3&gt;0),AC$3*VLOOKUP($A39,Data_72_15!$A$8:$AM$52,MATCH(AC$2,Data_72_15!$B$2:$AM$2,0)+1),"")</f>
        <v/>
      </c>
      <c r="AD39" s="206" t="str">
        <f>IF(AND($A39&gt;=SYear72,$A39&lt;=EYear72,AD$3&gt;0),AD$3*VLOOKUP($A39,Data_72_15!$A$8:$AM$52,MATCH(AD$2,Data_72_15!$B$2:$AM$2,0)+1),"")</f>
        <v/>
      </c>
      <c r="AE39" s="206" t="str">
        <f>IF(AND($A39&gt;=SYear72,$A39&lt;=EYear72,AE$3&gt;0),AE$3*VLOOKUP($A39,Data_72_15!$A$8:$AM$52,MATCH(AE$2,Data_72_15!$B$2:$AM$2,0)+1),"")</f>
        <v/>
      </c>
      <c r="AF39" s="206" t="str">
        <f>IF(AND($A39&gt;=SYear72,$A39&lt;=EYear72,AF$3&gt;0),AF$3*VLOOKUP($A39,Data_72_15!$A$8:$AM$52,MATCH(AF$2,Data_72_15!$B$2:$AM$2,0)+1),"")</f>
        <v/>
      </c>
      <c r="AG39" s="206" t="str">
        <f>IF(AND($A39&gt;=SYear72,$A39&lt;=EYear72,AG$3&gt;0),AG$3*VLOOKUP($A39,Data_72_15!$A$8:$AM$52,MATCH(AG$2,Data_72_15!$B$2:$AM$2,0)+1),"")</f>
        <v/>
      </c>
      <c r="AH39" s="206" t="str">
        <f>IF(AND($A39&gt;=SYear72,$A39&lt;=EYear72,AH$3&gt;0),AH$3*VLOOKUP($A39,Data_72_15!$A$8:$AM$52,MATCH(AH$2,Data_72_15!$B$2:$AM$2,0)+1),"")</f>
        <v/>
      </c>
      <c r="AI39" s="206" t="str">
        <f>IF(AND($A39&gt;=SYear72,$A39&lt;=EYear72,AI$3&gt;0),AI$3*VLOOKUP($A39,Data_72_15!$A$8:$AM$52,MATCH(AI$2,Data_72_15!$B$2:$AM$2,0)+1),"")</f>
        <v/>
      </c>
      <c r="AJ39" s="206" t="str">
        <f>IF(AND($A39&gt;=SYear72,$A39&lt;=EYear72,AJ$3&gt;0),AJ$3*VLOOKUP($A39,Data_72_15!$A$8:$AM$52,MATCH(AJ$2,Data_72_15!$B$2:$AM$2,0)+1),"")</f>
        <v/>
      </c>
      <c r="AK39" s="206" t="str">
        <f>IF(AND($A39&gt;=SYear72,$A39&lt;=EYear72,AK$3&gt;0),AK$3*VLOOKUP($A39,Data_72_15!$A$8:$AM$52,MATCH(AK$2,Data_72_15!$B$2:$AM$2,0)+1),"")</f>
        <v/>
      </c>
      <c r="AL39" s="206" t="str">
        <f>IF(AND($A39&gt;=SYear72,$A39&lt;=EYear72,AL$3&gt;0),AL$3*VLOOKUP($A39,Data_72_15!$A$8:$AM$52,MATCH(AL$2,Data_72_15!$B$2:$AM$2,0)+1),"")</f>
        <v/>
      </c>
      <c r="AM39" s="206">
        <f t="shared" si="12"/>
        <v>13.192</v>
      </c>
      <c r="AN39" s="446">
        <f t="shared" si="13"/>
        <v>336268.84605666384</v>
      </c>
      <c r="AO39" s="206">
        <f>IF(AND($A39&gt;=SYear72,$A39&lt;=EYear72),(AM39-Data_72_15!AM40)/(1+Data_72_15!AM40%),"")</f>
        <v>9.6231508145034201</v>
      </c>
      <c r="AP39" s="606">
        <f t="shared" si="14"/>
        <v>72625.588927634817</v>
      </c>
      <c r="AQ39" s="143">
        <f t="shared" si="15"/>
        <v>27.931604490155376</v>
      </c>
      <c r="AR39" s="143">
        <f>IF(AND($A39&gt;=SYear72,$A39&lt;=EYear72),MAX($AQ$7:AQ39),"")</f>
        <v>27.931604490155376</v>
      </c>
      <c r="AS39" s="209">
        <f t="shared" si="16"/>
        <v>0</v>
      </c>
      <c r="AU39" s="143">
        <f>IF(AND($A39&gt;=SYear72,$A39&lt;=EYear72),Data_72_15!V40,"")</f>
        <v>1</v>
      </c>
      <c r="AV39" s="143">
        <f>IF(AND($A39&gt;=SYear72,$A39&lt;=EYear72),Data_72_15!AM40,"")</f>
        <v>3.255561584373301</v>
      </c>
      <c r="AW39" s="143">
        <f t="shared" si="17"/>
        <v>-2.1844456121912739</v>
      </c>
      <c r="AZ39" s="61">
        <f t="shared" si="1"/>
        <v>0.13192000000000004</v>
      </c>
      <c r="BA39" s="61">
        <f t="shared" si="2"/>
        <v>0.12512432979823407</v>
      </c>
      <c r="BB39" s="61">
        <f t="shared" si="3"/>
        <v>2.0158820016503487E-2</v>
      </c>
      <c r="BC39" s="61">
        <f t="shared" si="4"/>
        <v>7.7668564159214082E-2</v>
      </c>
      <c r="BD39" s="61"/>
      <c r="BG39" s="61">
        <f t="shared" si="6"/>
        <v>9.6231508145034228E-2</v>
      </c>
      <c r="BH39" s="61">
        <f t="shared" si="7"/>
        <v>9.1612685185717524E-2</v>
      </c>
      <c r="BI39" s="61">
        <f t="shared" si="8"/>
        <v>-6.347009299313755E-3</v>
      </c>
      <c r="BJ39" s="61">
        <f t="shared" si="9"/>
        <v>5.2671884673530345E-2</v>
      </c>
      <c r="BK39" s="61"/>
    </row>
    <row r="40" spans="1:63">
      <c r="A40" s="204">
        <f t="shared" si="11"/>
        <v>2005</v>
      </c>
      <c r="B40" s="206">
        <f>IF(AND($A40&gt;=SYear72,$A40&lt;=EYear72,B$3&gt;0),B$3*VLOOKUP($A40,Data_72_15!$A$8:$AM$52,MATCH(B$2,Data_72_15!$B$2:$AM$2,0)+1),"")</f>
        <v>2.99</v>
      </c>
      <c r="C40" s="206" t="str">
        <f>IF(AND($A40&gt;=SYear72,$A40&lt;=EYear72,C$3&gt;0),C$3*VLOOKUP($A40,Data_72_15!$A$8:$AM$52,MATCH(C$2,Data_72_15!$B$2:$AM$2,0)+1),"")</f>
        <v/>
      </c>
      <c r="D40" s="206" t="str">
        <f>IF(AND($A40&gt;=SYear72,$A40&lt;=EYear72,D$3&gt;0),D$3*VLOOKUP($A40,Data_72_15!$A$8:$AM$52,MATCH(D$2,Data_72_15!$B$2:$AM$2,0)+1),"")</f>
        <v/>
      </c>
      <c r="E40" s="206" t="str">
        <f>IF(AND($A40&gt;=SYear72,$A40&lt;=EYear72,E$3&gt;0),E$3*VLOOKUP($A40,Data_72_15!$A$8:$AM$52,MATCH(E$2,Data_72_15!$B$2:$AM$2,0)+1),"")</f>
        <v/>
      </c>
      <c r="F40" s="206" t="str">
        <f>IF(AND($A40&gt;=SYear72,$A40&lt;=EYear72,F$3&gt;0),F$3*VLOOKUP($A40,Data_72_15!$A$8:$AM$52,MATCH(F$2,Data_72_15!$B$2:$AM$2,0)+1),"")</f>
        <v/>
      </c>
      <c r="G40" s="206" t="str">
        <f>IF(AND($A40&gt;=SYear72,$A40&lt;=EYear72,G$3&gt;0),G$3*VLOOKUP($A40,Data_72_15!$A$8:$AM$52,MATCH(G$2,Data_72_15!$B$2:$AM$2,0)+1),"")</f>
        <v/>
      </c>
      <c r="H40" s="206" t="str">
        <f>IF(AND($A40&gt;=SYear72,$A40&lt;=EYear72,H$3&gt;0),H$3*VLOOKUP($A40,Data_72_15!$A$8:$AM$52,MATCH(H$2,Data_72_15!$B$2:$AM$2,0)+1),"")</f>
        <v/>
      </c>
      <c r="I40" s="206" t="str">
        <f>IF(AND($A40&gt;=SYear72,$A40&lt;=EYear72,I$3&gt;0),I$3*VLOOKUP($A40,Data_72_15!$A$8:$AM$52,MATCH(I$2,Data_72_15!$B$2:$AM$2,0)+1),"")</f>
        <v/>
      </c>
      <c r="J40" s="206" t="str">
        <f>IF(AND($A40&gt;=SYear72,$A40&lt;=EYear72,J$3&gt;0),J$3*VLOOKUP($A40,Data_72_15!$A$8:$AM$52,MATCH(J$2,Data_72_15!$B$2:$AM$2,0)+1),"")</f>
        <v/>
      </c>
      <c r="K40" s="206" t="str">
        <f>IF(AND($A40&gt;=SYear72,$A40&lt;=EYear72,K$3&gt;0),K$3*VLOOKUP($A40,Data_72_15!$A$8:$AM$52,MATCH(K$2,Data_72_15!$B$2:$AM$2,0)+1),"")</f>
        <v/>
      </c>
      <c r="L40" s="206" t="str">
        <f>IF(AND($A40&gt;=SYear72,$A40&lt;=EYear72,L$3&gt;0),L$3*VLOOKUP($A40,Data_72_15!$A$8:$AM$52,MATCH(L$2,Data_72_15!$B$2:$AM$2,0)+1),"")</f>
        <v/>
      </c>
      <c r="M40" s="206" t="str">
        <f>IF(AND($A40&gt;=SYear72,$A40&lt;=EYear72,M$3&gt;0),M$3*VLOOKUP($A40,Data_72_15!$A$8:$AM$52,MATCH(M$2,Data_72_15!$B$2:$AM$2,0)+1),"")</f>
        <v/>
      </c>
      <c r="N40" s="206">
        <f>IF(AND($A40&gt;=SYear72,$A40&lt;=EYear72,N$3&gt;0),N$3*VLOOKUP($A40,Data_72_15!$A$8:$AM$52,MATCH(N$2,Data_72_15!$B$2:$AM$2,0)+1),"")</f>
        <v>4.6710000000000003</v>
      </c>
      <c r="O40" s="206" t="str">
        <f>IF(AND($A40&gt;=SYear72,$A40&lt;=EYear72,O$3&gt;0),O$3*VLOOKUP($A40,Data_72_15!$A$8:$AM$52,MATCH(O$2,Data_72_15!$B$2:$AM$2,0)+1),"")</f>
        <v/>
      </c>
      <c r="P40" s="206" t="str">
        <f>IF(AND($A40&gt;=SYear72,$A40&lt;=EYear72,P$3&gt;0),P$3*VLOOKUP($A40,Data_72_15!$A$8:$AM$52,MATCH(P$2,Data_72_15!$B$2:$AM$2,0)+1),"")</f>
        <v/>
      </c>
      <c r="Q40" s="206" t="str">
        <f>IF(AND($A40&gt;=SYear72,$A40&lt;=EYear72,Q$3&gt;0),Q$3*VLOOKUP($A40,Data_72_15!$A$8:$AM$52,MATCH(Q$2,Data_72_15!$B$2:$AM$2,0)+1),"")</f>
        <v/>
      </c>
      <c r="R40" s="206" t="str">
        <f>IF(AND($A40&gt;=SYear72,$A40&lt;=EYear72,R$3&gt;0),R$3*VLOOKUP($A40,Data_72_15!$A$8:$AM$52,MATCH(R$2,Data_72_15!$B$2:$AM$2,0)+1),"")</f>
        <v/>
      </c>
      <c r="S40" s="206" t="str">
        <f>IF(AND($A40&gt;=SYear72,$A40&lt;=EYear72,S$3&gt;0),S$3*VLOOKUP($A40,Data_72_15!$A$8:$AM$52,MATCH(S$2,Data_72_15!$B$2:$AM$2,0)+1),"")</f>
        <v/>
      </c>
      <c r="T40" s="206">
        <f>IF(AND($A40&gt;=SYear72,$A40&lt;=EYear72,T$3&gt;0),T$3*VLOOKUP($A40,Data_72_15!$A$8:$AM$52,MATCH(T$2,Data_72_15!$B$2:$AM$2,0)+1),"")</f>
        <v>0.46399999999999997</v>
      </c>
      <c r="U40" s="206" t="str">
        <f>IF(AND($A40&gt;=SYear72,$A40&lt;=EYear72,U$3&gt;0),U$3*VLOOKUP($A40,Data_72_15!$A$8:$AM$52,MATCH(U$2,Data_72_15!$B$2:$AM$2,0)+1),"")</f>
        <v/>
      </c>
      <c r="V40" s="206" t="str">
        <f>IF(AND($A40&gt;=SYear72,$A40&lt;=EYear72,V$3&gt;0),V$3*VLOOKUP($A40,Data_72_15!$A$8:$AM$52,MATCH(V$2,Data_72_15!$B$2:$AM$2,0)+1),"")</f>
        <v/>
      </c>
      <c r="W40" s="206" t="str">
        <f>IF(AND($A40&gt;=SYear72,$A40&lt;=EYear72,W$3&gt;0),W$3*VLOOKUP($A40,Data_72_15!$A$8:$AM$52,MATCH(W$2,Data_72_15!$B$2:$AM$2,0)+1),"")</f>
        <v/>
      </c>
      <c r="X40" s="206" t="str">
        <f>IF(AND($A40&gt;=SYear72,$A40&lt;=EYear72,X$3&gt;0),X$3*VLOOKUP($A40,Data_72_15!$A$8:$AM$52,MATCH(X$2,Data_72_15!$B$2:$AM$2,0)+1),"")</f>
        <v/>
      </c>
      <c r="Y40" s="206" t="str">
        <f>IF(AND($A40&gt;=SYear72,$A40&lt;=EYear72,Y$3&gt;0),Y$3*VLOOKUP($A40,Data_72_15!$A$8:$AM$52,MATCH(Y$2,Data_72_15!$B$2:$AM$2,0)+1),"")</f>
        <v/>
      </c>
      <c r="Z40" s="206" t="str">
        <f>IF(AND($A40&gt;=SYear72,$A40&lt;=EYear72,Z$3&gt;0),Z$3*VLOOKUP($A40,Data_72_15!$A$8:$AM$52,MATCH(Z$2,Data_72_15!$B$2:$AM$2,0)+1),"")</f>
        <v/>
      </c>
      <c r="AA40" s="206" t="str">
        <f>IF(AND($A40&gt;=SYear72,$A40&lt;=EYear72,AA$3&gt;0),AA$3*VLOOKUP($A40,Data_72_15!$A$8:$AM$52,MATCH(AA$2,Data_72_15!$B$2:$AM$2,0)+1),"")</f>
        <v/>
      </c>
      <c r="AB40" s="206" t="str">
        <f>IF(AND($A40&gt;=SYear72,$A40&lt;=EYear72,AB$3&gt;0),AB$3*VLOOKUP($A40,Data_72_15!$A$8:$AM$52,MATCH(AB$2,Data_72_15!$B$2:$AM$2,0)+1),"")</f>
        <v/>
      </c>
      <c r="AC40" s="206" t="str">
        <f>IF(AND($A40&gt;=SYear72,$A40&lt;=EYear72,AC$3&gt;0),AC$3*VLOOKUP($A40,Data_72_15!$A$8:$AM$52,MATCH(AC$2,Data_72_15!$B$2:$AM$2,0)+1),"")</f>
        <v/>
      </c>
      <c r="AD40" s="206" t="str">
        <f>IF(AND($A40&gt;=SYear72,$A40&lt;=EYear72,AD$3&gt;0),AD$3*VLOOKUP($A40,Data_72_15!$A$8:$AM$52,MATCH(AD$2,Data_72_15!$B$2:$AM$2,0)+1),"")</f>
        <v/>
      </c>
      <c r="AE40" s="206" t="str">
        <f>IF(AND($A40&gt;=SYear72,$A40&lt;=EYear72,AE$3&gt;0),AE$3*VLOOKUP($A40,Data_72_15!$A$8:$AM$52,MATCH(AE$2,Data_72_15!$B$2:$AM$2,0)+1),"")</f>
        <v/>
      </c>
      <c r="AF40" s="206" t="str">
        <f>IF(AND($A40&gt;=SYear72,$A40&lt;=EYear72,AF$3&gt;0),AF$3*VLOOKUP($A40,Data_72_15!$A$8:$AM$52,MATCH(AF$2,Data_72_15!$B$2:$AM$2,0)+1),"")</f>
        <v/>
      </c>
      <c r="AG40" s="206" t="str">
        <f>IF(AND($A40&gt;=SYear72,$A40&lt;=EYear72,AG$3&gt;0),AG$3*VLOOKUP($A40,Data_72_15!$A$8:$AM$52,MATCH(AG$2,Data_72_15!$B$2:$AM$2,0)+1),"")</f>
        <v/>
      </c>
      <c r="AH40" s="206" t="str">
        <f>IF(AND($A40&gt;=SYear72,$A40&lt;=EYear72,AH$3&gt;0),AH$3*VLOOKUP($A40,Data_72_15!$A$8:$AM$52,MATCH(AH$2,Data_72_15!$B$2:$AM$2,0)+1),"")</f>
        <v/>
      </c>
      <c r="AI40" s="206" t="str">
        <f>IF(AND($A40&gt;=SYear72,$A40&lt;=EYear72,AI$3&gt;0),AI$3*VLOOKUP($A40,Data_72_15!$A$8:$AM$52,MATCH(AI$2,Data_72_15!$B$2:$AM$2,0)+1),"")</f>
        <v/>
      </c>
      <c r="AJ40" s="206" t="str">
        <f>IF(AND($A40&gt;=SYear72,$A40&lt;=EYear72,AJ$3&gt;0),AJ$3*VLOOKUP($A40,Data_72_15!$A$8:$AM$52,MATCH(AJ$2,Data_72_15!$B$2:$AM$2,0)+1),"")</f>
        <v/>
      </c>
      <c r="AK40" s="206" t="str">
        <f>IF(AND($A40&gt;=SYear72,$A40&lt;=EYear72,AK$3&gt;0),AK$3*VLOOKUP($A40,Data_72_15!$A$8:$AM$52,MATCH(AK$2,Data_72_15!$B$2:$AM$2,0)+1),"")</f>
        <v/>
      </c>
      <c r="AL40" s="206" t="str">
        <f>IF(AND($A40&gt;=SYear72,$A40&lt;=EYear72,AL$3&gt;0),AL$3*VLOOKUP($A40,Data_72_15!$A$8:$AM$52,MATCH(AL$2,Data_72_15!$B$2:$AM$2,0)+1),"")</f>
        <v/>
      </c>
      <c r="AM40" s="206">
        <f t="shared" si="12"/>
        <v>8.125</v>
      </c>
      <c r="AN40" s="446">
        <f t="shared" si="13"/>
        <v>363590.68979876779</v>
      </c>
      <c r="AO40" s="206">
        <f>IF(AND($A40&gt;=SYear72,$A40&lt;=EYear72),(AM40-Data_72_15!AM41)/(1+Data_72_15!AM41%),"")</f>
        <v>4.5537982723577226</v>
      </c>
      <c r="AP40" s="606">
        <f t="shared" si="14"/>
        <v>75932.811741511061</v>
      </c>
      <c r="AQ40" s="143">
        <f t="shared" si="15"/>
        <v>30.201047354980503</v>
      </c>
      <c r="AR40" s="143">
        <f>IF(AND($A40&gt;=SYear72,$A40&lt;=EYear72),MAX($AQ$7:AQ40),"")</f>
        <v>30.201047354980503</v>
      </c>
      <c r="AS40" s="209">
        <f t="shared" si="16"/>
        <v>0</v>
      </c>
      <c r="AU40" s="143">
        <f>IF(AND($A40&gt;=SYear72,$A40&lt;=EYear72),Data_72_15!V41,"")</f>
        <v>2.77</v>
      </c>
      <c r="AV40" s="143">
        <f>IF(AND($A40&gt;=SYear72,$A40&lt;=EYear72),Data_72_15!AM41,"")</f>
        <v>3.4156594850236477</v>
      </c>
      <c r="AW40" s="143">
        <f t="shared" si="17"/>
        <v>-0.62433434959349665</v>
      </c>
      <c r="AZ40" s="61">
        <f t="shared" si="1"/>
        <v>8.1250000000000044E-2</v>
      </c>
      <c r="BA40" s="61">
        <f t="shared" si="2"/>
        <v>0.11240707490889146</v>
      </c>
      <c r="BB40" s="61">
        <f t="shared" si="3"/>
        <v>4.065837319103216E-2</v>
      </c>
      <c r="BC40" s="61">
        <f t="shared" si="4"/>
        <v>7.0422135260287844E-2</v>
      </c>
      <c r="BD40" s="61"/>
      <c r="BG40" s="61">
        <f t="shared" si="6"/>
        <v>4.553798272357712E-2</v>
      </c>
      <c r="BH40" s="61">
        <f t="shared" si="7"/>
        <v>7.641256535230645E-2</v>
      </c>
      <c r="BI40" s="61">
        <f t="shared" si="8"/>
        <v>1.4672058413029543E-2</v>
      </c>
      <c r="BJ40" s="61">
        <f t="shared" si="9"/>
        <v>4.8158429478033948E-2</v>
      </c>
      <c r="BK40" s="61"/>
    </row>
    <row r="41" spans="1:63">
      <c r="A41" s="204">
        <f t="shared" si="11"/>
        <v>2006</v>
      </c>
      <c r="B41" s="206">
        <f>IF(AND($A41&gt;=SYear72,$A41&lt;=EYear72,B$3&gt;0),B$3*VLOOKUP($A41,Data_72_15!$A$8:$AM$52,MATCH(B$2,Data_72_15!$B$2:$AM$2,0)+1),"")</f>
        <v>7.7549999999999999</v>
      </c>
      <c r="C41" s="206" t="str">
        <f>IF(AND($A41&gt;=SYear72,$A41&lt;=EYear72,C$3&gt;0),C$3*VLOOKUP($A41,Data_72_15!$A$8:$AM$52,MATCH(C$2,Data_72_15!$B$2:$AM$2,0)+1),"")</f>
        <v/>
      </c>
      <c r="D41" s="206" t="str">
        <f>IF(AND($A41&gt;=SYear72,$A41&lt;=EYear72,D$3&gt;0),D$3*VLOOKUP($A41,Data_72_15!$A$8:$AM$52,MATCH(D$2,Data_72_15!$B$2:$AM$2,0)+1),"")</f>
        <v/>
      </c>
      <c r="E41" s="206" t="str">
        <f>IF(AND($A41&gt;=SYear72,$A41&lt;=EYear72,E$3&gt;0),E$3*VLOOKUP($A41,Data_72_15!$A$8:$AM$52,MATCH(E$2,Data_72_15!$B$2:$AM$2,0)+1),"")</f>
        <v/>
      </c>
      <c r="F41" s="206" t="str">
        <f>IF(AND($A41&gt;=SYear72,$A41&lt;=EYear72,F$3&gt;0),F$3*VLOOKUP($A41,Data_72_15!$A$8:$AM$52,MATCH(F$2,Data_72_15!$B$2:$AM$2,0)+1),"")</f>
        <v/>
      </c>
      <c r="G41" s="206" t="str">
        <f>IF(AND($A41&gt;=SYear72,$A41&lt;=EYear72,G$3&gt;0),G$3*VLOOKUP($A41,Data_72_15!$A$8:$AM$52,MATCH(G$2,Data_72_15!$B$2:$AM$2,0)+1),"")</f>
        <v/>
      </c>
      <c r="H41" s="206" t="str">
        <f>IF(AND($A41&gt;=SYear72,$A41&lt;=EYear72,H$3&gt;0),H$3*VLOOKUP($A41,Data_72_15!$A$8:$AM$52,MATCH(H$2,Data_72_15!$B$2:$AM$2,0)+1),"")</f>
        <v/>
      </c>
      <c r="I41" s="206" t="str">
        <f>IF(AND($A41&gt;=SYear72,$A41&lt;=EYear72,I$3&gt;0),I$3*VLOOKUP($A41,Data_72_15!$A$8:$AM$52,MATCH(I$2,Data_72_15!$B$2:$AM$2,0)+1),"")</f>
        <v/>
      </c>
      <c r="J41" s="206" t="str">
        <f>IF(AND($A41&gt;=SYear72,$A41&lt;=EYear72,J$3&gt;0),J$3*VLOOKUP($A41,Data_72_15!$A$8:$AM$52,MATCH(J$2,Data_72_15!$B$2:$AM$2,0)+1),"")</f>
        <v/>
      </c>
      <c r="K41" s="206" t="str">
        <f>IF(AND($A41&gt;=SYear72,$A41&lt;=EYear72,K$3&gt;0),K$3*VLOOKUP($A41,Data_72_15!$A$8:$AM$52,MATCH(K$2,Data_72_15!$B$2:$AM$2,0)+1),"")</f>
        <v/>
      </c>
      <c r="L41" s="206" t="str">
        <f>IF(AND($A41&gt;=SYear72,$A41&lt;=EYear72,L$3&gt;0),L$3*VLOOKUP($A41,Data_72_15!$A$8:$AM$52,MATCH(L$2,Data_72_15!$B$2:$AM$2,0)+1),"")</f>
        <v/>
      </c>
      <c r="M41" s="206" t="str">
        <f>IF(AND($A41&gt;=SYear72,$A41&lt;=EYear72,M$3&gt;0),M$3*VLOOKUP($A41,Data_72_15!$A$8:$AM$52,MATCH(M$2,Data_72_15!$B$2:$AM$2,0)+1),"")</f>
        <v/>
      </c>
      <c r="N41" s="206">
        <f>IF(AND($A41&gt;=SYear72,$A41&lt;=EYear72,N$3&gt;0),N$3*VLOOKUP($A41,Data_72_15!$A$8:$AM$52,MATCH(N$2,Data_72_15!$B$2:$AM$2,0)+1),"")</f>
        <v>7.992</v>
      </c>
      <c r="O41" s="206" t="str">
        <f>IF(AND($A41&gt;=SYear72,$A41&lt;=EYear72,O$3&gt;0),O$3*VLOOKUP($A41,Data_72_15!$A$8:$AM$52,MATCH(O$2,Data_72_15!$B$2:$AM$2,0)+1),"")</f>
        <v/>
      </c>
      <c r="P41" s="206" t="str">
        <f>IF(AND($A41&gt;=SYear72,$A41&lt;=EYear72,P$3&gt;0),P$3*VLOOKUP($A41,Data_72_15!$A$8:$AM$52,MATCH(P$2,Data_72_15!$B$2:$AM$2,0)+1),"")</f>
        <v/>
      </c>
      <c r="Q41" s="206" t="str">
        <f>IF(AND($A41&gt;=SYear72,$A41&lt;=EYear72,Q$3&gt;0),Q$3*VLOOKUP($A41,Data_72_15!$A$8:$AM$52,MATCH(Q$2,Data_72_15!$B$2:$AM$2,0)+1),"")</f>
        <v/>
      </c>
      <c r="R41" s="206" t="str">
        <f>IF(AND($A41&gt;=SYear72,$A41&lt;=EYear72,R$3&gt;0),R$3*VLOOKUP($A41,Data_72_15!$A$8:$AM$52,MATCH(R$2,Data_72_15!$B$2:$AM$2,0)+1),"")</f>
        <v/>
      </c>
      <c r="S41" s="206" t="str">
        <f>IF(AND($A41&gt;=SYear72,$A41&lt;=EYear72,S$3&gt;0),S$3*VLOOKUP($A41,Data_72_15!$A$8:$AM$52,MATCH(S$2,Data_72_15!$B$2:$AM$2,0)+1),"")</f>
        <v/>
      </c>
      <c r="T41" s="206">
        <f>IF(AND($A41&gt;=SYear72,$A41&lt;=EYear72,T$3&gt;0),T$3*VLOOKUP($A41,Data_72_15!$A$8:$AM$52,MATCH(T$2,Data_72_15!$B$2:$AM$2,0)+1),"")</f>
        <v>0.62800000000000011</v>
      </c>
      <c r="U41" s="206" t="str">
        <f>IF(AND($A41&gt;=SYear72,$A41&lt;=EYear72,U$3&gt;0),U$3*VLOOKUP($A41,Data_72_15!$A$8:$AM$52,MATCH(U$2,Data_72_15!$B$2:$AM$2,0)+1),"")</f>
        <v/>
      </c>
      <c r="V41" s="206" t="str">
        <f>IF(AND($A41&gt;=SYear72,$A41&lt;=EYear72,V$3&gt;0),V$3*VLOOKUP($A41,Data_72_15!$A$8:$AM$52,MATCH(V$2,Data_72_15!$B$2:$AM$2,0)+1),"")</f>
        <v/>
      </c>
      <c r="W41" s="206" t="str">
        <f>IF(AND($A41&gt;=SYear72,$A41&lt;=EYear72,W$3&gt;0),W$3*VLOOKUP($A41,Data_72_15!$A$8:$AM$52,MATCH(W$2,Data_72_15!$B$2:$AM$2,0)+1),"")</f>
        <v/>
      </c>
      <c r="X41" s="206" t="str">
        <f>IF(AND($A41&gt;=SYear72,$A41&lt;=EYear72,X$3&gt;0),X$3*VLOOKUP($A41,Data_72_15!$A$8:$AM$52,MATCH(X$2,Data_72_15!$B$2:$AM$2,0)+1),"")</f>
        <v/>
      </c>
      <c r="Y41" s="206" t="str">
        <f>IF(AND($A41&gt;=SYear72,$A41&lt;=EYear72,Y$3&gt;0),Y$3*VLOOKUP($A41,Data_72_15!$A$8:$AM$52,MATCH(Y$2,Data_72_15!$B$2:$AM$2,0)+1),"")</f>
        <v/>
      </c>
      <c r="Z41" s="206" t="str">
        <f>IF(AND($A41&gt;=SYear72,$A41&lt;=EYear72,Z$3&gt;0),Z$3*VLOOKUP($A41,Data_72_15!$A$8:$AM$52,MATCH(Z$2,Data_72_15!$B$2:$AM$2,0)+1),"")</f>
        <v/>
      </c>
      <c r="AA41" s="206" t="str">
        <f>IF(AND($A41&gt;=SYear72,$A41&lt;=EYear72,AA$3&gt;0),AA$3*VLOOKUP($A41,Data_72_15!$A$8:$AM$52,MATCH(AA$2,Data_72_15!$B$2:$AM$2,0)+1),"")</f>
        <v/>
      </c>
      <c r="AB41" s="206" t="str">
        <f>IF(AND($A41&gt;=SYear72,$A41&lt;=EYear72,AB$3&gt;0),AB$3*VLOOKUP($A41,Data_72_15!$A$8:$AM$52,MATCH(AB$2,Data_72_15!$B$2:$AM$2,0)+1),"")</f>
        <v/>
      </c>
      <c r="AC41" s="206" t="str">
        <f>IF(AND($A41&gt;=SYear72,$A41&lt;=EYear72,AC$3&gt;0),AC$3*VLOOKUP($A41,Data_72_15!$A$8:$AM$52,MATCH(AC$2,Data_72_15!$B$2:$AM$2,0)+1),"")</f>
        <v/>
      </c>
      <c r="AD41" s="206" t="str">
        <f>IF(AND($A41&gt;=SYear72,$A41&lt;=EYear72,AD$3&gt;0),AD$3*VLOOKUP($A41,Data_72_15!$A$8:$AM$52,MATCH(AD$2,Data_72_15!$B$2:$AM$2,0)+1),"")</f>
        <v/>
      </c>
      <c r="AE41" s="206" t="str">
        <f>IF(AND($A41&gt;=SYear72,$A41&lt;=EYear72,AE$3&gt;0),AE$3*VLOOKUP($A41,Data_72_15!$A$8:$AM$52,MATCH(AE$2,Data_72_15!$B$2:$AM$2,0)+1),"")</f>
        <v/>
      </c>
      <c r="AF41" s="206" t="str">
        <f>IF(AND($A41&gt;=SYear72,$A41&lt;=EYear72,AF$3&gt;0),AF$3*VLOOKUP($A41,Data_72_15!$A$8:$AM$52,MATCH(AF$2,Data_72_15!$B$2:$AM$2,0)+1),"")</f>
        <v/>
      </c>
      <c r="AG41" s="206" t="str">
        <f>IF(AND($A41&gt;=SYear72,$A41&lt;=EYear72,AG$3&gt;0),AG$3*VLOOKUP($A41,Data_72_15!$A$8:$AM$52,MATCH(AG$2,Data_72_15!$B$2:$AM$2,0)+1),"")</f>
        <v/>
      </c>
      <c r="AH41" s="206" t="str">
        <f>IF(AND($A41&gt;=SYear72,$A41&lt;=EYear72,AH$3&gt;0),AH$3*VLOOKUP($A41,Data_72_15!$A$8:$AM$52,MATCH(AH$2,Data_72_15!$B$2:$AM$2,0)+1),"")</f>
        <v/>
      </c>
      <c r="AI41" s="206" t="str">
        <f>IF(AND($A41&gt;=SYear72,$A41&lt;=EYear72,AI$3&gt;0),AI$3*VLOOKUP($A41,Data_72_15!$A$8:$AM$52,MATCH(AI$2,Data_72_15!$B$2:$AM$2,0)+1),"")</f>
        <v/>
      </c>
      <c r="AJ41" s="206" t="str">
        <f>IF(AND($A41&gt;=SYear72,$A41&lt;=EYear72,AJ$3&gt;0),AJ$3*VLOOKUP($A41,Data_72_15!$A$8:$AM$52,MATCH(AJ$2,Data_72_15!$B$2:$AM$2,0)+1),"")</f>
        <v/>
      </c>
      <c r="AK41" s="206" t="str">
        <f>IF(AND($A41&gt;=SYear72,$A41&lt;=EYear72,AK$3&gt;0),AK$3*VLOOKUP($A41,Data_72_15!$A$8:$AM$52,MATCH(AK$2,Data_72_15!$B$2:$AM$2,0)+1),"")</f>
        <v/>
      </c>
      <c r="AL41" s="206" t="str">
        <f>IF(AND($A41&gt;=SYear72,$A41&lt;=EYear72,AL$3&gt;0),AL$3*VLOOKUP($A41,Data_72_15!$A$8:$AM$52,MATCH(AL$2,Data_72_15!$B$2:$AM$2,0)+1),"")</f>
        <v/>
      </c>
      <c r="AM41" s="206">
        <f t="shared" si="12"/>
        <v>16.375</v>
      </c>
      <c r="AN41" s="446">
        <f t="shared" si="13"/>
        <v>423128.66525331605</v>
      </c>
      <c r="AO41" s="206">
        <f>IF(AND($A41&gt;=SYear72,$A41&lt;=EYear72),(AM41-Data_72_15!AM42)/(1+Data_72_15!AM42%),"")</f>
        <v>13.49157581764123</v>
      </c>
      <c r="AP41" s="606">
        <f t="shared" si="14"/>
        <v>86177.344608083804</v>
      </c>
      <c r="AQ41" s="143">
        <f t="shared" si="15"/>
        <v>35.146468859358563</v>
      </c>
      <c r="AR41" s="143">
        <f>IF(AND($A41&gt;=SYear72,$A41&lt;=EYear72),MAX($AQ$7:AQ41),"")</f>
        <v>35.146468859358563</v>
      </c>
      <c r="AS41" s="209">
        <f t="shared" si="16"/>
        <v>0</v>
      </c>
      <c r="AU41" s="143">
        <f>IF(AND($A41&gt;=SYear72,$A41&lt;=EYear72),Data_72_15!V42,"")</f>
        <v>4.55</v>
      </c>
      <c r="AV41" s="143">
        <f>IF(AND($A41&gt;=SYear72,$A41&lt;=EYear72),Data_72_15!AM42,"")</f>
        <v>2.5406504065040636</v>
      </c>
      <c r="AW41" s="143">
        <f t="shared" si="17"/>
        <v>1.9595639246779002</v>
      </c>
      <c r="AZ41" s="61">
        <f t="shared" si="1"/>
        <v>0.16375000000000006</v>
      </c>
      <c r="BA41" s="61">
        <f t="shared" si="2"/>
        <v>-3.3506294729317099E-2</v>
      </c>
      <c r="BB41" s="61">
        <f t="shared" si="3"/>
        <v>5.0528962140239386E-2</v>
      </c>
      <c r="BC41" s="61">
        <f t="shared" si="4"/>
        <v>6.1169434514457777E-2</v>
      </c>
      <c r="BD41" s="61"/>
      <c r="BG41" s="61">
        <f t="shared" si="6"/>
        <v>0.13491575817641221</v>
      </c>
      <c r="BH41" s="61">
        <f t="shared" si="7"/>
        <v>-5.4538442798760745E-2</v>
      </c>
      <c r="BI41" s="61">
        <f t="shared" si="8"/>
        <v>2.8142378774211441E-2</v>
      </c>
      <c r="BJ41" s="61">
        <f t="shared" si="9"/>
        <v>4.1836423197797012E-2</v>
      </c>
      <c r="BK41" s="61"/>
    </row>
    <row r="42" spans="1:63">
      <c r="A42" s="204">
        <f t="shared" si="11"/>
        <v>2007</v>
      </c>
      <c r="B42" s="206">
        <f>IF(AND($A42&gt;=SYear72,$A42&lt;=EYear72,B$3&gt;0),B$3*VLOOKUP($A42,Data_72_15!$A$8:$AM$52,MATCH(B$2,Data_72_15!$B$2:$AM$2,0)+1),"")</f>
        <v>2.7450000000000001</v>
      </c>
      <c r="C42" s="206" t="str">
        <f>IF(AND($A42&gt;=SYear72,$A42&lt;=EYear72,C$3&gt;0),C$3*VLOOKUP($A42,Data_72_15!$A$8:$AM$52,MATCH(C$2,Data_72_15!$B$2:$AM$2,0)+1),"")</f>
        <v/>
      </c>
      <c r="D42" s="206" t="str">
        <f>IF(AND($A42&gt;=SYear72,$A42&lt;=EYear72,D$3&gt;0),D$3*VLOOKUP($A42,Data_72_15!$A$8:$AM$52,MATCH(D$2,Data_72_15!$B$2:$AM$2,0)+1),"")</f>
        <v/>
      </c>
      <c r="E42" s="206" t="str">
        <f>IF(AND($A42&gt;=SYear72,$A42&lt;=EYear72,E$3&gt;0),E$3*VLOOKUP($A42,Data_72_15!$A$8:$AM$52,MATCH(E$2,Data_72_15!$B$2:$AM$2,0)+1),"")</f>
        <v/>
      </c>
      <c r="F42" s="206" t="str">
        <f>IF(AND($A42&gt;=SYear72,$A42&lt;=EYear72,F$3&gt;0),F$3*VLOOKUP($A42,Data_72_15!$A$8:$AM$52,MATCH(F$2,Data_72_15!$B$2:$AM$2,0)+1),"")</f>
        <v/>
      </c>
      <c r="G42" s="206" t="str">
        <f>IF(AND($A42&gt;=SYear72,$A42&lt;=EYear72,G$3&gt;0),G$3*VLOOKUP($A42,Data_72_15!$A$8:$AM$52,MATCH(G$2,Data_72_15!$B$2:$AM$2,0)+1),"")</f>
        <v/>
      </c>
      <c r="H42" s="206" t="str">
        <f>IF(AND($A42&gt;=SYear72,$A42&lt;=EYear72,H$3&gt;0),H$3*VLOOKUP($A42,Data_72_15!$A$8:$AM$52,MATCH(H$2,Data_72_15!$B$2:$AM$2,0)+1),"")</f>
        <v/>
      </c>
      <c r="I42" s="206" t="str">
        <f>IF(AND($A42&gt;=SYear72,$A42&lt;=EYear72,I$3&gt;0),I$3*VLOOKUP($A42,Data_72_15!$A$8:$AM$52,MATCH(I$2,Data_72_15!$B$2:$AM$2,0)+1),"")</f>
        <v/>
      </c>
      <c r="J42" s="206" t="str">
        <f>IF(AND($A42&gt;=SYear72,$A42&lt;=EYear72,J$3&gt;0),J$3*VLOOKUP($A42,Data_72_15!$A$8:$AM$52,MATCH(J$2,Data_72_15!$B$2:$AM$2,0)+1),"")</f>
        <v/>
      </c>
      <c r="K42" s="206" t="str">
        <f>IF(AND($A42&gt;=SYear72,$A42&lt;=EYear72,K$3&gt;0),K$3*VLOOKUP($A42,Data_72_15!$A$8:$AM$52,MATCH(K$2,Data_72_15!$B$2:$AM$2,0)+1),"")</f>
        <v/>
      </c>
      <c r="L42" s="206" t="str">
        <f>IF(AND($A42&gt;=SYear72,$A42&lt;=EYear72,L$3&gt;0),L$3*VLOOKUP($A42,Data_72_15!$A$8:$AM$52,MATCH(L$2,Data_72_15!$B$2:$AM$2,0)+1),"")</f>
        <v/>
      </c>
      <c r="M42" s="206" t="str">
        <f>IF(AND($A42&gt;=SYear72,$A42&lt;=EYear72,M$3&gt;0),M$3*VLOOKUP($A42,Data_72_15!$A$8:$AM$52,MATCH(M$2,Data_72_15!$B$2:$AM$2,0)+1),"")</f>
        <v/>
      </c>
      <c r="N42" s="206">
        <f>IF(AND($A42&gt;=SYear72,$A42&lt;=EYear72,N$3&gt;0),N$3*VLOOKUP($A42,Data_72_15!$A$8:$AM$52,MATCH(N$2,Data_72_15!$B$2:$AM$2,0)+1),"")</f>
        <v>4.6559999999999997</v>
      </c>
      <c r="O42" s="206" t="str">
        <f>IF(AND($A42&gt;=SYear72,$A42&lt;=EYear72,O$3&gt;0),O$3*VLOOKUP($A42,Data_72_15!$A$8:$AM$52,MATCH(O$2,Data_72_15!$B$2:$AM$2,0)+1),"")</f>
        <v/>
      </c>
      <c r="P42" s="206" t="str">
        <f>IF(AND($A42&gt;=SYear72,$A42&lt;=EYear72,P$3&gt;0),P$3*VLOOKUP($A42,Data_72_15!$A$8:$AM$52,MATCH(P$2,Data_72_15!$B$2:$AM$2,0)+1),"")</f>
        <v/>
      </c>
      <c r="Q42" s="206" t="str">
        <f>IF(AND($A42&gt;=SYear72,$A42&lt;=EYear72,Q$3&gt;0),Q$3*VLOOKUP($A42,Data_72_15!$A$8:$AM$52,MATCH(Q$2,Data_72_15!$B$2:$AM$2,0)+1),"")</f>
        <v/>
      </c>
      <c r="R42" s="206" t="str">
        <f>IF(AND($A42&gt;=SYear72,$A42&lt;=EYear72,R$3&gt;0),R$3*VLOOKUP($A42,Data_72_15!$A$8:$AM$52,MATCH(R$2,Data_72_15!$B$2:$AM$2,0)+1),"")</f>
        <v/>
      </c>
      <c r="S42" s="206" t="str">
        <f>IF(AND($A42&gt;=SYear72,$A42&lt;=EYear72,S$3&gt;0),S$3*VLOOKUP($A42,Data_72_15!$A$8:$AM$52,MATCH(S$2,Data_72_15!$B$2:$AM$2,0)+1),"")</f>
        <v/>
      </c>
      <c r="T42" s="206">
        <f>IF(AND($A42&gt;=SYear72,$A42&lt;=EYear72,T$3&gt;0),T$3*VLOOKUP($A42,Data_72_15!$A$8:$AM$52,MATCH(T$2,Data_72_15!$B$2:$AM$2,0)+1),"")</f>
        <v>1.9960000000000002</v>
      </c>
      <c r="U42" s="206" t="str">
        <f>IF(AND($A42&gt;=SYear72,$A42&lt;=EYear72,U$3&gt;0),U$3*VLOOKUP($A42,Data_72_15!$A$8:$AM$52,MATCH(U$2,Data_72_15!$B$2:$AM$2,0)+1),"")</f>
        <v/>
      </c>
      <c r="V42" s="206" t="str">
        <f>IF(AND($A42&gt;=SYear72,$A42&lt;=EYear72,V$3&gt;0),V$3*VLOOKUP($A42,Data_72_15!$A$8:$AM$52,MATCH(V$2,Data_72_15!$B$2:$AM$2,0)+1),"")</f>
        <v/>
      </c>
      <c r="W42" s="206" t="str">
        <f>IF(AND($A42&gt;=SYear72,$A42&lt;=EYear72,W$3&gt;0),W$3*VLOOKUP($A42,Data_72_15!$A$8:$AM$52,MATCH(W$2,Data_72_15!$B$2:$AM$2,0)+1),"")</f>
        <v/>
      </c>
      <c r="X42" s="206" t="str">
        <f>IF(AND($A42&gt;=SYear72,$A42&lt;=EYear72,X$3&gt;0),X$3*VLOOKUP($A42,Data_72_15!$A$8:$AM$52,MATCH(X$2,Data_72_15!$B$2:$AM$2,0)+1),"")</f>
        <v/>
      </c>
      <c r="Y42" s="206" t="str">
        <f>IF(AND($A42&gt;=SYear72,$A42&lt;=EYear72,Y$3&gt;0),Y$3*VLOOKUP($A42,Data_72_15!$A$8:$AM$52,MATCH(Y$2,Data_72_15!$B$2:$AM$2,0)+1),"")</f>
        <v/>
      </c>
      <c r="Z42" s="206" t="str">
        <f>IF(AND($A42&gt;=SYear72,$A42&lt;=EYear72,Z$3&gt;0),Z$3*VLOOKUP($A42,Data_72_15!$A$8:$AM$52,MATCH(Z$2,Data_72_15!$B$2:$AM$2,0)+1),"")</f>
        <v/>
      </c>
      <c r="AA42" s="206" t="str">
        <f>IF(AND($A42&gt;=SYear72,$A42&lt;=EYear72,AA$3&gt;0),AA$3*VLOOKUP($A42,Data_72_15!$A$8:$AM$52,MATCH(AA$2,Data_72_15!$B$2:$AM$2,0)+1),"")</f>
        <v/>
      </c>
      <c r="AB42" s="206" t="str">
        <f>IF(AND($A42&gt;=SYear72,$A42&lt;=EYear72,AB$3&gt;0),AB$3*VLOOKUP($A42,Data_72_15!$A$8:$AM$52,MATCH(AB$2,Data_72_15!$B$2:$AM$2,0)+1),"")</f>
        <v/>
      </c>
      <c r="AC42" s="206" t="str">
        <f>IF(AND($A42&gt;=SYear72,$A42&lt;=EYear72,AC$3&gt;0),AC$3*VLOOKUP($A42,Data_72_15!$A$8:$AM$52,MATCH(AC$2,Data_72_15!$B$2:$AM$2,0)+1),"")</f>
        <v/>
      </c>
      <c r="AD42" s="206" t="str">
        <f>IF(AND($A42&gt;=SYear72,$A42&lt;=EYear72,AD$3&gt;0),AD$3*VLOOKUP($A42,Data_72_15!$A$8:$AM$52,MATCH(AD$2,Data_72_15!$B$2:$AM$2,0)+1),"")</f>
        <v/>
      </c>
      <c r="AE42" s="206" t="str">
        <f>IF(AND($A42&gt;=SYear72,$A42&lt;=EYear72,AE$3&gt;0),AE$3*VLOOKUP($A42,Data_72_15!$A$8:$AM$52,MATCH(AE$2,Data_72_15!$B$2:$AM$2,0)+1),"")</f>
        <v/>
      </c>
      <c r="AF42" s="206" t="str">
        <f>IF(AND($A42&gt;=SYear72,$A42&lt;=EYear72,AF$3&gt;0),AF$3*VLOOKUP($A42,Data_72_15!$A$8:$AM$52,MATCH(AF$2,Data_72_15!$B$2:$AM$2,0)+1),"")</f>
        <v/>
      </c>
      <c r="AG42" s="206" t="str">
        <f>IF(AND($A42&gt;=SYear72,$A42&lt;=EYear72,AG$3&gt;0),AG$3*VLOOKUP($A42,Data_72_15!$A$8:$AM$52,MATCH(AG$2,Data_72_15!$B$2:$AM$2,0)+1),"")</f>
        <v/>
      </c>
      <c r="AH42" s="206" t="str">
        <f>IF(AND($A42&gt;=SYear72,$A42&lt;=EYear72,AH$3&gt;0),AH$3*VLOOKUP($A42,Data_72_15!$A$8:$AM$52,MATCH(AH$2,Data_72_15!$B$2:$AM$2,0)+1),"")</f>
        <v/>
      </c>
      <c r="AI42" s="206" t="str">
        <f>IF(AND($A42&gt;=SYear72,$A42&lt;=EYear72,AI$3&gt;0),AI$3*VLOOKUP($A42,Data_72_15!$A$8:$AM$52,MATCH(AI$2,Data_72_15!$B$2:$AM$2,0)+1),"")</f>
        <v/>
      </c>
      <c r="AJ42" s="206" t="str">
        <f>IF(AND($A42&gt;=SYear72,$A42&lt;=EYear72,AJ$3&gt;0),AJ$3*VLOOKUP($A42,Data_72_15!$A$8:$AM$52,MATCH(AJ$2,Data_72_15!$B$2:$AM$2,0)+1),"")</f>
        <v/>
      </c>
      <c r="AK42" s="206" t="str">
        <f>IF(AND($A42&gt;=SYear72,$A42&lt;=EYear72,AK$3&gt;0),AK$3*VLOOKUP($A42,Data_72_15!$A$8:$AM$52,MATCH(AK$2,Data_72_15!$B$2:$AM$2,0)+1),"")</f>
        <v/>
      </c>
      <c r="AL42" s="206" t="str">
        <f>IF(AND($A42&gt;=SYear72,$A42&lt;=EYear72,AL$3&gt;0),AL$3*VLOOKUP($A42,Data_72_15!$A$8:$AM$52,MATCH(AL$2,Data_72_15!$B$2:$AM$2,0)+1),"")</f>
        <v/>
      </c>
      <c r="AM42" s="206">
        <f t="shared" si="12"/>
        <v>9.3970000000000002</v>
      </c>
      <c r="AN42" s="446">
        <f t="shared" si="13"/>
        <v>462890.06592717022</v>
      </c>
      <c r="AO42" s="206">
        <f>IF(AND($A42&gt;=SYear72,$A42&lt;=EYear72),(AM42-Data_72_15!AM43)/(1+Data_72_15!AM43%),"")</f>
        <v>5.1072892266087822</v>
      </c>
      <c r="AP42" s="606">
        <f t="shared" si="14"/>
        <v>90578.670845030007</v>
      </c>
      <c r="AQ42" s="143">
        <f t="shared" si="15"/>
        <v>38.449182538072492</v>
      </c>
      <c r="AR42" s="143">
        <f>IF(AND($A42&gt;=SYear72,$A42&lt;=EYear72),MAX($AQ$7:AQ42),"")</f>
        <v>38.449182538072492</v>
      </c>
      <c r="AS42" s="209">
        <f t="shared" si="16"/>
        <v>0</v>
      </c>
      <c r="AU42" s="143">
        <f>IF(AND($A42&gt;=SYear72,$A42&lt;=EYear72),Data_72_15!V43,"")</f>
        <v>4.6500000000000004</v>
      </c>
      <c r="AV42" s="143">
        <f>IF(AND($A42&gt;=SYear72,$A42&lt;=EYear72),Data_72_15!AM43,"")</f>
        <v>4.0812685827551931</v>
      </c>
      <c r="AW42" s="143">
        <f t="shared" si="17"/>
        <v>0.54643013578625621</v>
      </c>
      <c r="AZ42" s="61">
        <f t="shared" si="1"/>
        <v>9.3970000000000109E-2</v>
      </c>
      <c r="BA42" s="61">
        <f t="shared" si="2"/>
        <v>-1.011433881978141E-2</v>
      </c>
      <c r="BB42" s="61">
        <f t="shared" si="3"/>
        <v>1.5184779023685202E-2</v>
      </c>
      <c r="BC42" s="61"/>
      <c r="BD42" s="61"/>
      <c r="BG42" s="61">
        <f t="shared" si="6"/>
        <v>5.107289226608791E-2</v>
      </c>
      <c r="BH42" s="61">
        <f t="shared" si="7"/>
        <v>-3.2223612660405188E-2</v>
      </c>
      <c r="BI42" s="61">
        <f t="shared" si="8"/>
        <v>-7.2639467983286465E-3</v>
      </c>
      <c r="BJ42" s="61"/>
      <c r="BK42" s="61"/>
    </row>
    <row r="43" spans="1:63">
      <c r="A43" s="204">
        <f t="shared" si="11"/>
        <v>2008</v>
      </c>
      <c r="B43" s="206">
        <f>IF(AND($A43&gt;=SYear72,$A43&lt;=EYear72,B$3&gt;0),B$3*VLOOKUP($A43,Data_72_15!$A$8:$AM$52,MATCH(B$2,Data_72_15!$B$2:$AM$2,0)+1),"")</f>
        <v>-18.52</v>
      </c>
      <c r="C43" s="206" t="str">
        <f>IF(AND($A43&gt;=SYear72,$A43&lt;=EYear72,C$3&gt;0),C$3*VLOOKUP($A43,Data_72_15!$A$8:$AM$52,MATCH(C$2,Data_72_15!$B$2:$AM$2,0)+1),"")</f>
        <v/>
      </c>
      <c r="D43" s="206" t="str">
        <f>IF(AND($A43&gt;=SYear72,$A43&lt;=EYear72,D$3&gt;0),D$3*VLOOKUP($A43,Data_72_15!$A$8:$AM$52,MATCH(D$2,Data_72_15!$B$2:$AM$2,0)+1),"")</f>
        <v/>
      </c>
      <c r="E43" s="206" t="str">
        <f>IF(AND($A43&gt;=SYear72,$A43&lt;=EYear72,E$3&gt;0),E$3*VLOOKUP($A43,Data_72_15!$A$8:$AM$52,MATCH(E$2,Data_72_15!$B$2:$AM$2,0)+1),"")</f>
        <v/>
      </c>
      <c r="F43" s="206" t="str">
        <f>IF(AND($A43&gt;=SYear72,$A43&lt;=EYear72,F$3&gt;0),F$3*VLOOKUP($A43,Data_72_15!$A$8:$AM$52,MATCH(F$2,Data_72_15!$B$2:$AM$2,0)+1),"")</f>
        <v/>
      </c>
      <c r="G43" s="206" t="str">
        <f>IF(AND($A43&gt;=SYear72,$A43&lt;=EYear72,G$3&gt;0),G$3*VLOOKUP($A43,Data_72_15!$A$8:$AM$52,MATCH(G$2,Data_72_15!$B$2:$AM$2,0)+1),"")</f>
        <v/>
      </c>
      <c r="H43" s="206" t="str">
        <f>IF(AND($A43&gt;=SYear72,$A43&lt;=EYear72,H$3&gt;0),H$3*VLOOKUP($A43,Data_72_15!$A$8:$AM$52,MATCH(H$2,Data_72_15!$B$2:$AM$2,0)+1),"")</f>
        <v/>
      </c>
      <c r="I43" s="206" t="str">
        <f>IF(AND($A43&gt;=SYear72,$A43&lt;=EYear72,I$3&gt;0),I$3*VLOOKUP($A43,Data_72_15!$A$8:$AM$52,MATCH(I$2,Data_72_15!$B$2:$AM$2,0)+1),"")</f>
        <v/>
      </c>
      <c r="J43" s="206" t="str">
        <f>IF(AND($A43&gt;=SYear72,$A43&lt;=EYear72,J$3&gt;0),J$3*VLOOKUP($A43,Data_72_15!$A$8:$AM$52,MATCH(J$2,Data_72_15!$B$2:$AM$2,0)+1),"")</f>
        <v/>
      </c>
      <c r="K43" s="206" t="str">
        <f>IF(AND($A43&gt;=SYear72,$A43&lt;=EYear72,K$3&gt;0),K$3*VLOOKUP($A43,Data_72_15!$A$8:$AM$52,MATCH(K$2,Data_72_15!$B$2:$AM$2,0)+1),"")</f>
        <v/>
      </c>
      <c r="L43" s="206" t="str">
        <f>IF(AND($A43&gt;=SYear72,$A43&lt;=EYear72,L$3&gt;0),L$3*VLOOKUP($A43,Data_72_15!$A$8:$AM$52,MATCH(L$2,Data_72_15!$B$2:$AM$2,0)+1),"")</f>
        <v/>
      </c>
      <c r="M43" s="206" t="str">
        <f>IF(AND($A43&gt;=SYear72,$A43&lt;=EYear72,M$3&gt;0),M$3*VLOOKUP($A43,Data_72_15!$A$8:$AM$52,MATCH(M$2,Data_72_15!$B$2:$AM$2,0)+1),"")</f>
        <v/>
      </c>
      <c r="N43" s="206">
        <f>IF(AND($A43&gt;=SYear72,$A43&lt;=EYear72,N$3&gt;0),N$3*VLOOKUP($A43,Data_72_15!$A$8:$AM$52,MATCH(N$2,Data_72_15!$B$2:$AM$2,0)+1),"")</f>
        <v>-13.23</v>
      </c>
      <c r="O43" s="206" t="str">
        <f>IF(AND($A43&gt;=SYear72,$A43&lt;=EYear72,O$3&gt;0),O$3*VLOOKUP($A43,Data_72_15!$A$8:$AM$52,MATCH(O$2,Data_72_15!$B$2:$AM$2,0)+1),"")</f>
        <v/>
      </c>
      <c r="P43" s="206" t="str">
        <f>IF(AND($A43&gt;=SYear72,$A43&lt;=EYear72,P$3&gt;0),P$3*VLOOKUP($A43,Data_72_15!$A$8:$AM$52,MATCH(P$2,Data_72_15!$B$2:$AM$2,0)+1),"")</f>
        <v/>
      </c>
      <c r="Q43" s="206" t="str">
        <f>IF(AND($A43&gt;=SYear72,$A43&lt;=EYear72,Q$3&gt;0),Q$3*VLOOKUP($A43,Data_72_15!$A$8:$AM$52,MATCH(Q$2,Data_72_15!$B$2:$AM$2,0)+1),"")</f>
        <v/>
      </c>
      <c r="R43" s="206" t="str">
        <f>IF(AND($A43&gt;=SYear72,$A43&lt;=EYear72,R$3&gt;0),R$3*VLOOKUP($A43,Data_72_15!$A$8:$AM$52,MATCH(R$2,Data_72_15!$B$2:$AM$2,0)+1),"")</f>
        <v/>
      </c>
      <c r="S43" s="206" t="str">
        <f>IF(AND($A43&gt;=SYear72,$A43&lt;=EYear72,S$3&gt;0),S$3*VLOOKUP($A43,Data_72_15!$A$8:$AM$52,MATCH(S$2,Data_72_15!$B$2:$AM$2,0)+1),"")</f>
        <v/>
      </c>
      <c r="T43" s="206">
        <f>IF(AND($A43&gt;=SYear72,$A43&lt;=EYear72,T$3&gt;0),T$3*VLOOKUP($A43,Data_72_15!$A$8:$AM$52,MATCH(T$2,Data_72_15!$B$2:$AM$2,0)+1),"")</f>
        <v>2.6640000000000001</v>
      </c>
      <c r="U43" s="206" t="str">
        <f>IF(AND($A43&gt;=SYear72,$A43&lt;=EYear72,U$3&gt;0),U$3*VLOOKUP($A43,Data_72_15!$A$8:$AM$52,MATCH(U$2,Data_72_15!$B$2:$AM$2,0)+1),"")</f>
        <v/>
      </c>
      <c r="V43" s="206" t="str">
        <f>IF(AND($A43&gt;=SYear72,$A43&lt;=EYear72,V$3&gt;0),V$3*VLOOKUP($A43,Data_72_15!$A$8:$AM$52,MATCH(V$2,Data_72_15!$B$2:$AM$2,0)+1),"")</f>
        <v/>
      </c>
      <c r="W43" s="206" t="str">
        <f>IF(AND($A43&gt;=SYear72,$A43&lt;=EYear72,W$3&gt;0),W$3*VLOOKUP($A43,Data_72_15!$A$8:$AM$52,MATCH(W$2,Data_72_15!$B$2:$AM$2,0)+1),"")</f>
        <v/>
      </c>
      <c r="X43" s="206" t="str">
        <f>IF(AND($A43&gt;=SYear72,$A43&lt;=EYear72,X$3&gt;0),X$3*VLOOKUP($A43,Data_72_15!$A$8:$AM$52,MATCH(X$2,Data_72_15!$B$2:$AM$2,0)+1),"")</f>
        <v/>
      </c>
      <c r="Y43" s="206" t="str">
        <f>IF(AND($A43&gt;=SYear72,$A43&lt;=EYear72,Y$3&gt;0),Y$3*VLOOKUP($A43,Data_72_15!$A$8:$AM$52,MATCH(Y$2,Data_72_15!$B$2:$AM$2,0)+1),"")</f>
        <v/>
      </c>
      <c r="Z43" s="206" t="str">
        <f>IF(AND($A43&gt;=SYear72,$A43&lt;=EYear72,Z$3&gt;0),Z$3*VLOOKUP($A43,Data_72_15!$A$8:$AM$52,MATCH(Z$2,Data_72_15!$B$2:$AM$2,0)+1),"")</f>
        <v/>
      </c>
      <c r="AA43" s="206" t="str">
        <f>IF(AND($A43&gt;=SYear72,$A43&lt;=EYear72,AA$3&gt;0),AA$3*VLOOKUP($A43,Data_72_15!$A$8:$AM$52,MATCH(AA$2,Data_72_15!$B$2:$AM$2,0)+1),"")</f>
        <v/>
      </c>
      <c r="AB43" s="206" t="str">
        <f>IF(AND($A43&gt;=SYear72,$A43&lt;=EYear72,AB$3&gt;0),AB$3*VLOOKUP($A43,Data_72_15!$A$8:$AM$52,MATCH(AB$2,Data_72_15!$B$2:$AM$2,0)+1),"")</f>
        <v/>
      </c>
      <c r="AC43" s="206" t="str">
        <f>IF(AND($A43&gt;=SYear72,$A43&lt;=EYear72,AC$3&gt;0),AC$3*VLOOKUP($A43,Data_72_15!$A$8:$AM$52,MATCH(AC$2,Data_72_15!$B$2:$AM$2,0)+1),"")</f>
        <v/>
      </c>
      <c r="AD43" s="206" t="str">
        <f>IF(AND($A43&gt;=SYear72,$A43&lt;=EYear72,AD$3&gt;0),AD$3*VLOOKUP($A43,Data_72_15!$A$8:$AM$52,MATCH(AD$2,Data_72_15!$B$2:$AM$2,0)+1),"")</f>
        <v/>
      </c>
      <c r="AE43" s="206" t="str">
        <f>IF(AND($A43&gt;=SYear72,$A43&lt;=EYear72,AE$3&gt;0),AE$3*VLOOKUP($A43,Data_72_15!$A$8:$AM$52,MATCH(AE$2,Data_72_15!$B$2:$AM$2,0)+1),"")</f>
        <v/>
      </c>
      <c r="AF43" s="206" t="str">
        <f>IF(AND($A43&gt;=SYear72,$A43&lt;=EYear72,AF$3&gt;0),AF$3*VLOOKUP($A43,Data_72_15!$A$8:$AM$52,MATCH(AF$2,Data_72_15!$B$2:$AM$2,0)+1),"")</f>
        <v/>
      </c>
      <c r="AG43" s="206" t="str">
        <f>IF(AND($A43&gt;=SYear72,$A43&lt;=EYear72,AG$3&gt;0),AG$3*VLOOKUP($A43,Data_72_15!$A$8:$AM$52,MATCH(AG$2,Data_72_15!$B$2:$AM$2,0)+1),"")</f>
        <v/>
      </c>
      <c r="AH43" s="206" t="str">
        <f>IF(AND($A43&gt;=SYear72,$A43&lt;=EYear72,AH$3&gt;0),AH$3*VLOOKUP($A43,Data_72_15!$A$8:$AM$52,MATCH(AH$2,Data_72_15!$B$2:$AM$2,0)+1),"")</f>
        <v/>
      </c>
      <c r="AI43" s="206" t="str">
        <f>IF(AND($A43&gt;=SYear72,$A43&lt;=EYear72,AI$3&gt;0),AI$3*VLOOKUP($A43,Data_72_15!$A$8:$AM$52,MATCH(AI$2,Data_72_15!$B$2:$AM$2,0)+1),"")</f>
        <v/>
      </c>
      <c r="AJ43" s="206" t="str">
        <f>IF(AND($A43&gt;=SYear72,$A43&lt;=EYear72,AJ$3&gt;0),AJ$3*VLOOKUP($A43,Data_72_15!$A$8:$AM$52,MATCH(AJ$2,Data_72_15!$B$2:$AM$2,0)+1),"")</f>
        <v/>
      </c>
      <c r="AK43" s="206" t="str">
        <f>IF(AND($A43&gt;=SYear72,$A43&lt;=EYear72,AK$3&gt;0),AK$3*VLOOKUP($A43,Data_72_15!$A$8:$AM$52,MATCH(AK$2,Data_72_15!$B$2:$AM$2,0)+1),"")</f>
        <v/>
      </c>
      <c r="AL43" s="206" t="str">
        <f>IF(AND($A43&gt;=SYear72,$A43&lt;=EYear72,AL$3&gt;0),AL$3*VLOOKUP($A43,Data_72_15!$A$8:$AM$52,MATCH(AL$2,Data_72_15!$B$2:$AM$2,0)+1),"")</f>
        <v/>
      </c>
      <c r="AM43" s="206">
        <f t="shared" si="12"/>
        <v>-29.085999999999999</v>
      </c>
      <c r="AN43" s="446">
        <f t="shared" si="13"/>
        <v>328253.86135159346</v>
      </c>
      <c r="AO43" s="206">
        <f>IF(AND($A43&gt;=SYear72,$A43&lt;=EYear72),(AM43-Data_72_15!AM44)/(1+Data_72_15!AM44%),"")</f>
        <v>-29.150765340487471</v>
      </c>
      <c r="AP43" s="606">
        <f t="shared" si="14"/>
        <v>64174.295058462769</v>
      </c>
      <c r="AQ43" s="143">
        <f t="shared" si="15"/>
        <v>27.265853305048726</v>
      </c>
      <c r="AR43" s="143">
        <f>IF(AND($A43&gt;=SYear72,$A43&lt;=EYear72),MAX($AQ$7:AQ43),"")</f>
        <v>38.449182538072492</v>
      </c>
      <c r="AS43" s="209">
        <f t="shared" si="16"/>
        <v>0.29086000000000001</v>
      </c>
      <c r="AU43" s="143">
        <f>IF(AND($A43&gt;=SYear72,$A43&lt;=EYear72),Data_72_15!V44,"")</f>
        <v>1.97</v>
      </c>
      <c r="AV43" s="143">
        <f>IF(AND($A43&gt;=SYear72,$A43&lt;=EYear72),Data_72_15!AM44,"")</f>
        <v>9.1412900645604367E-2</v>
      </c>
      <c r="AW43" s="143">
        <f t="shared" si="17"/>
        <v>1.8768713967692212</v>
      </c>
      <c r="AZ43" s="61">
        <f t="shared" si="1"/>
        <v>-0.29086000000000012</v>
      </c>
      <c r="BA43" s="61">
        <f t="shared" si="2"/>
        <v>1.670801902023733E-3</v>
      </c>
      <c r="BB43" s="61">
        <f t="shared" si="3"/>
        <v>2.3768835936226917E-2</v>
      </c>
      <c r="BC43" s="61"/>
      <c r="BD43" s="61"/>
      <c r="BG43" s="61">
        <f t="shared" si="6"/>
        <v>-0.29150765340487472</v>
      </c>
      <c r="BH43" s="61">
        <f t="shared" si="7"/>
        <v>-1.2455638315151507E-2</v>
      </c>
      <c r="BI43" s="61">
        <f t="shared" si="8"/>
        <v>5.694089981596262E-3</v>
      </c>
      <c r="BJ43" s="61"/>
      <c r="BK43" s="61"/>
    </row>
    <row r="44" spans="1:63">
      <c r="A44" s="204">
        <f t="shared" si="11"/>
        <v>2009</v>
      </c>
      <c r="B44" s="206">
        <f>IF(AND($A44&gt;=SYear72,$A44&lt;=EYear72,B$3&gt;0),B$3*VLOOKUP($A44,Data_72_15!$A$8:$AM$52,MATCH(B$2,Data_72_15!$B$2:$AM$2,0)+1),"")</f>
        <v>14.35</v>
      </c>
      <c r="C44" s="206" t="str">
        <f>IF(AND($A44&gt;=SYear72,$A44&lt;=EYear72,C$3&gt;0),C$3*VLOOKUP($A44,Data_72_15!$A$8:$AM$52,MATCH(C$2,Data_72_15!$B$2:$AM$2,0)+1),"")</f>
        <v/>
      </c>
      <c r="D44" s="206" t="str">
        <f>IF(AND($A44&gt;=SYear72,$A44&lt;=EYear72,D$3&gt;0),D$3*VLOOKUP($A44,Data_72_15!$A$8:$AM$52,MATCH(D$2,Data_72_15!$B$2:$AM$2,0)+1),"")</f>
        <v/>
      </c>
      <c r="E44" s="206" t="str">
        <f>IF(AND($A44&gt;=SYear72,$A44&lt;=EYear72,E$3&gt;0),E$3*VLOOKUP($A44,Data_72_15!$A$8:$AM$52,MATCH(E$2,Data_72_15!$B$2:$AM$2,0)+1),"")</f>
        <v/>
      </c>
      <c r="F44" s="206" t="str">
        <f>IF(AND($A44&gt;=SYear72,$A44&lt;=EYear72,F$3&gt;0),F$3*VLOOKUP($A44,Data_72_15!$A$8:$AM$52,MATCH(F$2,Data_72_15!$B$2:$AM$2,0)+1),"")</f>
        <v/>
      </c>
      <c r="G44" s="206" t="str">
        <f>IF(AND($A44&gt;=SYear72,$A44&lt;=EYear72,G$3&gt;0),G$3*VLOOKUP($A44,Data_72_15!$A$8:$AM$52,MATCH(G$2,Data_72_15!$B$2:$AM$2,0)+1),"")</f>
        <v/>
      </c>
      <c r="H44" s="206" t="str">
        <f>IF(AND($A44&gt;=SYear72,$A44&lt;=EYear72,H$3&gt;0),H$3*VLOOKUP($A44,Data_72_15!$A$8:$AM$52,MATCH(H$2,Data_72_15!$B$2:$AM$2,0)+1),"")</f>
        <v/>
      </c>
      <c r="I44" s="206" t="str">
        <f>IF(AND($A44&gt;=SYear72,$A44&lt;=EYear72,I$3&gt;0),I$3*VLOOKUP($A44,Data_72_15!$A$8:$AM$52,MATCH(I$2,Data_72_15!$B$2:$AM$2,0)+1),"")</f>
        <v/>
      </c>
      <c r="J44" s="206" t="str">
        <f>IF(AND($A44&gt;=SYear72,$A44&lt;=EYear72,J$3&gt;0),J$3*VLOOKUP($A44,Data_72_15!$A$8:$AM$52,MATCH(J$2,Data_72_15!$B$2:$AM$2,0)+1),"")</f>
        <v/>
      </c>
      <c r="K44" s="206" t="str">
        <f>IF(AND($A44&gt;=SYear72,$A44&lt;=EYear72,K$3&gt;0),K$3*VLOOKUP($A44,Data_72_15!$A$8:$AM$52,MATCH(K$2,Data_72_15!$B$2:$AM$2,0)+1),"")</f>
        <v/>
      </c>
      <c r="L44" s="206" t="str">
        <f>IF(AND($A44&gt;=SYear72,$A44&lt;=EYear72,L$3&gt;0),L$3*VLOOKUP($A44,Data_72_15!$A$8:$AM$52,MATCH(L$2,Data_72_15!$B$2:$AM$2,0)+1),"")</f>
        <v/>
      </c>
      <c r="M44" s="206" t="str">
        <f>IF(AND($A44&gt;=SYear72,$A44&lt;=EYear72,M$3&gt;0),M$3*VLOOKUP($A44,Data_72_15!$A$8:$AM$52,MATCH(M$2,Data_72_15!$B$2:$AM$2,0)+1),"")</f>
        <v/>
      </c>
      <c r="N44" s="206">
        <f>IF(AND($A44&gt;=SYear72,$A44&lt;=EYear72,N$3&gt;0),N$3*VLOOKUP($A44,Data_72_15!$A$8:$AM$52,MATCH(N$2,Data_72_15!$B$2:$AM$2,0)+1),"")</f>
        <v>11.018999999999998</v>
      </c>
      <c r="O44" s="206" t="str">
        <f>IF(AND($A44&gt;=SYear72,$A44&lt;=EYear72,O$3&gt;0),O$3*VLOOKUP($A44,Data_72_15!$A$8:$AM$52,MATCH(O$2,Data_72_15!$B$2:$AM$2,0)+1),"")</f>
        <v/>
      </c>
      <c r="P44" s="206" t="str">
        <f>IF(AND($A44&gt;=SYear72,$A44&lt;=EYear72,P$3&gt;0),P$3*VLOOKUP($A44,Data_72_15!$A$8:$AM$52,MATCH(P$2,Data_72_15!$B$2:$AM$2,0)+1),"")</f>
        <v/>
      </c>
      <c r="Q44" s="206" t="str">
        <f>IF(AND($A44&gt;=SYear72,$A44&lt;=EYear72,Q$3&gt;0),Q$3*VLOOKUP($A44,Data_72_15!$A$8:$AM$52,MATCH(Q$2,Data_72_15!$B$2:$AM$2,0)+1),"")</f>
        <v/>
      </c>
      <c r="R44" s="206" t="str">
        <f>IF(AND($A44&gt;=SYear72,$A44&lt;=EYear72,R$3&gt;0),R$3*VLOOKUP($A44,Data_72_15!$A$8:$AM$52,MATCH(R$2,Data_72_15!$B$2:$AM$2,0)+1),"")</f>
        <v/>
      </c>
      <c r="S44" s="206" t="str">
        <f>IF(AND($A44&gt;=SYear72,$A44&lt;=EYear72,S$3&gt;0),S$3*VLOOKUP($A44,Data_72_15!$A$8:$AM$52,MATCH(S$2,Data_72_15!$B$2:$AM$2,0)+1),"")</f>
        <v/>
      </c>
      <c r="T44" s="206">
        <f>IF(AND($A44&gt;=SYear72,$A44&lt;=EYear72,T$3&gt;0),T$3*VLOOKUP($A44,Data_72_15!$A$8:$AM$52,MATCH(T$2,Data_72_15!$B$2:$AM$2,0)+1),"")</f>
        <v>-0.33800000000000002</v>
      </c>
      <c r="U44" s="206" t="str">
        <f>IF(AND($A44&gt;=SYear72,$A44&lt;=EYear72,U$3&gt;0),U$3*VLOOKUP($A44,Data_72_15!$A$8:$AM$52,MATCH(U$2,Data_72_15!$B$2:$AM$2,0)+1),"")</f>
        <v/>
      </c>
      <c r="V44" s="206" t="str">
        <f>IF(AND($A44&gt;=SYear72,$A44&lt;=EYear72,V$3&gt;0),V$3*VLOOKUP($A44,Data_72_15!$A$8:$AM$52,MATCH(V$2,Data_72_15!$B$2:$AM$2,0)+1),"")</f>
        <v/>
      </c>
      <c r="W44" s="206" t="str">
        <f>IF(AND($A44&gt;=SYear72,$A44&lt;=EYear72,W$3&gt;0),W$3*VLOOKUP($A44,Data_72_15!$A$8:$AM$52,MATCH(W$2,Data_72_15!$B$2:$AM$2,0)+1),"")</f>
        <v/>
      </c>
      <c r="X44" s="206" t="str">
        <f>IF(AND($A44&gt;=SYear72,$A44&lt;=EYear72,X$3&gt;0),X$3*VLOOKUP($A44,Data_72_15!$A$8:$AM$52,MATCH(X$2,Data_72_15!$B$2:$AM$2,0)+1),"")</f>
        <v/>
      </c>
      <c r="Y44" s="206" t="str">
        <f>IF(AND($A44&gt;=SYear72,$A44&lt;=EYear72,Y$3&gt;0),Y$3*VLOOKUP($A44,Data_72_15!$A$8:$AM$52,MATCH(Y$2,Data_72_15!$B$2:$AM$2,0)+1),"")</f>
        <v/>
      </c>
      <c r="Z44" s="206" t="str">
        <f>IF(AND($A44&gt;=SYear72,$A44&lt;=EYear72,Z$3&gt;0),Z$3*VLOOKUP($A44,Data_72_15!$A$8:$AM$52,MATCH(Z$2,Data_72_15!$B$2:$AM$2,0)+1),"")</f>
        <v/>
      </c>
      <c r="AA44" s="206" t="str">
        <f>IF(AND($A44&gt;=SYear72,$A44&lt;=EYear72,AA$3&gt;0),AA$3*VLOOKUP($A44,Data_72_15!$A$8:$AM$52,MATCH(AA$2,Data_72_15!$B$2:$AM$2,0)+1),"")</f>
        <v/>
      </c>
      <c r="AB44" s="206" t="str">
        <f>IF(AND($A44&gt;=SYear72,$A44&lt;=EYear72,AB$3&gt;0),AB$3*VLOOKUP($A44,Data_72_15!$A$8:$AM$52,MATCH(AB$2,Data_72_15!$B$2:$AM$2,0)+1),"")</f>
        <v/>
      </c>
      <c r="AC44" s="206" t="str">
        <f>IF(AND($A44&gt;=SYear72,$A44&lt;=EYear72,AC$3&gt;0),AC$3*VLOOKUP($A44,Data_72_15!$A$8:$AM$52,MATCH(AC$2,Data_72_15!$B$2:$AM$2,0)+1),"")</f>
        <v/>
      </c>
      <c r="AD44" s="206" t="str">
        <f>IF(AND($A44&gt;=SYear72,$A44&lt;=EYear72,AD$3&gt;0),AD$3*VLOOKUP($A44,Data_72_15!$A$8:$AM$52,MATCH(AD$2,Data_72_15!$B$2:$AM$2,0)+1),"")</f>
        <v/>
      </c>
      <c r="AE44" s="206" t="str">
        <f>IF(AND($A44&gt;=SYear72,$A44&lt;=EYear72,AE$3&gt;0),AE$3*VLOOKUP($A44,Data_72_15!$A$8:$AM$52,MATCH(AE$2,Data_72_15!$B$2:$AM$2,0)+1),"")</f>
        <v/>
      </c>
      <c r="AF44" s="206" t="str">
        <f>IF(AND($A44&gt;=SYear72,$A44&lt;=EYear72,AF$3&gt;0),AF$3*VLOOKUP($A44,Data_72_15!$A$8:$AM$52,MATCH(AF$2,Data_72_15!$B$2:$AM$2,0)+1),"")</f>
        <v/>
      </c>
      <c r="AG44" s="206" t="str">
        <f>IF(AND($A44&gt;=SYear72,$A44&lt;=EYear72,AG$3&gt;0),AG$3*VLOOKUP($A44,Data_72_15!$A$8:$AM$52,MATCH(AG$2,Data_72_15!$B$2:$AM$2,0)+1),"")</f>
        <v/>
      </c>
      <c r="AH44" s="206" t="str">
        <f>IF(AND($A44&gt;=SYear72,$A44&lt;=EYear72,AH$3&gt;0),AH$3*VLOOKUP($A44,Data_72_15!$A$8:$AM$52,MATCH(AH$2,Data_72_15!$B$2:$AM$2,0)+1),"")</f>
        <v/>
      </c>
      <c r="AI44" s="206" t="str">
        <f>IF(AND($A44&gt;=SYear72,$A44&lt;=EYear72,AI$3&gt;0),AI$3*VLOOKUP($A44,Data_72_15!$A$8:$AM$52,MATCH(AI$2,Data_72_15!$B$2:$AM$2,0)+1),"")</f>
        <v/>
      </c>
      <c r="AJ44" s="206" t="str">
        <f>IF(AND($A44&gt;=SYear72,$A44&lt;=EYear72,AJ$3&gt;0),AJ$3*VLOOKUP($A44,Data_72_15!$A$8:$AM$52,MATCH(AJ$2,Data_72_15!$B$2:$AM$2,0)+1),"")</f>
        <v/>
      </c>
      <c r="AK44" s="206" t="str">
        <f>IF(AND($A44&gt;=SYear72,$A44&lt;=EYear72,AK$3&gt;0),AK$3*VLOOKUP($A44,Data_72_15!$A$8:$AM$52,MATCH(AK$2,Data_72_15!$B$2:$AM$2,0)+1),"")</f>
        <v/>
      </c>
      <c r="AL44" s="206" t="str">
        <f>IF(AND($A44&gt;=SYear72,$A44&lt;=EYear72,AL$3&gt;0),AL$3*VLOOKUP($A44,Data_72_15!$A$8:$AM$52,MATCH(AL$2,Data_72_15!$B$2:$AM$2,0)+1),"")</f>
        <v/>
      </c>
      <c r="AM44" s="206">
        <f t="shared" si="12"/>
        <v>25.030999999999999</v>
      </c>
      <c r="AN44" s="446">
        <f t="shared" si="13"/>
        <v>410419.08538651082</v>
      </c>
      <c r="AO44" s="206">
        <f>IF(AND($A44&gt;=SYear72,$A44&lt;=EYear72),(AM44-Data_72_15!AM45)/(1+Data_72_15!AM45%),"")</f>
        <v>21.718632955003269</v>
      </c>
      <c r="AP44" s="606">
        <f t="shared" si="14"/>
        <v>78112.074653671094</v>
      </c>
      <c r="AQ44" s="143">
        <f t="shared" si="15"/>
        <v>34.090769045835472</v>
      </c>
      <c r="AR44" s="143">
        <f>IF(AND($A44&gt;=SYear72,$A44&lt;=EYear72),MAX($AQ$7:AQ44),"")</f>
        <v>38.449182538072492</v>
      </c>
      <c r="AS44" s="209">
        <f t="shared" si="16"/>
        <v>0.1133551666</v>
      </c>
      <c r="AU44" s="143">
        <f>IF(AND($A44&gt;=SYear72,$A44&lt;=EYear72),Data_72_15!V45,"")</f>
        <v>0.53</v>
      </c>
      <c r="AV44" s="143">
        <f>IF(AND($A44&gt;=SYear72,$A44&lt;=EYear72),Data_72_15!AM45,"")</f>
        <v>2.7213311262058282</v>
      </c>
      <c r="AW44" s="143">
        <f t="shared" si="17"/>
        <v>-2.1332775794284706</v>
      </c>
      <c r="AZ44" s="61">
        <f t="shared" si="1"/>
        <v>0.25031000000000003</v>
      </c>
      <c r="BA44" s="61">
        <f t="shared" si="2"/>
        <v>0.11599615302558108</v>
      </c>
      <c r="BB44" s="61">
        <f t="shared" si="3"/>
        <v>0.13842032376703273</v>
      </c>
      <c r="BC44" s="61"/>
      <c r="BD44" s="61"/>
      <c r="BG44" s="61">
        <f t="shared" si="6"/>
        <v>0.2171863295500327</v>
      </c>
      <c r="BH44" s="61">
        <f t="shared" si="7"/>
        <v>8.9934311387648513E-2</v>
      </c>
      <c r="BI44" s="61">
        <f t="shared" si="8"/>
        <v>0.11519625780094489</v>
      </c>
      <c r="BJ44" s="61"/>
      <c r="BK44" s="61"/>
    </row>
    <row r="45" spans="1:63">
      <c r="A45" s="204">
        <f t="shared" si="11"/>
        <v>2010</v>
      </c>
      <c r="B45" s="206">
        <f>IF(AND($A45&gt;=SYear72,$A45&lt;=EYear72,B$3&gt;0),B$3*VLOOKUP($A45,Data_72_15!$A$8:$AM$52,MATCH(B$2,Data_72_15!$B$2:$AM$2,0)+1),"")</f>
        <v>8.5449999999999999</v>
      </c>
      <c r="C45" s="206" t="str">
        <f>IF(AND($A45&gt;=SYear72,$A45&lt;=EYear72,C$3&gt;0),C$3*VLOOKUP($A45,Data_72_15!$A$8:$AM$52,MATCH(C$2,Data_72_15!$B$2:$AM$2,0)+1),"")</f>
        <v/>
      </c>
      <c r="D45" s="206" t="str">
        <f>IF(AND($A45&gt;=SYear72,$A45&lt;=EYear72,D$3&gt;0),D$3*VLOOKUP($A45,Data_72_15!$A$8:$AM$52,MATCH(D$2,Data_72_15!$B$2:$AM$2,0)+1),"")</f>
        <v/>
      </c>
      <c r="E45" s="206" t="str">
        <f>IF(AND($A45&gt;=SYear72,$A45&lt;=EYear72,E$3&gt;0),E$3*VLOOKUP($A45,Data_72_15!$A$8:$AM$52,MATCH(E$2,Data_72_15!$B$2:$AM$2,0)+1),"")</f>
        <v/>
      </c>
      <c r="F45" s="206" t="str">
        <f>IF(AND($A45&gt;=SYear72,$A45&lt;=EYear72,F$3&gt;0),F$3*VLOOKUP($A45,Data_72_15!$A$8:$AM$52,MATCH(F$2,Data_72_15!$B$2:$AM$2,0)+1),"")</f>
        <v/>
      </c>
      <c r="G45" s="206" t="str">
        <f>IF(AND($A45&gt;=SYear72,$A45&lt;=EYear72,G$3&gt;0),G$3*VLOOKUP($A45,Data_72_15!$A$8:$AM$52,MATCH(G$2,Data_72_15!$B$2:$AM$2,0)+1),"")</f>
        <v/>
      </c>
      <c r="H45" s="206" t="str">
        <f>IF(AND($A45&gt;=SYear72,$A45&lt;=EYear72,H$3&gt;0),H$3*VLOOKUP($A45,Data_72_15!$A$8:$AM$52,MATCH(H$2,Data_72_15!$B$2:$AM$2,0)+1),"")</f>
        <v/>
      </c>
      <c r="I45" s="206" t="str">
        <f>IF(AND($A45&gt;=SYear72,$A45&lt;=EYear72,I$3&gt;0),I$3*VLOOKUP($A45,Data_72_15!$A$8:$AM$52,MATCH(I$2,Data_72_15!$B$2:$AM$2,0)+1),"")</f>
        <v/>
      </c>
      <c r="J45" s="206" t="str">
        <f>IF(AND($A45&gt;=SYear72,$A45&lt;=EYear72,J$3&gt;0),J$3*VLOOKUP($A45,Data_72_15!$A$8:$AM$52,MATCH(J$2,Data_72_15!$B$2:$AM$2,0)+1),"")</f>
        <v/>
      </c>
      <c r="K45" s="206" t="str">
        <f>IF(AND($A45&gt;=SYear72,$A45&lt;=EYear72,K$3&gt;0),K$3*VLOOKUP($A45,Data_72_15!$A$8:$AM$52,MATCH(K$2,Data_72_15!$B$2:$AM$2,0)+1),"")</f>
        <v/>
      </c>
      <c r="L45" s="206" t="str">
        <f>IF(AND($A45&gt;=SYear72,$A45&lt;=EYear72,L$3&gt;0),L$3*VLOOKUP($A45,Data_72_15!$A$8:$AM$52,MATCH(L$2,Data_72_15!$B$2:$AM$2,0)+1),"")</f>
        <v/>
      </c>
      <c r="M45" s="206" t="str">
        <f>IF(AND($A45&gt;=SYear72,$A45&lt;=EYear72,M$3&gt;0),M$3*VLOOKUP($A45,Data_72_15!$A$8:$AM$52,MATCH(M$2,Data_72_15!$B$2:$AM$2,0)+1),"")</f>
        <v/>
      </c>
      <c r="N45" s="206">
        <f>IF(AND($A45&gt;=SYear72,$A45&lt;=EYear72,N$3&gt;0),N$3*VLOOKUP($A45,Data_72_15!$A$8:$AM$52,MATCH(N$2,Data_72_15!$B$2:$AM$2,0)+1),"")</f>
        <v>3.3359999999999999</v>
      </c>
      <c r="O45" s="206" t="str">
        <f>IF(AND($A45&gt;=SYear72,$A45&lt;=EYear72,O$3&gt;0),O$3*VLOOKUP($A45,Data_72_15!$A$8:$AM$52,MATCH(O$2,Data_72_15!$B$2:$AM$2,0)+1),"")</f>
        <v/>
      </c>
      <c r="P45" s="206" t="str">
        <f>IF(AND($A45&gt;=SYear72,$A45&lt;=EYear72,P$3&gt;0),P$3*VLOOKUP($A45,Data_72_15!$A$8:$AM$52,MATCH(P$2,Data_72_15!$B$2:$AM$2,0)+1),"")</f>
        <v/>
      </c>
      <c r="Q45" s="206" t="str">
        <f>IF(AND($A45&gt;=SYear72,$A45&lt;=EYear72,Q$3&gt;0),Q$3*VLOOKUP($A45,Data_72_15!$A$8:$AM$52,MATCH(Q$2,Data_72_15!$B$2:$AM$2,0)+1),"")</f>
        <v/>
      </c>
      <c r="R45" s="206" t="str">
        <f>IF(AND($A45&gt;=SYear72,$A45&lt;=EYear72,R$3&gt;0),R$3*VLOOKUP($A45,Data_72_15!$A$8:$AM$52,MATCH(R$2,Data_72_15!$B$2:$AM$2,0)+1),"")</f>
        <v/>
      </c>
      <c r="S45" s="206" t="str">
        <f>IF(AND($A45&gt;=SYear72,$A45&lt;=EYear72,S$3&gt;0),S$3*VLOOKUP($A45,Data_72_15!$A$8:$AM$52,MATCH(S$2,Data_72_15!$B$2:$AM$2,0)+1),"")</f>
        <v/>
      </c>
      <c r="T45" s="206">
        <f>IF(AND($A45&gt;=SYear72,$A45&lt;=EYear72,T$3&gt;0),T$3*VLOOKUP($A45,Data_72_15!$A$8:$AM$52,MATCH(T$2,Data_72_15!$B$2:$AM$2,0)+1),"")</f>
        <v>1.47</v>
      </c>
      <c r="U45" s="206" t="str">
        <f>IF(AND($A45&gt;=SYear72,$A45&lt;=EYear72,U$3&gt;0),U$3*VLOOKUP($A45,Data_72_15!$A$8:$AM$52,MATCH(U$2,Data_72_15!$B$2:$AM$2,0)+1),"")</f>
        <v/>
      </c>
      <c r="V45" s="206" t="str">
        <f>IF(AND($A45&gt;=SYear72,$A45&lt;=EYear72,V$3&gt;0),V$3*VLOOKUP($A45,Data_72_15!$A$8:$AM$52,MATCH(V$2,Data_72_15!$B$2:$AM$2,0)+1),"")</f>
        <v/>
      </c>
      <c r="W45" s="206" t="str">
        <f>IF(AND($A45&gt;=SYear72,$A45&lt;=EYear72,W$3&gt;0),W$3*VLOOKUP($A45,Data_72_15!$A$8:$AM$52,MATCH(W$2,Data_72_15!$B$2:$AM$2,0)+1),"")</f>
        <v/>
      </c>
      <c r="X45" s="206" t="str">
        <f>IF(AND($A45&gt;=SYear72,$A45&lt;=EYear72,X$3&gt;0),X$3*VLOOKUP($A45,Data_72_15!$A$8:$AM$52,MATCH(X$2,Data_72_15!$B$2:$AM$2,0)+1),"")</f>
        <v/>
      </c>
      <c r="Y45" s="206" t="str">
        <f>IF(AND($A45&gt;=SYear72,$A45&lt;=EYear72,Y$3&gt;0),Y$3*VLOOKUP($A45,Data_72_15!$A$8:$AM$52,MATCH(Y$2,Data_72_15!$B$2:$AM$2,0)+1),"")</f>
        <v/>
      </c>
      <c r="Z45" s="206" t="str">
        <f>IF(AND($A45&gt;=SYear72,$A45&lt;=EYear72,Z$3&gt;0),Z$3*VLOOKUP($A45,Data_72_15!$A$8:$AM$52,MATCH(Z$2,Data_72_15!$B$2:$AM$2,0)+1),"")</f>
        <v/>
      </c>
      <c r="AA45" s="206" t="str">
        <f>IF(AND($A45&gt;=SYear72,$A45&lt;=EYear72,AA$3&gt;0),AA$3*VLOOKUP($A45,Data_72_15!$A$8:$AM$52,MATCH(AA$2,Data_72_15!$B$2:$AM$2,0)+1),"")</f>
        <v/>
      </c>
      <c r="AB45" s="206" t="str">
        <f>IF(AND($A45&gt;=SYear72,$A45&lt;=EYear72,AB$3&gt;0),AB$3*VLOOKUP($A45,Data_72_15!$A$8:$AM$52,MATCH(AB$2,Data_72_15!$B$2:$AM$2,0)+1),"")</f>
        <v/>
      </c>
      <c r="AC45" s="206" t="str">
        <f>IF(AND($A45&gt;=SYear72,$A45&lt;=EYear72,AC$3&gt;0),AC$3*VLOOKUP($A45,Data_72_15!$A$8:$AM$52,MATCH(AC$2,Data_72_15!$B$2:$AM$2,0)+1),"")</f>
        <v/>
      </c>
      <c r="AD45" s="206" t="str">
        <f>IF(AND($A45&gt;=SYear72,$A45&lt;=EYear72,AD$3&gt;0),AD$3*VLOOKUP($A45,Data_72_15!$A$8:$AM$52,MATCH(AD$2,Data_72_15!$B$2:$AM$2,0)+1),"")</f>
        <v/>
      </c>
      <c r="AE45" s="206" t="str">
        <f>IF(AND($A45&gt;=SYear72,$A45&lt;=EYear72,AE$3&gt;0),AE$3*VLOOKUP($A45,Data_72_15!$A$8:$AM$52,MATCH(AE$2,Data_72_15!$B$2:$AM$2,0)+1),"")</f>
        <v/>
      </c>
      <c r="AF45" s="206" t="str">
        <f>IF(AND($A45&gt;=SYear72,$A45&lt;=EYear72,AF$3&gt;0),AF$3*VLOOKUP($A45,Data_72_15!$A$8:$AM$52,MATCH(AF$2,Data_72_15!$B$2:$AM$2,0)+1),"")</f>
        <v/>
      </c>
      <c r="AG45" s="206" t="str">
        <f>IF(AND($A45&gt;=SYear72,$A45&lt;=EYear72,AG$3&gt;0),AG$3*VLOOKUP($A45,Data_72_15!$A$8:$AM$52,MATCH(AG$2,Data_72_15!$B$2:$AM$2,0)+1),"")</f>
        <v/>
      </c>
      <c r="AH45" s="206" t="str">
        <f>IF(AND($A45&gt;=SYear72,$A45&lt;=EYear72,AH$3&gt;0),AH$3*VLOOKUP($A45,Data_72_15!$A$8:$AM$52,MATCH(AH$2,Data_72_15!$B$2:$AM$2,0)+1),"")</f>
        <v/>
      </c>
      <c r="AI45" s="206" t="str">
        <f>IF(AND($A45&gt;=SYear72,$A45&lt;=EYear72,AI$3&gt;0),AI$3*VLOOKUP($A45,Data_72_15!$A$8:$AM$52,MATCH(AI$2,Data_72_15!$B$2:$AM$2,0)+1),"")</f>
        <v/>
      </c>
      <c r="AJ45" s="206" t="str">
        <f>IF(AND($A45&gt;=SYear72,$A45&lt;=EYear72,AJ$3&gt;0),AJ$3*VLOOKUP($A45,Data_72_15!$A$8:$AM$52,MATCH(AJ$2,Data_72_15!$B$2:$AM$2,0)+1),"")</f>
        <v/>
      </c>
      <c r="AK45" s="206" t="str">
        <f>IF(AND($A45&gt;=SYear72,$A45&lt;=EYear72,AK$3&gt;0),AK$3*VLOOKUP($A45,Data_72_15!$A$8:$AM$52,MATCH(AK$2,Data_72_15!$B$2:$AM$2,0)+1),"")</f>
        <v/>
      </c>
      <c r="AL45" s="206" t="str">
        <f>IF(AND($A45&gt;=SYear72,$A45&lt;=EYear72,AL$3&gt;0),AL$3*VLOOKUP($A45,Data_72_15!$A$8:$AM$52,MATCH(AL$2,Data_72_15!$B$2:$AM$2,0)+1),"")</f>
        <v/>
      </c>
      <c r="AM45" s="206">
        <f t="shared" si="12"/>
        <v>13.351000000000001</v>
      </c>
      <c r="AN45" s="446">
        <f t="shared" si="13"/>
        <v>465214.13747646386</v>
      </c>
      <c r="AO45" s="206">
        <f>IF(AND($A45&gt;=SYear72,$A45&lt;=EYear72),(AM45-Data_72_15!AM46)/(1+Data_72_15!AM46%),"")</f>
        <v>11.680567476811206</v>
      </c>
      <c r="AP45" s="606">
        <f t="shared" si="14"/>
        <v>87236.008241130286</v>
      </c>
      <c r="AQ45" s="143">
        <f t="shared" si="15"/>
        <v>38.642227621144968</v>
      </c>
      <c r="AR45" s="143">
        <f>IF(AND($A45&gt;=SYear72,$A45&lt;=EYear72),MAX($AQ$7:AQ45),"")</f>
        <v>38.642227621144968</v>
      </c>
      <c r="AS45" s="209">
        <f t="shared" si="16"/>
        <v>0</v>
      </c>
      <c r="AU45" s="143">
        <f>IF(AND($A45&gt;=SYear72,$A45&lt;=EYear72),Data_72_15!V46,"")</f>
        <v>0.01</v>
      </c>
      <c r="AV45" s="143">
        <f>IF(AND($A45&gt;=SYear72,$A45&lt;=EYear72),Data_72_15!AM46,"")</f>
        <v>1.4957235273143077</v>
      </c>
      <c r="AW45" s="143">
        <f t="shared" si="17"/>
        <v>-1.4638286970923193</v>
      </c>
      <c r="AZ45" s="61">
        <f t="shared" si="1"/>
        <v>0.13351000000000002</v>
      </c>
      <c r="BA45" s="61">
        <f t="shared" si="2"/>
        <v>8.2480162417775116E-2</v>
      </c>
      <c r="BB45" s="61">
        <f t="shared" si="3"/>
        <v>0.10103716759780523</v>
      </c>
      <c r="BC45" s="61"/>
      <c r="BD45" s="61"/>
      <c r="BG45" s="61">
        <f t="shared" si="6"/>
        <v>0.1168056747681121</v>
      </c>
      <c r="BH45" s="61">
        <f t="shared" si="7"/>
        <v>6.0585666703609098E-2</v>
      </c>
      <c r="BI45" s="61">
        <f t="shared" si="8"/>
        <v>8.274992316645724E-2</v>
      </c>
      <c r="BJ45" s="61"/>
      <c r="BK45" s="61"/>
    </row>
    <row r="46" spans="1:63">
      <c r="A46" s="204">
        <f t="shared" si="11"/>
        <v>2011</v>
      </c>
      <c r="B46" s="206">
        <f>IF(AND($A46&gt;=SYear72,$A46&lt;=EYear72,B$3&gt;0),B$3*VLOOKUP($A46,Data_72_15!$A$8:$AM$52,MATCH(B$2,Data_72_15!$B$2:$AM$2,0)+1),"")</f>
        <v>0.48</v>
      </c>
      <c r="C46" s="206" t="str">
        <f>IF(AND($A46&gt;=SYear72,$A46&lt;=EYear72,C$3&gt;0),C$3*VLOOKUP($A46,Data_72_15!$A$8:$AM$52,MATCH(C$2,Data_72_15!$B$2:$AM$2,0)+1),"")</f>
        <v/>
      </c>
      <c r="D46" s="206" t="str">
        <f>IF(AND($A46&gt;=SYear72,$A46&lt;=EYear72,D$3&gt;0),D$3*VLOOKUP($A46,Data_72_15!$A$8:$AM$52,MATCH(D$2,Data_72_15!$B$2:$AM$2,0)+1),"")</f>
        <v/>
      </c>
      <c r="E46" s="206" t="str">
        <f>IF(AND($A46&gt;=SYear72,$A46&lt;=EYear72,E$3&gt;0),E$3*VLOOKUP($A46,Data_72_15!$A$8:$AM$52,MATCH(E$2,Data_72_15!$B$2:$AM$2,0)+1),"")</f>
        <v/>
      </c>
      <c r="F46" s="206" t="str">
        <f>IF(AND($A46&gt;=SYear72,$A46&lt;=EYear72,F$3&gt;0),F$3*VLOOKUP($A46,Data_72_15!$A$8:$AM$52,MATCH(F$2,Data_72_15!$B$2:$AM$2,0)+1),"")</f>
        <v/>
      </c>
      <c r="G46" s="206" t="str">
        <f>IF(AND($A46&gt;=SYear72,$A46&lt;=EYear72,G$3&gt;0),G$3*VLOOKUP($A46,Data_72_15!$A$8:$AM$52,MATCH(G$2,Data_72_15!$B$2:$AM$2,0)+1),"")</f>
        <v/>
      </c>
      <c r="H46" s="206" t="str">
        <f>IF(AND($A46&gt;=SYear72,$A46&lt;=EYear72,H$3&gt;0),H$3*VLOOKUP($A46,Data_72_15!$A$8:$AM$52,MATCH(H$2,Data_72_15!$B$2:$AM$2,0)+1),"")</f>
        <v/>
      </c>
      <c r="I46" s="206" t="str">
        <f>IF(AND($A46&gt;=SYear72,$A46&lt;=EYear72,I$3&gt;0),I$3*VLOOKUP($A46,Data_72_15!$A$8:$AM$52,MATCH(I$2,Data_72_15!$B$2:$AM$2,0)+1),"")</f>
        <v/>
      </c>
      <c r="J46" s="206" t="str">
        <f>IF(AND($A46&gt;=SYear72,$A46&lt;=EYear72,J$3&gt;0),J$3*VLOOKUP($A46,Data_72_15!$A$8:$AM$52,MATCH(J$2,Data_72_15!$B$2:$AM$2,0)+1),"")</f>
        <v/>
      </c>
      <c r="K46" s="206" t="str">
        <f>IF(AND($A46&gt;=SYear72,$A46&lt;=EYear72,K$3&gt;0),K$3*VLOOKUP($A46,Data_72_15!$A$8:$AM$52,MATCH(K$2,Data_72_15!$B$2:$AM$2,0)+1),"")</f>
        <v/>
      </c>
      <c r="L46" s="206" t="str">
        <f>IF(AND($A46&gt;=SYear72,$A46&lt;=EYear72,L$3&gt;0),L$3*VLOOKUP($A46,Data_72_15!$A$8:$AM$52,MATCH(L$2,Data_72_15!$B$2:$AM$2,0)+1),"")</f>
        <v/>
      </c>
      <c r="M46" s="206" t="str">
        <f>IF(AND($A46&gt;=SYear72,$A46&lt;=EYear72,M$3&gt;0),M$3*VLOOKUP($A46,Data_72_15!$A$8:$AM$52,MATCH(M$2,Data_72_15!$B$2:$AM$2,0)+1),"")</f>
        <v/>
      </c>
      <c r="N46" s="206">
        <f>IF(AND($A46&gt;=SYear72,$A46&lt;=EYear72,N$3&gt;0),N$3*VLOOKUP($A46,Data_72_15!$A$8:$AM$52,MATCH(N$2,Data_72_15!$B$2:$AM$2,0)+1),"")</f>
        <v>-4.3680000000000003</v>
      </c>
      <c r="O46" s="206" t="str">
        <f>IF(AND($A46&gt;=SYear72,$A46&lt;=EYear72,O$3&gt;0),O$3*VLOOKUP($A46,Data_72_15!$A$8:$AM$52,MATCH(O$2,Data_72_15!$B$2:$AM$2,0)+1),"")</f>
        <v/>
      </c>
      <c r="P46" s="206" t="str">
        <f>IF(AND($A46&gt;=SYear72,$A46&lt;=EYear72,P$3&gt;0),P$3*VLOOKUP($A46,Data_72_15!$A$8:$AM$52,MATCH(P$2,Data_72_15!$B$2:$AM$2,0)+1),"")</f>
        <v/>
      </c>
      <c r="Q46" s="206" t="str">
        <f>IF(AND($A46&gt;=SYear72,$A46&lt;=EYear72,Q$3&gt;0),Q$3*VLOOKUP($A46,Data_72_15!$A$8:$AM$52,MATCH(Q$2,Data_72_15!$B$2:$AM$2,0)+1),"")</f>
        <v/>
      </c>
      <c r="R46" s="206" t="str">
        <f>IF(AND($A46&gt;=SYear72,$A46&lt;=EYear72,R$3&gt;0),R$3*VLOOKUP($A46,Data_72_15!$A$8:$AM$52,MATCH(R$2,Data_72_15!$B$2:$AM$2,0)+1),"")</f>
        <v/>
      </c>
      <c r="S46" s="206" t="str">
        <f>IF(AND($A46&gt;=SYear72,$A46&lt;=EYear72,S$3&gt;0),S$3*VLOOKUP($A46,Data_72_15!$A$8:$AM$52,MATCH(S$2,Data_72_15!$B$2:$AM$2,0)+1),"")</f>
        <v/>
      </c>
      <c r="T46" s="206">
        <f>IF(AND($A46&gt;=SYear72,$A46&lt;=EYear72,T$3&gt;0),T$3*VLOOKUP($A46,Data_72_15!$A$8:$AM$52,MATCH(T$2,Data_72_15!$B$2:$AM$2,0)+1),"")</f>
        <v>1.9600000000000002</v>
      </c>
      <c r="U46" s="206" t="str">
        <f>IF(AND($A46&gt;=SYear72,$A46&lt;=EYear72,U$3&gt;0),U$3*VLOOKUP($A46,Data_72_15!$A$8:$AM$52,MATCH(U$2,Data_72_15!$B$2:$AM$2,0)+1),"")</f>
        <v/>
      </c>
      <c r="V46" s="206" t="str">
        <f>IF(AND($A46&gt;=SYear72,$A46&lt;=EYear72,V$3&gt;0),V$3*VLOOKUP($A46,Data_72_15!$A$8:$AM$52,MATCH(V$2,Data_72_15!$B$2:$AM$2,0)+1),"")</f>
        <v/>
      </c>
      <c r="W46" s="206" t="str">
        <f>IF(AND($A46&gt;=SYear72,$A46&lt;=EYear72,W$3&gt;0),W$3*VLOOKUP($A46,Data_72_15!$A$8:$AM$52,MATCH(W$2,Data_72_15!$B$2:$AM$2,0)+1),"")</f>
        <v/>
      </c>
      <c r="X46" s="206" t="str">
        <f>IF(AND($A46&gt;=SYear72,$A46&lt;=EYear72,X$3&gt;0),X$3*VLOOKUP($A46,Data_72_15!$A$8:$AM$52,MATCH(X$2,Data_72_15!$B$2:$AM$2,0)+1),"")</f>
        <v/>
      </c>
      <c r="Y46" s="206" t="str">
        <f>IF(AND($A46&gt;=SYear72,$A46&lt;=EYear72,Y$3&gt;0),Y$3*VLOOKUP($A46,Data_72_15!$A$8:$AM$52,MATCH(Y$2,Data_72_15!$B$2:$AM$2,0)+1),"")</f>
        <v/>
      </c>
      <c r="Z46" s="206" t="str">
        <f>IF(AND($A46&gt;=SYear72,$A46&lt;=EYear72,Z$3&gt;0),Z$3*VLOOKUP($A46,Data_72_15!$A$8:$AM$52,MATCH(Z$2,Data_72_15!$B$2:$AM$2,0)+1),"")</f>
        <v/>
      </c>
      <c r="AA46" s="206" t="str">
        <f>IF(AND($A46&gt;=SYear72,$A46&lt;=EYear72,AA$3&gt;0),AA$3*VLOOKUP($A46,Data_72_15!$A$8:$AM$52,MATCH(AA$2,Data_72_15!$B$2:$AM$2,0)+1),"")</f>
        <v/>
      </c>
      <c r="AB46" s="206" t="str">
        <f>IF(AND($A46&gt;=SYear72,$A46&lt;=EYear72,AB$3&gt;0),AB$3*VLOOKUP($A46,Data_72_15!$A$8:$AM$52,MATCH(AB$2,Data_72_15!$B$2:$AM$2,0)+1),"")</f>
        <v/>
      </c>
      <c r="AC46" s="206" t="str">
        <f>IF(AND($A46&gt;=SYear72,$A46&lt;=EYear72,AC$3&gt;0),AC$3*VLOOKUP($A46,Data_72_15!$A$8:$AM$52,MATCH(AC$2,Data_72_15!$B$2:$AM$2,0)+1),"")</f>
        <v/>
      </c>
      <c r="AD46" s="206" t="str">
        <f>IF(AND($A46&gt;=SYear72,$A46&lt;=EYear72,AD$3&gt;0),AD$3*VLOOKUP($A46,Data_72_15!$A$8:$AM$52,MATCH(AD$2,Data_72_15!$B$2:$AM$2,0)+1),"")</f>
        <v/>
      </c>
      <c r="AE46" s="206" t="str">
        <f>IF(AND($A46&gt;=SYear72,$A46&lt;=EYear72,AE$3&gt;0),AE$3*VLOOKUP($A46,Data_72_15!$A$8:$AM$52,MATCH(AE$2,Data_72_15!$B$2:$AM$2,0)+1),"")</f>
        <v/>
      </c>
      <c r="AF46" s="206" t="str">
        <f>IF(AND($A46&gt;=SYear72,$A46&lt;=EYear72,AF$3&gt;0),AF$3*VLOOKUP($A46,Data_72_15!$A$8:$AM$52,MATCH(AF$2,Data_72_15!$B$2:$AM$2,0)+1),"")</f>
        <v/>
      </c>
      <c r="AG46" s="206" t="str">
        <f>IF(AND($A46&gt;=SYear72,$A46&lt;=EYear72,AG$3&gt;0),AG$3*VLOOKUP($A46,Data_72_15!$A$8:$AM$52,MATCH(AG$2,Data_72_15!$B$2:$AM$2,0)+1),"")</f>
        <v/>
      </c>
      <c r="AH46" s="206" t="str">
        <f>IF(AND($A46&gt;=SYear72,$A46&lt;=EYear72,AH$3&gt;0),AH$3*VLOOKUP($A46,Data_72_15!$A$8:$AM$52,MATCH(AH$2,Data_72_15!$B$2:$AM$2,0)+1),"")</f>
        <v/>
      </c>
      <c r="AI46" s="206" t="str">
        <f>IF(AND($A46&gt;=SYear72,$A46&lt;=EYear72,AI$3&gt;0),AI$3*VLOOKUP($A46,Data_72_15!$A$8:$AM$52,MATCH(AI$2,Data_72_15!$B$2:$AM$2,0)+1),"")</f>
        <v/>
      </c>
      <c r="AJ46" s="206" t="str">
        <f>IF(AND($A46&gt;=SYear72,$A46&lt;=EYear72,AJ$3&gt;0),AJ$3*VLOOKUP($A46,Data_72_15!$A$8:$AM$52,MATCH(AJ$2,Data_72_15!$B$2:$AM$2,0)+1),"")</f>
        <v/>
      </c>
      <c r="AK46" s="206" t="str">
        <f>IF(AND($A46&gt;=SYear72,$A46&lt;=EYear72,AK$3&gt;0),AK$3*VLOOKUP($A46,Data_72_15!$A$8:$AM$52,MATCH(AK$2,Data_72_15!$B$2:$AM$2,0)+1),"")</f>
        <v/>
      </c>
      <c r="AL46" s="206" t="str">
        <f>IF(AND($A46&gt;=SYear72,$A46&lt;=EYear72,AL$3&gt;0),AL$3*VLOOKUP($A46,Data_72_15!$A$8:$AM$52,MATCH(AL$2,Data_72_15!$B$2:$AM$2,0)+1),"")</f>
        <v/>
      </c>
      <c r="AM46" s="206">
        <f t="shared" si="12"/>
        <v>-1.9280000000000002</v>
      </c>
      <c r="AN46" s="446">
        <f t="shared" si="13"/>
        <v>456244.80890591763</v>
      </c>
      <c r="AO46" s="206">
        <f>IF(AND($A46&gt;=SYear72,$A46&lt;=EYear72),(AM46-Data_72_15!AM47)/(1+Data_72_15!AM47%),"")</f>
        <v>-4.7497124676521754</v>
      </c>
      <c r="AP46" s="606">
        <f t="shared" si="14"/>
        <v>83092.548681419241</v>
      </c>
      <c r="AQ46" s="143">
        <f t="shared" si="15"/>
        <v>37.897205472609294</v>
      </c>
      <c r="AR46" s="143">
        <f>IF(AND($A46&gt;=SYear72,$A46&lt;=EYear72),MAX($AQ$7:AQ46),"")</f>
        <v>38.642227621144968</v>
      </c>
      <c r="AS46" s="209">
        <f t="shared" si="16"/>
        <v>1.9279999999999964E-2</v>
      </c>
      <c r="AU46" s="143">
        <f>IF(AND($A46&gt;=SYear72,$A46&lt;=EYear72),Data_72_15!V47,"")</f>
        <v>0.02</v>
      </c>
      <c r="AV46" s="143">
        <f>IF(AND($A46&gt;=SYear72,$A46&lt;=EYear72),Data_72_15!AM47,"")</f>
        <v>2.9624188448710953</v>
      </c>
      <c r="AW46" s="143">
        <f t="shared" si="17"/>
        <v>-2.8577600233967959</v>
      </c>
      <c r="AZ46" s="61">
        <f t="shared" si="1"/>
        <v>-1.9280000000000075E-2</v>
      </c>
      <c r="BA46" s="61">
        <f t="shared" si="2"/>
        <v>0.10498584288538071</v>
      </c>
      <c r="BB46" s="61">
        <f t="shared" si="3"/>
        <v>7.1917680835351661E-2</v>
      </c>
      <c r="BC46" s="61"/>
      <c r="BD46" s="61"/>
      <c r="BG46" s="61">
        <f t="shared" si="6"/>
        <v>-4.7497124676521785E-2</v>
      </c>
      <c r="BH46" s="61">
        <f t="shared" si="7"/>
        <v>8.2614766257798955E-2</v>
      </c>
      <c r="BI46" s="61">
        <f t="shared" si="8"/>
        <v>5.5712861477084319E-2</v>
      </c>
      <c r="BJ46" s="61"/>
      <c r="BK46" s="61"/>
    </row>
    <row r="47" spans="1:63">
      <c r="A47" s="204">
        <f t="shared" si="11"/>
        <v>2012</v>
      </c>
      <c r="B47" s="206">
        <f>IF(AND($A47&gt;=SYear72,$A47&lt;=EYear72,B$3&gt;0),B$3*VLOOKUP($A47,Data_72_15!$A$8:$AM$52,MATCH(B$2,Data_72_15!$B$2:$AM$2,0)+1),"")</f>
        <v>8.125</v>
      </c>
      <c r="C47" s="206" t="str">
        <f>IF(AND($A47&gt;=SYear72,$A47&lt;=EYear72,C$3&gt;0),C$3*VLOOKUP($A47,Data_72_15!$A$8:$AM$52,MATCH(C$2,Data_72_15!$B$2:$AM$2,0)+1),"")</f>
        <v/>
      </c>
      <c r="D47" s="206" t="str">
        <f>IF(AND($A47&gt;=SYear72,$A47&lt;=EYear72,D$3&gt;0),D$3*VLOOKUP($A47,Data_72_15!$A$8:$AM$52,MATCH(D$2,Data_72_15!$B$2:$AM$2,0)+1),"")</f>
        <v/>
      </c>
      <c r="E47" s="206" t="str">
        <f>IF(AND($A47&gt;=SYear72,$A47&lt;=EYear72,E$3&gt;0),E$3*VLOOKUP($A47,Data_72_15!$A$8:$AM$52,MATCH(E$2,Data_72_15!$B$2:$AM$2,0)+1),"")</f>
        <v/>
      </c>
      <c r="F47" s="206" t="str">
        <f>IF(AND($A47&gt;=SYear72,$A47&lt;=EYear72,F$3&gt;0),F$3*VLOOKUP($A47,Data_72_15!$A$8:$AM$52,MATCH(F$2,Data_72_15!$B$2:$AM$2,0)+1),"")</f>
        <v/>
      </c>
      <c r="G47" s="206" t="str">
        <f>IF(AND($A47&gt;=SYear72,$A47&lt;=EYear72,G$3&gt;0),G$3*VLOOKUP($A47,Data_72_15!$A$8:$AM$52,MATCH(G$2,Data_72_15!$B$2:$AM$2,0)+1),"")</f>
        <v/>
      </c>
      <c r="H47" s="206" t="str">
        <f>IF(AND($A47&gt;=SYear72,$A47&lt;=EYear72,H$3&gt;0),H$3*VLOOKUP($A47,Data_72_15!$A$8:$AM$52,MATCH(H$2,Data_72_15!$B$2:$AM$2,0)+1),"")</f>
        <v/>
      </c>
      <c r="I47" s="206" t="str">
        <f>IF(AND($A47&gt;=SYear72,$A47&lt;=EYear72,I$3&gt;0),I$3*VLOOKUP($A47,Data_72_15!$A$8:$AM$52,MATCH(I$2,Data_72_15!$B$2:$AM$2,0)+1),"")</f>
        <v/>
      </c>
      <c r="J47" s="206" t="str">
        <f>IF(AND($A47&gt;=SYear72,$A47&lt;=EYear72,J$3&gt;0),J$3*VLOOKUP($A47,Data_72_15!$A$8:$AM$52,MATCH(J$2,Data_72_15!$B$2:$AM$2,0)+1),"")</f>
        <v/>
      </c>
      <c r="K47" s="206" t="str">
        <f>IF(AND($A47&gt;=SYear72,$A47&lt;=EYear72,K$3&gt;0),K$3*VLOOKUP($A47,Data_72_15!$A$8:$AM$52,MATCH(K$2,Data_72_15!$B$2:$AM$2,0)+1),"")</f>
        <v/>
      </c>
      <c r="L47" s="206" t="str">
        <f>IF(AND($A47&gt;=SYear72,$A47&lt;=EYear72,L$3&gt;0),L$3*VLOOKUP($A47,Data_72_15!$A$8:$AM$52,MATCH(L$2,Data_72_15!$B$2:$AM$2,0)+1),"")</f>
        <v/>
      </c>
      <c r="M47" s="206" t="str">
        <f>IF(AND($A47&gt;=SYear72,$A47&lt;=EYear72,M$3&gt;0),M$3*VLOOKUP($A47,Data_72_15!$A$8:$AM$52,MATCH(M$2,Data_72_15!$B$2:$AM$2,0)+1),"")</f>
        <v/>
      </c>
      <c r="N47" s="206">
        <f>IF(AND($A47&gt;=SYear72,$A47&lt;=EYear72,N$3&gt;0),N$3*VLOOKUP($A47,Data_72_15!$A$8:$AM$52,MATCH(N$2,Data_72_15!$B$2:$AM$2,0)+1),"")</f>
        <v>5.4420000000000002</v>
      </c>
      <c r="O47" s="206" t="str">
        <f>IF(AND($A47&gt;=SYear72,$A47&lt;=EYear72,O$3&gt;0),O$3*VLOOKUP($A47,Data_72_15!$A$8:$AM$52,MATCH(O$2,Data_72_15!$B$2:$AM$2,0)+1),"")</f>
        <v/>
      </c>
      <c r="P47" s="206" t="str">
        <f>IF(AND($A47&gt;=SYear72,$A47&lt;=EYear72,P$3&gt;0),P$3*VLOOKUP($A47,Data_72_15!$A$8:$AM$52,MATCH(P$2,Data_72_15!$B$2:$AM$2,0)+1),"")</f>
        <v/>
      </c>
      <c r="Q47" s="206" t="str">
        <f>IF(AND($A47&gt;=SYear72,$A47&lt;=EYear72,Q$3&gt;0),Q$3*VLOOKUP($A47,Data_72_15!$A$8:$AM$52,MATCH(Q$2,Data_72_15!$B$2:$AM$2,0)+1),"")</f>
        <v/>
      </c>
      <c r="R47" s="206" t="str">
        <f>IF(AND($A47&gt;=SYear72,$A47&lt;=EYear72,R$3&gt;0),R$3*VLOOKUP($A47,Data_72_15!$A$8:$AM$52,MATCH(R$2,Data_72_15!$B$2:$AM$2,0)+1),"")</f>
        <v/>
      </c>
      <c r="S47" s="206" t="str">
        <f>IF(AND($A47&gt;=SYear72,$A47&lt;=EYear72,S$3&gt;0),S$3*VLOOKUP($A47,Data_72_15!$A$8:$AM$52,MATCH(S$2,Data_72_15!$B$2:$AM$2,0)+1),"")</f>
        <v/>
      </c>
      <c r="T47" s="206">
        <f>IF(AND($A47&gt;=SYear72,$A47&lt;=EYear72,T$3&gt;0),T$3*VLOOKUP($A47,Data_72_15!$A$8:$AM$52,MATCH(T$2,Data_72_15!$B$2:$AM$2,0)+1),"")</f>
        <v>0.53400000000000003</v>
      </c>
      <c r="U47" s="206" t="str">
        <f>IF(AND($A47&gt;=SYear72,$A47&lt;=EYear72,U$3&gt;0),U$3*VLOOKUP($A47,Data_72_15!$A$8:$AM$52,MATCH(U$2,Data_72_15!$B$2:$AM$2,0)+1),"")</f>
        <v/>
      </c>
      <c r="V47" s="206" t="str">
        <f>IF(AND($A47&gt;=SYear72,$A47&lt;=EYear72,V$3&gt;0),V$3*VLOOKUP($A47,Data_72_15!$A$8:$AM$52,MATCH(V$2,Data_72_15!$B$2:$AM$2,0)+1),"")</f>
        <v/>
      </c>
      <c r="W47" s="206" t="str">
        <f>IF(AND($A47&gt;=SYear72,$A47&lt;=EYear72,W$3&gt;0),W$3*VLOOKUP($A47,Data_72_15!$A$8:$AM$52,MATCH(W$2,Data_72_15!$B$2:$AM$2,0)+1),"")</f>
        <v/>
      </c>
      <c r="X47" s="206" t="str">
        <f>IF(AND($A47&gt;=SYear72,$A47&lt;=EYear72,X$3&gt;0),X$3*VLOOKUP($A47,Data_72_15!$A$8:$AM$52,MATCH(X$2,Data_72_15!$B$2:$AM$2,0)+1),"")</f>
        <v/>
      </c>
      <c r="Y47" s="206" t="str">
        <f>IF(AND($A47&gt;=SYear72,$A47&lt;=EYear72,Y$3&gt;0),Y$3*VLOOKUP($A47,Data_72_15!$A$8:$AM$52,MATCH(Y$2,Data_72_15!$B$2:$AM$2,0)+1),"")</f>
        <v/>
      </c>
      <c r="Z47" s="206" t="str">
        <f>IF(AND($A47&gt;=SYear72,$A47&lt;=EYear72,Z$3&gt;0),Z$3*VLOOKUP($A47,Data_72_15!$A$8:$AM$52,MATCH(Z$2,Data_72_15!$B$2:$AM$2,0)+1),"")</f>
        <v/>
      </c>
      <c r="AA47" s="206" t="str">
        <f>IF(AND($A47&gt;=SYear72,$A47&lt;=EYear72,AA$3&gt;0),AA$3*VLOOKUP($A47,Data_72_15!$A$8:$AM$52,MATCH(AA$2,Data_72_15!$B$2:$AM$2,0)+1),"")</f>
        <v/>
      </c>
      <c r="AB47" s="206" t="str">
        <f>IF(AND($A47&gt;=SYear72,$A47&lt;=EYear72,AB$3&gt;0),AB$3*VLOOKUP($A47,Data_72_15!$A$8:$AM$52,MATCH(AB$2,Data_72_15!$B$2:$AM$2,0)+1),"")</f>
        <v/>
      </c>
      <c r="AC47" s="206" t="str">
        <f>IF(AND($A47&gt;=SYear72,$A47&lt;=EYear72,AC$3&gt;0),AC$3*VLOOKUP($A47,Data_72_15!$A$8:$AM$52,MATCH(AC$2,Data_72_15!$B$2:$AM$2,0)+1),"")</f>
        <v/>
      </c>
      <c r="AD47" s="206" t="str">
        <f>IF(AND($A47&gt;=SYear72,$A47&lt;=EYear72,AD$3&gt;0),AD$3*VLOOKUP($A47,Data_72_15!$A$8:$AM$52,MATCH(AD$2,Data_72_15!$B$2:$AM$2,0)+1),"")</f>
        <v/>
      </c>
      <c r="AE47" s="206" t="str">
        <f>IF(AND($A47&gt;=SYear72,$A47&lt;=EYear72,AE$3&gt;0),AE$3*VLOOKUP($A47,Data_72_15!$A$8:$AM$52,MATCH(AE$2,Data_72_15!$B$2:$AM$2,0)+1),"")</f>
        <v/>
      </c>
      <c r="AF47" s="206" t="str">
        <f>IF(AND($A47&gt;=SYear72,$A47&lt;=EYear72,AF$3&gt;0),AF$3*VLOOKUP($A47,Data_72_15!$A$8:$AM$52,MATCH(AF$2,Data_72_15!$B$2:$AM$2,0)+1),"")</f>
        <v/>
      </c>
      <c r="AG47" s="206" t="str">
        <f>IF(AND($A47&gt;=SYear72,$A47&lt;=EYear72,AG$3&gt;0),AG$3*VLOOKUP($A47,Data_72_15!$A$8:$AM$52,MATCH(AG$2,Data_72_15!$B$2:$AM$2,0)+1),"")</f>
        <v/>
      </c>
      <c r="AH47" s="206" t="str">
        <f>IF(AND($A47&gt;=SYear72,$A47&lt;=EYear72,AH$3&gt;0),AH$3*VLOOKUP($A47,Data_72_15!$A$8:$AM$52,MATCH(AH$2,Data_72_15!$B$2:$AM$2,0)+1),"")</f>
        <v/>
      </c>
      <c r="AI47" s="206" t="str">
        <f>IF(AND($A47&gt;=SYear72,$A47&lt;=EYear72,AI$3&gt;0),AI$3*VLOOKUP($A47,Data_72_15!$A$8:$AM$52,MATCH(AI$2,Data_72_15!$B$2:$AM$2,0)+1),"")</f>
        <v/>
      </c>
      <c r="AJ47" s="206" t="str">
        <f>IF(AND($A47&gt;=SYear72,$A47&lt;=EYear72,AJ$3&gt;0),AJ$3*VLOOKUP($A47,Data_72_15!$A$8:$AM$52,MATCH(AJ$2,Data_72_15!$B$2:$AM$2,0)+1),"")</f>
        <v/>
      </c>
      <c r="AK47" s="206" t="str">
        <f>IF(AND($A47&gt;=SYear72,$A47&lt;=EYear72,AK$3&gt;0),AK$3*VLOOKUP($A47,Data_72_15!$A$8:$AM$52,MATCH(AK$2,Data_72_15!$B$2:$AM$2,0)+1),"")</f>
        <v/>
      </c>
      <c r="AL47" s="206" t="str">
        <f>IF(AND($A47&gt;=SYear72,$A47&lt;=EYear72,AL$3&gt;0),AL$3*VLOOKUP($A47,Data_72_15!$A$8:$AM$52,MATCH(AL$2,Data_72_15!$B$2:$AM$2,0)+1),"")</f>
        <v/>
      </c>
      <c r="AM47" s="206">
        <f t="shared" si="12"/>
        <v>14.101000000000001</v>
      </c>
      <c r="AN47" s="446">
        <f t="shared" si="13"/>
        <v>520579.8894097411</v>
      </c>
      <c r="AO47" s="206">
        <f>IF(AND($A47&gt;=SYear72,$A47&lt;=EYear72),(AM47-Data_72_15!AM48)/(1+Data_72_15!AM48%),"")</f>
        <v>12.148470050217558</v>
      </c>
      <c r="AP47" s="606">
        <f t="shared" si="14"/>
        <v>93187.022071943895</v>
      </c>
      <c r="AQ47" s="143">
        <f t="shared" si="15"/>
        <v>43.24109041630193</v>
      </c>
      <c r="AR47" s="143">
        <f>IF(AND($A47&gt;=SYear72,$A47&lt;=EYear72),MAX($AQ$7:AQ47),"")</f>
        <v>43.24109041630193</v>
      </c>
      <c r="AS47" s="209">
        <f t="shared" si="16"/>
        <v>0</v>
      </c>
      <c r="AU47" s="143">
        <f>IF(AND($A47&gt;=SYear72,$A47&lt;=EYear72),Data_72_15!V48,"")</f>
        <v>0.02</v>
      </c>
      <c r="AV47" s="143">
        <f>IF(AND($A47&gt;=SYear72,$A47&lt;=EYear72),Data_72_15!AM48,"")</f>
        <v>1.7410223687475579</v>
      </c>
      <c r="AW47" s="143">
        <f t="shared" si="17"/>
        <v>-1.6915717266039734</v>
      </c>
      <c r="AZ47" s="61">
        <f t="shared" si="1"/>
        <v>0.14101000000000008</v>
      </c>
      <c r="BA47" s="61">
        <f t="shared" si="2"/>
        <v>0.13330421354208744</v>
      </c>
      <c r="BB47" s="61"/>
      <c r="BC47" s="61"/>
      <c r="BD47" s="61"/>
      <c r="BG47" s="61">
        <f t="shared" si="6"/>
        <v>0.12148470050217552</v>
      </c>
      <c r="BH47" s="61">
        <f t="shared" si="7"/>
        <v>0.11840465711999149</v>
      </c>
      <c r="BI47" s="61"/>
      <c r="BJ47" s="61"/>
      <c r="BK47" s="61"/>
    </row>
    <row r="48" spans="1:63">
      <c r="A48" s="204">
        <f t="shared" si="11"/>
        <v>2013</v>
      </c>
      <c r="B48" s="206">
        <f>IF(AND($A48&gt;=SYear72,$A48&lt;=EYear72,B$3&gt;0),B$3*VLOOKUP($A48,Data_72_15!$A$8:$AM$52,MATCH(B$2,Data_72_15!$B$2:$AM$2,0)+1),"")</f>
        <v>16.675000000000001</v>
      </c>
      <c r="C48" s="206" t="str">
        <f>IF(AND($A48&gt;=SYear72,$A48&lt;=EYear72,C$3&gt;0),C$3*VLOOKUP($A48,Data_72_15!$A$8:$AM$52,MATCH(C$2,Data_72_15!$B$2:$AM$2,0)+1),"")</f>
        <v/>
      </c>
      <c r="D48" s="206" t="str">
        <f>IF(AND($A48&gt;=SYear72,$A48&lt;=EYear72,D$3&gt;0),D$3*VLOOKUP($A48,Data_72_15!$A$8:$AM$52,MATCH(D$2,Data_72_15!$B$2:$AM$2,0)+1),"")</f>
        <v/>
      </c>
      <c r="E48" s="206" t="str">
        <f>IF(AND($A48&gt;=SYear72,$A48&lt;=EYear72,E$3&gt;0),E$3*VLOOKUP($A48,Data_72_15!$A$8:$AM$52,MATCH(E$2,Data_72_15!$B$2:$AM$2,0)+1),"")</f>
        <v/>
      </c>
      <c r="F48" s="206" t="str">
        <f>IF(AND($A48&gt;=SYear72,$A48&lt;=EYear72,F$3&gt;0),F$3*VLOOKUP($A48,Data_72_15!$A$8:$AM$52,MATCH(F$2,Data_72_15!$B$2:$AM$2,0)+1),"")</f>
        <v/>
      </c>
      <c r="G48" s="206" t="str">
        <f>IF(AND($A48&gt;=SYear72,$A48&lt;=EYear72,G$3&gt;0),G$3*VLOOKUP($A48,Data_72_15!$A$8:$AM$52,MATCH(G$2,Data_72_15!$B$2:$AM$2,0)+1),"")</f>
        <v/>
      </c>
      <c r="H48" s="206" t="str">
        <f>IF(AND($A48&gt;=SYear72,$A48&lt;=EYear72,H$3&gt;0),H$3*VLOOKUP($A48,Data_72_15!$A$8:$AM$52,MATCH(H$2,Data_72_15!$B$2:$AM$2,0)+1),"")</f>
        <v/>
      </c>
      <c r="I48" s="206" t="str">
        <f>IF(AND($A48&gt;=SYear72,$A48&lt;=EYear72,I$3&gt;0),I$3*VLOOKUP($A48,Data_72_15!$A$8:$AM$52,MATCH(I$2,Data_72_15!$B$2:$AM$2,0)+1),"")</f>
        <v/>
      </c>
      <c r="J48" s="206" t="str">
        <f>IF(AND($A48&gt;=SYear72,$A48&lt;=EYear72,J$3&gt;0),J$3*VLOOKUP($A48,Data_72_15!$A$8:$AM$52,MATCH(J$2,Data_72_15!$B$2:$AM$2,0)+1),"")</f>
        <v/>
      </c>
      <c r="K48" s="206" t="str">
        <f>IF(AND($A48&gt;=SYear72,$A48&lt;=EYear72,K$3&gt;0),K$3*VLOOKUP($A48,Data_72_15!$A$8:$AM$52,MATCH(K$2,Data_72_15!$B$2:$AM$2,0)+1),"")</f>
        <v/>
      </c>
      <c r="L48" s="206" t="str">
        <f>IF(AND($A48&gt;=SYear72,$A48&lt;=EYear72,L$3&gt;0),L$3*VLOOKUP($A48,Data_72_15!$A$8:$AM$52,MATCH(L$2,Data_72_15!$B$2:$AM$2,0)+1),"")</f>
        <v/>
      </c>
      <c r="M48" s="206" t="str">
        <f>IF(AND($A48&gt;=SYear72,$A48&lt;=EYear72,M$3&gt;0),M$3*VLOOKUP($A48,Data_72_15!$A$8:$AM$52,MATCH(M$2,Data_72_15!$B$2:$AM$2,0)+1),"")</f>
        <v/>
      </c>
      <c r="N48" s="206">
        <f>IF(AND($A48&gt;=SYear72,$A48&lt;=EYear72,N$3&gt;0),N$3*VLOOKUP($A48,Data_72_15!$A$8:$AM$52,MATCH(N$2,Data_72_15!$B$2:$AM$2,0)+1),"")</f>
        <v>4.5119999999999996</v>
      </c>
      <c r="O48" s="206" t="str">
        <f>IF(AND($A48&gt;=SYear72,$A48&lt;=EYear72,O$3&gt;0),O$3*VLOOKUP($A48,Data_72_15!$A$8:$AM$52,MATCH(O$2,Data_72_15!$B$2:$AM$2,0)+1),"")</f>
        <v/>
      </c>
      <c r="P48" s="206" t="str">
        <f>IF(AND($A48&gt;=SYear72,$A48&lt;=EYear72,P$3&gt;0),P$3*VLOOKUP($A48,Data_72_15!$A$8:$AM$52,MATCH(P$2,Data_72_15!$B$2:$AM$2,0)+1),"")</f>
        <v/>
      </c>
      <c r="Q48" s="206" t="str">
        <f>IF(AND($A48&gt;=SYear72,$A48&lt;=EYear72,Q$3&gt;0),Q$3*VLOOKUP($A48,Data_72_15!$A$8:$AM$52,MATCH(Q$2,Data_72_15!$B$2:$AM$2,0)+1),"")</f>
        <v/>
      </c>
      <c r="R48" s="206" t="str">
        <f>IF(AND($A48&gt;=SYear72,$A48&lt;=EYear72,R$3&gt;0),R$3*VLOOKUP($A48,Data_72_15!$A$8:$AM$52,MATCH(R$2,Data_72_15!$B$2:$AM$2,0)+1),"")</f>
        <v/>
      </c>
      <c r="S48" s="206" t="str">
        <f>IF(AND($A48&gt;=SYear72,$A48&lt;=EYear72,S$3&gt;0),S$3*VLOOKUP($A48,Data_72_15!$A$8:$AM$52,MATCH(S$2,Data_72_15!$B$2:$AM$2,0)+1),"")</f>
        <v/>
      </c>
      <c r="T48" s="206">
        <f>IF(AND($A48&gt;=SYear72,$A48&lt;=EYear72,T$3&gt;0),T$3*VLOOKUP($A48,Data_72_15!$A$8:$AM$52,MATCH(T$2,Data_72_15!$B$2:$AM$2,0)+1),"")</f>
        <v>-0.61799999999999999</v>
      </c>
      <c r="U48" s="206" t="str">
        <f>IF(AND($A48&gt;=SYear72,$A48&lt;=EYear72,U$3&gt;0),U$3*VLOOKUP($A48,Data_72_15!$A$8:$AM$52,MATCH(U$2,Data_72_15!$B$2:$AM$2,0)+1),"")</f>
        <v/>
      </c>
      <c r="V48" s="206" t="str">
        <f>IF(AND($A48&gt;=SYear72,$A48&lt;=EYear72,V$3&gt;0),V$3*VLOOKUP($A48,Data_72_15!$A$8:$AM$52,MATCH(V$2,Data_72_15!$B$2:$AM$2,0)+1),"")</f>
        <v/>
      </c>
      <c r="W48" s="206" t="str">
        <f>IF(AND($A48&gt;=SYear72,$A48&lt;=EYear72,W$3&gt;0),W$3*VLOOKUP($A48,Data_72_15!$A$8:$AM$52,MATCH(W$2,Data_72_15!$B$2:$AM$2,0)+1),"")</f>
        <v/>
      </c>
      <c r="X48" s="206" t="str">
        <f>IF(AND($A48&gt;=SYear72,$A48&lt;=EYear72,X$3&gt;0),X$3*VLOOKUP($A48,Data_72_15!$A$8:$AM$52,MATCH(X$2,Data_72_15!$B$2:$AM$2,0)+1),"")</f>
        <v/>
      </c>
      <c r="Y48" s="206" t="str">
        <f>IF(AND($A48&gt;=SYear72,$A48&lt;=EYear72,Y$3&gt;0),Y$3*VLOOKUP($A48,Data_72_15!$A$8:$AM$52,MATCH(Y$2,Data_72_15!$B$2:$AM$2,0)+1),"")</f>
        <v/>
      </c>
      <c r="Z48" s="206" t="str">
        <f>IF(AND($A48&gt;=SYear72,$A48&lt;=EYear72,Z$3&gt;0),Z$3*VLOOKUP($A48,Data_72_15!$A$8:$AM$52,MATCH(Z$2,Data_72_15!$B$2:$AM$2,0)+1),"")</f>
        <v/>
      </c>
      <c r="AA48" s="206" t="str">
        <f>IF(AND($A48&gt;=SYear72,$A48&lt;=EYear72,AA$3&gt;0),AA$3*VLOOKUP($A48,Data_72_15!$A$8:$AM$52,MATCH(AA$2,Data_72_15!$B$2:$AM$2,0)+1),"")</f>
        <v/>
      </c>
      <c r="AB48" s="206" t="str">
        <f>IF(AND($A48&gt;=SYear72,$A48&lt;=EYear72,AB$3&gt;0),AB$3*VLOOKUP($A48,Data_72_15!$A$8:$AM$52,MATCH(AB$2,Data_72_15!$B$2:$AM$2,0)+1),"")</f>
        <v/>
      </c>
      <c r="AC48" s="206" t="str">
        <f>IF(AND($A48&gt;=SYear72,$A48&lt;=EYear72,AC$3&gt;0),AC$3*VLOOKUP($A48,Data_72_15!$A$8:$AM$52,MATCH(AC$2,Data_72_15!$B$2:$AM$2,0)+1),"")</f>
        <v/>
      </c>
      <c r="AD48" s="206" t="str">
        <f>IF(AND($A48&gt;=SYear72,$A48&lt;=EYear72,AD$3&gt;0),AD$3*VLOOKUP($A48,Data_72_15!$A$8:$AM$52,MATCH(AD$2,Data_72_15!$B$2:$AM$2,0)+1),"")</f>
        <v/>
      </c>
      <c r="AE48" s="206" t="str">
        <f>IF(AND($A48&gt;=SYear72,$A48&lt;=EYear72,AE$3&gt;0),AE$3*VLOOKUP($A48,Data_72_15!$A$8:$AM$52,MATCH(AE$2,Data_72_15!$B$2:$AM$2,0)+1),"")</f>
        <v/>
      </c>
      <c r="AF48" s="206" t="str">
        <f>IF(AND($A48&gt;=SYear72,$A48&lt;=EYear72,AF$3&gt;0),AF$3*VLOOKUP($A48,Data_72_15!$A$8:$AM$52,MATCH(AF$2,Data_72_15!$B$2:$AM$2,0)+1),"")</f>
        <v/>
      </c>
      <c r="AG48" s="206" t="str">
        <f>IF(AND($A48&gt;=SYear72,$A48&lt;=EYear72,AG$3&gt;0),AG$3*VLOOKUP($A48,Data_72_15!$A$8:$AM$52,MATCH(AG$2,Data_72_15!$B$2:$AM$2,0)+1),"")</f>
        <v/>
      </c>
      <c r="AH48" s="206" t="str">
        <f>IF(AND($A48&gt;=SYear72,$A48&lt;=EYear72,AH$3&gt;0),AH$3*VLOOKUP($A48,Data_72_15!$A$8:$AM$52,MATCH(AH$2,Data_72_15!$B$2:$AM$2,0)+1),"")</f>
        <v/>
      </c>
      <c r="AI48" s="206" t="str">
        <f>IF(AND($A48&gt;=SYear72,$A48&lt;=EYear72,AI$3&gt;0),AI$3*VLOOKUP($A48,Data_72_15!$A$8:$AM$52,MATCH(AI$2,Data_72_15!$B$2:$AM$2,0)+1),"")</f>
        <v/>
      </c>
      <c r="AJ48" s="206" t="str">
        <f>IF(AND($A48&gt;=SYear72,$A48&lt;=EYear72,AJ$3&gt;0),AJ$3*VLOOKUP($A48,Data_72_15!$A$8:$AM$52,MATCH(AJ$2,Data_72_15!$B$2:$AM$2,0)+1),"")</f>
        <v/>
      </c>
      <c r="AK48" s="206" t="str">
        <f>IF(AND($A48&gt;=SYear72,$A48&lt;=EYear72,AK$3&gt;0),AK$3*VLOOKUP($A48,Data_72_15!$A$8:$AM$52,MATCH(AK$2,Data_72_15!$B$2:$AM$2,0)+1),"")</f>
        <v/>
      </c>
      <c r="AL48" s="206" t="str">
        <f>IF(AND($A48&gt;=SYear72,$A48&lt;=EYear72,AL$3&gt;0),AL$3*VLOOKUP($A48,Data_72_15!$A$8:$AM$52,MATCH(AL$2,Data_72_15!$B$2:$AM$2,0)+1),"")</f>
        <v/>
      </c>
      <c r="AM48" s="206">
        <f t="shared" si="12"/>
        <v>20.569000000000003</v>
      </c>
      <c r="AN48" s="446">
        <f t="shared" si="13"/>
        <v>627657.9668624308</v>
      </c>
      <c r="AO48" s="206">
        <f>IF(AND($A48&gt;=SYear72,$A48&lt;=EYear72),(AM48-Data_72_15!AM49)/(1+Data_72_15!AM49%),"")</f>
        <v>18.785160927530249</v>
      </c>
      <c r="AP48" s="606">
        <f t="shared" si="14"/>
        <v>110692.35413173168</v>
      </c>
      <c r="AQ48" s="143">
        <f t="shared" si="15"/>
        <v>52.135350304031078</v>
      </c>
      <c r="AR48" s="143">
        <f>IF(AND($A48&gt;=SYear72,$A48&lt;=EYear72),MAX($AQ$7:AQ48),"")</f>
        <v>52.135350304031078</v>
      </c>
      <c r="AS48" s="209">
        <f t="shared" si="16"/>
        <v>0</v>
      </c>
      <c r="AU48" s="143">
        <f>IF(AND($A48&gt;=SYear72,$A48&lt;=EYear72),Data_72_15!V49,"")</f>
        <v>0.01</v>
      </c>
      <c r="AV48" s="143">
        <f>IF(AND($A48&gt;=SYear72,$A48&lt;=EYear72),Data_72_15!AM49,"")</f>
        <v>1.501735619618394</v>
      </c>
      <c r="AW48" s="143">
        <f t="shared" si="17"/>
        <v>-1.4696651347999898</v>
      </c>
      <c r="AZ48" s="61">
        <f t="shared" si="1"/>
        <v>0.20569000000000015</v>
      </c>
      <c r="BA48" s="61">
        <f t="shared" si="2"/>
        <v>8.1411283165660153E-2</v>
      </c>
      <c r="BB48" s="61"/>
      <c r="BC48" s="61"/>
      <c r="BD48" s="61"/>
      <c r="BG48" s="61">
        <f t="shared" si="6"/>
        <v>0.18785160927530242</v>
      </c>
      <c r="BH48" s="61">
        <f t="shared" si="7"/>
        <v>7.0754244458143267E-2</v>
      </c>
      <c r="BI48" s="61"/>
      <c r="BJ48" s="61"/>
      <c r="BK48" s="61"/>
    </row>
    <row r="49" spans="1:63">
      <c r="A49" s="204">
        <f t="shared" si="11"/>
        <v>2014</v>
      </c>
      <c r="B49" s="206">
        <f>IF(AND($A49&gt;=SYear72,$A49&lt;=EYear72,B$3&gt;0),B$3*VLOOKUP($A49,Data_72_15!$A$8:$AM$52,MATCH(B$2,Data_72_15!$B$2:$AM$2,0)+1),"")</f>
        <v>6.2149999999999999</v>
      </c>
      <c r="C49" s="206" t="str">
        <f>IF(AND($A49&gt;=SYear72,$A49&lt;=EYear72,C$3&gt;0),C$3*VLOOKUP($A49,Data_72_15!$A$8:$AM$52,MATCH(C$2,Data_72_15!$B$2:$AM$2,0)+1),"")</f>
        <v/>
      </c>
      <c r="D49" s="206" t="str">
        <f>IF(AND($A49&gt;=SYear72,$A49&lt;=EYear72,D$3&gt;0),D$3*VLOOKUP($A49,Data_72_15!$A$8:$AM$52,MATCH(D$2,Data_72_15!$B$2:$AM$2,0)+1),"")</f>
        <v/>
      </c>
      <c r="E49" s="206" t="str">
        <f>IF(AND($A49&gt;=SYear72,$A49&lt;=EYear72,E$3&gt;0),E$3*VLOOKUP($A49,Data_72_15!$A$8:$AM$52,MATCH(E$2,Data_72_15!$B$2:$AM$2,0)+1),"")</f>
        <v/>
      </c>
      <c r="F49" s="206" t="str">
        <f>IF(AND($A49&gt;=SYear72,$A49&lt;=EYear72,F$3&gt;0),F$3*VLOOKUP($A49,Data_72_15!$A$8:$AM$52,MATCH(F$2,Data_72_15!$B$2:$AM$2,0)+1),"")</f>
        <v/>
      </c>
      <c r="G49" s="206" t="str">
        <f>IF(AND($A49&gt;=SYear72,$A49&lt;=EYear72,G$3&gt;0),G$3*VLOOKUP($A49,Data_72_15!$A$8:$AM$52,MATCH(G$2,Data_72_15!$B$2:$AM$2,0)+1),"")</f>
        <v/>
      </c>
      <c r="H49" s="206" t="str">
        <f>IF(AND($A49&gt;=SYear72,$A49&lt;=EYear72,H$3&gt;0),H$3*VLOOKUP($A49,Data_72_15!$A$8:$AM$52,MATCH(H$2,Data_72_15!$B$2:$AM$2,0)+1),"")</f>
        <v/>
      </c>
      <c r="I49" s="206" t="str">
        <f>IF(AND($A49&gt;=SYear72,$A49&lt;=EYear72,I$3&gt;0),I$3*VLOOKUP($A49,Data_72_15!$A$8:$AM$52,MATCH(I$2,Data_72_15!$B$2:$AM$2,0)+1),"")</f>
        <v/>
      </c>
      <c r="J49" s="206" t="str">
        <f>IF(AND($A49&gt;=SYear72,$A49&lt;=EYear72,J$3&gt;0),J$3*VLOOKUP($A49,Data_72_15!$A$8:$AM$52,MATCH(J$2,Data_72_15!$B$2:$AM$2,0)+1),"")</f>
        <v/>
      </c>
      <c r="K49" s="206" t="str">
        <f>IF(AND($A49&gt;=SYear72,$A49&lt;=EYear72,K$3&gt;0),K$3*VLOOKUP($A49,Data_72_15!$A$8:$AM$52,MATCH(K$2,Data_72_15!$B$2:$AM$2,0)+1),"")</f>
        <v/>
      </c>
      <c r="L49" s="206" t="str">
        <f>IF(AND($A49&gt;=SYear72,$A49&lt;=EYear72,L$3&gt;0),L$3*VLOOKUP($A49,Data_72_15!$A$8:$AM$52,MATCH(L$2,Data_72_15!$B$2:$AM$2,0)+1),"")</f>
        <v/>
      </c>
      <c r="M49" s="206" t="str">
        <f>IF(AND($A49&gt;=SYear72,$A49&lt;=EYear72,M$3&gt;0),M$3*VLOOKUP($A49,Data_72_15!$A$8:$AM$52,MATCH(M$2,Data_72_15!$B$2:$AM$2,0)+1),"")</f>
        <v/>
      </c>
      <c r="N49" s="206">
        <f>IF(AND($A49&gt;=SYear72,$A49&lt;=EYear72,N$3&gt;0),N$3*VLOOKUP($A49,Data_72_15!$A$8:$AM$52,MATCH(N$2,Data_72_15!$B$2:$AM$2,0)+1),"")</f>
        <v>-1.272</v>
      </c>
      <c r="O49" s="206" t="str">
        <f>IF(AND($A49&gt;=SYear72,$A49&lt;=EYear72,O$3&gt;0),O$3*VLOOKUP($A49,Data_72_15!$A$8:$AM$52,MATCH(O$2,Data_72_15!$B$2:$AM$2,0)+1),"")</f>
        <v/>
      </c>
      <c r="P49" s="206" t="str">
        <f>IF(AND($A49&gt;=SYear72,$A49&lt;=EYear72,P$3&gt;0),P$3*VLOOKUP($A49,Data_72_15!$A$8:$AM$52,MATCH(P$2,Data_72_15!$B$2:$AM$2,0)+1),"")</f>
        <v/>
      </c>
      <c r="Q49" s="206" t="str">
        <f>IF(AND($A49&gt;=SYear72,$A49&lt;=EYear72,Q$3&gt;0),Q$3*VLOOKUP($A49,Data_72_15!$A$8:$AM$52,MATCH(Q$2,Data_72_15!$B$2:$AM$2,0)+1),"")</f>
        <v/>
      </c>
      <c r="R49" s="206" t="str">
        <f>IF(AND($A49&gt;=SYear72,$A49&lt;=EYear72,R$3&gt;0),R$3*VLOOKUP($A49,Data_72_15!$A$8:$AM$52,MATCH(R$2,Data_72_15!$B$2:$AM$2,0)+1),"")</f>
        <v/>
      </c>
      <c r="S49" s="206" t="str">
        <f>IF(AND($A49&gt;=SYear72,$A49&lt;=EYear72,S$3&gt;0),S$3*VLOOKUP($A49,Data_72_15!$A$8:$AM$52,MATCH(S$2,Data_72_15!$B$2:$AM$2,0)+1),"")</f>
        <v/>
      </c>
      <c r="T49" s="206">
        <f>IF(AND($A49&gt;=SYear72,$A49&lt;=EYear72,T$3&gt;0),T$3*VLOOKUP($A49,Data_72_15!$A$8:$AM$52,MATCH(T$2,Data_72_15!$B$2:$AM$2,0)+1),"")</f>
        <v>0.8640000000000001</v>
      </c>
      <c r="U49" s="206" t="str">
        <f>IF(AND($A49&gt;=SYear72,$A49&lt;=EYear72,U$3&gt;0),U$3*VLOOKUP($A49,Data_72_15!$A$8:$AM$52,MATCH(U$2,Data_72_15!$B$2:$AM$2,0)+1),"")</f>
        <v/>
      </c>
      <c r="V49" s="206" t="str">
        <f>IF(AND($A49&gt;=SYear72,$A49&lt;=EYear72,V$3&gt;0),V$3*VLOOKUP($A49,Data_72_15!$A$8:$AM$52,MATCH(V$2,Data_72_15!$B$2:$AM$2,0)+1),"")</f>
        <v/>
      </c>
      <c r="W49" s="206" t="str">
        <f>IF(AND($A49&gt;=SYear72,$A49&lt;=EYear72,W$3&gt;0),W$3*VLOOKUP($A49,Data_72_15!$A$8:$AM$52,MATCH(W$2,Data_72_15!$B$2:$AM$2,0)+1),"")</f>
        <v/>
      </c>
      <c r="X49" s="206" t="str">
        <f>IF(AND($A49&gt;=SYear72,$A49&lt;=EYear72,X$3&gt;0),X$3*VLOOKUP($A49,Data_72_15!$A$8:$AM$52,MATCH(X$2,Data_72_15!$B$2:$AM$2,0)+1),"")</f>
        <v/>
      </c>
      <c r="Y49" s="206" t="str">
        <f>IF(AND($A49&gt;=SYear72,$A49&lt;=EYear72,Y$3&gt;0),Y$3*VLOOKUP($A49,Data_72_15!$A$8:$AM$52,MATCH(Y$2,Data_72_15!$B$2:$AM$2,0)+1),"")</f>
        <v/>
      </c>
      <c r="Z49" s="206" t="str">
        <f>IF(AND($A49&gt;=SYear72,$A49&lt;=EYear72,Z$3&gt;0),Z$3*VLOOKUP($A49,Data_72_15!$A$8:$AM$52,MATCH(Z$2,Data_72_15!$B$2:$AM$2,0)+1),"")</f>
        <v/>
      </c>
      <c r="AA49" s="206" t="str">
        <f>IF(AND($A49&gt;=SYear72,$A49&lt;=EYear72,AA$3&gt;0),AA$3*VLOOKUP($A49,Data_72_15!$A$8:$AM$52,MATCH(AA$2,Data_72_15!$B$2:$AM$2,0)+1),"")</f>
        <v/>
      </c>
      <c r="AB49" s="206" t="str">
        <f>IF(AND($A49&gt;=SYear72,$A49&lt;=EYear72,AB$3&gt;0),AB$3*VLOOKUP($A49,Data_72_15!$A$8:$AM$52,MATCH(AB$2,Data_72_15!$B$2:$AM$2,0)+1),"")</f>
        <v/>
      </c>
      <c r="AC49" s="206" t="str">
        <f>IF(AND($A49&gt;=SYear72,$A49&lt;=EYear72,AC$3&gt;0),AC$3*VLOOKUP($A49,Data_72_15!$A$8:$AM$52,MATCH(AC$2,Data_72_15!$B$2:$AM$2,0)+1),"")</f>
        <v/>
      </c>
      <c r="AD49" s="206" t="str">
        <f>IF(AND($A49&gt;=SYear72,$A49&lt;=EYear72,AD$3&gt;0),AD$3*VLOOKUP($A49,Data_72_15!$A$8:$AM$52,MATCH(AD$2,Data_72_15!$B$2:$AM$2,0)+1),"")</f>
        <v/>
      </c>
      <c r="AE49" s="206" t="str">
        <f>IF(AND($A49&gt;=SYear72,$A49&lt;=EYear72,AE$3&gt;0),AE$3*VLOOKUP($A49,Data_72_15!$A$8:$AM$52,MATCH(AE$2,Data_72_15!$B$2:$AM$2,0)+1),"")</f>
        <v/>
      </c>
      <c r="AF49" s="206" t="str">
        <f>IF(AND($A49&gt;=SYear72,$A49&lt;=EYear72,AF$3&gt;0),AF$3*VLOOKUP($A49,Data_72_15!$A$8:$AM$52,MATCH(AF$2,Data_72_15!$B$2:$AM$2,0)+1),"")</f>
        <v/>
      </c>
      <c r="AG49" s="206" t="str">
        <f>IF(AND($A49&gt;=SYear72,$A49&lt;=EYear72,AG$3&gt;0),AG$3*VLOOKUP($A49,Data_72_15!$A$8:$AM$52,MATCH(AG$2,Data_72_15!$B$2:$AM$2,0)+1),"")</f>
        <v/>
      </c>
      <c r="AH49" s="206" t="str">
        <f>IF(AND($A49&gt;=SYear72,$A49&lt;=EYear72,AH$3&gt;0),AH$3*VLOOKUP($A49,Data_72_15!$A$8:$AM$52,MATCH(AH$2,Data_72_15!$B$2:$AM$2,0)+1),"")</f>
        <v/>
      </c>
      <c r="AI49" s="206" t="str">
        <f>IF(AND($A49&gt;=SYear72,$A49&lt;=EYear72,AI$3&gt;0),AI$3*VLOOKUP($A49,Data_72_15!$A$8:$AM$52,MATCH(AI$2,Data_72_15!$B$2:$AM$2,0)+1),"")</f>
        <v/>
      </c>
      <c r="AJ49" s="206" t="str">
        <f>IF(AND($A49&gt;=SYear72,$A49&lt;=EYear72,AJ$3&gt;0),AJ$3*VLOOKUP($A49,Data_72_15!$A$8:$AM$52,MATCH(AJ$2,Data_72_15!$B$2:$AM$2,0)+1),"")</f>
        <v/>
      </c>
      <c r="AK49" s="206" t="str">
        <f>IF(AND($A49&gt;=SYear72,$A49&lt;=EYear72,AK$3&gt;0),AK$3*VLOOKUP($A49,Data_72_15!$A$8:$AM$52,MATCH(AK$2,Data_72_15!$B$2:$AM$2,0)+1),"")</f>
        <v/>
      </c>
      <c r="AL49" s="206" t="str">
        <f>IF(AND($A49&gt;=SYear72,$A49&lt;=EYear72,AL$3&gt;0),AL$3*VLOOKUP($A49,Data_72_15!$A$8:$AM$52,MATCH(AL$2,Data_72_15!$B$2:$AM$2,0)+1),"")</f>
        <v/>
      </c>
      <c r="AM49" s="206">
        <f t="shared" si="12"/>
        <v>5.8069999999999995</v>
      </c>
      <c r="AN49" s="446">
        <f t="shared" si="13"/>
        <v>664106.06499813218</v>
      </c>
      <c r="AO49" s="206">
        <f>IF(AND($A49&gt;=SYear72,$A49&lt;=EYear72),(AM49-Data_72_15!AM50)/(1+Data_72_15!AM50%),"")</f>
        <v>5.0125868482019582</v>
      </c>
      <c r="AP49" s="606">
        <f t="shared" si="14"/>
        <v>116240.904516904</v>
      </c>
      <c r="AQ49" s="143">
        <f t="shared" si="15"/>
        <v>55.162850096186169</v>
      </c>
      <c r="AR49" s="143">
        <f>IF(AND($A49&gt;=SYear72,$A49&lt;=EYear72),MAX($AQ$7:AQ49),"")</f>
        <v>55.162850096186169</v>
      </c>
      <c r="AS49" s="209">
        <f t="shared" si="16"/>
        <v>0</v>
      </c>
      <c r="AU49" s="143">
        <f>IF(AND($A49&gt;=SYear72,$A49&lt;=EYear72),Data_72_15!V50,"")</f>
        <v>0.01</v>
      </c>
      <c r="AV49" s="143">
        <f>IF(AND($A49&gt;=SYear72,$A49&lt;=EYear72),Data_72_15!AM50,"")</f>
        <v>0.7564932696557447</v>
      </c>
      <c r="AW49" s="143">
        <f t="shared" si="17"/>
        <v>-0.74088849803247547</v>
      </c>
      <c r="AZ49" s="61">
        <f t="shared" si="1"/>
        <v>5.8070000000000066E-2</v>
      </c>
      <c r="BA49" s="61"/>
      <c r="BB49" s="61"/>
      <c r="BC49" s="61"/>
      <c r="BD49" s="61"/>
      <c r="BG49" s="61">
        <f t="shared" si="6"/>
        <v>5.0125868482019609E-2</v>
      </c>
      <c r="BH49" s="61"/>
      <c r="BI49" s="61"/>
      <c r="BJ49" s="61"/>
      <c r="BK49" s="61"/>
    </row>
    <row r="50" spans="1:63">
      <c r="A50" s="204">
        <f t="shared" si="11"/>
        <v>2015</v>
      </c>
      <c r="B50" s="206">
        <f>IF(AND($A50&gt;=SYear72,$A50&lt;=EYear72,B$3&gt;0),B$3*VLOOKUP($A50,Data_72_15!$A$8:$AM$52,MATCH(B$2,Data_72_15!$B$2:$AM$2,0)+1),"")</f>
        <v>0.14499999999999999</v>
      </c>
      <c r="C50" s="206" t="str">
        <f>IF(AND($A50&gt;=SYear72,$A50&lt;=EYear72,C$3&gt;0),C$3*VLOOKUP($A50,Data_72_15!$A$8:$AM$52,MATCH(C$2,Data_72_15!$B$2:$AM$2,0)+1),"")</f>
        <v/>
      </c>
      <c r="D50" s="206" t="str">
        <f>IF(AND($A50&gt;=SYear72,$A50&lt;=EYear72,D$3&gt;0),D$3*VLOOKUP($A50,Data_72_15!$A$8:$AM$52,MATCH(D$2,Data_72_15!$B$2:$AM$2,0)+1),"")</f>
        <v/>
      </c>
      <c r="E50" s="206" t="str">
        <f>IF(AND($A50&gt;=SYear72,$A50&lt;=EYear72,E$3&gt;0),E$3*VLOOKUP($A50,Data_72_15!$A$8:$AM$52,MATCH(E$2,Data_72_15!$B$2:$AM$2,0)+1),"")</f>
        <v/>
      </c>
      <c r="F50" s="206" t="str">
        <f>IF(AND($A50&gt;=SYear72,$A50&lt;=EYear72,F$3&gt;0),F$3*VLOOKUP($A50,Data_72_15!$A$8:$AM$52,MATCH(F$2,Data_72_15!$B$2:$AM$2,0)+1),"")</f>
        <v/>
      </c>
      <c r="G50" s="206" t="str">
        <f>IF(AND($A50&gt;=SYear72,$A50&lt;=EYear72,G$3&gt;0),G$3*VLOOKUP($A50,Data_72_15!$A$8:$AM$52,MATCH(G$2,Data_72_15!$B$2:$AM$2,0)+1),"")</f>
        <v/>
      </c>
      <c r="H50" s="206" t="str">
        <f>IF(AND($A50&gt;=SYear72,$A50&lt;=EYear72,H$3&gt;0),H$3*VLOOKUP($A50,Data_72_15!$A$8:$AM$52,MATCH(H$2,Data_72_15!$B$2:$AM$2,0)+1),"")</f>
        <v/>
      </c>
      <c r="I50" s="206" t="str">
        <f>IF(AND($A50&gt;=SYear72,$A50&lt;=EYear72,I$3&gt;0),I$3*VLOOKUP($A50,Data_72_15!$A$8:$AM$52,MATCH(I$2,Data_72_15!$B$2:$AM$2,0)+1),"")</f>
        <v/>
      </c>
      <c r="J50" s="206" t="str">
        <f>IF(AND($A50&gt;=SYear72,$A50&lt;=EYear72,J$3&gt;0),J$3*VLOOKUP($A50,Data_72_15!$A$8:$AM$52,MATCH(J$2,Data_72_15!$B$2:$AM$2,0)+1),"")</f>
        <v/>
      </c>
      <c r="K50" s="206" t="str">
        <f>IF(AND($A50&gt;=SYear72,$A50&lt;=EYear72,K$3&gt;0),K$3*VLOOKUP($A50,Data_72_15!$A$8:$AM$52,MATCH(K$2,Data_72_15!$B$2:$AM$2,0)+1),"")</f>
        <v/>
      </c>
      <c r="L50" s="206" t="str">
        <f>IF(AND($A50&gt;=SYear72,$A50&lt;=EYear72,L$3&gt;0),L$3*VLOOKUP($A50,Data_72_15!$A$8:$AM$52,MATCH(L$2,Data_72_15!$B$2:$AM$2,0)+1),"")</f>
        <v/>
      </c>
      <c r="M50" s="206" t="str">
        <f>IF(AND($A50&gt;=SYear72,$A50&lt;=EYear72,M$3&gt;0),M$3*VLOOKUP($A50,Data_72_15!$A$8:$AM$52,MATCH(M$2,Data_72_15!$B$2:$AM$2,0)+1),"")</f>
        <v/>
      </c>
      <c r="N50" s="206">
        <f>IF(AND($A50&gt;=SYear72,$A50&lt;=EYear72,N$3&gt;0),N$3*VLOOKUP($A50,Data_72_15!$A$8:$AM$52,MATCH(N$2,Data_72_15!$B$2:$AM$2,0)+1),"")</f>
        <v>-1.3109999999999999</v>
      </c>
      <c r="O50" s="206" t="str">
        <f>IF(AND($A50&gt;=SYear72,$A50&lt;=EYear72,O$3&gt;0),O$3*VLOOKUP($A50,Data_72_15!$A$8:$AM$52,MATCH(O$2,Data_72_15!$B$2:$AM$2,0)+1),"")</f>
        <v/>
      </c>
      <c r="P50" s="206" t="str">
        <f>IF(AND($A50&gt;=SYear72,$A50&lt;=EYear72,P$3&gt;0),P$3*VLOOKUP($A50,Data_72_15!$A$8:$AM$52,MATCH(P$2,Data_72_15!$B$2:$AM$2,0)+1),"")</f>
        <v/>
      </c>
      <c r="Q50" s="206" t="str">
        <f>IF(AND($A50&gt;=SYear72,$A50&lt;=EYear72,Q$3&gt;0),Q$3*VLOOKUP($A50,Data_72_15!$A$8:$AM$52,MATCH(Q$2,Data_72_15!$B$2:$AM$2,0)+1),"")</f>
        <v/>
      </c>
      <c r="R50" s="206" t="str">
        <f>IF(AND($A50&gt;=SYear72,$A50&lt;=EYear72,R$3&gt;0),R$3*VLOOKUP($A50,Data_72_15!$A$8:$AM$52,MATCH(R$2,Data_72_15!$B$2:$AM$2,0)+1),"")</f>
        <v/>
      </c>
      <c r="S50" s="206" t="str">
        <f>IF(AND($A50&gt;=SYear72,$A50&lt;=EYear72,S$3&gt;0),S$3*VLOOKUP($A50,Data_72_15!$A$8:$AM$52,MATCH(S$2,Data_72_15!$B$2:$AM$2,0)+1),"")</f>
        <v/>
      </c>
      <c r="T50" s="206">
        <f>IF(AND($A50&gt;=SYear72,$A50&lt;=EYear72,T$3&gt;0),T$3*VLOOKUP($A50,Data_72_15!$A$8:$AM$52,MATCH(T$2,Data_72_15!$B$2:$AM$2,0)+1),"")</f>
        <v>0.30000000000000004</v>
      </c>
      <c r="U50" s="206" t="str">
        <f>IF(AND($A50&gt;=SYear72,$A50&lt;=EYear72,U$3&gt;0),U$3*VLOOKUP($A50,Data_72_15!$A$8:$AM$52,MATCH(U$2,Data_72_15!$B$2:$AM$2,0)+1),"")</f>
        <v/>
      </c>
      <c r="V50" s="206" t="str">
        <f>IF(AND($A50&gt;=SYear72,$A50&lt;=EYear72,V$3&gt;0),V$3*VLOOKUP($A50,Data_72_15!$A$8:$AM$52,MATCH(V$2,Data_72_15!$B$2:$AM$2,0)+1),"")</f>
        <v/>
      </c>
      <c r="W50" s="206" t="str">
        <f>IF(AND($A50&gt;=SYear72,$A50&lt;=EYear72,W$3&gt;0),W$3*VLOOKUP($A50,Data_72_15!$A$8:$AM$52,MATCH(W$2,Data_72_15!$B$2:$AM$2,0)+1),"")</f>
        <v/>
      </c>
      <c r="X50" s="206" t="str">
        <f>IF(AND($A50&gt;=SYear72,$A50&lt;=EYear72,X$3&gt;0),X$3*VLOOKUP($A50,Data_72_15!$A$8:$AM$52,MATCH(X$2,Data_72_15!$B$2:$AM$2,0)+1),"")</f>
        <v/>
      </c>
      <c r="Y50" s="206" t="str">
        <f>IF(AND($A50&gt;=SYear72,$A50&lt;=EYear72,Y$3&gt;0),Y$3*VLOOKUP($A50,Data_72_15!$A$8:$AM$52,MATCH(Y$2,Data_72_15!$B$2:$AM$2,0)+1),"")</f>
        <v/>
      </c>
      <c r="Z50" s="206" t="str">
        <f>IF(AND($A50&gt;=SYear72,$A50&lt;=EYear72,Z$3&gt;0),Z$3*VLOOKUP($A50,Data_72_15!$A$8:$AM$52,MATCH(Z$2,Data_72_15!$B$2:$AM$2,0)+1),"")</f>
        <v/>
      </c>
      <c r="AA50" s="206" t="str">
        <f>IF(AND($A50&gt;=SYear72,$A50&lt;=EYear72,AA$3&gt;0),AA$3*VLOOKUP($A50,Data_72_15!$A$8:$AM$52,MATCH(AA$2,Data_72_15!$B$2:$AM$2,0)+1),"")</f>
        <v/>
      </c>
      <c r="AB50" s="206" t="str">
        <f>IF(AND($A50&gt;=SYear72,$A50&lt;=EYear72,AB$3&gt;0),AB$3*VLOOKUP($A50,Data_72_15!$A$8:$AM$52,MATCH(AB$2,Data_72_15!$B$2:$AM$2,0)+1),"")</f>
        <v/>
      </c>
      <c r="AC50" s="206" t="str">
        <f>IF(AND($A50&gt;=SYear72,$A50&lt;=EYear72,AC$3&gt;0),AC$3*VLOOKUP($A50,Data_72_15!$A$8:$AM$52,MATCH(AC$2,Data_72_15!$B$2:$AM$2,0)+1),"")</f>
        <v/>
      </c>
      <c r="AD50" s="206" t="str">
        <f>IF(AND($A50&gt;=SYear72,$A50&lt;=EYear72,AD$3&gt;0),AD$3*VLOOKUP($A50,Data_72_15!$A$8:$AM$52,MATCH(AD$2,Data_72_15!$B$2:$AM$2,0)+1),"")</f>
        <v/>
      </c>
      <c r="AE50" s="206" t="str">
        <f>IF(AND($A50&gt;=SYear72,$A50&lt;=EYear72,AE$3&gt;0),AE$3*VLOOKUP($A50,Data_72_15!$A$8:$AM$52,MATCH(AE$2,Data_72_15!$B$2:$AM$2,0)+1),"")</f>
        <v/>
      </c>
      <c r="AF50" s="206" t="str">
        <f>IF(AND($A50&gt;=SYear72,$A50&lt;=EYear72,AF$3&gt;0),AF$3*VLOOKUP($A50,Data_72_15!$A$8:$AM$52,MATCH(AF$2,Data_72_15!$B$2:$AM$2,0)+1),"")</f>
        <v/>
      </c>
      <c r="AG50" s="206" t="str">
        <f>IF(AND($A50&gt;=SYear72,$A50&lt;=EYear72,AG$3&gt;0),AG$3*VLOOKUP($A50,Data_72_15!$A$8:$AM$52,MATCH(AG$2,Data_72_15!$B$2:$AM$2,0)+1),"")</f>
        <v/>
      </c>
      <c r="AH50" s="206" t="str">
        <f>IF(AND($A50&gt;=SYear72,$A50&lt;=EYear72,AH$3&gt;0),AH$3*VLOOKUP($A50,Data_72_15!$A$8:$AM$52,MATCH(AH$2,Data_72_15!$B$2:$AM$2,0)+1),"")</f>
        <v/>
      </c>
      <c r="AI50" s="206" t="str">
        <f>IF(AND($A50&gt;=SYear72,$A50&lt;=EYear72,AI$3&gt;0),AI$3*VLOOKUP($A50,Data_72_15!$A$8:$AM$52,MATCH(AI$2,Data_72_15!$B$2:$AM$2,0)+1),"")</f>
        <v/>
      </c>
      <c r="AJ50" s="206" t="str">
        <f>IF(AND($A50&gt;=SYear72,$A50&lt;=EYear72,AJ$3&gt;0),AJ$3*VLOOKUP($A50,Data_72_15!$A$8:$AM$52,MATCH(AJ$2,Data_72_15!$B$2:$AM$2,0)+1),"")</f>
        <v/>
      </c>
      <c r="AK50" s="206" t="str">
        <f>IF(AND($A50&gt;=SYear72,$A50&lt;=EYear72,AK$3&gt;0),AK$3*VLOOKUP($A50,Data_72_15!$A$8:$AM$52,MATCH(AK$2,Data_72_15!$B$2:$AM$2,0)+1),"")</f>
        <v/>
      </c>
      <c r="AL50" s="206" t="str">
        <f>IF(AND($A50&gt;=SYear72,$A50&lt;=EYear72,AL$3&gt;0),AL$3*VLOOKUP($A50,Data_72_15!$A$8:$AM$52,MATCH(AL$2,Data_72_15!$B$2:$AM$2,0)+1),"")</f>
        <v/>
      </c>
      <c r="AM50" s="206">
        <f t="shared" si="12"/>
        <v>-0.86599999999999988</v>
      </c>
      <c r="AN50" s="446">
        <f t="shared" si="13"/>
        <v>658354.9064752484</v>
      </c>
      <c r="AO50" s="206">
        <f>IF(AND($A50&gt;=SYear72,$A50&lt;=EYear72),(AM50-Data_72_15!AM51)/(1+Data_72_15!AM51%),"")</f>
        <v>-1.5839644519606697</v>
      </c>
      <c r="AP50" s="606">
        <f t="shared" si="14"/>
        <v>114399.68991071869</v>
      </c>
      <c r="AQ50" s="143">
        <f t="shared" si="15"/>
        <v>54.685139814353199</v>
      </c>
      <c r="AR50" s="143">
        <f>IF(AND($A50&gt;=SYear72,$A50&lt;=EYear72),MAX($AQ$7:AQ50),"")</f>
        <v>55.162850096186169</v>
      </c>
      <c r="AS50" s="209">
        <f t="shared" si="16"/>
        <v>8.660000000000001E-3</v>
      </c>
      <c r="AU50" s="143">
        <f>IF(AND($A50&gt;=SYear72,$A50&lt;=EYear72),Data_72_15!V51,"")</f>
        <v>0.02</v>
      </c>
      <c r="AV50" s="143">
        <f>IF(AND($A50&gt;=SYear72,$A50&lt;=EYear72),Data_72_15!AM51,"")</f>
        <v>0.72951978604158807</v>
      </c>
      <c r="AW50" s="143">
        <f t="shared" si="17"/>
        <v>-0.70438118592113896</v>
      </c>
      <c r="AZ50" s="61">
        <f t="shared" si="1"/>
        <v>-8.65999999999989E-3</v>
      </c>
      <c r="BA50" s="61"/>
      <c r="BB50" s="61"/>
      <c r="BC50" s="61"/>
      <c r="BD50" s="61"/>
      <c r="BG50" s="61">
        <f t="shared" si="6"/>
        <v>-1.5839644519606733E-2</v>
      </c>
      <c r="BH50" s="61"/>
      <c r="BI50" s="61"/>
      <c r="BJ50" s="61"/>
      <c r="BK50" s="61"/>
    </row>
    <row r="51" spans="1:63">
      <c r="A51" s="204">
        <f t="shared" si="11"/>
        <v>2016</v>
      </c>
      <c r="B51" s="206" t="str">
        <f>IF(AND($A51&gt;=SYear72,$A51&lt;=EYear72,B$3&gt;0),B$3*VLOOKUP($A51,Data_72_15!$A$8:$AM$52,MATCH(B$2,Data_72_15!$B$2:$AM$2,0)+1),"")</f>
        <v/>
      </c>
      <c r="C51" s="206" t="str">
        <f>IF(AND($A51&gt;=SYear72,$A51&lt;=EYear72,C$3&gt;0),C$3*VLOOKUP($A51,Data_72_15!$A$8:$AM$52,MATCH(C$2,Data_72_15!$B$2:$AM$2,0)+1),"")</f>
        <v/>
      </c>
      <c r="D51" s="206" t="str">
        <f>IF(AND($A51&gt;=SYear72,$A51&lt;=EYear72,D$3&gt;0),D$3*VLOOKUP($A51,Data_72_15!$A$8:$AM$52,MATCH(D$2,Data_72_15!$B$2:$AM$2,0)+1),"")</f>
        <v/>
      </c>
      <c r="E51" s="206" t="str">
        <f>IF(AND($A51&gt;=SYear72,$A51&lt;=EYear72,E$3&gt;0),E$3*VLOOKUP($A51,Data_72_15!$A$8:$AM$52,MATCH(E$2,Data_72_15!$B$2:$AM$2,0)+1),"")</f>
        <v/>
      </c>
      <c r="F51" s="206" t="str">
        <f>IF(AND($A51&gt;=SYear72,$A51&lt;=EYear72,F$3&gt;0),F$3*VLOOKUP($A51,Data_72_15!$A$8:$AM$52,MATCH(F$2,Data_72_15!$B$2:$AM$2,0)+1),"")</f>
        <v/>
      </c>
      <c r="G51" s="206" t="str">
        <f>IF(AND($A51&gt;=SYear72,$A51&lt;=EYear72,G$3&gt;0),G$3*VLOOKUP($A51,Data_72_15!$A$8:$AM$52,MATCH(G$2,Data_72_15!$B$2:$AM$2,0)+1),"")</f>
        <v/>
      </c>
      <c r="H51" s="206" t="str">
        <f>IF(AND($A51&gt;=SYear72,$A51&lt;=EYear72,H$3&gt;0),H$3*VLOOKUP($A51,Data_72_15!$A$8:$AM$52,MATCH(H$2,Data_72_15!$B$2:$AM$2,0)+1),"")</f>
        <v/>
      </c>
      <c r="I51" s="206" t="str">
        <f>IF(AND($A51&gt;=SYear72,$A51&lt;=EYear72,I$3&gt;0),I$3*VLOOKUP($A51,Data_72_15!$A$8:$AM$52,MATCH(I$2,Data_72_15!$B$2:$AM$2,0)+1),"")</f>
        <v/>
      </c>
      <c r="J51" s="206" t="str">
        <f>IF(AND($A51&gt;=SYear72,$A51&lt;=EYear72,J$3&gt;0),J$3*VLOOKUP($A51,Data_72_15!$A$8:$AM$52,MATCH(J$2,Data_72_15!$B$2:$AM$2,0)+1),"")</f>
        <v/>
      </c>
      <c r="K51" s="206" t="str">
        <f>IF(AND($A51&gt;=SYear72,$A51&lt;=EYear72,K$3&gt;0),K$3*VLOOKUP($A51,Data_72_15!$A$8:$AM$52,MATCH(K$2,Data_72_15!$B$2:$AM$2,0)+1),"")</f>
        <v/>
      </c>
      <c r="L51" s="206" t="str">
        <f>IF(AND($A51&gt;=SYear72,$A51&lt;=EYear72,L$3&gt;0),L$3*VLOOKUP($A51,Data_72_15!$A$8:$AM$52,MATCH(L$2,Data_72_15!$B$2:$AM$2,0)+1),"")</f>
        <v/>
      </c>
      <c r="M51" s="206" t="str">
        <f>IF(AND($A51&gt;=SYear72,$A51&lt;=EYear72,M$3&gt;0),M$3*VLOOKUP($A51,Data_72_15!$A$8:$AM$52,MATCH(M$2,Data_72_15!$B$2:$AM$2,0)+1),"")</f>
        <v/>
      </c>
      <c r="N51" s="206" t="str">
        <f>IF(AND($A51&gt;=SYear72,$A51&lt;=EYear72,N$3&gt;0),N$3*VLOOKUP($A51,Data_72_15!$A$8:$AM$52,MATCH(N$2,Data_72_15!$B$2:$AM$2,0)+1),"")</f>
        <v/>
      </c>
      <c r="O51" s="206" t="str">
        <f>IF(AND($A51&gt;=SYear72,$A51&lt;=EYear72,O$3&gt;0),O$3*VLOOKUP($A51,Data_72_15!$A$8:$AM$52,MATCH(O$2,Data_72_15!$B$2:$AM$2,0)+1),"")</f>
        <v/>
      </c>
      <c r="P51" s="206" t="str">
        <f>IF(AND($A51&gt;=SYear72,$A51&lt;=EYear72,P$3&gt;0),P$3*VLOOKUP($A51,Data_72_15!$A$8:$AM$52,MATCH(P$2,Data_72_15!$B$2:$AM$2,0)+1),"")</f>
        <v/>
      </c>
      <c r="Q51" s="206" t="str">
        <f>IF(AND($A51&gt;=SYear72,$A51&lt;=EYear72,Q$3&gt;0),Q$3*VLOOKUP($A51,Data_72_15!$A$8:$AM$52,MATCH(Q$2,Data_72_15!$B$2:$AM$2,0)+1),"")</f>
        <v/>
      </c>
      <c r="R51" s="206" t="str">
        <f>IF(AND($A51&gt;=SYear72,$A51&lt;=EYear72,R$3&gt;0),R$3*VLOOKUP($A51,Data_72_15!$A$8:$AM$52,MATCH(R$2,Data_72_15!$B$2:$AM$2,0)+1),"")</f>
        <v/>
      </c>
      <c r="S51" s="206" t="str">
        <f>IF(AND($A51&gt;=SYear72,$A51&lt;=EYear72,S$3&gt;0),S$3*VLOOKUP($A51,Data_72_15!$A$8:$AM$52,MATCH(S$2,Data_72_15!$B$2:$AM$2,0)+1),"")</f>
        <v/>
      </c>
      <c r="T51" s="206" t="str">
        <f>IF(AND($A51&gt;=SYear72,$A51&lt;=EYear72,T$3&gt;0),T$3*VLOOKUP($A51,Data_72_15!$A$8:$AM$52,MATCH(T$2,Data_72_15!$B$2:$AM$2,0)+1),"")</f>
        <v/>
      </c>
      <c r="U51" s="206" t="str">
        <f>IF(AND($A51&gt;=SYear72,$A51&lt;=EYear72,U$3&gt;0),U$3*VLOOKUP($A51,Data_72_15!$A$8:$AM$52,MATCH(U$2,Data_72_15!$B$2:$AM$2,0)+1),"")</f>
        <v/>
      </c>
      <c r="V51" s="206" t="str">
        <f>IF(AND($A51&gt;=SYear72,$A51&lt;=EYear72,V$3&gt;0),V$3*VLOOKUP($A51,Data_72_15!$A$8:$AM$52,MATCH(V$2,Data_72_15!$B$2:$AM$2,0)+1),"")</f>
        <v/>
      </c>
      <c r="W51" s="206" t="str">
        <f>IF(AND($A51&gt;=SYear72,$A51&lt;=EYear72,W$3&gt;0),W$3*VLOOKUP($A51,Data_72_15!$A$8:$AM$52,MATCH(W$2,Data_72_15!$B$2:$AM$2,0)+1),"")</f>
        <v/>
      </c>
      <c r="X51" s="206" t="str">
        <f>IF(AND($A51&gt;=SYear72,$A51&lt;=EYear72,X$3&gt;0),X$3*VLOOKUP($A51,Data_72_15!$A$8:$AM$52,MATCH(X$2,Data_72_15!$B$2:$AM$2,0)+1),"")</f>
        <v/>
      </c>
      <c r="Y51" s="206" t="str">
        <f>IF(AND($A51&gt;=SYear72,$A51&lt;=EYear72,Y$3&gt;0),Y$3*VLOOKUP($A51,Data_72_15!$A$8:$AM$52,MATCH(Y$2,Data_72_15!$B$2:$AM$2,0)+1),"")</f>
        <v/>
      </c>
      <c r="Z51" s="206" t="str">
        <f>IF(AND($A51&gt;=SYear72,$A51&lt;=EYear72,Z$3&gt;0),Z$3*VLOOKUP($A51,Data_72_15!$A$8:$AM$52,MATCH(Z$2,Data_72_15!$B$2:$AM$2,0)+1),"")</f>
        <v/>
      </c>
      <c r="AA51" s="206" t="str">
        <f>IF(AND($A51&gt;=SYear72,$A51&lt;=EYear72,AA$3&gt;0),AA$3*VLOOKUP($A51,Data_72_15!$A$8:$AM$52,MATCH(AA$2,Data_72_15!$B$2:$AM$2,0)+1),"")</f>
        <v/>
      </c>
      <c r="AB51" s="206" t="str">
        <f>IF(AND($A51&gt;=SYear72,$A51&lt;=EYear72,AB$3&gt;0),AB$3*VLOOKUP($A51,Data_72_15!$A$8:$AM$52,MATCH(AB$2,Data_72_15!$B$2:$AM$2,0)+1),"")</f>
        <v/>
      </c>
      <c r="AC51" s="206" t="str">
        <f>IF(AND($A51&gt;=SYear72,$A51&lt;=EYear72,AC$3&gt;0),AC$3*VLOOKUP($A51,Data_72_15!$A$8:$AM$52,MATCH(AC$2,Data_72_15!$B$2:$AM$2,0)+1),"")</f>
        <v/>
      </c>
      <c r="AD51" s="206" t="str">
        <f>IF(AND($A51&gt;=SYear72,$A51&lt;=EYear72,AD$3&gt;0),AD$3*VLOOKUP($A51,Data_72_15!$A$8:$AM$52,MATCH(AD$2,Data_72_15!$B$2:$AM$2,0)+1),"")</f>
        <v/>
      </c>
      <c r="AE51" s="206" t="str">
        <f>IF(AND($A51&gt;=SYear72,$A51&lt;=EYear72,AE$3&gt;0),AE$3*VLOOKUP($A51,Data_72_15!$A$8:$AM$52,MATCH(AE$2,Data_72_15!$B$2:$AM$2,0)+1),"")</f>
        <v/>
      </c>
      <c r="AF51" s="206" t="str">
        <f>IF(AND($A51&gt;=SYear72,$A51&lt;=EYear72,AF$3&gt;0),AF$3*VLOOKUP($A51,Data_72_15!$A$8:$AM$52,MATCH(AF$2,Data_72_15!$B$2:$AM$2,0)+1),"")</f>
        <v/>
      </c>
      <c r="AG51" s="206" t="str">
        <f>IF(AND($A51&gt;=SYear72,$A51&lt;=EYear72,AG$3&gt;0),AG$3*VLOOKUP($A51,Data_72_15!$A$8:$AM$52,MATCH(AG$2,Data_72_15!$B$2:$AM$2,0)+1),"")</f>
        <v/>
      </c>
      <c r="AH51" s="206" t="str">
        <f>IF(AND($A51&gt;=SYear72,$A51&lt;=EYear72,AH$3&gt;0),AH$3*VLOOKUP($A51,Data_72_15!$A$8:$AM$52,MATCH(AH$2,Data_72_15!$B$2:$AM$2,0)+1),"")</f>
        <v/>
      </c>
      <c r="AI51" s="206" t="str">
        <f>IF(AND($A51&gt;=SYear72,$A51&lt;=EYear72,AI$3&gt;0),AI$3*VLOOKUP($A51,Data_72_15!$A$8:$AM$52,MATCH(AI$2,Data_72_15!$B$2:$AM$2,0)+1),"")</f>
        <v/>
      </c>
      <c r="AJ51" s="206" t="str">
        <f>IF(AND($A51&gt;=SYear72,$A51&lt;=EYear72,AJ$3&gt;0),AJ$3*VLOOKUP($A51,Data_72_15!$A$8:$AM$52,MATCH(AJ$2,Data_72_15!$B$2:$AM$2,0)+1),"")</f>
        <v/>
      </c>
      <c r="AK51" s="206" t="str">
        <f>IF(AND($A51&gt;=SYear72,$A51&lt;=EYear72,AK$3&gt;0),AK$3*VLOOKUP($A51,Data_72_15!$A$8:$AM$52,MATCH(AK$2,Data_72_15!$B$2:$AM$2,0)+1),"")</f>
        <v/>
      </c>
      <c r="AL51" s="206" t="str">
        <f>IF(AND($A51&gt;=SYear72,$A51&lt;=EYear72,AL$3&gt;0),AL$3*VLOOKUP($A51,Data_72_15!$A$8:$AM$52,MATCH(AL$2,Data_72_15!$B$2:$AM$2,0)+1),"")</f>
        <v/>
      </c>
      <c r="AM51" s="206" t="str">
        <f t="shared" si="12"/>
        <v/>
      </c>
      <c r="AN51" s="446" t="str">
        <f t="shared" si="13"/>
        <v/>
      </c>
      <c r="AO51" s="206" t="str">
        <f>IF(AND($A51&gt;=SYear72,$A51&lt;=EYear72),(AM51-Data_72_15!AM52)/(1+Data_72_15!AM52%),"")</f>
        <v/>
      </c>
      <c r="AP51" s="606" t="str">
        <f t="shared" si="14"/>
        <v/>
      </c>
      <c r="AQ51" s="143" t="str">
        <f t="shared" si="15"/>
        <v/>
      </c>
      <c r="AR51" s="143" t="str">
        <f>IF(AND($A51&gt;=SYear72,$A51&lt;=EYear72),MAX($AQ$7:AQ51),"")</f>
        <v/>
      </c>
      <c r="AS51" s="209" t="str">
        <f t="shared" si="16"/>
        <v/>
      </c>
      <c r="AU51" s="143" t="str">
        <f>IF(AND($A51&gt;=SYear72,$A51&lt;=EYear72),Data_72_15!V52,"")</f>
        <v/>
      </c>
      <c r="AV51" s="143" t="str">
        <f>IF(AND($A51&gt;=SYear72,$A51&lt;=EYear72),Data_72_15!AM52,"")</f>
        <v/>
      </c>
      <c r="AW51" s="143" t="str">
        <f t="shared" si="17"/>
        <v/>
      </c>
      <c r="AZ51" s="61" t="str">
        <f t="shared" si="1"/>
        <v/>
      </c>
      <c r="BA51" s="61"/>
      <c r="BB51" s="61"/>
      <c r="BC51" s="61"/>
      <c r="BD51" s="61"/>
      <c r="BG51" s="61" t="str">
        <f t="shared" si="6"/>
        <v/>
      </c>
      <c r="BH51" s="61"/>
      <c r="BI51" s="61"/>
      <c r="BJ51" s="61"/>
      <c r="BK51" s="61"/>
    </row>
    <row r="52" spans="1:63" ht="13" thickBot="1">
      <c r="A52" s="210" t="s">
        <v>309</v>
      </c>
      <c r="B52" s="211" t="str">
        <f>IF(AND($A52&gt;EYear72-Portfolio!$B$85,EYear72&gt;=$A52),IF(B$3&gt;0,B$3*Data_72_15!B53,""),"")</f>
        <v/>
      </c>
      <c r="C52" s="211" t="str">
        <f>IF(AND($A52&gt;EYear72-Portfolio!$B$85,EYear72&gt;=$A52),IF(C$3&gt;0,C$3*Data_72_15!C53,""),"")</f>
        <v/>
      </c>
      <c r="D52" s="211" t="str">
        <f>IF(AND($A52&gt;EYear72-Portfolio!$B$85,EYear72&gt;=$A52),IF(D$3&gt;0,D$3*Data_72_15!D53,""),"")</f>
        <v/>
      </c>
      <c r="E52" s="211" t="str">
        <f>IF(AND($A52&gt;EYear72-Portfolio!$B$85,EYear72&gt;=$A52),IF(E$3&gt;0,E$3*Data_72_15!E53,""),"")</f>
        <v/>
      </c>
      <c r="F52" s="211" t="str">
        <f>IF(AND($A52&gt;EYear72-Portfolio!$B$85,EYear72&gt;=$A52),IF(F$3&gt;0,F$3*Data_72_15!F53,""),"")</f>
        <v/>
      </c>
      <c r="G52" s="211" t="str">
        <f>IF(AND($A52&gt;EYear72-Portfolio!$B$85,EYear72&gt;=$A52),IF(G$3&gt;0,G$3*Data_72_15!G53,""),"")</f>
        <v/>
      </c>
      <c r="H52" s="211" t="str">
        <f>IF(AND($A52&gt;EYear72-Portfolio!$B$85,EYear72&gt;=$A52),IF(H$3&gt;0,H$3*Data_72_15!H53,""),"")</f>
        <v/>
      </c>
      <c r="I52" s="206" t="str">
        <f>IF(AND($A52&gt;EYear72-Portfolio!$B$85,EYear72&gt;=$A52),IF(I$3&gt;0,I$3*Data_72_15!I53,""),"")</f>
        <v/>
      </c>
      <c r="J52" s="206" t="str">
        <f>IF(AND($A52&gt;EYear72-Portfolio!$B$85,EYear72&gt;=$A52),IF(J$3&gt;0,J$3*Data_72_15!J53,""),"")</f>
        <v/>
      </c>
      <c r="K52" s="206" t="str">
        <f>IF(AND($A52&gt;EYear72-Portfolio!$B$85,EYear72&gt;=$A52),IF(K$3&gt;0,K$3*Data_72_15!K53,""),"")</f>
        <v/>
      </c>
      <c r="L52" s="206" t="str">
        <f>IF(AND($A52&gt;EYear72-Portfolio!$B$85,EYear72&gt;=$A52),IF(L$3&gt;0,L$3*Data_72_15!L53,""),"")</f>
        <v/>
      </c>
      <c r="M52" s="206"/>
      <c r="N52" s="206" t="str">
        <f>IF(AND($A52&gt;EYear72-Portfolio!$B$85,EYear72&gt;=$A52),IF(N$3&gt;0,N$3*Data_72_15!N53,""),"")</f>
        <v/>
      </c>
      <c r="O52" s="206"/>
      <c r="P52" s="206"/>
      <c r="Q52" s="206"/>
      <c r="R52" s="206" t="str">
        <f>IF(AND($A52&gt;EYear72-Portfolio!$B$85,EYear72&gt;=$A52),IF(R$3&gt;0,R$3*Data_72_15!R53,""),"")</f>
        <v/>
      </c>
      <c r="S52" s="206" t="str">
        <f>IF(AND($A52&gt;EYear72-Portfolio!$B$85,EYear72&gt;=$A52),IF(S$3&gt;0,S$3*Data_72_15!S53,""),"")</f>
        <v/>
      </c>
      <c r="T52" s="206" t="str">
        <f>IF(AND($A52&gt;EYear72-Portfolio!$B$85,EYear72&gt;=$A52),IF(T$3&gt;0,T$3*Data_72_15!T53,""),"")</f>
        <v/>
      </c>
      <c r="U52" s="206" t="str">
        <f>IF(AND($A52&gt;EYear72-Portfolio!$B$85,EYear72&gt;=$A52),IF(U$3&gt;0,U$3*Data_72_15!U53,""),"")</f>
        <v/>
      </c>
      <c r="V52" s="206" t="str">
        <f>IF(AND($A52&gt;EYear72-Portfolio!$B$85,EYear72&gt;=$A52),IF(V$3&gt;0,V$3*Data_72_15!V53,""),"")</f>
        <v/>
      </c>
      <c r="W52" s="206" t="str">
        <f>IF(AND($A52&gt;EYear72-Portfolio!$B$85,EYear72&gt;=$A52),IF(W$3&gt;0,W$3*Data_72_15!W53,""),"")</f>
        <v/>
      </c>
      <c r="X52" s="206" t="str">
        <f>IF(AND($A52&gt;EYear72-Portfolio!$B$85,EYear72&gt;=$A52),IF(X$3&gt;0,X$3*Data_72_15!X53,""),"")</f>
        <v/>
      </c>
      <c r="Y52" s="206" t="str">
        <f>IF(AND($A52&gt;EYear72-Portfolio!$B$85,EYear72&gt;=$A52),IF(Y$3&gt;0,Y$3*Data_72_15!Y53,""),"")</f>
        <v/>
      </c>
      <c r="Z52" s="206"/>
      <c r="AA52" s="206"/>
      <c r="AB52" s="206"/>
      <c r="AC52" s="206"/>
      <c r="AD52" s="206"/>
      <c r="AE52" s="206"/>
      <c r="AF52" s="206"/>
      <c r="AG52" s="206"/>
      <c r="AH52" s="206"/>
      <c r="AI52" s="206"/>
      <c r="AJ52" s="206"/>
      <c r="AK52" s="206"/>
      <c r="AL52" s="206"/>
      <c r="AM52" s="206"/>
      <c r="AN52" s="206"/>
      <c r="AO52" s="32"/>
      <c r="AP52" s="207"/>
      <c r="AU52" t="str">
        <f>IF(AND($A52&gt;=SYear72,$A52&lt;=EYear72),Data_72_15!V54,"")</f>
        <v/>
      </c>
    </row>
    <row r="53" spans="1:63" s="26" customFormat="1" ht="21" thickBot="1">
      <c r="A53" s="212" t="s">
        <v>406</v>
      </c>
      <c r="B53" s="213" t="s">
        <v>175</v>
      </c>
      <c r="C53" s="213" t="s">
        <v>176</v>
      </c>
      <c r="D53" s="213" t="s">
        <v>177</v>
      </c>
      <c r="E53" s="213" t="s">
        <v>178</v>
      </c>
      <c r="F53" s="477" t="s">
        <v>179</v>
      </c>
      <c r="G53" s="477" t="s">
        <v>180</v>
      </c>
      <c r="H53" s="474" t="s">
        <v>181</v>
      </c>
      <c r="I53" s="214"/>
      <c r="J53" s="215"/>
      <c r="K53" s="215"/>
      <c r="L53" s="215"/>
      <c r="M53" s="215"/>
      <c r="N53" s="216"/>
      <c r="O53" s="215"/>
      <c r="P53" s="215"/>
      <c r="Q53" s="215"/>
      <c r="R53" s="215"/>
      <c r="S53" s="215"/>
      <c r="T53" s="215"/>
      <c r="U53" s="215"/>
      <c r="V53" s="215"/>
      <c r="W53" s="215"/>
      <c r="X53" s="215"/>
      <c r="Y53" s="215"/>
      <c r="Z53" s="215"/>
      <c r="AA53" s="215"/>
      <c r="AB53" s="215"/>
      <c r="AC53" s="215"/>
      <c r="AD53" s="215"/>
      <c r="AE53" s="215"/>
      <c r="AF53" s="215"/>
      <c r="AG53" s="215"/>
      <c r="AH53" s="215"/>
      <c r="AI53" s="215"/>
      <c r="AJ53" s="215"/>
      <c r="AK53" s="215"/>
      <c r="AL53" s="215"/>
      <c r="AM53" s="215"/>
      <c r="AN53" s="215"/>
      <c r="AO53" s="215"/>
      <c r="AP53" s="217"/>
    </row>
    <row r="54" spans="1:63" ht="14" thickTop="1" thickBot="1">
      <c r="A54" s="218" t="s">
        <v>407</v>
      </c>
      <c r="B54" s="441">
        <f>IF(AM3="ERROR","ERROR",VLOOKUP(EYear72,Rebal_ReturnsTable72,COLUMN(AN35),FALSE))</f>
        <v>658354.9064752484</v>
      </c>
      <c r="C54" s="219">
        <f>RATE(Portfolio!$B$85,0,-$AN$4,B54)*100</f>
        <v>9.9837790787982073</v>
      </c>
      <c r="D54" s="219">
        <f ca="1">STDEV(Rebal_NominalReturns72)</f>
        <v>14.408576154577323</v>
      </c>
      <c r="E54" s="219">
        <f ca="1">((AVERAGE(Rebal_NominalReturns72))-(AVERAGE(TBill72)))/STDEV(Rebal_NominalReturns72)</f>
        <v>0.4172978162244334</v>
      </c>
      <c r="F54" s="219">
        <f t="array" aca="1" ref="F54" ca="1">(AVERAGE(Rebal_NominalReturns72)-MAR72_Nominal*100)/SQRT(SUM(IF(Rebal_NominalReturns72&lt;MAR72_Nominal*100,(Rebal_NominalReturns72-MAR72_Nominal*100)^2))/COUNT(Rebal_NominalReturns72))</f>
        <v>0.71667965642104492</v>
      </c>
      <c r="G54" s="472">
        <f ca="1">PEARSON(Rebal_NominalReturns72,OFFSET(Data_72_15!$B$8,$A$56,0,$C$56,1))</f>
        <v>0.93436730379669208</v>
      </c>
      <c r="H54" s="475">
        <f ca="1">PEARSON(Rebal_NominalReturns72,OFFSET(Data_72_15!$N$8,$A$56,0,$C$56,1))</f>
        <v>0.87094672658932015</v>
      </c>
      <c r="I54" s="220"/>
      <c r="K54" s="32"/>
      <c r="L54" s="32"/>
      <c r="M54" s="221"/>
      <c r="N54" s="222"/>
      <c r="O54" s="215"/>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207"/>
    </row>
    <row r="55" spans="1:63" ht="13" thickBot="1">
      <c r="A55" s="223" t="s">
        <v>408</v>
      </c>
      <c r="B55" s="442">
        <f>IF(AM4="ERROR","ERROR",VLOOKUP(EYear72,Rebal_ReturnsTable72,COLUMN(AP45),FALSE))</f>
        <v>114399.68991071869</v>
      </c>
      <c r="C55" s="224">
        <f>RATE(Portfolio!$B$85,0,-$AN$4,B55)*100</f>
        <v>5.6951623473486963</v>
      </c>
      <c r="D55" s="224">
        <f ca="1">STDEV(Rebal_RealReturns72)</f>
        <v>14.410291446760924</v>
      </c>
      <c r="E55" s="224">
        <f ca="1">((AVERAGE(Rebal_RealReturns72))-(AVERAGE(TBill72_Real)))/STDEV(Rebal_RealReturns72)</f>
        <v>0.40790140905308386</v>
      </c>
      <c r="F55" s="473">
        <f t="array" aca="1" ref="F55" ca="1">(AVERAGE(Rebal_RealReturns72)-MAR72_Real*100)/SQRT(SUM(IF(Rebal_RealReturns72&lt;MAR72_Real*100,(Rebal_RealReturns72-MAR72_Real*100)^2))/COUNT(Rebal_RealReturns72))</f>
        <v>0.5369249732638347</v>
      </c>
      <c r="G55" s="293">
        <f ca="1">PEARSON(Rebal_RealReturns72,OFFSET(Data_72_15!$B$8,$A$56,0,$C$56,1))</f>
        <v>0.91281029112298528</v>
      </c>
      <c r="H55" s="476">
        <f ca="1">PEARSON(Rebal_RealReturns72,OFFSET(Data_72_15!$N$8,$A$56,0,$C$56,1))</f>
        <v>0.84843303687541449</v>
      </c>
      <c r="J55" s="225"/>
      <c r="K55" s="225"/>
      <c r="L55" s="225"/>
      <c r="M55" s="226"/>
      <c r="N55" s="225"/>
      <c r="O55" s="225"/>
      <c r="P55" s="225"/>
      <c r="Q55" s="225"/>
      <c r="R55" s="225"/>
      <c r="S55" s="225"/>
      <c r="T55" s="225"/>
      <c r="U55" s="225"/>
      <c r="V55" s="225"/>
      <c r="W55" s="225"/>
      <c r="X55" s="225"/>
      <c r="Y55" s="225"/>
      <c r="Z55" s="225"/>
      <c r="AA55" s="225"/>
      <c r="AB55" s="225"/>
      <c r="AC55" s="225"/>
      <c r="AD55" s="225"/>
      <c r="AE55" s="225"/>
      <c r="AF55" s="225"/>
      <c r="AG55" s="225"/>
      <c r="AH55" s="225"/>
      <c r="AI55" s="225"/>
      <c r="AJ55" s="225"/>
      <c r="AK55" s="225"/>
      <c r="AL55" s="225"/>
      <c r="AM55" s="225"/>
      <c r="AN55" s="225"/>
      <c r="AO55" s="225"/>
      <c r="AP55" s="227"/>
    </row>
    <row r="56" spans="1:63" ht="13" thickTop="1">
      <c r="A56" s="425">
        <f>MATCH(SYear72,A7:A51,0)-1</f>
        <v>0</v>
      </c>
      <c r="B56" s="426">
        <f>MATCH(EYear72,A7:A51,0)-1</f>
        <v>43</v>
      </c>
      <c r="C56" s="426">
        <f>B56-A56+1</f>
        <v>44</v>
      </c>
      <c r="E56" s="36" t="str">
        <f>"Portfolio Growth (Nominal) "&amp;TEXT(Portfolio!$B$86,"0")&amp;" - "&amp;TEXT(Portfolio!$B$87,"0")</f>
        <v>Portfolio Growth (Nominal) 1972 - 2015</v>
      </c>
      <c r="I56" s="493" t="str">
        <f>"Portfolio Growth (Real) "&amp;TEXT(Portfolio!$B$86,"0")&amp;" - "&amp;TEXT(Portfolio!$B$87,"0")</f>
        <v>Portfolio Growth (Real) 1972 - 2015</v>
      </c>
      <c r="J56" s="230"/>
      <c r="K56" s="230"/>
      <c r="L56" s="230"/>
      <c r="M56" s="230" t="str">
        <f>"Portfolio Nominal (Rebalanced) = "&amp;TEXT($B54,"#,##0")</f>
        <v>Portfolio Nominal (Rebalanced) = 658,355</v>
      </c>
      <c r="O56" s="15"/>
      <c r="P56" s="15"/>
      <c r="Q56" s="230" t="str">
        <f>"Portfolio Real (Rebalanced) = "&amp;TEXT($B55,"#,##0")</f>
        <v>Portfolio Real (Rebalanced) = 114,400</v>
      </c>
      <c r="S56" s="230"/>
      <c r="T56" s="230"/>
      <c r="U56" s="36" t="str">
        <f>"Rolling Returns (Nominal) "&amp;TEXT(Portfolio!$B$86,"0")&amp;" - "&amp;TEXT(Portfolio!$B$87,"0")</f>
        <v>Rolling Returns (Nominal) 1972 - 2015</v>
      </c>
      <c r="Y56" s="36" t="str">
        <f>"Rolling Returns (Real)  "&amp;TEXT(Portfolio!$B$86,"0")&amp;" - "&amp;TEXT(Portfolio!$B$87,"0")</f>
        <v>Rolling Returns (Real)  1972 - 2015</v>
      </c>
    </row>
    <row r="57" spans="1:63" ht="13" thickBot="1">
      <c r="A57" s="36" t="s">
        <v>409</v>
      </c>
    </row>
    <row r="58" spans="1:63" ht="21" thickTop="1">
      <c r="A58" s="231" t="s">
        <v>406</v>
      </c>
      <c r="B58" s="232" t="s">
        <v>370</v>
      </c>
      <c r="C58" s="232" t="s">
        <v>371</v>
      </c>
      <c r="D58" s="232" t="s">
        <v>372</v>
      </c>
      <c r="E58" s="232" t="s">
        <v>373</v>
      </c>
      <c r="F58" s="232" t="s">
        <v>374</v>
      </c>
      <c r="G58" s="232" t="s">
        <v>375</v>
      </c>
      <c r="H58" s="232" t="s">
        <v>376</v>
      </c>
      <c r="I58" s="232" t="s">
        <v>377</v>
      </c>
      <c r="J58" s="232" t="s">
        <v>378</v>
      </c>
      <c r="K58" s="232" t="s">
        <v>114</v>
      </c>
      <c r="L58" s="232" t="s">
        <v>292</v>
      </c>
      <c r="M58" s="232" t="s">
        <v>299</v>
      </c>
      <c r="N58" s="232" t="s">
        <v>410</v>
      </c>
      <c r="O58" s="232" t="s">
        <v>318</v>
      </c>
      <c r="P58" s="232" t="s">
        <v>325</v>
      </c>
      <c r="Q58" s="232" t="s">
        <v>379</v>
      </c>
      <c r="R58" s="232" t="s">
        <v>380</v>
      </c>
      <c r="S58" s="232" t="s">
        <v>381</v>
      </c>
      <c r="T58" s="232" t="s">
        <v>382</v>
      </c>
      <c r="U58" s="232" t="s">
        <v>383</v>
      </c>
      <c r="V58" s="232" t="s">
        <v>384</v>
      </c>
      <c r="W58" s="232" t="s">
        <v>300</v>
      </c>
      <c r="X58" s="232" t="s">
        <v>386</v>
      </c>
      <c r="Y58" s="232" t="s">
        <v>386</v>
      </c>
      <c r="Z58" s="232" t="s">
        <v>143</v>
      </c>
      <c r="AA58" s="232" t="s">
        <v>387</v>
      </c>
      <c r="AB58" s="233" t="str">
        <f>IF(Data_72_15!AB$1="???","",Data_72_15!AB$1)</f>
        <v>GOLD</v>
      </c>
      <c r="AC58" s="233" t="str">
        <f>IF(Data_72_15!AC$1="???","",Data_72_15!AC$1)</f>
        <v>VG Intl Small</v>
      </c>
      <c r="AD58" s="233">
        <f>IF(Data_72_15!AD$1="???","",Data_72_15!AD$1)</f>
        <v>0</v>
      </c>
      <c r="AE58" s="233">
        <f>IF(Data_72_15!AE$1="???","",Data_72_15!AE$1)</f>
        <v>0</v>
      </c>
      <c r="AF58" s="233">
        <f>IF(Data_72_15!AF$1="???","",Data_72_15!AF$1)</f>
        <v>0</v>
      </c>
      <c r="AG58" s="234">
        <f>IF(Data_72_15!AG$1="???","",Data_72_15!AG$1)</f>
        <v>0</v>
      </c>
      <c r="AH58" s="234">
        <f>IF(Data_72_15!AH$1="???","",Data_72_15!AH$1)</f>
        <v>0</v>
      </c>
      <c r="AI58" s="234">
        <f>IF(Data_72_15!AI$1="???","",Data_72_15!AI$1)</f>
        <v>0</v>
      </c>
      <c r="AJ58" s="234">
        <f>IF(Data_72_15!AJ$1="???","",Data_72_15!AJ$1)</f>
        <v>0</v>
      </c>
      <c r="AK58" s="234">
        <f>IF(Data_72_15!AK$1="???","",Data_72_15!AK$1)</f>
        <v>0</v>
      </c>
      <c r="AL58" s="234">
        <f>IF(Data_72_15!AL$1="???","",Data_72_15!AL$1)</f>
        <v>0</v>
      </c>
      <c r="AM58" s="235"/>
      <c r="AN58" s="236"/>
    </row>
    <row r="59" spans="1:63">
      <c r="A59" s="237" t="s">
        <v>411</v>
      </c>
      <c r="B59" s="165" t="s">
        <v>97</v>
      </c>
      <c r="C59" s="165" t="s">
        <v>99</v>
      </c>
      <c r="D59" s="165" t="s">
        <v>101</v>
      </c>
      <c r="E59" s="165" t="s">
        <v>103</v>
      </c>
      <c r="F59" s="165" t="s">
        <v>105</v>
      </c>
      <c r="G59" s="165" t="s">
        <v>107</v>
      </c>
      <c r="H59" s="165" t="s">
        <v>109</v>
      </c>
      <c r="I59" s="165" t="s">
        <v>111</v>
      </c>
      <c r="J59" s="165" t="s">
        <v>113</v>
      </c>
      <c r="K59" s="165" t="s">
        <v>115</v>
      </c>
      <c r="L59" s="165" t="s">
        <v>624</v>
      </c>
      <c r="M59" s="165" t="s">
        <v>118</v>
      </c>
      <c r="N59" s="165" t="s">
        <v>120</v>
      </c>
      <c r="O59" s="165" t="s">
        <v>122</v>
      </c>
      <c r="P59" s="165" t="s">
        <v>124</v>
      </c>
      <c r="Q59" s="165" t="s">
        <v>126</v>
      </c>
      <c r="R59" s="165" t="s">
        <v>128</v>
      </c>
      <c r="S59" s="165" t="s">
        <v>130</v>
      </c>
      <c r="T59" s="165" t="s">
        <v>132</v>
      </c>
      <c r="U59" s="165" t="s">
        <v>134</v>
      </c>
      <c r="V59" s="165" t="s">
        <v>194</v>
      </c>
      <c r="W59" s="165" t="s">
        <v>138</v>
      </c>
      <c r="X59" s="165" t="s">
        <v>140</v>
      </c>
      <c r="Y59" s="165" t="s">
        <v>142</v>
      </c>
      <c r="Z59" s="165" t="s">
        <v>144</v>
      </c>
      <c r="AA59" s="165" t="s">
        <v>148</v>
      </c>
      <c r="AB59" s="238" t="str">
        <f>IF(Data_85_15!AM$2="???","",Data_85_15!AM$2)</f>
        <v>PIGLX</v>
      </c>
      <c r="AC59" s="238" t="str">
        <f>IF(Data_72_15!AC$2="???","",Data_72_15!AC$2)</f>
        <v>VFSVX</v>
      </c>
      <c r="AD59" s="238">
        <f>IF(Data_72_15!AD$2="???","",Data_72_15!AD$2)</f>
        <v>0</v>
      </c>
      <c r="AE59" s="238">
        <f>IF(Data_72_15!AE$2="???","",Data_72_15!AE$2)</f>
        <v>0</v>
      </c>
      <c r="AF59" s="238">
        <f>IF(Data_72_15!AF$2="???","",Data_72_15!AF$2)</f>
        <v>0</v>
      </c>
      <c r="AG59" s="239">
        <f>IF(Data_72_15!AG$2="???","",Data_72_15!AG$2)</f>
        <v>0</v>
      </c>
      <c r="AH59" s="239">
        <f>IF(Data_72_15!AH$2="???","",Data_72_15!AH$2)</f>
        <v>0</v>
      </c>
      <c r="AI59" s="239">
        <f>IF(Data_72_15!AI$2="???","",Data_72_15!AI$2)</f>
        <v>0</v>
      </c>
      <c r="AJ59" s="239">
        <f>IF(Data_72_15!AJ$2="???","",Data_72_15!AJ$2)</f>
        <v>0</v>
      </c>
      <c r="AK59" s="239">
        <f>IF(Data_72_15!AK$2="???","",Data_72_15!AK$2)</f>
        <v>0</v>
      </c>
      <c r="AL59" s="239">
        <f>IF(Data_72_15!AL$2="???","",Data_72_15!AL$2)</f>
        <v>0</v>
      </c>
      <c r="AM59" s="240"/>
      <c r="AN59" s="48"/>
    </row>
    <row r="60" spans="1:63">
      <c r="A60" s="241"/>
      <c r="B60" s="242">
        <f ca="1">IF(ISERROR(PEARSON(OFFSET(Returns_72_15!$AM$7,$A$56,0,$C$56,1),OFFSET(Data_72_15!B$8,$A$56,0,$C$56,1))),"",PEARSON(OFFSET(Returns_72_15!$AM$7,$A$56,0,$C$56,1),OFFSET(Data_72_15!B$8,$A$56,0,$C$56,1)))</f>
        <v>0.93436730379669208</v>
      </c>
      <c r="C60" s="242">
        <f ca="1">IF(ISERROR(PEARSON(OFFSET(Returns_72_15!$AM$7,$A$56,0,$C$56,1),OFFSET(Data_72_15!C$8,$A$56,0,$C$56,1))),"",PEARSON(OFFSET(Returns_72_15!$AM$7,$A$56,0,$C$56,1),OFFSET(Data_72_15!C$8,$A$56,0,$C$56,1)))</f>
        <v>0.88008807954858648</v>
      </c>
      <c r="D60" s="242">
        <f ca="1">IF(ISERROR(PEARSON(OFFSET(Returns_72_15!$AM$7,$A$56,0,$C$56,1),OFFSET(Data_72_15!D$8,$A$56,0,$C$56,1))),"",PEARSON(OFFSET(Returns_72_15!$AM$7,$A$56,0,$C$56,1),OFFSET(Data_72_15!D$8,$A$56,0,$C$56,1)))</f>
        <v>0.92776616833398284</v>
      </c>
      <c r="E60" s="242">
        <f ca="1">IF(ISERROR(PEARSON(OFFSET(Returns_72_15!$AM$7,$A$56,0,$C$56,1),OFFSET(Data_72_15!E$8,$A$56,0,$C$56,1))),"",PEARSON(OFFSET(Returns_72_15!$AM$7,$A$56,0,$C$56,1),OFFSET(Data_72_15!E$8,$A$56,0,$C$56,1)))</f>
        <v>0.88299213732804638</v>
      </c>
      <c r="F60" s="242">
        <f ca="1">IF(ISERROR(PEARSON(OFFSET(Returns_72_15!$AM$7,$A$56,0,$C$56,1),OFFSET(Data_72_15!F$8,$A$56,0,$C$56,1))),"",PEARSON(OFFSET(Returns_72_15!$AM$7,$A$56,0,$C$56,1),OFFSET(Data_72_15!F$8,$A$56,0,$C$56,1)))</f>
        <v>0.8612525987915326</v>
      </c>
      <c r="G60" s="242">
        <f ca="1">IF(ISERROR(PEARSON(OFFSET(Returns_72_15!$AM$7,$A$56,0,$C$56,1),OFFSET(Data_72_15!G$8,$A$56,0,$C$56,1))),"",PEARSON(OFFSET(Returns_72_15!$AM$7,$A$56,0,$C$56,1),OFFSET(Data_72_15!G$8,$A$56,0,$C$56,1)))</f>
        <v>0.69860677517049274</v>
      </c>
      <c r="H60" s="242">
        <f ca="1">IF(ISERROR(PEARSON(OFFSET(Returns_72_15!$AM$7,$A$56,0,$C$56,1),OFFSET(Data_72_15!H$8,$A$56,0,$C$56,1))),"",PEARSON(OFFSET(Returns_72_15!$AM$7,$A$56,0,$C$56,1),OFFSET(Data_72_15!H$8,$A$56,0,$C$56,1)))</f>
        <v>0.81494056535270676</v>
      </c>
      <c r="I60" s="242">
        <f ca="1">IF(ISERROR(PEARSON(OFFSET(Returns_72_15!$AM$7,$A$56,0,$C$56,1),OFFSET(Data_72_15!I$8,$A$56,0,$C$56,1))),"",PEARSON(OFFSET(Returns_72_15!$AM$7,$A$56,0,$C$56,1),OFFSET(Data_72_15!I$8,$A$56,0,$C$56,1)))</f>
        <v>0.79759171448796207</v>
      </c>
      <c r="J60" s="242">
        <f ca="1">IF(ISERROR(PEARSON(OFFSET(Returns_72_15!$AM$7,$A$56,0,$C$56,1),OFFSET(Data_72_15!J$8,$A$56,0,$C$56,1))),"",PEARSON(OFFSET(Returns_72_15!$AM$7,$A$56,0,$C$56,1),OFFSET(Data_72_15!J$8,$A$56,0,$C$56,1)))</f>
        <v>0.67838770500026657</v>
      </c>
      <c r="K60" s="242">
        <f ca="1">IF(ISERROR(PEARSON(OFFSET(Returns_72_15!$AM$7,$A$56,0,$C$56,1),OFFSET(Data_72_15!K$8,$A$56,0,$C$56,1))),"",PEARSON(OFFSET(Returns_72_15!$AM$7,$A$56,0,$C$56,1),OFFSET(Data_72_15!K$8,$A$56,0,$C$56,1)))</f>
        <v>0.56042654054209784</v>
      </c>
      <c r="L60" s="242">
        <f ca="1">IF(ISERROR(PEARSON(OFFSET(Returns_72_15!$AM$7,$A$56,0,$C$56,1),OFFSET(Data_72_15!L$8,$A$56,0,$C$56,1))),"",PEARSON(OFFSET(Returns_72_15!$AM$7,$A$56,0,$C$56,1),OFFSET(Data_72_15!L$8,$A$56,0,$C$56,1)))</f>
        <v>0.86897034131789397</v>
      </c>
      <c r="M60" s="242">
        <f ca="1">IF(ISERROR(PEARSON(OFFSET(Returns_72_15!$AM$7,$A$56,0,$C$56,1),OFFSET(Data_72_15!M$8,$A$56,0,$C$56,1))),"",PEARSON(OFFSET(Returns_72_15!$AM$7,$A$56,0,$C$56,1),OFFSET(Data_72_15!M$8,$A$56,0,$C$56,1)))</f>
        <v>0.73046958251633709</v>
      </c>
      <c r="N60" s="242">
        <f ca="1">IF(ISERROR(PEARSON(OFFSET(Returns_72_15!$AM$7,$A$56,0,$C$56,1),OFFSET(Data_72_15!N$8,$A$56,0,$C$56,1))),"",PEARSON(OFFSET(Returns_72_15!$AM$7,$A$56,0,$C$56,1),OFFSET(Data_72_15!N$8,$A$56,0,$C$56,1)))</f>
        <v>0.87094672658932015</v>
      </c>
      <c r="O60" s="242">
        <f ca="1">IF(ISERROR(PEARSON(OFFSET(Returns_72_15!$AM$7,$A$56,0,$C$56,1),OFFSET(Data_72_15!O$8,$A$56,0,$C$56,1))),"",PEARSON(OFFSET(Returns_72_15!$AM$7,$A$56,0,$C$56,1),OFFSET(Data_72_15!O$8,$A$56,0,$C$56,1)))</f>
        <v>0.6591930581977733</v>
      </c>
      <c r="P60" s="242">
        <f ca="1">IF(ISERROR(PEARSON(OFFSET(Returns_72_15!$AM$7,$A$56,0,$C$56,1),OFFSET(Data_72_15!P$8,$A$56,0,$C$56,1))),"",PEARSON(OFFSET(Returns_72_15!$AM$7,$A$56,0,$C$56,1),OFFSET(Data_72_15!P$8,$A$56,0,$C$56,1)))</f>
        <v>0.88334798187369856</v>
      </c>
      <c r="Q60" s="242">
        <f ca="1">IF(ISERROR(PEARSON(OFFSET(Returns_72_15!$AM$7,$A$56,0,$C$56,1),OFFSET(Data_72_15!Q$8,$A$56,0,$C$56,1))),"",PEARSON(OFFSET(Returns_72_15!$AM$7,$A$56,0,$C$56,1),OFFSET(Data_72_15!Q$8,$A$56,0,$C$56,1)))</f>
        <v>0.82321820475671648</v>
      </c>
      <c r="R60" s="242">
        <f ca="1">IF(ISERROR(PEARSON(OFFSET(Returns_72_15!$AM$7,$A$56,0,$C$56,1),OFFSET(Data_72_15!R$8,$A$56,0,$C$56,1))),"",PEARSON(OFFSET(Returns_72_15!$AM$7,$A$56,0,$C$56,1),OFFSET(Data_72_15!R$8,$A$56,0,$C$56,1)))</f>
        <v>0.1343758610725771</v>
      </c>
      <c r="S60" s="242">
        <f ca="1">IF(ISERROR(PEARSON(OFFSET(Returns_72_15!$AM$7,$A$56,0,$C$56,1),OFFSET(Data_72_15!S$8,$A$56,0,$C$56,1))),"",PEARSON(OFFSET(Returns_72_15!$AM$7,$A$56,0,$C$56,1),OFFSET(Data_72_15!S$8,$A$56,0,$C$56,1)))</f>
        <v>5.395097521139687E-2</v>
      </c>
      <c r="T60" s="242">
        <f ca="1">IF(ISERROR(PEARSON(OFFSET(Returns_72_15!$AM$7,$A$56,0,$C$56,1),OFFSET(Data_72_15!T$8,$A$56,0,$C$56,1))),"",PEARSON(OFFSET(Returns_72_15!$AM$7,$A$56,0,$C$56,1),OFFSET(Data_72_15!T$8,$A$56,0,$C$56,1)))</f>
        <v>7.5044252942341544E-2</v>
      </c>
      <c r="U60" s="242">
        <f ca="1">IF(ISERROR(PEARSON(OFFSET(Returns_72_15!$AM$7,$A$56,0,$C$56,1),OFFSET(Data_72_15!U$8,$A$56,0,$C$56,1))),"",PEARSON(OFFSET(Returns_72_15!$AM$7,$A$56,0,$C$56,1),OFFSET(Data_72_15!U$8,$A$56,0,$C$56,1)))</f>
        <v>0.24209463404285494</v>
      </c>
      <c r="V60" s="242">
        <f ca="1">IF(ISERROR(PEARSON(OFFSET(Returns_72_15!$AM$7,$A$56,0,$C$56,1),OFFSET(Data_72_15!V$8,$A$56,0,$C$56,1))),"",PEARSON(OFFSET(Returns_72_15!$AM$7,$A$56,0,$C$56,1),OFFSET(Data_72_15!V$8,$A$56,0,$C$56,1)))</f>
        <v>6.9863686213047643E-2</v>
      </c>
      <c r="W60" s="242">
        <f ca="1">IF(ISERROR(PEARSON(OFFSET(Returns_72_15!$AM$7,$A$56,0,$C$56,1),OFFSET(Data_72_15!W$8,$A$56,0,$C$56,1))),"",PEARSON(OFFSET(Returns_72_15!$AM$7,$A$56,0,$C$56,1),OFFSET(Data_72_15!W$8,$A$56,0,$C$56,1)))</f>
        <v>0.27618271013692364</v>
      </c>
      <c r="X60" s="242">
        <f ca="1">IF(ISERROR(PEARSON(OFFSET(Returns_72_15!$AM$7,$A$56,0,$C$56,1),OFFSET(Data_72_15!X$8,$A$56,0,$C$56,1))),"",PEARSON(OFFSET(Returns_72_15!$AM$7,$A$56,0,$C$56,1),OFFSET(Data_72_15!X$8,$A$56,0,$C$56,1)))</f>
        <v>0.8828148347818886</v>
      </c>
      <c r="Y60" s="242">
        <f ca="1">IF(ISERROR(PEARSON(OFFSET(Returns_72_15!$AM$7,$A$56,0,$C$56,1),OFFSET(Data_72_15!Y$8,$A$56,0,$C$56,1))),"",PEARSON(OFFSET(Returns_72_15!$AM$7,$A$56,0,$C$56,1),OFFSET(Data_72_15!Y$8,$A$56,0,$C$56,1)))</f>
        <v>0.68414250781985964</v>
      </c>
      <c r="Z60" s="242">
        <f ca="1">IF(ISERROR(PEARSON(OFFSET(Returns_72_15!$AM$7,$A$56,0,$C$56,1),OFFSET(Data_72_15!Z$8,$A$56,0,$C$56,1))),"",PEARSON(OFFSET(Returns_72_15!$AM$7,$A$56,0,$C$56,1),OFFSET(Data_72_15!Z$8,$A$56,0,$C$56,1)))</f>
        <v>0.81595860973567913</v>
      </c>
      <c r="AA60" s="242">
        <f ca="1">IF(ISERROR(PEARSON(OFFSET(Returns_72_15!$AM$7,$A$56,0,$C$56,1),OFFSET(Data_72_15!AA$8,$A$56,0,$C$56,1))),"",PEARSON(OFFSET(Returns_72_15!$AM$7,$A$56,0,$C$56,1),OFFSET(Data_72_15!AA$8,$A$56,0,$C$56,1)))</f>
        <v>7.047980956087066E-2</v>
      </c>
      <c r="AB60" s="242">
        <f ca="1">IF(ISERROR(PEARSON(OFFSET(Returns_72_15!$AM$7,$A$56,0,$C$56,1),OFFSET(Data_72_15!AB$8,$A$56,0,$C$56,1))),"",PEARSON(OFFSET(Returns_72_15!$AM$7,$A$56,0,$C$56,1),OFFSET(Data_72_15!AB$8,$A$56,0,$C$56,1)))</f>
        <v>-0.16726471995830827</v>
      </c>
      <c r="AC60" s="242">
        <f ca="1">IF(ISERROR(PEARSON(OFFSET(Returns_72_15!$AM$7,$A$56,0,$C$56,1),OFFSET(Data_72_15!AC$8,$A$56,0,$C$56,1))),"",PEARSON(OFFSET(Returns_72_15!$AM$7,$A$56,0,$C$56,1),OFFSET(Data_72_15!AC$8,$A$56,0,$C$56,1)))</f>
        <v>0.71768277572380057</v>
      </c>
      <c r="AD60" s="242" t="str">
        <f ca="1">IF(ISERROR(PEARSON(OFFSET(Returns_72_15!$AM$7,$A$56,0,$C$56,1),OFFSET(Data_72_15!AD$8,$A$56,0,$C$56,1))),"",PEARSON(OFFSET(Returns_72_15!$AM$7,$A$56,0,$C$56,1),OFFSET(Data_72_15!AD$8,$A$56,0,$C$56,1)))</f>
        <v/>
      </c>
      <c r="AE60" s="242" t="str">
        <f ca="1">IF(ISERROR(PEARSON(OFFSET(Returns_72_15!$AM$7,$A$56,0,$C$56,1),OFFSET(Data_72_15!AE$8,$A$56,0,$C$56,1))),"",PEARSON(OFFSET(Returns_72_15!$AM$7,$A$56,0,$C$56,1),OFFSET(Data_72_15!AE$8,$A$56,0,$C$56,1)))</f>
        <v/>
      </c>
      <c r="AF60" s="242" t="str">
        <f ca="1">IF(ISERROR(PEARSON(OFFSET(Returns_72_15!$AM$7,$A$56,0,$C$56,1),OFFSET(Data_72_15!AF$8,$A$56,0,$C$56,1))),"",PEARSON(OFFSET(Returns_72_15!$AM$7,$A$56,0,$C$56,1),OFFSET(Data_72_15!AF$8,$A$56,0,$C$56,1)))</f>
        <v/>
      </c>
      <c r="AG60" s="242" t="str">
        <f ca="1">IF(ISERROR(PEARSON(OFFSET(Returns_72_15!$AM$7,$A$56,0,$C$56,1),OFFSET(Data_72_15!AG$8,$A$56,0,$C$56,1))),"",PEARSON(OFFSET(Returns_72_15!$AM$7,$A$56,0,$C$56,1),OFFSET(Data_72_15!AG$8,$A$56,0,$C$56,1)))</f>
        <v/>
      </c>
      <c r="AH60" s="242" t="str">
        <f ca="1">IF(ISERROR(PEARSON(OFFSET(Returns_72_15!$AM$7,$A$56,0,$C$56,1),OFFSET(Data_72_15!AH$8,$A$56,0,$C$56,1))),"",PEARSON(OFFSET(Returns_72_15!$AM$7,$A$56,0,$C$56,1),OFFSET(Data_72_15!AH$8,$A$56,0,$C$56,1)))</f>
        <v/>
      </c>
      <c r="AI60" s="242" t="str">
        <f ca="1">IF(ISERROR(PEARSON(OFFSET(Returns_72_15!$AM$7,$A$56,0,$C$56,1),OFFSET(Data_72_15!AI$8,$A$56,0,$C$56,1))),"",PEARSON(OFFSET(Returns_72_15!$AM$7,$A$56,0,$C$56,1),OFFSET(Data_72_15!AI$8,$A$56,0,$C$56,1)))</f>
        <v/>
      </c>
      <c r="AJ60" s="242" t="str">
        <f ca="1">IF(ISERROR(PEARSON(OFFSET(Returns_72_15!$AM$7,$A$56,0,$C$56,1),OFFSET(Data_72_15!AJ$8,$A$56,0,$C$56,1))),"",PEARSON(OFFSET(Returns_72_15!$AM$7,$A$56,0,$C$56,1),OFFSET(Data_72_15!AJ$8,$A$56,0,$C$56,1)))</f>
        <v/>
      </c>
      <c r="AK60" s="242" t="str">
        <f ca="1">IF(ISERROR(PEARSON(OFFSET(Returns_72_15!$AM$7,$A$56,0,$C$56,1),OFFSET(Data_72_15!AK$8,$A$56,0,$C$56,1))),"",PEARSON(OFFSET(Returns_72_15!$AM$7,$A$56,0,$C$56,1),OFFSET(Data_72_15!AK$8,$A$56,0,$C$56,1)))</f>
        <v/>
      </c>
      <c r="AL60" s="457" t="str">
        <f ca="1">IF(ISERROR(PEARSON(OFFSET(Returns_72_15!$AM$7,$A$56,0,$C$56,1),OFFSET(Data_72_15!AL$8,$A$56,0,$C$56,1))),"",PEARSON(OFFSET(Returns_72_15!$AM$7,$A$56,0,$C$56,1),OFFSET(Data_72_15!AL$8,$A$56,0,$C$56,1)))</f>
        <v/>
      </c>
      <c r="AM60" s="170"/>
    </row>
    <row r="62" spans="1:63">
      <c r="T62" s="143"/>
      <c r="Z62" s="143"/>
    </row>
    <row r="63" spans="1:63" ht="15">
      <c r="A63" s="243" t="s">
        <v>412</v>
      </c>
      <c r="B63" s="244"/>
      <c r="C63" s="244"/>
      <c r="D63" s="245"/>
    </row>
    <row r="64" spans="1:63" ht="48">
      <c r="A64" s="246" t="s">
        <v>369</v>
      </c>
      <c r="B64" s="238" t="s">
        <v>370</v>
      </c>
      <c r="C64" s="238" t="s">
        <v>371</v>
      </c>
      <c r="D64" s="238" t="s">
        <v>372</v>
      </c>
      <c r="E64" s="191" t="s">
        <v>373</v>
      </c>
      <c r="F64" s="191" t="s">
        <v>374</v>
      </c>
      <c r="G64" s="191" t="s">
        <v>375</v>
      </c>
      <c r="H64" s="191" t="s">
        <v>376</v>
      </c>
      <c r="I64" s="191" t="s">
        <v>377</v>
      </c>
      <c r="J64" s="191" t="s">
        <v>378</v>
      </c>
      <c r="K64" s="191" t="s">
        <v>114</v>
      </c>
      <c r="L64" s="191" t="s">
        <v>292</v>
      </c>
      <c r="M64" s="191" t="s">
        <v>299</v>
      </c>
      <c r="N64" s="191" t="s">
        <v>410</v>
      </c>
      <c r="O64" s="191" t="s">
        <v>318</v>
      </c>
      <c r="P64" s="191" t="s">
        <v>325</v>
      </c>
      <c r="Q64" s="191" t="s">
        <v>379</v>
      </c>
      <c r="R64" s="191" t="s">
        <v>380</v>
      </c>
      <c r="S64" s="191" t="s">
        <v>381</v>
      </c>
      <c r="T64" s="191" t="s">
        <v>382</v>
      </c>
      <c r="U64" s="191" t="s">
        <v>383</v>
      </c>
      <c r="V64" s="191" t="s">
        <v>384</v>
      </c>
      <c r="W64" s="191" t="s">
        <v>385</v>
      </c>
      <c r="X64" s="191" t="s">
        <v>386</v>
      </c>
      <c r="Y64" s="191" t="s">
        <v>386</v>
      </c>
      <c r="Z64" s="191" t="s">
        <v>143</v>
      </c>
      <c r="AA64" s="191" t="s">
        <v>387</v>
      </c>
      <c r="AB64" s="158" t="str">
        <f>IF(Data_72_15!AB$1="???","",Data_72_15!AB$1)</f>
        <v>GOLD</v>
      </c>
      <c r="AC64" s="158" t="str">
        <f>IF(Data_72_15!AC$1="???","",Data_72_15!AC$1)</f>
        <v>VG Intl Small</v>
      </c>
      <c r="AD64" s="158" t="str">
        <f>IF(Data_72_15!AD$1="","",Data_72_15!AD$1)</f>
        <v/>
      </c>
      <c r="AE64" s="158" t="str">
        <f>IF(Data_72_15!AE$1="","",Data_72_15!AE$1)</f>
        <v/>
      </c>
      <c r="AF64" s="158" t="str">
        <f>IF(Data_72_15!AF$1="","",Data_72_15!AF$1)</f>
        <v/>
      </c>
      <c r="AG64" s="158" t="str">
        <f>IF(Data_72_15!AG$1="","",Data_72_15!AG$1)</f>
        <v/>
      </c>
      <c r="AH64" s="158" t="str">
        <f>IF(Data_72_15!AH$1="","",Data_72_15!AH$1)</f>
        <v/>
      </c>
      <c r="AI64" s="158" t="str">
        <f>IF(Data_72_15!AI$1="","",Data_72_15!AI$1)</f>
        <v/>
      </c>
      <c r="AJ64" s="158" t="str">
        <f>IF(Data_72_15!AJ$1="","",Data_72_15!AJ$1)</f>
        <v/>
      </c>
      <c r="AK64" s="158" t="str">
        <f>IF(Data_72_15!AK$1="","",Data_72_15!AK$1)</f>
        <v/>
      </c>
      <c r="AL64" s="158" t="str">
        <f>IF(Data_72_15!AL$1="","",Data_72_15!AL$1)</f>
        <v/>
      </c>
      <c r="AM64" s="194" t="s">
        <v>388</v>
      </c>
      <c r="AN64" s="191" t="s">
        <v>175</v>
      </c>
      <c r="AO64" s="194" t="s">
        <v>389</v>
      </c>
      <c r="AP64" s="195" t="s">
        <v>631</v>
      </c>
      <c r="AQ64" s="156" t="str">
        <f>"Growth of "&amp;TEXT(AN4,"0")</f>
        <v>Growth of 10000</v>
      </c>
      <c r="AR64" s="181" t="s">
        <v>390</v>
      </c>
      <c r="AS64" s="26"/>
      <c r="AZ64" s="181" t="s">
        <v>393</v>
      </c>
      <c r="BA64" s="181" t="s">
        <v>394</v>
      </c>
      <c r="BB64" s="181" t="s">
        <v>395</v>
      </c>
      <c r="BC64" s="181" t="s">
        <v>396</v>
      </c>
      <c r="BD64" s="181" t="s">
        <v>397</v>
      </c>
      <c r="BG64" s="181" t="s">
        <v>398</v>
      </c>
      <c r="BH64" s="181" t="s">
        <v>399</v>
      </c>
      <c r="BI64" s="181" t="s">
        <v>400</v>
      </c>
      <c r="BJ64" s="181" t="s">
        <v>401</v>
      </c>
      <c r="BK64" s="181" t="s">
        <v>402</v>
      </c>
    </row>
    <row r="65" spans="1:63">
      <c r="A65" s="204" t="s">
        <v>309</v>
      </c>
      <c r="B65" s="238" t="str">
        <f>IF(Data_72_15!B$2="-","-",Data_72_15!B$2)</f>
        <v>VTSMX</v>
      </c>
      <c r="C65" s="238" t="str">
        <f>IF(Data_72_15!C$2="-","-",Data_72_15!C$2)</f>
        <v>VIVAX</v>
      </c>
      <c r="D65" s="238" t="str">
        <f>IF(Data_72_15!D$2="-","-",Data_72_15!D$2)</f>
        <v>VFINX</v>
      </c>
      <c r="E65" s="238" t="str">
        <f>IF(Data_72_15!E$2="-","-",Data_72_15!E$2)</f>
        <v>VIGRX</v>
      </c>
      <c r="F65" s="238" t="str">
        <f>IF(Data_72_15!F$2="-","-",Data_72_15!F$2)</f>
        <v>VIMSX</v>
      </c>
      <c r="G65" s="238" t="str">
        <f>IF(Data_72_15!G$2="-","-",Data_72_15!G$2)</f>
        <v>VISVX</v>
      </c>
      <c r="H65" s="238" t="str">
        <f>IF(Data_72_15!H$2="-","-",Data_72_15!H$2)</f>
        <v>NAESX</v>
      </c>
      <c r="I65" s="238" t="str">
        <f>IF(Data_72_15!I$2="-","-",Data_72_15!I$2)</f>
        <v>VISGX</v>
      </c>
      <c r="J65" s="238" t="str">
        <f>IF(Data_72_15!J$2="-","-",Data_72_15!J$2)</f>
        <v>BRSIX</v>
      </c>
      <c r="K65" s="238" t="str">
        <f>IF(Data_72_15!K$2="-","-",Data_72_15!K$2)</f>
        <v>VGSIX</v>
      </c>
      <c r="L65" s="238" t="str">
        <f>IF(Data_72_15!L$2="-","-",Data_72_15!L$2)</f>
        <v>VTMGX</v>
      </c>
      <c r="M65" s="238" t="str">
        <f>IF(Data_72_15!M$2="-","-",Data_72_15!M$2)</f>
        <v>VEIEX</v>
      </c>
      <c r="N65" s="238" t="str">
        <f>IF(Data_72_15!N$2="-","-",Data_72_15!N$2)</f>
        <v>VGTSX</v>
      </c>
      <c r="O65" s="238" t="str">
        <f>IF(Data_72_15!O$2="-","-",Data_72_15!O$2)</f>
        <v>VPACX</v>
      </c>
      <c r="P65" s="238" t="str">
        <f>IF(Data_72_15!P$2="-","-",Data_72_15!P$2)</f>
        <v>VEURX</v>
      </c>
      <c r="Q65" s="238" t="str">
        <f>IF(Data_72_15!Q$2="-","-",Data_72_15!Q$2)</f>
        <v>VTRIX</v>
      </c>
      <c r="R65" s="238" t="str">
        <f>IF(Data_72_15!R$2="-","-",Data_72_15!R$2)</f>
        <v>PCRIX</v>
      </c>
      <c r="S65" s="238" t="str">
        <f>IF(Data_72_15!S$2="-","-",Data_72_15!S$2)</f>
        <v>VUSTX</v>
      </c>
      <c r="T65" s="238" t="str">
        <f>IF(Data_72_15!T$2="-","-",Data_72_15!T$2)</f>
        <v>VFITX</v>
      </c>
      <c r="U65" s="238" t="str">
        <f>IF(Data_72_15!U$2="-","-",Data_72_15!U$2)</f>
        <v>VBMFX</v>
      </c>
      <c r="V65" s="238" t="str">
        <f>IF(Data_72_15!V$2="-","-",Data_72_15!V$2)</f>
        <v>VUSXX</v>
      </c>
      <c r="W65" s="238" t="str">
        <f>IF(Data_72_15!W$2="-","-",Data_72_15!W$2)</f>
        <v>VIPSX</v>
      </c>
      <c r="X65" s="238" t="str">
        <f>IF(Data_72_15!X$2="-","-",Data_72_15!X$2)</f>
        <v>VWELX</v>
      </c>
      <c r="Y65" s="238" t="str">
        <f>IF(Data_72_15!Y$2="-","-",Data_72_15!Y$2)</f>
        <v>VWINX</v>
      </c>
      <c r="Z65" s="238" t="str">
        <f>IF(Data_72_15!Z$2="-","-",Data_72_15!Z$2)</f>
        <v>VWNDX</v>
      </c>
      <c r="AA65" s="238" t="str">
        <f>IF(Data_72_15!AA$2="-","-",Data_72_15!AA$2)</f>
        <v>VFISX</v>
      </c>
      <c r="AB65" s="238" t="str">
        <f>IF(Data_72_15!AB$2="-","-",Data_72_15!AB$2)</f>
        <v>GLD</v>
      </c>
      <c r="AC65" s="238" t="str">
        <f>IF(Data_72_15!AC$2="???","",Data_72_15!AC$2)</f>
        <v>VFSVX</v>
      </c>
      <c r="AD65" s="238" t="str">
        <f>IF(Data_72_15!AD$2="","",Data_72_15!AD$2)</f>
        <v/>
      </c>
      <c r="AE65" s="238" t="str">
        <f>IF(Data_72_15!AE$2="","",Data_72_15!AE$2)</f>
        <v/>
      </c>
      <c r="AF65" s="238" t="str">
        <f>IF(Data_72_15!AF$2="","",Data_72_15!AF$2)</f>
        <v/>
      </c>
      <c r="AG65" s="238" t="str">
        <f>IF(Data_72_15!AG$2="","",Data_72_15!AG$2)</f>
        <v/>
      </c>
      <c r="AH65" s="238" t="str">
        <f>IF(Data_72_15!AH$2="","",Data_72_15!AH$2)</f>
        <v/>
      </c>
      <c r="AI65" s="238" t="str">
        <f>IF(Data_72_15!AI$2="","",Data_72_15!AI$2)</f>
        <v/>
      </c>
      <c r="AJ65" s="238" t="str">
        <f>IF(Data_72_15!AJ$2="","",Data_72_15!AJ$2)</f>
        <v/>
      </c>
      <c r="AK65" s="238" t="str">
        <f>IF(Data_72_15!AK$2="","",Data_72_15!AK$2)</f>
        <v/>
      </c>
      <c r="AL65" s="238" t="str">
        <f>IF(Data_72_15!AL$2="","",Data_72_15!AL$2)</f>
        <v/>
      </c>
      <c r="AM65" s="197"/>
      <c r="AN65" s="197"/>
      <c r="AO65" s="197"/>
      <c r="AP65" s="198"/>
      <c r="AQ65" s="36">
        <f>AN4/10000</f>
        <v>1</v>
      </c>
      <c r="AR65" s="36"/>
      <c r="AS65" s="199">
        <f>AVERAGE(AS68:AS112)</f>
        <v>5.2670380690359869E-2</v>
      </c>
    </row>
    <row r="66" spans="1:63">
      <c r="A66" s="424" t="s">
        <v>433</v>
      </c>
      <c r="B66" s="200">
        <f>Portfolio!$C3</f>
        <v>0.5</v>
      </c>
      <c r="C66" s="200">
        <f>Portfolio!$C4</f>
        <v>0</v>
      </c>
      <c r="D66" s="200">
        <f>Portfolio!$C5</f>
        <v>0</v>
      </c>
      <c r="E66" s="200">
        <f>Portfolio!$C6</f>
        <v>0</v>
      </c>
      <c r="F66" s="200">
        <f>Portfolio!$C7</f>
        <v>0</v>
      </c>
      <c r="G66" s="200">
        <f>Portfolio!$C8</f>
        <v>0</v>
      </c>
      <c r="H66" s="200">
        <f>Portfolio!$C9</f>
        <v>0</v>
      </c>
      <c r="I66" s="200">
        <f>Portfolio!$C10</f>
        <v>0</v>
      </c>
      <c r="J66" s="200">
        <f>Portfolio!$C11</f>
        <v>0</v>
      </c>
      <c r="K66" s="200">
        <f>Portfolio!$C12</f>
        <v>0</v>
      </c>
      <c r="L66" s="200">
        <f>Portfolio!$C13</f>
        <v>0</v>
      </c>
      <c r="M66" s="200">
        <f>Portfolio!$C14</f>
        <v>0</v>
      </c>
      <c r="N66" s="200">
        <f>Portfolio!$C15</f>
        <v>0.3</v>
      </c>
      <c r="O66" s="200">
        <f>Portfolio!$C16</f>
        <v>0</v>
      </c>
      <c r="P66" s="200">
        <f>Portfolio!$C17</f>
        <v>0</v>
      </c>
      <c r="Q66" s="200">
        <f>Portfolio!$C18</f>
        <v>0</v>
      </c>
      <c r="R66" s="200">
        <f>Portfolio!$C19</f>
        <v>0</v>
      </c>
      <c r="S66" s="200">
        <f>Portfolio!$C20</f>
        <v>0</v>
      </c>
      <c r="T66" s="200">
        <f>Portfolio!$C21</f>
        <v>0.2</v>
      </c>
      <c r="U66" s="200">
        <f>Portfolio!$C22</f>
        <v>0</v>
      </c>
      <c r="V66" s="200">
        <f>Portfolio!$C23</f>
        <v>0</v>
      </c>
      <c r="W66" s="200">
        <f>Portfolio!$C24</f>
        <v>0</v>
      </c>
      <c r="X66" s="200">
        <f>Portfolio!$C25</f>
        <v>0</v>
      </c>
      <c r="Y66" s="200">
        <f>Portfolio!$C26</f>
        <v>0</v>
      </c>
      <c r="Z66" s="200">
        <f>Portfolio!$C27</f>
        <v>0</v>
      </c>
      <c r="AA66" s="200">
        <f>Portfolio!$C28</f>
        <v>0</v>
      </c>
      <c r="AB66" s="200">
        <f>Portfolio!$C29</f>
        <v>0</v>
      </c>
      <c r="AC66" s="200">
        <f>Portfolio!$C30</f>
        <v>0</v>
      </c>
      <c r="AD66" s="200">
        <f>Portfolio!$C31</f>
        <v>0</v>
      </c>
      <c r="AE66" s="200">
        <f>Portfolio!$C32</f>
        <v>0</v>
      </c>
      <c r="AF66" s="200">
        <f>Portfolio!$C38</f>
        <v>0</v>
      </c>
      <c r="AG66" s="200">
        <f>Portfolio!$C39</f>
        <v>0</v>
      </c>
      <c r="AH66" s="200">
        <f>Portfolio!$C39</f>
        <v>0</v>
      </c>
      <c r="AI66" s="200">
        <f>Portfolio!$C39</f>
        <v>0</v>
      </c>
      <c r="AJ66" s="200">
        <f>Portfolio!$C39</f>
        <v>0</v>
      </c>
      <c r="AK66" s="200">
        <f>Portfolio!$C39</f>
        <v>0</v>
      </c>
      <c r="AL66" s="200">
        <f>Portfolio!$C39</f>
        <v>0</v>
      </c>
      <c r="AN66" s="201" t="str">
        <f>IF((OR(SUM(B66:AG66)&lt;1,SUM(B66:AG66)&gt;1)),"ERROR","")</f>
        <v/>
      </c>
      <c r="AO66" s="201"/>
      <c r="AP66" s="203" t="s">
        <v>309</v>
      </c>
      <c r="AQ66" s="639" t="str">
        <f>"Max. Drawdown Unbalanced = "&amp;TEXT(MAX(AS68:AS106),"0.0%")</f>
        <v>Max. Drawdown Unbalanced = 36.9%</v>
      </c>
      <c r="AR66" s="639"/>
      <c r="AS66" s="639"/>
    </row>
    <row r="67" spans="1:63">
      <c r="A67" s="204" t="s">
        <v>405</v>
      </c>
      <c r="B67" s="446">
        <f>IF(Portfolio!$B$88*B$3&gt;0,Portfolio!$B$88*B$3,"")</f>
        <v>5000</v>
      </c>
      <c r="C67" s="446" t="str">
        <f>IF(Portfolio!$B$88*C$3&gt;0,Portfolio!$B$88*C$3,"")</f>
        <v/>
      </c>
      <c r="D67" s="446" t="str">
        <f>IF(Portfolio!$B$88*D$3&gt;0,Portfolio!$B$88*D$3,"")</f>
        <v/>
      </c>
      <c r="E67" s="446" t="str">
        <f>IF(Portfolio!$B$88*E$3&gt;0,Portfolio!$B$88*E$3,"")</f>
        <v/>
      </c>
      <c r="F67" s="446" t="str">
        <f>IF(Portfolio!$B$88*F$3&gt;0,Portfolio!$B$88*F$3,"")</f>
        <v/>
      </c>
      <c r="G67" s="446" t="str">
        <f>IF(Portfolio!$B$88*G$3&gt;0,Portfolio!$B$88*G$3,"")</f>
        <v/>
      </c>
      <c r="H67" s="446" t="str">
        <f>IF(Portfolio!$B$88*H$3&gt;0,Portfolio!$B$88*H$3,"")</f>
        <v/>
      </c>
      <c r="I67" s="446" t="str">
        <f>IF(Portfolio!$B$88*I$3&gt;0,Portfolio!$B$88*I$3,"")</f>
        <v/>
      </c>
      <c r="J67" s="446" t="str">
        <f>IF(Portfolio!$B$88*J$3&gt;0,Portfolio!$B$88*J$3,"")</f>
        <v/>
      </c>
      <c r="K67" s="446" t="str">
        <f>IF(Portfolio!$B$88*K$3&gt;0,Portfolio!$B$88*K$3,"")</f>
        <v/>
      </c>
      <c r="L67" s="446" t="str">
        <f>IF(Portfolio!$B$88*L$3&gt;0,Portfolio!$B$88*L$3,"")</f>
        <v/>
      </c>
      <c r="M67" s="446" t="str">
        <f>IF(Portfolio!$B$88*M$3&gt;0,Portfolio!$B$88*M$3,"")</f>
        <v/>
      </c>
      <c r="N67" s="446">
        <f>IF(Portfolio!$B$88*N$3&gt;0,Portfolio!$B$88*N$3,"")</f>
        <v>3000</v>
      </c>
      <c r="O67" s="446" t="str">
        <f>IF(Portfolio!$B$88*O$3&gt;0,Portfolio!$B$88*O$3,"")</f>
        <v/>
      </c>
      <c r="P67" s="446" t="str">
        <f>IF(Portfolio!$B$88*P$3&gt;0,Portfolio!$B$88*P$3,"")</f>
        <v/>
      </c>
      <c r="Q67" s="446" t="str">
        <f>IF(Portfolio!$B$88*Q$3&gt;0,Portfolio!$B$88*Q$3,"")</f>
        <v/>
      </c>
      <c r="R67" s="446" t="str">
        <f>IF(Portfolio!$B$88*R$3&gt;0,Portfolio!$B$88*R$3,"")</f>
        <v/>
      </c>
      <c r="S67" s="446" t="str">
        <f>IF(Portfolio!$B$88*S$3&gt;0,Portfolio!$B$88*S$3,"")</f>
        <v/>
      </c>
      <c r="T67" s="446">
        <f>IF(Portfolio!$B$88*T$3&gt;0,Portfolio!$B$88*T$3,"")</f>
        <v>2000</v>
      </c>
      <c r="U67" s="446" t="str">
        <f>IF(Portfolio!$B$88*U$3&gt;0,Portfolio!$B$88*U$3,"")</f>
        <v/>
      </c>
      <c r="V67" s="446" t="str">
        <f>IF(Portfolio!$B$88*V$3&gt;0,Portfolio!$B$88*V$3,"")</f>
        <v/>
      </c>
      <c r="W67" s="446" t="str">
        <f>IF(Portfolio!$B$88*W$3&gt;0,Portfolio!$B$88*W$3,"")</f>
        <v/>
      </c>
      <c r="X67" s="446" t="str">
        <f>IF(Portfolio!$B$88*X$3&gt;0,Portfolio!$B$88*X$3,"")</f>
        <v/>
      </c>
      <c r="Y67" s="446" t="str">
        <f>IF(Portfolio!$B$88*Y$3&gt;0,Portfolio!$B$88*Y$3,"")</f>
        <v/>
      </c>
      <c r="Z67" s="446" t="str">
        <f>IF(Portfolio!$B$88*Z$3&gt;0,Portfolio!$B$88*Z$3,"")</f>
        <v/>
      </c>
      <c r="AA67" s="446" t="str">
        <f>IF(Portfolio!$B$88*AA$3&gt;0,Portfolio!$B$88*AA$3,"")</f>
        <v/>
      </c>
      <c r="AB67" s="446" t="str">
        <f>IF(Portfolio!$B$88*AB$3&gt;0,Portfolio!$B$88*AB$3,"")</f>
        <v/>
      </c>
      <c r="AC67" s="446" t="str">
        <f>IF(Portfolio!$B$88*AC$3&gt;0,Portfolio!$B$88*AC$3,"")</f>
        <v/>
      </c>
      <c r="AD67" s="446" t="str">
        <f>IF(Portfolio!$B$88*AD$3&gt;0,Portfolio!$B$88*AD$3,"")</f>
        <v/>
      </c>
      <c r="AE67" s="446" t="str">
        <f>IF(Portfolio!$B$88*AE$3&gt;0,Portfolio!$B$88*AE$3,"")</f>
        <v/>
      </c>
      <c r="AF67" s="446" t="str">
        <f>IF(Portfolio!$B$88*AF$3&gt;0,Portfolio!$B$88*AF$3,"")</f>
        <v/>
      </c>
      <c r="AG67" s="446" t="str">
        <f>IF(Portfolio!$B$88*AG$3&gt;0,Portfolio!$B$88*AG$3,"")</f>
        <v/>
      </c>
      <c r="AH67" s="446" t="str">
        <f>IF(Portfolio!$B$88*AH$3&gt;0,Portfolio!$B$88*AH$3,"")</f>
        <v/>
      </c>
      <c r="AI67" s="446" t="str">
        <f>IF(Portfolio!$B$88*AI$3&gt;0,Portfolio!$B$88*AI$3,"")</f>
        <v/>
      </c>
      <c r="AJ67" s="446" t="str">
        <f>IF(Portfolio!$B$88*AJ$3&gt;0,Portfolio!$B$88*AJ$3,"")</f>
        <v/>
      </c>
      <c r="AK67" s="446" t="str">
        <f>IF(Portfolio!$B$88*AK$3&gt;0,Portfolio!$B$88*AK$3,"")</f>
        <v/>
      </c>
      <c r="AL67" s="446" t="str">
        <f>IF(Portfolio!$B$88*AL$3&gt;0,Portfolio!$B$88*AL$3,"")</f>
        <v/>
      </c>
      <c r="AM67" s="32"/>
      <c r="AN67" s="443">
        <f>SUM(B67:AG67)</f>
        <v>10000</v>
      </c>
      <c r="AO67" s="201"/>
      <c r="AP67" s="443">
        <f>Portfolio!$K$88</f>
        <v>10000</v>
      </c>
      <c r="AQ67" s="639" t="str">
        <f>"Avg. Drawdown Unbalanced = "&amp;TEXT(AS65,"0.0%")</f>
        <v>Avg. Drawdown Unbalanced = 5.3%</v>
      </c>
      <c r="AR67" s="639"/>
      <c r="AS67" s="639"/>
    </row>
    <row r="68" spans="1:63">
      <c r="A68" s="204">
        <v>1972</v>
      </c>
      <c r="B68" s="446">
        <f>IF(AND($A68&gt;=SYear72,$A68&lt;=EYear72,B$3&gt;0),IF($A68=SYear72,B$67*(1+Data_72_15!B8%),B67*(1+Data_72_15!B8%)),"")</f>
        <v>5835.0803633822497</v>
      </c>
      <c r="C68" s="446" t="str">
        <f>IF(AND($A68&gt;=SYear72,$A68&lt;=EYear72,C$3&gt;0),IF($A68=SYear72,C$67*(1+Data_72_15!C8%),C67*(1+Data_72_15!C8%)),"")</f>
        <v/>
      </c>
      <c r="D68" s="446" t="str">
        <f>IF(AND($A68&gt;=SYear72,$A68&lt;=EYear72,D$3&gt;0),IF($A68=SYear72,D$67*(1+Data_72_15!D8%),D67*(1+Data_72_15!D8%)),"")</f>
        <v/>
      </c>
      <c r="E68" s="446" t="str">
        <f>IF(AND($A68&gt;=SYear72,$A68&lt;=EYear72,E$3&gt;0),IF($A68=SYear72,E$67*(1+Data_72_15!E8%),E67*(1+Data_72_15!E8%)),"")</f>
        <v/>
      </c>
      <c r="F68" s="446" t="str">
        <f>IF(AND($A68&gt;=SYear72,$A68&lt;=EYear72,F$3&gt;0),IF($A68=SYear72,F$67*(1+Data_72_15!F8%),F67*(1+Data_72_15!F8%)),"")</f>
        <v/>
      </c>
      <c r="G68" s="446" t="str">
        <f>IF(AND($A68&gt;=SYear72,$A68&lt;=EYear72,G$3&gt;0),IF($A68=SYear72,G$67*(1+Data_72_15!G8%),G67*(1+Data_72_15!G8%)),"")</f>
        <v/>
      </c>
      <c r="H68" s="446" t="str">
        <f>IF(AND($A68&gt;=SYear72,$A68&lt;=EYear72,H$3&gt;0),IF($A68=SYear72,H$67*(1+Data_72_15!H8%),H67*(1+Data_72_15!H8%)),"")</f>
        <v/>
      </c>
      <c r="I68" s="446" t="str">
        <f>IF(AND($A68&gt;=SYear72,$A68&lt;=EYear72,I$3&gt;0),IF($A68=SYear72,I$67*(1+Data_72_15!I8%),I67*(1+Data_72_15!I8%)),"")</f>
        <v/>
      </c>
      <c r="J68" s="446" t="str">
        <f>IF(AND($A68&gt;=SYear72,$A68&lt;=EYear72,J$3&gt;0),IF($A68=SYear72,J$67*(1+Data_72_15!J8%),J67*(1+Data_72_15!J8%)),"")</f>
        <v/>
      </c>
      <c r="K68" s="446" t="str">
        <f>IF(AND($A68&gt;=SYear72,$A68&lt;=EYear72,K$3&gt;0),IF($A68=SYear72,K$67*(1+Data_72_15!K8%),K67*(1+Data_72_15!K8%)),"")</f>
        <v/>
      </c>
      <c r="L68" s="446" t="str">
        <f>IF(AND($A68&gt;=SYear72,$A68&lt;=EYear72,L$3&gt;0),IF($A68=SYear72,L$67*(1+Data_72_15!L8%),L67*(1+Data_72_15!L8%)),"")</f>
        <v/>
      </c>
      <c r="M68" s="446" t="str">
        <f>IF(AND($A68&gt;=SYear72,$A68&lt;=EYear72,M$3&gt;0),IF($A68=SYear72,M$67*(1+Data_72_15!M8%),M67*(1+Data_72_15!M8%)),"")</f>
        <v/>
      </c>
      <c r="N68" s="446">
        <f>IF(AND($A68&gt;=SYear72,$A68&lt;=EYear72,N$3&gt;0),IF($A68=SYear72,N$67*(1+Data_72_15!N8%),N67*(1+Data_72_15!N8%)),"")</f>
        <v>4142.4366393933351</v>
      </c>
      <c r="O68" s="446" t="str">
        <f>IF(AND($A68&gt;=SYear72,$A68&lt;=EYear72,O$3&gt;0),IF($A68=SYear72,O$67*(1+Data_72_15!O8%),O67*(1+Data_72_15!O8%)),"")</f>
        <v/>
      </c>
      <c r="P68" s="446" t="str">
        <f>IF(AND($A68&gt;=SYear72,$A68&lt;=EYear72,P$3&gt;0),IF($A68=SYear72,P$67*(1+Data_72_15!P8%),P67*(1+Data_72_15!P8%)),"")</f>
        <v/>
      </c>
      <c r="Q68" s="446" t="str">
        <f>IF(AND($A68&gt;=SYear72,$A68&lt;=EYear72,Q$3&gt;0),IF($A68=SYear72,Q$67*(1+Data_72_15!Q8%),Q67*(1+Data_72_15!Q8%)),"")</f>
        <v/>
      </c>
      <c r="R68" s="446" t="str">
        <f>IF(AND($A68&gt;=SYear72,$A68&lt;=EYear72,R$3&gt;0),IF($A68=SYear72,R$67*(1+Data_72_15!R8%),R67*(1+Data_72_15!R8%)),"")</f>
        <v/>
      </c>
      <c r="S68" s="446" t="str">
        <f>IF(AND($A68&gt;=SYear72,$A68&lt;=EYear72,S$3&gt;0),IF($A68=SYear72,S$67*(1+Data_72_15!S8%),S67*(1+Data_72_15!S8%)),"")</f>
        <v/>
      </c>
      <c r="T68" s="446">
        <f>IF(AND($A68&gt;=SYear72,$A68&lt;=EYear72,T$3&gt;0),IF($A68=SYear72,T$67*(1+Data_72_15!T8%),T67*(1+Data_72_15!T8%)),"")</f>
        <v>2061.4922913443961</v>
      </c>
      <c r="U68" s="446" t="str">
        <f>IF(AND($A68&gt;=SYear72,$A68&lt;=EYear72,U$3&gt;0),IF($A68=SYear72,U$67*(1+Data_72_15!U8%),U67*(1+Data_72_15!U8%)),"")</f>
        <v/>
      </c>
      <c r="V68" s="446" t="str">
        <f>IF(AND($A68&gt;=SYear72,$A68&lt;=EYear72,V$3&gt;0),IF($A68=SYear72,V$67*(1+Data_72_15!V8%),V67*(1+Data_72_15!V8%)),"")</f>
        <v/>
      </c>
      <c r="W68" s="446" t="str">
        <f>IF(AND($A68&gt;=SYear72,$A68&lt;=EYear72,W$3&gt;0),IF($A68=SYear72,W$67*(1+Data_72_15!W8%),W67*(1+Data_72_15!W8%)),"")</f>
        <v/>
      </c>
      <c r="X68" s="446" t="str">
        <f>IF(AND($A68&gt;=SYear72,$A68&lt;=EYear72,X$3&gt;0),IF($A68=SYear72,X$67*(1+Data_72_15!X8%),X67*(1+Data_72_15!X8%)),"")</f>
        <v/>
      </c>
      <c r="Y68" s="446" t="str">
        <f>IF(AND($A68&gt;=SYear72,$A68&lt;=EYear72,Y$3&gt;0),IF($A68=SYear72,Y$67*(1+Data_72_15!Y8%),Y67*(1+Data_72_15!Y8%)),"")</f>
        <v/>
      </c>
      <c r="Z68" s="446" t="str">
        <f>IF(AND($A68&gt;=SYear72,$A68&lt;=EYear72,Z$3&gt;0),IF($A68=SYear72,Z$67*(1+Data_72_15!Z8%),Z67*(1+Data_72_15!Z8%)),"")</f>
        <v/>
      </c>
      <c r="AA68" s="446" t="str">
        <f>IF(AND($A68&gt;=SYear72,$A68&lt;=EYear72,AA$3&gt;0),IF($A68=SYear72,AA$67*(1+Data_72_15!AA8%),AA67*(1+Data_72_15!AA8%)),"")</f>
        <v/>
      </c>
      <c r="AB68" s="446" t="str">
        <f>IF(AND($A68&gt;=SYear72,$A68&lt;=EYear72,AB$3&gt;0),IF($A68=SYear72,AB$67*(1+Data_72_15!AB8%),AB67*(1+Data_72_15!AB8%)),"")</f>
        <v/>
      </c>
      <c r="AC68" s="446" t="str">
        <f>IF(AND($A68&gt;=SYear72,$A68&lt;=EYear72,AC$3&gt;0),IF($A68=SYear72,AC$67*(1+Data_72_15!AC8%),AC67*(1+Data_72_15!AC8%)),"")</f>
        <v/>
      </c>
      <c r="AD68" s="446" t="str">
        <f>IF(AND($A68&gt;=SYear72,$A68&lt;=EYear72,AD$3&gt;0),IF($A68=SYear72,AD$67*(1+Data_72_15!AD8%),AD67*(1+Data_72_15!AD8%)),"")</f>
        <v/>
      </c>
      <c r="AE68" s="446" t="str">
        <f>IF(AND($A68&gt;=SYear72,$A68&lt;=EYear72,AE$3&gt;0),IF($A68=SYear72,AE$67*(1+Data_72_15!AE8%),AE67*(1+Data_72_15!AE8%)),"")</f>
        <v/>
      </c>
      <c r="AF68" s="446" t="str">
        <f>IF(AND($A68&gt;=SYear72,$A68&lt;=EYear72,AF$3&gt;0),IF($A68=SYear72,AF$67*(1+Data_72_15!AF8%),AF67*(1+Data_72_15!AF8%)),"")</f>
        <v/>
      </c>
      <c r="AG68" s="446" t="str">
        <f>IF(AND($A68&gt;=SYear72,$A68&lt;=EYear72,AG$3&gt;0),IF($A68=SYear72,AG$67*(1+Data_72_15!AG8%),AG67*(1+Data_72_15!AG8%)),"")</f>
        <v/>
      </c>
      <c r="AH68" s="446" t="str">
        <f>IF(AND($A68&gt;=SYear72,$A68&lt;=EYear72,AH$3&gt;0),IF($A68=SYear72,AH$67*(1+Data_72_15!AH8%),AH67*(1+Data_72_15!AH8%)),"")</f>
        <v/>
      </c>
      <c r="AI68" s="446" t="str">
        <f>IF(AND($A68&gt;=SYear72,$A68&lt;=EYear72,AI$3&gt;0),IF($A68=SYear72,AI$67*(1+Data_72_15!AI8%),AI67*(1+Data_72_15!AI8%)),"")</f>
        <v/>
      </c>
      <c r="AJ68" s="446" t="str">
        <f>IF(AND($A68&gt;=SYear72,$A68&lt;=EYear72,AJ$3&gt;0),IF($A68=SYear72,AJ$67*(1+Data_72_15!AJ8%),AJ67*(1+Data_72_15!AJ8%)),"")</f>
        <v/>
      </c>
      <c r="AK68" s="446" t="str">
        <f>IF(AND($A68&gt;=SYear72,$A68&lt;=EYear72,AK$3&gt;0),IF($A68=SYear72,AK$67*(1+Data_72_15!AK8%),AK67*(1+Data_72_15!AK8%)),"")</f>
        <v/>
      </c>
      <c r="AL68" s="446" t="str">
        <f>IF(AND($A68&gt;=SYear72,$A68&lt;=EYear72,AL$3&gt;0),IF($A68=SYear72,AL$67*(1+Data_72_15!AL8%),AL67*(1+Data_72_15!AL8%)),"")</f>
        <v/>
      </c>
      <c r="AM68" s="206">
        <f t="shared" ref="AM68:AM100" si="18">IF(AND($A68&gt;=SYear72,$A68&lt;=EYear72),IF($A68=SYear72,100*(AN68-$AN$67)/$AN$67,100*(AN68-AN67)/AN67),"")</f>
        <v>20.390092941199804</v>
      </c>
      <c r="AN68" s="446">
        <f t="shared" ref="AN68:AN100" si="19">IF(AND($A68&gt;=SYear72,$A68&lt;=EYear72),SUM(B68:AG68),"")</f>
        <v>12039.00929411998</v>
      </c>
      <c r="AO68" s="206">
        <f>IF(AND($A68&gt;=SYear72,$A68&lt;=EYear72),(AM68-Data_72_15!AM8)/(1+Data_72_15!AM8%),"")</f>
        <v>16.424301644313228</v>
      </c>
      <c r="AP68" s="606">
        <f t="shared" ref="AP68:AP100" si="20">IF(AND($A68&gt;=SYear72,$A68&lt;=EYear72),IF($A68=SYear72,$AP$4*(1+AO68%),$AP67*(1+AO68%)),"")</f>
        <v>11642.430164431324</v>
      </c>
      <c r="AQ68" s="143">
        <f t="shared" ref="AQ68:AQ112" si="21">IF(AND($A68&gt;=SYear72,$A68&lt;=EYear72),IF($A68=SYear72,$AQ$65,$AQ67*(1+AM68%)),"")</f>
        <v>1</v>
      </c>
      <c r="AR68" s="143">
        <f>IF(AND($A68&gt;=SYear72,$A68&lt;=EYear72),MAX($AQ$68:AQ68),"")</f>
        <v>1</v>
      </c>
      <c r="AS68" s="209">
        <f t="shared" ref="AS68:AS108" si="22">IF(AND($A68&gt;=SYear72,$A68&lt;=EYear72),1-(AQ68/AR68),"")</f>
        <v>0</v>
      </c>
      <c r="AZ68" s="61">
        <f t="shared" ref="AZ68:AZ112" si="23">IF(AND($A68&gt;=SYear72,$A68&lt;=EYear72),IF($A68=SYear72,($AN68/AN$67)-1,($AN68/$AN67)-1),"")</f>
        <v>0.203900929411998</v>
      </c>
      <c r="BA68" s="61">
        <f t="shared" ref="BA68:BA106" si="24">IF(AND($A68&gt;=SYear72,$A68&lt;=EYear72),IF($A68=SYear72,(($AN70/$AN$67)^(1/(1+($A70-$A68)))-1),(($AN70/$AN67)^(1/(1+($A70-$A68)))-1)),"")</f>
        <v>-5.6500650898225646E-2</v>
      </c>
      <c r="BB68" s="61">
        <f t="shared" ref="BB68:BB104" si="25">IF(AND($A68&gt;=SYear72,$A68&lt;=EYear72),IF($A68=SYear72,(($AN72/$AN$67)^(1/(1+($A72-$A68)))-1),(($AN72/$AN67)^(1/(1+($A72-$A68)))-1)),"")</f>
        <v>4.578736919119164E-2</v>
      </c>
      <c r="BC68" s="61">
        <f t="shared" ref="BC68:BC99" si="26">IF(AND($A68&gt;=SYear72,$A68&lt;=EYear72),IF($A68=SYear72,(($AN77/$AN$67)^(1/(1+($A77-$A68)))-1),(($AN77/$AN67)^(1/(1+($A77-$A68)))-1)),"")</f>
        <v>7.6423328736192397E-2</v>
      </c>
      <c r="BD68" s="61">
        <f t="shared" ref="BD68:BD94" si="27">IF(AND($A68&gt;=SYear72,$A68&lt;=EYear72),IF($A68=SYear72,(($AN82/$AN$67)^(1/(1+($A82-$A68)))-1),(($AN82/$AN67)^(1/(1+($A82-$A68)))-1)),"")</f>
        <v>0.12472612549008155</v>
      </c>
      <c r="BG68" s="61">
        <f t="shared" ref="BG68:BG112" si="28">IF(AND($A68&gt;=SYear72,$A68&lt;=EYear72),IF($A68=SYear72,($AP68/$AP$67)-1,($AP68/$AP67)-1),"")</f>
        <v>0.16424301644313233</v>
      </c>
      <c r="BH68" s="61">
        <f t="shared" ref="BH68:BH106" si="29">IF(AND($A68&gt;=SYear72,$A68&lt;=EYear72),IF($A68=SYear72,(($AP70/$AP$67)^(1/(1+($A70-$A68)))-1),(($AP70/$AP67)^(1/(1+($A70-$A68)))-1)),"")</f>
        <v>-0.12709611532366083</v>
      </c>
      <c r="BI68" s="61">
        <f t="shared" ref="BI68:BI104" si="30">IF(AND($A68&gt;=SYear72,$A68&lt;=EYear72),IF($A68=SYear72,(($AP72/$AP$67)^(1/(1+($A72-$A68)))-1),(($AP72/$AP67)^(1/(1+($A72-$A68)))-1)),"")</f>
        <v>-2.450025624571428E-2</v>
      </c>
      <c r="BJ68" s="61">
        <f t="shared" ref="BJ68:BJ99" si="31">IF(AND($A68&gt;=SYear72,$A68&lt;=EYear72),IF($A68=SYear72,(($AP77/$AP$67)^(1/(1+($A77-$A68)))-1),(($AP77/$AP67)^(1/(1+($A77-$A68)))-1)),"")</f>
        <v>-9.043710920327297E-3</v>
      </c>
      <c r="BK68" s="61">
        <f t="shared" ref="BK68:BK94" si="32">IF(AND($A68&gt;=SYear72,$A68&lt;=EYear72),IF($A68=SYear72,(($AP82/$AP$67)^(1/(1+($A82-$A68)))-1),(($AP82/$AP67)^(1/(1+($A82-$A68)))-1)),"")</f>
        <v>5.2960515586431223E-2</v>
      </c>
    </row>
    <row r="69" spans="1:63">
      <c r="A69" s="204">
        <f>A68+1</f>
        <v>1973</v>
      </c>
      <c r="B69" s="446">
        <f>IF(AND($A69&gt;=SYear72,$A69&lt;=EYear72,B$3&gt;0),IF($A69=SYear72,B$67*(1+Data_72_15!B9%),B68*(1+Data_72_15!B9%)),"")</f>
        <v>4770.8204228911482</v>
      </c>
      <c r="C69" s="446" t="str">
        <f>IF(AND($A69&gt;=SYear72,$A69&lt;=EYear72,C$3&gt;0),IF($A69=SYear72,C$67*(1+Data_72_15!C9%),C68*(1+Data_72_15!C9%)),"")</f>
        <v/>
      </c>
      <c r="D69" s="446" t="str">
        <f>IF(AND($A69&gt;=SYear72,$A69&lt;=EYear72,D$3&gt;0),IF($A69=SYear72,D$67*(1+Data_72_15!D9%),D68*(1+Data_72_15!D9%)),"")</f>
        <v/>
      </c>
      <c r="E69" s="446" t="str">
        <f>IF(AND($A69&gt;=SYear72,$A69&lt;=EYear72,E$3&gt;0),IF($A69=SYear72,E$67*(1+Data_72_15!E9%),E68*(1+Data_72_15!E9%)),"")</f>
        <v/>
      </c>
      <c r="F69" s="446" t="str">
        <f>IF(AND($A69&gt;=SYear72,$A69&lt;=EYear72,F$3&gt;0),IF($A69=SYear72,F$67*(1+Data_72_15!F9%),F68*(1+Data_72_15!F9%)),"")</f>
        <v/>
      </c>
      <c r="G69" s="446" t="str">
        <f>IF(AND($A69&gt;=SYear72,$A69&lt;=EYear72,G$3&gt;0),IF($A69=SYear72,G$67*(1+Data_72_15!G9%),G68*(1+Data_72_15!G9%)),"")</f>
        <v/>
      </c>
      <c r="H69" s="446" t="str">
        <f>IF(AND($A69&gt;=SYear72,$A69&lt;=EYear72,H$3&gt;0),IF($A69=SYear72,H$67*(1+Data_72_15!H9%),H68*(1+Data_72_15!H9%)),"")</f>
        <v/>
      </c>
      <c r="I69" s="446" t="str">
        <f>IF(AND($A69&gt;=SYear72,$A69&lt;=EYear72,I$3&gt;0),IF($A69=SYear72,I$67*(1+Data_72_15!I9%),I68*(1+Data_72_15!I9%)),"")</f>
        <v/>
      </c>
      <c r="J69" s="446" t="str">
        <f>IF(AND($A69&gt;=SYear72,$A69&lt;=EYear72,J$3&gt;0),IF($A69=SYear72,J$67*(1+Data_72_15!J9%),J68*(1+Data_72_15!J9%)),"")</f>
        <v/>
      </c>
      <c r="K69" s="446" t="str">
        <f>IF(AND($A69&gt;=SYear72,$A69&lt;=EYear72,K$3&gt;0),IF($A69=SYear72,K$67*(1+Data_72_15!K9%),K68*(1+Data_72_15!K9%)),"")</f>
        <v/>
      </c>
      <c r="L69" s="446" t="str">
        <f>IF(AND($A69&gt;=SYear72,$A69&lt;=EYear72,L$3&gt;0),IF($A69=SYear72,L$67*(1+Data_72_15!L9%),L68*(1+Data_72_15!L9%)),"")</f>
        <v/>
      </c>
      <c r="M69" s="446" t="str">
        <f>IF(AND($A69&gt;=SYear72,$A69&lt;=EYear72,M$3&gt;0),IF($A69=SYear72,M$67*(1+Data_72_15!M9%),M68*(1+Data_72_15!M9%)),"")</f>
        <v/>
      </c>
      <c r="N69" s="446">
        <f>IF(AND($A69&gt;=SYear72,$A69&lt;=EYear72,N$3&gt;0),IF($A69=SYear72,N$67*(1+Data_72_15!N9%),N68*(1+Data_72_15!N9%)),"")</f>
        <v>3524.2951512459858</v>
      </c>
      <c r="O69" s="446" t="str">
        <f>IF(AND($A69&gt;=SYear72,$A69&lt;=EYear72,O$3&gt;0),IF($A69=SYear72,O$67*(1+Data_72_15!O9%),O68*(1+Data_72_15!O9%)),"")</f>
        <v/>
      </c>
      <c r="P69" s="446" t="str">
        <f>IF(AND($A69&gt;=SYear72,$A69&lt;=EYear72,P$3&gt;0),IF($A69=SYear72,P$67*(1+Data_72_15!P9%),P68*(1+Data_72_15!P9%)),"")</f>
        <v/>
      </c>
      <c r="Q69" s="446" t="str">
        <f>IF(AND($A69&gt;=SYear72,$A69&lt;=EYear72,Q$3&gt;0),IF($A69=SYear72,Q$67*(1+Data_72_15!Q9%),Q68*(1+Data_72_15!Q9%)),"")</f>
        <v/>
      </c>
      <c r="R69" s="446" t="str">
        <f>IF(AND($A69&gt;=SYear72,$A69&lt;=EYear72,R$3&gt;0),IF($A69=SYear72,R$67*(1+Data_72_15!R9%),R68*(1+Data_72_15!R9%)),"")</f>
        <v/>
      </c>
      <c r="S69" s="446" t="str">
        <f>IF(AND($A69&gt;=SYear72,$A69&lt;=EYear72,S$3&gt;0),IF($A69=SYear72,S$67*(1+Data_72_15!S9%),S68*(1+Data_72_15!S9%)),"")</f>
        <v/>
      </c>
      <c r="T69" s="446">
        <f>IF(AND($A69&gt;=SYear72,$A69&lt;=EYear72,T$3&gt;0),IF($A69=SYear72,T$67*(1+Data_72_15!T9%),T68*(1+Data_72_15!T9%)),"")</f>
        <v>2138.5684349161183</v>
      </c>
      <c r="U69" s="446" t="str">
        <f>IF(AND($A69&gt;=SYear72,$A69&lt;=EYear72,U$3&gt;0),IF($A69=SYear72,U$67*(1+Data_72_15!U9%),U68*(1+Data_72_15!U9%)),"")</f>
        <v/>
      </c>
      <c r="V69" s="446" t="str">
        <f>IF(AND($A69&gt;=SYear72,$A69&lt;=EYear72,V$3&gt;0),IF($A69=SYear72,V$67*(1+Data_72_15!V9%),V68*(1+Data_72_15!V9%)),"")</f>
        <v/>
      </c>
      <c r="W69" s="446" t="str">
        <f>IF(AND($A69&gt;=SYear72,$A69&lt;=EYear72,W$3&gt;0),IF($A69=SYear72,W$67*(1+Data_72_15!W9%),W68*(1+Data_72_15!W9%)),"")</f>
        <v/>
      </c>
      <c r="X69" s="446" t="str">
        <f>IF(AND($A69&gt;=SYear72,$A69&lt;=EYear72,X$3&gt;0),IF($A69=SYear72,X$67*(1+Data_72_15!X9%),X68*(1+Data_72_15!X9%)),"")</f>
        <v/>
      </c>
      <c r="Y69" s="446" t="str">
        <f>IF(AND($A69&gt;=SYear72,$A69&lt;=EYear72,Y$3&gt;0),IF($A69=SYear72,Y$67*(1+Data_72_15!Y9%),Y68*(1+Data_72_15!Y9%)),"")</f>
        <v/>
      </c>
      <c r="Z69" s="446" t="str">
        <f>IF(AND($A69&gt;=SYear72,$A69&lt;=EYear72,Z$3&gt;0),IF($A69=SYear72,Z$67*(1+Data_72_15!Z9%),Z68*(1+Data_72_15!Z9%)),"")</f>
        <v/>
      </c>
      <c r="AA69" s="446" t="str">
        <f>IF(AND($A69&gt;=SYear72,$A69&lt;=EYear72,AA$3&gt;0),IF($A69=SYear72,AA$67*(1+Data_72_15!AA9%),AA68*(1+Data_72_15!AA9%)),"")</f>
        <v/>
      </c>
      <c r="AB69" s="446" t="str">
        <f>IF(AND($A69&gt;=SYear72,$A69&lt;=EYear72,AB$3&gt;0),IF($A69=SYear72,AB$67*(1+Data_72_15!AB9%),AB68*(1+Data_72_15!AB9%)),"")</f>
        <v/>
      </c>
      <c r="AC69" s="446" t="str">
        <f>IF(AND($A69&gt;=SYear72,$A69&lt;=EYear72,AC$3&gt;0),IF($A69=SYear72,AC$67*(1+Data_72_15!AC9%),AC68*(1+Data_72_15!AC9%)),"")</f>
        <v/>
      </c>
      <c r="AD69" s="446" t="str">
        <f>IF(AND($A69&gt;=SYear72,$A69&lt;=EYear72,AD$3&gt;0),IF($A69=SYear72,AD$67*(1+Data_72_15!AD9%),AD68*(1+Data_72_15!AD9%)),"")</f>
        <v/>
      </c>
      <c r="AE69" s="446" t="str">
        <f>IF(AND($A69&gt;=SYear72,$A69&lt;=EYear72,AE$3&gt;0),IF($A69=SYear72,AE$67*(1+Data_72_15!AE9%),AE68*(1+Data_72_15!AE9%)),"")</f>
        <v/>
      </c>
      <c r="AF69" s="446" t="str">
        <f>IF(AND($A69&gt;=SYear72,$A69&lt;=EYear72,AF$3&gt;0),IF($A69=SYear72,AF$67*(1+Data_72_15!AF9%),AF68*(1+Data_72_15!AF9%)),"")</f>
        <v/>
      </c>
      <c r="AG69" s="446" t="str">
        <f>IF(AND($A69&gt;=SYear72,$A69&lt;=EYear72,AG$3&gt;0),IF($A69=SYear72,AG$67*(1+Data_72_15!AG9%),AG68*(1+Data_72_15!AG9%)),"")</f>
        <v/>
      </c>
      <c r="AH69" s="446" t="str">
        <f>IF(AND($A69&gt;=SYear72,$A69&lt;=EYear72,AH$3&gt;0),IF($A69=SYear72,AH$67*(1+Data_72_15!AH9%),AH68*(1+Data_72_15!AH9%)),"")</f>
        <v/>
      </c>
      <c r="AI69" s="446" t="str">
        <f>IF(AND($A69&gt;=SYear72,$A69&lt;=EYear72,AI$3&gt;0),IF($A69=SYear72,AI$67*(1+Data_72_15!AI9%),AI68*(1+Data_72_15!AI9%)),"")</f>
        <v/>
      </c>
      <c r="AJ69" s="446" t="str">
        <f>IF(AND($A69&gt;=SYear72,$A69&lt;=EYear72,AJ$3&gt;0),IF($A69=SYear72,AJ$67*(1+Data_72_15!AJ9%),AJ68*(1+Data_72_15!AJ9%)),"")</f>
        <v/>
      </c>
      <c r="AK69" s="446" t="str">
        <f>IF(AND($A69&gt;=SYear72,$A69&lt;=EYear72,AK$3&gt;0),IF($A69=SYear72,AK$67*(1+Data_72_15!AK9%),AK68*(1+Data_72_15!AK9%)),"")</f>
        <v/>
      </c>
      <c r="AL69" s="446" t="str">
        <f>IF(AND($A69&gt;=SYear72,$A69&lt;=EYear72,AL$3&gt;0),IF($A69=SYear72,AL$67*(1+Data_72_15!AL9%),AL68*(1+Data_72_15!AL9%)),"")</f>
        <v/>
      </c>
      <c r="AM69" s="206">
        <f t="shared" si="18"/>
        <v>-13.334363699268774</v>
      </c>
      <c r="AN69" s="446">
        <f t="shared" si="19"/>
        <v>10433.684009053251</v>
      </c>
      <c r="AO69" s="206">
        <f>IF(AND($A69&gt;=SYear72,$A69&lt;=EYear72),(AM69-Data_72_15!AM9)/(1+Data_72_15!AM9%),"")</f>
        <v>-20.275118121621713</v>
      </c>
      <c r="AP69" s="606">
        <f t="shared" si="20"/>
        <v>9281.9136963655546</v>
      </c>
      <c r="AQ69" s="143">
        <f t="shared" si="21"/>
        <v>0.8666563630073123</v>
      </c>
      <c r="AR69" s="143">
        <f>IF(AND($A69&gt;=SYear72,$A69&lt;=EYear72),MAX($AQ$68:AQ69),"")</f>
        <v>1</v>
      </c>
      <c r="AS69" s="209">
        <f t="shared" si="22"/>
        <v>0.1333436369926877</v>
      </c>
      <c r="AZ69" s="61">
        <f t="shared" si="23"/>
        <v>-0.1333436369926877</v>
      </c>
      <c r="BA69" s="61">
        <f t="shared" si="24"/>
        <v>-3.3502516177097763E-2</v>
      </c>
      <c r="BB69" s="61">
        <f t="shared" si="25"/>
        <v>1.8232842190811116E-2</v>
      </c>
      <c r="BC69" s="61">
        <f t="shared" si="26"/>
        <v>7.0667913544669503E-2</v>
      </c>
      <c r="BD69" s="61">
        <f t="shared" si="27"/>
        <v>0.120408015799645</v>
      </c>
      <c r="BG69" s="61">
        <f t="shared" si="28"/>
        <v>-0.20275118121621727</v>
      </c>
      <c r="BH69" s="61">
        <f t="shared" si="29"/>
        <v>-0.11576837550141594</v>
      </c>
      <c r="BI69" s="61">
        <f t="shared" si="30"/>
        <v>-5.6142205391532252E-2</v>
      </c>
      <c r="BJ69" s="61">
        <f t="shared" si="31"/>
        <v>-1.474488343091529E-2</v>
      </c>
      <c r="BK69" s="61">
        <f t="shared" si="32"/>
        <v>4.822637254573392E-2</v>
      </c>
    </row>
    <row r="70" spans="1:63">
      <c r="A70" s="204">
        <f t="shared" ref="A70:A100" si="33">A69+1</f>
        <v>1974</v>
      </c>
      <c r="B70" s="446">
        <f>IF(AND($A70&gt;=SYear72,$A70&lt;=EYear72,B$3&gt;0),IF($A70=SYear72,B$67*(1+Data_72_15!B10%),B69*(1+Data_72_15!B10%)),"")</f>
        <v>3467.2629208992271</v>
      </c>
      <c r="C70" s="446" t="str">
        <f>IF(AND($A70&gt;=SYear72,$A70&lt;=EYear72,C$3&gt;0),IF($A70=SYear72,C$67*(1+Data_72_15!C10%),C69*(1+Data_72_15!C10%)),"")</f>
        <v/>
      </c>
      <c r="D70" s="446" t="str">
        <f>IF(AND($A70&gt;=SYear72,$A70&lt;=EYear72,D$3&gt;0),IF($A70=SYear72,D$67*(1+Data_72_15!D10%),D69*(1+Data_72_15!D10%)),"")</f>
        <v/>
      </c>
      <c r="E70" s="446" t="str">
        <f>IF(AND($A70&gt;=SYear72,$A70&lt;=EYear72,E$3&gt;0),IF($A70=SYear72,E$67*(1+Data_72_15!E10%),E69*(1+Data_72_15!E10%)),"")</f>
        <v/>
      </c>
      <c r="F70" s="446" t="str">
        <f>IF(AND($A70&gt;=SYear72,$A70&lt;=EYear72,F$3&gt;0),IF($A70=SYear72,F$67*(1+Data_72_15!F10%),F69*(1+Data_72_15!F10%)),"")</f>
        <v/>
      </c>
      <c r="G70" s="446" t="str">
        <f>IF(AND($A70&gt;=SYear72,$A70&lt;=EYear72,G$3&gt;0),IF($A70=SYear72,G$67*(1+Data_72_15!G10%),G69*(1+Data_72_15!G10%)),"")</f>
        <v/>
      </c>
      <c r="H70" s="446" t="str">
        <f>IF(AND($A70&gt;=SYear72,$A70&lt;=EYear72,H$3&gt;0),IF($A70=SYear72,H$67*(1+Data_72_15!H10%),H69*(1+Data_72_15!H10%)),"")</f>
        <v/>
      </c>
      <c r="I70" s="446" t="str">
        <f>IF(AND($A70&gt;=SYear72,$A70&lt;=EYear72,I$3&gt;0),IF($A70=SYear72,I$67*(1+Data_72_15!I10%),I69*(1+Data_72_15!I10%)),"")</f>
        <v/>
      </c>
      <c r="J70" s="446" t="str">
        <f>IF(AND($A70&gt;=SYear72,$A70&lt;=EYear72,J$3&gt;0),IF($A70=SYear72,J$67*(1+Data_72_15!J10%),J69*(1+Data_72_15!J10%)),"")</f>
        <v/>
      </c>
      <c r="K70" s="446" t="str">
        <f>IF(AND($A70&gt;=SYear72,$A70&lt;=EYear72,K$3&gt;0),IF($A70=SYear72,K$67*(1+Data_72_15!K10%),K69*(1+Data_72_15!K10%)),"")</f>
        <v/>
      </c>
      <c r="L70" s="446" t="str">
        <f>IF(AND($A70&gt;=SYear72,$A70&lt;=EYear72,L$3&gt;0),IF($A70=SYear72,L$67*(1+Data_72_15!L10%),L69*(1+Data_72_15!L10%)),"")</f>
        <v/>
      </c>
      <c r="M70" s="446" t="str">
        <f>IF(AND($A70&gt;=SYear72,$A70&lt;=EYear72,M$3&gt;0),IF($A70=SYear72,M$67*(1+Data_72_15!M10%),M69*(1+Data_72_15!M10%)),"")</f>
        <v/>
      </c>
      <c r="N70" s="446">
        <f>IF(AND($A70&gt;=SYear72,$A70&lt;=EYear72,N$3&gt;0),IF($A70=SYear72,N$67*(1+Data_72_15!N10%),N69*(1+Data_72_15!N10%)),"")</f>
        <v>2689.6399385656478</v>
      </c>
      <c r="O70" s="446" t="str">
        <f>IF(AND($A70&gt;=SYear72,$A70&lt;=EYear72,O$3&gt;0),IF($A70=SYear72,O$67*(1+Data_72_15!O10%),O69*(1+Data_72_15!O10%)),"")</f>
        <v/>
      </c>
      <c r="P70" s="446" t="str">
        <f>IF(AND($A70&gt;=SYear72,$A70&lt;=EYear72,P$3&gt;0),IF($A70=SYear72,P$67*(1+Data_72_15!P10%),P69*(1+Data_72_15!P10%)),"")</f>
        <v/>
      </c>
      <c r="Q70" s="446" t="str">
        <f>IF(AND($A70&gt;=SYear72,$A70&lt;=EYear72,Q$3&gt;0),IF($A70=SYear72,Q$67*(1+Data_72_15!Q10%),Q69*(1+Data_72_15!Q10%)),"")</f>
        <v/>
      </c>
      <c r="R70" s="446" t="str">
        <f>IF(AND($A70&gt;=SYear72,$A70&lt;=EYear72,R$3&gt;0),IF($A70=SYear72,R$67*(1+Data_72_15!R10%),R69*(1+Data_72_15!R10%)),"")</f>
        <v/>
      </c>
      <c r="S70" s="446" t="str">
        <f>IF(AND($A70&gt;=SYear72,$A70&lt;=EYear72,S$3&gt;0),IF($A70=SYear72,S$67*(1+Data_72_15!S10%),S69*(1+Data_72_15!S10%)),"")</f>
        <v/>
      </c>
      <c r="T70" s="446">
        <f>IF(AND($A70&gt;=SYear72,$A70&lt;=EYear72,T$3&gt;0),IF($A70=SYear72,T$67*(1+Data_72_15!T10%),T69*(1+Data_72_15!T10%)),"")</f>
        <v>2242.0436365604351</v>
      </c>
      <c r="U70" s="446" t="str">
        <f>IF(AND($A70&gt;=SYear72,$A70&lt;=EYear72,U$3&gt;0),IF($A70=SYear72,U$67*(1+Data_72_15!U10%),U69*(1+Data_72_15!U10%)),"")</f>
        <v/>
      </c>
      <c r="V70" s="446" t="str">
        <f>IF(AND($A70&gt;=SYear72,$A70&lt;=EYear72,V$3&gt;0),IF($A70=SYear72,V$67*(1+Data_72_15!V10%),V69*(1+Data_72_15!V10%)),"")</f>
        <v/>
      </c>
      <c r="W70" s="446" t="str">
        <f>IF(AND($A70&gt;=SYear72,$A70&lt;=EYear72,W$3&gt;0),IF($A70=SYear72,W$67*(1+Data_72_15!W10%),W69*(1+Data_72_15!W10%)),"")</f>
        <v/>
      </c>
      <c r="X70" s="446" t="str">
        <f>IF(AND($A70&gt;=SYear72,$A70&lt;=EYear72,X$3&gt;0),IF($A70=SYear72,X$67*(1+Data_72_15!X10%),X69*(1+Data_72_15!X10%)),"")</f>
        <v/>
      </c>
      <c r="Y70" s="446" t="str">
        <f>IF(AND($A70&gt;=SYear72,$A70&lt;=EYear72,Y$3&gt;0),IF($A70=SYear72,Y$67*(1+Data_72_15!Y10%),Y69*(1+Data_72_15!Y10%)),"")</f>
        <v/>
      </c>
      <c r="Z70" s="446" t="str">
        <f>IF(AND($A70&gt;=SYear72,$A70&lt;=EYear72,Z$3&gt;0),IF($A70=SYear72,Z$67*(1+Data_72_15!Z10%),Z69*(1+Data_72_15!Z10%)),"")</f>
        <v/>
      </c>
      <c r="AA70" s="446" t="str">
        <f>IF(AND($A70&gt;=SYear72,$A70&lt;=EYear72,AA$3&gt;0),IF($A70=SYear72,AA$67*(1+Data_72_15!AA10%),AA69*(1+Data_72_15!AA10%)),"")</f>
        <v/>
      </c>
      <c r="AB70" s="446" t="str">
        <f>IF(AND($A70&gt;=SYear72,$A70&lt;=EYear72,AB$3&gt;0),IF($A70=SYear72,AB$67*(1+Data_72_15!AB10%),AB69*(1+Data_72_15!AB10%)),"")</f>
        <v/>
      </c>
      <c r="AC70" s="446" t="str">
        <f>IF(AND($A70&gt;=SYear72,$A70&lt;=EYear72,AC$3&gt;0),IF($A70=SYear72,AC$67*(1+Data_72_15!AC10%),AC69*(1+Data_72_15!AC10%)),"")</f>
        <v/>
      </c>
      <c r="AD70" s="446" t="str">
        <f>IF(AND($A70&gt;=SYear72,$A70&lt;=EYear72,AD$3&gt;0),IF($A70=SYear72,AD$67*(1+Data_72_15!AD10%),AD69*(1+Data_72_15!AD10%)),"")</f>
        <v/>
      </c>
      <c r="AE70" s="446" t="str">
        <f>IF(AND($A70&gt;=SYear72,$A70&lt;=EYear72,AE$3&gt;0),IF($A70=SYear72,AE$67*(1+Data_72_15!AE10%),AE69*(1+Data_72_15!AE10%)),"")</f>
        <v/>
      </c>
      <c r="AF70" s="446" t="str">
        <f>IF(AND($A70&gt;=SYear72,$A70&lt;=EYear72,AF$3&gt;0),IF($A70=SYear72,AF$67*(1+Data_72_15!AF10%),AF69*(1+Data_72_15!AF10%)),"")</f>
        <v/>
      </c>
      <c r="AG70" s="446" t="str">
        <f>IF(AND($A70&gt;=SYear72,$A70&lt;=EYear72,AG$3&gt;0),IF($A70=SYear72,AG$67*(1+Data_72_15!AG10%),AG69*(1+Data_72_15!AG10%)),"")</f>
        <v/>
      </c>
      <c r="AH70" s="446" t="str">
        <f>IF(AND($A70&gt;=SYear72,$A70&lt;=EYear72,AH$3&gt;0),IF($A70=SYear72,AH$67*(1+Data_72_15!AH10%),AH69*(1+Data_72_15!AH10%)),"")</f>
        <v/>
      </c>
      <c r="AI70" s="446" t="str">
        <f>IF(AND($A70&gt;=SYear72,$A70&lt;=EYear72,AI$3&gt;0),IF($A70=SYear72,AI$67*(1+Data_72_15!AI10%),AI69*(1+Data_72_15!AI10%)),"")</f>
        <v/>
      </c>
      <c r="AJ70" s="446" t="str">
        <f>IF(AND($A70&gt;=SYear72,$A70&lt;=EYear72,AJ$3&gt;0),IF($A70=SYear72,AJ$67*(1+Data_72_15!AJ10%),AJ69*(1+Data_72_15!AJ10%)),"")</f>
        <v/>
      </c>
      <c r="AK70" s="446" t="str">
        <f>IF(AND($A70&gt;=SYear72,$A70&lt;=EYear72,AK$3&gt;0),IF($A70=SYear72,AK$67*(1+Data_72_15!AK10%),AK69*(1+Data_72_15!AK10%)),"")</f>
        <v/>
      </c>
      <c r="AL70" s="446" t="str">
        <f>IF(AND($A70&gt;=SYear72,$A70&lt;=EYear72,AL$3&gt;0),IF($A70=SYear72,AL$67*(1+Data_72_15!AL10%),AL69*(1+Data_72_15!AL10%)),"")</f>
        <v/>
      </c>
      <c r="AM70" s="206">
        <f t="shared" si="18"/>
        <v>-19.501621011930308</v>
      </c>
      <c r="AN70" s="446">
        <f t="shared" si="19"/>
        <v>8398.9464960253099</v>
      </c>
      <c r="AO70" s="206">
        <f>IF(AND($A70&gt;=SYear72,$A70&lt;=EYear72),(AM70-Data_72_15!AM10)/(1+Data_72_15!AM10%),"")</f>
        <v>-28.342483444146055</v>
      </c>
      <c r="AP70" s="606">
        <f t="shared" si="20"/>
        <v>6651.1888436732224</v>
      </c>
      <c r="AQ70" s="143">
        <f t="shared" si="21"/>
        <v>0.69764432361784734</v>
      </c>
      <c r="AR70" s="143">
        <f>IF(AND($A70&gt;=SYear72,$A70&lt;=EYear72),MAX($AQ$68:AQ70),"")</f>
        <v>1</v>
      </c>
      <c r="AS70" s="209">
        <f t="shared" si="22"/>
        <v>0.30235567638215266</v>
      </c>
      <c r="AZ70" s="61">
        <f t="shared" si="23"/>
        <v>-0.19501621011930315</v>
      </c>
      <c r="BA70" s="61">
        <f t="shared" si="24"/>
        <v>6.2330769048389412E-2</v>
      </c>
      <c r="BB70" s="61">
        <f t="shared" si="25"/>
        <v>7.9615662542033672E-2</v>
      </c>
      <c r="BC70" s="61">
        <f t="shared" si="26"/>
        <v>0.10628418339746282</v>
      </c>
      <c r="BD70" s="61">
        <f t="shared" si="27"/>
        <v>0.14695729605593399</v>
      </c>
      <c r="BG70" s="61">
        <f t="shared" si="28"/>
        <v>-0.28342483444146049</v>
      </c>
      <c r="BH70" s="61">
        <f t="shared" si="29"/>
        <v>-1.6367754409946311E-2</v>
      </c>
      <c r="BI70" s="61">
        <f t="shared" si="30"/>
        <v>1.8385031573453503E-4</v>
      </c>
      <c r="BJ70" s="61">
        <f t="shared" si="31"/>
        <v>2.2751102489122266E-2</v>
      </c>
      <c r="BK70" s="61">
        <f t="shared" si="32"/>
        <v>7.5947077599104684E-2</v>
      </c>
    </row>
    <row r="71" spans="1:63">
      <c r="A71" s="204">
        <f t="shared" si="33"/>
        <v>1975</v>
      </c>
      <c r="B71" s="446">
        <f>IF(AND($A71&gt;=SYear72,$A71&lt;=EYear72,B$3&gt;0),IF($A71=SYear72,B$67*(1+Data_72_15!B11%),B70*(1+Data_72_15!B11%)),"")</f>
        <v>4800.932086739771</v>
      </c>
      <c r="C71" s="446" t="str">
        <f>IF(AND($A71&gt;=SYear72,$A71&lt;=EYear72,C$3&gt;0),IF($A71=SYear72,C$67*(1+Data_72_15!C11%),C70*(1+Data_72_15!C11%)),"")</f>
        <v/>
      </c>
      <c r="D71" s="446" t="str">
        <f>IF(AND($A71&gt;=SYear72,$A71&lt;=EYear72,D$3&gt;0),IF($A71=SYear72,D$67*(1+Data_72_15!D11%),D70*(1+Data_72_15!D11%)),"")</f>
        <v/>
      </c>
      <c r="E71" s="446" t="str">
        <f>IF(AND($A71&gt;=SYear72,$A71&lt;=EYear72,E$3&gt;0),IF($A71=SYear72,E$67*(1+Data_72_15!E11%),E70*(1+Data_72_15!E11%)),"")</f>
        <v/>
      </c>
      <c r="F71" s="446" t="str">
        <f>IF(AND($A71&gt;=SYear72,$A71&lt;=EYear72,F$3&gt;0),IF($A71=SYear72,F$67*(1+Data_72_15!F11%),F70*(1+Data_72_15!F11%)),"")</f>
        <v/>
      </c>
      <c r="G71" s="446" t="str">
        <f>IF(AND($A71&gt;=SYear72,$A71&lt;=EYear72,G$3&gt;0),IF($A71=SYear72,G$67*(1+Data_72_15!G11%),G70*(1+Data_72_15!G11%)),"")</f>
        <v/>
      </c>
      <c r="H71" s="446" t="str">
        <f>IF(AND($A71&gt;=SYear72,$A71&lt;=EYear72,H$3&gt;0),IF($A71=SYear72,H$67*(1+Data_72_15!H11%),H70*(1+Data_72_15!H11%)),"")</f>
        <v/>
      </c>
      <c r="I71" s="446" t="str">
        <f>IF(AND($A71&gt;=SYear72,$A71&lt;=EYear72,I$3&gt;0),IF($A71=SYear72,I$67*(1+Data_72_15!I11%),I70*(1+Data_72_15!I11%)),"")</f>
        <v/>
      </c>
      <c r="J71" s="446" t="str">
        <f>IF(AND($A71&gt;=SYear72,$A71&lt;=EYear72,J$3&gt;0),IF($A71=SYear72,J$67*(1+Data_72_15!J11%),J70*(1+Data_72_15!J11%)),"")</f>
        <v/>
      </c>
      <c r="K71" s="446" t="str">
        <f>IF(AND($A71&gt;=SYear72,$A71&lt;=EYear72,K$3&gt;0),IF($A71=SYear72,K$67*(1+Data_72_15!K11%),K70*(1+Data_72_15!K11%)),"")</f>
        <v/>
      </c>
      <c r="L71" s="446" t="str">
        <f>IF(AND($A71&gt;=SYear72,$A71&lt;=EYear72,L$3&gt;0),IF($A71=SYear72,L$67*(1+Data_72_15!L11%),L70*(1+Data_72_15!L11%)),"")</f>
        <v/>
      </c>
      <c r="M71" s="446" t="str">
        <f>IF(AND($A71&gt;=SYear72,$A71&lt;=EYear72,M$3&gt;0),IF($A71=SYear72,M$67*(1+Data_72_15!M11%),M70*(1+Data_72_15!M11%)),"")</f>
        <v/>
      </c>
      <c r="N71" s="446">
        <f>IF(AND($A71&gt;=SYear72,$A71&lt;=EYear72,N$3&gt;0),IF($A71=SYear72,N$67*(1+Data_72_15!N11%),N70*(1+Data_72_15!N11%)),"")</f>
        <v>3669.2034763589641</v>
      </c>
      <c r="O71" s="446" t="str">
        <f>IF(AND($A71&gt;=SYear72,$A71&lt;=EYear72,O$3&gt;0),IF($A71=SYear72,O$67*(1+Data_72_15!O11%),O70*(1+Data_72_15!O11%)),"")</f>
        <v/>
      </c>
      <c r="P71" s="446" t="str">
        <f>IF(AND($A71&gt;=SYear72,$A71&lt;=EYear72,P$3&gt;0),IF($A71=SYear72,P$67*(1+Data_72_15!P11%),P70*(1+Data_72_15!P11%)),"")</f>
        <v/>
      </c>
      <c r="Q71" s="446" t="str">
        <f>IF(AND($A71&gt;=SYear72,$A71&lt;=EYear72,Q$3&gt;0),IF($A71=SYear72,Q$67*(1+Data_72_15!Q11%),Q70*(1+Data_72_15!Q11%)),"")</f>
        <v/>
      </c>
      <c r="R71" s="446" t="str">
        <f>IF(AND($A71&gt;=SYear72,$A71&lt;=EYear72,R$3&gt;0),IF($A71=SYear72,R$67*(1+Data_72_15!R11%),R70*(1+Data_72_15!R11%)),"")</f>
        <v/>
      </c>
      <c r="S71" s="446" t="str">
        <f>IF(AND($A71&gt;=SYear72,$A71&lt;=EYear72,S$3&gt;0),IF($A71=SYear72,S$67*(1+Data_72_15!S11%),S70*(1+Data_72_15!S11%)),"")</f>
        <v/>
      </c>
      <c r="T71" s="446">
        <f>IF(AND($A71&gt;=SYear72,$A71&lt;=EYear72,T$3&gt;0),IF($A71=SYear72,T$67*(1+Data_72_15!T11%),T70*(1+Data_72_15!T11%)),"")</f>
        <v>2398.9481305783706</v>
      </c>
      <c r="U71" s="446" t="str">
        <f>IF(AND($A71&gt;=SYear72,$A71&lt;=EYear72,U$3&gt;0),IF($A71=SYear72,U$67*(1+Data_72_15!U11%),U70*(1+Data_72_15!U11%)),"")</f>
        <v/>
      </c>
      <c r="V71" s="446" t="str">
        <f>IF(AND($A71&gt;=SYear72,$A71&lt;=EYear72,V$3&gt;0),IF($A71=SYear72,V$67*(1+Data_72_15!V11%),V70*(1+Data_72_15!V11%)),"")</f>
        <v/>
      </c>
      <c r="W71" s="446" t="str">
        <f>IF(AND($A71&gt;=SYear72,$A71&lt;=EYear72,W$3&gt;0),IF($A71=SYear72,W$67*(1+Data_72_15!W11%),W70*(1+Data_72_15!W11%)),"")</f>
        <v/>
      </c>
      <c r="X71" s="446" t="str">
        <f>IF(AND($A71&gt;=SYear72,$A71&lt;=EYear72,X$3&gt;0),IF($A71=SYear72,X$67*(1+Data_72_15!X11%),X70*(1+Data_72_15!X11%)),"")</f>
        <v/>
      </c>
      <c r="Y71" s="446" t="str">
        <f>IF(AND($A71&gt;=SYear72,$A71&lt;=EYear72,Y$3&gt;0),IF($A71=SYear72,Y$67*(1+Data_72_15!Y11%),Y70*(1+Data_72_15!Y11%)),"")</f>
        <v/>
      </c>
      <c r="Z71" s="446" t="str">
        <f>IF(AND($A71&gt;=SYear72,$A71&lt;=EYear72,Z$3&gt;0),IF($A71=SYear72,Z$67*(1+Data_72_15!Z11%),Z70*(1+Data_72_15!Z11%)),"")</f>
        <v/>
      </c>
      <c r="AA71" s="446" t="str">
        <f>IF(AND($A71&gt;=SYear72,$A71&lt;=EYear72,AA$3&gt;0),IF($A71=SYear72,AA$67*(1+Data_72_15!AA11%),AA70*(1+Data_72_15!AA11%)),"")</f>
        <v/>
      </c>
      <c r="AB71" s="446" t="str">
        <f>IF(AND($A71&gt;=SYear72,$A71&lt;=EYear72,AB$3&gt;0),IF($A71=SYear72,AB$67*(1+Data_72_15!AB11%),AB70*(1+Data_72_15!AB11%)),"")</f>
        <v/>
      </c>
      <c r="AC71" s="446" t="str">
        <f>IF(AND($A71&gt;=SYear72,$A71&lt;=EYear72,AC$3&gt;0),IF($A71=SYear72,AC$67*(1+Data_72_15!AC11%),AC70*(1+Data_72_15!AC11%)),"")</f>
        <v/>
      </c>
      <c r="AD71" s="446" t="str">
        <f>IF(AND($A71&gt;=SYear72,$A71&lt;=EYear72,AD$3&gt;0),IF($A71=SYear72,AD$67*(1+Data_72_15!AD11%),AD70*(1+Data_72_15!AD11%)),"")</f>
        <v/>
      </c>
      <c r="AE71" s="446" t="str">
        <f>IF(AND($A71&gt;=SYear72,$A71&lt;=EYear72,AE$3&gt;0),IF($A71=SYear72,AE$67*(1+Data_72_15!AE11%),AE70*(1+Data_72_15!AE11%)),"")</f>
        <v/>
      </c>
      <c r="AF71" s="446" t="str">
        <f>IF(AND($A71&gt;=SYear72,$A71&lt;=EYear72,AF$3&gt;0),IF($A71=SYear72,AF$67*(1+Data_72_15!AF11%),AF70*(1+Data_72_15!AF11%)),"")</f>
        <v/>
      </c>
      <c r="AG71" s="446" t="str">
        <f>IF(AND($A71&gt;=SYear72,$A71&lt;=EYear72,AG$3&gt;0),IF($A71=SYear72,AG$67*(1+Data_72_15!AG11%),AG70*(1+Data_72_15!AG11%)),"")</f>
        <v/>
      </c>
      <c r="AH71" s="446" t="str">
        <f>IF(AND($A71&gt;=SYear72,$A71&lt;=EYear72,AH$3&gt;0),IF($A71=SYear72,AH$67*(1+Data_72_15!AH11%),AH70*(1+Data_72_15!AH11%)),"")</f>
        <v/>
      </c>
      <c r="AI71" s="446" t="str">
        <f>IF(AND($A71&gt;=SYear72,$A71&lt;=EYear72,AI$3&gt;0),IF($A71=SYear72,AI$67*(1+Data_72_15!AI11%),AI70*(1+Data_72_15!AI11%)),"")</f>
        <v/>
      </c>
      <c r="AJ71" s="446" t="str">
        <f>IF(AND($A71&gt;=SYear72,$A71&lt;=EYear72,AJ$3&gt;0),IF($A71=SYear72,AJ$67*(1+Data_72_15!AJ11%),AJ70*(1+Data_72_15!AJ11%)),"")</f>
        <v/>
      </c>
      <c r="AK71" s="446" t="str">
        <f>IF(AND($A71&gt;=SYear72,$A71&lt;=EYear72,AK$3&gt;0),IF($A71=SYear72,AK$67*(1+Data_72_15!AK11%),AK70*(1+Data_72_15!AK11%)),"")</f>
        <v/>
      </c>
      <c r="AL71" s="446" t="str">
        <f>IF(AND($A71&gt;=SYear72,$A71&lt;=EYear72,AL$3&gt;0),IF($A71=SYear72,AL$67*(1+Data_72_15!AL11%),AL70*(1+Data_72_15!AL11%)),"")</f>
        <v/>
      </c>
      <c r="AM71" s="206">
        <f t="shared" si="18"/>
        <v>29.410083738725501</v>
      </c>
      <c r="AN71" s="446">
        <f t="shared" si="19"/>
        <v>10869.083693677105</v>
      </c>
      <c r="AO71" s="206">
        <f>IF(AND($A71&gt;=SYear72,$A71&lt;=EYear72),(AM71-Data_72_15!AM11)/(1+Data_72_15!AM11%),"")</f>
        <v>21.015916144862228</v>
      </c>
      <c r="AP71" s="606">
        <f t="shared" si="20"/>
        <v>8048.9971136960185</v>
      </c>
      <c r="AQ71" s="143">
        <f t="shared" si="21"/>
        <v>0.90282210339232127</v>
      </c>
      <c r="AR71" s="143">
        <f>IF(AND($A71&gt;=SYear72,$A71&lt;=EYear72),MAX($AQ$68:AQ71),"")</f>
        <v>1</v>
      </c>
      <c r="AS71" s="209">
        <f t="shared" si="22"/>
        <v>9.7177896607678727E-2</v>
      </c>
      <c r="AZ71" s="61">
        <f t="shared" si="23"/>
        <v>0.2941008373872549</v>
      </c>
      <c r="BA71" s="61">
        <f t="shared" si="24"/>
        <v>0.1619848868883127</v>
      </c>
      <c r="BB71" s="61">
        <f t="shared" si="25"/>
        <v>0.15228545291908668</v>
      </c>
      <c r="BC71" s="61">
        <f t="shared" si="26"/>
        <v>0.13815352310244178</v>
      </c>
      <c r="BD71" s="61">
        <f t="shared" si="27"/>
        <v>0.1788664497138257</v>
      </c>
      <c r="BG71" s="61">
        <f t="shared" si="28"/>
        <v>0.21015916144862223</v>
      </c>
      <c r="BH71" s="61">
        <f t="shared" si="29"/>
        <v>9.4525116861364777E-2</v>
      </c>
      <c r="BI71" s="61">
        <f t="shared" si="30"/>
        <v>6.5698802885255203E-2</v>
      </c>
      <c r="BJ71" s="61">
        <f t="shared" si="31"/>
        <v>6.0412273502232106E-2</v>
      </c>
      <c r="BK71" s="61">
        <f t="shared" si="32"/>
        <v>0.11112117977645863</v>
      </c>
    </row>
    <row r="72" spans="1:63">
      <c r="A72" s="204">
        <f t="shared" si="33"/>
        <v>1976</v>
      </c>
      <c r="B72" s="446">
        <f>IF(AND($A72&gt;=SYear72,$A72&lt;=EYear72,B$3&gt;0),IF($A72=SYear72,B$67*(1+Data_72_15!B12%),B71*(1+Data_72_15!B12%)),"")</f>
        <v>6072.4577756806329</v>
      </c>
      <c r="C72" s="446" t="str">
        <f>IF(AND($A72&gt;=SYear72,$A72&lt;=EYear72,C$3&gt;0),IF($A72=SYear72,C$67*(1+Data_72_15!C12%),C71*(1+Data_72_15!C12%)),"")</f>
        <v/>
      </c>
      <c r="D72" s="446" t="str">
        <f>IF(AND($A72&gt;=SYear72,$A72&lt;=EYear72,D$3&gt;0),IF($A72=SYear72,D$67*(1+Data_72_15!D12%),D71*(1+Data_72_15!D12%)),"")</f>
        <v/>
      </c>
      <c r="E72" s="446" t="str">
        <f>IF(AND($A72&gt;=SYear72,$A72&lt;=EYear72,E$3&gt;0),IF($A72=SYear72,E$67*(1+Data_72_15!E12%),E71*(1+Data_72_15!E12%)),"")</f>
        <v/>
      </c>
      <c r="F72" s="446" t="str">
        <f>IF(AND($A72&gt;=SYear72,$A72&lt;=EYear72,F$3&gt;0),IF($A72=SYear72,F$67*(1+Data_72_15!F12%),F71*(1+Data_72_15!F12%)),"")</f>
        <v/>
      </c>
      <c r="G72" s="446" t="str">
        <f>IF(AND($A72&gt;=SYear72,$A72&lt;=EYear72,G$3&gt;0),IF($A72=SYear72,G$67*(1+Data_72_15!G12%),G71*(1+Data_72_15!G12%)),"")</f>
        <v/>
      </c>
      <c r="H72" s="446" t="str">
        <f>IF(AND($A72&gt;=SYear72,$A72&lt;=EYear72,H$3&gt;0),IF($A72=SYear72,H$67*(1+Data_72_15!H12%),H71*(1+Data_72_15!H12%)),"")</f>
        <v/>
      </c>
      <c r="I72" s="446" t="str">
        <f>IF(AND($A72&gt;=SYear72,$A72&lt;=EYear72,I$3&gt;0),IF($A72=SYear72,I$67*(1+Data_72_15!I12%),I71*(1+Data_72_15!I12%)),"")</f>
        <v/>
      </c>
      <c r="J72" s="446" t="str">
        <f>IF(AND($A72&gt;=SYear72,$A72&lt;=EYear72,J$3&gt;0),IF($A72=SYear72,J$67*(1+Data_72_15!J12%),J71*(1+Data_72_15!J12%)),"")</f>
        <v/>
      </c>
      <c r="K72" s="446" t="str">
        <f>IF(AND($A72&gt;=SYear72,$A72&lt;=EYear72,K$3&gt;0),IF($A72=SYear72,K$67*(1+Data_72_15!K12%),K71*(1+Data_72_15!K12%)),"")</f>
        <v/>
      </c>
      <c r="L72" s="446" t="str">
        <f>IF(AND($A72&gt;=SYear72,$A72&lt;=EYear72,L$3&gt;0),IF($A72=SYear72,L$67*(1+Data_72_15!L12%),L71*(1+Data_72_15!L12%)),"")</f>
        <v/>
      </c>
      <c r="M72" s="446" t="str">
        <f>IF(AND($A72&gt;=SYear72,$A72&lt;=EYear72,M$3&gt;0),IF($A72=SYear72,M$67*(1+Data_72_15!M12%),M71*(1+Data_72_15!M12%)),"")</f>
        <v/>
      </c>
      <c r="N72" s="446">
        <f>IF(AND($A72&gt;=SYear72,$A72&lt;=EYear72,N$3&gt;0),IF($A72=SYear72,N$67*(1+Data_72_15!N12%),N71*(1+Data_72_15!N12%)),"")</f>
        <v>3779.0379448191202</v>
      </c>
      <c r="O72" s="446" t="str">
        <f>IF(AND($A72&gt;=SYear72,$A72&lt;=EYear72,O$3&gt;0),IF($A72=SYear72,O$67*(1+Data_72_15!O12%),O71*(1+Data_72_15!O12%)),"")</f>
        <v/>
      </c>
      <c r="P72" s="446" t="str">
        <f>IF(AND($A72&gt;=SYear72,$A72&lt;=EYear72,P$3&gt;0),IF($A72=SYear72,P$67*(1+Data_72_15!P12%),P71*(1+Data_72_15!P12%)),"")</f>
        <v/>
      </c>
      <c r="Q72" s="446" t="str">
        <f>IF(AND($A72&gt;=SYear72,$A72&lt;=EYear72,Q$3&gt;0),IF($A72=SYear72,Q$67*(1+Data_72_15!Q12%),Q71*(1+Data_72_15!Q12%)),"")</f>
        <v/>
      </c>
      <c r="R72" s="446" t="str">
        <f>IF(AND($A72&gt;=SYear72,$A72&lt;=EYear72,R$3&gt;0),IF($A72=SYear72,R$67*(1+Data_72_15!R12%),R71*(1+Data_72_15!R12%)),"")</f>
        <v/>
      </c>
      <c r="S72" s="446" t="str">
        <f>IF(AND($A72&gt;=SYear72,$A72&lt;=EYear72,S$3&gt;0),IF($A72=SYear72,S$67*(1+Data_72_15!S12%),S71*(1+Data_72_15!S12%)),"")</f>
        <v/>
      </c>
      <c r="T72" s="446">
        <f>IF(AND($A72&gt;=SYear72,$A72&lt;=EYear72,T$3&gt;0),IF($A72=SYear72,T$67*(1+Data_72_15!T12%),T71*(1+Data_72_15!T12%)),"")</f>
        <v>2657.3420762810024</v>
      </c>
      <c r="U72" s="446" t="str">
        <f>IF(AND($A72&gt;=SYear72,$A72&lt;=EYear72,U$3&gt;0),IF($A72=SYear72,U$67*(1+Data_72_15!U12%),U71*(1+Data_72_15!U12%)),"")</f>
        <v/>
      </c>
      <c r="V72" s="446" t="str">
        <f>IF(AND($A72&gt;=SYear72,$A72&lt;=EYear72,V$3&gt;0),IF($A72=SYear72,V$67*(1+Data_72_15!V12%),V71*(1+Data_72_15!V12%)),"")</f>
        <v/>
      </c>
      <c r="W72" s="446" t="str">
        <f>IF(AND($A72&gt;=SYear72,$A72&lt;=EYear72,W$3&gt;0),IF($A72=SYear72,W$67*(1+Data_72_15!W12%),W71*(1+Data_72_15!W12%)),"")</f>
        <v/>
      </c>
      <c r="X72" s="446" t="str">
        <f>IF(AND($A72&gt;=SYear72,$A72&lt;=EYear72,X$3&gt;0),IF($A72=SYear72,X$67*(1+Data_72_15!X12%),X71*(1+Data_72_15!X12%)),"")</f>
        <v/>
      </c>
      <c r="Y72" s="446" t="str">
        <f>IF(AND($A72&gt;=SYear72,$A72&lt;=EYear72,Y$3&gt;0),IF($A72=SYear72,Y$67*(1+Data_72_15!Y12%),Y71*(1+Data_72_15!Y12%)),"")</f>
        <v/>
      </c>
      <c r="Z72" s="446" t="str">
        <f>IF(AND($A72&gt;=SYear72,$A72&lt;=EYear72,Z$3&gt;0),IF($A72=SYear72,Z$67*(1+Data_72_15!Z12%),Z71*(1+Data_72_15!Z12%)),"")</f>
        <v/>
      </c>
      <c r="AA72" s="446" t="str">
        <f>IF(AND($A72&gt;=SYear72,$A72&lt;=EYear72,AA$3&gt;0),IF($A72=SYear72,AA$67*(1+Data_72_15!AA12%),AA71*(1+Data_72_15!AA12%)),"")</f>
        <v/>
      </c>
      <c r="AB72" s="446" t="str">
        <f>IF(AND($A72&gt;=SYear72,$A72&lt;=EYear72,AB$3&gt;0),IF($A72=SYear72,AB$67*(1+Data_72_15!AB12%),AB71*(1+Data_72_15!AB12%)),"")</f>
        <v/>
      </c>
      <c r="AC72" s="446" t="str">
        <f>IF(AND($A72&gt;=SYear72,$A72&lt;=EYear72,AC$3&gt;0),IF($A72=SYear72,AC$67*(1+Data_72_15!AC12%),AC71*(1+Data_72_15!AC12%)),"")</f>
        <v/>
      </c>
      <c r="AD72" s="446" t="str">
        <f>IF(AND($A72&gt;=SYear72,$A72&lt;=EYear72,AD$3&gt;0),IF($A72=SYear72,AD$67*(1+Data_72_15!AD12%),AD71*(1+Data_72_15!AD12%)),"")</f>
        <v/>
      </c>
      <c r="AE72" s="446" t="str">
        <f>IF(AND($A72&gt;=SYear72,$A72&lt;=EYear72,AE$3&gt;0),IF($A72=SYear72,AE$67*(1+Data_72_15!AE12%),AE71*(1+Data_72_15!AE12%)),"")</f>
        <v/>
      </c>
      <c r="AF72" s="446" t="str">
        <f>IF(AND($A72&gt;=SYear72,$A72&lt;=EYear72,AF$3&gt;0),IF($A72=SYear72,AF$67*(1+Data_72_15!AF12%),AF71*(1+Data_72_15!AF12%)),"")</f>
        <v/>
      </c>
      <c r="AG72" s="446" t="str">
        <f>IF(AND($A72&gt;=SYear72,$A72&lt;=EYear72,AG$3&gt;0),IF($A72=SYear72,AG$67*(1+Data_72_15!AG12%),AG71*(1+Data_72_15!AG12%)),"")</f>
        <v/>
      </c>
      <c r="AH72" s="446" t="str">
        <f>IF(AND($A72&gt;=SYear72,$A72&lt;=EYear72,AH$3&gt;0),IF($A72=SYear72,AH$67*(1+Data_72_15!AH12%),AH71*(1+Data_72_15!AH12%)),"")</f>
        <v/>
      </c>
      <c r="AI72" s="446" t="str">
        <f>IF(AND($A72&gt;=SYear72,$A72&lt;=EYear72,AI$3&gt;0),IF($A72=SYear72,AI$67*(1+Data_72_15!AI12%),AI71*(1+Data_72_15!AI12%)),"")</f>
        <v/>
      </c>
      <c r="AJ72" s="446" t="str">
        <f>IF(AND($A72&gt;=SYear72,$A72&lt;=EYear72,AJ$3&gt;0),IF($A72=SYear72,AJ$67*(1+Data_72_15!AJ12%),AJ71*(1+Data_72_15!AJ12%)),"")</f>
        <v/>
      </c>
      <c r="AK72" s="446" t="str">
        <f>IF(AND($A72&gt;=SYear72,$A72&lt;=EYear72,AK$3&gt;0),IF($A72=SYear72,AK$67*(1+Data_72_15!AK12%),AK71*(1+Data_72_15!AK12%)),"")</f>
        <v/>
      </c>
      <c r="AL72" s="446" t="str">
        <f>IF(AND($A72&gt;=SYear72,$A72&lt;=EYear72,AL$3&gt;0),IF($A72=SYear72,AL$67*(1+Data_72_15!AL12%),AL71*(1+Data_72_15!AL12%)),"")</f>
        <v/>
      </c>
      <c r="AM72" s="206">
        <f t="shared" si="18"/>
        <v>15.086406079084187</v>
      </c>
      <c r="AN72" s="446">
        <f t="shared" si="19"/>
        <v>12508.837796780756</v>
      </c>
      <c r="AO72" s="206">
        <f>IF(AND($A72&gt;=SYear72,$A72&lt;=EYear72),(AM72-Data_72_15!AM12)/(1+Data_72_15!AM12%),"")</f>
        <v>9.7473460032503887</v>
      </c>
      <c r="AP72" s="606">
        <f t="shared" si="20"/>
        <v>8833.5607121596058</v>
      </c>
      <c r="AQ72" s="143">
        <f t="shared" si="21"/>
        <v>1.0390255120818161</v>
      </c>
      <c r="AR72" s="143">
        <f>IF(AND($A72&gt;=SYear72,$A72&lt;=EYear72),MAX($AQ$68:AQ72),"")</f>
        <v>1.0390255120818161</v>
      </c>
      <c r="AS72" s="209">
        <f t="shared" si="22"/>
        <v>0</v>
      </c>
      <c r="AZ72" s="61">
        <f t="shared" si="23"/>
        <v>0.1508640607908418</v>
      </c>
      <c r="BA72" s="61">
        <f t="shared" si="24"/>
        <v>0.12080538711186461</v>
      </c>
      <c r="BB72" s="61">
        <f t="shared" si="25"/>
        <v>0.14236194842311578</v>
      </c>
      <c r="BC72" s="61">
        <f t="shared" si="26"/>
        <v>0.14621287894995705</v>
      </c>
      <c r="BD72" s="61">
        <f t="shared" si="27"/>
        <v>0.14770141801655723</v>
      </c>
      <c r="BG72" s="61">
        <f t="shared" si="28"/>
        <v>9.7473460032503789E-2</v>
      </c>
      <c r="BH72" s="61">
        <f t="shared" si="29"/>
        <v>4.8974621550440078E-2</v>
      </c>
      <c r="BI72" s="61">
        <f t="shared" si="30"/>
        <v>4.5827761501769704E-2</v>
      </c>
      <c r="BJ72" s="61">
        <f t="shared" si="31"/>
        <v>7.1106281009011729E-2</v>
      </c>
      <c r="BK72" s="61">
        <f t="shared" si="32"/>
        <v>8.2309265015675814E-2</v>
      </c>
    </row>
    <row r="73" spans="1:63">
      <c r="A73" s="204">
        <f t="shared" si="33"/>
        <v>1977</v>
      </c>
      <c r="B73" s="446">
        <f>IF(AND($A73&gt;=SYear72,$A73&lt;=EYear72,B$3&gt;0),IF($A73=SYear72,B$67*(1+Data_72_15!B13%),B72*(1+Data_72_15!B13%)),"")</f>
        <v>5807.5417281641667</v>
      </c>
      <c r="C73" s="446" t="str">
        <f>IF(AND($A73&gt;=SYear72,$A73&lt;=EYear72,C$3&gt;0),IF($A73=SYear72,C$67*(1+Data_72_15!C13%),C72*(1+Data_72_15!C13%)),"")</f>
        <v/>
      </c>
      <c r="D73" s="446" t="str">
        <f>IF(AND($A73&gt;=SYear72,$A73&lt;=EYear72,D$3&gt;0),IF($A73=SYear72,D$67*(1+Data_72_15!D13%),D72*(1+Data_72_15!D13%)),"")</f>
        <v/>
      </c>
      <c r="E73" s="446" t="str">
        <f>IF(AND($A73&gt;=SYear72,$A73&lt;=EYear72,E$3&gt;0),IF($A73=SYear72,E$67*(1+Data_72_15!E13%),E72*(1+Data_72_15!E13%)),"")</f>
        <v/>
      </c>
      <c r="F73" s="446" t="str">
        <f>IF(AND($A73&gt;=SYear72,$A73&lt;=EYear72,F$3&gt;0),IF($A73=SYear72,F$67*(1+Data_72_15!F13%),F72*(1+Data_72_15!F13%)),"")</f>
        <v/>
      </c>
      <c r="G73" s="446" t="str">
        <f>IF(AND($A73&gt;=SYear72,$A73&lt;=EYear72,G$3&gt;0),IF($A73=SYear72,G$67*(1+Data_72_15!G13%),G72*(1+Data_72_15!G13%)),"")</f>
        <v/>
      </c>
      <c r="H73" s="446" t="str">
        <f>IF(AND($A73&gt;=SYear72,$A73&lt;=EYear72,H$3&gt;0),IF($A73=SYear72,H$67*(1+Data_72_15!H13%),H72*(1+Data_72_15!H13%)),"")</f>
        <v/>
      </c>
      <c r="I73" s="446" t="str">
        <f>IF(AND($A73&gt;=SYear72,$A73&lt;=EYear72,I$3&gt;0),IF($A73=SYear72,I$67*(1+Data_72_15!I13%),I72*(1+Data_72_15!I13%)),"")</f>
        <v/>
      </c>
      <c r="J73" s="446" t="str">
        <f>IF(AND($A73&gt;=SYear72,$A73&lt;=EYear72,J$3&gt;0),IF($A73=SYear72,J$67*(1+Data_72_15!J13%),J72*(1+Data_72_15!J13%)),"")</f>
        <v/>
      </c>
      <c r="K73" s="446" t="str">
        <f>IF(AND($A73&gt;=SYear72,$A73&lt;=EYear72,K$3&gt;0),IF($A73=SYear72,K$67*(1+Data_72_15!K13%),K72*(1+Data_72_15!K13%)),"")</f>
        <v/>
      </c>
      <c r="L73" s="446" t="str">
        <f>IF(AND($A73&gt;=SYear72,$A73&lt;=EYear72,L$3&gt;0),IF($A73=SYear72,L$67*(1+Data_72_15!L13%),L72*(1+Data_72_15!L13%)),"")</f>
        <v/>
      </c>
      <c r="M73" s="446" t="str">
        <f>IF(AND($A73&gt;=SYear72,$A73&lt;=EYear72,M$3&gt;0),IF($A73=SYear72,M$67*(1+Data_72_15!M13%),M72*(1+Data_72_15!M13%)),"")</f>
        <v/>
      </c>
      <c r="N73" s="446">
        <f>IF(AND($A73&gt;=SYear72,$A73&lt;=EYear72,N$3&gt;0),IF($A73=SYear72,N$67*(1+Data_72_15!N13%),N72*(1+Data_72_15!N13%)),"")</f>
        <v>4637.0703578540342</v>
      </c>
      <c r="O73" s="446" t="str">
        <f>IF(AND($A73&gt;=SYear72,$A73&lt;=EYear72,O$3&gt;0),IF($A73=SYear72,O$67*(1+Data_72_15!O13%),O72*(1+Data_72_15!O13%)),"")</f>
        <v/>
      </c>
      <c r="P73" s="446" t="str">
        <f>IF(AND($A73&gt;=SYear72,$A73&lt;=EYear72,P$3&gt;0),IF($A73=SYear72,P$67*(1+Data_72_15!P13%),P72*(1+Data_72_15!P13%)),"")</f>
        <v/>
      </c>
      <c r="Q73" s="446" t="str">
        <f>IF(AND($A73&gt;=SYear72,$A73&lt;=EYear72,Q$3&gt;0),IF($A73=SYear72,Q$67*(1+Data_72_15!Q13%),Q72*(1+Data_72_15!Q13%)),"")</f>
        <v/>
      </c>
      <c r="R73" s="446" t="str">
        <f>IF(AND($A73&gt;=SYear72,$A73&lt;=EYear72,R$3&gt;0),IF($A73=SYear72,R$67*(1+Data_72_15!R13%),R72*(1+Data_72_15!R13%)),"")</f>
        <v/>
      </c>
      <c r="S73" s="446" t="str">
        <f>IF(AND($A73&gt;=SYear72,$A73&lt;=EYear72,S$3&gt;0),IF($A73=SYear72,S$67*(1+Data_72_15!S13%),S72*(1+Data_72_15!S13%)),"")</f>
        <v/>
      </c>
      <c r="T73" s="446">
        <f>IF(AND($A73&gt;=SYear72,$A73&lt;=EYear72,T$3&gt;0),IF($A73=SYear72,T$67*(1+Data_72_15!T13%),T72*(1+Data_72_15!T13%)),"")</f>
        <v>2732.6824489937685</v>
      </c>
      <c r="U73" s="446" t="str">
        <f>IF(AND($A73&gt;=SYear72,$A73&lt;=EYear72,U$3&gt;0),IF($A73=SYear72,U$67*(1+Data_72_15!U13%),U72*(1+Data_72_15!U13%)),"")</f>
        <v/>
      </c>
      <c r="V73" s="446" t="str">
        <f>IF(AND($A73&gt;=SYear72,$A73&lt;=EYear72,V$3&gt;0),IF($A73=SYear72,V$67*(1+Data_72_15!V13%),V72*(1+Data_72_15!V13%)),"")</f>
        <v/>
      </c>
      <c r="W73" s="446" t="str">
        <f>IF(AND($A73&gt;=SYear72,$A73&lt;=EYear72,W$3&gt;0),IF($A73=SYear72,W$67*(1+Data_72_15!W13%),W72*(1+Data_72_15!W13%)),"")</f>
        <v/>
      </c>
      <c r="X73" s="446" t="str">
        <f>IF(AND($A73&gt;=SYear72,$A73&lt;=EYear72,X$3&gt;0),IF($A73=SYear72,X$67*(1+Data_72_15!X13%),X72*(1+Data_72_15!X13%)),"")</f>
        <v/>
      </c>
      <c r="Y73" s="446" t="str">
        <f>IF(AND($A73&gt;=SYear72,$A73&lt;=EYear72,Y$3&gt;0),IF($A73=SYear72,Y$67*(1+Data_72_15!Y13%),Y72*(1+Data_72_15!Y13%)),"")</f>
        <v/>
      </c>
      <c r="Z73" s="446" t="str">
        <f>IF(AND($A73&gt;=SYear72,$A73&lt;=EYear72,Z$3&gt;0),IF($A73=SYear72,Z$67*(1+Data_72_15!Z13%),Z72*(1+Data_72_15!Z13%)),"")</f>
        <v/>
      </c>
      <c r="AA73" s="446" t="str">
        <f>IF(AND($A73&gt;=SYear72,$A73&lt;=EYear72,AA$3&gt;0),IF($A73=SYear72,AA$67*(1+Data_72_15!AA13%),AA72*(1+Data_72_15!AA13%)),"")</f>
        <v/>
      </c>
      <c r="AB73" s="446" t="str">
        <f>IF(AND($A73&gt;=SYear72,$A73&lt;=EYear72,AB$3&gt;0),IF($A73=SYear72,AB$67*(1+Data_72_15!AB13%),AB72*(1+Data_72_15!AB13%)),"")</f>
        <v/>
      </c>
      <c r="AC73" s="446" t="str">
        <f>IF(AND($A73&gt;=SYear72,$A73&lt;=EYear72,AC$3&gt;0),IF($A73=SYear72,AC$67*(1+Data_72_15!AC13%),AC72*(1+Data_72_15!AC13%)),"")</f>
        <v/>
      </c>
      <c r="AD73" s="446" t="str">
        <f>IF(AND($A73&gt;=SYear72,$A73&lt;=EYear72,AD$3&gt;0),IF($A73=SYear72,AD$67*(1+Data_72_15!AD13%),AD72*(1+Data_72_15!AD13%)),"")</f>
        <v/>
      </c>
      <c r="AE73" s="446" t="str">
        <f>IF(AND($A73&gt;=SYear72,$A73&lt;=EYear72,AE$3&gt;0),IF($A73=SYear72,AE$67*(1+Data_72_15!AE13%),AE72*(1+Data_72_15!AE13%)),"")</f>
        <v/>
      </c>
      <c r="AF73" s="446" t="str">
        <f>IF(AND($A73&gt;=SYear72,$A73&lt;=EYear72,AF$3&gt;0),IF($A73=SYear72,AF$67*(1+Data_72_15!AF13%),AF72*(1+Data_72_15!AF13%)),"")</f>
        <v/>
      </c>
      <c r="AG73" s="446" t="str">
        <f>IF(AND($A73&gt;=SYear72,$A73&lt;=EYear72,AG$3&gt;0),IF($A73=SYear72,AG$67*(1+Data_72_15!AG13%),AG72*(1+Data_72_15!AG13%)),"")</f>
        <v/>
      </c>
      <c r="AH73" s="446" t="str">
        <f>IF(AND($A73&gt;=SYear72,$A73&lt;=EYear72,AH$3&gt;0),IF($A73=SYear72,AH$67*(1+Data_72_15!AH13%),AH72*(1+Data_72_15!AH13%)),"")</f>
        <v/>
      </c>
      <c r="AI73" s="446" t="str">
        <f>IF(AND($A73&gt;=SYear72,$A73&lt;=EYear72,AI$3&gt;0),IF($A73=SYear72,AI$67*(1+Data_72_15!AI13%),AI72*(1+Data_72_15!AI13%)),"")</f>
        <v/>
      </c>
      <c r="AJ73" s="446" t="str">
        <f>IF(AND($A73&gt;=SYear72,$A73&lt;=EYear72,AJ$3&gt;0),IF($A73=SYear72,AJ$67*(1+Data_72_15!AJ13%),AJ72*(1+Data_72_15!AJ13%)),"")</f>
        <v/>
      </c>
      <c r="AK73" s="446" t="str">
        <f>IF(AND($A73&gt;=SYear72,$A73&lt;=EYear72,AK$3&gt;0),IF($A73=SYear72,AK$67*(1+Data_72_15!AK13%),AK72*(1+Data_72_15!AK13%)),"")</f>
        <v/>
      </c>
      <c r="AL73" s="446" t="str">
        <f>IF(AND($A73&gt;=SYear72,$A73&lt;=EYear72,AL$3&gt;0),IF($A73=SYear72,AL$67*(1+Data_72_15!AL13%),AL72*(1+Data_72_15!AL13%)),"")</f>
        <v/>
      </c>
      <c r="AM73" s="206">
        <f t="shared" si="18"/>
        <v>5.343875658882129</v>
      </c>
      <c r="AN73" s="446">
        <f t="shared" si="19"/>
        <v>13177.29453501197</v>
      </c>
      <c r="AO73" s="206">
        <f>IF(AND($A73&gt;=SYear72,$A73&lt;=EYear72),(AM73-Data_72_15!AM13)/(1+Data_72_15!AM13%),"")</f>
        <v>-1.2719232955404187</v>
      </c>
      <c r="AP73" s="606">
        <f t="shared" si="20"/>
        <v>8721.2045956359416</v>
      </c>
      <c r="AQ73" s="143">
        <f t="shared" si="21"/>
        <v>1.0945497435115317</v>
      </c>
      <c r="AR73" s="143">
        <f>IF(AND($A73&gt;=SYear72,$A73&lt;=EYear72),MAX($AQ$68:AQ73),"")</f>
        <v>1.0945497435115317</v>
      </c>
      <c r="AS73" s="209">
        <f t="shared" si="22"/>
        <v>0</v>
      </c>
      <c r="AZ73" s="61">
        <f t="shared" si="23"/>
        <v>5.3438756588821246E-2</v>
      </c>
      <c r="BA73" s="61">
        <f t="shared" si="24"/>
        <v>0.10901158555020896</v>
      </c>
      <c r="BB73" s="61">
        <f t="shared" si="25"/>
        <v>0.10795675754205125</v>
      </c>
      <c r="BC73" s="61">
        <f t="shared" si="26"/>
        <v>0.16640259899850118</v>
      </c>
      <c r="BD73" s="61">
        <f t="shared" si="27"/>
        <v>0.15378343404461692</v>
      </c>
      <c r="BG73" s="61">
        <f t="shared" si="28"/>
        <v>-1.2719232955404225E-2</v>
      </c>
      <c r="BH73" s="61">
        <f t="shared" si="29"/>
        <v>1.1529664007900342E-2</v>
      </c>
      <c r="BI73" s="61">
        <f t="shared" si="30"/>
        <v>6.6577394344307095E-3</v>
      </c>
      <c r="BJ73" s="61">
        <f t="shared" si="31"/>
        <v>9.3967825791182014E-2</v>
      </c>
      <c r="BK73" s="61">
        <f t="shared" si="32"/>
        <v>8.9301780888821458E-2</v>
      </c>
    </row>
    <row r="74" spans="1:63">
      <c r="A74" s="204">
        <f t="shared" si="33"/>
        <v>1978</v>
      </c>
      <c r="B74" s="446">
        <f>IF(AND($A74&gt;=SYear72,$A74&lt;=EYear72,B$3&gt;0),IF($A74=SYear72,B$67*(1+Data_72_15!B14%),B73*(1+Data_72_15!B14%)),"")</f>
        <v>6232.5120872281914</v>
      </c>
      <c r="C74" s="446" t="str">
        <f>IF(AND($A74&gt;=SYear72,$A74&lt;=EYear72,C$3&gt;0),IF($A74=SYear72,C$67*(1+Data_72_15!C14%),C73*(1+Data_72_15!C14%)),"")</f>
        <v/>
      </c>
      <c r="D74" s="446" t="str">
        <f>IF(AND($A74&gt;=SYear72,$A74&lt;=EYear72,D$3&gt;0),IF($A74=SYear72,D$67*(1+Data_72_15!D14%),D73*(1+Data_72_15!D14%)),"")</f>
        <v/>
      </c>
      <c r="E74" s="446" t="str">
        <f>IF(AND($A74&gt;=SYear72,$A74&lt;=EYear72,E$3&gt;0),IF($A74=SYear72,E$67*(1+Data_72_15!E14%),E73*(1+Data_72_15!E14%)),"")</f>
        <v/>
      </c>
      <c r="F74" s="446" t="str">
        <f>IF(AND($A74&gt;=SYear72,$A74&lt;=EYear72,F$3&gt;0),IF($A74=SYear72,F$67*(1+Data_72_15!F14%),F73*(1+Data_72_15!F14%)),"")</f>
        <v/>
      </c>
      <c r="G74" s="446" t="str">
        <f>IF(AND($A74&gt;=SYear72,$A74&lt;=EYear72,G$3&gt;0),IF($A74=SYear72,G$67*(1+Data_72_15!G14%),G73*(1+Data_72_15!G14%)),"")</f>
        <v/>
      </c>
      <c r="H74" s="446" t="str">
        <f>IF(AND($A74&gt;=SYear72,$A74&lt;=EYear72,H$3&gt;0),IF($A74=SYear72,H$67*(1+Data_72_15!H14%),H73*(1+Data_72_15!H14%)),"")</f>
        <v/>
      </c>
      <c r="I74" s="446" t="str">
        <f>IF(AND($A74&gt;=SYear72,$A74&lt;=EYear72,I$3&gt;0),IF($A74=SYear72,I$67*(1+Data_72_15!I14%),I73*(1+Data_72_15!I14%)),"")</f>
        <v/>
      </c>
      <c r="J74" s="446" t="str">
        <f>IF(AND($A74&gt;=SYear72,$A74&lt;=EYear72,J$3&gt;0),IF($A74=SYear72,J$67*(1+Data_72_15!J14%),J73*(1+Data_72_15!J14%)),"")</f>
        <v/>
      </c>
      <c r="K74" s="446" t="str">
        <f>IF(AND($A74&gt;=SYear72,$A74&lt;=EYear72,K$3&gt;0),IF($A74=SYear72,K$67*(1+Data_72_15!K14%),K73*(1+Data_72_15!K14%)),"")</f>
        <v/>
      </c>
      <c r="L74" s="446" t="str">
        <f>IF(AND($A74&gt;=SYear72,$A74&lt;=EYear72,L$3&gt;0),IF($A74=SYear72,L$67*(1+Data_72_15!L14%),L73*(1+Data_72_15!L14%)),"")</f>
        <v/>
      </c>
      <c r="M74" s="446" t="str">
        <f>IF(AND($A74&gt;=SYear72,$A74&lt;=EYear72,M$3&gt;0),IF($A74=SYear72,M$67*(1+Data_72_15!M14%),M73*(1+Data_72_15!M14%)),"")</f>
        <v/>
      </c>
      <c r="N74" s="446">
        <f>IF(AND($A74&gt;=SYear72,$A74&lt;=EYear72,N$3&gt;0),IF($A74=SYear72,N$67*(1+Data_72_15!N14%),N73*(1+Data_72_15!N14%)),"")</f>
        <v>6281.0048002263538</v>
      </c>
      <c r="O74" s="446" t="str">
        <f>IF(AND($A74&gt;=SYear72,$A74&lt;=EYear72,O$3&gt;0),IF($A74=SYear72,O$67*(1+Data_72_15!O14%),O73*(1+Data_72_15!O14%)),"")</f>
        <v/>
      </c>
      <c r="P74" s="446" t="str">
        <f>IF(AND($A74&gt;=SYear72,$A74&lt;=EYear72,P$3&gt;0),IF($A74=SYear72,P$67*(1+Data_72_15!P14%),P73*(1+Data_72_15!P14%)),"")</f>
        <v/>
      </c>
      <c r="Q74" s="446" t="str">
        <f>IF(AND($A74&gt;=SYear72,$A74&lt;=EYear72,Q$3&gt;0),IF($A74=SYear72,Q$67*(1+Data_72_15!Q14%),Q73*(1+Data_72_15!Q14%)),"")</f>
        <v/>
      </c>
      <c r="R74" s="446" t="str">
        <f>IF(AND($A74&gt;=SYear72,$A74&lt;=EYear72,R$3&gt;0),IF($A74=SYear72,R$67*(1+Data_72_15!R14%),R73*(1+Data_72_15!R14%)),"")</f>
        <v/>
      </c>
      <c r="S74" s="446" t="str">
        <f>IF(AND($A74&gt;=SYear72,$A74&lt;=EYear72,S$3&gt;0),IF($A74=SYear72,S$67*(1+Data_72_15!S14%),S73*(1+Data_72_15!S14%)),"")</f>
        <v/>
      </c>
      <c r="T74" s="446">
        <f>IF(AND($A74&gt;=SYear72,$A74&lt;=EYear72,T$3&gt;0),IF($A74=SYear72,T$67*(1+Data_72_15!T14%),T73*(1+Data_72_15!T14%)),"")</f>
        <v>2789.7291976726856</v>
      </c>
      <c r="U74" s="446" t="str">
        <f>IF(AND($A74&gt;=SYear72,$A74&lt;=EYear72,U$3&gt;0),IF($A74=SYear72,U$67*(1+Data_72_15!U14%),U73*(1+Data_72_15!U14%)),"")</f>
        <v/>
      </c>
      <c r="V74" s="446" t="str">
        <f>IF(AND($A74&gt;=SYear72,$A74&lt;=EYear72,V$3&gt;0),IF($A74=SYear72,V$67*(1+Data_72_15!V14%),V73*(1+Data_72_15!V14%)),"")</f>
        <v/>
      </c>
      <c r="W74" s="446" t="str">
        <f>IF(AND($A74&gt;=SYear72,$A74&lt;=EYear72,W$3&gt;0),IF($A74=SYear72,W$67*(1+Data_72_15!W14%),W73*(1+Data_72_15!W14%)),"")</f>
        <v/>
      </c>
      <c r="X74" s="446" t="str">
        <f>IF(AND($A74&gt;=SYear72,$A74&lt;=EYear72,X$3&gt;0),IF($A74=SYear72,X$67*(1+Data_72_15!X14%),X73*(1+Data_72_15!X14%)),"")</f>
        <v/>
      </c>
      <c r="Y74" s="446" t="str">
        <f>IF(AND($A74&gt;=SYear72,$A74&lt;=EYear72,Y$3&gt;0),IF($A74=SYear72,Y$67*(1+Data_72_15!Y14%),Y73*(1+Data_72_15!Y14%)),"")</f>
        <v/>
      </c>
      <c r="Z74" s="446" t="str">
        <f>IF(AND($A74&gt;=SYear72,$A74&lt;=EYear72,Z$3&gt;0),IF($A74=SYear72,Z$67*(1+Data_72_15!Z14%),Z73*(1+Data_72_15!Z14%)),"")</f>
        <v/>
      </c>
      <c r="AA74" s="446" t="str">
        <f>IF(AND($A74&gt;=SYear72,$A74&lt;=EYear72,AA$3&gt;0),IF($A74=SYear72,AA$67*(1+Data_72_15!AA14%),AA73*(1+Data_72_15!AA14%)),"")</f>
        <v/>
      </c>
      <c r="AB74" s="446" t="str">
        <f>IF(AND($A74&gt;=SYear72,$A74&lt;=EYear72,AB$3&gt;0),IF($A74=SYear72,AB$67*(1+Data_72_15!AB14%),AB73*(1+Data_72_15!AB14%)),"")</f>
        <v/>
      </c>
      <c r="AC74" s="446" t="str">
        <f>IF(AND($A74&gt;=SYear72,$A74&lt;=EYear72,AC$3&gt;0),IF($A74=SYear72,AC$67*(1+Data_72_15!AC14%),AC73*(1+Data_72_15!AC14%)),"")</f>
        <v/>
      </c>
      <c r="AD74" s="446" t="str">
        <f>IF(AND($A74&gt;=SYear72,$A74&lt;=EYear72,AD$3&gt;0),IF($A74=SYear72,AD$67*(1+Data_72_15!AD14%),AD73*(1+Data_72_15!AD14%)),"")</f>
        <v/>
      </c>
      <c r="AE74" s="446" t="str">
        <f>IF(AND($A74&gt;=SYear72,$A74&lt;=EYear72,AE$3&gt;0),IF($A74=SYear72,AE$67*(1+Data_72_15!AE14%),AE73*(1+Data_72_15!AE14%)),"")</f>
        <v/>
      </c>
      <c r="AF74" s="446" t="str">
        <f>IF(AND($A74&gt;=SYear72,$A74&lt;=EYear72,AF$3&gt;0),IF($A74=SYear72,AF$67*(1+Data_72_15!AF14%),AF73*(1+Data_72_15!AF14%)),"")</f>
        <v/>
      </c>
      <c r="AG74" s="446" t="str">
        <f>IF(AND($A74&gt;=SYear72,$A74&lt;=EYear72,AG$3&gt;0),IF($A74=SYear72,AG$67*(1+Data_72_15!AG14%),AG73*(1+Data_72_15!AG14%)),"")</f>
        <v/>
      </c>
      <c r="AH74" s="446" t="str">
        <f>IF(AND($A74&gt;=SYear72,$A74&lt;=EYear72,AH$3&gt;0),IF($A74=SYear72,AH$67*(1+Data_72_15!AH14%),AH73*(1+Data_72_15!AH14%)),"")</f>
        <v/>
      </c>
      <c r="AI74" s="446" t="str">
        <f>IF(AND($A74&gt;=SYear72,$A74&lt;=EYear72,AI$3&gt;0),IF($A74=SYear72,AI$67*(1+Data_72_15!AI14%),AI73*(1+Data_72_15!AI14%)),"")</f>
        <v/>
      </c>
      <c r="AJ74" s="446" t="str">
        <f>IF(AND($A74&gt;=SYear72,$A74&lt;=EYear72,AJ$3&gt;0),IF($A74=SYear72,AJ$67*(1+Data_72_15!AJ14%),AJ73*(1+Data_72_15!AJ14%)),"")</f>
        <v/>
      </c>
      <c r="AK74" s="446" t="str">
        <f>IF(AND($A74&gt;=SYear72,$A74&lt;=EYear72,AK$3&gt;0),IF($A74=SYear72,AK$67*(1+Data_72_15!AK14%),AK73*(1+Data_72_15!AK14%)),"")</f>
        <v/>
      </c>
      <c r="AL74" s="446" t="str">
        <f>IF(AND($A74&gt;=SYear72,$A74&lt;=EYear72,AL$3&gt;0),IF($A74=SYear72,AL$67*(1+Data_72_15!AL14%),AL73*(1+Data_72_15!AL14%)),"")</f>
        <v/>
      </c>
      <c r="AM74" s="206">
        <f t="shared" si="18"/>
        <v>16.133444877221368</v>
      </c>
      <c r="AN74" s="446">
        <f t="shared" si="19"/>
        <v>15303.24608512723</v>
      </c>
      <c r="AO74" s="206">
        <f>IF(AND($A74&gt;=SYear72,$A74&lt;=EYear72),(AM74-Data_72_15!AM14)/(1+Data_72_15!AM14%),"")</f>
        <v>6.5271333364172417</v>
      </c>
      <c r="AP74" s="606">
        <f t="shared" si="20"/>
        <v>9290.4492481348461</v>
      </c>
      <c r="AQ74" s="143">
        <f t="shared" si="21"/>
        <v>1.2711383230347326</v>
      </c>
      <c r="AR74" s="143">
        <f>IF(AND($A74&gt;=SYear72,$A74&lt;=EYear72),MAX($AQ$68:AQ74),"")</f>
        <v>1.2711383230347326</v>
      </c>
      <c r="AS74" s="209">
        <f t="shared" si="22"/>
        <v>0</v>
      </c>
      <c r="AZ74" s="61">
        <f t="shared" si="23"/>
        <v>0.1613344487722137</v>
      </c>
      <c r="BA74" s="61">
        <f t="shared" si="24"/>
        <v>0.17074355073970549</v>
      </c>
      <c r="BB74" s="61">
        <f t="shared" si="25"/>
        <v>0.12580318920736633</v>
      </c>
      <c r="BC74" s="61">
        <f t="shared" si="26"/>
        <v>0.17527841636299391</v>
      </c>
      <c r="BD74" s="61">
        <f t="shared" si="27"/>
        <v>0.15023433130885788</v>
      </c>
      <c r="BG74" s="61">
        <f t="shared" si="28"/>
        <v>6.5271333364172346E-2</v>
      </c>
      <c r="BH74" s="61">
        <f t="shared" si="29"/>
        <v>4.911245317482571E-2</v>
      </c>
      <c r="BI74" s="61">
        <f t="shared" si="30"/>
        <v>2.8468112750225538E-2</v>
      </c>
      <c r="BJ74" s="61">
        <f t="shared" si="31"/>
        <v>0.1046618092087217</v>
      </c>
      <c r="BK74" s="61">
        <f t="shared" si="32"/>
        <v>8.857980441490243E-2</v>
      </c>
    </row>
    <row r="75" spans="1:63">
      <c r="A75" s="204">
        <f t="shared" si="33"/>
        <v>1979</v>
      </c>
      <c r="B75" s="446">
        <f>IF(AND($A75&gt;=SYear72,$A75&lt;=EYear72,B$3&gt;0),IF($A75=SYear72,B$67*(1+Data_72_15!B15%),B74*(1+Data_72_15!B15%)),"")</f>
        <v>7652.9798016279083</v>
      </c>
      <c r="C75" s="446" t="str">
        <f>IF(AND($A75&gt;=SYear72,$A75&lt;=EYear72,C$3&gt;0),IF($A75=SYear72,C$67*(1+Data_72_15!C15%),C74*(1+Data_72_15!C15%)),"")</f>
        <v/>
      </c>
      <c r="D75" s="446" t="str">
        <f>IF(AND($A75&gt;=SYear72,$A75&lt;=EYear72,D$3&gt;0),IF($A75=SYear72,D$67*(1+Data_72_15!D15%),D74*(1+Data_72_15!D15%)),"")</f>
        <v/>
      </c>
      <c r="E75" s="446" t="str">
        <f>IF(AND($A75&gt;=SYear72,$A75&lt;=EYear72,E$3&gt;0),IF($A75=SYear72,E$67*(1+Data_72_15!E15%),E74*(1+Data_72_15!E15%)),"")</f>
        <v/>
      </c>
      <c r="F75" s="446" t="str">
        <f>IF(AND($A75&gt;=SYear72,$A75&lt;=EYear72,F$3&gt;0),IF($A75=SYear72,F$67*(1+Data_72_15!F15%),F74*(1+Data_72_15!F15%)),"")</f>
        <v/>
      </c>
      <c r="G75" s="446" t="str">
        <f>IF(AND($A75&gt;=SYear72,$A75&lt;=EYear72,G$3&gt;0),IF($A75=SYear72,G$67*(1+Data_72_15!G15%),G74*(1+Data_72_15!G15%)),"")</f>
        <v/>
      </c>
      <c r="H75" s="446" t="str">
        <f>IF(AND($A75&gt;=SYear72,$A75&lt;=EYear72,H$3&gt;0),IF($A75=SYear72,H$67*(1+Data_72_15!H15%),H74*(1+Data_72_15!H15%)),"")</f>
        <v/>
      </c>
      <c r="I75" s="446" t="str">
        <f>IF(AND($A75&gt;=SYear72,$A75&lt;=EYear72,I$3&gt;0),IF($A75=SYear72,I$67*(1+Data_72_15!I15%),I74*(1+Data_72_15!I15%)),"")</f>
        <v/>
      </c>
      <c r="J75" s="446" t="str">
        <f>IF(AND($A75&gt;=SYear72,$A75&lt;=EYear72,J$3&gt;0),IF($A75=SYear72,J$67*(1+Data_72_15!J15%),J74*(1+Data_72_15!J15%)),"")</f>
        <v/>
      </c>
      <c r="K75" s="446" t="str">
        <f>IF(AND($A75&gt;=SYear72,$A75&lt;=EYear72,K$3&gt;0),IF($A75=SYear72,K$67*(1+Data_72_15!K15%),K74*(1+Data_72_15!K15%)),"")</f>
        <v/>
      </c>
      <c r="L75" s="446" t="str">
        <f>IF(AND($A75&gt;=SYear72,$A75&lt;=EYear72,L$3&gt;0),IF($A75=SYear72,L$67*(1+Data_72_15!L15%),L74*(1+Data_72_15!L15%)),"")</f>
        <v/>
      </c>
      <c r="M75" s="446" t="str">
        <f>IF(AND($A75&gt;=SYear72,$A75&lt;=EYear72,M$3&gt;0),IF($A75=SYear72,M$67*(1+Data_72_15!M15%),M74*(1+Data_72_15!M15%)),"")</f>
        <v/>
      </c>
      <c r="N75" s="446">
        <f>IF(AND($A75&gt;=SYear72,$A75&lt;=EYear72,N$3&gt;0),IF($A75=SYear72,N$67*(1+Data_72_15!N15%),N74*(1+Data_72_15!N15%)),"")</f>
        <v>6547.3615194536733</v>
      </c>
      <c r="O75" s="446" t="str">
        <f>IF(AND($A75&gt;=SYear72,$A75&lt;=EYear72,O$3&gt;0),IF($A75=SYear72,O$67*(1+Data_72_15!O15%),O74*(1+Data_72_15!O15%)),"")</f>
        <v/>
      </c>
      <c r="P75" s="446" t="str">
        <f>IF(AND($A75&gt;=SYear72,$A75&lt;=EYear72,P$3&gt;0),IF($A75=SYear72,P$67*(1+Data_72_15!P15%),P74*(1+Data_72_15!P15%)),"")</f>
        <v/>
      </c>
      <c r="Q75" s="446" t="str">
        <f>IF(AND($A75&gt;=SYear72,$A75&lt;=EYear72,Q$3&gt;0),IF($A75=SYear72,Q$67*(1+Data_72_15!Q15%),Q74*(1+Data_72_15!Q15%)),"")</f>
        <v/>
      </c>
      <c r="R75" s="446" t="str">
        <f>IF(AND($A75&gt;=SYear72,$A75&lt;=EYear72,R$3&gt;0),IF($A75=SYear72,R$67*(1+Data_72_15!R15%),R74*(1+Data_72_15!R15%)),"")</f>
        <v/>
      </c>
      <c r="S75" s="446" t="str">
        <f>IF(AND($A75&gt;=SYear72,$A75&lt;=EYear72,S$3&gt;0),IF($A75=SYear72,S$67*(1+Data_72_15!S15%),S74*(1+Data_72_15!S15%)),"")</f>
        <v/>
      </c>
      <c r="T75" s="446">
        <f>IF(AND($A75&gt;=SYear72,$A75&lt;=EYear72,T$3&gt;0),IF($A75=SYear72,T$67*(1+Data_72_15!T15%),T74*(1+Data_72_15!T15%)),"")</f>
        <v>2861.4729637144492</v>
      </c>
      <c r="U75" s="446" t="str">
        <f>IF(AND($A75&gt;=SYear72,$A75&lt;=EYear72,U$3&gt;0),IF($A75=SYear72,U$67*(1+Data_72_15!U15%),U74*(1+Data_72_15!U15%)),"")</f>
        <v/>
      </c>
      <c r="V75" s="446" t="str">
        <f>IF(AND($A75&gt;=SYear72,$A75&lt;=EYear72,V$3&gt;0),IF($A75=SYear72,V$67*(1+Data_72_15!V15%),V74*(1+Data_72_15!V15%)),"")</f>
        <v/>
      </c>
      <c r="W75" s="446" t="str">
        <f>IF(AND($A75&gt;=SYear72,$A75&lt;=EYear72,W$3&gt;0),IF($A75=SYear72,W$67*(1+Data_72_15!W15%),W74*(1+Data_72_15!W15%)),"")</f>
        <v/>
      </c>
      <c r="X75" s="446" t="str">
        <f>IF(AND($A75&gt;=SYear72,$A75&lt;=EYear72,X$3&gt;0),IF($A75=SYear72,X$67*(1+Data_72_15!X15%),X74*(1+Data_72_15!X15%)),"")</f>
        <v/>
      </c>
      <c r="Y75" s="446" t="str">
        <f>IF(AND($A75&gt;=SYear72,$A75&lt;=EYear72,Y$3&gt;0),IF($A75=SYear72,Y$67*(1+Data_72_15!Y15%),Y74*(1+Data_72_15!Y15%)),"")</f>
        <v/>
      </c>
      <c r="Z75" s="446" t="str">
        <f>IF(AND($A75&gt;=SYear72,$A75&lt;=EYear72,Z$3&gt;0),IF($A75=SYear72,Z$67*(1+Data_72_15!Z15%),Z74*(1+Data_72_15!Z15%)),"")</f>
        <v/>
      </c>
      <c r="AA75" s="446" t="str">
        <f>IF(AND($A75&gt;=SYear72,$A75&lt;=EYear72,AA$3&gt;0),IF($A75=SYear72,AA$67*(1+Data_72_15!AA15%),AA74*(1+Data_72_15!AA15%)),"")</f>
        <v/>
      </c>
      <c r="AB75" s="446" t="str">
        <f>IF(AND($A75&gt;=SYear72,$A75&lt;=EYear72,AB$3&gt;0),IF($A75=SYear72,AB$67*(1+Data_72_15!AB15%),AB74*(1+Data_72_15!AB15%)),"")</f>
        <v/>
      </c>
      <c r="AC75" s="446" t="str">
        <f>IF(AND($A75&gt;=SYear72,$A75&lt;=EYear72,AC$3&gt;0),IF($A75=SYear72,AC$67*(1+Data_72_15!AC15%),AC74*(1+Data_72_15!AC15%)),"")</f>
        <v/>
      </c>
      <c r="AD75" s="446" t="str">
        <f>IF(AND($A75&gt;=SYear72,$A75&lt;=EYear72,AD$3&gt;0),IF($A75=SYear72,AD$67*(1+Data_72_15!AD15%),AD74*(1+Data_72_15!AD15%)),"")</f>
        <v/>
      </c>
      <c r="AE75" s="446" t="str">
        <f>IF(AND($A75&gt;=SYear72,$A75&lt;=EYear72,AE$3&gt;0),IF($A75=SYear72,AE$67*(1+Data_72_15!AE15%),AE74*(1+Data_72_15!AE15%)),"")</f>
        <v/>
      </c>
      <c r="AF75" s="446" t="str">
        <f>IF(AND($A75&gt;=SYear72,$A75&lt;=EYear72,AF$3&gt;0),IF($A75=SYear72,AF$67*(1+Data_72_15!AF15%),AF74*(1+Data_72_15!AF15%)),"")</f>
        <v/>
      </c>
      <c r="AG75" s="446" t="str">
        <f>IF(AND($A75&gt;=SYear72,$A75&lt;=EYear72,AG$3&gt;0),IF($A75=SYear72,AG$67*(1+Data_72_15!AG15%),AG74*(1+Data_72_15!AG15%)),"")</f>
        <v/>
      </c>
      <c r="AH75" s="446" t="str">
        <f>IF(AND($A75&gt;=SYear72,$A75&lt;=EYear72,AH$3&gt;0),IF($A75=SYear72,AH$67*(1+Data_72_15!AH15%),AH74*(1+Data_72_15!AH15%)),"")</f>
        <v/>
      </c>
      <c r="AI75" s="446" t="str">
        <f>IF(AND($A75&gt;=SYear72,$A75&lt;=EYear72,AI$3&gt;0),IF($A75=SYear72,AI$67*(1+Data_72_15!AI15%),AI74*(1+Data_72_15!AI15%)),"")</f>
        <v/>
      </c>
      <c r="AJ75" s="446" t="str">
        <f>IF(AND($A75&gt;=SYear72,$A75&lt;=EYear72,AJ$3&gt;0),IF($A75=SYear72,AJ$67*(1+Data_72_15!AJ15%),AJ74*(1+Data_72_15!AJ15%)),"")</f>
        <v/>
      </c>
      <c r="AK75" s="446" t="str">
        <f>IF(AND($A75&gt;=SYear72,$A75&lt;=EYear72,AK$3&gt;0),IF($A75=SYear72,AK$67*(1+Data_72_15!AK15%),AK74*(1+Data_72_15!AK15%)),"")</f>
        <v/>
      </c>
      <c r="AL75" s="446" t="str">
        <f>IF(AND($A75&gt;=SYear72,$A75&lt;=EYear72,AL$3&gt;0),IF($A75=SYear72,AL$67*(1+Data_72_15!AL15%),AL74*(1+Data_72_15!AL15%)),"")</f>
        <v/>
      </c>
      <c r="AM75" s="206">
        <f t="shared" si="18"/>
        <v>11.491471743226427</v>
      </c>
      <c r="AN75" s="446">
        <f t="shared" si="19"/>
        <v>17061.81428479603</v>
      </c>
      <c r="AO75" s="206">
        <f>IF(AND($A75&gt;=SYear72,$A75&lt;=EYear72),(AM75-Data_72_15!AM15)/(1+Data_72_15!AM15%),"")</f>
        <v>-1.5909695304246509</v>
      </c>
      <c r="AP75" s="606">
        <f t="shared" si="20"/>
        <v>9142.6410313574543</v>
      </c>
      <c r="AQ75" s="143">
        <f t="shared" si="21"/>
        <v>1.417210824243591</v>
      </c>
      <c r="AR75" s="143">
        <f>IF(AND($A75&gt;=SYear72,$A75&lt;=EYear72),MAX($AQ$68:AQ75),"")</f>
        <v>1.417210824243591</v>
      </c>
      <c r="AS75" s="209">
        <f t="shared" si="22"/>
        <v>0</v>
      </c>
      <c r="AZ75" s="61">
        <f t="shared" si="23"/>
        <v>0.11491471743226422</v>
      </c>
      <c r="BA75" s="61">
        <f t="shared" si="24"/>
        <v>0.10921521315163818</v>
      </c>
      <c r="BB75" s="61">
        <f t="shared" si="25"/>
        <v>0.1336114664673469</v>
      </c>
      <c r="BC75" s="61">
        <f t="shared" si="26"/>
        <v>0.18218728597820855</v>
      </c>
      <c r="BD75" s="61">
        <f t="shared" si="27"/>
        <v>0.15472768887850674</v>
      </c>
      <c r="BG75" s="61">
        <f t="shared" si="28"/>
        <v>-1.5909695304246574E-2</v>
      </c>
      <c r="BH75" s="61">
        <f t="shared" si="29"/>
        <v>-5.7336170746735693E-3</v>
      </c>
      <c r="BI75" s="61">
        <f t="shared" si="30"/>
        <v>4.5827541918929349E-2</v>
      </c>
      <c r="BJ75" s="61">
        <f t="shared" si="31"/>
        <v>0.11595439396926577</v>
      </c>
      <c r="BK75" s="61">
        <f t="shared" si="32"/>
        <v>9.7155849099300085E-2</v>
      </c>
    </row>
    <row r="76" spans="1:63">
      <c r="A76" s="204">
        <f t="shared" si="33"/>
        <v>1980</v>
      </c>
      <c r="B76" s="446">
        <f>IF(AND($A76&gt;=SYear72,$A76&lt;=EYear72,B$3&gt;0),IF($A76=SYear72,B$67*(1+Data_72_15!B16%),B75*(1+Data_72_15!B16%)),"")</f>
        <v>10138.269139223554</v>
      </c>
      <c r="C76" s="446" t="str">
        <f>IF(AND($A76&gt;=SYear72,$A76&lt;=EYear72,C$3&gt;0),IF($A76=SYear72,C$67*(1+Data_72_15!C16%),C75*(1+Data_72_15!C16%)),"")</f>
        <v/>
      </c>
      <c r="D76" s="446" t="str">
        <f>IF(AND($A76&gt;=SYear72,$A76&lt;=EYear72,D$3&gt;0),IF($A76=SYear72,D$67*(1+Data_72_15!D16%),D75*(1+Data_72_15!D16%)),"")</f>
        <v/>
      </c>
      <c r="E76" s="446" t="str">
        <f>IF(AND($A76&gt;=SYear72,$A76&lt;=EYear72,E$3&gt;0),IF($A76=SYear72,E$67*(1+Data_72_15!E16%),E75*(1+Data_72_15!E16%)),"")</f>
        <v/>
      </c>
      <c r="F76" s="446" t="str">
        <f>IF(AND($A76&gt;=SYear72,$A76&lt;=EYear72,F$3&gt;0),IF($A76=SYear72,F$67*(1+Data_72_15!F16%),F75*(1+Data_72_15!F16%)),"")</f>
        <v/>
      </c>
      <c r="G76" s="446" t="str">
        <f>IF(AND($A76&gt;=SYear72,$A76&lt;=EYear72,G$3&gt;0),IF($A76=SYear72,G$67*(1+Data_72_15!G16%),G75*(1+Data_72_15!G16%)),"")</f>
        <v/>
      </c>
      <c r="H76" s="446" t="str">
        <f>IF(AND($A76&gt;=SYear72,$A76&lt;=EYear72,H$3&gt;0),IF($A76=SYear72,H$67*(1+Data_72_15!H16%),H75*(1+Data_72_15!H16%)),"")</f>
        <v/>
      </c>
      <c r="I76" s="446" t="str">
        <f>IF(AND($A76&gt;=SYear72,$A76&lt;=EYear72,I$3&gt;0),IF($A76=SYear72,I$67*(1+Data_72_15!I16%),I75*(1+Data_72_15!I16%)),"")</f>
        <v/>
      </c>
      <c r="J76" s="446" t="str">
        <f>IF(AND($A76&gt;=SYear72,$A76&lt;=EYear72,J$3&gt;0),IF($A76=SYear72,J$67*(1+Data_72_15!J16%),J75*(1+Data_72_15!J16%)),"")</f>
        <v/>
      </c>
      <c r="K76" s="446" t="str">
        <f>IF(AND($A76&gt;=SYear72,$A76&lt;=EYear72,K$3&gt;0),IF($A76=SYear72,K$67*(1+Data_72_15!K16%),K75*(1+Data_72_15!K16%)),"")</f>
        <v/>
      </c>
      <c r="L76" s="446" t="str">
        <f>IF(AND($A76&gt;=SYear72,$A76&lt;=EYear72,L$3&gt;0),IF($A76=SYear72,L$67*(1+Data_72_15!L16%),L75*(1+Data_72_15!L16%)),"")</f>
        <v/>
      </c>
      <c r="M76" s="446" t="str">
        <f>IF(AND($A76&gt;=SYear72,$A76&lt;=EYear72,M$3&gt;0),IF($A76=SYear72,M$67*(1+Data_72_15!M16%),M75*(1+Data_72_15!M16%)),"")</f>
        <v/>
      </c>
      <c r="N76" s="446">
        <f>IF(AND($A76&gt;=SYear72,$A76&lt;=EYear72,N$3&gt;0),IF($A76=SYear72,N$67*(1+Data_72_15!N16%),N75*(1+Data_72_15!N16%)),"")</f>
        <v>8050.6022754168443</v>
      </c>
      <c r="O76" s="446" t="str">
        <f>IF(AND($A76&gt;=SYear72,$A76&lt;=EYear72,O$3&gt;0),IF($A76=SYear72,O$67*(1+Data_72_15!O16%),O75*(1+Data_72_15!O16%)),"")</f>
        <v/>
      </c>
      <c r="P76" s="446" t="str">
        <f>IF(AND($A76&gt;=SYear72,$A76&lt;=EYear72,P$3&gt;0),IF($A76=SYear72,P$67*(1+Data_72_15!P16%),P75*(1+Data_72_15!P16%)),"")</f>
        <v/>
      </c>
      <c r="Q76" s="446" t="str">
        <f>IF(AND($A76&gt;=SYear72,$A76&lt;=EYear72,Q$3&gt;0),IF($A76=SYear72,Q$67*(1+Data_72_15!Q16%),Q75*(1+Data_72_15!Q16%)),"")</f>
        <v/>
      </c>
      <c r="R76" s="446" t="str">
        <f>IF(AND($A76&gt;=SYear72,$A76&lt;=EYear72,R$3&gt;0),IF($A76=SYear72,R$67*(1+Data_72_15!R16%),R75*(1+Data_72_15!R16%)),"")</f>
        <v/>
      </c>
      <c r="S76" s="446" t="str">
        <f>IF(AND($A76&gt;=SYear72,$A76&lt;=EYear72,S$3&gt;0),IF($A76=SYear72,S$67*(1+Data_72_15!S16%),S75*(1+Data_72_15!S16%)),"")</f>
        <v/>
      </c>
      <c r="T76" s="446">
        <f>IF(AND($A76&gt;=SYear72,$A76&lt;=EYear72,T$3&gt;0),IF($A76=SYear72,T$67*(1+Data_72_15!T16%),T75*(1+Data_72_15!T16%)),"")</f>
        <v>2956.3177879044165</v>
      </c>
      <c r="U76" s="446" t="str">
        <f>IF(AND($A76&gt;=SYear72,$A76&lt;=EYear72,U$3&gt;0),IF($A76=SYear72,U$67*(1+Data_72_15!U16%),U75*(1+Data_72_15!U16%)),"")</f>
        <v/>
      </c>
      <c r="V76" s="446" t="str">
        <f>IF(AND($A76&gt;=SYear72,$A76&lt;=EYear72,V$3&gt;0),IF($A76=SYear72,V$67*(1+Data_72_15!V16%),V75*(1+Data_72_15!V16%)),"")</f>
        <v/>
      </c>
      <c r="W76" s="446" t="str">
        <f>IF(AND($A76&gt;=SYear72,$A76&lt;=EYear72,W$3&gt;0),IF($A76=SYear72,W$67*(1+Data_72_15!W16%),W75*(1+Data_72_15!W16%)),"")</f>
        <v/>
      </c>
      <c r="X76" s="446" t="str">
        <f>IF(AND($A76&gt;=SYear72,$A76&lt;=EYear72,X$3&gt;0),IF($A76=SYear72,X$67*(1+Data_72_15!X16%),X75*(1+Data_72_15!X16%)),"")</f>
        <v/>
      </c>
      <c r="Y76" s="446" t="str">
        <f>IF(AND($A76&gt;=SYear72,$A76&lt;=EYear72,Y$3&gt;0),IF($A76=SYear72,Y$67*(1+Data_72_15!Y16%),Y75*(1+Data_72_15!Y16%)),"")</f>
        <v/>
      </c>
      <c r="Z76" s="446" t="str">
        <f>IF(AND($A76&gt;=SYear72,$A76&lt;=EYear72,Z$3&gt;0),IF($A76=SYear72,Z$67*(1+Data_72_15!Z16%),Z75*(1+Data_72_15!Z16%)),"")</f>
        <v/>
      </c>
      <c r="AA76" s="446" t="str">
        <f>IF(AND($A76&gt;=SYear72,$A76&lt;=EYear72,AA$3&gt;0),IF($A76=SYear72,AA$67*(1+Data_72_15!AA16%),AA75*(1+Data_72_15!AA16%)),"")</f>
        <v/>
      </c>
      <c r="AB76" s="446" t="str">
        <f>IF(AND($A76&gt;=SYear72,$A76&lt;=EYear72,AB$3&gt;0),IF($A76=SYear72,AB$67*(1+Data_72_15!AB16%),AB75*(1+Data_72_15!AB16%)),"")</f>
        <v/>
      </c>
      <c r="AC76" s="446" t="str">
        <f>IF(AND($A76&gt;=SYear72,$A76&lt;=EYear72,AC$3&gt;0),IF($A76=SYear72,AC$67*(1+Data_72_15!AC16%),AC75*(1+Data_72_15!AC16%)),"")</f>
        <v/>
      </c>
      <c r="AD76" s="446" t="str">
        <f>IF(AND($A76&gt;=SYear72,$A76&lt;=EYear72,AD$3&gt;0),IF($A76=SYear72,AD$67*(1+Data_72_15!AD16%),AD75*(1+Data_72_15!AD16%)),"")</f>
        <v/>
      </c>
      <c r="AE76" s="446" t="str">
        <f>IF(AND($A76&gt;=SYear72,$A76&lt;=EYear72,AE$3&gt;0),IF($A76=SYear72,AE$67*(1+Data_72_15!AE16%),AE75*(1+Data_72_15!AE16%)),"")</f>
        <v/>
      </c>
      <c r="AF76" s="446" t="str">
        <f>IF(AND($A76&gt;=SYear72,$A76&lt;=EYear72,AF$3&gt;0),IF($A76=SYear72,AF$67*(1+Data_72_15!AF16%),AF75*(1+Data_72_15!AF16%)),"")</f>
        <v/>
      </c>
      <c r="AG76" s="446" t="str">
        <f>IF(AND($A76&gt;=SYear72,$A76&lt;=EYear72,AG$3&gt;0),IF($A76=SYear72,AG$67*(1+Data_72_15!AG16%),AG75*(1+Data_72_15!AG16%)),"")</f>
        <v/>
      </c>
      <c r="AH76" s="446" t="str">
        <f>IF(AND($A76&gt;=SYear72,$A76&lt;=EYear72,AH$3&gt;0),IF($A76=SYear72,AH$67*(1+Data_72_15!AH16%),AH75*(1+Data_72_15!AH16%)),"")</f>
        <v/>
      </c>
      <c r="AI76" s="446" t="str">
        <f>IF(AND($A76&gt;=SYear72,$A76&lt;=EYear72,AI$3&gt;0),IF($A76=SYear72,AI$67*(1+Data_72_15!AI16%),AI75*(1+Data_72_15!AI16%)),"")</f>
        <v/>
      </c>
      <c r="AJ76" s="446" t="str">
        <f>IF(AND($A76&gt;=SYear72,$A76&lt;=EYear72,AJ$3&gt;0),IF($A76=SYear72,AJ$67*(1+Data_72_15!AJ16%),AJ75*(1+Data_72_15!AJ16%)),"")</f>
        <v/>
      </c>
      <c r="AK76" s="446" t="str">
        <f>IF(AND($A76&gt;=SYear72,$A76&lt;=EYear72,AK$3&gt;0),IF($A76=SYear72,AK$67*(1+Data_72_15!AK16%),AK75*(1+Data_72_15!AK16%)),"")</f>
        <v/>
      </c>
      <c r="AL76" s="446" t="str">
        <f>IF(AND($A76&gt;=SYear72,$A76&lt;=EYear72,AL$3&gt;0),IF($A76=SYear72,AL$67*(1+Data_72_15!AL16%),AL75*(1+Data_72_15!AL16%)),"")</f>
        <v/>
      </c>
      <c r="AM76" s="206">
        <f t="shared" si="18"/>
        <v>23.932829472815943</v>
      </c>
      <c r="AN76" s="446">
        <f t="shared" si="19"/>
        <v>21145.189202544814</v>
      </c>
      <c r="AO76" s="206">
        <f>IF(AND($A76&gt;=SYear72,$A76&lt;=EYear72),(AM76-Data_72_15!AM16)/(1+Data_72_15!AM16%),"")</f>
        <v>10.146558755098306</v>
      </c>
      <c r="AP76" s="606">
        <f t="shared" si="20"/>
        <v>10070.304475371864</v>
      </c>
      <c r="AQ76" s="143">
        <f t="shared" si="21"/>
        <v>1.7563894740800989</v>
      </c>
      <c r="AR76" s="143">
        <f>IF(AND($A76&gt;=SYear72,$A76&lt;=EYear72),MAX($AQ$68:AQ76),"")</f>
        <v>1.7563894740800989</v>
      </c>
      <c r="AS76" s="209">
        <f t="shared" si="22"/>
        <v>0</v>
      </c>
      <c r="AZ76" s="61">
        <f t="shared" si="23"/>
        <v>0.23932829472815942</v>
      </c>
      <c r="BA76" s="61">
        <f t="shared" si="24"/>
        <v>0.11781810279061555</v>
      </c>
      <c r="BB76" s="61">
        <f t="shared" si="25"/>
        <v>0.124194910964881</v>
      </c>
      <c r="BC76" s="61">
        <f t="shared" si="26"/>
        <v>0.19238601119799847</v>
      </c>
      <c r="BD76" s="61">
        <f t="shared" si="27"/>
        <v>0.14811807673554411</v>
      </c>
      <c r="BG76" s="61">
        <f t="shared" si="28"/>
        <v>0.10146558755098312</v>
      </c>
      <c r="BH76" s="61">
        <f t="shared" si="29"/>
        <v>3.1540587774421258E-2</v>
      </c>
      <c r="BI76" s="61">
        <f t="shared" si="30"/>
        <v>5.5151968595432477E-2</v>
      </c>
      <c r="BJ76" s="61">
        <f t="shared" si="31"/>
        <v>0.13455329146218431</v>
      </c>
      <c r="BK76" s="61">
        <f t="shared" si="32"/>
        <v>9.8056766182434973E-2</v>
      </c>
    </row>
    <row r="77" spans="1:63">
      <c r="A77" s="204">
        <f t="shared" si="33"/>
        <v>1981</v>
      </c>
      <c r="B77" s="446">
        <f>IF(AND($A77&gt;=SYear72,$A77&lt;=EYear72,B$3&gt;0),IF($A77=SYear72,B$67*(1+Data_72_15!B17%),B76*(1+Data_72_15!B17%)),"")</f>
        <v>9746.5839882921864</v>
      </c>
      <c r="C77" s="446" t="str">
        <f>IF(AND($A77&gt;=SYear72,$A77&lt;=EYear72,C$3&gt;0),IF($A77=SYear72,C$67*(1+Data_72_15!C17%),C76*(1+Data_72_15!C17%)),"")</f>
        <v/>
      </c>
      <c r="D77" s="446" t="str">
        <f>IF(AND($A77&gt;=SYear72,$A77&lt;=EYear72,D$3&gt;0),IF($A77=SYear72,D$67*(1+Data_72_15!D17%),D76*(1+Data_72_15!D17%)),"")</f>
        <v/>
      </c>
      <c r="E77" s="446" t="str">
        <f>IF(AND($A77&gt;=SYear72,$A77&lt;=EYear72,E$3&gt;0),IF($A77=SYear72,E$67*(1+Data_72_15!E17%),E76*(1+Data_72_15!E17%)),"")</f>
        <v/>
      </c>
      <c r="F77" s="446" t="str">
        <f>IF(AND($A77&gt;=SYear72,$A77&lt;=EYear72,F$3&gt;0),IF($A77=SYear72,F$67*(1+Data_72_15!F17%),F76*(1+Data_72_15!F17%)),"")</f>
        <v/>
      </c>
      <c r="G77" s="446" t="str">
        <f>IF(AND($A77&gt;=SYear72,$A77&lt;=EYear72,G$3&gt;0),IF($A77=SYear72,G$67*(1+Data_72_15!G17%),G76*(1+Data_72_15!G17%)),"")</f>
        <v/>
      </c>
      <c r="H77" s="446" t="str">
        <f>IF(AND($A77&gt;=SYear72,$A77&lt;=EYear72,H$3&gt;0),IF($A77=SYear72,H$67*(1+Data_72_15!H17%),H76*(1+Data_72_15!H17%)),"")</f>
        <v/>
      </c>
      <c r="I77" s="446" t="str">
        <f>IF(AND($A77&gt;=SYear72,$A77&lt;=EYear72,I$3&gt;0),IF($A77=SYear72,I$67*(1+Data_72_15!I17%),I76*(1+Data_72_15!I17%)),"")</f>
        <v/>
      </c>
      <c r="J77" s="446" t="str">
        <f>IF(AND($A77&gt;=SYear72,$A77&lt;=EYear72,J$3&gt;0),IF($A77=SYear72,J$67*(1+Data_72_15!J17%),J76*(1+Data_72_15!J17%)),"")</f>
        <v/>
      </c>
      <c r="K77" s="446" t="str">
        <f>IF(AND($A77&gt;=SYear72,$A77&lt;=EYear72,K$3&gt;0),IF($A77=SYear72,K$67*(1+Data_72_15!K17%),K76*(1+Data_72_15!K17%)),"")</f>
        <v/>
      </c>
      <c r="L77" s="446" t="str">
        <f>IF(AND($A77&gt;=SYear72,$A77&lt;=EYear72,L$3&gt;0),IF($A77=SYear72,L$67*(1+Data_72_15!L17%),L76*(1+Data_72_15!L17%)),"")</f>
        <v/>
      </c>
      <c r="M77" s="446" t="str">
        <f>IF(AND($A77&gt;=SYear72,$A77&lt;=EYear72,M$3&gt;0),IF($A77=SYear72,M$67*(1+Data_72_15!M17%),M76*(1+Data_72_15!M17%)),"")</f>
        <v/>
      </c>
      <c r="N77" s="446">
        <f>IF(AND($A77&gt;=SYear72,$A77&lt;=EYear72,N$3&gt;0),IF($A77=SYear72,N$67*(1+Data_72_15!N17%),N76*(1+Data_72_15!N17%)),"")</f>
        <v>8020.0771420636374</v>
      </c>
      <c r="O77" s="446" t="str">
        <f>IF(AND($A77&gt;=SYear72,$A77&lt;=EYear72,O$3&gt;0),IF($A77=SYear72,O$67*(1+Data_72_15!O17%),O76*(1+Data_72_15!O17%)),"")</f>
        <v/>
      </c>
      <c r="P77" s="446" t="str">
        <f>IF(AND($A77&gt;=SYear72,$A77&lt;=EYear72,P$3&gt;0),IF($A77=SYear72,P$67*(1+Data_72_15!P17%),P76*(1+Data_72_15!P17%)),"")</f>
        <v/>
      </c>
      <c r="Q77" s="446" t="str">
        <f>IF(AND($A77&gt;=SYear72,$A77&lt;=EYear72,Q$3&gt;0),IF($A77=SYear72,Q$67*(1+Data_72_15!Q17%),Q76*(1+Data_72_15!Q17%)),"")</f>
        <v/>
      </c>
      <c r="R77" s="446" t="str">
        <f>IF(AND($A77&gt;=SYear72,$A77&lt;=EYear72,R$3&gt;0),IF($A77=SYear72,R$67*(1+Data_72_15!R17%),R76*(1+Data_72_15!R17%)),"")</f>
        <v/>
      </c>
      <c r="S77" s="446" t="str">
        <f>IF(AND($A77&gt;=SYear72,$A77&lt;=EYear72,S$3&gt;0),IF($A77=SYear72,S$67*(1+Data_72_15!S17%),S76*(1+Data_72_15!S17%)),"")</f>
        <v/>
      </c>
      <c r="T77" s="446">
        <f>IF(AND($A77&gt;=SYear72,$A77&lt;=EYear72,T$3&gt;0),IF($A77=SYear72,T$67*(1+Data_72_15!T17%),T76*(1+Data_72_15!T17%)),"")</f>
        <v>3118.1722215826339</v>
      </c>
      <c r="U77" s="446" t="str">
        <f>IF(AND($A77&gt;=SYear72,$A77&lt;=EYear72,U$3&gt;0),IF($A77=SYear72,U$67*(1+Data_72_15!U17%),U76*(1+Data_72_15!U17%)),"")</f>
        <v/>
      </c>
      <c r="V77" s="446" t="str">
        <f>IF(AND($A77&gt;=SYear72,$A77&lt;=EYear72,V$3&gt;0),IF($A77=SYear72,V$67*(1+Data_72_15!V17%),V76*(1+Data_72_15!V17%)),"")</f>
        <v/>
      </c>
      <c r="W77" s="446" t="str">
        <f>IF(AND($A77&gt;=SYear72,$A77&lt;=EYear72,W$3&gt;0),IF($A77=SYear72,W$67*(1+Data_72_15!W17%),W76*(1+Data_72_15!W17%)),"")</f>
        <v/>
      </c>
      <c r="X77" s="446" t="str">
        <f>IF(AND($A77&gt;=SYear72,$A77&lt;=EYear72,X$3&gt;0),IF($A77=SYear72,X$67*(1+Data_72_15!X17%),X76*(1+Data_72_15!X17%)),"")</f>
        <v/>
      </c>
      <c r="Y77" s="446" t="str">
        <f>IF(AND($A77&gt;=SYear72,$A77&lt;=EYear72,Y$3&gt;0),IF($A77=SYear72,Y$67*(1+Data_72_15!Y17%),Y76*(1+Data_72_15!Y17%)),"")</f>
        <v/>
      </c>
      <c r="Z77" s="446" t="str">
        <f>IF(AND($A77&gt;=SYear72,$A77&lt;=EYear72,Z$3&gt;0),IF($A77=SYear72,Z$67*(1+Data_72_15!Z17%),Z76*(1+Data_72_15!Z17%)),"")</f>
        <v/>
      </c>
      <c r="AA77" s="446" t="str">
        <f>IF(AND($A77&gt;=SYear72,$A77&lt;=EYear72,AA$3&gt;0),IF($A77=SYear72,AA$67*(1+Data_72_15!AA17%),AA76*(1+Data_72_15!AA17%)),"")</f>
        <v/>
      </c>
      <c r="AB77" s="446" t="str">
        <f>IF(AND($A77&gt;=SYear72,$A77&lt;=EYear72,AB$3&gt;0),IF($A77=SYear72,AB$67*(1+Data_72_15!AB17%),AB76*(1+Data_72_15!AB17%)),"")</f>
        <v/>
      </c>
      <c r="AC77" s="446" t="str">
        <f>IF(AND($A77&gt;=SYear72,$A77&lt;=EYear72,AC$3&gt;0),IF($A77=SYear72,AC$67*(1+Data_72_15!AC17%),AC76*(1+Data_72_15!AC17%)),"")</f>
        <v/>
      </c>
      <c r="AD77" s="446" t="str">
        <f>IF(AND($A77&gt;=SYear72,$A77&lt;=EYear72,AD$3&gt;0),IF($A77=SYear72,AD$67*(1+Data_72_15!AD17%),AD76*(1+Data_72_15!AD17%)),"")</f>
        <v/>
      </c>
      <c r="AE77" s="446" t="str">
        <f>IF(AND($A77&gt;=SYear72,$A77&lt;=EYear72,AE$3&gt;0),IF($A77=SYear72,AE$67*(1+Data_72_15!AE17%),AE76*(1+Data_72_15!AE17%)),"")</f>
        <v/>
      </c>
      <c r="AF77" s="446" t="str">
        <f>IF(AND($A77&gt;=SYear72,$A77&lt;=EYear72,AF$3&gt;0),IF($A77=SYear72,AF$67*(1+Data_72_15!AF17%),AF76*(1+Data_72_15!AF17%)),"")</f>
        <v/>
      </c>
      <c r="AG77" s="446" t="str">
        <f>IF(AND($A77&gt;=SYear72,$A77&lt;=EYear72,AG$3&gt;0),IF($A77=SYear72,AG$67*(1+Data_72_15!AG17%),AG76*(1+Data_72_15!AG17%)),"")</f>
        <v/>
      </c>
      <c r="AH77" s="446" t="str">
        <f>IF(AND($A77&gt;=SYear72,$A77&lt;=EYear72,AH$3&gt;0),IF($A77=SYear72,AH$67*(1+Data_72_15!AH17%),AH76*(1+Data_72_15!AH17%)),"")</f>
        <v/>
      </c>
      <c r="AI77" s="446" t="str">
        <f>IF(AND($A77&gt;=SYear72,$A77&lt;=EYear72,AI$3&gt;0),IF($A77=SYear72,AI$67*(1+Data_72_15!AI17%),AI76*(1+Data_72_15!AI17%)),"")</f>
        <v/>
      </c>
      <c r="AJ77" s="446" t="str">
        <f>IF(AND($A77&gt;=SYear72,$A77&lt;=EYear72,AJ$3&gt;0),IF($A77=SYear72,AJ$67*(1+Data_72_15!AJ17%),AJ76*(1+Data_72_15!AJ17%)),"")</f>
        <v/>
      </c>
      <c r="AK77" s="446" t="str">
        <f>IF(AND($A77&gt;=SYear72,$A77&lt;=EYear72,AK$3&gt;0),IF($A77=SYear72,AK$67*(1+Data_72_15!AK17%),AK76*(1+Data_72_15!AK17%)),"")</f>
        <v/>
      </c>
      <c r="AL77" s="446" t="str">
        <f>IF(AND($A77&gt;=SYear72,$A77&lt;=EYear72,AL$3&gt;0),IF($A77=SYear72,AL$67*(1+Data_72_15!AL17%),AL76*(1+Data_72_15!AL17%)),"")</f>
        <v/>
      </c>
      <c r="AM77" s="206">
        <f t="shared" si="18"/>
        <v>-1.2312769969209956</v>
      </c>
      <c r="AN77" s="446">
        <f t="shared" si="19"/>
        <v>20884.833351938458</v>
      </c>
      <c r="AO77" s="206">
        <f>IF(AND($A77&gt;=SYear72,$A77&lt;=EYear72),(AM77-Data_72_15!AM17)/(1+Data_72_15!AM17%),"")</f>
        <v>-9.3219064344072535</v>
      </c>
      <c r="AP77" s="606">
        <f t="shared" si="20"/>
        <v>9131.5601145177716</v>
      </c>
      <c r="AQ77" s="143">
        <f t="shared" si="21"/>
        <v>1.7347634545094091</v>
      </c>
      <c r="AR77" s="143">
        <f>IF(AND($A77&gt;=SYear72,$A77&lt;=EYear72),MAX($AQ$68:AQ77),"")</f>
        <v>1.7563894740800989</v>
      </c>
      <c r="AS77" s="209">
        <f t="shared" si="22"/>
        <v>1.2312769969209936E-2</v>
      </c>
      <c r="AZ77" s="61">
        <f t="shared" si="23"/>
        <v>-1.2312769969209936E-2</v>
      </c>
      <c r="BA77" s="61">
        <f t="shared" si="24"/>
        <v>0.10653302222222316</v>
      </c>
      <c r="BB77" s="61">
        <f t="shared" si="25"/>
        <v>0.15007679105933747</v>
      </c>
      <c r="BC77" s="61">
        <f t="shared" si="26"/>
        <v>0.15038050441312079</v>
      </c>
      <c r="BD77" s="61">
        <f t="shared" si="27"/>
        <v>0.14627609794642749</v>
      </c>
      <c r="BG77" s="61">
        <f t="shared" si="28"/>
        <v>-9.3219064344072677E-2</v>
      </c>
      <c r="BH77" s="61">
        <f t="shared" si="29"/>
        <v>4.8974254477869739E-2</v>
      </c>
      <c r="BI77" s="61">
        <f t="shared" si="30"/>
        <v>9.6995803180363716E-2</v>
      </c>
      <c r="BJ77" s="61">
        <f t="shared" si="31"/>
        <v>0.10102449570619809</v>
      </c>
      <c r="BK77" s="61">
        <f t="shared" si="32"/>
        <v>0.10310299659425359</v>
      </c>
    </row>
    <row r="78" spans="1:63">
      <c r="A78" s="204">
        <f t="shared" si="33"/>
        <v>1982</v>
      </c>
      <c r="B78" s="446">
        <f>IF(AND($A78&gt;=SYear72,$A78&lt;=EYear72,B$3&gt;0),IF($A78=SYear72,B$67*(1+Data_72_15!B18%),B77*(1+Data_72_15!B18%)),"")</f>
        <v>11753.891841726027</v>
      </c>
      <c r="C78" s="446" t="str">
        <f>IF(AND($A78&gt;=SYear72,$A78&lt;=EYear72,C$3&gt;0),IF($A78=SYear72,C$67*(1+Data_72_15!C18%),C77*(1+Data_72_15!C18%)),"")</f>
        <v/>
      </c>
      <c r="D78" s="446" t="str">
        <f>IF(AND($A78&gt;=SYear72,$A78&lt;=EYear72,D$3&gt;0),IF($A78=SYear72,D$67*(1+Data_72_15!D18%),D77*(1+Data_72_15!D18%)),"")</f>
        <v/>
      </c>
      <c r="E78" s="446" t="str">
        <f>IF(AND($A78&gt;=SYear72,$A78&lt;=EYear72,E$3&gt;0),IF($A78=SYear72,E$67*(1+Data_72_15!E18%),E77*(1+Data_72_15!E18%)),"")</f>
        <v/>
      </c>
      <c r="F78" s="446" t="str">
        <f>IF(AND($A78&gt;=SYear72,$A78&lt;=EYear72,F$3&gt;0),IF($A78=SYear72,F$67*(1+Data_72_15!F18%),F77*(1+Data_72_15!F18%)),"")</f>
        <v/>
      </c>
      <c r="G78" s="446" t="str">
        <f>IF(AND($A78&gt;=SYear72,$A78&lt;=EYear72,G$3&gt;0),IF($A78=SYear72,G$67*(1+Data_72_15!G18%),G77*(1+Data_72_15!G18%)),"")</f>
        <v/>
      </c>
      <c r="H78" s="446" t="str">
        <f>IF(AND($A78&gt;=SYear72,$A78&lt;=EYear72,H$3&gt;0),IF($A78=SYear72,H$67*(1+Data_72_15!H18%),H77*(1+Data_72_15!H18%)),"")</f>
        <v/>
      </c>
      <c r="I78" s="446" t="str">
        <f>IF(AND($A78&gt;=SYear72,$A78&lt;=EYear72,I$3&gt;0),IF($A78=SYear72,I$67*(1+Data_72_15!I18%),I77*(1+Data_72_15!I18%)),"")</f>
        <v/>
      </c>
      <c r="J78" s="446" t="str">
        <f>IF(AND($A78&gt;=SYear72,$A78&lt;=EYear72,J$3&gt;0),IF($A78=SYear72,J$67*(1+Data_72_15!J18%),J77*(1+Data_72_15!J18%)),"")</f>
        <v/>
      </c>
      <c r="K78" s="446" t="str">
        <f>IF(AND($A78&gt;=SYear72,$A78&lt;=EYear72,K$3&gt;0),IF($A78=SYear72,K$67*(1+Data_72_15!K18%),K77*(1+Data_72_15!K18%)),"")</f>
        <v/>
      </c>
      <c r="L78" s="446" t="str">
        <f>IF(AND($A78&gt;=SYear72,$A78&lt;=EYear72,L$3&gt;0),IF($A78=SYear72,L$67*(1+Data_72_15!L18%),L77*(1+Data_72_15!L18%)),"")</f>
        <v/>
      </c>
      <c r="M78" s="446" t="str">
        <f>IF(AND($A78&gt;=SYear72,$A78&lt;=EYear72,M$3&gt;0),IF($A78=SYear72,M$67*(1+Data_72_15!M18%),M77*(1+Data_72_15!M18%)),"")</f>
        <v/>
      </c>
      <c r="N78" s="446">
        <f>IF(AND($A78&gt;=SYear72,$A78&lt;=EYear72,N$3&gt;0),IF($A78=SYear72,N$67*(1+Data_72_15!N18%),N77*(1+Data_72_15!N18%)),"")</f>
        <v>7928.0487174640248</v>
      </c>
      <c r="O78" s="446" t="str">
        <f>IF(AND($A78&gt;=SYear72,$A78&lt;=EYear72,O$3&gt;0),IF($A78=SYear72,O$67*(1+Data_72_15!O18%),O77*(1+Data_72_15!O18%)),"")</f>
        <v/>
      </c>
      <c r="P78" s="446" t="str">
        <f>IF(AND($A78&gt;=SYear72,$A78&lt;=EYear72,P$3&gt;0),IF($A78=SYear72,P$67*(1+Data_72_15!P18%),P77*(1+Data_72_15!P18%)),"")</f>
        <v/>
      </c>
      <c r="Q78" s="446" t="str">
        <f>IF(AND($A78&gt;=SYear72,$A78&lt;=EYear72,Q$3&gt;0),IF($A78=SYear72,Q$67*(1+Data_72_15!Q18%),Q77*(1+Data_72_15!Q18%)),"")</f>
        <v/>
      </c>
      <c r="R78" s="446" t="str">
        <f>IF(AND($A78&gt;=SYear72,$A78&lt;=EYear72,R$3&gt;0),IF($A78=SYear72,R$67*(1+Data_72_15!R18%),R77*(1+Data_72_15!R18%)),"")</f>
        <v/>
      </c>
      <c r="S78" s="446" t="str">
        <f>IF(AND($A78&gt;=SYear72,$A78&lt;=EYear72,S$3&gt;0),IF($A78=SYear72,S$67*(1+Data_72_15!S18%),S77*(1+Data_72_15!S18%)),"")</f>
        <v/>
      </c>
      <c r="T78" s="446">
        <f>IF(AND($A78&gt;=SYear72,$A78&lt;=EYear72,T$3&gt;0),IF($A78=SYear72,T$67*(1+Data_72_15!T18%),T77*(1+Data_72_15!T18%)),"")</f>
        <v>4148.8596849414889</v>
      </c>
      <c r="U78" s="446" t="str">
        <f>IF(AND($A78&gt;=SYear72,$A78&lt;=EYear72,U$3&gt;0),IF($A78=SYear72,U$67*(1+Data_72_15!U18%),U77*(1+Data_72_15!U18%)),"")</f>
        <v/>
      </c>
      <c r="V78" s="446" t="str">
        <f>IF(AND($A78&gt;=SYear72,$A78&lt;=EYear72,V$3&gt;0),IF($A78=SYear72,V$67*(1+Data_72_15!V18%),V77*(1+Data_72_15!V18%)),"")</f>
        <v/>
      </c>
      <c r="W78" s="446" t="str">
        <f>IF(AND($A78&gt;=SYear72,$A78&lt;=EYear72,W$3&gt;0),IF($A78=SYear72,W$67*(1+Data_72_15!W18%),W77*(1+Data_72_15!W18%)),"")</f>
        <v/>
      </c>
      <c r="X78" s="446" t="str">
        <f>IF(AND($A78&gt;=SYear72,$A78&lt;=EYear72,X$3&gt;0),IF($A78=SYear72,X$67*(1+Data_72_15!X18%),X77*(1+Data_72_15!X18%)),"")</f>
        <v/>
      </c>
      <c r="Y78" s="446" t="str">
        <f>IF(AND($A78&gt;=SYear72,$A78&lt;=EYear72,Y$3&gt;0),IF($A78=SYear72,Y$67*(1+Data_72_15!Y18%),Y77*(1+Data_72_15!Y18%)),"")</f>
        <v/>
      </c>
      <c r="Z78" s="446" t="str">
        <f>IF(AND($A78&gt;=SYear72,$A78&lt;=EYear72,Z$3&gt;0),IF($A78=SYear72,Z$67*(1+Data_72_15!Z18%),Z77*(1+Data_72_15!Z18%)),"")</f>
        <v/>
      </c>
      <c r="AA78" s="446" t="str">
        <f>IF(AND($A78&gt;=SYear72,$A78&lt;=EYear72,AA$3&gt;0),IF($A78=SYear72,AA$67*(1+Data_72_15!AA18%),AA77*(1+Data_72_15!AA18%)),"")</f>
        <v/>
      </c>
      <c r="AB78" s="446" t="str">
        <f>IF(AND($A78&gt;=SYear72,$A78&lt;=EYear72,AB$3&gt;0),IF($A78=SYear72,AB$67*(1+Data_72_15!AB18%),AB77*(1+Data_72_15!AB18%)),"")</f>
        <v/>
      </c>
      <c r="AC78" s="446" t="str">
        <f>IF(AND($A78&gt;=SYear72,$A78&lt;=EYear72,AC$3&gt;0),IF($A78=SYear72,AC$67*(1+Data_72_15!AC18%),AC77*(1+Data_72_15!AC18%)),"")</f>
        <v/>
      </c>
      <c r="AD78" s="446" t="str">
        <f>IF(AND($A78&gt;=SYear72,$A78&lt;=EYear72,AD$3&gt;0),IF($A78=SYear72,AD$67*(1+Data_72_15!AD18%),AD77*(1+Data_72_15!AD18%)),"")</f>
        <v/>
      </c>
      <c r="AE78" s="446" t="str">
        <f>IF(AND($A78&gt;=SYear72,$A78&lt;=EYear72,AE$3&gt;0),IF($A78=SYear72,AE$67*(1+Data_72_15!AE18%),AE77*(1+Data_72_15!AE18%)),"")</f>
        <v/>
      </c>
      <c r="AF78" s="446" t="str">
        <f>IF(AND($A78&gt;=SYear72,$A78&lt;=EYear72,AF$3&gt;0),IF($A78=SYear72,AF$67*(1+Data_72_15!AF18%),AF77*(1+Data_72_15!AF18%)),"")</f>
        <v/>
      </c>
      <c r="AG78" s="446" t="str">
        <f>IF(AND($A78&gt;=SYear72,$A78&lt;=EYear72,AG$3&gt;0),IF($A78=SYear72,AG$67*(1+Data_72_15!AG18%),AG77*(1+Data_72_15!AG18%)),"")</f>
        <v/>
      </c>
      <c r="AH78" s="446" t="str">
        <f>IF(AND($A78&gt;=SYear72,$A78&lt;=EYear72,AH$3&gt;0),IF($A78=SYear72,AH$67*(1+Data_72_15!AH18%),AH77*(1+Data_72_15!AH18%)),"")</f>
        <v/>
      </c>
      <c r="AI78" s="446" t="str">
        <f>IF(AND($A78&gt;=SYear72,$A78&lt;=EYear72,AI$3&gt;0),IF($A78=SYear72,AI$67*(1+Data_72_15!AI18%),AI77*(1+Data_72_15!AI18%)),"")</f>
        <v/>
      </c>
      <c r="AJ78" s="446" t="str">
        <f>IF(AND($A78&gt;=SYear72,$A78&lt;=EYear72,AJ$3&gt;0),IF($A78=SYear72,AJ$67*(1+Data_72_15!AJ18%),AJ77*(1+Data_72_15!AJ18%)),"")</f>
        <v/>
      </c>
      <c r="AK78" s="446" t="str">
        <f>IF(AND($A78&gt;=SYear72,$A78&lt;=EYear72,AK$3&gt;0),IF($A78=SYear72,AK$67*(1+Data_72_15!AK18%),AK77*(1+Data_72_15!AK18%)),"")</f>
        <v/>
      </c>
      <c r="AL78" s="446" t="str">
        <f>IF(AND($A78&gt;=SYear72,$A78&lt;=EYear72,AL$3&gt;0),IF($A78=SYear72,AL$67*(1+Data_72_15!AL18%),AL77*(1+Data_72_15!AL18%)),"")</f>
        <v/>
      </c>
      <c r="AM78" s="206">
        <f t="shared" si="18"/>
        <v>14.105771602528245</v>
      </c>
      <c r="AN78" s="446">
        <f t="shared" si="19"/>
        <v>23830.80024413154</v>
      </c>
      <c r="AO78" s="206">
        <f>IF(AND($A78&gt;=SYear72,$A78&lt;=EYear72),(AM78-Data_72_15!AM18)/(1+Data_72_15!AM18%),"")</f>
        <v>9.8969521581727022</v>
      </c>
      <c r="AP78" s="606">
        <f t="shared" si="20"/>
        <v>10035.306250346375</v>
      </c>
      <c r="AQ78" s="143">
        <f t="shared" si="21"/>
        <v>1.9794652252466352</v>
      </c>
      <c r="AR78" s="143">
        <f>IF(AND($A78&gt;=SYear72,$A78&lt;=EYear72),MAX($AQ$68:AQ78),"")</f>
        <v>1.9794652252466352</v>
      </c>
      <c r="AS78" s="209">
        <f t="shared" si="22"/>
        <v>0</v>
      </c>
      <c r="AZ78" s="61">
        <f t="shared" si="23"/>
        <v>0.14105771602528239</v>
      </c>
      <c r="BA78" s="61">
        <f t="shared" si="24"/>
        <v>0.13623306599469931</v>
      </c>
      <c r="BB78" s="61">
        <f t="shared" si="25"/>
        <v>0.22793151780458576</v>
      </c>
      <c r="BC78" s="61">
        <f t="shared" si="26"/>
        <v>0.17740274317293481</v>
      </c>
      <c r="BD78" s="61">
        <f t="shared" si="27"/>
        <v>0.15662267887360648</v>
      </c>
      <c r="BG78" s="61">
        <f t="shared" si="28"/>
        <v>9.8969521581727005E-2</v>
      </c>
      <c r="BH78" s="61">
        <f t="shared" si="29"/>
        <v>9.4041806215040102E-2</v>
      </c>
      <c r="BI78" s="61">
        <f t="shared" si="30"/>
        <v>0.18885054669987755</v>
      </c>
      <c r="BJ78" s="61">
        <f t="shared" si="31"/>
        <v>0.13313434229812526</v>
      </c>
      <c r="BK78" s="61">
        <f t="shared" si="32"/>
        <v>0.11698330420602332</v>
      </c>
    </row>
    <row r="79" spans="1:63">
      <c r="A79" s="204">
        <f t="shared" si="33"/>
        <v>1983</v>
      </c>
      <c r="B79" s="446">
        <f>IF(AND($A79&gt;=SYear72,$A79&lt;=EYear72,B$3&gt;0),IF($A79=SYear72,B$67*(1+Data_72_15!B19%),B78*(1+Data_72_15!B19%)),"")</f>
        <v>14315.41184676625</v>
      </c>
      <c r="C79" s="446" t="str">
        <f>IF(AND($A79&gt;=SYear72,$A79&lt;=EYear72,C$3&gt;0),IF($A79=SYear72,C$67*(1+Data_72_15!C19%),C78*(1+Data_72_15!C19%)),"")</f>
        <v/>
      </c>
      <c r="D79" s="446" t="str">
        <f>IF(AND($A79&gt;=SYear72,$A79&lt;=EYear72,D$3&gt;0),IF($A79=SYear72,D$67*(1+Data_72_15!D19%),D78*(1+Data_72_15!D19%)),"")</f>
        <v/>
      </c>
      <c r="E79" s="446" t="str">
        <f>IF(AND($A79&gt;=SYear72,$A79&lt;=EYear72,E$3&gt;0),IF($A79=SYear72,E$67*(1+Data_72_15!E19%),E78*(1+Data_72_15!E19%)),"")</f>
        <v/>
      </c>
      <c r="F79" s="446" t="str">
        <f>IF(AND($A79&gt;=SYear72,$A79&lt;=EYear72,F$3&gt;0),IF($A79=SYear72,F$67*(1+Data_72_15!F19%),F78*(1+Data_72_15!F19%)),"")</f>
        <v/>
      </c>
      <c r="G79" s="446" t="str">
        <f>IF(AND($A79&gt;=SYear72,$A79&lt;=EYear72,G$3&gt;0),IF($A79=SYear72,G$67*(1+Data_72_15!G19%),G78*(1+Data_72_15!G19%)),"")</f>
        <v/>
      </c>
      <c r="H79" s="446" t="str">
        <f>IF(AND($A79&gt;=SYear72,$A79&lt;=EYear72,H$3&gt;0),IF($A79=SYear72,H$67*(1+Data_72_15!H19%),H78*(1+Data_72_15!H19%)),"")</f>
        <v/>
      </c>
      <c r="I79" s="446" t="str">
        <f>IF(AND($A79&gt;=SYear72,$A79&lt;=EYear72,I$3&gt;0),IF($A79=SYear72,I$67*(1+Data_72_15!I19%),I78*(1+Data_72_15!I19%)),"")</f>
        <v/>
      </c>
      <c r="J79" s="446" t="str">
        <f>IF(AND($A79&gt;=SYear72,$A79&lt;=EYear72,J$3&gt;0),IF($A79=SYear72,J$67*(1+Data_72_15!J19%),J78*(1+Data_72_15!J19%)),"")</f>
        <v/>
      </c>
      <c r="K79" s="446" t="str">
        <f>IF(AND($A79&gt;=SYear72,$A79&lt;=EYear72,K$3&gt;0),IF($A79=SYear72,K$67*(1+Data_72_15!K19%),K78*(1+Data_72_15!K19%)),"")</f>
        <v/>
      </c>
      <c r="L79" s="446" t="str">
        <f>IF(AND($A79&gt;=SYear72,$A79&lt;=EYear72,L$3&gt;0),IF($A79=SYear72,L$67*(1+Data_72_15!L19%),L78*(1+Data_72_15!L19%)),"")</f>
        <v/>
      </c>
      <c r="M79" s="446" t="str">
        <f>IF(AND($A79&gt;=SYear72,$A79&lt;=EYear72,M$3&gt;0),IF($A79=SYear72,M$67*(1+Data_72_15!M19%),M78*(1+Data_72_15!M19%)),"")</f>
        <v/>
      </c>
      <c r="N79" s="446">
        <f>IF(AND($A79&gt;=SYear72,$A79&lt;=EYear72,N$3&gt;0),IF($A79=SYear72,N$67*(1+Data_72_15!N19%),N78*(1+Data_72_15!N19%)),"")</f>
        <v>9951.5917846435277</v>
      </c>
      <c r="O79" s="446" t="str">
        <f>IF(AND($A79&gt;=SYear72,$A79&lt;=EYear72,O$3&gt;0),IF($A79=SYear72,O$67*(1+Data_72_15!O19%),O78*(1+Data_72_15!O19%)),"")</f>
        <v/>
      </c>
      <c r="P79" s="446" t="str">
        <f>IF(AND($A79&gt;=SYear72,$A79&lt;=EYear72,P$3&gt;0),IF($A79=SYear72,P$67*(1+Data_72_15!P19%),P78*(1+Data_72_15!P19%)),"")</f>
        <v/>
      </c>
      <c r="Q79" s="446" t="str">
        <f>IF(AND($A79&gt;=SYear72,$A79&lt;=EYear72,Q$3&gt;0),IF($A79=SYear72,Q$67*(1+Data_72_15!Q19%),Q78*(1+Data_72_15!Q19%)),"")</f>
        <v/>
      </c>
      <c r="R79" s="446" t="str">
        <f>IF(AND($A79&gt;=SYear72,$A79&lt;=EYear72,R$3&gt;0),IF($A79=SYear72,R$67*(1+Data_72_15!R19%),R78*(1+Data_72_15!R19%)),"")</f>
        <v/>
      </c>
      <c r="S79" s="446" t="str">
        <f>IF(AND($A79&gt;=SYear72,$A79&lt;=EYear72,S$3&gt;0),IF($A79=SYear72,S$67*(1+Data_72_15!S19%),S78*(1+Data_72_15!S19%)),"")</f>
        <v/>
      </c>
      <c r="T79" s="446">
        <f>IF(AND($A79&gt;=SYear72,$A79&lt;=EYear72,T$3&gt;0),IF($A79=SYear72,T$67*(1+Data_72_15!T19%),T78*(1+Data_72_15!T19%)),"")</f>
        <v>4381.6827197897401</v>
      </c>
      <c r="U79" s="446" t="str">
        <f>IF(AND($A79&gt;=SYear72,$A79&lt;=EYear72,U$3&gt;0),IF($A79=SYear72,U$67*(1+Data_72_15!U19%),U78*(1+Data_72_15!U19%)),"")</f>
        <v/>
      </c>
      <c r="V79" s="446" t="str">
        <f>IF(AND($A79&gt;=SYear72,$A79&lt;=EYear72,V$3&gt;0),IF($A79=SYear72,V$67*(1+Data_72_15!V19%),V78*(1+Data_72_15!V19%)),"")</f>
        <v/>
      </c>
      <c r="W79" s="446" t="str">
        <f>IF(AND($A79&gt;=SYear72,$A79&lt;=EYear72,W$3&gt;0),IF($A79=SYear72,W$67*(1+Data_72_15!W19%),W78*(1+Data_72_15!W19%)),"")</f>
        <v/>
      </c>
      <c r="X79" s="446" t="str">
        <f>IF(AND($A79&gt;=SYear72,$A79&lt;=EYear72,X$3&gt;0),IF($A79=SYear72,X$67*(1+Data_72_15!X19%),X78*(1+Data_72_15!X19%)),"")</f>
        <v/>
      </c>
      <c r="Y79" s="446" t="str">
        <f>IF(AND($A79&gt;=SYear72,$A79&lt;=EYear72,Y$3&gt;0),IF($A79=SYear72,Y$67*(1+Data_72_15!Y19%),Y78*(1+Data_72_15!Y19%)),"")</f>
        <v/>
      </c>
      <c r="Z79" s="446" t="str">
        <f>IF(AND($A79&gt;=SYear72,$A79&lt;=EYear72,Z$3&gt;0),IF($A79=SYear72,Z$67*(1+Data_72_15!Z19%),Z78*(1+Data_72_15!Z19%)),"")</f>
        <v/>
      </c>
      <c r="AA79" s="446" t="str">
        <f>IF(AND($A79&gt;=SYear72,$A79&lt;=EYear72,AA$3&gt;0),IF($A79=SYear72,AA$67*(1+Data_72_15!AA19%),AA78*(1+Data_72_15!AA19%)),"")</f>
        <v/>
      </c>
      <c r="AB79" s="446" t="str">
        <f>IF(AND($A79&gt;=SYear72,$A79&lt;=EYear72,AB$3&gt;0),IF($A79=SYear72,AB$67*(1+Data_72_15!AB19%),AB78*(1+Data_72_15!AB19%)),"")</f>
        <v/>
      </c>
      <c r="AC79" s="446" t="str">
        <f>IF(AND($A79&gt;=SYear72,$A79&lt;=EYear72,AC$3&gt;0),IF($A79=SYear72,AC$67*(1+Data_72_15!AC19%),AC78*(1+Data_72_15!AC19%)),"")</f>
        <v/>
      </c>
      <c r="AD79" s="446" t="str">
        <f>IF(AND($A79&gt;=SYear72,$A79&lt;=EYear72,AD$3&gt;0),IF($A79=SYear72,AD$67*(1+Data_72_15!AD19%),AD78*(1+Data_72_15!AD19%)),"")</f>
        <v/>
      </c>
      <c r="AE79" s="446" t="str">
        <f>IF(AND($A79&gt;=SYear72,$A79&lt;=EYear72,AE$3&gt;0),IF($A79=SYear72,AE$67*(1+Data_72_15!AE19%),AE78*(1+Data_72_15!AE19%)),"")</f>
        <v/>
      </c>
      <c r="AF79" s="446" t="str">
        <f>IF(AND($A79&gt;=SYear72,$A79&lt;=EYear72,AF$3&gt;0),IF($A79=SYear72,AF$67*(1+Data_72_15!AF19%),AF78*(1+Data_72_15!AF19%)),"")</f>
        <v/>
      </c>
      <c r="AG79" s="446" t="str">
        <f>IF(AND($A79&gt;=SYear72,$A79&lt;=EYear72,AG$3&gt;0),IF($A79=SYear72,AG$67*(1+Data_72_15!AG19%),AG78*(1+Data_72_15!AG19%)),"")</f>
        <v/>
      </c>
      <c r="AH79" s="446" t="str">
        <f>IF(AND($A79&gt;=SYear72,$A79&lt;=EYear72,AH$3&gt;0),IF($A79=SYear72,AH$67*(1+Data_72_15!AH19%),AH78*(1+Data_72_15!AH19%)),"")</f>
        <v/>
      </c>
      <c r="AI79" s="446" t="str">
        <f>IF(AND($A79&gt;=SYear72,$A79&lt;=EYear72,AI$3&gt;0),IF($A79=SYear72,AI$67*(1+Data_72_15!AI19%),AI78*(1+Data_72_15!AI19%)),"")</f>
        <v/>
      </c>
      <c r="AJ79" s="446" t="str">
        <f>IF(AND($A79&gt;=SYear72,$A79&lt;=EYear72,AJ$3&gt;0),IF($A79=SYear72,AJ$67*(1+Data_72_15!AJ19%),AJ78*(1+Data_72_15!AJ19%)),"")</f>
        <v/>
      </c>
      <c r="AK79" s="446" t="str">
        <f>IF(AND($A79&gt;=SYear72,$A79&lt;=EYear72,AK$3&gt;0),IF($A79=SYear72,AK$67*(1+Data_72_15!AK19%),AK78*(1+Data_72_15!AK19%)),"")</f>
        <v/>
      </c>
      <c r="AL79" s="446" t="str">
        <f>IF(AND($A79&gt;=SYear72,$A79&lt;=EYear72,AL$3&gt;0),IF($A79=SYear72,AL$67*(1+Data_72_15!AL19%),AL78*(1+Data_72_15!AL19%)),"")</f>
        <v/>
      </c>
      <c r="AM79" s="206">
        <f t="shared" si="18"/>
        <v>20.217055481611062</v>
      </c>
      <c r="AN79" s="446">
        <f t="shared" si="19"/>
        <v>28648.686351199518</v>
      </c>
      <c r="AO79" s="206">
        <f>IF(AND($A79&gt;=SYear72,$A79&lt;=EYear72),(AM79-Data_72_15!AM19)/(1+Data_72_15!AM19%),"")</f>
        <v>15.826106762144509</v>
      </c>
      <c r="AP79" s="606">
        <f t="shared" si="20"/>
        <v>11623.504531434353</v>
      </c>
      <c r="AQ79" s="143">
        <f t="shared" si="21"/>
        <v>2.3796548080739446</v>
      </c>
      <c r="AR79" s="143">
        <f>IF(AND($A79&gt;=SYear72,$A79&lt;=EYear72),MAX($AQ$68:AQ79),"")</f>
        <v>2.3796548080739446</v>
      </c>
      <c r="AS79" s="209">
        <f t="shared" si="22"/>
        <v>0</v>
      </c>
      <c r="AZ79" s="61">
        <f t="shared" si="23"/>
        <v>0.20217055481611057</v>
      </c>
      <c r="BA79" s="61">
        <f t="shared" si="24"/>
        <v>0.21311614296744841</v>
      </c>
      <c r="BB79" s="61">
        <f t="shared" si="25"/>
        <v>0.22692791174380234</v>
      </c>
      <c r="BC79" s="61">
        <f t="shared" si="26"/>
        <v>0.1626480073429275</v>
      </c>
      <c r="BD79" s="61">
        <f t="shared" si="27"/>
        <v>0.15723151781365918</v>
      </c>
      <c r="BG79" s="61">
        <f t="shared" si="28"/>
        <v>0.1582610676214451</v>
      </c>
      <c r="BH79" s="61">
        <f t="shared" si="29"/>
        <v>0.16818672624351749</v>
      </c>
      <c r="BI79" s="61">
        <f t="shared" si="30"/>
        <v>0.18650028872664093</v>
      </c>
      <c r="BJ79" s="61">
        <f t="shared" si="31"/>
        <v>0.11994061260895417</v>
      </c>
      <c r="BK79" s="61">
        <f t="shared" si="32"/>
        <v>0.11911474207380301</v>
      </c>
    </row>
    <row r="80" spans="1:63">
      <c r="A80" s="204">
        <f t="shared" si="33"/>
        <v>1984</v>
      </c>
      <c r="B80" s="446">
        <f>IF(AND($A80&gt;=SYear72,$A80&lt;=EYear72,B$3&gt;0),IF($A80=SYear72,B$67*(1+Data_72_15!B20%),B79*(1+Data_72_15!B20%)),"")</f>
        <v>14934.217210612689</v>
      </c>
      <c r="C80" s="446" t="str">
        <f>IF(AND($A80&gt;=SYear72,$A80&lt;=EYear72,C$3&gt;0),IF($A80=SYear72,C$67*(1+Data_72_15!C20%),C79*(1+Data_72_15!C20%)),"")</f>
        <v/>
      </c>
      <c r="D80" s="446" t="str">
        <f>IF(AND($A80&gt;=SYear72,$A80&lt;=EYear72,D$3&gt;0),IF($A80=SYear72,D$67*(1+Data_72_15!D20%),D79*(1+Data_72_15!D20%)),"")</f>
        <v/>
      </c>
      <c r="E80" s="446" t="str">
        <f>IF(AND($A80&gt;=SYear72,$A80&lt;=EYear72,E$3&gt;0),IF($A80=SYear72,E$67*(1+Data_72_15!E20%),E79*(1+Data_72_15!E20%)),"")</f>
        <v/>
      </c>
      <c r="F80" s="446" t="str">
        <f>IF(AND($A80&gt;=SYear72,$A80&lt;=EYear72,F$3&gt;0),IF($A80=SYear72,F$67*(1+Data_72_15!F20%),F79*(1+Data_72_15!F20%)),"")</f>
        <v/>
      </c>
      <c r="G80" s="446" t="str">
        <f>IF(AND($A80&gt;=SYear72,$A80&lt;=EYear72,G$3&gt;0),IF($A80=SYear72,G$67*(1+Data_72_15!G20%),G79*(1+Data_72_15!G20%)),"")</f>
        <v/>
      </c>
      <c r="H80" s="446" t="str">
        <f>IF(AND($A80&gt;=SYear72,$A80&lt;=EYear72,H$3&gt;0),IF($A80=SYear72,H$67*(1+Data_72_15!H20%),H79*(1+Data_72_15!H20%)),"")</f>
        <v/>
      </c>
      <c r="I80" s="446" t="str">
        <f>IF(AND($A80&gt;=SYear72,$A80&lt;=EYear72,I$3&gt;0),IF($A80=SYear72,I$67*(1+Data_72_15!I20%),I79*(1+Data_72_15!I20%)),"")</f>
        <v/>
      </c>
      <c r="J80" s="446" t="str">
        <f>IF(AND($A80&gt;=SYear72,$A80&lt;=EYear72,J$3&gt;0),IF($A80=SYear72,J$67*(1+Data_72_15!J20%),J79*(1+Data_72_15!J20%)),"")</f>
        <v/>
      </c>
      <c r="K80" s="446" t="str">
        <f>IF(AND($A80&gt;=SYear72,$A80&lt;=EYear72,K$3&gt;0),IF($A80=SYear72,K$67*(1+Data_72_15!K20%),K79*(1+Data_72_15!K20%)),"")</f>
        <v/>
      </c>
      <c r="L80" s="446" t="str">
        <f>IF(AND($A80&gt;=SYear72,$A80&lt;=EYear72,L$3&gt;0),IF($A80=SYear72,L$67*(1+Data_72_15!L20%),L79*(1+Data_72_15!L20%)),"")</f>
        <v/>
      </c>
      <c r="M80" s="446" t="str">
        <f>IF(AND($A80&gt;=SYear72,$A80&lt;=EYear72,M$3&gt;0),IF($A80=SYear72,M$67*(1+Data_72_15!M20%),M79*(1+Data_72_15!M20%)),"")</f>
        <v/>
      </c>
      <c r="N80" s="446">
        <f>IF(AND($A80&gt;=SYear72,$A80&lt;=EYear72,N$3&gt;0),IF($A80=SYear72,N$67*(1+Data_72_15!N20%),N79*(1+Data_72_15!N20%)),"")</f>
        <v>10749.943390595774</v>
      </c>
      <c r="O80" s="446" t="str">
        <f>IF(AND($A80&gt;=SYear72,$A80&lt;=EYear72,O$3&gt;0),IF($A80=SYear72,O$67*(1+Data_72_15!O20%),O79*(1+Data_72_15!O20%)),"")</f>
        <v/>
      </c>
      <c r="P80" s="446" t="str">
        <f>IF(AND($A80&gt;=SYear72,$A80&lt;=EYear72,P$3&gt;0),IF($A80=SYear72,P$67*(1+Data_72_15!P20%),P79*(1+Data_72_15!P20%)),"")</f>
        <v/>
      </c>
      <c r="Q80" s="446" t="str">
        <f>IF(AND($A80&gt;=SYear72,$A80&lt;=EYear72,Q$3&gt;0),IF($A80=SYear72,Q$67*(1+Data_72_15!Q20%),Q79*(1+Data_72_15!Q20%)),"")</f>
        <v/>
      </c>
      <c r="R80" s="446" t="str">
        <f>IF(AND($A80&gt;=SYear72,$A80&lt;=EYear72,R$3&gt;0),IF($A80=SYear72,R$67*(1+Data_72_15!R20%),R79*(1+Data_72_15!R20%)),"")</f>
        <v/>
      </c>
      <c r="S80" s="446" t="str">
        <f>IF(AND($A80&gt;=SYear72,$A80&lt;=EYear72,S$3&gt;0),IF($A80=SYear72,S$67*(1+Data_72_15!S20%),S79*(1+Data_72_15!S20%)),"")</f>
        <v/>
      </c>
      <c r="T80" s="446">
        <f>IF(AND($A80&gt;=SYear72,$A80&lt;=EYear72,T$3&gt;0),IF($A80=SYear72,T$67*(1+Data_72_15!T20%),T79*(1+Data_72_15!T20%)),"")</f>
        <v>4951.9257771820176</v>
      </c>
      <c r="U80" s="446" t="str">
        <f>IF(AND($A80&gt;=SYear72,$A80&lt;=EYear72,U$3&gt;0),IF($A80=SYear72,U$67*(1+Data_72_15!U20%),U79*(1+Data_72_15!U20%)),"")</f>
        <v/>
      </c>
      <c r="V80" s="446" t="str">
        <f>IF(AND($A80&gt;=SYear72,$A80&lt;=EYear72,V$3&gt;0),IF($A80=SYear72,V$67*(1+Data_72_15!V20%),V79*(1+Data_72_15!V20%)),"")</f>
        <v/>
      </c>
      <c r="W80" s="446" t="str">
        <f>IF(AND($A80&gt;=SYear72,$A80&lt;=EYear72,W$3&gt;0),IF($A80=SYear72,W$67*(1+Data_72_15!W20%),W79*(1+Data_72_15!W20%)),"")</f>
        <v/>
      </c>
      <c r="X80" s="446" t="str">
        <f>IF(AND($A80&gt;=SYear72,$A80&lt;=EYear72,X$3&gt;0),IF($A80=SYear72,X$67*(1+Data_72_15!X20%),X79*(1+Data_72_15!X20%)),"")</f>
        <v/>
      </c>
      <c r="Y80" s="446" t="str">
        <f>IF(AND($A80&gt;=SYear72,$A80&lt;=EYear72,Y$3&gt;0),IF($A80=SYear72,Y$67*(1+Data_72_15!Y20%),Y79*(1+Data_72_15!Y20%)),"")</f>
        <v/>
      </c>
      <c r="Z80" s="446" t="str">
        <f>IF(AND($A80&gt;=SYear72,$A80&lt;=EYear72,Z$3&gt;0),IF($A80=SYear72,Z$67*(1+Data_72_15!Z20%),Z79*(1+Data_72_15!Z20%)),"")</f>
        <v/>
      </c>
      <c r="AA80" s="446" t="str">
        <f>IF(AND($A80&gt;=SYear72,$A80&lt;=EYear72,AA$3&gt;0),IF($A80=SYear72,AA$67*(1+Data_72_15!AA20%),AA79*(1+Data_72_15!AA20%)),"")</f>
        <v/>
      </c>
      <c r="AB80" s="446" t="str">
        <f>IF(AND($A80&gt;=SYear72,$A80&lt;=EYear72,AB$3&gt;0),IF($A80=SYear72,AB$67*(1+Data_72_15!AB20%),AB79*(1+Data_72_15!AB20%)),"")</f>
        <v/>
      </c>
      <c r="AC80" s="446" t="str">
        <f>IF(AND($A80&gt;=SYear72,$A80&lt;=EYear72,AC$3&gt;0),IF($A80=SYear72,AC$67*(1+Data_72_15!AC20%),AC79*(1+Data_72_15!AC20%)),"")</f>
        <v/>
      </c>
      <c r="AD80" s="446" t="str">
        <f>IF(AND($A80&gt;=SYear72,$A80&lt;=EYear72,AD$3&gt;0),IF($A80=SYear72,AD$67*(1+Data_72_15!AD20%),AD79*(1+Data_72_15!AD20%)),"")</f>
        <v/>
      </c>
      <c r="AE80" s="446" t="str">
        <f>IF(AND($A80&gt;=SYear72,$A80&lt;=EYear72,AE$3&gt;0),IF($A80=SYear72,AE$67*(1+Data_72_15!AE20%),AE79*(1+Data_72_15!AE20%)),"")</f>
        <v/>
      </c>
      <c r="AF80" s="446" t="str">
        <f>IF(AND($A80&gt;=SYear72,$A80&lt;=EYear72,AF$3&gt;0),IF($A80=SYear72,AF$67*(1+Data_72_15!AF20%),AF79*(1+Data_72_15!AF20%)),"")</f>
        <v/>
      </c>
      <c r="AG80" s="446" t="str">
        <f>IF(AND($A80&gt;=SYear72,$A80&lt;=EYear72,AG$3&gt;0),IF($A80=SYear72,AG$67*(1+Data_72_15!AG20%),AG79*(1+Data_72_15!AG20%)),"")</f>
        <v/>
      </c>
      <c r="AH80" s="446" t="str">
        <f>IF(AND($A80&gt;=SYear72,$A80&lt;=EYear72,AH$3&gt;0),IF($A80=SYear72,AH$67*(1+Data_72_15!AH20%),AH79*(1+Data_72_15!AH20%)),"")</f>
        <v/>
      </c>
      <c r="AI80" s="446" t="str">
        <f>IF(AND($A80&gt;=SYear72,$A80&lt;=EYear72,AI$3&gt;0),IF($A80=SYear72,AI$67*(1+Data_72_15!AI20%),AI79*(1+Data_72_15!AI20%)),"")</f>
        <v/>
      </c>
      <c r="AJ80" s="446" t="str">
        <f>IF(AND($A80&gt;=SYear72,$A80&lt;=EYear72,AJ$3&gt;0),IF($A80=SYear72,AJ$67*(1+Data_72_15!AJ20%),AJ79*(1+Data_72_15!AJ20%)),"")</f>
        <v/>
      </c>
      <c r="AK80" s="446" t="str">
        <f>IF(AND($A80&gt;=SYear72,$A80&lt;=EYear72,AK$3&gt;0),IF($A80=SYear72,AK$67*(1+Data_72_15!AK20%),AK79*(1+Data_72_15!AK20%)),"")</f>
        <v/>
      </c>
      <c r="AL80" s="446" t="str">
        <f>IF(AND($A80&gt;=SYear72,$A80&lt;=EYear72,AL$3&gt;0),IF($A80=SYear72,AL$67*(1+Data_72_15!AL20%),AL79*(1+Data_72_15!AL20%)),"")</f>
        <v/>
      </c>
      <c r="AM80" s="206">
        <f t="shared" si="18"/>
        <v>6.937141908804306</v>
      </c>
      <c r="AN80" s="446">
        <f t="shared" si="19"/>
        <v>30636.086378390479</v>
      </c>
      <c r="AO80" s="206">
        <f>IF(AND($A80&gt;=SYear72,$A80&lt;=EYear72),(AM80-Data_72_15!AM20)/(1+Data_72_15!AM20%),"")</f>
        <v>2.8749522826389109</v>
      </c>
      <c r="AP80" s="606">
        <f t="shared" si="20"/>
        <v>11957.674740283464</v>
      </c>
      <c r="AQ80" s="143">
        <f t="shared" si="21"/>
        <v>2.5447348390497186</v>
      </c>
      <c r="AR80" s="143">
        <f>IF(AND($A80&gt;=SYear72,$A80&lt;=EYear72),MAX($AQ$68:AQ80),"")</f>
        <v>2.5447348390497186</v>
      </c>
      <c r="AS80" s="209">
        <f t="shared" si="22"/>
        <v>0</v>
      </c>
      <c r="AZ80" s="61">
        <f t="shared" si="23"/>
        <v>6.9371419088043007E-2</v>
      </c>
      <c r="BA80" s="61">
        <f t="shared" si="24"/>
        <v>0.26725985820571352</v>
      </c>
      <c r="BB80" s="61">
        <f t="shared" si="25"/>
        <v>0.23284460370159699</v>
      </c>
      <c r="BC80" s="61">
        <f t="shared" si="26"/>
        <v>0.16543284786012347</v>
      </c>
      <c r="BD80" s="61">
        <f t="shared" si="27"/>
        <v>0.15668574591768114</v>
      </c>
      <c r="BG80" s="61">
        <f t="shared" si="28"/>
        <v>2.8749522826389207E-2</v>
      </c>
      <c r="BH80" s="61">
        <f t="shared" si="29"/>
        <v>0.23106618089060604</v>
      </c>
      <c r="BI80" s="61">
        <f t="shared" si="30"/>
        <v>0.1907835274009726</v>
      </c>
      <c r="BJ80" s="61">
        <f t="shared" si="31"/>
        <v>0.12375709493540876</v>
      </c>
      <c r="BK80" s="61">
        <f t="shared" si="32"/>
        <v>0.12017037605789693</v>
      </c>
    </row>
    <row r="81" spans="1:63">
      <c r="A81" s="204">
        <f t="shared" si="33"/>
        <v>1985</v>
      </c>
      <c r="B81" s="446">
        <f>IF(AND($A81&gt;=SYear72,$A81&lt;=EYear72,B$3&gt;0),IF($A81=SYear72,B$67*(1+Data_72_15!B21%),B80*(1+Data_72_15!B21%)),"")</f>
        <v>19709.528953209519</v>
      </c>
      <c r="C81" s="446" t="str">
        <f>IF(AND($A81&gt;=SYear72,$A81&lt;=EYear72,C$3&gt;0),IF($A81=SYear72,C$67*(1+Data_72_15!C21%),C80*(1+Data_72_15!C21%)),"")</f>
        <v/>
      </c>
      <c r="D81" s="446" t="str">
        <f>IF(AND($A81&gt;=SYear72,$A81&lt;=EYear72,D$3&gt;0),IF($A81=SYear72,D$67*(1+Data_72_15!D21%),D80*(1+Data_72_15!D21%)),"")</f>
        <v/>
      </c>
      <c r="E81" s="446" t="str">
        <f>IF(AND($A81&gt;=SYear72,$A81&lt;=EYear72,E$3&gt;0),IF($A81=SYear72,E$67*(1+Data_72_15!E21%),E80*(1+Data_72_15!E21%)),"")</f>
        <v/>
      </c>
      <c r="F81" s="446" t="str">
        <f>IF(AND($A81&gt;=SYear72,$A81&lt;=EYear72,F$3&gt;0),IF($A81=SYear72,F$67*(1+Data_72_15!F21%),F80*(1+Data_72_15!F21%)),"")</f>
        <v/>
      </c>
      <c r="G81" s="446" t="str">
        <f>IF(AND($A81&gt;=SYear72,$A81&lt;=EYear72,G$3&gt;0),IF($A81=SYear72,G$67*(1+Data_72_15!G21%),G80*(1+Data_72_15!G21%)),"")</f>
        <v/>
      </c>
      <c r="H81" s="446" t="str">
        <f>IF(AND($A81&gt;=SYear72,$A81&lt;=EYear72,H$3&gt;0),IF($A81=SYear72,H$67*(1+Data_72_15!H21%),H80*(1+Data_72_15!H21%)),"")</f>
        <v/>
      </c>
      <c r="I81" s="446" t="str">
        <f>IF(AND($A81&gt;=SYear72,$A81&lt;=EYear72,I$3&gt;0),IF($A81=SYear72,I$67*(1+Data_72_15!I21%),I80*(1+Data_72_15!I21%)),"")</f>
        <v/>
      </c>
      <c r="J81" s="446" t="str">
        <f>IF(AND($A81&gt;=SYear72,$A81&lt;=EYear72,J$3&gt;0),IF($A81=SYear72,J$67*(1+Data_72_15!J21%),J80*(1+Data_72_15!J21%)),"")</f>
        <v/>
      </c>
      <c r="K81" s="446" t="str">
        <f>IF(AND($A81&gt;=SYear72,$A81&lt;=EYear72,K$3&gt;0),IF($A81=SYear72,K$67*(1+Data_72_15!K21%),K80*(1+Data_72_15!K21%)),"")</f>
        <v/>
      </c>
      <c r="L81" s="446" t="str">
        <f>IF(AND($A81&gt;=SYear72,$A81&lt;=EYear72,L$3&gt;0),IF($A81=SYear72,L$67*(1+Data_72_15!L21%),L80*(1+Data_72_15!L21%)),"")</f>
        <v/>
      </c>
      <c r="M81" s="446" t="str">
        <f>IF(AND($A81&gt;=SYear72,$A81&lt;=EYear72,M$3&gt;0),IF($A81=SYear72,M$67*(1+Data_72_15!M21%),M80*(1+Data_72_15!M21%)),"")</f>
        <v/>
      </c>
      <c r="N81" s="446">
        <f>IF(AND($A81&gt;=SYear72,$A81&lt;=EYear72,N$3&gt;0),IF($A81=SYear72,N$67*(1+Data_72_15!N21%),N80*(1+Data_72_15!N21%)),"")</f>
        <v>16875.759266039044</v>
      </c>
      <c r="O81" s="446" t="str">
        <f>IF(AND($A81&gt;=SYear72,$A81&lt;=EYear72,O$3&gt;0),IF($A81=SYear72,O$67*(1+Data_72_15!O21%),O80*(1+Data_72_15!O21%)),"")</f>
        <v/>
      </c>
      <c r="P81" s="446" t="str">
        <f>IF(AND($A81&gt;=SYear72,$A81&lt;=EYear72,P$3&gt;0),IF($A81=SYear72,P$67*(1+Data_72_15!P21%),P80*(1+Data_72_15!P21%)),"")</f>
        <v/>
      </c>
      <c r="Q81" s="446" t="str">
        <f>IF(AND($A81&gt;=SYear72,$A81&lt;=EYear72,Q$3&gt;0),IF($A81=SYear72,Q$67*(1+Data_72_15!Q21%),Q80*(1+Data_72_15!Q21%)),"")</f>
        <v/>
      </c>
      <c r="R81" s="446" t="str">
        <f>IF(AND($A81&gt;=SYear72,$A81&lt;=EYear72,R$3&gt;0),IF($A81=SYear72,R$67*(1+Data_72_15!R21%),R80*(1+Data_72_15!R21%)),"")</f>
        <v/>
      </c>
      <c r="S81" s="446" t="str">
        <f>IF(AND($A81&gt;=SYear72,$A81&lt;=EYear72,S$3&gt;0),IF($A81=SYear72,S$67*(1+Data_72_15!S21%),S80*(1+Data_72_15!S21%)),"")</f>
        <v/>
      </c>
      <c r="T81" s="446">
        <f>IF(AND($A81&gt;=SYear72,$A81&lt;=EYear72,T$3&gt;0),IF($A81=SYear72,T$67*(1+Data_72_15!T21%),T80*(1+Data_72_15!T21%)),"")</f>
        <v>5959.4418057227822</v>
      </c>
      <c r="U81" s="446" t="str">
        <f>IF(AND($A81&gt;=SYear72,$A81&lt;=EYear72,U$3&gt;0),IF($A81=SYear72,U$67*(1+Data_72_15!U21%),U80*(1+Data_72_15!U21%)),"")</f>
        <v/>
      </c>
      <c r="V81" s="446" t="str">
        <f>IF(AND($A81&gt;=SYear72,$A81&lt;=EYear72,V$3&gt;0),IF($A81=SYear72,V$67*(1+Data_72_15!V21%),V80*(1+Data_72_15!V21%)),"")</f>
        <v/>
      </c>
      <c r="W81" s="446" t="str">
        <f>IF(AND($A81&gt;=SYear72,$A81&lt;=EYear72,W$3&gt;0),IF($A81=SYear72,W$67*(1+Data_72_15!W21%),W80*(1+Data_72_15!W21%)),"")</f>
        <v/>
      </c>
      <c r="X81" s="446" t="str">
        <f>IF(AND($A81&gt;=SYear72,$A81&lt;=EYear72,X$3&gt;0),IF($A81=SYear72,X$67*(1+Data_72_15!X21%),X80*(1+Data_72_15!X21%)),"")</f>
        <v/>
      </c>
      <c r="Y81" s="446" t="str">
        <f>IF(AND($A81&gt;=SYear72,$A81&lt;=EYear72,Y$3&gt;0),IF($A81=SYear72,Y$67*(1+Data_72_15!Y21%),Y80*(1+Data_72_15!Y21%)),"")</f>
        <v/>
      </c>
      <c r="Z81" s="446" t="str">
        <f>IF(AND($A81&gt;=SYear72,$A81&lt;=EYear72,Z$3&gt;0),IF($A81=SYear72,Z$67*(1+Data_72_15!Z21%),Z80*(1+Data_72_15!Z21%)),"")</f>
        <v/>
      </c>
      <c r="AA81" s="446" t="str">
        <f>IF(AND($A81&gt;=SYear72,$A81&lt;=EYear72,AA$3&gt;0),IF($A81=SYear72,AA$67*(1+Data_72_15!AA21%),AA80*(1+Data_72_15!AA21%)),"")</f>
        <v/>
      </c>
      <c r="AB81" s="446" t="str">
        <f>IF(AND($A81&gt;=SYear72,$A81&lt;=EYear72,AB$3&gt;0),IF($A81=SYear72,AB$67*(1+Data_72_15!AB21%),AB80*(1+Data_72_15!AB21%)),"")</f>
        <v/>
      </c>
      <c r="AC81" s="446" t="str">
        <f>IF(AND($A81&gt;=SYear72,$A81&lt;=EYear72,AC$3&gt;0),IF($A81=SYear72,AC$67*(1+Data_72_15!AC21%),AC80*(1+Data_72_15!AC21%)),"")</f>
        <v/>
      </c>
      <c r="AD81" s="446" t="str">
        <f>IF(AND($A81&gt;=SYear72,$A81&lt;=EYear72,AD$3&gt;0),IF($A81=SYear72,AD$67*(1+Data_72_15!AD21%),AD80*(1+Data_72_15!AD21%)),"")</f>
        <v/>
      </c>
      <c r="AE81" s="446" t="str">
        <f>IF(AND($A81&gt;=SYear72,$A81&lt;=EYear72,AE$3&gt;0),IF($A81=SYear72,AE$67*(1+Data_72_15!AE21%),AE80*(1+Data_72_15!AE21%)),"")</f>
        <v/>
      </c>
      <c r="AF81" s="446" t="str">
        <f>IF(AND($A81&gt;=SYear72,$A81&lt;=EYear72,AF$3&gt;0),IF($A81=SYear72,AF$67*(1+Data_72_15!AF21%),AF80*(1+Data_72_15!AF21%)),"")</f>
        <v/>
      </c>
      <c r="AG81" s="446" t="str">
        <f>IF(AND($A81&gt;=SYear72,$A81&lt;=EYear72,AG$3&gt;0),IF($A81=SYear72,AG$67*(1+Data_72_15!AG21%),AG80*(1+Data_72_15!AG21%)),"")</f>
        <v/>
      </c>
      <c r="AH81" s="446" t="str">
        <f>IF(AND($A81&gt;=SYear72,$A81&lt;=EYear72,AH$3&gt;0),IF($A81=SYear72,AH$67*(1+Data_72_15!AH21%),AH80*(1+Data_72_15!AH21%)),"")</f>
        <v/>
      </c>
      <c r="AI81" s="446" t="str">
        <f>IF(AND($A81&gt;=SYear72,$A81&lt;=EYear72,AI$3&gt;0),IF($A81=SYear72,AI$67*(1+Data_72_15!AI21%),AI80*(1+Data_72_15!AI21%)),"")</f>
        <v/>
      </c>
      <c r="AJ81" s="446" t="str">
        <f>IF(AND($A81&gt;=SYear72,$A81&lt;=EYear72,AJ$3&gt;0),IF($A81=SYear72,AJ$67*(1+Data_72_15!AJ21%),AJ80*(1+Data_72_15!AJ21%)),"")</f>
        <v/>
      </c>
      <c r="AK81" s="446" t="str">
        <f>IF(AND($A81&gt;=SYear72,$A81&lt;=EYear72,AK$3&gt;0),IF($A81=SYear72,AK$67*(1+Data_72_15!AK21%),AK80*(1+Data_72_15!AK21%)),"")</f>
        <v/>
      </c>
      <c r="AL81" s="446" t="str">
        <f>IF(AND($A81&gt;=SYear72,$A81&lt;=EYear72,AL$3&gt;0),IF($A81=SYear72,AL$67*(1+Data_72_15!AL21%),AL80*(1+Data_72_15!AL21%)),"")</f>
        <v/>
      </c>
      <c r="AM81" s="206">
        <f t="shared" si="18"/>
        <v>38.871295437333558</v>
      </c>
      <c r="AN81" s="446">
        <f t="shared" si="19"/>
        <v>42544.730024971344</v>
      </c>
      <c r="AO81" s="206">
        <f>IF(AND($A81&gt;=SYear72,$A81&lt;=EYear72),(AM81-Data_72_15!AM21)/(1+Data_72_15!AM21%),"")</f>
        <v>33.78908883395448</v>
      </c>
      <c r="AP81" s="606">
        <f t="shared" si="20"/>
        <v>15998.06408075318</v>
      </c>
      <c r="AQ81" s="143">
        <f t="shared" si="21"/>
        <v>3.5339062364334897</v>
      </c>
      <c r="AR81" s="143">
        <f>IF(AND($A81&gt;=SYear72,$A81&lt;=EYear72),MAX($AQ$68:AQ81),"")</f>
        <v>3.5339062364334897</v>
      </c>
      <c r="AS81" s="209">
        <f t="shared" si="22"/>
        <v>0</v>
      </c>
      <c r="AZ81" s="61">
        <f t="shared" si="23"/>
        <v>0.38871295437333564</v>
      </c>
      <c r="BA81" s="61">
        <f t="shared" si="24"/>
        <v>0.29320345957427518</v>
      </c>
      <c r="BB81" s="61">
        <f t="shared" si="25"/>
        <v>0.26471342810151643</v>
      </c>
      <c r="BC81" s="61">
        <f t="shared" si="26"/>
        <v>0.16026989710897377</v>
      </c>
      <c r="BD81" s="61">
        <f t="shared" si="27"/>
        <v>0.16825586077758437</v>
      </c>
      <c r="BG81" s="61">
        <f t="shared" si="28"/>
        <v>0.33789088833954484</v>
      </c>
      <c r="BH81" s="61">
        <f t="shared" si="29"/>
        <v>0.25431816537668173</v>
      </c>
      <c r="BI81" s="61">
        <f t="shared" si="30"/>
        <v>0.21992964945243831</v>
      </c>
      <c r="BJ81" s="61">
        <f t="shared" si="31"/>
        <v>0.1201590237821486</v>
      </c>
      <c r="BK81" s="61">
        <f t="shared" si="32"/>
        <v>0.13229846553761071</v>
      </c>
    </row>
    <row r="82" spans="1:63">
      <c r="A82" s="204">
        <f t="shared" si="33"/>
        <v>1986</v>
      </c>
      <c r="B82" s="446">
        <f>IF(AND($A82&gt;=SYear72,$A82&lt;=EYear72,B$3&gt;0),IF($A82=SYear72,B$67*(1+Data_72_15!B22%),B81*(1+Data_72_15!B22%)),"")</f>
        <v>22843.928436334485</v>
      </c>
      <c r="C82" s="446" t="str">
        <f>IF(AND($A82&gt;=SYear72,$A82&lt;=EYear72,C$3&gt;0),IF($A82=SYear72,C$67*(1+Data_72_15!C22%),C81*(1+Data_72_15!C22%)),"")</f>
        <v/>
      </c>
      <c r="D82" s="446" t="str">
        <f>IF(AND($A82&gt;=SYear72,$A82&lt;=EYear72,D$3&gt;0),IF($A82=SYear72,D$67*(1+Data_72_15!D22%),D81*(1+Data_72_15!D22%)),"")</f>
        <v/>
      </c>
      <c r="E82" s="446" t="str">
        <f>IF(AND($A82&gt;=SYear72,$A82&lt;=EYear72,E$3&gt;0),IF($A82=SYear72,E$67*(1+Data_72_15!E22%),E81*(1+Data_72_15!E22%)),"")</f>
        <v/>
      </c>
      <c r="F82" s="446" t="str">
        <f>IF(AND($A82&gt;=SYear72,$A82&lt;=EYear72,F$3&gt;0),IF($A82=SYear72,F$67*(1+Data_72_15!F22%),F81*(1+Data_72_15!F22%)),"")</f>
        <v/>
      </c>
      <c r="G82" s="446" t="str">
        <f>IF(AND($A82&gt;=SYear72,$A82&lt;=EYear72,G$3&gt;0),IF($A82=SYear72,G$67*(1+Data_72_15!G22%),G81*(1+Data_72_15!G22%)),"")</f>
        <v/>
      </c>
      <c r="H82" s="446" t="str">
        <f>IF(AND($A82&gt;=SYear72,$A82&lt;=EYear72,H$3&gt;0),IF($A82=SYear72,H$67*(1+Data_72_15!H22%),H81*(1+Data_72_15!H22%)),"")</f>
        <v/>
      </c>
      <c r="I82" s="446" t="str">
        <f>IF(AND($A82&gt;=SYear72,$A82&lt;=EYear72,I$3&gt;0),IF($A82=SYear72,I$67*(1+Data_72_15!I22%),I81*(1+Data_72_15!I22%)),"")</f>
        <v/>
      </c>
      <c r="J82" s="446" t="str">
        <f>IF(AND($A82&gt;=SYear72,$A82&lt;=EYear72,J$3&gt;0),IF($A82=SYear72,J$67*(1+Data_72_15!J22%),J81*(1+Data_72_15!J22%)),"")</f>
        <v/>
      </c>
      <c r="K82" s="446" t="str">
        <f>IF(AND($A82&gt;=SYear72,$A82&lt;=EYear72,K$3&gt;0),IF($A82=SYear72,K$67*(1+Data_72_15!K22%),K81*(1+Data_72_15!K22%)),"")</f>
        <v/>
      </c>
      <c r="L82" s="446" t="str">
        <f>IF(AND($A82&gt;=SYear72,$A82&lt;=EYear72,L$3&gt;0),IF($A82=SYear72,L$67*(1+Data_72_15!L22%),L81*(1+Data_72_15!L22%)),"")</f>
        <v/>
      </c>
      <c r="M82" s="446" t="str">
        <f>IF(AND($A82&gt;=SYear72,$A82&lt;=EYear72,M$3&gt;0),IF($A82=SYear72,M$67*(1+Data_72_15!M22%),M81*(1+Data_72_15!M22%)),"")</f>
        <v/>
      </c>
      <c r="N82" s="446">
        <f>IF(AND($A82&gt;=SYear72,$A82&lt;=EYear72,N$3&gt;0),IF($A82=SYear72,N$67*(1+Data_72_15!N22%),N81*(1+Data_72_15!N22%)),"")</f>
        <v>28427.117135229608</v>
      </c>
      <c r="O82" s="446" t="str">
        <f>IF(AND($A82&gt;=SYear72,$A82&lt;=EYear72,O$3&gt;0),IF($A82=SYear72,O$67*(1+Data_72_15!O22%),O81*(1+Data_72_15!O22%)),"")</f>
        <v/>
      </c>
      <c r="P82" s="446" t="str">
        <f>IF(AND($A82&gt;=SYear72,$A82&lt;=EYear72,P$3&gt;0),IF($A82=SYear72,P$67*(1+Data_72_15!P22%),P81*(1+Data_72_15!P22%)),"")</f>
        <v/>
      </c>
      <c r="Q82" s="446" t="str">
        <f>IF(AND($A82&gt;=SYear72,$A82&lt;=EYear72,Q$3&gt;0),IF($A82=SYear72,Q$67*(1+Data_72_15!Q22%),Q81*(1+Data_72_15!Q22%)),"")</f>
        <v/>
      </c>
      <c r="R82" s="446" t="str">
        <f>IF(AND($A82&gt;=SYear72,$A82&lt;=EYear72,R$3&gt;0),IF($A82=SYear72,R$67*(1+Data_72_15!R22%),R81*(1+Data_72_15!R22%)),"")</f>
        <v/>
      </c>
      <c r="S82" s="446" t="str">
        <f>IF(AND($A82&gt;=SYear72,$A82&lt;=EYear72,S$3&gt;0),IF($A82=SYear72,S$67*(1+Data_72_15!S22%),S81*(1+Data_72_15!S22%)),"")</f>
        <v/>
      </c>
      <c r="T82" s="446">
        <f>IF(AND($A82&gt;=SYear72,$A82&lt;=EYear72,T$3&gt;0),IF($A82=SYear72,T$67*(1+Data_72_15!T22%),T81*(1+Data_72_15!T22%)),"")</f>
        <v>7033.4104555683898</v>
      </c>
      <c r="U82" s="446" t="str">
        <f>IF(AND($A82&gt;=SYear72,$A82&lt;=EYear72,U$3&gt;0),IF($A82=SYear72,U$67*(1+Data_72_15!U22%),U81*(1+Data_72_15!U22%)),"")</f>
        <v/>
      </c>
      <c r="V82" s="446" t="str">
        <f>IF(AND($A82&gt;=SYear72,$A82&lt;=EYear72,V$3&gt;0),IF($A82=SYear72,V$67*(1+Data_72_15!V22%),V81*(1+Data_72_15!V22%)),"")</f>
        <v/>
      </c>
      <c r="W82" s="446" t="str">
        <f>IF(AND($A82&gt;=SYear72,$A82&lt;=EYear72,W$3&gt;0),IF($A82=SYear72,W$67*(1+Data_72_15!W22%),W81*(1+Data_72_15!W22%)),"")</f>
        <v/>
      </c>
      <c r="X82" s="446" t="str">
        <f>IF(AND($A82&gt;=SYear72,$A82&lt;=EYear72,X$3&gt;0),IF($A82=SYear72,X$67*(1+Data_72_15!X22%),X81*(1+Data_72_15!X22%)),"")</f>
        <v/>
      </c>
      <c r="Y82" s="446" t="str">
        <f>IF(AND($A82&gt;=SYear72,$A82&lt;=EYear72,Y$3&gt;0),IF($A82=SYear72,Y$67*(1+Data_72_15!Y22%),Y81*(1+Data_72_15!Y22%)),"")</f>
        <v/>
      </c>
      <c r="Z82" s="446" t="str">
        <f>IF(AND($A82&gt;=SYear72,$A82&lt;=EYear72,Z$3&gt;0),IF($A82=SYear72,Z$67*(1+Data_72_15!Z22%),Z81*(1+Data_72_15!Z22%)),"")</f>
        <v/>
      </c>
      <c r="AA82" s="446" t="str">
        <f>IF(AND($A82&gt;=SYear72,$A82&lt;=EYear72,AA$3&gt;0),IF($A82=SYear72,AA$67*(1+Data_72_15!AA22%),AA81*(1+Data_72_15!AA22%)),"")</f>
        <v/>
      </c>
      <c r="AB82" s="446" t="str">
        <f>IF(AND($A82&gt;=SYear72,$A82&lt;=EYear72,AB$3&gt;0),IF($A82=SYear72,AB$67*(1+Data_72_15!AB22%),AB81*(1+Data_72_15!AB22%)),"")</f>
        <v/>
      </c>
      <c r="AC82" s="446" t="str">
        <f>IF(AND($A82&gt;=SYear72,$A82&lt;=EYear72,AC$3&gt;0),IF($A82=SYear72,AC$67*(1+Data_72_15!AC22%),AC81*(1+Data_72_15!AC22%)),"")</f>
        <v/>
      </c>
      <c r="AD82" s="446" t="str">
        <f>IF(AND($A82&gt;=SYear72,$A82&lt;=EYear72,AD$3&gt;0),IF($A82=SYear72,AD$67*(1+Data_72_15!AD22%),AD81*(1+Data_72_15!AD22%)),"")</f>
        <v/>
      </c>
      <c r="AE82" s="446" t="str">
        <f>IF(AND($A82&gt;=SYear72,$A82&lt;=EYear72,AE$3&gt;0),IF($A82=SYear72,AE$67*(1+Data_72_15!AE22%),AE81*(1+Data_72_15!AE22%)),"")</f>
        <v/>
      </c>
      <c r="AF82" s="446" t="str">
        <f>IF(AND($A82&gt;=SYear72,$A82&lt;=EYear72,AF$3&gt;0),IF($A82=SYear72,AF$67*(1+Data_72_15!AF22%),AF81*(1+Data_72_15!AF22%)),"")</f>
        <v/>
      </c>
      <c r="AG82" s="446" t="str">
        <f>IF(AND($A82&gt;=SYear72,$A82&lt;=EYear72,AG$3&gt;0),IF($A82=SYear72,AG$67*(1+Data_72_15!AG22%),AG81*(1+Data_72_15!AG22%)),"")</f>
        <v/>
      </c>
      <c r="AH82" s="446" t="str">
        <f>IF(AND($A82&gt;=SYear72,$A82&lt;=EYear72,AH$3&gt;0),IF($A82=SYear72,AH$67*(1+Data_72_15!AH22%),AH81*(1+Data_72_15!AH22%)),"")</f>
        <v/>
      </c>
      <c r="AI82" s="446" t="str">
        <f>IF(AND($A82&gt;=SYear72,$A82&lt;=EYear72,AI$3&gt;0),IF($A82=SYear72,AI$67*(1+Data_72_15!AI22%),AI81*(1+Data_72_15!AI22%)),"")</f>
        <v/>
      </c>
      <c r="AJ82" s="446" t="str">
        <f>IF(AND($A82&gt;=SYear72,$A82&lt;=EYear72,AJ$3&gt;0),IF($A82=SYear72,AJ$67*(1+Data_72_15!AJ22%),AJ81*(1+Data_72_15!AJ22%)),"")</f>
        <v/>
      </c>
      <c r="AK82" s="446" t="str">
        <f>IF(AND($A82&gt;=SYear72,$A82&lt;=EYear72,AK$3&gt;0),IF($A82=SYear72,AK$67*(1+Data_72_15!AK22%),AK81*(1+Data_72_15!AK22%)),"")</f>
        <v/>
      </c>
      <c r="AL82" s="446" t="str">
        <f>IF(AND($A82&gt;=SYear72,$A82&lt;=EYear72,AL$3&gt;0),IF($A82=SYear72,AL$67*(1+Data_72_15!AL22%),AL81*(1+Data_72_15!AL22%)),"")</f>
        <v/>
      </c>
      <c r="AM82" s="206">
        <f t="shared" si="18"/>
        <v>37.04272184336596</v>
      </c>
      <c r="AN82" s="446">
        <f t="shared" si="19"/>
        <v>58304.456027132481</v>
      </c>
      <c r="AO82" s="206">
        <f>IF(AND($A82&gt;=SYear72,$A82&lt;=EYear72),(AM82-Data_72_15!AM22)/(1+Data_72_15!AM22%),"")</f>
        <v>35.554475090315847</v>
      </c>
      <c r="AP82" s="606">
        <f t="shared" si="20"/>
        <v>21686.091789277336</v>
      </c>
      <c r="AQ82" s="143">
        <f t="shared" si="21"/>
        <v>4.8429612938009097</v>
      </c>
      <c r="AR82" s="143">
        <f>IF(AND($A82&gt;=SYear72,$A82&lt;=EYear72),MAX($AQ$68:AQ82),"")</f>
        <v>4.8429612938009097</v>
      </c>
      <c r="AS82" s="209">
        <f t="shared" si="22"/>
        <v>0</v>
      </c>
      <c r="AZ82" s="61">
        <f t="shared" si="23"/>
        <v>0.37042721843365967</v>
      </c>
      <c r="BA82" s="61">
        <f t="shared" si="24"/>
        <v>0.24241554839457913</v>
      </c>
      <c r="BB82" s="61">
        <f t="shared" si="25"/>
        <v>0.1506842979718106</v>
      </c>
      <c r="BC82" s="61">
        <f t="shared" si="26"/>
        <v>0.14438046408646787</v>
      </c>
      <c r="BD82" s="61">
        <f t="shared" si="27"/>
        <v>0.13395799252060447</v>
      </c>
      <c r="BG82" s="61">
        <f t="shared" si="28"/>
        <v>0.3555447509031584</v>
      </c>
      <c r="BH82" s="61">
        <f t="shared" si="29"/>
        <v>0.20266475218085489</v>
      </c>
      <c r="BI82" s="61">
        <f t="shared" si="30"/>
        <v>0.10506798351513247</v>
      </c>
      <c r="BJ82" s="61">
        <f t="shared" si="31"/>
        <v>0.10616933147985042</v>
      </c>
      <c r="BK82" s="61">
        <f t="shared" si="32"/>
        <v>9.934758655580711E-2</v>
      </c>
    </row>
    <row r="83" spans="1:63">
      <c r="A83" s="204">
        <f t="shared" si="33"/>
        <v>1987</v>
      </c>
      <c r="B83" s="446">
        <f>IF(AND($A83&gt;=SYear72,$A83&lt;=EYear72,B$3&gt;0),IF($A83=SYear72,B$67*(1+Data_72_15!B23%),B82*(1+Data_72_15!B23%)),"")</f>
        <v>23192.847379207516</v>
      </c>
      <c r="C83" s="446" t="str">
        <f>IF(AND($A83&gt;=SYear72,$A83&lt;=EYear72,C$3&gt;0),IF($A83=SYear72,C$67*(1+Data_72_15!C23%),C82*(1+Data_72_15!C23%)),"")</f>
        <v/>
      </c>
      <c r="D83" s="446" t="str">
        <f>IF(AND($A83&gt;=SYear72,$A83&lt;=EYear72,D$3&gt;0),IF($A83=SYear72,D$67*(1+Data_72_15!D23%),D82*(1+Data_72_15!D23%)),"")</f>
        <v/>
      </c>
      <c r="E83" s="446" t="str">
        <f>IF(AND($A83&gt;=SYear72,$A83&lt;=EYear72,E$3&gt;0),IF($A83=SYear72,E$67*(1+Data_72_15!E23%),E82*(1+Data_72_15!E23%)),"")</f>
        <v/>
      </c>
      <c r="F83" s="446" t="str">
        <f>IF(AND($A83&gt;=SYear72,$A83&lt;=EYear72,F$3&gt;0),IF($A83=SYear72,F$67*(1+Data_72_15!F23%),F82*(1+Data_72_15!F23%)),"")</f>
        <v/>
      </c>
      <c r="G83" s="446" t="str">
        <f>IF(AND($A83&gt;=SYear72,$A83&lt;=EYear72,G$3&gt;0),IF($A83=SYear72,G$67*(1+Data_72_15!G23%),G82*(1+Data_72_15!G23%)),"")</f>
        <v/>
      </c>
      <c r="H83" s="446" t="str">
        <f>IF(AND($A83&gt;=SYear72,$A83&lt;=EYear72,H$3&gt;0),IF($A83=SYear72,H$67*(1+Data_72_15!H23%),H82*(1+Data_72_15!H23%)),"")</f>
        <v/>
      </c>
      <c r="I83" s="446" t="str">
        <f>IF(AND($A83&gt;=SYear72,$A83&lt;=EYear72,I$3&gt;0),IF($A83=SYear72,I$67*(1+Data_72_15!I23%),I82*(1+Data_72_15!I23%)),"")</f>
        <v/>
      </c>
      <c r="J83" s="446" t="str">
        <f>IF(AND($A83&gt;=SYear72,$A83&lt;=EYear72,J$3&gt;0),IF($A83=SYear72,J$67*(1+Data_72_15!J23%),J82*(1+Data_72_15!J23%)),"")</f>
        <v/>
      </c>
      <c r="K83" s="446" t="str">
        <f>IF(AND($A83&gt;=SYear72,$A83&lt;=EYear72,K$3&gt;0),IF($A83=SYear72,K$67*(1+Data_72_15!K23%),K82*(1+Data_72_15!K23%)),"")</f>
        <v/>
      </c>
      <c r="L83" s="446" t="str">
        <f>IF(AND($A83&gt;=SYear72,$A83&lt;=EYear72,L$3&gt;0),IF($A83=SYear72,L$67*(1+Data_72_15!L23%),L82*(1+Data_72_15!L23%)),"")</f>
        <v/>
      </c>
      <c r="M83" s="446" t="str">
        <f>IF(AND($A83&gt;=SYear72,$A83&lt;=EYear72,M$3&gt;0),IF($A83=SYear72,M$67*(1+Data_72_15!M23%),M82*(1+Data_72_15!M23%)),"")</f>
        <v/>
      </c>
      <c r="N83" s="446">
        <f>IF(AND($A83&gt;=SYear72,$A83&lt;=EYear72,N$3&gt;0),IF($A83=SYear72,N$67*(1+Data_72_15!N23%),N82*(1+Data_72_15!N23%)),"")</f>
        <v>35972.131262121526</v>
      </c>
      <c r="O83" s="446" t="str">
        <f>IF(AND($A83&gt;=SYear72,$A83&lt;=EYear72,O$3&gt;0),IF($A83=SYear72,O$67*(1+Data_72_15!O23%),O82*(1+Data_72_15!O23%)),"")</f>
        <v/>
      </c>
      <c r="P83" s="446" t="str">
        <f>IF(AND($A83&gt;=SYear72,$A83&lt;=EYear72,P$3&gt;0),IF($A83=SYear72,P$67*(1+Data_72_15!P23%),P82*(1+Data_72_15!P23%)),"")</f>
        <v/>
      </c>
      <c r="Q83" s="446" t="str">
        <f>IF(AND($A83&gt;=SYear72,$A83&lt;=EYear72,Q$3&gt;0),IF($A83=SYear72,Q$67*(1+Data_72_15!Q23%),Q82*(1+Data_72_15!Q23%)),"")</f>
        <v/>
      </c>
      <c r="R83" s="446" t="str">
        <f>IF(AND($A83&gt;=SYear72,$A83&lt;=EYear72,R$3&gt;0),IF($A83=SYear72,R$67*(1+Data_72_15!R23%),R82*(1+Data_72_15!R23%)),"")</f>
        <v/>
      </c>
      <c r="S83" s="446" t="str">
        <f>IF(AND($A83&gt;=SYear72,$A83&lt;=EYear72,S$3&gt;0),IF($A83=SYear72,S$67*(1+Data_72_15!S23%),S82*(1+Data_72_15!S23%)),"")</f>
        <v/>
      </c>
      <c r="T83" s="446">
        <f>IF(AND($A83&gt;=SYear72,$A83&lt;=EYear72,T$3&gt;0),IF($A83=SYear72,T$67*(1+Data_72_15!T23%),T82*(1+Data_72_15!T23%)),"")</f>
        <v>7092.3403270808531</v>
      </c>
      <c r="U83" s="446" t="str">
        <f>IF(AND($A83&gt;=SYear72,$A83&lt;=EYear72,U$3&gt;0),IF($A83=SYear72,U$67*(1+Data_72_15!U23%),U82*(1+Data_72_15!U23%)),"")</f>
        <v/>
      </c>
      <c r="V83" s="446" t="str">
        <f>IF(AND($A83&gt;=SYear72,$A83&lt;=EYear72,V$3&gt;0),IF($A83=SYear72,V$67*(1+Data_72_15!V23%),V82*(1+Data_72_15!V23%)),"")</f>
        <v/>
      </c>
      <c r="W83" s="446" t="str">
        <f>IF(AND($A83&gt;=SYear72,$A83&lt;=EYear72,W$3&gt;0),IF($A83=SYear72,W$67*(1+Data_72_15!W23%),W82*(1+Data_72_15!W23%)),"")</f>
        <v/>
      </c>
      <c r="X83" s="446" t="str">
        <f>IF(AND($A83&gt;=SYear72,$A83&lt;=EYear72,X$3&gt;0),IF($A83=SYear72,X$67*(1+Data_72_15!X23%),X82*(1+Data_72_15!X23%)),"")</f>
        <v/>
      </c>
      <c r="Y83" s="446" t="str">
        <f>IF(AND($A83&gt;=SYear72,$A83&lt;=EYear72,Y$3&gt;0),IF($A83=SYear72,Y$67*(1+Data_72_15!Y23%),Y82*(1+Data_72_15!Y23%)),"")</f>
        <v/>
      </c>
      <c r="Z83" s="446" t="str">
        <f>IF(AND($A83&gt;=SYear72,$A83&lt;=EYear72,Z$3&gt;0),IF($A83=SYear72,Z$67*(1+Data_72_15!Z23%),Z82*(1+Data_72_15!Z23%)),"")</f>
        <v/>
      </c>
      <c r="AA83" s="446" t="str">
        <f>IF(AND($A83&gt;=SYear72,$A83&lt;=EYear72,AA$3&gt;0),IF($A83=SYear72,AA$67*(1+Data_72_15!AA23%),AA82*(1+Data_72_15!AA23%)),"")</f>
        <v/>
      </c>
      <c r="AB83" s="446" t="str">
        <f>IF(AND($A83&gt;=SYear72,$A83&lt;=EYear72,AB$3&gt;0),IF($A83=SYear72,AB$67*(1+Data_72_15!AB23%),AB82*(1+Data_72_15!AB23%)),"")</f>
        <v/>
      </c>
      <c r="AC83" s="446" t="str">
        <f>IF(AND($A83&gt;=SYear72,$A83&lt;=EYear72,AC$3&gt;0),IF($A83=SYear72,AC$67*(1+Data_72_15!AC23%),AC82*(1+Data_72_15!AC23%)),"")</f>
        <v/>
      </c>
      <c r="AD83" s="446" t="str">
        <f>IF(AND($A83&gt;=SYear72,$A83&lt;=EYear72,AD$3&gt;0),IF($A83=SYear72,AD$67*(1+Data_72_15!AD23%),AD82*(1+Data_72_15!AD23%)),"")</f>
        <v/>
      </c>
      <c r="AE83" s="446" t="str">
        <f>IF(AND($A83&gt;=SYear72,$A83&lt;=EYear72,AE$3&gt;0),IF($A83=SYear72,AE$67*(1+Data_72_15!AE23%),AE82*(1+Data_72_15!AE23%)),"")</f>
        <v/>
      </c>
      <c r="AF83" s="446" t="str">
        <f>IF(AND($A83&gt;=SYear72,$A83&lt;=EYear72,AF$3&gt;0),IF($A83=SYear72,AF$67*(1+Data_72_15!AF23%),AF82*(1+Data_72_15!AF23%)),"")</f>
        <v/>
      </c>
      <c r="AG83" s="446" t="str">
        <f>IF(AND($A83&gt;=SYear72,$A83&lt;=EYear72,AG$3&gt;0),IF($A83=SYear72,AG$67*(1+Data_72_15!AG23%),AG82*(1+Data_72_15!AG23%)),"")</f>
        <v/>
      </c>
      <c r="AH83" s="446" t="str">
        <f>IF(AND($A83&gt;=SYear72,$A83&lt;=EYear72,AH$3&gt;0),IF($A83=SYear72,AH$67*(1+Data_72_15!AH23%),AH82*(1+Data_72_15!AH23%)),"")</f>
        <v/>
      </c>
      <c r="AI83" s="446" t="str">
        <f>IF(AND($A83&gt;=SYear72,$A83&lt;=EYear72,AI$3&gt;0),IF($A83=SYear72,AI$67*(1+Data_72_15!AI23%),AI82*(1+Data_72_15!AI23%)),"")</f>
        <v/>
      </c>
      <c r="AJ83" s="446" t="str">
        <f>IF(AND($A83&gt;=SYear72,$A83&lt;=EYear72,AJ$3&gt;0),IF($A83=SYear72,AJ$67*(1+Data_72_15!AJ23%),AJ82*(1+Data_72_15!AJ23%)),"")</f>
        <v/>
      </c>
      <c r="AK83" s="446" t="str">
        <f>IF(AND($A83&gt;=SYear72,$A83&lt;=EYear72,AK$3&gt;0),IF($A83=SYear72,AK$67*(1+Data_72_15!AK23%),AK82*(1+Data_72_15!AK23%)),"")</f>
        <v/>
      </c>
      <c r="AL83" s="446" t="str">
        <f>IF(AND($A83&gt;=SYear72,$A83&lt;=EYear72,AL$3&gt;0),IF($A83=SYear72,AL$67*(1+Data_72_15!AL23%),AL82*(1+Data_72_15!AL23%)),"")</f>
        <v/>
      </c>
      <c r="AM83" s="206">
        <f t="shared" si="18"/>
        <v>13.640231781900987</v>
      </c>
      <c r="AN83" s="446">
        <f t="shared" si="19"/>
        <v>66257.318968409891</v>
      </c>
      <c r="AO83" s="206">
        <f>IF(AND($A83&gt;=SYear72,$A83&lt;=EYear72),(AM83-Data_72_15!AM23)/(1+Data_72_15!AM23%),"")</f>
        <v>8.8149533093592574</v>
      </c>
      <c r="AP83" s="606">
        <f t="shared" si="20"/>
        <v>23597.710655126924</v>
      </c>
      <c r="AQ83" s="143">
        <f t="shared" si="21"/>
        <v>5.503552439383105</v>
      </c>
      <c r="AR83" s="143">
        <f>IF(AND($A83&gt;=SYear72,$A83&lt;=EYear72),MAX($AQ$68:AQ83),"")</f>
        <v>5.503552439383105</v>
      </c>
      <c r="AS83" s="209">
        <f t="shared" si="22"/>
        <v>0</v>
      </c>
      <c r="AZ83" s="61">
        <f t="shared" si="23"/>
        <v>0.13640231781900991</v>
      </c>
      <c r="BA83" s="61">
        <f t="shared" si="24"/>
        <v>0.19352282444909097</v>
      </c>
      <c r="BB83" s="61">
        <f t="shared" si="25"/>
        <v>0.12895320262621146</v>
      </c>
      <c r="BC83" s="61">
        <f t="shared" si="26"/>
        <v>0.12253652794953984</v>
      </c>
      <c r="BD83" s="61">
        <f t="shared" si="27"/>
        <v>0.10007563255981555</v>
      </c>
      <c r="BG83" s="61">
        <f t="shared" si="28"/>
        <v>8.8149533093592636E-2</v>
      </c>
      <c r="BH83" s="61">
        <f t="shared" si="29"/>
        <v>0.14212365332340249</v>
      </c>
      <c r="BI83" s="61">
        <f t="shared" si="30"/>
        <v>8.0029311724365781E-2</v>
      </c>
      <c r="BJ83" s="61">
        <f t="shared" si="31"/>
        <v>8.2695649231789625E-2</v>
      </c>
      <c r="BK83" s="61">
        <f t="shared" si="32"/>
        <v>6.6180970293378438E-2</v>
      </c>
    </row>
    <row r="84" spans="1:63">
      <c r="A84" s="204">
        <f t="shared" si="33"/>
        <v>1988</v>
      </c>
      <c r="B84" s="446">
        <f>IF(AND($A84&gt;=SYear72,$A84&lt;=EYear72,B$3&gt;0),IF($A84=SYear72,B$67*(1+Data_72_15!B24%),B83*(1+Data_72_15!B24%)),"")</f>
        <v>27321.11401364168</v>
      </c>
      <c r="C84" s="446" t="str">
        <f>IF(AND($A84&gt;=SYear72,$A84&lt;=EYear72,C$3&gt;0),IF($A84=SYear72,C$67*(1+Data_72_15!C24%),C83*(1+Data_72_15!C24%)),"")</f>
        <v/>
      </c>
      <c r="D84" s="446" t="str">
        <f>IF(AND($A84&gt;=SYear72,$A84&lt;=EYear72,D$3&gt;0),IF($A84=SYear72,D$67*(1+Data_72_15!D24%),D83*(1+Data_72_15!D24%)),"")</f>
        <v/>
      </c>
      <c r="E84" s="446" t="str">
        <f>IF(AND($A84&gt;=SYear72,$A84&lt;=EYear72,E$3&gt;0),IF($A84=SYear72,E$67*(1+Data_72_15!E24%),E83*(1+Data_72_15!E24%)),"")</f>
        <v/>
      </c>
      <c r="F84" s="446" t="str">
        <f>IF(AND($A84&gt;=SYear72,$A84&lt;=EYear72,F$3&gt;0),IF($A84=SYear72,F$67*(1+Data_72_15!F24%),F83*(1+Data_72_15!F24%)),"")</f>
        <v/>
      </c>
      <c r="G84" s="446" t="str">
        <f>IF(AND($A84&gt;=SYear72,$A84&lt;=EYear72,G$3&gt;0),IF($A84=SYear72,G$67*(1+Data_72_15!G24%),G83*(1+Data_72_15!G24%)),"")</f>
        <v/>
      </c>
      <c r="H84" s="446" t="str">
        <f>IF(AND($A84&gt;=SYear72,$A84&lt;=EYear72,H$3&gt;0),IF($A84=SYear72,H$67*(1+Data_72_15!H24%),H83*(1+Data_72_15!H24%)),"")</f>
        <v/>
      </c>
      <c r="I84" s="446" t="str">
        <f>IF(AND($A84&gt;=SYear72,$A84&lt;=EYear72,I$3&gt;0),IF($A84=SYear72,I$67*(1+Data_72_15!I24%),I83*(1+Data_72_15!I24%)),"")</f>
        <v/>
      </c>
      <c r="J84" s="446" t="str">
        <f>IF(AND($A84&gt;=SYear72,$A84&lt;=EYear72,J$3&gt;0),IF($A84=SYear72,J$67*(1+Data_72_15!J24%),J83*(1+Data_72_15!J24%)),"")</f>
        <v/>
      </c>
      <c r="K84" s="446" t="str">
        <f>IF(AND($A84&gt;=SYear72,$A84&lt;=EYear72,K$3&gt;0),IF($A84=SYear72,K$67*(1+Data_72_15!K24%),K83*(1+Data_72_15!K24%)),"")</f>
        <v/>
      </c>
      <c r="L84" s="446" t="str">
        <f>IF(AND($A84&gt;=SYear72,$A84&lt;=EYear72,L$3&gt;0),IF($A84=SYear72,L$67*(1+Data_72_15!L24%),L83*(1+Data_72_15!L24%)),"")</f>
        <v/>
      </c>
      <c r="M84" s="446" t="str">
        <f>IF(AND($A84&gt;=SYear72,$A84&lt;=EYear72,M$3&gt;0),IF($A84=SYear72,M$67*(1+Data_72_15!M24%),M83*(1+Data_72_15!M24%)),"")</f>
        <v/>
      </c>
      <c r="N84" s="446">
        <f>IF(AND($A84&gt;=SYear72,$A84&lt;=EYear72,N$3&gt;0),IF($A84=SYear72,N$67*(1+Data_72_15!N24%),N83*(1+Data_72_15!N24%)),"")</f>
        <v>46793.92090044685</v>
      </c>
      <c r="O84" s="446" t="str">
        <f>IF(AND($A84&gt;=SYear72,$A84&lt;=EYear72,O$3&gt;0),IF($A84=SYear72,O$67*(1+Data_72_15!O24%),O83*(1+Data_72_15!O24%)),"")</f>
        <v/>
      </c>
      <c r="P84" s="446" t="str">
        <f>IF(AND($A84&gt;=SYear72,$A84&lt;=EYear72,P$3&gt;0),IF($A84=SYear72,P$67*(1+Data_72_15!P24%),P83*(1+Data_72_15!P24%)),"")</f>
        <v/>
      </c>
      <c r="Q84" s="446" t="str">
        <f>IF(AND($A84&gt;=SYear72,$A84&lt;=EYear72,Q$3&gt;0),IF($A84=SYear72,Q$67*(1+Data_72_15!Q24%),Q83*(1+Data_72_15!Q24%)),"")</f>
        <v/>
      </c>
      <c r="R84" s="446" t="str">
        <f>IF(AND($A84&gt;=SYear72,$A84&lt;=EYear72,R$3&gt;0),IF($A84=SYear72,R$67*(1+Data_72_15!R24%),R83*(1+Data_72_15!R24%)),"")</f>
        <v/>
      </c>
      <c r="S84" s="446" t="str">
        <f>IF(AND($A84&gt;=SYear72,$A84&lt;=EYear72,S$3&gt;0),IF($A84=SYear72,S$67*(1+Data_72_15!S24%),S83*(1+Data_72_15!S24%)),"")</f>
        <v/>
      </c>
      <c r="T84" s="446">
        <f>IF(AND($A84&gt;=SYear72,$A84&lt;=EYear72,T$3&gt;0),IF($A84=SYear72,T$67*(1+Data_72_15!T24%),T83*(1+Data_72_15!T24%)),"")</f>
        <v>7476.7446603298449</v>
      </c>
      <c r="U84" s="446" t="str">
        <f>IF(AND($A84&gt;=SYear72,$A84&lt;=EYear72,U$3&gt;0),IF($A84=SYear72,U$67*(1+Data_72_15!U24%),U83*(1+Data_72_15!U24%)),"")</f>
        <v/>
      </c>
      <c r="V84" s="446" t="str">
        <f>IF(AND($A84&gt;=SYear72,$A84&lt;=EYear72,V$3&gt;0),IF($A84=SYear72,V$67*(1+Data_72_15!V24%),V83*(1+Data_72_15!V24%)),"")</f>
        <v/>
      </c>
      <c r="W84" s="446" t="str">
        <f>IF(AND($A84&gt;=SYear72,$A84&lt;=EYear72,W$3&gt;0),IF($A84=SYear72,W$67*(1+Data_72_15!W24%),W83*(1+Data_72_15!W24%)),"")</f>
        <v/>
      </c>
      <c r="X84" s="446" t="str">
        <f>IF(AND($A84&gt;=SYear72,$A84&lt;=EYear72,X$3&gt;0),IF($A84=SYear72,X$67*(1+Data_72_15!X24%),X83*(1+Data_72_15!X24%)),"")</f>
        <v/>
      </c>
      <c r="Y84" s="446" t="str">
        <f>IF(AND($A84&gt;=SYear72,$A84&lt;=EYear72,Y$3&gt;0),IF($A84=SYear72,Y$67*(1+Data_72_15!Y24%),Y83*(1+Data_72_15!Y24%)),"")</f>
        <v/>
      </c>
      <c r="Z84" s="446" t="str">
        <f>IF(AND($A84&gt;=SYear72,$A84&lt;=EYear72,Z$3&gt;0),IF($A84=SYear72,Z$67*(1+Data_72_15!Z24%),Z83*(1+Data_72_15!Z24%)),"")</f>
        <v/>
      </c>
      <c r="AA84" s="446" t="str">
        <f>IF(AND($A84&gt;=SYear72,$A84&lt;=EYear72,AA$3&gt;0),IF($A84=SYear72,AA$67*(1+Data_72_15!AA24%),AA83*(1+Data_72_15!AA24%)),"")</f>
        <v/>
      </c>
      <c r="AB84" s="446" t="str">
        <f>IF(AND($A84&gt;=SYear72,$A84&lt;=EYear72,AB$3&gt;0),IF($A84=SYear72,AB$67*(1+Data_72_15!AB24%),AB83*(1+Data_72_15!AB24%)),"")</f>
        <v/>
      </c>
      <c r="AC84" s="446" t="str">
        <f>IF(AND($A84&gt;=SYear72,$A84&lt;=EYear72,AC$3&gt;0),IF($A84=SYear72,AC$67*(1+Data_72_15!AC24%),AC83*(1+Data_72_15!AC24%)),"")</f>
        <v/>
      </c>
      <c r="AD84" s="446" t="str">
        <f>IF(AND($A84&gt;=SYear72,$A84&lt;=EYear72,AD$3&gt;0),IF($A84=SYear72,AD$67*(1+Data_72_15!AD24%),AD83*(1+Data_72_15!AD24%)),"")</f>
        <v/>
      </c>
      <c r="AE84" s="446" t="str">
        <f>IF(AND($A84&gt;=SYear72,$A84&lt;=EYear72,AE$3&gt;0),IF($A84=SYear72,AE$67*(1+Data_72_15!AE24%),AE83*(1+Data_72_15!AE24%)),"")</f>
        <v/>
      </c>
      <c r="AF84" s="446" t="str">
        <f>IF(AND($A84&gt;=SYear72,$A84&lt;=EYear72,AF$3&gt;0),IF($A84=SYear72,AF$67*(1+Data_72_15!AF24%),AF83*(1+Data_72_15!AF24%)),"")</f>
        <v/>
      </c>
      <c r="AG84" s="446" t="str">
        <f>IF(AND($A84&gt;=SYear72,$A84&lt;=EYear72,AG$3&gt;0),IF($A84=SYear72,AG$67*(1+Data_72_15!AG24%),AG83*(1+Data_72_15!AG24%)),"")</f>
        <v/>
      </c>
      <c r="AH84" s="446" t="str">
        <f>IF(AND($A84&gt;=SYear72,$A84&lt;=EYear72,AH$3&gt;0),IF($A84=SYear72,AH$67*(1+Data_72_15!AH24%),AH83*(1+Data_72_15!AH24%)),"")</f>
        <v/>
      </c>
      <c r="AI84" s="446" t="str">
        <f>IF(AND($A84&gt;=SYear72,$A84&lt;=EYear72,AI$3&gt;0),IF($A84=SYear72,AI$67*(1+Data_72_15!AI24%),AI83*(1+Data_72_15!AI24%)),"")</f>
        <v/>
      </c>
      <c r="AJ84" s="446" t="str">
        <f>IF(AND($A84&gt;=SYear72,$A84&lt;=EYear72,AJ$3&gt;0),IF($A84=SYear72,AJ$67*(1+Data_72_15!AJ24%),AJ83*(1+Data_72_15!AJ24%)),"")</f>
        <v/>
      </c>
      <c r="AK84" s="446" t="str">
        <f>IF(AND($A84&gt;=SYear72,$A84&lt;=EYear72,AK$3&gt;0),IF($A84=SYear72,AK$67*(1+Data_72_15!AK24%),AK83*(1+Data_72_15!AK24%)),"")</f>
        <v/>
      </c>
      <c r="AL84" s="446" t="str">
        <f>IF(AND($A84&gt;=SYear72,$A84&lt;=EYear72,AL$3&gt;0),IF($A84=SYear72,AL$67*(1+Data_72_15!AL24%),AL83*(1+Data_72_15!AL24%)),"")</f>
        <v/>
      </c>
      <c r="AM84" s="206">
        <f t="shared" si="18"/>
        <v>23.143798820655011</v>
      </c>
      <c r="AN84" s="446">
        <f t="shared" si="19"/>
        <v>81591.779574418368</v>
      </c>
      <c r="AO84" s="206">
        <f>IF(AND($A84&gt;=SYear72,$A84&lt;=EYear72),(AM84-Data_72_15!AM24)/(1+Data_72_15!AM24%),"")</f>
        <v>17.93190360085967</v>
      </c>
      <c r="AP84" s="606">
        <f t="shared" si="20"/>
        <v>27829.229381814079</v>
      </c>
      <c r="AQ84" s="143">
        <f t="shared" si="21"/>
        <v>6.7772835439431818</v>
      </c>
      <c r="AR84" s="143">
        <f>IF(AND($A84&gt;=SYear72,$A84&lt;=EYear72),MAX($AQ$68:AQ84),"")</f>
        <v>6.7772835439431818</v>
      </c>
      <c r="AS84" s="209">
        <f t="shared" si="22"/>
        <v>0</v>
      </c>
      <c r="AZ84" s="61">
        <f t="shared" si="23"/>
        <v>0.23143798820655004</v>
      </c>
      <c r="BA84" s="61">
        <f t="shared" si="24"/>
        <v>9.0094836587932825E-2</v>
      </c>
      <c r="BB84" s="61">
        <f t="shared" si="25"/>
        <v>0.10173578744106537</v>
      </c>
      <c r="BC84" s="61">
        <f t="shared" si="26"/>
        <v>0.12388236536629393</v>
      </c>
      <c r="BD84" s="61">
        <f t="shared" si="27"/>
        <v>7.8195279174394727E-2</v>
      </c>
      <c r="BG84" s="61">
        <f t="shared" si="28"/>
        <v>0.17931903600859678</v>
      </c>
      <c r="BH84" s="61">
        <f t="shared" si="29"/>
        <v>3.7641933659827487E-2</v>
      </c>
      <c r="BI84" s="61">
        <f t="shared" si="30"/>
        <v>5.7114766585523613E-2</v>
      </c>
      <c r="BJ84" s="61">
        <f t="shared" si="31"/>
        <v>8.6870999888920331E-2</v>
      </c>
      <c r="BK84" s="61">
        <f t="shared" si="32"/>
        <v>4.6361878233263543E-2</v>
      </c>
    </row>
    <row r="85" spans="1:63">
      <c r="A85" s="204">
        <f t="shared" si="33"/>
        <v>1989</v>
      </c>
      <c r="B85" s="446">
        <f>IF(AND($A85&gt;=SYear72,$A85&lt;=EYear72,B$3&gt;0),IF($A85=SYear72,B$67*(1+Data_72_15!B25%),B84*(1+Data_72_15!B25%)),"")</f>
        <v>35157.148810606093</v>
      </c>
      <c r="C85" s="446" t="str">
        <f>IF(AND($A85&gt;=SYear72,$A85&lt;=EYear72,C$3&gt;0),IF($A85=SYear72,C$67*(1+Data_72_15!C25%),C84*(1+Data_72_15!C25%)),"")</f>
        <v/>
      </c>
      <c r="D85" s="446" t="str">
        <f>IF(AND($A85&gt;=SYear72,$A85&lt;=EYear72,D$3&gt;0),IF($A85=SYear72,D$67*(1+Data_72_15!D25%),D84*(1+Data_72_15!D25%)),"")</f>
        <v/>
      </c>
      <c r="E85" s="446" t="str">
        <f>IF(AND($A85&gt;=SYear72,$A85&lt;=EYear72,E$3&gt;0),IF($A85=SYear72,E$67*(1+Data_72_15!E25%),E84*(1+Data_72_15!E25%)),"")</f>
        <v/>
      </c>
      <c r="F85" s="446" t="str">
        <f>IF(AND($A85&gt;=SYear72,$A85&lt;=EYear72,F$3&gt;0),IF($A85=SYear72,F$67*(1+Data_72_15!F25%),F84*(1+Data_72_15!F25%)),"")</f>
        <v/>
      </c>
      <c r="G85" s="446" t="str">
        <f>IF(AND($A85&gt;=SYear72,$A85&lt;=EYear72,G$3&gt;0),IF($A85=SYear72,G$67*(1+Data_72_15!G25%),G84*(1+Data_72_15!G25%)),"")</f>
        <v/>
      </c>
      <c r="H85" s="446" t="str">
        <f>IF(AND($A85&gt;=SYear72,$A85&lt;=EYear72,H$3&gt;0),IF($A85=SYear72,H$67*(1+Data_72_15!H25%),H84*(1+Data_72_15!H25%)),"")</f>
        <v/>
      </c>
      <c r="I85" s="446" t="str">
        <f>IF(AND($A85&gt;=SYear72,$A85&lt;=EYear72,I$3&gt;0),IF($A85=SYear72,I$67*(1+Data_72_15!I25%),I84*(1+Data_72_15!I25%)),"")</f>
        <v/>
      </c>
      <c r="J85" s="446" t="str">
        <f>IF(AND($A85&gt;=SYear72,$A85&lt;=EYear72,J$3&gt;0),IF($A85=SYear72,J$67*(1+Data_72_15!J25%),J84*(1+Data_72_15!J25%)),"")</f>
        <v/>
      </c>
      <c r="K85" s="446" t="str">
        <f>IF(AND($A85&gt;=SYear72,$A85&lt;=EYear72,K$3&gt;0),IF($A85=SYear72,K$67*(1+Data_72_15!K25%),K84*(1+Data_72_15!K25%)),"")</f>
        <v/>
      </c>
      <c r="L85" s="446" t="str">
        <f>IF(AND($A85&gt;=SYear72,$A85&lt;=EYear72,L$3&gt;0),IF($A85=SYear72,L$67*(1+Data_72_15!L25%),L84*(1+Data_72_15!L25%)),"")</f>
        <v/>
      </c>
      <c r="M85" s="446" t="str">
        <f>IF(AND($A85&gt;=SYear72,$A85&lt;=EYear72,M$3&gt;0),IF($A85=SYear72,M$67*(1+Data_72_15!M25%),M84*(1+Data_72_15!M25%)),"")</f>
        <v/>
      </c>
      <c r="N85" s="446">
        <f>IF(AND($A85&gt;=SYear72,$A85&lt;=EYear72,N$3&gt;0),IF($A85=SYear72,N$67*(1+Data_72_15!N25%),N84*(1+Data_72_15!N25%)),"")</f>
        <v>55529.844469069481</v>
      </c>
      <c r="O85" s="446" t="str">
        <f>IF(AND($A85&gt;=SYear72,$A85&lt;=EYear72,O$3&gt;0),IF($A85=SYear72,O$67*(1+Data_72_15!O25%),O84*(1+Data_72_15!O25%)),"")</f>
        <v/>
      </c>
      <c r="P85" s="446" t="str">
        <f>IF(AND($A85&gt;=SYear72,$A85&lt;=EYear72,P$3&gt;0),IF($A85=SYear72,P$67*(1+Data_72_15!P25%),P84*(1+Data_72_15!P25%)),"")</f>
        <v/>
      </c>
      <c r="Q85" s="446" t="str">
        <f>IF(AND($A85&gt;=SYear72,$A85&lt;=EYear72,Q$3&gt;0),IF($A85=SYear72,Q$67*(1+Data_72_15!Q25%),Q84*(1+Data_72_15!Q25%)),"")</f>
        <v/>
      </c>
      <c r="R85" s="446" t="str">
        <f>IF(AND($A85&gt;=SYear72,$A85&lt;=EYear72,R$3&gt;0),IF($A85=SYear72,R$67*(1+Data_72_15!R25%),R84*(1+Data_72_15!R25%)),"")</f>
        <v/>
      </c>
      <c r="S85" s="446" t="str">
        <f>IF(AND($A85&gt;=SYear72,$A85&lt;=EYear72,S$3&gt;0),IF($A85=SYear72,S$67*(1+Data_72_15!S25%),S84*(1+Data_72_15!S25%)),"")</f>
        <v/>
      </c>
      <c r="T85" s="446">
        <f>IF(AND($A85&gt;=SYear72,$A85&lt;=EYear72,T$3&gt;0),IF($A85=SYear72,T$67*(1+Data_72_15!T25%),T84*(1+Data_72_15!T25%)),"")</f>
        <v>8440.4566172196191</v>
      </c>
      <c r="U85" s="446" t="str">
        <f>IF(AND($A85&gt;=SYear72,$A85&lt;=EYear72,U$3&gt;0),IF($A85=SYear72,U$67*(1+Data_72_15!U25%),U84*(1+Data_72_15!U25%)),"")</f>
        <v/>
      </c>
      <c r="V85" s="446" t="str">
        <f>IF(AND($A85&gt;=SYear72,$A85&lt;=EYear72,V$3&gt;0),IF($A85=SYear72,V$67*(1+Data_72_15!V25%),V84*(1+Data_72_15!V25%)),"")</f>
        <v/>
      </c>
      <c r="W85" s="446" t="str">
        <f>IF(AND($A85&gt;=SYear72,$A85&lt;=EYear72,W$3&gt;0),IF($A85=SYear72,W$67*(1+Data_72_15!W25%),W84*(1+Data_72_15!W25%)),"")</f>
        <v/>
      </c>
      <c r="X85" s="446" t="str">
        <f>IF(AND($A85&gt;=SYear72,$A85&lt;=EYear72,X$3&gt;0),IF($A85=SYear72,X$67*(1+Data_72_15!X25%),X84*(1+Data_72_15!X25%)),"")</f>
        <v/>
      </c>
      <c r="Y85" s="446" t="str">
        <f>IF(AND($A85&gt;=SYear72,$A85&lt;=EYear72,Y$3&gt;0),IF($A85=SYear72,Y$67*(1+Data_72_15!Y25%),Y84*(1+Data_72_15!Y25%)),"")</f>
        <v/>
      </c>
      <c r="Z85" s="446" t="str">
        <f>IF(AND($A85&gt;=SYear72,$A85&lt;=EYear72,Z$3&gt;0),IF($A85=SYear72,Z$67*(1+Data_72_15!Z25%),Z84*(1+Data_72_15!Z25%)),"")</f>
        <v/>
      </c>
      <c r="AA85" s="446" t="str">
        <f>IF(AND($A85&gt;=SYear72,$A85&lt;=EYear72,AA$3&gt;0),IF($A85=SYear72,AA$67*(1+Data_72_15!AA25%),AA84*(1+Data_72_15!AA25%)),"")</f>
        <v/>
      </c>
      <c r="AB85" s="446" t="str">
        <f>IF(AND($A85&gt;=SYear72,$A85&lt;=EYear72,AB$3&gt;0),IF($A85=SYear72,AB$67*(1+Data_72_15!AB25%),AB84*(1+Data_72_15!AB25%)),"")</f>
        <v/>
      </c>
      <c r="AC85" s="446" t="str">
        <f>IF(AND($A85&gt;=SYear72,$A85&lt;=EYear72,AC$3&gt;0),IF($A85=SYear72,AC$67*(1+Data_72_15!AC25%),AC84*(1+Data_72_15!AC25%)),"")</f>
        <v/>
      </c>
      <c r="AD85" s="446" t="str">
        <f>IF(AND($A85&gt;=SYear72,$A85&lt;=EYear72,AD$3&gt;0),IF($A85=SYear72,AD$67*(1+Data_72_15!AD25%),AD84*(1+Data_72_15!AD25%)),"")</f>
        <v/>
      </c>
      <c r="AE85" s="446" t="str">
        <f>IF(AND($A85&gt;=SYear72,$A85&lt;=EYear72,AE$3&gt;0),IF($A85=SYear72,AE$67*(1+Data_72_15!AE25%),AE84*(1+Data_72_15!AE25%)),"")</f>
        <v/>
      </c>
      <c r="AF85" s="446" t="str">
        <f>IF(AND($A85&gt;=SYear72,$A85&lt;=EYear72,AF$3&gt;0),IF($A85=SYear72,AF$67*(1+Data_72_15!AF25%),AF84*(1+Data_72_15!AF25%)),"")</f>
        <v/>
      </c>
      <c r="AG85" s="446" t="str">
        <f>IF(AND($A85&gt;=SYear72,$A85&lt;=EYear72,AG$3&gt;0),IF($A85=SYear72,AG$67*(1+Data_72_15!AG25%),AG84*(1+Data_72_15!AG25%)),"")</f>
        <v/>
      </c>
      <c r="AH85" s="446" t="str">
        <f>IF(AND($A85&gt;=SYear72,$A85&lt;=EYear72,AH$3&gt;0),IF($A85=SYear72,AH$67*(1+Data_72_15!AH25%),AH84*(1+Data_72_15!AH25%)),"")</f>
        <v/>
      </c>
      <c r="AI85" s="446" t="str">
        <f>IF(AND($A85&gt;=SYear72,$A85&lt;=EYear72,AI$3&gt;0),IF($A85=SYear72,AI$67*(1+Data_72_15!AI25%),AI84*(1+Data_72_15!AI25%)),"")</f>
        <v/>
      </c>
      <c r="AJ85" s="446" t="str">
        <f>IF(AND($A85&gt;=SYear72,$A85&lt;=EYear72,AJ$3&gt;0),IF($A85=SYear72,AJ$67*(1+Data_72_15!AJ25%),AJ84*(1+Data_72_15!AJ25%)),"")</f>
        <v/>
      </c>
      <c r="AK85" s="446" t="str">
        <f>IF(AND($A85&gt;=SYear72,$A85&lt;=EYear72,AK$3&gt;0),IF($A85=SYear72,AK$67*(1+Data_72_15!AK25%),AK84*(1+Data_72_15!AK25%)),"")</f>
        <v/>
      </c>
      <c r="AL85" s="446" t="str">
        <f>IF(AND($A85&gt;=SYear72,$A85&lt;=EYear72,AL$3&gt;0),IF($A85=SYear72,AL$67*(1+Data_72_15!AL25%),AL84*(1+Data_72_15!AL25%)),"")</f>
        <v/>
      </c>
      <c r="AM85" s="206">
        <f t="shared" si="18"/>
        <v>21.491957172576271</v>
      </c>
      <c r="AN85" s="446">
        <f t="shared" si="19"/>
        <v>99127.449896895196</v>
      </c>
      <c r="AO85" s="206">
        <f>IF(AND($A85&gt;=SYear72,$A85&lt;=EYear72),(AM85-Data_72_15!AM25)/(1+Data_72_15!AM25%),"")</f>
        <v>16.09659666372276</v>
      </c>
      <c r="AP85" s="606">
        <f t="shared" si="20"/>
        <v>32308.788190026917</v>
      </c>
      <c r="AQ85" s="143">
        <f t="shared" si="21"/>
        <v>8.233854420671511</v>
      </c>
      <c r="AR85" s="143">
        <f>IF(AND($A85&gt;=SYear72,$A85&lt;=EYear72),MAX($AQ$68:AQ85),"")</f>
        <v>8.233854420671511</v>
      </c>
      <c r="AS85" s="209">
        <f t="shared" si="22"/>
        <v>0</v>
      </c>
      <c r="AZ85" s="61">
        <f t="shared" si="23"/>
        <v>0.21491957172576259</v>
      </c>
      <c r="BA85" s="61">
        <f t="shared" si="24"/>
        <v>9.432170694839237E-2</v>
      </c>
      <c r="BB85" s="61">
        <f t="shared" si="25"/>
        <v>0.10170715659806762</v>
      </c>
      <c r="BC85" s="61">
        <f t="shared" si="26"/>
        <v>0.12038918066697901</v>
      </c>
      <c r="BD85" s="61">
        <f t="shared" si="27"/>
        <v>8.2657525880757365E-2</v>
      </c>
      <c r="BG85" s="61">
        <f t="shared" si="28"/>
        <v>0.16096596663722762</v>
      </c>
      <c r="BH85" s="61">
        <f t="shared" si="29"/>
        <v>4.6210981369953164E-2</v>
      </c>
      <c r="BI85" s="61">
        <f t="shared" si="30"/>
        <v>6.0503424307478015E-2</v>
      </c>
      <c r="BJ85" s="61">
        <f t="shared" si="31"/>
        <v>8.6449928379064289E-2</v>
      </c>
      <c r="BK85" s="61">
        <f t="shared" si="32"/>
        <v>5.2418676530978647E-2</v>
      </c>
    </row>
    <row r="86" spans="1:63">
      <c r="A86" s="204">
        <f t="shared" si="33"/>
        <v>1990</v>
      </c>
      <c r="B86" s="446">
        <f>IF(AND($A86&gt;=SYear72,$A86&lt;=EYear72,B$3&gt;0),IF($A86=SYear72,B$67*(1+Data_72_15!B26%),B85*(1+Data_72_15!B26%)),"")</f>
        <v>32991.634103992939</v>
      </c>
      <c r="C86" s="446" t="str">
        <f>IF(AND($A86&gt;=SYear72,$A86&lt;=EYear72,C$3&gt;0),IF($A86=SYear72,C$67*(1+Data_72_15!C26%),C85*(1+Data_72_15!C26%)),"")</f>
        <v/>
      </c>
      <c r="D86" s="446" t="str">
        <f>IF(AND($A86&gt;=SYear72,$A86&lt;=EYear72,D$3&gt;0),IF($A86=SYear72,D$67*(1+Data_72_15!D26%),D85*(1+Data_72_15!D26%)),"")</f>
        <v/>
      </c>
      <c r="E86" s="446" t="str">
        <f>IF(AND($A86&gt;=SYear72,$A86&lt;=EYear72,E$3&gt;0),IF($A86=SYear72,E$67*(1+Data_72_15!E26%),E85*(1+Data_72_15!E26%)),"")</f>
        <v/>
      </c>
      <c r="F86" s="446" t="str">
        <f>IF(AND($A86&gt;=SYear72,$A86&lt;=EYear72,F$3&gt;0),IF($A86=SYear72,F$67*(1+Data_72_15!F26%),F85*(1+Data_72_15!F26%)),"")</f>
        <v/>
      </c>
      <c r="G86" s="446" t="str">
        <f>IF(AND($A86&gt;=SYear72,$A86&lt;=EYear72,G$3&gt;0),IF($A86=SYear72,G$67*(1+Data_72_15!G26%),G85*(1+Data_72_15!G26%)),"")</f>
        <v/>
      </c>
      <c r="H86" s="446" t="str">
        <f>IF(AND($A86&gt;=SYear72,$A86&lt;=EYear72,H$3&gt;0),IF($A86=SYear72,H$67*(1+Data_72_15!H26%),H85*(1+Data_72_15!H26%)),"")</f>
        <v/>
      </c>
      <c r="I86" s="446" t="str">
        <f>IF(AND($A86&gt;=SYear72,$A86&lt;=EYear72,I$3&gt;0),IF($A86=SYear72,I$67*(1+Data_72_15!I26%),I85*(1+Data_72_15!I26%)),"")</f>
        <v/>
      </c>
      <c r="J86" s="446" t="str">
        <f>IF(AND($A86&gt;=SYear72,$A86&lt;=EYear72,J$3&gt;0),IF($A86=SYear72,J$67*(1+Data_72_15!J26%),J85*(1+Data_72_15!J26%)),"")</f>
        <v/>
      </c>
      <c r="K86" s="446" t="str">
        <f>IF(AND($A86&gt;=SYear72,$A86&lt;=EYear72,K$3&gt;0),IF($A86=SYear72,K$67*(1+Data_72_15!K26%),K85*(1+Data_72_15!K26%)),"")</f>
        <v/>
      </c>
      <c r="L86" s="446" t="str">
        <f>IF(AND($A86&gt;=SYear72,$A86&lt;=EYear72,L$3&gt;0),IF($A86=SYear72,L$67*(1+Data_72_15!L26%),L85*(1+Data_72_15!L26%)),"")</f>
        <v/>
      </c>
      <c r="M86" s="446" t="str">
        <f>IF(AND($A86&gt;=SYear72,$A86&lt;=EYear72,M$3&gt;0),IF($A86=SYear72,M$67*(1+Data_72_15!M26%),M85*(1+Data_72_15!M26%)),"")</f>
        <v/>
      </c>
      <c r="N86" s="446">
        <f>IF(AND($A86&gt;=SYear72,$A86&lt;=EYear72,N$3&gt;0),IF($A86=SYear72,N$67*(1+Data_72_15!N26%),N85*(1+Data_72_15!N26%)),"")</f>
        <v>43600.513483048067</v>
      </c>
      <c r="O86" s="446" t="str">
        <f>IF(AND($A86&gt;=SYear72,$A86&lt;=EYear72,O$3&gt;0),IF($A86=SYear72,O$67*(1+Data_72_15!O26%),O85*(1+Data_72_15!O26%)),"")</f>
        <v/>
      </c>
      <c r="P86" s="446" t="str">
        <f>IF(AND($A86&gt;=SYear72,$A86&lt;=EYear72,P$3&gt;0),IF($A86=SYear72,P$67*(1+Data_72_15!P26%),P85*(1+Data_72_15!P26%)),"")</f>
        <v/>
      </c>
      <c r="Q86" s="446" t="str">
        <f>IF(AND($A86&gt;=SYear72,$A86&lt;=EYear72,Q$3&gt;0),IF($A86=SYear72,Q$67*(1+Data_72_15!Q26%),Q85*(1+Data_72_15!Q26%)),"")</f>
        <v/>
      </c>
      <c r="R86" s="446" t="str">
        <f>IF(AND($A86&gt;=SYear72,$A86&lt;=EYear72,R$3&gt;0),IF($A86=SYear72,R$67*(1+Data_72_15!R26%),R85*(1+Data_72_15!R26%)),"")</f>
        <v/>
      </c>
      <c r="S86" s="446" t="str">
        <f>IF(AND($A86&gt;=SYear72,$A86&lt;=EYear72,S$3&gt;0),IF($A86=SYear72,S$67*(1+Data_72_15!S26%),S85*(1+Data_72_15!S26%)),"")</f>
        <v/>
      </c>
      <c r="T86" s="446">
        <f>IF(AND($A86&gt;=SYear72,$A86&lt;=EYear72,T$3&gt;0),IF($A86=SYear72,T$67*(1+Data_72_15!T26%),T85*(1+Data_72_15!T26%)),"")</f>
        <v>9235.4005878436146</v>
      </c>
      <c r="U86" s="446" t="str">
        <f>IF(AND($A86&gt;=SYear72,$A86&lt;=EYear72,U$3&gt;0),IF($A86=SYear72,U$67*(1+Data_72_15!U26%),U85*(1+Data_72_15!U26%)),"")</f>
        <v/>
      </c>
      <c r="V86" s="446" t="str">
        <f>IF(AND($A86&gt;=SYear72,$A86&lt;=EYear72,V$3&gt;0),IF($A86=SYear72,V$67*(1+Data_72_15!V26%),V85*(1+Data_72_15!V26%)),"")</f>
        <v/>
      </c>
      <c r="W86" s="446" t="str">
        <f>IF(AND($A86&gt;=SYear72,$A86&lt;=EYear72,W$3&gt;0),IF($A86=SYear72,W$67*(1+Data_72_15!W26%),W85*(1+Data_72_15!W26%)),"")</f>
        <v/>
      </c>
      <c r="X86" s="446" t="str">
        <f>IF(AND($A86&gt;=SYear72,$A86&lt;=EYear72,X$3&gt;0),IF($A86=SYear72,X$67*(1+Data_72_15!X26%),X85*(1+Data_72_15!X26%)),"")</f>
        <v/>
      </c>
      <c r="Y86" s="446" t="str">
        <f>IF(AND($A86&gt;=SYear72,$A86&lt;=EYear72,Y$3&gt;0),IF($A86=SYear72,Y$67*(1+Data_72_15!Y26%),Y85*(1+Data_72_15!Y26%)),"")</f>
        <v/>
      </c>
      <c r="Z86" s="446" t="str">
        <f>IF(AND($A86&gt;=SYear72,$A86&lt;=EYear72,Z$3&gt;0),IF($A86=SYear72,Z$67*(1+Data_72_15!Z26%),Z85*(1+Data_72_15!Z26%)),"")</f>
        <v/>
      </c>
      <c r="AA86" s="446" t="str">
        <f>IF(AND($A86&gt;=SYear72,$A86&lt;=EYear72,AA$3&gt;0),IF($A86=SYear72,AA$67*(1+Data_72_15!AA26%),AA85*(1+Data_72_15!AA26%)),"")</f>
        <v/>
      </c>
      <c r="AB86" s="446" t="str">
        <f>IF(AND($A86&gt;=SYear72,$A86&lt;=EYear72,AB$3&gt;0),IF($A86=SYear72,AB$67*(1+Data_72_15!AB26%),AB85*(1+Data_72_15!AB26%)),"")</f>
        <v/>
      </c>
      <c r="AC86" s="446" t="str">
        <f>IF(AND($A86&gt;=SYear72,$A86&lt;=EYear72,AC$3&gt;0),IF($A86=SYear72,AC$67*(1+Data_72_15!AC26%),AC85*(1+Data_72_15!AC26%)),"")</f>
        <v/>
      </c>
      <c r="AD86" s="446" t="str">
        <f>IF(AND($A86&gt;=SYear72,$A86&lt;=EYear72,AD$3&gt;0),IF($A86=SYear72,AD$67*(1+Data_72_15!AD26%),AD85*(1+Data_72_15!AD26%)),"")</f>
        <v/>
      </c>
      <c r="AE86" s="446" t="str">
        <f>IF(AND($A86&gt;=SYear72,$A86&lt;=EYear72,AE$3&gt;0),IF($A86=SYear72,AE$67*(1+Data_72_15!AE26%),AE85*(1+Data_72_15!AE26%)),"")</f>
        <v/>
      </c>
      <c r="AF86" s="446" t="str">
        <f>IF(AND($A86&gt;=SYear72,$A86&lt;=EYear72,AF$3&gt;0),IF($A86=SYear72,AF$67*(1+Data_72_15!AF26%),AF85*(1+Data_72_15!AF26%)),"")</f>
        <v/>
      </c>
      <c r="AG86" s="446" t="str">
        <f>IF(AND($A86&gt;=SYear72,$A86&lt;=EYear72,AG$3&gt;0),IF($A86=SYear72,AG$67*(1+Data_72_15!AG26%),AG85*(1+Data_72_15!AG26%)),"")</f>
        <v/>
      </c>
      <c r="AH86" s="446" t="str">
        <f>IF(AND($A86&gt;=SYear72,$A86&lt;=EYear72,AH$3&gt;0),IF($A86=SYear72,AH$67*(1+Data_72_15!AH26%),AH85*(1+Data_72_15!AH26%)),"")</f>
        <v/>
      </c>
      <c r="AI86" s="446" t="str">
        <f>IF(AND($A86&gt;=SYear72,$A86&lt;=EYear72,AI$3&gt;0),IF($A86=SYear72,AI$67*(1+Data_72_15!AI26%),AI85*(1+Data_72_15!AI26%)),"")</f>
        <v/>
      </c>
      <c r="AJ86" s="446" t="str">
        <f>IF(AND($A86&gt;=SYear72,$A86&lt;=EYear72,AJ$3&gt;0),IF($A86=SYear72,AJ$67*(1+Data_72_15!AJ26%),AJ85*(1+Data_72_15!AJ26%)),"")</f>
        <v/>
      </c>
      <c r="AK86" s="446" t="str">
        <f>IF(AND($A86&gt;=SYear72,$A86&lt;=EYear72,AK$3&gt;0),IF($A86=SYear72,AK$67*(1+Data_72_15!AK26%),AK85*(1+Data_72_15!AK26%)),"")</f>
        <v/>
      </c>
      <c r="AL86" s="446" t="str">
        <f>IF(AND($A86&gt;=SYear72,$A86&lt;=EYear72,AL$3&gt;0),IF($A86=SYear72,AL$67*(1+Data_72_15!AL26%),AL85*(1+Data_72_15!AL26%)),"")</f>
        <v/>
      </c>
      <c r="AM86" s="206">
        <f t="shared" si="18"/>
        <v>-13.416971520849287</v>
      </c>
      <c r="AN86" s="446">
        <f t="shared" si="19"/>
        <v>85827.548174884621</v>
      </c>
      <c r="AO86" s="206">
        <f>IF(AND($A86&gt;=SYear72,$A86&lt;=EYear72),(AM86-Data_72_15!AM26)/(1+Data_72_15!AM26%),"")</f>
        <v>-18.399701859335554</v>
      </c>
      <c r="AP86" s="606">
        <f t="shared" si="20"/>
        <v>26364.06748869775</v>
      </c>
      <c r="AQ86" s="143">
        <f t="shared" si="21"/>
        <v>7.129120517981824</v>
      </c>
      <c r="AR86" s="143">
        <f>IF(AND($A86&gt;=SYear72,$A86&lt;=EYear72),MAX($AQ$68:AQ86),"")</f>
        <v>8.233854420671511</v>
      </c>
      <c r="AS86" s="209">
        <f t="shared" si="22"/>
        <v>0.13416971520849286</v>
      </c>
      <c r="AZ86" s="61">
        <f t="shared" si="23"/>
        <v>-0.13416971520849286</v>
      </c>
      <c r="BA86" s="61">
        <f t="shared" si="24"/>
        <v>2.7564446846521262E-2</v>
      </c>
      <c r="BB86" s="61">
        <f t="shared" si="25"/>
        <v>6.4451601623391142E-2</v>
      </c>
      <c r="BC86" s="61">
        <f t="shared" si="26"/>
        <v>0.12282193379029671</v>
      </c>
      <c r="BD86" s="61">
        <f t="shared" si="27"/>
        <v>7.8531224191713545E-2</v>
      </c>
      <c r="BG86" s="61">
        <f t="shared" si="28"/>
        <v>-0.18399701859335549</v>
      </c>
      <c r="BH86" s="61">
        <f t="shared" si="29"/>
        <v>-1.208411976212409E-2</v>
      </c>
      <c r="BI86" s="61">
        <f t="shared" si="30"/>
        <v>2.8548030719451223E-2</v>
      </c>
      <c r="BJ86" s="61">
        <f t="shared" si="31"/>
        <v>9.0872477785303829E-2</v>
      </c>
      <c r="BK86" s="61">
        <f t="shared" si="32"/>
        <v>4.9343820371894775E-2</v>
      </c>
    </row>
    <row r="87" spans="1:63">
      <c r="A87" s="204">
        <f t="shared" si="33"/>
        <v>1991</v>
      </c>
      <c r="B87" s="446">
        <f>IF(AND($A87&gt;=SYear72,$A87&lt;=EYear72,B$3&gt;0),IF($A87=SYear72,B$67*(1+Data_72_15!B27%),B86*(1+Data_72_15!B27%)),"")</f>
        <v>44364.311808004881</v>
      </c>
      <c r="C87" s="446" t="str">
        <f>IF(AND($A87&gt;=SYear72,$A87&lt;=EYear72,C$3&gt;0),IF($A87=SYear72,C$67*(1+Data_72_15!C27%),C86*(1+Data_72_15!C27%)),"")</f>
        <v/>
      </c>
      <c r="D87" s="446" t="str">
        <f>IF(AND($A87&gt;=SYear72,$A87&lt;=EYear72,D$3&gt;0),IF($A87=SYear72,D$67*(1+Data_72_15!D27%),D86*(1+Data_72_15!D27%)),"")</f>
        <v/>
      </c>
      <c r="E87" s="446" t="str">
        <f>IF(AND($A87&gt;=SYear72,$A87&lt;=EYear72,E$3&gt;0),IF($A87=SYear72,E$67*(1+Data_72_15!E27%),E86*(1+Data_72_15!E27%)),"")</f>
        <v/>
      </c>
      <c r="F87" s="446" t="str">
        <f>IF(AND($A87&gt;=SYear72,$A87&lt;=EYear72,F$3&gt;0),IF($A87=SYear72,F$67*(1+Data_72_15!F27%),F86*(1+Data_72_15!F27%)),"")</f>
        <v/>
      </c>
      <c r="G87" s="446" t="str">
        <f>IF(AND($A87&gt;=SYear72,$A87&lt;=EYear72,G$3&gt;0),IF($A87=SYear72,G$67*(1+Data_72_15!G27%),G86*(1+Data_72_15!G27%)),"")</f>
        <v/>
      </c>
      <c r="H87" s="446" t="str">
        <f>IF(AND($A87&gt;=SYear72,$A87&lt;=EYear72,H$3&gt;0),IF($A87=SYear72,H$67*(1+Data_72_15!H27%),H86*(1+Data_72_15!H27%)),"")</f>
        <v/>
      </c>
      <c r="I87" s="446" t="str">
        <f>IF(AND($A87&gt;=SYear72,$A87&lt;=EYear72,I$3&gt;0),IF($A87=SYear72,I$67*(1+Data_72_15!I27%),I86*(1+Data_72_15!I27%)),"")</f>
        <v/>
      </c>
      <c r="J87" s="446" t="str">
        <f>IF(AND($A87&gt;=SYear72,$A87&lt;=EYear72,J$3&gt;0),IF($A87=SYear72,J$67*(1+Data_72_15!J27%),J86*(1+Data_72_15!J27%)),"")</f>
        <v/>
      </c>
      <c r="K87" s="446" t="str">
        <f>IF(AND($A87&gt;=SYear72,$A87&lt;=EYear72,K$3&gt;0),IF($A87=SYear72,K$67*(1+Data_72_15!K27%),K86*(1+Data_72_15!K27%)),"")</f>
        <v/>
      </c>
      <c r="L87" s="446" t="str">
        <f>IF(AND($A87&gt;=SYear72,$A87&lt;=EYear72,L$3&gt;0),IF($A87=SYear72,L$67*(1+Data_72_15!L27%),L86*(1+Data_72_15!L27%)),"")</f>
        <v/>
      </c>
      <c r="M87" s="446" t="str">
        <f>IF(AND($A87&gt;=SYear72,$A87&lt;=EYear72,M$3&gt;0),IF($A87=SYear72,M$67*(1+Data_72_15!M27%),M86*(1+Data_72_15!M27%)),"")</f>
        <v/>
      </c>
      <c r="N87" s="446">
        <f>IF(AND($A87&gt;=SYear72,$A87&lt;=EYear72,N$3&gt;0),IF($A87=SYear72,N$67*(1+Data_72_15!N27%),N86*(1+Data_72_15!N27%)),"")</f>
        <v>52036.094768582909</v>
      </c>
      <c r="O87" s="446" t="str">
        <f>IF(AND($A87&gt;=SYear72,$A87&lt;=EYear72,O$3&gt;0),IF($A87=SYear72,O$67*(1+Data_72_15!O27%),O86*(1+Data_72_15!O27%)),"")</f>
        <v/>
      </c>
      <c r="P87" s="446" t="str">
        <f>IF(AND($A87&gt;=SYear72,$A87&lt;=EYear72,P$3&gt;0),IF($A87=SYear72,P$67*(1+Data_72_15!P27%),P86*(1+Data_72_15!P27%)),"")</f>
        <v/>
      </c>
      <c r="Q87" s="446" t="str">
        <f>IF(AND($A87&gt;=SYear72,$A87&lt;=EYear72,Q$3&gt;0),IF($A87=SYear72,Q$67*(1+Data_72_15!Q27%),Q86*(1+Data_72_15!Q27%)),"")</f>
        <v/>
      </c>
      <c r="R87" s="446" t="str">
        <f>IF(AND($A87&gt;=SYear72,$A87&lt;=EYear72,R$3&gt;0),IF($A87=SYear72,R$67*(1+Data_72_15!R27%),R86*(1+Data_72_15!R27%)),"")</f>
        <v/>
      </c>
      <c r="S87" s="446" t="str">
        <f>IF(AND($A87&gt;=SYear72,$A87&lt;=EYear72,S$3&gt;0),IF($A87=SYear72,S$67*(1+Data_72_15!S27%),S86*(1+Data_72_15!S27%)),"")</f>
        <v/>
      </c>
      <c r="T87" s="446">
        <f>IF(AND($A87&gt;=SYear72,$A87&lt;=EYear72,T$3&gt;0),IF($A87=SYear72,T$67*(1+Data_72_15!T27%),T86*(1+Data_72_15!T27%)),"")</f>
        <v>10525.132235163332</v>
      </c>
      <c r="U87" s="446" t="str">
        <f>IF(AND($A87&gt;=SYear72,$A87&lt;=EYear72,U$3&gt;0),IF($A87=SYear72,U$67*(1+Data_72_15!U27%),U86*(1+Data_72_15!U27%)),"")</f>
        <v/>
      </c>
      <c r="V87" s="446" t="str">
        <f>IF(AND($A87&gt;=SYear72,$A87&lt;=EYear72,V$3&gt;0),IF($A87=SYear72,V$67*(1+Data_72_15!V27%),V86*(1+Data_72_15!V27%)),"")</f>
        <v/>
      </c>
      <c r="W87" s="446" t="str">
        <f>IF(AND($A87&gt;=SYear72,$A87&lt;=EYear72,W$3&gt;0),IF($A87=SYear72,W$67*(1+Data_72_15!W27%),W86*(1+Data_72_15!W27%)),"")</f>
        <v/>
      </c>
      <c r="X87" s="446" t="str">
        <f>IF(AND($A87&gt;=SYear72,$A87&lt;=EYear72,X$3&gt;0),IF($A87=SYear72,X$67*(1+Data_72_15!X27%),X86*(1+Data_72_15!X27%)),"")</f>
        <v/>
      </c>
      <c r="Y87" s="446" t="str">
        <f>IF(AND($A87&gt;=SYear72,$A87&lt;=EYear72,Y$3&gt;0),IF($A87=SYear72,Y$67*(1+Data_72_15!Y27%),Y86*(1+Data_72_15!Y27%)),"")</f>
        <v/>
      </c>
      <c r="Z87" s="446" t="str">
        <f>IF(AND($A87&gt;=SYear72,$A87&lt;=EYear72,Z$3&gt;0),IF($A87=SYear72,Z$67*(1+Data_72_15!Z27%),Z86*(1+Data_72_15!Z27%)),"")</f>
        <v/>
      </c>
      <c r="AA87" s="446" t="str">
        <f>IF(AND($A87&gt;=SYear72,$A87&lt;=EYear72,AA$3&gt;0),IF($A87=SYear72,AA$67*(1+Data_72_15!AA27%),AA86*(1+Data_72_15!AA27%)),"")</f>
        <v/>
      </c>
      <c r="AB87" s="446" t="str">
        <f>IF(AND($A87&gt;=SYear72,$A87&lt;=EYear72,AB$3&gt;0),IF($A87=SYear72,AB$67*(1+Data_72_15!AB27%),AB86*(1+Data_72_15!AB27%)),"")</f>
        <v/>
      </c>
      <c r="AC87" s="446" t="str">
        <f>IF(AND($A87&gt;=SYear72,$A87&lt;=EYear72,AC$3&gt;0),IF($A87=SYear72,AC$67*(1+Data_72_15!AC27%),AC86*(1+Data_72_15!AC27%)),"")</f>
        <v/>
      </c>
      <c r="AD87" s="446" t="str">
        <f>IF(AND($A87&gt;=SYear72,$A87&lt;=EYear72,AD$3&gt;0),IF($A87=SYear72,AD$67*(1+Data_72_15!AD27%),AD86*(1+Data_72_15!AD27%)),"")</f>
        <v/>
      </c>
      <c r="AE87" s="446" t="str">
        <f>IF(AND($A87&gt;=SYear72,$A87&lt;=EYear72,AE$3&gt;0),IF($A87=SYear72,AE$67*(1+Data_72_15!AE27%),AE86*(1+Data_72_15!AE27%)),"")</f>
        <v/>
      </c>
      <c r="AF87" s="446" t="str">
        <f>IF(AND($A87&gt;=SYear72,$A87&lt;=EYear72,AF$3&gt;0),IF($A87=SYear72,AF$67*(1+Data_72_15!AF27%),AF86*(1+Data_72_15!AF27%)),"")</f>
        <v/>
      </c>
      <c r="AG87" s="446" t="str">
        <f>IF(AND($A87&gt;=SYear72,$A87&lt;=EYear72,AG$3&gt;0),IF($A87=SYear72,AG$67*(1+Data_72_15!AG27%),AG86*(1+Data_72_15!AG27%)),"")</f>
        <v/>
      </c>
      <c r="AH87" s="446" t="str">
        <f>IF(AND($A87&gt;=SYear72,$A87&lt;=EYear72,AH$3&gt;0),IF($A87=SYear72,AH$67*(1+Data_72_15!AH27%),AH86*(1+Data_72_15!AH27%)),"")</f>
        <v/>
      </c>
      <c r="AI87" s="446" t="str">
        <f>IF(AND($A87&gt;=SYear72,$A87&lt;=EYear72,AI$3&gt;0),IF($A87=SYear72,AI$67*(1+Data_72_15!AI27%),AI86*(1+Data_72_15!AI27%)),"")</f>
        <v/>
      </c>
      <c r="AJ87" s="446" t="str">
        <f>IF(AND($A87&gt;=SYear72,$A87&lt;=EYear72,AJ$3&gt;0),IF($A87=SYear72,AJ$67*(1+Data_72_15!AJ27%),AJ86*(1+Data_72_15!AJ27%)),"")</f>
        <v/>
      </c>
      <c r="AK87" s="446" t="str">
        <f>IF(AND($A87&gt;=SYear72,$A87&lt;=EYear72,AK$3&gt;0),IF($A87=SYear72,AK$67*(1+Data_72_15!AK27%),AK86*(1+Data_72_15!AK27%)),"")</f>
        <v/>
      </c>
      <c r="AL87" s="446" t="str">
        <f>IF(AND($A87&gt;=SYear72,$A87&lt;=EYear72,AL$3&gt;0),IF($A87=SYear72,AL$67*(1+Data_72_15!AL27%),AL86*(1+Data_72_15!AL27%)),"")</f>
        <v/>
      </c>
      <c r="AM87" s="206">
        <f t="shared" si="18"/>
        <v>24.581840079920074</v>
      </c>
      <c r="AN87" s="446">
        <f t="shared" si="19"/>
        <v>106925.53881175112</v>
      </c>
      <c r="AO87" s="206">
        <f>IF(AND($A87&gt;=SYear72,$A87&lt;=EYear72),(AM87-Data_72_15!AM27)/(1+Data_72_15!AM27%),"")</f>
        <v>20.877811477108811</v>
      </c>
      <c r="AP87" s="606">
        <f t="shared" si="20"/>
        <v>31868.3077966858</v>
      </c>
      <c r="AQ87" s="143">
        <f t="shared" si="21"/>
        <v>8.8815895228168866</v>
      </c>
      <c r="AR87" s="143">
        <f>IF(AND($A87&gt;=SYear72,$A87&lt;=EYear72),MAX($AQ$68:AQ87),"")</f>
        <v>8.8815895228168866</v>
      </c>
      <c r="AS87" s="209">
        <f t="shared" si="22"/>
        <v>0</v>
      </c>
      <c r="AZ87" s="61">
        <f t="shared" si="23"/>
        <v>0.24581840079920081</v>
      </c>
      <c r="BA87" s="61">
        <f t="shared" si="24"/>
        <v>0.15553609893776366</v>
      </c>
      <c r="BB87" s="61">
        <f t="shared" si="25"/>
        <v>0.13811116471395701</v>
      </c>
      <c r="BC87" s="61">
        <f t="shared" si="26"/>
        <v>0.1256862367584064</v>
      </c>
      <c r="BD87" s="61">
        <f t="shared" si="27"/>
        <v>9.546544352234787E-2</v>
      </c>
      <c r="BG87" s="61">
        <f t="shared" si="28"/>
        <v>0.2087781147710881</v>
      </c>
      <c r="BH87" s="61">
        <f t="shared" si="29"/>
        <v>0.12292231896927563</v>
      </c>
      <c r="BI87" s="61">
        <f t="shared" si="30"/>
        <v>0.1072717770850371</v>
      </c>
      <c r="BJ87" s="61">
        <f t="shared" si="31"/>
        <v>9.6498502062541291E-2</v>
      </c>
      <c r="BK87" s="61">
        <f t="shared" si="32"/>
        <v>6.7646343232829587E-2</v>
      </c>
    </row>
    <row r="88" spans="1:63">
      <c r="A88" s="204">
        <f t="shared" si="33"/>
        <v>1992</v>
      </c>
      <c r="B88" s="446">
        <f>IF(AND($A88&gt;=SYear72,$A88&lt;=EYear72,B$3&gt;0),IF($A88=SYear72,B$67*(1+Data_72_15!B28%),B87*(1+Data_72_15!B28%)),"")</f>
        <v>48629.344479574087</v>
      </c>
      <c r="C88" s="446" t="str">
        <f>IF(AND($A88&gt;=SYear72,$A88&lt;=EYear72,C$3&gt;0),IF($A88=SYear72,C$67*(1+Data_72_15!C28%),C87*(1+Data_72_15!C28%)),"")</f>
        <v/>
      </c>
      <c r="D88" s="446" t="str">
        <f>IF(AND($A88&gt;=SYear72,$A88&lt;=EYear72,D$3&gt;0),IF($A88=SYear72,D$67*(1+Data_72_15!D28%),D87*(1+Data_72_15!D28%)),"")</f>
        <v/>
      </c>
      <c r="E88" s="446" t="str">
        <f>IF(AND($A88&gt;=SYear72,$A88&lt;=EYear72,E$3&gt;0),IF($A88=SYear72,E$67*(1+Data_72_15!E28%),E87*(1+Data_72_15!E28%)),"")</f>
        <v/>
      </c>
      <c r="F88" s="446" t="str">
        <f>IF(AND($A88&gt;=SYear72,$A88&lt;=EYear72,F$3&gt;0),IF($A88=SYear72,F$67*(1+Data_72_15!F28%),F87*(1+Data_72_15!F28%)),"")</f>
        <v/>
      </c>
      <c r="G88" s="446" t="str">
        <f>IF(AND($A88&gt;=SYear72,$A88&lt;=EYear72,G$3&gt;0),IF($A88=SYear72,G$67*(1+Data_72_15!G28%),G87*(1+Data_72_15!G28%)),"")</f>
        <v/>
      </c>
      <c r="H88" s="446" t="str">
        <f>IF(AND($A88&gt;=SYear72,$A88&lt;=EYear72,H$3&gt;0),IF($A88=SYear72,H$67*(1+Data_72_15!H28%),H87*(1+Data_72_15!H28%)),"")</f>
        <v/>
      </c>
      <c r="I88" s="446" t="str">
        <f>IF(AND($A88&gt;=SYear72,$A88&lt;=EYear72,I$3&gt;0),IF($A88=SYear72,I$67*(1+Data_72_15!I28%),I87*(1+Data_72_15!I28%)),"")</f>
        <v/>
      </c>
      <c r="J88" s="446" t="str">
        <f>IF(AND($A88&gt;=SYear72,$A88&lt;=EYear72,J$3&gt;0),IF($A88=SYear72,J$67*(1+Data_72_15!J28%),J87*(1+Data_72_15!J28%)),"")</f>
        <v/>
      </c>
      <c r="K88" s="446" t="str">
        <f>IF(AND($A88&gt;=SYear72,$A88&lt;=EYear72,K$3&gt;0),IF($A88=SYear72,K$67*(1+Data_72_15!K28%),K87*(1+Data_72_15!K28%)),"")</f>
        <v/>
      </c>
      <c r="L88" s="446" t="str">
        <f>IF(AND($A88&gt;=SYear72,$A88&lt;=EYear72,L$3&gt;0),IF($A88=SYear72,L$67*(1+Data_72_15!L28%),L87*(1+Data_72_15!L28%)),"")</f>
        <v/>
      </c>
      <c r="M88" s="446" t="str">
        <f>IF(AND($A88&gt;=SYear72,$A88&lt;=EYear72,M$3&gt;0),IF($A88=SYear72,M$67*(1+Data_72_15!M28%),M87*(1+Data_72_15!M28%)),"")</f>
        <v/>
      </c>
      <c r="N88" s="446">
        <f>IF(AND($A88&gt;=SYear72,$A88&lt;=EYear72,N$3&gt;0),IF($A88=SYear72,N$67*(1+Data_72_15!N28%),N87*(1+Data_72_15!N28%)),"")</f>
        <v>47601.967355654371</v>
      </c>
      <c r="O88" s="446" t="str">
        <f>IF(AND($A88&gt;=SYear72,$A88&lt;=EYear72,O$3&gt;0),IF($A88=SYear72,O$67*(1+Data_72_15!O28%),O87*(1+Data_72_15!O28%)),"")</f>
        <v/>
      </c>
      <c r="P88" s="446" t="str">
        <f>IF(AND($A88&gt;=SYear72,$A88&lt;=EYear72,P$3&gt;0),IF($A88=SYear72,P$67*(1+Data_72_15!P28%),P87*(1+Data_72_15!P28%)),"")</f>
        <v/>
      </c>
      <c r="Q88" s="446" t="str">
        <f>IF(AND($A88&gt;=SYear72,$A88&lt;=EYear72,Q$3&gt;0),IF($A88=SYear72,Q$67*(1+Data_72_15!Q28%),Q87*(1+Data_72_15!Q28%)),"")</f>
        <v/>
      </c>
      <c r="R88" s="446" t="str">
        <f>IF(AND($A88&gt;=SYear72,$A88&lt;=EYear72,R$3&gt;0),IF($A88=SYear72,R$67*(1+Data_72_15!R28%),R87*(1+Data_72_15!R28%)),"")</f>
        <v/>
      </c>
      <c r="S88" s="446" t="str">
        <f>IF(AND($A88&gt;=SYear72,$A88&lt;=EYear72,S$3&gt;0),IF($A88=SYear72,S$67*(1+Data_72_15!S28%),S87*(1+Data_72_15!S28%)),"")</f>
        <v/>
      </c>
      <c r="T88" s="446">
        <f>IF(AND($A88&gt;=SYear72,$A88&lt;=EYear72,T$3&gt;0),IF($A88=SYear72,T$67*(1+Data_72_15!T28%),T87*(1+Data_72_15!T28%)),"")</f>
        <v>11321.344833392255</v>
      </c>
      <c r="U88" s="446" t="str">
        <f>IF(AND($A88&gt;=SYear72,$A88&lt;=EYear72,U$3&gt;0),IF($A88=SYear72,U$67*(1+Data_72_15!U28%),U87*(1+Data_72_15!U28%)),"")</f>
        <v/>
      </c>
      <c r="V88" s="446" t="str">
        <f>IF(AND($A88&gt;=SYear72,$A88&lt;=EYear72,V$3&gt;0),IF($A88=SYear72,V$67*(1+Data_72_15!V28%),V87*(1+Data_72_15!V28%)),"")</f>
        <v/>
      </c>
      <c r="W88" s="446" t="str">
        <f>IF(AND($A88&gt;=SYear72,$A88&lt;=EYear72,W$3&gt;0),IF($A88=SYear72,W$67*(1+Data_72_15!W28%),W87*(1+Data_72_15!W28%)),"")</f>
        <v/>
      </c>
      <c r="X88" s="446" t="str">
        <f>IF(AND($A88&gt;=SYear72,$A88&lt;=EYear72,X$3&gt;0),IF($A88=SYear72,X$67*(1+Data_72_15!X28%),X87*(1+Data_72_15!X28%)),"")</f>
        <v/>
      </c>
      <c r="Y88" s="446" t="str">
        <f>IF(AND($A88&gt;=SYear72,$A88&lt;=EYear72,Y$3&gt;0),IF($A88=SYear72,Y$67*(1+Data_72_15!Y28%),Y87*(1+Data_72_15!Y28%)),"")</f>
        <v/>
      </c>
      <c r="Z88" s="446" t="str">
        <f>IF(AND($A88&gt;=SYear72,$A88&lt;=EYear72,Z$3&gt;0),IF($A88=SYear72,Z$67*(1+Data_72_15!Z28%),Z87*(1+Data_72_15!Z28%)),"")</f>
        <v/>
      </c>
      <c r="AA88" s="446" t="str">
        <f>IF(AND($A88&gt;=SYear72,$A88&lt;=EYear72,AA$3&gt;0),IF($A88=SYear72,AA$67*(1+Data_72_15!AA28%),AA87*(1+Data_72_15!AA28%)),"")</f>
        <v/>
      </c>
      <c r="AB88" s="446" t="str">
        <f>IF(AND($A88&gt;=SYear72,$A88&lt;=EYear72,AB$3&gt;0),IF($A88=SYear72,AB$67*(1+Data_72_15!AB28%),AB87*(1+Data_72_15!AB28%)),"")</f>
        <v/>
      </c>
      <c r="AC88" s="446" t="str">
        <f>IF(AND($A88&gt;=SYear72,$A88&lt;=EYear72,AC$3&gt;0),IF($A88=SYear72,AC$67*(1+Data_72_15!AC28%),AC87*(1+Data_72_15!AC28%)),"")</f>
        <v/>
      </c>
      <c r="AD88" s="446" t="str">
        <f>IF(AND($A88&gt;=SYear72,$A88&lt;=EYear72,AD$3&gt;0),IF($A88=SYear72,AD$67*(1+Data_72_15!AD28%),AD87*(1+Data_72_15!AD28%)),"")</f>
        <v/>
      </c>
      <c r="AE88" s="446" t="str">
        <f>IF(AND($A88&gt;=SYear72,$A88&lt;=EYear72,AE$3&gt;0),IF($A88=SYear72,AE$67*(1+Data_72_15!AE28%),AE87*(1+Data_72_15!AE28%)),"")</f>
        <v/>
      </c>
      <c r="AF88" s="446" t="str">
        <f>IF(AND($A88&gt;=SYear72,$A88&lt;=EYear72,AF$3&gt;0),IF($A88=SYear72,AF$67*(1+Data_72_15!AF28%),AF87*(1+Data_72_15!AF28%)),"")</f>
        <v/>
      </c>
      <c r="AG88" s="446" t="str">
        <f>IF(AND($A88&gt;=SYear72,$A88&lt;=EYear72,AG$3&gt;0),IF($A88=SYear72,AG$67*(1+Data_72_15!AG28%),AG87*(1+Data_72_15!AG28%)),"")</f>
        <v/>
      </c>
      <c r="AH88" s="446" t="str">
        <f>IF(AND($A88&gt;=SYear72,$A88&lt;=EYear72,AH$3&gt;0),IF($A88=SYear72,AH$67*(1+Data_72_15!AH28%),AH87*(1+Data_72_15!AH28%)),"")</f>
        <v/>
      </c>
      <c r="AI88" s="446" t="str">
        <f>IF(AND($A88&gt;=SYear72,$A88&lt;=EYear72,AI$3&gt;0),IF($A88=SYear72,AI$67*(1+Data_72_15!AI28%),AI87*(1+Data_72_15!AI28%)),"")</f>
        <v/>
      </c>
      <c r="AJ88" s="446" t="str">
        <f>IF(AND($A88&gt;=SYear72,$A88&lt;=EYear72,AJ$3&gt;0),IF($A88=SYear72,AJ$67*(1+Data_72_15!AJ28%),AJ87*(1+Data_72_15!AJ28%)),"")</f>
        <v/>
      </c>
      <c r="AK88" s="446" t="str">
        <f>IF(AND($A88&gt;=SYear72,$A88&lt;=EYear72,AK$3&gt;0),IF($A88=SYear72,AK$67*(1+Data_72_15!AK28%),AK87*(1+Data_72_15!AK28%)),"")</f>
        <v/>
      </c>
      <c r="AL88" s="446" t="str">
        <f>IF(AND($A88&gt;=SYear72,$A88&lt;=EYear72,AL$3&gt;0),IF($A88=SYear72,AL$67*(1+Data_72_15!AL28%),AL87*(1+Data_72_15!AL28%)),"")</f>
        <v/>
      </c>
      <c r="AM88" s="206">
        <f t="shared" si="18"/>
        <v>0.58649959947705665</v>
      </c>
      <c r="AN88" s="446">
        <f t="shared" si="19"/>
        <v>107552.65666862072</v>
      </c>
      <c r="AO88" s="206">
        <f>IF(AND($A88&gt;=SYear72,$A88&lt;=EYear72),(AM88-Data_72_15!AM28)/(1+Data_72_15!AM28%),"")</f>
        <v>-2.2489196986054498</v>
      </c>
      <c r="AP88" s="606">
        <f t="shared" si="20"/>
        <v>31151.615145033917</v>
      </c>
      <c r="AQ88" s="143">
        <f t="shared" si="21"/>
        <v>8.9336800097954043</v>
      </c>
      <c r="AR88" s="143">
        <f>IF(AND($A88&gt;=SYear72,$A88&lt;=EYear72),MAX($AQ$68:AQ88),"")</f>
        <v>8.9336800097954043</v>
      </c>
      <c r="AS88" s="209">
        <f t="shared" si="22"/>
        <v>0</v>
      </c>
      <c r="AZ88" s="61">
        <f t="shared" si="23"/>
        <v>5.8649959947705277E-3</v>
      </c>
      <c r="BA88" s="61">
        <f t="shared" si="24"/>
        <v>8.2050080729713759E-2</v>
      </c>
      <c r="BB88" s="61">
        <f t="shared" si="25"/>
        <v>0.11615632397316866</v>
      </c>
      <c r="BC88" s="61">
        <f t="shared" si="26"/>
        <v>8.591503788439514E-2</v>
      </c>
      <c r="BD88" s="61">
        <f t="shared" si="27"/>
        <v>9.2176473540109605E-2</v>
      </c>
      <c r="BG88" s="61">
        <f t="shared" si="28"/>
        <v>-2.2489196986054449E-2</v>
      </c>
      <c r="BH88" s="61">
        <f t="shared" si="29"/>
        <v>5.283791645489555E-2</v>
      </c>
      <c r="BI88" s="61">
        <f t="shared" si="30"/>
        <v>8.5368569297322061E-2</v>
      </c>
      <c r="BJ88" s="61">
        <f t="shared" si="31"/>
        <v>5.9323529841903699E-2</v>
      </c>
      <c r="BK88" s="61">
        <f t="shared" si="32"/>
        <v>6.4802406910445587E-2</v>
      </c>
    </row>
    <row r="89" spans="1:63">
      <c r="A89" s="204">
        <f t="shared" si="33"/>
        <v>1993</v>
      </c>
      <c r="B89" s="446">
        <f>IF(AND($A89&gt;=SYear72,$A89&lt;=EYear72,B$3&gt;0),IF($A89=SYear72,B$67*(1+Data_72_15!B29%),B88*(1+Data_72_15!B29%)),"")</f>
        <v>53702.486636023619</v>
      </c>
      <c r="C89" s="446" t="str">
        <f>IF(AND($A89&gt;=SYear72,$A89&lt;=EYear72,C$3&gt;0),IF($A89=SYear72,C$67*(1+Data_72_15!C29%),C88*(1+Data_72_15!C29%)),"")</f>
        <v/>
      </c>
      <c r="D89" s="446" t="str">
        <f>IF(AND($A89&gt;=SYear72,$A89&lt;=EYear72,D$3&gt;0),IF($A89=SYear72,D$67*(1+Data_72_15!D29%),D88*(1+Data_72_15!D29%)),"")</f>
        <v/>
      </c>
      <c r="E89" s="446" t="str">
        <f>IF(AND($A89&gt;=SYear72,$A89&lt;=EYear72,E$3&gt;0),IF($A89=SYear72,E$67*(1+Data_72_15!E29%),E88*(1+Data_72_15!E29%)),"")</f>
        <v/>
      </c>
      <c r="F89" s="446" t="str">
        <f>IF(AND($A89&gt;=SYear72,$A89&lt;=EYear72,F$3&gt;0),IF($A89=SYear72,F$67*(1+Data_72_15!F29%),F88*(1+Data_72_15!F29%)),"")</f>
        <v/>
      </c>
      <c r="G89" s="446" t="str">
        <f>IF(AND($A89&gt;=SYear72,$A89&lt;=EYear72,G$3&gt;0),IF($A89=SYear72,G$67*(1+Data_72_15!G29%),G88*(1+Data_72_15!G29%)),"")</f>
        <v/>
      </c>
      <c r="H89" s="446" t="str">
        <f>IF(AND($A89&gt;=SYear72,$A89&lt;=EYear72,H$3&gt;0),IF($A89=SYear72,H$67*(1+Data_72_15!H29%),H88*(1+Data_72_15!H29%)),"")</f>
        <v/>
      </c>
      <c r="I89" s="446" t="str">
        <f>IF(AND($A89&gt;=SYear72,$A89&lt;=EYear72,I$3&gt;0),IF($A89=SYear72,I$67*(1+Data_72_15!I29%),I88*(1+Data_72_15!I29%)),"")</f>
        <v/>
      </c>
      <c r="J89" s="446" t="str">
        <f>IF(AND($A89&gt;=SYear72,$A89&lt;=EYear72,J$3&gt;0),IF($A89=SYear72,J$67*(1+Data_72_15!J29%),J88*(1+Data_72_15!J29%)),"")</f>
        <v/>
      </c>
      <c r="K89" s="446" t="str">
        <f>IF(AND($A89&gt;=SYear72,$A89&lt;=EYear72,K$3&gt;0),IF($A89=SYear72,K$67*(1+Data_72_15!K29%),K88*(1+Data_72_15!K29%)),"")</f>
        <v/>
      </c>
      <c r="L89" s="446" t="str">
        <f>IF(AND($A89&gt;=SYear72,$A89&lt;=EYear72,L$3&gt;0),IF($A89=SYear72,L$67*(1+Data_72_15!L29%),L88*(1+Data_72_15!L29%)),"")</f>
        <v/>
      </c>
      <c r="M89" s="446" t="str">
        <f>IF(AND($A89&gt;=SYear72,$A89&lt;=EYear72,M$3&gt;0),IF($A89=SYear72,M$67*(1+Data_72_15!M29%),M88*(1+Data_72_15!M29%)),"")</f>
        <v/>
      </c>
      <c r="N89" s="446">
        <f>IF(AND($A89&gt;=SYear72,$A89&lt;=EYear72,N$3&gt;0),IF($A89=SYear72,N$67*(1+Data_72_15!N29%),N88*(1+Data_72_15!N29%)),"")</f>
        <v>66109.357677077962</v>
      </c>
      <c r="O89" s="446" t="str">
        <f>IF(AND($A89&gt;=SYear72,$A89&lt;=EYear72,O$3&gt;0),IF($A89=SYear72,O$67*(1+Data_72_15!O29%),O88*(1+Data_72_15!O29%)),"")</f>
        <v/>
      </c>
      <c r="P89" s="446" t="str">
        <f>IF(AND($A89&gt;=SYear72,$A89&lt;=EYear72,P$3&gt;0),IF($A89=SYear72,P$67*(1+Data_72_15!P29%),P88*(1+Data_72_15!P29%)),"")</f>
        <v/>
      </c>
      <c r="Q89" s="446" t="str">
        <f>IF(AND($A89&gt;=SYear72,$A89&lt;=EYear72,Q$3&gt;0),IF($A89=SYear72,Q$67*(1+Data_72_15!Q29%),Q88*(1+Data_72_15!Q29%)),"")</f>
        <v/>
      </c>
      <c r="R89" s="446" t="str">
        <f>IF(AND($A89&gt;=SYear72,$A89&lt;=EYear72,R$3&gt;0),IF($A89=SYear72,R$67*(1+Data_72_15!R29%),R88*(1+Data_72_15!R29%)),"")</f>
        <v/>
      </c>
      <c r="S89" s="446" t="str">
        <f>IF(AND($A89&gt;=SYear72,$A89&lt;=EYear72,S$3&gt;0),IF($A89=SYear72,S$67*(1+Data_72_15!S29%),S88*(1+Data_72_15!S29%)),"")</f>
        <v/>
      </c>
      <c r="T89" s="446">
        <f>IF(AND($A89&gt;=SYear72,$A89&lt;=EYear72,T$3&gt;0),IF($A89=SYear72,T$67*(1+Data_72_15!T29%),T88*(1+Data_72_15!T29%)),"")</f>
        <v>12615.374547848991</v>
      </c>
      <c r="U89" s="446" t="str">
        <f>IF(AND($A89&gt;=SYear72,$A89&lt;=EYear72,U$3&gt;0),IF($A89=SYear72,U$67*(1+Data_72_15!U29%),U88*(1+Data_72_15!U29%)),"")</f>
        <v/>
      </c>
      <c r="V89" s="446" t="str">
        <f>IF(AND($A89&gt;=SYear72,$A89&lt;=EYear72,V$3&gt;0),IF($A89=SYear72,V$67*(1+Data_72_15!V29%),V88*(1+Data_72_15!V29%)),"")</f>
        <v/>
      </c>
      <c r="W89" s="446" t="str">
        <f>IF(AND($A89&gt;=SYear72,$A89&lt;=EYear72,W$3&gt;0),IF($A89=SYear72,W$67*(1+Data_72_15!W29%),W88*(1+Data_72_15!W29%)),"")</f>
        <v/>
      </c>
      <c r="X89" s="446" t="str">
        <f>IF(AND($A89&gt;=SYear72,$A89&lt;=EYear72,X$3&gt;0),IF($A89=SYear72,X$67*(1+Data_72_15!X29%),X88*(1+Data_72_15!X29%)),"")</f>
        <v/>
      </c>
      <c r="Y89" s="446" t="str">
        <f>IF(AND($A89&gt;=SYear72,$A89&lt;=EYear72,Y$3&gt;0),IF($A89=SYear72,Y$67*(1+Data_72_15!Y29%),Y88*(1+Data_72_15!Y29%)),"")</f>
        <v/>
      </c>
      <c r="Z89" s="446" t="str">
        <f>IF(AND($A89&gt;=SYear72,$A89&lt;=EYear72,Z$3&gt;0),IF($A89=SYear72,Z$67*(1+Data_72_15!Z29%),Z88*(1+Data_72_15!Z29%)),"")</f>
        <v/>
      </c>
      <c r="AA89" s="446" t="str">
        <f>IF(AND($A89&gt;=SYear72,$A89&lt;=EYear72,AA$3&gt;0),IF($A89=SYear72,AA$67*(1+Data_72_15!AA29%),AA88*(1+Data_72_15!AA29%)),"")</f>
        <v/>
      </c>
      <c r="AB89" s="446" t="str">
        <f>IF(AND($A89&gt;=SYear72,$A89&lt;=EYear72,AB$3&gt;0),IF($A89=SYear72,AB$67*(1+Data_72_15!AB29%),AB88*(1+Data_72_15!AB29%)),"")</f>
        <v/>
      </c>
      <c r="AC89" s="446" t="str">
        <f>IF(AND($A89&gt;=SYear72,$A89&lt;=EYear72,AC$3&gt;0),IF($A89=SYear72,AC$67*(1+Data_72_15!AC29%),AC88*(1+Data_72_15!AC29%)),"")</f>
        <v/>
      </c>
      <c r="AD89" s="446" t="str">
        <f>IF(AND($A89&gt;=SYear72,$A89&lt;=EYear72,AD$3&gt;0),IF($A89=SYear72,AD$67*(1+Data_72_15!AD29%),AD88*(1+Data_72_15!AD29%)),"")</f>
        <v/>
      </c>
      <c r="AE89" s="446" t="str">
        <f>IF(AND($A89&gt;=SYear72,$A89&lt;=EYear72,AE$3&gt;0),IF($A89=SYear72,AE$67*(1+Data_72_15!AE29%),AE88*(1+Data_72_15!AE29%)),"")</f>
        <v/>
      </c>
      <c r="AF89" s="446" t="str">
        <f>IF(AND($A89&gt;=SYear72,$A89&lt;=EYear72,AF$3&gt;0),IF($A89=SYear72,AF$67*(1+Data_72_15!AF29%),AF88*(1+Data_72_15!AF29%)),"")</f>
        <v/>
      </c>
      <c r="AG89" s="446" t="str">
        <f>IF(AND($A89&gt;=SYear72,$A89&lt;=EYear72,AG$3&gt;0),IF($A89=SYear72,AG$67*(1+Data_72_15!AG29%),AG88*(1+Data_72_15!AG29%)),"")</f>
        <v/>
      </c>
      <c r="AH89" s="446" t="str">
        <f>IF(AND($A89&gt;=SYear72,$A89&lt;=EYear72,AH$3&gt;0),IF($A89=SYear72,AH$67*(1+Data_72_15!AH29%),AH88*(1+Data_72_15!AH29%)),"")</f>
        <v/>
      </c>
      <c r="AI89" s="446" t="str">
        <f>IF(AND($A89&gt;=SYear72,$A89&lt;=EYear72,AI$3&gt;0),IF($A89=SYear72,AI$67*(1+Data_72_15!AI29%),AI88*(1+Data_72_15!AI29%)),"")</f>
        <v/>
      </c>
      <c r="AJ89" s="446" t="str">
        <f>IF(AND($A89&gt;=SYear72,$A89&lt;=EYear72,AJ$3&gt;0),IF($A89=SYear72,AJ$67*(1+Data_72_15!AJ29%),AJ88*(1+Data_72_15!AJ29%)),"")</f>
        <v/>
      </c>
      <c r="AK89" s="446" t="str">
        <f>IF(AND($A89&gt;=SYear72,$A89&lt;=EYear72,AK$3&gt;0),IF($A89=SYear72,AK$67*(1+Data_72_15!AK29%),AK88*(1+Data_72_15!AK29%)),"")</f>
        <v/>
      </c>
      <c r="AL89" s="446" t="str">
        <f>IF(AND($A89&gt;=SYear72,$A89&lt;=EYear72,AL$3&gt;0),IF($A89=SYear72,AL$67*(1+Data_72_15!AL29%),AL88*(1+Data_72_15!AL29%)),"")</f>
        <v/>
      </c>
      <c r="AM89" s="206">
        <f t="shared" si="18"/>
        <v>23.127798943145212</v>
      </c>
      <c r="AN89" s="446">
        <f t="shared" si="19"/>
        <v>132427.21886095058</v>
      </c>
      <c r="AO89" s="206">
        <f>IF(AND($A89&gt;=SYear72,$A89&lt;=EYear72),(AM89-Data_72_15!AM29)/(1+Data_72_15!AM29%),"")</f>
        <v>19.83425699610634</v>
      </c>
      <c r="AP89" s="606">
        <f t="shared" si="20"/>
        <v>37330.306551337933</v>
      </c>
      <c r="AQ89" s="143">
        <f t="shared" si="21"/>
        <v>10.999843560684841</v>
      </c>
      <c r="AR89" s="143">
        <f>IF(AND($A89&gt;=SYear72,$A89&lt;=EYear72),MAX($AQ$68:AQ89),"")</f>
        <v>10.999843560684841</v>
      </c>
      <c r="AS89" s="209">
        <f t="shared" si="22"/>
        <v>0</v>
      </c>
      <c r="AZ89" s="61">
        <f t="shared" si="23"/>
        <v>0.23127798943145206</v>
      </c>
      <c r="BA89" s="61">
        <f t="shared" si="24"/>
        <v>0.15073766290592383</v>
      </c>
      <c r="BB89" s="61">
        <f t="shared" si="25"/>
        <v>0.14647412345122079</v>
      </c>
      <c r="BC89" s="61">
        <f t="shared" si="26"/>
        <v>6.6614321196140969E-2</v>
      </c>
      <c r="BD89" s="61">
        <f t="shared" si="27"/>
        <v>9.8802207795286145E-2</v>
      </c>
      <c r="BG89" s="61">
        <f t="shared" si="28"/>
        <v>0.19834256996106348</v>
      </c>
      <c r="BH89" s="61">
        <f t="shared" si="29"/>
        <v>0.12098809246267783</v>
      </c>
      <c r="BI89" s="61">
        <f t="shared" si="30"/>
        <v>0.1174648276034389</v>
      </c>
      <c r="BJ89" s="61">
        <f t="shared" si="31"/>
        <v>4.1026520435780478E-2</v>
      </c>
      <c r="BK89" s="61">
        <f t="shared" si="32"/>
        <v>7.0447651802318045E-2</v>
      </c>
    </row>
    <row r="90" spans="1:63">
      <c r="A90" s="204">
        <f t="shared" si="33"/>
        <v>1994</v>
      </c>
      <c r="B90" s="446">
        <f>IF(AND($A90&gt;=SYear72,$A90&lt;=EYear72,B$3&gt;0),IF($A90=SYear72,B$67*(1+Data_72_15!B30%),B89*(1+Data_72_15!B30%)),"")</f>
        <v>53611.192408742376</v>
      </c>
      <c r="C90" s="446" t="str">
        <f>IF(AND($A90&gt;=SYear72,$A90&lt;=EYear72,C$3&gt;0),IF($A90=SYear72,C$67*(1+Data_72_15!C30%),C89*(1+Data_72_15!C30%)),"")</f>
        <v/>
      </c>
      <c r="D90" s="446" t="str">
        <f>IF(AND($A90&gt;=SYear72,$A90&lt;=EYear72,D$3&gt;0),IF($A90=SYear72,D$67*(1+Data_72_15!D30%),D89*(1+Data_72_15!D30%)),"")</f>
        <v/>
      </c>
      <c r="E90" s="446" t="str">
        <f>IF(AND($A90&gt;=SYear72,$A90&lt;=EYear72,E$3&gt;0),IF($A90=SYear72,E$67*(1+Data_72_15!E30%),E89*(1+Data_72_15!E30%)),"")</f>
        <v/>
      </c>
      <c r="F90" s="446" t="str">
        <f>IF(AND($A90&gt;=SYear72,$A90&lt;=EYear72,F$3&gt;0),IF($A90=SYear72,F$67*(1+Data_72_15!F30%),F89*(1+Data_72_15!F30%)),"")</f>
        <v/>
      </c>
      <c r="G90" s="446" t="str">
        <f>IF(AND($A90&gt;=SYear72,$A90&lt;=EYear72,G$3&gt;0),IF($A90=SYear72,G$67*(1+Data_72_15!G30%),G89*(1+Data_72_15!G30%)),"")</f>
        <v/>
      </c>
      <c r="H90" s="446" t="str">
        <f>IF(AND($A90&gt;=SYear72,$A90&lt;=EYear72,H$3&gt;0),IF($A90=SYear72,H$67*(1+Data_72_15!H30%),H89*(1+Data_72_15!H30%)),"")</f>
        <v/>
      </c>
      <c r="I90" s="446" t="str">
        <f>IF(AND($A90&gt;=SYear72,$A90&lt;=EYear72,I$3&gt;0),IF($A90=SYear72,I$67*(1+Data_72_15!I30%),I89*(1+Data_72_15!I30%)),"")</f>
        <v/>
      </c>
      <c r="J90" s="446" t="str">
        <f>IF(AND($A90&gt;=SYear72,$A90&lt;=EYear72,J$3&gt;0),IF($A90=SYear72,J$67*(1+Data_72_15!J30%),J89*(1+Data_72_15!J30%)),"")</f>
        <v/>
      </c>
      <c r="K90" s="446" t="str">
        <f>IF(AND($A90&gt;=SYear72,$A90&lt;=EYear72,K$3&gt;0),IF($A90=SYear72,K$67*(1+Data_72_15!K30%),K89*(1+Data_72_15!K30%)),"")</f>
        <v/>
      </c>
      <c r="L90" s="446" t="str">
        <f>IF(AND($A90&gt;=SYear72,$A90&lt;=EYear72,L$3&gt;0),IF($A90=SYear72,L$67*(1+Data_72_15!L30%),L89*(1+Data_72_15!L30%)),"")</f>
        <v/>
      </c>
      <c r="M90" s="446" t="str">
        <f>IF(AND($A90&gt;=SYear72,$A90&lt;=EYear72,M$3&gt;0),IF($A90=SYear72,M$67*(1+Data_72_15!M30%),M89*(1+Data_72_15!M30%)),"")</f>
        <v/>
      </c>
      <c r="N90" s="446">
        <f>IF(AND($A90&gt;=SYear72,$A90&lt;=EYear72,N$3&gt;0),IF($A90=SYear72,N$67*(1+Data_72_15!N30%),N89*(1+Data_72_15!N30%)),"")</f>
        <v>69783.565642168003</v>
      </c>
      <c r="O90" s="446" t="str">
        <f>IF(AND($A90&gt;=SYear72,$A90&lt;=EYear72,O$3&gt;0),IF($A90=SYear72,O$67*(1+Data_72_15!O30%),O89*(1+Data_72_15!O30%)),"")</f>
        <v/>
      </c>
      <c r="P90" s="446" t="str">
        <f>IF(AND($A90&gt;=SYear72,$A90&lt;=EYear72,P$3&gt;0),IF($A90=SYear72,P$67*(1+Data_72_15!P30%),P89*(1+Data_72_15!P30%)),"")</f>
        <v/>
      </c>
      <c r="Q90" s="446" t="str">
        <f>IF(AND($A90&gt;=SYear72,$A90&lt;=EYear72,Q$3&gt;0),IF($A90=SYear72,Q$67*(1+Data_72_15!Q30%),Q89*(1+Data_72_15!Q30%)),"")</f>
        <v/>
      </c>
      <c r="R90" s="446" t="str">
        <f>IF(AND($A90&gt;=SYear72,$A90&lt;=EYear72,R$3&gt;0),IF($A90=SYear72,R$67*(1+Data_72_15!R30%),R89*(1+Data_72_15!R30%)),"")</f>
        <v/>
      </c>
      <c r="S90" s="446" t="str">
        <f>IF(AND($A90&gt;=SYear72,$A90&lt;=EYear72,S$3&gt;0),IF($A90=SYear72,S$67*(1+Data_72_15!S30%),S89*(1+Data_72_15!S30%)),"")</f>
        <v/>
      </c>
      <c r="T90" s="446">
        <f>IF(AND($A90&gt;=SYear72,$A90&lt;=EYear72,T$3&gt;0),IF($A90=SYear72,T$67*(1+Data_72_15!T30%),T89*(1+Data_72_15!T30%)),"")</f>
        <v>12069.128829927129</v>
      </c>
      <c r="U90" s="446" t="str">
        <f>IF(AND($A90&gt;=SYear72,$A90&lt;=EYear72,U$3&gt;0),IF($A90=SYear72,U$67*(1+Data_72_15!U30%),U89*(1+Data_72_15!U30%)),"")</f>
        <v/>
      </c>
      <c r="V90" s="446" t="str">
        <f>IF(AND($A90&gt;=SYear72,$A90&lt;=EYear72,V$3&gt;0),IF($A90=SYear72,V$67*(1+Data_72_15!V30%),V89*(1+Data_72_15!V30%)),"")</f>
        <v/>
      </c>
      <c r="W90" s="446" t="str">
        <f>IF(AND($A90&gt;=SYear72,$A90&lt;=EYear72,W$3&gt;0),IF($A90=SYear72,W$67*(1+Data_72_15!W30%),W89*(1+Data_72_15!W30%)),"")</f>
        <v/>
      </c>
      <c r="X90" s="446" t="str">
        <f>IF(AND($A90&gt;=SYear72,$A90&lt;=EYear72,X$3&gt;0),IF($A90=SYear72,X$67*(1+Data_72_15!X30%),X89*(1+Data_72_15!X30%)),"")</f>
        <v/>
      </c>
      <c r="Y90" s="446" t="str">
        <f>IF(AND($A90&gt;=SYear72,$A90&lt;=EYear72,Y$3&gt;0),IF($A90=SYear72,Y$67*(1+Data_72_15!Y30%),Y89*(1+Data_72_15!Y30%)),"")</f>
        <v/>
      </c>
      <c r="Z90" s="446" t="str">
        <f>IF(AND($A90&gt;=SYear72,$A90&lt;=EYear72,Z$3&gt;0),IF($A90=SYear72,Z$67*(1+Data_72_15!Z30%),Z89*(1+Data_72_15!Z30%)),"")</f>
        <v/>
      </c>
      <c r="AA90" s="446" t="str">
        <f>IF(AND($A90&gt;=SYear72,$A90&lt;=EYear72,AA$3&gt;0),IF($A90=SYear72,AA$67*(1+Data_72_15!AA30%),AA89*(1+Data_72_15!AA30%)),"")</f>
        <v/>
      </c>
      <c r="AB90" s="446" t="str">
        <f>IF(AND($A90&gt;=SYear72,$A90&lt;=EYear72,AB$3&gt;0),IF($A90=SYear72,AB$67*(1+Data_72_15!AB30%),AB89*(1+Data_72_15!AB30%)),"")</f>
        <v/>
      </c>
      <c r="AC90" s="446" t="str">
        <f>IF(AND($A90&gt;=SYear72,$A90&lt;=EYear72,AC$3&gt;0),IF($A90=SYear72,AC$67*(1+Data_72_15!AC30%),AC89*(1+Data_72_15!AC30%)),"")</f>
        <v/>
      </c>
      <c r="AD90" s="446" t="str">
        <f>IF(AND($A90&gt;=SYear72,$A90&lt;=EYear72,AD$3&gt;0),IF($A90=SYear72,AD$67*(1+Data_72_15!AD30%),AD89*(1+Data_72_15!AD30%)),"")</f>
        <v/>
      </c>
      <c r="AE90" s="446" t="str">
        <f>IF(AND($A90&gt;=SYear72,$A90&lt;=EYear72,AE$3&gt;0),IF($A90=SYear72,AE$67*(1+Data_72_15!AE30%),AE89*(1+Data_72_15!AE30%)),"")</f>
        <v/>
      </c>
      <c r="AF90" s="446" t="str">
        <f>IF(AND($A90&gt;=SYear72,$A90&lt;=EYear72,AF$3&gt;0),IF($A90=SYear72,AF$67*(1+Data_72_15!AF30%),AF89*(1+Data_72_15!AF30%)),"")</f>
        <v/>
      </c>
      <c r="AG90" s="446" t="str">
        <f>IF(AND($A90&gt;=SYear72,$A90&lt;=EYear72,AG$3&gt;0),IF($A90=SYear72,AG$67*(1+Data_72_15!AG30%),AG89*(1+Data_72_15!AG30%)),"")</f>
        <v/>
      </c>
      <c r="AH90" s="446" t="str">
        <f>IF(AND($A90&gt;=SYear72,$A90&lt;=EYear72,AH$3&gt;0),IF($A90=SYear72,AH$67*(1+Data_72_15!AH30%),AH89*(1+Data_72_15!AH30%)),"")</f>
        <v/>
      </c>
      <c r="AI90" s="446" t="str">
        <f>IF(AND($A90&gt;=SYear72,$A90&lt;=EYear72,AI$3&gt;0),IF($A90=SYear72,AI$67*(1+Data_72_15!AI30%),AI89*(1+Data_72_15!AI30%)),"")</f>
        <v/>
      </c>
      <c r="AJ90" s="446" t="str">
        <f>IF(AND($A90&gt;=SYear72,$A90&lt;=EYear72,AJ$3&gt;0),IF($A90=SYear72,AJ$67*(1+Data_72_15!AJ30%),AJ89*(1+Data_72_15!AJ30%)),"")</f>
        <v/>
      </c>
      <c r="AK90" s="446" t="str">
        <f>IF(AND($A90&gt;=SYear72,$A90&lt;=EYear72,AK$3&gt;0),IF($A90=SYear72,AK$67*(1+Data_72_15!AK30%),AK89*(1+Data_72_15!AK30%)),"")</f>
        <v/>
      </c>
      <c r="AL90" s="446" t="str">
        <f>IF(AND($A90&gt;=SYear72,$A90&lt;=EYear72,AL$3&gt;0),IF($A90=SYear72,AL$67*(1+Data_72_15!AL30%),AL89*(1+Data_72_15!AL30%)),"")</f>
        <v/>
      </c>
      <c r="AM90" s="206">
        <f t="shared" si="18"/>
        <v>2.2930844927547978</v>
      </c>
      <c r="AN90" s="446">
        <f t="shared" si="19"/>
        <v>135463.8868808375</v>
      </c>
      <c r="AO90" s="206">
        <f>IF(AND($A90&gt;=SYear72,$A90&lt;=EYear72),(AM90-Data_72_15!AM30)/(1+Data_72_15!AM30%),"")</f>
        <v>-0.37186560425082105</v>
      </c>
      <c r="AP90" s="606">
        <f t="shared" si="20"/>
        <v>37191.487981312115</v>
      </c>
      <c r="AQ90" s="143">
        <f t="shared" si="21"/>
        <v>11.252079267602193</v>
      </c>
      <c r="AR90" s="143">
        <f>IF(AND($A90&gt;=SYear72,$A90&lt;=EYear72),MAX($AQ$68:AQ90),"")</f>
        <v>11.252079267602193</v>
      </c>
      <c r="AS90" s="209">
        <f t="shared" si="22"/>
        <v>0</v>
      </c>
      <c r="AZ90" s="61">
        <f t="shared" si="23"/>
        <v>2.2930844927548044E-2</v>
      </c>
      <c r="BA90" s="61">
        <f t="shared" si="24"/>
        <v>0.11834663862156392</v>
      </c>
      <c r="BB90" s="61">
        <f t="shared" si="25"/>
        <v>0.13938800219084135</v>
      </c>
      <c r="BC90" s="61">
        <f t="shared" si="26"/>
        <v>7.3256589081786228E-2</v>
      </c>
      <c r="BD90" s="61">
        <f t="shared" si="27"/>
        <v>5.0936405921383709E-2</v>
      </c>
      <c r="BG90" s="61">
        <f t="shared" si="28"/>
        <v>-3.718656042508206E-3</v>
      </c>
      <c r="BH90" s="61">
        <f t="shared" si="29"/>
        <v>8.7413074438828176E-2</v>
      </c>
      <c r="BI90" s="61">
        <f t="shared" si="30"/>
        <v>0.1130312451802522</v>
      </c>
      <c r="BJ90" s="61">
        <f t="shared" si="31"/>
        <v>4.8399444871491948E-2</v>
      </c>
      <c r="BK90" s="61">
        <f t="shared" si="32"/>
        <v>2.5606822607598057E-2</v>
      </c>
    </row>
    <row r="91" spans="1:63">
      <c r="A91" s="204">
        <f t="shared" si="33"/>
        <v>1995</v>
      </c>
      <c r="B91" s="446">
        <f>IF(AND($A91&gt;=SYear72,$A91&lt;=EYear72,B$3&gt;0),IF($A91=SYear72,B$67*(1+Data_72_15!B31%),B90*(1+Data_72_15!B31%)),"")</f>
        <v>72798.638171831262</v>
      </c>
      <c r="C91" s="446" t="str">
        <f>IF(AND($A91&gt;=SYear72,$A91&lt;=EYear72,C$3&gt;0),IF($A91=SYear72,C$67*(1+Data_72_15!C31%),C90*(1+Data_72_15!C31%)),"")</f>
        <v/>
      </c>
      <c r="D91" s="446" t="str">
        <f>IF(AND($A91&gt;=SYear72,$A91&lt;=EYear72,D$3&gt;0),IF($A91=SYear72,D$67*(1+Data_72_15!D31%),D90*(1+Data_72_15!D31%)),"")</f>
        <v/>
      </c>
      <c r="E91" s="446" t="str">
        <f>IF(AND($A91&gt;=SYear72,$A91&lt;=EYear72,E$3&gt;0),IF($A91=SYear72,E$67*(1+Data_72_15!E31%),E90*(1+Data_72_15!E31%)),"")</f>
        <v/>
      </c>
      <c r="F91" s="446" t="str">
        <f>IF(AND($A91&gt;=SYear72,$A91&lt;=EYear72,F$3&gt;0),IF($A91=SYear72,F$67*(1+Data_72_15!F31%),F90*(1+Data_72_15!F31%)),"")</f>
        <v/>
      </c>
      <c r="G91" s="446" t="str">
        <f>IF(AND($A91&gt;=SYear72,$A91&lt;=EYear72,G$3&gt;0),IF($A91=SYear72,G$67*(1+Data_72_15!G31%),G90*(1+Data_72_15!G31%)),"")</f>
        <v/>
      </c>
      <c r="H91" s="446" t="str">
        <f>IF(AND($A91&gt;=SYear72,$A91&lt;=EYear72,H$3&gt;0),IF($A91=SYear72,H$67*(1+Data_72_15!H31%),H90*(1+Data_72_15!H31%)),"")</f>
        <v/>
      </c>
      <c r="I91" s="446" t="str">
        <f>IF(AND($A91&gt;=SYear72,$A91&lt;=EYear72,I$3&gt;0),IF($A91=SYear72,I$67*(1+Data_72_15!I31%),I90*(1+Data_72_15!I31%)),"")</f>
        <v/>
      </c>
      <c r="J91" s="446" t="str">
        <f>IF(AND($A91&gt;=SYear72,$A91&lt;=EYear72,J$3&gt;0),IF($A91=SYear72,J$67*(1+Data_72_15!J31%),J90*(1+Data_72_15!J31%)),"")</f>
        <v/>
      </c>
      <c r="K91" s="446" t="str">
        <f>IF(AND($A91&gt;=SYear72,$A91&lt;=EYear72,K$3&gt;0),IF($A91=SYear72,K$67*(1+Data_72_15!K31%),K90*(1+Data_72_15!K31%)),"")</f>
        <v/>
      </c>
      <c r="L91" s="446" t="str">
        <f>IF(AND($A91&gt;=SYear72,$A91&lt;=EYear72,L$3&gt;0),IF($A91=SYear72,L$67*(1+Data_72_15!L31%),L90*(1+Data_72_15!L31%)),"")</f>
        <v/>
      </c>
      <c r="M91" s="446" t="str">
        <f>IF(AND($A91&gt;=SYear72,$A91&lt;=EYear72,M$3&gt;0),IF($A91=SYear72,M$67*(1+Data_72_15!M31%),M90*(1+Data_72_15!M31%)),"")</f>
        <v/>
      </c>
      <c r="N91" s="446">
        <f>IF(AND($A91&gt;=SYear72,$A91&lt;=EYear72,N$3&gt;0),IF($A91=SYear72,N$67*(1+Data_72_15!N31%),N90*(1+Data_72_15!N31%)),"")</f>
        <v>76554.423677534622</v>
      </c>
      <c r="O91" s="446" t="str">
        <f>IF(AND($A91&gt;=SYear72,$A91&lt;=EYear72,O$3&gt;0),IF($A91=SYear72,O$67*(1+Data_72_15!O31%),O90*(1+Data_72_15!O31%)),"")</f>
        <v/>
      </c>
      <c r="P91" s="446" t="str">
        <f>IF(AND($A91&gt;=SYear72,$A91&lt;=EYear72,P$3&gt;0),IF($A91=SYear72,P$67*(1+Data_72_15!P31%),P90*(1+Data_72_15!P31%)),"")</f>
        <v/>
      </c>
      <c r="Q91" s="446" t="str">
        <f>IF(AND($A91&gt;=SYear72,$A91&lt;=EYear72,Q$3&gt;0),IF($A91=SYear72,Q$67*(1+Data_72_15!Q31%),Q90*(1+Data_72_15!Q31%)),"")</f>
        <v/>
      </c>
      <c r="R91" s="446" t="str">
        <f>IF(AND($A91&gt;=SYear72,$A91&lt;=EYear72,R$3&gt;0),IF($A91=SYear72,R$67*(1+Data_72_15!R31%),R90*(1+Data_72_15!R31%)),"")</f>
        <v/>
      </c>
      <c r="S91" s="446" t="str">
        <f>IF(AND($A91&gt;=SYear72,$A91&lt;=EYear72,S$3&gt;0),IF($A91=SYear72,S$67*(1+Data_72_15!S31%),S90*(1+Data_72_15!S31%)),"")</f>
        <v/>
      </c>
      <c r="T91" s="446">
        <f>IF(AND($A91&gt;=SYear72,$A91&lt;=EYear72,T$3&gt;0),IF($A91=SYear72,T$67*(1+Data_72_15!T31%),T90*(1+Data_72_15!T31%)),"")</f>
        <v>14536.058762764236</v>
      </c>
      <c r="U91" s="446" t="str">
        <f>IF(AND($A91&gt;=SYear72,$A91&lt;=EYear72,U$3&gt;0),IF($A91=SYear72,U$67*(1+Data_72_15!U31%),U90*(1+Data_72_15!U31%)),"")</f>
        <v/>
      </c>
      <c r="V91" s="446" t="str">
        <f>IF(AND($A91&gt;=SYear72,$A91&lt;=EYear72,V$3&gt;0),IF($A91=SYear72,V$67*(1+Data_72_15!V31%),V90*(1+Data_72_15!V31%)),"")</f>
        <v/>
      </c>
      <c r="W91" s="446" t="str">
        <f>IF(AND($A91&gt;=SYear72,$A91&lt;=EYear72,W$3&gt;0),IF($A91=SYear72,W$67*(1+Data_72_15!W31%),W90*(1+Data_72_15!W31%)),"")</f>
        <v/>
      </c>
      <c r="X91" s="446" t="str">
        <f>IF(AND($A91&gt;=SYear72,$A91&lt;=EYear72,X$3&gt;0),IF($A91=SYear72,X$67*(1+Data_72_15!X31%),X90*(1+Data_72_15!X31%)),"")</f>
        <v/>
      </c>
      <c r="Y91" s="446" t="str">
        <f>IF(AND($A91&gt;=SYear72,$A91&lt;=EYear72,Y$3&gt;0),IF($A91=SYear72,Y$67*(1+Data_72_15!Y31%),Y90*(1+Data_72_15!Y31%)),"")</f>
        <v/>
      </c>
      <c r="Z91" s="446" t="str">
        <f>IF(AND($A91&gt;=SYear72,$A91&lt;=EYear72,Z$3&gt;0),IF($A91=SYear72,Z$67*(1+Data_72_15!Z31%),Z90*(1+Data_72_15!Z31%)),"")</f>
        <v/>
      </c>
      <c r="AA91" s="446" t="str">
        <f>IF(AND($A91&gt;=SYear72,$A91&lt;=EYear72,AA$3&gt;0),IF($A91=SYear72,AA$67*(1+Data_72_15!AA31%),AA90*(1+Data_72_15!AA31%)),"")</f>
        <v/>
      </c>
      <c r="AB91" s="446" t="str">
        <f>IF(AND($A91&gt;=SYear72,$A91&lt;=EYear72,AB$3&gt;0),IF($A91=SYear72,AB$67*(1+Data_72_15!AB31%),AB90*(1+Data_72_15!AB31%)),"")</f>
        <v/>
      </c>
      <c r="AC91" s="446" t="str">
        <f>IF(AND($A91&gt;=SYear72,$A91&lt;=EYear72,AC$3&gt;0),IF($A91=SYear72,AC$67*(1+Data_72_15!AC31%),AC90*(1+Data_72_15!AC31%)),"")</f>
        <v/>
      </c>
      <c r="AD91" s="446" t="str">
        <f>IF(AND($A91&gt;=SYear72,$A91&lt;=EYear72,AD$3&gt;0),IF($A91=SYear72,AD$67*(1+Data_72_15!AD31%),AD90*(1+Data_72_15!AD31%)),"")</f>
        <v/>
      </c>
      <c r="AE91" s="446" t="str">
        <f>IF(AND($A91&gt;=SYear72,$A91&lt;=EYear72,AE$3&gt;0),IF($A91=SYear72,AE$67*(1+Data_72_15!AE31%),AE90*(1+Data_72_15!AE31%)),"")</f>
        <v/>
      </c>
      <c r="AF91" s="446" t="str">
        <f>IF(AND($A91&gt;=SYear72,$A91&lt;=EYear72,AF$3&gt;0),IF($A91=SYear72,AF$67*(1+Data_72_15!AF31%),AF90*(1+Data_72_15!AF31%)),"")</f>
        <v/>
      </c>
      <c r="AG91" s="446" t="str">
        <f>IF(AND($A91&gt;=SYear72,$A91&lt;=EYear72,AG$3&gt;0),IF($A91=SYear72,AG$67*(1+Data_72_15!AG31%),AG90*(1+Data_72_15!AG31%)),"")</f>
        <v/>
      </c>
      <c r="AH91" s="446" t="str">
        <f>IF(AND($A91&gt;=SYear72,$A91&lt;=EYear72,AH$3&gt;0),IF($A91=SYear72,AH$67*(1+Data_72_15!AH31%),AH90*(1+Data_72_15!AH31%)),"")</f>
        <v/>
      </c>
      <c r="AI91" s="446" t="str">
        <f>IF(AND($A91&gt;=SYear72,$A91&lt;=EYear72,AI$3&gt;0),IF($A91=SYear72,AI$67*(1+Data_72_15!AI31%),AI90*(1+Data_72_15!AI31%)),"")</f>
        <v/>
      </c>
      <c r="AJ91" s="446" t="str">
        <f>IF(AND($A91&gt;=SYear72,$A91&lt;=EYear72,AJ$3&gt;0),IF($A91=SYear72,AJ$67*(1+Data_72_15!AJ31%),AJ90*(1+Data_72_15!AJ31%)),"")</f>
        <v/>
      </c>
      <c r="AK91" s="446" t="str">
        <f>IF(AND($A91&gt;=SYear72,$A91&lt;=EYear72,AK$3&gt;0),IF($A91=SYear72,AK$67*(1+Data_72_15!AK31%),AK90*(1+Data_72_15!AK31%)),"")</f>
        <v/>
      </c>
      <c r="AL91" s="446" t="str">
        <f>IF(AND($A91&gt;=SYear72,$A91&lt;=EYear72,AL$3&gt;0),IF($A91=SYear72,AL$67*(1+Data_72_15!AL31%),AL90*(1+Data_72_15!AL31%)),"")</f>
        <v/>
      </c>
      <c r="AM91" s="206">
        <f t="shared" si="18"/>
        <v>20.983624776909906</v>
      </c>
      <c r="AN91" s="446">
        <f t="shared" si="19"/>
        <v>163889.12061213012</v>
      </c>
      <c r="AO91" s="206">
        <f>IF(AND($A91&gt;=SYear72,$A91&lt;=EYear72),(AM91-Data_72_15!AM31)/(1+Data_72_15!AM31%),"")</f>
        <v>17.988590417611796</v>
      </c>
      <c r="AP91" s="606">
        <f t="shared" si="20"/>
        <v>43881.712424485675</v>
      </c>
      <c r="AQ91" s="143">
        <f t="shared" si="21"/>
        <v>13.61317336071631</v>
      </c>
      <c r="AR91" s="143">
        <f>IF(AND($A91&gt;=SYear72,$A91&lt;=EYear72),MAX($AQ$68:AQ91),"")</f>
        <v>13.61317336071631</v>
      </c>
      <c r="AS91" s="209">
        <f t="shared" si="22"/>
        <v>0</v>
      </c>
      <c r="AZ91" s="61">
        <f t="shared" si="23"/>
        <v>0.20983624776909915</v>
      </c>
      <c r="BA91" s="61">
        <f t="shared" si="24"/>
        <v>0.16289266560002358</v>
      </c>
      <c r="BB91" s="61">
        <f t="shared" si="25"/>
        <v>0.18439306500910724</v>
      </c>
      <c r="BC91" s="61">
        <f t="shared" si="26"/>
        <v>8.5640719566119738E-2</v>
      </c>
      <c r="BD91" s="61">
        <f t="shared" si="27"/>
        <v>6.6914576809769644E-2</v>
      </c>
      <c r="BG91" s="61">
        <f t="shared" si="28"/>
        <v>0.17988590417611805</v>
      </c>
      <c r="BH91" s="61">
        <f t="shared" si="29"/>
        <v>0.1343196157947153</v>
      </c>
      <c r="BI91" s="61">
        <f t="shared" si="30"/>
        <v>0.15697344921953937</v>
      </c>
      <c r="BJ91" s="61">
        <f t="shared" si="31"/>
        <v>5.9898860934759934E-2</v>
      </c>
      <c r="BK91" s="61">
        <f t="shared" si="32"/>
        <v>4.1168504804036443E-2</v>
      </c>
    </row>
    <row r="92" spans="1:63">
      <c r="A92" s="204">
        <f t="shared" si="33"/>
        <v>1996</v>
      </c>
      <c r="B92" s="446">
        <f>IF(AND($A92&gt;=SYear72,$A92&lt;=EYear72,B$3&gt;0),IF($A92=SYear72,B$67*(1+Data_72_15!B32%),B91*(1+Data_72_15!B32%)),"")</f>
        <v>88057.232732647099</v>
      </c>
      <c r="C92" s="446" t="str">
        <f>IF(AND($A92&gt;=SYear72,$A92&lt;=EYear72,C$3&gt;0),IF($A92=SYear72,C$67*(1+Data_72_15!C32%),C91*(1+Data_72_15!C32%)),"")</f>
        <v/>
      </c>
      <c r="D92" s="446" t="str">
        <f>IF(AND($A92&gt;=SYear72,$A92&lt;=EYear72,D$3&gt;0),IF($A92=SYear72,D$67*(1+Data_72_15!D32%),D91*(1+Data_72_15!D32%)),"")</f>
        <v/>
      </c>
      <c r="E92" s="446" t="str">
        <f>IF(AND($A92&gt;=SYear72,$A92&lt;=EYear72,E$3&gt;0),IF($A92=SYear72,E$67*(1+Data_72_15!E32%),E91*(1+Data_72_15!E32%)),"")</f>
        <v/>
      </c>
      <c r="F92" s="446" t="str">
        <f>IF(AND($A92&gt;=SYear72,$A92&lt;=EYear72,F$3&gt;0),IF($A92=SYear72,F$67*(1+Data_72_15!F32%),F91*(1+Data_72_15!F32%)),"")</f>
        <v/>
      </c>
      <c r="G92" s="446" t="str">
        <f>IF(AND($A92&gt;=SYear72,$A92&lt;=EYear72,G$3&gt;0),IF($A92=SYear72,G$67*(1+Data_72_15!G32%),G91*(1+Data_72_15!G32%)),"")</f>
        <v/>
      </c>
      <c r="H92" s="446" t="str">
        <f>IF(AND($A92&gt;=SYear72,$A92&lt;=EYear72,H$3&gt;0),IF($A92=SYear72,H$67*(1+Data_72_15!H32%),H91*(1+Data_72_15!H32%)),"")</f>
        <v/>
      </c>
      <c r="I92" s="446" t="str">
        <f>IF(AND($A92&gt;=SYear72,$A92&lt;=EYear72,I$3&gt;0),IF($A92=SYear72,I$67*(1+Data_72_15!I32%),I91*(1+Data_72_15!I32%)),"")</f>
        <v/>
      </c>
      <c r="J92" s="446" t="str">
        <f>IF(AND($A92&gt;=SYear72,$A92&lt;=EYear72,J$3&gt;0),IF($A92=SYear72,J$67*(1+Data_72_15!J32%),J91*(1+Data_72_15!J32%)),"")</f>
        <v/>
      </c>
      <c r="K92" s="446" t="str">
        <f>IF(AND($A92&gt;=SYear72,$A92&lt;=EYear72,K$3&gt;0),IF($A92=SYear72,K$67*(1+Data_72_15!K32%),K91*(1+Data_72_15!K32%)),"")</f>
        <v/>
      </c>
      <c r="L92" s="446" t="str">
        <f>IF(AND($A92&gt;=SYear72,$A92&lt;=EYear72,L$3&gt;0),IF($A92=SYear72,L$67*(1+Data_72_15!L32%),L91*(1+Data_72_15!L32%)),"")</f>
        <v/>
      </c>
      <c r="M92" s="446" t="str">
        <f>IF(AND($A92&gt;=SYear72,$A92&lt;=EYear72,M$3&gt;0),IF($A92=SYear72,M$67*(1+Data_72_15!M32%),M91*(1+Data_72_15!M32%)),"")</f>
        <v/>
      </c>
      <c r="N92" s="446">
        <f>IF(AND($A92&gt;=SYear72,$A92&lt;=EYear72,N$3&gt;0),IF($A92=SYear72,N$67*(1+Data_72_15!N32%),N91*(1+Data_72_15!N32%)),"")</f>
        <v>82355.586824801008</v>
      </c>
      <c r="O92" s="446" t="str">
        <f>IF(AND($A92&gt;=SYear72,$A92&lt;=EYear72,O$3&gt;0),IF($A92=SYear72,O$67*(1+Data_72_15!O32%),O91*(1+Data_72_15!O32%)),"")</f>
        <v/>
      </c>
      <c r="P92" s="446" t="str">
        <f>IF(AND($A92&gt;=SYear72,$A92&lt;=EYear72,P$3&gt;0),IF($A92=SYear72,P$67*(1+Data_72_15!P32%),P91*(1+Data_72_15!P32%)),"")</f>
        <v/>
      </c>
      <c r="Q92" s="446" t="str">
        <f>IF(AND($A92&gt;=SYear72,$A92&lt;=EYear72,Q$3&gt;0),IF($A92=SYear72,Q$67*(1+Data_72_15!Q32%),Q91*(1+Data_72_15!Q32%)),"")</f>
        <v/>
      </c>
      <c r="R92" s="446" t="str">
        <f>IF(AND($A92&gt;=SYear72,$A92&lt;=EYear72,R$3&gt;0),IF($A92=SYear72,R$67*(1+Data_72_15!R32%),R91*(1+Data_72_15!R32%)),"")</f>
        <v/>
      </c>
      <c r="S92" s="446" t="str">
        <f>IF(AND($A92&gt;=SYear72,$A92&lt;=EYear72,S$3&gt;0),IF($A92=SYear72,S$67*(1+Data_72_15!S32%),S91*(1+Data_72_15!S32%)),"")</f>
        <v/>
      </c>
      <c r="T92" s="446">
        <f>IF(AND($A92&gt;=SYear72,$A92&lt;=EYear72,T$3&gt;0),IF($A92=SYear72,T$67*(1+Data_72_15!T32%),T91*(1+Data_72_15!T32%)),"")</f>
        <v>14815.151091009311</v>
      </c>
      <c r="U92" s="446" t="str">
        <f>IF(AND($A92&gt;=SYear72,$A92&lt;=EYear72,U$3&gt;0),IF($A92=SYear72,U$67*(1+Data_72_15!U32%),U91*(1+Data_72_15!U32%)),"")</f>
        <v/>
      </c>
      <c r="V92" s="446" t="str">
        <f>IF(AND($A92&gt;=SYear72,$A92&lt;=EYear72,V$3&gt;0),IF($A92=SYear72,V$67*(1+Data_72_15!V32%),V91*(1+Data_72_15!V32%)),"")</f>
        <v/>
      </c>
      <c r="W92" s="446" t="str">
        <f>IF(AND($A92&gt;=SYear72,$A92&lt;=EYear72,W$3&gt;0),IF($A92=SYear72,W$67*(1+Data_72_15!W32%),W91*(1+Data_72_15!W32%)),"")</f>
        <v/>
      </c>
      <c r="X92" s="446" t="str">
        <f>IF(AND($A92&gt;=SYear72,$A92&lt;=EYear72,X$3&gt;0),IF($A92=SYear72,X$67*(1+Data_72_15!X32%),X91*(1+Data_72_15!X32%)),"")</f>
        <v/>
      </c>
      <c r="Y92" s="446" t="str">
        <f>IF(AND($A92&gt;=SYear72,$A92&lt;=EYear72,Y$3&gt;0),IF($A92=SYear72,Y$67*(1+Data_72_15!Y32%),Y91*(1+Data_72_15!Y32%)),"")</f>
        <v/>
      </c>
      <c r="Z92" s="446" t="str">
        <f>IF(AND($A92&gt;=SYear72,$A92&lt;=EYear72,Z$3&gt;0),IF($A92=SYear72,Z$67*(1+Data_72_15!Z32%),Z91*(1+Data_72_15!Z32%)),"")</f>
        <v/>
      </c>
      <c r="AA92" s="446" t="str">
        <f>IF(AND($A92&gt;=SYear72,$A92&lt;=EYear72,AA$3&gt;0),IF($A92=SYear72,AA$67*(1+Data_72_15!AA32%),AA91*(1+Data_72_15!AA32%)),"")</f>
        <v/>
      </c>
      <c r="AB92" s="446" t="str">
        <f>IF(AND($A92&gt;=SYear72,$A92&lt;=EYear72,AB$3&gt;0),IF($A92=SYear72,AB$67*(1+Data_72_15!AB32%),AB91*(1+Data_72_15!AB32%)),"")</f>
        <v/>
      </c>
      <c r="AC92" s="446" t="str">
        <f>IF(AND($A92&gt;=SYear72,$A92&lt;=EYear72,AC$3&gt;0),IF($A92=SYear72,AC$67*(1+Data_72_15!AC32%),AC91*(1+Data_72_15!AC32%)),"")</f>
        <v/>
      </c>
      <c r="AD92" s="446" t="str">
        <f>IF(AND($A92&gt;=SYear72,$A92&lt;=EYear72,AD$3&gt;0),IF($A92=SYear72,AD$67*(1+Data_72_15!AD32%),AD91*(1+Data_72_15!AD32%)),"")</f>
        <v/>
      </c>
      <c r="AE92" s="446" t="str">
        <f>IF(AND($A92&gt;=SYear72,$A92&lt;=EYear72,AE$3&gt;0),IF($A92=SYear72,AE$67*(1+Data_72_15!AE32%),AE91*(1+Data_72_15!AE32%)),"")</f>
        <v/>
      </c>
      <c r="AF92" s="446" t="str">
        <f>IF(AND($A92&gt;=SYear72,$A92&lt;=EYear72,AF$3&gt;0),IF($A92=SYear72,AF$67*(1+Data_72_15!AF32%),AF91*(1+Data_72_15!AF32%)),"")</f>
        <v/>
      </c>
      <c r="AG92" s="446" t="str">
        <f>IF(AND($A92&gt;=SYear72,$A92&lt;=EYear72,AG$3&gt;0),IF($A92=SYear72,AG$67*(1+Data_72_15!AG32%),AG91*(1+Data_72_15!AG32%)),"")</f>
        <v/>
      </c>
      <c r="AH92" s="446" t="str">
        <f>IF(AND($A92&gt;=SYear72,$A92&lt;=EYear72,AH$3&gt;0),IF($A92=SYear72,AH$67*(1+Data_72_15!AH32%),AH91*(1+Data_72_15!AH32%)),"")</f>
        <v/>
      </c>
      <c r="AI92" s="446" t="str">
        <f>IF(AND($A92&gt;=SYear72,$A92&lt;=EYear72,AI$3&gt;0),IF($A92=SYear72,AI$67*(1+Data_72_15!AI32%),AI91*(1+Data_72_15!AI32%)),"")</f>
        <v/>
      </c>
      <c r="AJ92" s="446" t="str">
        <f>IF(AND($A92&gt;=SYear72,$A92&lt;=EYear72,AJ$3&gt;0),IF($A92=SYear72,AJ$67*(1+Data_72_15!AJ32%),AJ91*(1+Data_72_15!AJ32%)),"")</f>
        <v/>
      </c>
      <c r="AK92" s="446" t="str">
        <f>IF(AND($A92&gt;=SYear72,$A92&lt;=EYear72,AK$3&gt;0),IF($A92=SYear72,AK$67*(1+Data_72_15!AK32%),AK91*(1+Data_72_15!AK32%)),"")</f>
        <v/>
      </c>
      <c r="AL92" s="446" t="str">
        <f>IF(AND($A92&gt;=SYear72,$A92&lt;=EYear72,AL$3&gt;0),IF($A92=SYear72,AL$67*(1+Data_72_15!AL32%),AL91*(1+Data_72_15!AL32%)),"")</f>
        <v/>
      </c>
      <c r="AM92" s="206">
        <f t="shared" si="18"/>
        <v>13.020296866946463</v>
      </c>
      <c r="AN92" s="446">
        <f t="shared" si="19"/>
        <v>185227.97064845741</v>
      </c>
      <c r="AO92" s="206">
        <f>IF(AND($A92&gt;=SYear72,$A92&lt;=EYear72),(AM92-Data_72_15!AM32)/(1+Data_72_15!AM32%),"")</f>
        <v>9.3859745843397295</v>
      </c>
      <c r="AP92" s="606">
        <f t="shared" si="20"/>
        <v>48000.438799820957</v>
      </c>
      <c r="AQ92" s="143">
        <f t="shared" si="21"/>
        <v>15.385648945293646</v>
      </c>
      <c r="AR92" s="143">
        <f>IF(AND($A92&gt;=SYear72,$A92&lt;=EYear72),MAX($AQ$68:AQ92),"")</f>
        <v>15.385648945293646</v>
      </c>
      <c r="AS92" s="209">
        <f t="shared" si="22"/>
        <v>0</v>
      </c>
      <c r="AZ92" s="61">
        <f t="shared" si="23"/>
        <v>0.13020296866946457</v>
      </c>
      <c r="BA92" s="61">
        <f t="shared" si="24"/>
        <v>0.15769755078338377</v>
      </c>
      <c r="BB92" s="61">
        <f t="shared" si="25"/>
        <v>0.11339695357947077</v>
      </c>
      <c r="BC92" s="61">
        <f t="shared" si="26"/>
        <v>7.4745614272632155E-2</v>
      </c>
      <c r="BD92" s="61">
        <f t="shared" si="27"/>
        <v>6.2463630179533158E-2</v>
      </c>
      <c r="BG92" s="61">
        <f t="shared" si="28"/>
        <v>9.3859745843397402E-2</v>
      </c>
      <c r="BH92" s="61">
        <f t="shared" si="29"/>
        <v>0.13267397822330707</v>
      </c>
      <c r="BI92" s="61">
        <f t="shared" si="30"/>
        <v>8.5830046341965893E-2</v>
      </c>
      <c r="BJ92" s="61">
        <f t="shared" si="31"/>
        <v>4.8368612909053699E-2</v>
      </c>
      <c r="BK92" s="61">
        <f t="shared" si="32"/>
        <v>3.7531684681865407E-2</v>
      </c>
    </row>
    <row r="93" spans="1:63">
      <c r="A93" s="204">
        <f t="shared" si="33"/>
        <v>1997</v>
      </c>
      <c r="B93" s="446">
        <f>IF(AND($A93&gt;=SYear72,$A93&lt;=EYear72,B$3&gt;0),IF($A93=SYear72,B$67*(1+Data_72_15!B33%),B92*(1+Data_72_15!B33%)),"")</f>
        <v>115346.16915649443</v>
      </c>
      <c r="C93" s="446" t="str">
        <f>IF(AND($A93&gt;=SYear72,$A93&lt;=EYear72,C$3&gt;0),IF($A93=SYear72,C$67*(1+Data_72_15!C33%),C92*(1+Data_72_15!C33%)),"")</f>
        <v/>
      </c>
      <c r="D93" s="446" t="str">
        <f>IF(AND($A93&gt;=SYear72,$A93&lt;=EYear72,D$3&gt;0),IF($A93=SYear72,D$67*(1+Data_72_15!D33%),D92*(1+Data_72_15!D33%)),"")</f>
        <v/>
      </c>
      <c r="E93" s="446" t="str">
        <f>IF(AND($A93&gt;=SYear72,$A93&lt;=EYear72,E$3&gt;0),IF($A93=SYear72,E$67*(1+Data_72_15!E33%),E92*(1+Data_72_15!E33%)),"")</f>
        <v/>
      </c>
      <c r="F93" s="446" t="str">
        <f>IF(AND($A93&gt;=SYear72,$A93&lt;=EYear72,F$3&gt;0),IF($A93=SYear72,F$67*(1+Data_72_15!F33%),F92*(1+Data_72_15!F33%)),"")</f>
        <v/>
      </c>
      <c r="G93" s="446" t="str">
        <f>IF(AND($A93&gt;=SYear72,$A93&lt;=EYear72,G$3&gt;0),IF($A93=SYear72,G$67*(1+Data_72_15!G33%),G92*(1+Data_72_15!G33%)),"")</f>
        <v/>
      </c>
      <c r="H93" s="446" t="str">
        <f>IF(AND($A93&gt;=SYear72,$A93&lt;=EYear72,H$3&gt;0),IF($A93=SYear72,H$67*(1+Data_72_15!H33%),H92*(1+Data_72_15!H33%)),"")</f>
        <v/>
      </c>
      <c r="I93" s="446" t="str">
        <f>IF(AND($A93&gt;=SYear72,$A93&lt;=EYear72,I$3&gt;0),IF($A93=SYear72,I$67*(1+Data_72_15!I33%),I92*(1+Data_72_15!I33%)),"")</f>
        <v/>
      </c>
      <c r="J93" s="446" t="str">
        <f>IF(AND($A93&gt;=SYear72,$A93&lt;=EYear72,J$3&gt;0),IF($A93=SYear72,J$67*(1+Data_72_15!J33%),J92*(1+Data_72_15!J33%)),"")</f>
        <v/>
      </c>
      <c r="K93" s="446" t="str">
        <f>IF(AND($A93&gt;=SYear72,$A93&lt;=EYear72,K$3&gt;0),IF($A93=SYear72,K$67*(1+Data_72_15!K33%),K92*(1+Data_72_15!K33%)),"")</f>
        <v/>
      </c>
      <c r="L93" s="446" t="str">
        <f>IF(AND($A93&gt;=SYear72,$A93&lt;=EYear72,L$3&gt;0),IF($A93=SYear72,L$67*(1+Data_72_15!L33%),L92*(1+Data_72_15!L33%)),"")</f>
        <v/>
      </c>
      <c r="M93" s="446" t="str">
        <f>IF(AND($A93&gt;=SYear72,$A93&lt;=EYear72,M$3&gt;0),IF($A93=SYear72,M$67*(1+Data_72_15!M33%),M92*(1+Data_72_15!M33%)),"")</f>
        <v/>
      </c>
      <c r="N93" s="446">
        <f>IF(AND($A93&gt;=SYear72,$A93&lt;=EYear72,N$3&gt;0),IF($A93=SYear72,N$67*(1+Data_72_15!N33%),N92*(1+Data_72_15!N33%)),"")</f>
        <v>81542.05628242869</v>
      </c>
      <c r="O93" s="446" t="str">
        <f>IF(AND($A93&gt;=SYear72,$A93&lt;=EYear72,O$3&gt;0),IF($A93=SYear72,O$67*(1+Data_72_15!O33%),O92*(1+Data_72_15!O33%)),"")</f>
        <v/>
      </c>
      <c r="P93" s="446" t="str">
        <f>IF(AND($A93&gt;=SYear72,$A93&lt;=EYear72,P$3&gt;0),IF($A93=SYear72,P$67*(1+Data_72_15!P33%),P92*(1+Data_72_15!P33%)),"")</f>
        <v/>
      </c>
      <c r="Q93" s="446" t="str">
        <f>IF(AND($A93&gt;=SYear72,$A93&lt;=EYear72,Q$3&gt;0),IF($A93=SYear72,Q$67*(1+Data_72_15!Q33%),Q92*(1+Data_72_15!Q33%)),"")</f>
        <v/>
      </c>
      <c r="R93" s="446" t="str">
        <f>IF(AND($A93&gt;=SYear72,$A93&lt;=EYear72,R$3&gt;0),IF($A93=SYear72,R$67*(1+Data_72_15!R33%),R92*(1+Data_72_15!R33%)),"")</f>
        <v/>
      </c>
      <c r="S93" s="446" t="str">
        <f>IF(AND($A93&gt;=SYear72,$A93&lt;=EYear72,S$3&gt;0),IF($A93=SYear72,S$67*(1+Data_72_15!S33%),S92*(1+Data_72_15!S33%)),"")</f>
        <v/>
      </c>
      <c r="T93" s="446">
        <f>IF(AND($A93&gt;=SYear72,$A93&lt;=EYear72,T$3&gt;0),IF($A93=SYear72,T$67*(1+Data_72_15!T33%),T92*(1+Data_72_15!T33%)),"")</f>
        <v>16142.588628763744</v>
      </c>
      <c r="U93" s="446" t="str">
        <f>IF(AND($A93&gt;=SYear72,$A93&lt;=EYear72,U$3&gt;0),IF($A93=SYear72,U$67*(1+Data_72_15!U33%),U92*(1+Data_72_15!U33%)),"")</f>
        <v/>
      </c>
      <c r="V93" s="446" t="str">
        <f>IF(AND($A93&gt;=SYear72,$A93&lt;=EYear72,V$3&gt;0),IF($A93=SYear72,V$67*(1+Data_72_15!V33%),V92*(1+Data_72_15!V33%)),"")</f>
        <v/>
      </c>
      <c r="W93" s="446" t="str">
        <f>IF(AND($A93&gt;=SYear72,$A93&lt;=EYear72,W$3&gt;0),IF($A93=SYear72,W$67*(1+Data_72_15!W33%),W92*(1+Data_72_15!W33%)),"")</f>
        <v/>
      </c>
      <c r="X93" s="446" t="str">
        <f>IF(AND($A93&gt;=SYear72,$A93&lt;=EYear72,X$3&gt;0),IF($A93=SYear72,X$67*(1+Data_72_15!X33%),X92*(1+Data_72_15!X33%)),"")</f>
        <v/>
      </c>
      <c r="Y93" s="446" t="str">
        <f>IF(AND($A93&gt;=SYear72,$A93&lt;=EYear72,Y$3&gt;0),IF($A93=SYear72,Y$67*(1+Data_72_15!Y33%),Y92*(1+Data_72_15!Y33%)),"")</f>
        <v/>
      </c>
      <c r="Z93" s="446" t="str">
        <f>IF(AND($A93&gt;=SYear72,$A93&lt;=EYear72,Z$3&gt;0),IF($A93=SYear72,Z$67*(1+Data_72_15!Z33%),Z92*(1+Data_72_15!Z33%)),"")</f>
        <v/>
      </c>
      <c r="AA93" s="446" t="str">
        <f>IF(AND($A93&gt;=SYear72,$A93&lt;=EYear72,AA$3&gt;0),IF($A93=SYear72,AA$67*(1+Data_72_15!AA33%),AA92*(1+Data_72_15!AA33%)),"")</f>
        <v/>
      </c>
      <c r="AB93" s="446" t="str">
        <f>IF(AND($A93&gt;=SYear72,$A93&lt;=EYear72,AB$3&gt;0),IF($A93=SYear72,AB$67*(1+Data_72_15!AB33%),AB92*(1+Data_72_15!AB33%)),"")</f>
        <v/>
      </c>
      <c r="AC93" s="446" t="str">
        <f>IF(AND($A93&gt;=SYear72,$A93&lt;=EYear72,AC$3&gt;0),IF($A93=SYear72,AC$67*(1+Data_72_15!AC33%),AC92*(1+Data_72_15!AC33%)),"")</f>
        <v/>
      </c>
      <c r="AD93" s="446" t="str">
        <f>IF(AND($A93&gt;=SYear72,$A93&lt;=EYear72,AD$3&gt;0),IF($A93=SYear72,AD$67*(1+Data_72_15!AD33%),AD92*(1+Data_72_15!AD33%)),"")</f>
        <v/>
      </c>
      <c r="AE93" s="446" t="str">
        <f>IF(AND($A93&gt;=SYear72,$A93&lt;=EYear72,AE$3&gt;0),IF($A93=SYear72,AE$67*(1+Data_72_15!AE33%),AE92*(1+Data_72_15!AE33%)),"")</f>
        <v/>
      </c>
      <c r="AF93" s="446" t="str">
        <f>IF(AND($A93&gt;=SYear72,$A93&lt;=EYear72,AF$3&gt;0),IF($A93=SYear72,AF$67*(1+Data_72_15!AF33%),AF92*(1+Data_72_15!AF33%)),"")</f>
        <v/>
      </c>
      <c r="AG93" s="446" t="str">
        <f>IF(AND($A93&gt;=SYear72,$A93&lt;=EYear72,AG$3&gt;0),IF($A93=SYear72,AG$67*(1+Data_72_15!AG33%),AG92*(1+Data_72_15!AG33%)),"")</f>
        <v/>
      </c>
      <c r="AH93" s="446" t="str">
        <f>IF(AND($A93&gt;=SYear72,$A93&lt;=EYear72,AH$3&gt;0),IF($A93=SYear72,AH$67*(1+Data_72_15!AH33%),AH92*(1+Data_72_15!AH33%)),"")</f>
        <v/>
      </c>
      <c r="AI93" s="446" t="str">
        <f>IF(AND($A93&gt;=SYear72,$A93&lt;=EYear72,AI$3&gt;0),IF($A93=SYear72,AI$67*(1+Data_72_15!AI33%),AI92*(1+Data_72_15!AI33%)),"")</f>
        <v/>
      </c>
      <c r="AJ93" s="446" t="str">
        <f>IF(AND($A93&gt;=SYear72,$A93&lt;=EYear72,AJ$3&gt;0),IF($A93=SYear72,AJ$67*(1+Data_72_15!AJ33%),AJ92*(1+Data_72_15!AJ33%)),"")</f>
        <v/>
      </c>
      <c r="AK93" s="446" t="str">
        <f>IF(AND($A93&gt;=SYear72,$A93&lt;=EYear72,AK$3&gt;0),IF($A93=SYear72,AK$67*(1+Data_72_15!AK33%),AK92*(1+Data_72_15!AK33%)),"")</f>
        <v/>
      </c>
      <c r="AL93" s="446" t="str">
        <f>IF(AND($A93&gt;=SYear72,$A93&lt;=EYear72,AL$3&gt;0),IF($A93=SYear72,AL$67*(1+Data_72_15!AL33%),AL92*(1+Data_72_15!AL33%)),"")</f>
        <v/>
      </c>
      <c r="AM93" s="206">
        <f t="shared" si="18"/>
        <v>15.010067497849024</v>
      </c>
      <c r="AN93" s="446">
        <f t="shared" si="19"/>
        <v>213030.81406768685</v>
      </c>
      <c r="AO93" s="206">
        <f>IF(AND($A93&gt;=SYear72,$A93&lt;=EYear72),(AM93-Data_72_15!AM33)/(1+Data_72_15!AM33%),"")</f>
        <v>13.084914477116257</v>
      </c>
      <c r="AP93" s="606">
        <f t="shared" si="20"/>
        <v>54281.255165418057</v>
      </c>
      <c r="AQ93" s="143">
        <f t="shared" si="21"/>
        <v>17.695045236964315</v>
      </c>
      <c r="AR93" s="143">
        <f>IF(AND($A93&gt;=SYear72,$A93&lt;=EYear72),MAX($AQ$68:AQ93),"")</f>
        <v>17.695045236964315</v>
      </c>
      <c r="AS93" s="209">
        <f t="shared" si="22"/>
        <v>0</v>
      </c>
      <c r="AZ93" s="61">
        <f t="shared" si="23"/>
        <v>0.15010067497849033</v>
      </c>
      <c r="BA93" s="61">
        <f t="shared" si="24"/>
        <v>0.19453463840881047</v>
      </c>
      <c r="BB93" s="61">
        <f t="shared" si="25"/>
        <v>5.6493113174185483E-2</v>
      </c>
      <c r="BC93" s="61">
        <f t="shared" si="26"/>
        <v>8.0380442208294323E-2</v>
      </c>
      <c r="BD93" s="61">
        <f t="shared" si="27"/>
        <v>5.0392117904640488E-2</v>
      </c>
      <c r="BG93" s="61">
        <f t="shared" si="28"/>
        <v>0.13084914477116261</v>
      </c>
      <c r="BH93" s="61">
        <f t="shared" si="29"/>
        <v>0.17112999250642669</v>
      </c>
      <c r="BI93" s="61">
        <f t="shared" si="30"/>
        <v>3.3903479997777763E-2</v>
      </c>
      <c r="BJ93" s="61">
        <f t="shared" si="31"/>
        <v>5.4665927663557712E-2</v>
      </c>
      <c r="BK93" s="61">
        <f t="shared" si="32"/>
        <v>2.5982188214632052E-2</v>
      </c>
    </row>
    <row r="94" spans="1:63">
      <c r="A94" s="204">
        <f t="shared" si="33"/>
        <v>1998</v>
      </c>
      <c r="B94" s="446">
        <f>IF(AND($A94&gt;=SYear72,$A94&lt;=EYear72,B$3&gt;0),IF($A94=SYear72,B$67*(1+Data_72_15!B34%),B93*(1+Data_72_15!B34%)),"")</f>
        <v>142175.68810229507</v>
      </c>
      <c r="C94" s="446" t="str">
        <f>IF(AND($A94&gt;=SYear72,$A94&lt;=EYear72,C$3&gt;0),IF($A94=SYear72,C$67*(1+Data_72_15!C34%),C93*(1+Data_72_15!C34%)),"")</f>
        <v/>
      </c>
      <c r="D94" s="446" t="str">
        <f>IF(AND($A94&gt;=SYear72,$A94&lt;=EYear72,D$3&gt;0),IF($A94=SYear72,D$67*(1+Data_72_15!D34%),D93*(1+Data_72_15!D34%)),"")</f>
        <v/>
      </c>
      <c r="E94" s="446" t="str">
        <f>IF(AND($A94&gt;=SYear72,$A94&lt;=EYear72,E$3&gt;0),IF($A94=SYear72,E$67*(1+Data_72_15!E34%),E93*(1+Data_72_15!E34%)),"")</f>
        <v/>
      </c>
      <c r="F94" s="446" t="str">
        <f>IF(AND($A94&gt;=SYear72,$A94&lt;=EYear72,F$3&gt;0),IF($A94=SYear72,F$67*(1+Data_72_15!F34%),F93*(1+Data_72_15!F34%)),"")</f>
        <v/>
      </c>
      <c r="G94" s="446" t="str">
        <f>IF(AND($A94&gt;=SYear72,$A94&lt;=EYear72,G$3&gt;0),IF($A94=SYear72,G$67*(1+Data_72_15!G34%),G93*(1+Data_72_15!G34%)),"")</f>
        <v/>
      </c>
      <c r="H94" s="446" t="str">
        <f>IF(AND($A94&gt;=SYear72,$A94&lt;=EYear72,H$3&gt;0),IF($A94=SYear72,H$67*(1+Data_72_15!H34%),H93*(1+Data_72_15!H34%)),"")</f>
        <v/>
      </c>
      <c r="I94" s="446" t="str">
        <f>IF(AND($A94&gt;=SYear72,$A94&lt;=EYear72,I$3&gt;0),IF($A94=SYear72,I$67*(1+Data_72_15!I34%),I93*(1+Data_72_15!I34%)),"")</f>
        <v/>
      </c>
      <c r="J94" s="446" t="str">
        <f>IF(AND($A94&gt;=SYear72,$A94&lt;=EYear72,J$3&gt;0),IF($A94=SYear72,J$67*(1+Data_72_15!J34%),J93*(1+Data_72_15!J34%)),"")</f>
        <v/>
      </c>
      <c r="K94" s="446" t="str">
        <f>IF(AND($A94&gt;=SYear72,$A94&lt;=EYear72,K$3&gt;0),IF($A94=SYear72,K$67*(1+Data_72_15!K34%),K93*(1+Data_72_15!K34%)),"")</f>
        <v/>
      </c>
      <c r="L94" s="446" t="str">
        <f>IF(AND($A94&gt;=SYear72,$A94&lt;=EYear72,L$3&gt;0),IF($A94=SYear72,L$67*(1+Data_72_15!L34%),L93*(1+Data_72_15!L34%)),"")</f>
        <v/>
      </c>
      <c r="M94" s="446" t="str">
        <f>IF(AND($A94&gt;=SYear72,$A94&lt;=EYear72,M$3&gt;0),IF($A94=SYear72,M$67*(1+Data_72_15!M34%),M93*(1+Data_72_15!M34%)),"")</f>
        <v/>
      </c>
      <c r="N94" s="446">
        <f>IF(AND($A94&gt;=SYear72,$A94&lt;=EYear72,N$3&gt;0),IF($A94=SYear72,N$67*(1+Data_72_15!N34%),N93*(1+Data_72_15!N34%)),"")</f>
        <v>94262.617062487552</v>
      </c>
      <c r="O94" s="446" t="str">
        <f>IF(AND($A94&gt;=SYear72,$A94&lt;=EYear72,O$3&gt;0),IF($A94=SYear72,O$67*(1+Data_72_15!O34%),O93*(1+Data_72_15!O34%)),"")</f>
        <v/>
      </c>
      <c r="P94" s="446" t="str">
        <f>IF(AND($A94&gt;=SYear72,$A94&lt;=EYear72,P$3&gt;0),IF($A94=SYear72,P$67*(1+Data_72_15!P34%),P93*(1+Data_72_15!P34%)),"")</f>
        <v/>
      </c>
      <c r="Q94" s="446" t="str">
        <f>IF(AND($A94&gt;=SYear72,$A94&lt;=EYear72,Q$3&gt;0),IF($A94=SYear72,Q$67*(1+Data_72_15!Q34%),Q93*(1+Data_72_15!Q34%)),"")</f>
        <v/>
      </c>
      <c r="R94" s="446" t="str">
        <f>IF(AND($A94&gt;=SYear72,$A94&lt;=EYear72,R$3&gt;0),IF($A94=SYear72,R$67*(1+Data_72_15!R34%),R93*(1+Data_72_15!R34%)),"")</f>
        <v/>
      </c>
      <c r="S94" s="446" t="str">
        <f>IF(AND($A94&gt;=SYear72,$A94&lt;=EYear72,S$3&gt;0),IF($A94=SYear72,S$67*(1+Data_72_15!S34%),S93*(1+Data_72_15!S34%)),"")</f>
        <v/>
      </c>
      <c r="T94" s="446">
        <f>IF(AND($A94&gt;=SYear72,$A94&lt;=EYear72,T$3&gt;0),IF($A94=SYear72,T$67*(1+Data_72_15!T34%),T93*(1+Data_72_15!T34%)),"")</f>
        <v>17855.317282275577</v>
      </c>
      <c r="U94" s="446" t="str">
        <f>IF(AND($A94&gt;=SYear72,$A94&lt;=EYear72,U$3&gt;0),IF($A94=SYear72,U$67*(1+Data_72_15!U34%),U93*(1+Data_72_15!U34%)),"")</f>
        <v/>
      </c>
      <c r="V94" s="446" t="str">
        <f>IF(AND($A94&gt;=SYear72,$A94&lt;=EYear72,V$3&gt;0),IF($A94=SYear72,V$67*(1+Data_72_15!V34%),V93*(1+Data_72_15!V34%)),"")</f>
        <v/>
      </c>
      <c r="W94" s="446" t="str">
        <f>IF(AND($A94&gt;=SYear72,$A94&lt;=EYear72,W$3&gt;0),IF($A94=SYear72,W$67*(1+Data_72_15!W34%),W93*(1+Data_72_15!W34%)),"")</f>
        <v/>
      </c>
      <c r="X94" s="446" t="str">
        <f>IF(AND($A94&gt;=SYear72,$A94&lt;=EYear72,X$3&gt;0),IF($A94=SYear72,X$67*(1+Data_72_15!X34%),X93*(1+Data_72_15!X34%)),"")</f>
        <v/>
      </c>
      <c r="Y94" s="446" t="str">
        <f>IF(AND($A94&gt;=SYear72,$A94&lt;=EYear72,Y$3&gt;0),IF($A94=SYear72,Y$67*(1+Data_72_15!Y34%),Y93*(1+Data_72_15!Y34%)),"")</f>
        <v/>
      </c>
      <c r="Z94" s="446" t="str">
        <f>IF(AND($A94&gt;=SYear72,$A94&lt;=EYear72,Z$3&gt;0),IF($A94=SYear72,Z$67*(1+Data_72_15!Z34%),Z93*(1+Data_72_15!Z34%)),"")</f>
        <v/>
      </c>
      <c r="AA94" s="446" t="str">
        <f>IF(AND($A94&gt;=SYear72,$A94&lt;=EYear72,AA$3&gt;0),IF($A94=SYear72,AA$67*(1+Data_72_15!AA34%),AA93*(1+Data_72_15!AA34%)),"")</f>
        <v/>
      </c>
      <c r="AB94" s="446" t="str">
        <f>IF(AND($A94&gt;=SYear72,$A94&lt;=EYear72,AB$3&gt;0),IF($A94=SYear72,AB$67*(1+Data_72_15!AB34%),AB93*(1+Data_72_15!AB34%)),"")</f>
        <v/>
      </c>
      <c r="AC94" s="446" t="str">
        <f>IF(AND($A94&gt;=SYear72,$A94&lt;=EYear72,AC$3&gt;0),IF($A94=SYear72,AC$67*(1+Data_72_15!AC34%),AC93*(1+Data_72_15!AC34%)),"")</f>
        <v/>
      </c>
      <c r="AD94" s="446" t="str">
        <f>IF(AND($A94&gt;=SYear72,$A94&lt;=EYear72,AD$3&gt;0),IF($A94=SYear72,AD$67*(1+Data_72_15!AD34%),AD93*(1+Data_72_15!AD34%)),"")</f>
        <v/>
      </c>
      <c r="AE94" s="446" t="str">
        <f>IF(AND($A94&gt;=SYear72,$A94&lt;=EYear72,AE$3&gt;0),IF($A94=SYear72,AE$67*(1+Data_72_15!AE34%),AE93*(1+Data_72_15!AE34%)),"")</f>
        <v/>
      </c>
      <c r="AF94" s="446" t="str">
        <f>IF(AND($A94&gt;=SYear72,$A94&lt;=EYear72,AF$3&gt;0),IF($A94=SYear72,AF$67*(1+Data_72_15!AF34%),AF93*(1+Data_72_15!AF34%)),"")</f>
        <v/>
      </c>
      <c r="AG94" s="446" t="str">
        <f>IF(AND($A94&gt;=SYear72,$A94&lt;=EYear72,AG$3&gt;0),IF($A94=SYear72,AG$67*(1+Data_72_15!AG34%),AG93*(1+Data_72_15!AG34%)),"")</f>
        <v/>
      </c>
      <c r="AH94" s="446" t="str">
        <f>IF(AND($A94&gt;=SYear72,$A94&lt;=EYear72,AH$3&gt;0),IF($A94=SYear72,AH$67*(1+Data_72_15!AH34%),AH93*(1+Data_72_15!AH34%)),"")</f>
        <v/>
      </c>
      <c r="AI94" s="446" t="str">
        <f>IF(AND($A94&gt;=SYear72,$A94&lt;=EYear72,AI$3&gt;0),IF($A94=SYear72,AI$67*(1+Data_72_15!AI34%),AI93*(1+Data_72_15!AI34%)),"")</f>
        <v/>
      </c>
      <c r="AJ94" s="446" t="str">
        <f>IF(AND($A94&gt;=SYear72,$A94&lt;=EYear72,AJ$3&gt;0),IF($A94=SYear72,AJ$67*(1+Data_72_15!AJ34%),AJ93*(1+Data_72_15!AJ34%)),"")</f>
        <v/>
      </c>
      <c r="AK94" s="446" t="str">
        <f>IF(AND($A94&gt;=SYear72,$A94&lt;=EYear72,AK$3&gt;0),IF($A94=SYear72,AK$67*(1+Data_72_15!AK34%),AK93*(1+Data_72_15!AK34%)),"")</f>
        <v/>
      </c>
      <c r="AL94" s="446" t="str">
        <f>IF(AND($A94&gt;=SYear72,$A94&lt;=EYear72,AL$3&gt;0),IF($A94=SYear72,AL$67*(1+Data_72_15!AL34%),AL93*(1+Data_72_15!AL34%)),"")</f>
        <v/>
      </c>
      <c r="AM94" s="206">
        <f t="shared" si="18"/>
        <v>19.369408392844434</v>
      </c>
      <c r="AN94" s="446">
        <f t="shared" si="19"/>
        <v>254293.62244705821</v>
      </c>
      <c r="AO94" s="206">
        <f>IF(AND($A94&gt;=SYear72,$A94&lt;=EYear72),(AM94-Data_72_15!AM34)/(1+Data_72_15!AM34%),"")</f>
        <v>17.475811920474722</v>
      </c>
      <c r="AP94" s="606">
        <f t="shared" si="20"/>
        <v>63767.345226199483</v>
      </c>
      <c r="AQ94" s="143">
        <f t="shared" si="21"/>
        <v>21.122470814210502</v>
      </c>
      <c r="AR94" s="143">
        <f>IF(AND($A94&gt;=SYear72,$A94&lt;=EYear72),MAX($AQ$68:AQ94),"")</f>
        <v>21.122470814210502</v>
      </c>
      <c r="AS94" s="209">
        <f t="shared" si="22"/>
        <v>0</v>
      </c>
      <c r="AZ94" s="61">
        <f t="shared" si="23"/>
        <v>0.19369408392844445</v>
      </c>
      <c r="BA94" s="61">
        <f t="shared" si="24"/>
        <v>9.5937902633282279E-2</v>
      </c>
      <c r="BB94" s="61">
        <f t="shared" si="25"/>
        <v>-7.6826969665929612E-3</v>
      </c>
      <c r="BC94" s="61">
        <f t="shared" si="26"/>
        <v>7.5714831645165237E-2</v>
      </c>
      <c r="BD94" s="61">
        <f t="shared" si="27"/>
        <v>5.0748802147118077E-2</v>
      </c>
      <c r="BG94" s="61">
        <f t="shared" si="28"/>
        <v>0.17475811920474715</v>
      </c>
      <c r="BH94" s="61">
        <f t="shared" si="29"/>
        <v>6.8597909289765058E-2</v>
      </c>
      <c r="BI94" s="61">
        <f t="shared" si="30"/>
        <v>-3.0183152542837655E-2</v>
      </c>
      <c r="BJ94" s="61">
        <f t="shared" si="31"/>
        <v>4.7686190292869579E-2</v>
      </c>
      <c r="BK94" s="61">
        <f t="shared" si="32"/>
        <v>2.6304602200772909E-2</v>
      </c>
    </row>
    <row r="95" spans="1:63">
      <c r="A95" s="204">
        <f t="shared" si="33"/>
        <v>1999</v>
      </c>
      <c r="B95" s="446">
        <f>IF(AND($A95&gt;=SYear72,$A95&lt;=EYear72,B$3&gt;0),IF($A95=SYear72,B$67*(1+Data_72_15!B35%),B94*(1+Data_72_15!B35%)),"")</f>
        <v>176027.71943945152</v>
      </c>
      <c r="C95" s="446" t="str">
        <f>IF(AND($A95&gt;=SYear72,$A95&lt;=EYear72,C$3&gt;0),IF($A95=SYear72,C$67*(1+Data_72_15!C35%),C94*(1+Data_72_15!C35%)),"")</f>
        <v/>
      </c>
      <c r="D95" s="446" t="str">
        <f>IF(AND($A95&gt;=SYear72,$A95&lt;=EYear72,D$3&gt;0),IF($A95=SYear72,D$67*(1+Data_72_15!D35%),D94*(1+Data_72_15!D35%)),"")</f>
        <v/>
      </c>
      <c r="E95" s="446" t="str">
        <f>IF(AND($A95&gt;=SYear72,$A95&lt;=EYear72,E$3&gt;0),IF($A95=SYear72,E$67*(1+Data_72_15!E35%),E94*(1+Data_72_15!E35%)),"")</f>
        <v/>
      </c>
      <c r="F95" s="446" t="str">
        <f>IF(AND($A95&gt;=SYear72,$A95&lt;=EYear72,F$3&gt;0),IF($A95=SYear72,F$67*(1+Data_72_15!F35%),F94*(1+Data_72_15!F35%)),"")</f>
        <v/>
      </c>
      <c r="G95" s="446" t="str">
        <f>IF(AND($A95&gt;=SYear72,$A95&lt;=EYear72,G$3&gt;0),IF($A95=SYear72,G$67*(1+Data_72_15!G35%),G94*(1+Data_72_15!G35%)),"")</f>
        <v/>
      </c>
      <c r="H95" s="446" t="str">
        <f>IF(AND($A95&gt;=SYear72,$A95&lt;=EYear72,H$3&gt;0),IF($A95=SYear72,H$67*(1+Data_72_15!H35%),H94*(1+Data_72_15!H35%)),"")</f>
        <v/>
      </c>
      <c r="I95" s="446" t="str">
        <f>IF(AND($A95&gt;=SYear72,$A95&lt;=EYear72,I$3&gt;0),IF($A95=SYear72,I$67*(1+Data_72_15!I35%),I94*(1+Data_72_15!I35%)),"")</f>
        <v/>
      </c>
      <c r="J95" s="446" t="str">
        <f>IF(AND($A95&gt;=SYear72,$A95&lt;=EYear72,J$3&gt;0),IF($A95=SYear72,J$67*(1+Data_72_15!J35%),J94*(1+Data_72_15!J35%)),"")</f>
        <v/>
      </c>
      <c r="K95" s="446" t="str">
        <f>IF(AND($A95&gt;=SYear72,$A95&lt;=EYear72,K$3&gt;0),IF($A95=SYear72,K$67*(1+Data_72_15!K35%),K94*(1+Data_72_15!K35%)),"")</f>
        <v/>
      </c>
      <c r="L95" s="446" t="str">
        <f>IF(AND($A95&gt;=SYear72,$A95&lt;=EYear72,L$3&gt;0),IF($A95=SYear72,L$67*(1+Data_72_15!L35%),L94*(1+Data_72_15!L35%)),"")</f>
        <v/>
      </c>
      <c r="M95" s="446" t="str">
        <f>IF(AND($A95&gt;=SYear72,$A95&lt;=EYear72,M$3&gt;0),IF($A95=SYear72,M$67*(1+Data_72_15!M35%),M94*(1+Data_72_15!M35%)),"")</f>
        <v/>
      </c>
      <c r="N95" s="446">
        <f>IF(AND($A95&gt;=SYear72,$A95&lt;=EYear72,N$3&gt;0),IF($A95=SYear72,N$67*(1+Data_72_15!N35%),N94*(1+Data_72_15!N35%)),"")</f>
        <v>122465.99208758381</v>
      </c>
      <c r="O95" s="446" t="str">
        <f>IF(AND($A95&gt;=SYear72,$A95&lt;=EYear72,O$3&gt;0),IF($A95=SYear72,O$67*(1+Data_72_15!O35%),O94*(1+Data_72_15!O35%)),"")</f>
        <v/>
      </c>
      <c r="P95" s="446" t="str">
        <f>IF(AND($A95&gt;=SYear72,$A95&lt;=EYear72,P$3&gt;0),IF($A95=SYear72,P$67*(1+Data_72_15!P35%),P94*(1+Data_72_15!P35%)),"")</f>
        <v/>
      </c>
      <c r="Q95" s="446" t="str">
        <f>IF(AND($A95&gt;=SYear72,$A95&lt;=EYear72,Q$3&gt;0),IF($A95=SYear72,Q$67*(1+Data_72_15!Q35%),Q94*(1+Data_72_15!Q35%)),"")</f>
        <v/>
      </c>
      <c r="R95" s="446" t="str">
        <f>IF(AND($A95&gt;=SYear72,$A95&lt;=EYear72,R$3&gt;0),IF($A95=SYear72,R$67*(1+Data_72_15!R35%),R94*(1+Data_72_15!R35%)),"")</f>
        <v/>
      </c>
      <c r="S95" s="446" t="str">
        <f>IF(AND($A95&gt;=SYear72,$A95&lt;=EYear72,S$3&gt;0),IF($A95=SYear72,S$67*(1+Data_72_15!S35%),S94*(1+Data_72_15!S35%)),"")</f>
        <v/>
      </c>
      <c r="T95" s="446">
        <f>IF(AND($A95&gt;=SYear72,$A95&lt;=EYear72,T$3&gt;0),IF($A95=SYear72,T$67*(1+Data_72_15!T35%),T94*(1+Data_72_15!T35%)),"")</f>
        <v>17226.810113939475</v>
      </c>
      <c r="U95" s="446" t="str">
        <f>IF(AND($A95&gt;=SYear72,$A95&lt;=EYear72,U$3&gt;0),IF($A95=SYear72,U$67*(1+Data_72_15!U35%),U94*(1+Data_72_15!U35%)),"")</f>
        <v/>
      </c>
      <c r="V95" s="446" t="str">
        <f>IF(AND($A95&gt;=SYear72,$A95&lt;=EYear72,V$3&gt;0),IF($A95=SYear72,V$67*(1+Data_72_15!V35%),V94*(1+Data_72_15!V35%)),"")</f>
        <v/>
      </c>
      <c r="W95" s="446" t="str">
        <f>IF(AND($A95&gt;=SYear72,$A95&lt;=EYear72,W$3&gt;0),IF($A95=SYear72,W$67*(1+Data_72_15!W35%),W94*(1+Data_72_15!W35%)),"")</f>
        <v/>
      </c>
      <c r="X95" s="446" t="str">
        <f>IF(AND($A95&gt;=SYear72,$A95&lt;=EYear72,X$3&gt;0),IF($A95=SYear72,X$67*(1+Data_72_15!X35%),X94*(1+Data_72_15!X35%)),"")</f>
        <v/>
      </c>
      <c r="Y95" s="446" t="str">
        <f>IF(AND($A95&gt;=SYear72,$A95&lt;=EYear72,Y$3&gt;0),IF($A95=SYear72,Y$67*(1+Data_72_15!Y35%),Y94*(1+Data_72_15!Y35%)),"")</f>
        <v/>
      </c>
      <c r="Z95" s="446" t="str">
        <f>IF(AND($A95&gt;=SYear72,$A95&lt;=EYear72,Z$3&gt;0),IF($A95=SYear72,Z$67*(1+Data_72_15!Z35%),Z94*(1+Data_72_15!Z35%)),"")</f>
        <v/>
      </c>
      <c r="AA95" s="446" t="str">
        <f>IF(AND($A95&gt;=SYear72,$A95&lt;=EYear72,AA$3&gt;0),IF($A95=SYear72,AA$67*(1+Data_72_15!AA35%),AA94*(1+Data_72_15!AA35%)),"")</f>
        <v/>
      </c>
      <c r="AB95" s="446" t="str">
        <f>IF(AND($A95&gt;=SYear72,$A95&lt;=EYear72,AB$3&gt;0),IF($A95=SYear72,AB$67*(1+Data_72_15!AB35%),AB94*(1+Data_72_15!AB35%)),"")</f>
        <v/>
      </c>
      <c r="AC95" s="446" t="str">
        <f>IF(AND($A95&gt;=SYear72,$A95&lt;=EYear72,AC$3&gt;0),IF($A95=SYear72,AC$67*(1+Data_72_15!AC35%),AC94*(1+Data_72_15!AC35%)),"")</f>
        <v/>
      </c>
      <c r="AD95" s="446" t="str">
        <f>IF(AND($A95&gt;=SYear72,$A95&lt;=EYear72,AD$3&gt;0),IF($A95=SYear72,AD$67*(1+Data_72_15!AD35%),AD94*(1+Data_72_15!AD35%)),"")</f>
        <v/>
      </c>
      <c r="AE95" s="446" t="str">
        <f>IF(AND($A95&gt;=SYear72,$A95&lt;=EYear72,AE$3&gt;0),IF($A95=SYear72,AE$67*(1+Data_72_15!AE35%),AE94*(1+Data_72_15!AE35%)),"")</f>
        <v/>
      </c>
      <c r="AF95" s="446" t="str">
        <f>IF(AND($A95&gt;=SYear72,$A95&lt;=EYear72,AF$3&gt;0),IF($A95=SYear72,AF$67*(1+Data_72_15!AF35%),AF94*(1+Data_72_15!AF35%)),"")</f>
        <v/>
      </c>
      <c r="AG95" s="446" t="str">
        <f>IF(AND($A95&gt;=SYear72,$A95&lt;=EYear72,AG$3&gt;0),IF($A95=SYear72,AG$67*(1+Data_72_15!AG35%),AG94*(1+Data_72_15!AG35%)),"")</f>
        <v/>
      </c>
      <c r="AH95" s="446" t="str">
        <f>IF(AND($A95&gt;=SYear72,$A95&lt;=EYear72,AH$3&gt;0),IF($A95=SYear72,AH$67*(1+Data_72_15!AH35%),AH94*(1+Data_72_15!AH35%)),"")</f>
        <v/>
      </c>
      <c r="AI95" s="446" t="str">
        <f>IF(AND($A95&gt;=SYear72,$A95&lt;=EYear72,AI$3&gt;0),IF($A95=SYear72,AI$67*(1+Data_72_15!AI35%),AI94*(1+Data_72_15!AI35%)),"")</f>
        <v/>
      </c>
      <c r="AJ95" s="446" t="str">
        <f>IF(AND($A95&gt;=SYear72,$A95&lt;=EYear72,AJ$3&gt;0),IF($A95=SYear72,AJ$67*(1+Data_72_15!AJ35%),AJ94*(1+Data_72_15!AJ35%)),"")</f>
        <v/>
      </c>
      <c r="AK95" s="446" t="str">
        <f>IF(AND($A95&gt;=SYear72,$A95&lt;=EYear72,AK$3&gt;0),IF($A95=SYear72,AK$67*(1+Data_72_15!AK35%),AK94*(1+Data_72_15!AK35%)),"")</f>
        <v/>
      </c>
      <c r="AL95" s="446" t="str">
        <f>IF(AND($A95&gt;=SYear72,$A95&lt;=EYear72,AL$3&gt;0),IF($A95=SYear72,AL$67*(1+Data_72_15!AL35%),AL94*(1+Data_72_15!AL35%)),"")</f>
        <v/>
      </c>
      <c r="AM95" s="206">
        <f t="shared" si="18"/>
        <v>24.155894513911825</v>
      </c>
      <c r="AN95" s="446">
        <f t="shared" si="19"/>
        <v>315720.5216409748</v>
      </c>
      <c r="AO95" s="206">
        <f>IF(AND($A95&gt;=SYear72,$A95&lt;=EYear72),(AM95-Data_72_15!AM35)/(1+Data_72_15!AM35%),"")</f>
        <v>20.909988774986029</v>
      </c>
      <c r="AP95" s="606">
        <f t="shared" si="20"/>
        <v>77101.089955104384</v>
      </c>
      <c r="AQ95" s="143">
        <f t="shared" si="21"/>
        <v>26.224792582823003</v>
      </c>
      <c r="AR95" s="143">
        <f>IF(AND($A95&gt;=SYear72,$A95&lt;=EYear72),MAX($AQ$68:AQ95),"")</f>
        <v>26.224792582823003</v>
      </c>
      <c r="AS95" s="209">
        <f t="shared" si="22"/>
        <v>0</v>
      </c>
      <c r="AZ95" s="61">
        <f t="shared" si="23"/>
        <v>0.24155894513911824</v>
      </c>
      <c r="BA95" s="61">
        <f t="shared" si="24"/>
        <v>-1.3944217862551733E-2</v>
      </c>
      <c r="BB95" s="61">
        <f t="shared" si="25"/>
        <v>1.0963520585269837E-2</v>
      </c>
      <c r="BC95" s="61">
        <f t="shared" si="26"/>
        <v>9.3198960765257244E-3</v>
      </c>
      <c r="BD95" s="61">
        <f>IF(AND($A95&gt;=SYear72,$A95&lt;=EYear72),IF($A95=SYear72,(($AN110/$AN$67)^(1/(1+($A110-$A95)))-1),(($AN110/$AN94)^(1/(1+($A110-$A95)))-1)),"")</f>
        <v>5.3237885113182948E-2</v>
      </c>
      <c r="BG95" s="61">
        <f t="shared" si="28"/>
        <v>0.20909988774986021</v>
      </c>
      <c r="BH95" s="61">
        <f t="shared" si="29"/>
        <v>-3.8353137969461826E-2</v>
      </c>
      <c r="BI95" s="61">
        <f t="shared" si="30"/>
        <v>-1.2479298522433235E-2</v>
      </c>
      <c r="BJ95" s="61">
        <f t="shared" si="31"/>
        <v>-1.5495572014119663E-2</v>
      </c>
      <c r="BK95" s="61">
        <f>IF(AND($A95&gt;=SYear72,$A95&lt;=EYear72),IF($A95=SYear72,(($AP110/$AP$67)^(1/(1+($A110-$A95)))-1),(($AP110/$AP94)^(1/(1+($A110-$A95)))-1)),"")</f>
        <v>2.9834979328848821E-2</v>
      </c>
    </row>
    <row r="96" spans="1:63">
      <c r="A96" s="204">
        <f t="shared" si="33"/>
        <v>2000</v>
      </c>
      <c r="B96" s="446">
        <f>IF(AND($A96&gt;=SYear72,$A96&lt;=EYear72,B$3&gt;0),IF($A96=SYear72,B$67*(1+Data_72_15!B36%),B95*(1+Data_72_15!B36%)),"")</f>
        <v>157421.5894947015</v>
      </c>
      <c r="C96" s="446" t="str">
        <f>IF(AND($A96&gt;=SYear72,$A96&lt;=EYear72,C$3&gt;0),IF($A96=SYear72,C$67*(1+Data_72_15!C36%),C95*(1+Data_72_15!C36%)),"")</f>
        <v/>
      </c>
      <c r="D96" s="446" t="str">
        <f>IF(AND($A96&gt;=SYear72,$A96&lt;=EYear72,D$3&gt;0),IF($A96=SYear72,D$67*(1+Data_72_15!D36%),D95*(1+Data_72_15!D36%)),"")</f>
        <v/>
      </c>
      <c r="E96" s="446" t="str">
        <f>IF(AND($A96&gt;=SYear72,$A96&lt;=EYear72,E$3&gt;0),IF($A96=SYear72,E$67*(1+Data_72_15!E36%),E95*(1+Data_72_15!E36%)),"")</f>
        <v/>
      </c>
      <c r="F96" s="446" t="str">
        <f>IF(AND($A96&gt;=SYear72,$A96&lt;=EYear72,F$3&gt;0),IF($A96=SYear72,F$67*(1+Data_72_15!F36%),F95*(1+Data_72_15!F36%)),"")</f>
        <v/>
      </c>
      <c r="G96" s="446" t="str">
        <f>IF(AND($A96&gt;=SYear72,$A96&lt;=EYear72,G$3&gt;0),IF($A96=SYear72,G$67*(1+Data_72_15!G36%),G95*(1+Data_72_15!G36%)),"")</f>
        <v/>
      </c>
      <c r="H96" s="446" t="str">
        <f>IF(AND($A96&gt;=SYear72,$A96&lt;=EYear72,H$3&gt;0),IF($A96=SYear72,H$67*(1+Data_72_15!H36%),H95*(1+Data_72_15!H36%)),"")</f>
        <v/>
      </c>
      <c r="I96" s="446" t="str">
        <f>IF(AND($A96&gt;=SYear72,$A96&lt;=EYear72,I$3&gt;0),IF($A96=SYear72,I$67*(1+Data_72_15!I36%),I95*(1+Data_72_15!I36%)),"")</f>
        <v/>
      </c>
      <c r="J96" s="446" t="str">
        <f>IF(AND($A96&gt;=SYear72,$A96&lt;=EYear72,J$3&gt;0),IF($A96=SYear72,J$67*(1+Data_72_15!J36%),J95*(1+Data_72_15!J36%)),"")</f>
        <v/>
      </c>
      <c r="K96" s="446" t="str">
        <f>IF(AND($A96&gt;=SYear72,$A96&lt;=EYear72,K$3&gt;0),IF($A96=SYear72,K$67*(1+Data_72_15!K36%),K95*(1+Data_72_15!K36%)),"")</f>
        <v/>
      </c>
      <c r="L96" s="446" t="str">
        <f>IF(AND($A96&gt;=SYear72,$A96&lt;=EYear72,L$3&gt;0),IF($A96=SYear72,L$67*(1+Data_72_15!L36%),L95*(1+Data_72_15!L36%)),"")</f>
        <v/>
      </c>
      <c r="M96" s="446" t="str">
        <f>IF(AND($A96&gt;=SYear72,$A96&lt;=EYear72,M$3&gt;0),IF($A96=SYear72,M$67*(1+Data_72_15!M36%),M95*(1+Data_72_15!M36%)),"")</f>
        <v/>
      </c>
      <c r="N96" s="446">
        <f>IF(AND($A96&gt;=SYear72,$A96&lt;=EYear72,N$3&gt;0),IF($A96=SYear72,N$67*(1+Data_72_15!N36%),N95*(1+Data_72_15!N36%)),"")</f>
        <v>103349.05072271198</v>
      </c>
      <c r="O96" s="446" t="str">
        <f>IF(AND($A96&gt;=SYear72,$A96&lt;=EYear72,O$3&gt;0),IF($A96=SYear72,O$67*(1+Data_72_15!O36%),O95*(1+Data_72_15!O36%)),"")</f>
        <v/>
      </c>
      <c r="P96" s="446" t="str">
        <f>IF(AND($A96&gt;=SYear72,$A96&lt;=EYear72,P$3&gt;0),IF($A96=SYear72,P$67*(1+Data_72_15!P36%),P95*(1+Data_72_15!P36%)),"")</f>
        <v/>
      </c>
      <c r="Q96" s="446" t="str">
        <f>IF(AND($A96&gt;=SYear72,$A96&lt;=EYear72,Q$3&gt;0),IF($A96=SYear72,Q$67*(1+Data_72_15!Q36%),Q95*(1+Data_72_15!Q36%)),"")</f>
        <v/>
      </c>
      <c r="R96" s="446" t="str">
        <f>IF(AND($A96&gt;=SYear72,$A96&lt;=EYear72,R$3&gt;0),IF($A96=SYear72,R$67*(1+Data_72_15!R36%),R95*(1+Data_72_15!R36%)),"")</f>
        <v/>
      </c>
      <c r="S96" s="446" t="str">
        <f>IF(AND($A96&gt;=SYear72,$A96&lt;=EYear72,S$3&gt;0),IF($A96=SYear72,S$67*(1+Data_72_15!S36%),S95*(1+Data_72_15!S36%)),"")</f>
        <v/>
      </c>
      <c r="T96" s="446">
        <f>IF(AND($A96&gt;=SYear72,$A96&lt;=EYear72,T$3&gt;0),IF($A96=SYear72,T$67*(1+Data_72_15!T36%),T95*(1+Data_72_15!T36%)),"")</f>
        <v>19643.731572925182</v>
      </c>
      <c r="U96" s="446" t="str">
        <f>IF(AND($A96&gt;=SYear72,$A96&lt;=EYear72,U$3&gt;0),IF($A96=SYear72,U$67*(1+Data_72_15!U36%),U95*(1+Data_72_15!U36%)),"")</f>
        <v/>
      </c>
      <c r="V96" s="446" t="str">
        <f>IF(AND($A96&gt;=SYear72,$A96&lt;=EYear72,V$3&gt;0),IF($A96=SYear72,V$67*(1+Data_72_15!V36%),V95*(1+Data_72_15!V36%)),"")</f>
        <v/>
      </c>
      <c r="W96" s="446" t="str">
        <f>IF(AND($A96&gt;=SYear72,$A96&lt;=EYear72,W$3&gt;0),IF($A96=SYear72,W$67*(1+Data_72_15!W36%),W95*(1+Data_72_15!W36%)),"")</f>
        <v/>
      </c>
      <c r="X96" s="446" t="str">
        <f>IF(AND($A96&gt;=SYear72,$A96&lt;=EYear72,X$3&gt;0),IF($A96=SYear72,X$67*(1+Data_72_15!X36%),X95*(1+Data_72_15!X36%)),"")</f>
        <v/>
      </c>
      <c r="Y96" s="446" t="str">
        <f>IF(AND($A96&gt;=SYear72,$A96&lt;=EYear72,Y$3&gt;0),IF($A96=SYear72,Y$67*(1+Data_72_15!Y36%),Y95*(1+Data_72_15!Y36%)),"")</f>
        <v/>
      </c>
      <c r="Z96" s="446" t="str">
        <f>IF(AND($A96&gt;=SYear72,$A96&lt;=EYear72,Z$3&gt;0),IF($A96=SYear72,Z$67*(1+Data_72_15!Z36%),Z95*(1+Data_72_15!Z36%)),"")</f>
        <v/>
      </c>
      <c r="AA96" s="446" t="str">
        <f>IF(AND($A96&gt;=SYear72,$A96&lt;=EYear72,AA$3&gt;0),IF($A96=SYear72,AA$67*(1+Data_72_15!AA36%),AA95*(1+Data_72_15!AA36%)),"")</f>
        <v/>
      </c>
      <c r="AB96" s="446" t="str">
        <f>IF(AND($A96&gt;=SYear72,$A96&lt;=EYear72,AB$3&gt;0),IF($A96=SYear72,AB$67*(1+Data_72_15!AB36%),AB95*(1+Data_72_15!AB36%)),"")</f>
        <v/>
      </c>
      <c r="AC96" s="446" t="str">
        <f>IF(AND($A96&gt;=SYear72,$A96&lt;=EYear72,AC$3&gt;0),IF($A96=SYear72,AC$67*(1+Data_72_15!AC36%),AC95*(1+Data_72_15!AC36%)),"")</f>
        <v/>
      </c>
      <c r="AD96" s="446" t="str">
        <f>IF(AND($A96&gt;=SYear72,$A96&lt;=EYear72,AD$3&gt;0),IF($A96=SYear72,AD$67*(1+Data_72_15!AD36%),AD95*(1+Data_72_15!AD36%)),"")</f>
        <v/>
      </c>
      <c r="AE96" s="446" t="str">
        <f>IF(AND($A96&gt;=SYear72,$A96&lt;=EYear72,AE$3&gt;0),IF($A96=SYear72,AE$67*(1+Data_72_15!AE36%),AE95*(1+Data_72_15!AE36%)),"")</f>
        <v/>
      </c>
      <c r="AF96" s="446" t="str">
        <f>IF(AND($A96&gt;=SYear72,$A96&lt;=EYear72,AF$3&gt;0),IF($A96=SYear72,AF$67*(1+Data_72_15!AF36%),AF95*(1+Data_72_15!AF36%)),"")</f>
        <v/>
      </c>
      <c r="AG96" s="446" t="str">
        <f>IF(AND($A96&gt;=SYear72,$A96&lt;=EYear72,AG$3&gt;0),IF($A96=SYear72,AG$67*(1+Data_72_15!AG36%),AG95*(1+Data_72_15!AG36%)),"")</f>
        <v/>
      </c>
      <c r="AH96" s="446" t="str">
        <f>IF(AND($A96&gt;=SYear72,$A96&lt;=EYear72,AH$3&gt;0),IF($A96=SYear72,AH$67*(1+Data_72_15!AH36%),AH95*(1+Data_72_15!AH36%)),"")</f>
        <v/>
      </c>
      <c r="AI96" s="446" t="str">
        <f>IF(AND($A96&gt;=SYear72,$A96&lt;=EYear72,AI$3&gt;0),IF($A96=SYear72,AI$67*(1+Data_72_15!AI36%),AI95*(1+Data_72_15!AI36%)),"")</f>
        <v/>
      </c>
      <c r="AJ96" s="446" t="str">
        <f>IF(AND($A96&gt;=SYear72,$A96&lt;=EYear72,AJ$3&gt;0),IF($A96=SYear72,AJ$67*(1+Data_72_15!AJ36%),AJ95*(1+Data_72_15!AJ36%)),"")</f>
        <v/>
      </c>
      <c r="AK96" s="446" t="str">
        <f>IF(AND($A96&gt;=SYear72,$A96&lt;=EYear72,AK$3&gt;0),IF($A96=SYear72,AK$67*(1+Data_72_15!AK36%),AK95*(1+Data_72_15!AK36%)),"")</f>
        <v/>
      </c>
      <c r="AL96" s="446" t="str">
        <f>IF(AND($A96&gt;=SYear72,$A96&lt;=EYear72,AL$3&gt;0),IF($A96=SYear72,AL$67*(1+Data_72_15!AL36%),AL95*(1+Data_72_15!AL36%)),"")</f>
        <v/>
      </c>
      <c r="AM96" s="206">
        <f t="shared" si="18"/>
        <v>-11.182722512661034</v>
      </c>
      <c r="AN96" s="446">
        <f t="shared" si="19"/>
        <v>280414.37179033866</v>
      </c>
      <c r="AO96" s="206">
        <f>IF(AND($A96&gt;=SYear72,$A96&lt;=EYear72),(AM96-Data_72_15!AM36)/(1+Data_72_15!AM36%),"")</f>
        <v>-14.092254016556607</v>
      </c>
      <c r="AP96" s="606">
        <f t="shared" si="20"/>
        <v>66235.80850909726</v>
      </c>
      <c r="AQ96" s="143">
        <f t="shared" si="21"/>
        <v>23.292146798764993</v>
      </c>
      <c r="AR96" s="143">
        <f>IF(AND($A96&gt;=SYear72,$A96&lt;=EYear72),MAX($AQ$68:AQ96),"")</f>
        <v>26.224792582823003</v>
      </c>
      <c r="AS96" s="209">
        <f t="shared" si="22"/>
        <v>0.11182722512661036</v>
      </c>
      <c r="AZ96" s="61">
        <f t="shared" si="23"/>
        <v>-0.11182722512661036</v>
      </c>
      <c r="BA96" s="61">
        <f t="shared" si="24"/>
        <v>-0.13410716610575202</v>
      </c>
      <c r="BB96" s="61">
        <f t="shared" si="25"/>
        <v>-4.8778511118863221E-3</v>
      </c>
      <c r="BC96" s="61">
        <f t="shared" si="26"/>
        <v>1.262010366091415E-2</v>
      </c>
      <c r="BD96" s="61">
        <f>IF(AND($A96&gt;=SYear72,$A96&lt;=EYear72),IF($A96=SYear72,(($AN111/$AN$67)^(1/(1+($A111-$A96)))-1),(($AN111/$AN95)^(1/(1+($A111-$A96)))-1)),"")</f>
        <v>3.8344718777832743E-2</v>
      </c>
      <c r="BG96" s="61">
        <f t="shared" si="28"/>
        <v>-0.14092254016556616</v>
      </c>
      <c r="BH96" s="61">
        <f t="shared" si="29"/>
        <v>-0.15469651044344435</v>
      </c>
      <c r="BI96" s="61">
        <f t="shared" si="30"/>
        <v>-2.9030790491687775E-2</v>
      </c>
      <c r="BJ96" s="61">
        <f t="shared" si="31"/>
        <v>-1.2311864001768869E-2</v>
      </c>
      <c r="BK96" s="61">
        <f>IF(AND($A96&gt;=SYear72,$A96&lt;=EYear72),IF($A96=SYear72,(($AP111/$AP$67)^(1/(1+($A111-$A96)))-1),(($AP111/$AP95)^(1/(1+($A111-$A96)))-1)),"")</f>
        <v>1.6493251939276199E-2</v>
      </c>
    </row>
    <row r="97" spans="1:63">
      <c r="A97" s="204">
        <f t="shared" si="33"/>
        <v>2001</v>
      </c>
      <c r="B97" s="446">
        <f>IF(AND($A97&gt;=SYear72,$A97&lt;=EYear72,B$3&gt;0),IF($A97=SYear72,B$67*(1+Data_72_15!B37%),B96*(1+Data_72_15!B37%)),"")</f>
        <v>140152.44112713274</v>
      </c>
      <c r="C97" s="446" t="str">
        <f>IF(AND($A97&gt;=SYear72,$A97&lt;=EYear72,C$3&gt;0),IF($A97=SYear72,C$67*(1+Data_72_15!C37%),C96*(1+Data_72_15!C37%)),"")</f>
        <v/>
      </c>
      <c r="D97" s="446" t="str">
        <f>IF(AND($A97&gt;=SYear72,$A97&lt;=EYear72,D$3&gt;0),IF($A97=SYear72,D$67*(1+Data_72_15!D37%),D96*(1+Data_72_15!D37%)),"")</f>
        <v/>
      </c>
      <c r="E97" s="446" t="str">
        <f>IF(AND($A97&gt;=SYear72,$A97&lt;=EYear72,E$3&gt;0),IF($A97=SYear72,E$67*(1+Data_72_15!E37%),E96*(1+Data_72_15!E37%)),"")</f>
        <v/>
      </c>
      <c r="F97" s="446" t="str">
        <f>IF(AND($A97&gt;=SYear72,$A97&lt;=EYear72,F$3&gt;0),IF($A97=SYear72,F$67*(1+Data_72_15!F37%),F96*(1+Data_72_15!F37%)),"")</f>
        <v/>
      </c>
      <c r="G97" s="446" t="str">
        <f>IF(AND($A97&gt;=SYear72,$A97&lt;=EYear72,G$3&gt;0),IF($A97=SYear72,G$67*(1+Data_72_15!G37%),G96*(1+Data_72_15!G37%)),"")</f>
        <v/>
      </c>
      <c r="H97" s="446" t="str">
        <f>IF(AND($A97&gt;=SYear72,$A97&lt;=EYear72,H$3&gt;0),IF($A97=SYear72,H$67*(1+Data_72_15!H37%),H96*(1+Data_72_15!H37%)),"")</f>
        <v/>
      </c>
      <c r="I97" s="446" t="str">
        <f>IF(AND($A97&gt;=SYear72,$A97&lt;=EYear72,I$3&gt;0),IF($A97=SYear72,I$67*(1+Data_72_15!I37%),I96*(1+Data_72_15!I37%)),"")</f>
        <v/>
      </c>
      <c r="J97" s="446" t="str">
        <f>IF(AND($A97&gt;=SYear72,$A97&lt;=EYear72,J$3&gt;0),IF($A97=SYear72,J$67*(1+Data_72_15!J37%),J96*(1+Data_72_15!J37%)),"")</f>
        <v/>
      </c>
      <c r="K97" s="446" t="str">
        <f>IF(AND($A97&gt;=SYear72,$A97&lt;=EYear72,K$3&gt;0),IF($A97=SYear72,K$67*(1+Data_72_15!K37%),K96*(1+Data_72_15!K37%)),"")</f>
        <v/>
      </c>
      <c r="L97" s="446" t="str">
        <f>IF(AND($A97&gt;=SYear72,$A97&lt;=EYear72,L$3&gt;0),IF($A97=SYear72,L$67*(1+Data_72_15!L37%),L96*(1+Data_72_15!L37%)),"")</f>
        <v/>
      </c>
      <c r="M97" s="446" t="str">
        <f>IF(AND($A97&gt;=SYear72,$A97&lt;=EYear72,M$3&gt;0),IF($A97=SYear72,M$67*(1+Data_72_15!M37%),M96*(1+Data_72_15!M37%)),"")</f>
        <v/>
      </c>
      <c r="N97" s="446">
        <f>IF(AND($A97&gt;=SYear72,$A97&lt;=EYear72,N$3&gt;0),IF($A97=SYear72,N$67*(1+Data_72_15!N37%),N96*(1+Data_72_15!N37%)),"")</f>
        <v>82524.217002085512</v>
      </c>
      <c r="O97" s="446" t="str">
        <f>IF(AND($A97&gt;=SYear72,$A97&lt;=EYear72,O$3&gt;0),IF($A97=SYear72,O$67*(1+Data_72_15!O37%),O96*(1+Data_72_15!O37%)),"")</f>
        <v/>
      </c>
      <c r="P97" s="446" t="str">
        <f>IF(AND($A97&gt;=SYear72,$A97&lt;=EYear72,P$3&gt;0),IF($A97=SYear72,P$67*(1+Data_72_15!P37%),P96*(1+Data_72_15!P37%)),"")</f>
        <v/>
      </c>
      <c r="Q97" s="446" t="str">
        <f>IF(AND($A97&gt;=SYear72,$A97&lt;=EYear72,Q$3&gt;0),IF($A97=SYear72,Q$67*(1+Data_72_15!Q37%),Q96*(1+Data_72_15!Q37%)),"")</f>
        <v/>
      </c>
      <c r="R97" s="446" t="str">
        <f>IF(AND($A97&gt;=SYear72,$A97&lt;=EYear72,R$3&gt;0),IF($A97=SYear72,R$67*(1+Data_72_15!R37%),R96*(1+Data_72_15!R37%)),"")</f>
        <v/>
      </c>
      <c r="S97" s="446" t="str">
        <f>IF(AND($A97&gt;=SYear72,$A97&lt;=EYear72,S$3&gt;0),IF($A97=SYear72,S$67*(1+Data_72_15!S37%),S96*(1+Data_72_15!S37%)),"")</f>
        <v/>
      </c>
      <c r="T97" s="446">
        <f>IF(AND($A97&gt;=SYear72,$A97&lt;=EYear72,T$3&gt;0),IF($A97=SYear72,T$67*(1+Data_72_15!T37%),T96*(1+Data_72_15!T37%)),"")</f>
        <v>21126.83330668103</v>
      </c>
      <c r="U97" s="446" t="str">
        <f>IF(AND($A97&gt;=SYear72,$A97&lt;=EYear72,U$3&gt;0),IF($A97=SYear72,U$67*(1+Data_72_15!U37%),U96*(1+Data_72_15!U37%)),"")</f>
        <v/>
      </c>
      <c r="V97" s="446" t="str">
        <f>IF(AND($A97&gt;=SYear72,$A97&lt;=EYear72,V$3&gt;0),IF($A97=SYear72,V$67*(1+Data_72_15!V37%),V96*(1+Data_72_15!V37%)),"")</f>
        <v/>
      </c>
      <c r="W97" s="446" t="str">
        <f>IF(AND($A97&gt;=SYear72,$A97&lt;=EYear72,W$3&gt;0),IF($A97=SYear72,W$67*(1+Data_72_15!W37%),W96*(1+Data_72_15!W37%)),"")</f>
        <v/>
      </c>
      <c r="X97" s="446" t="str">
        <f>IF(AND($A97&gt;=SYear72,$A97&lt;=EYear72,X$3&gt;0),IF($A97=SYear72,X$67*(1+Data_72_15!X37%),X96*(1+Data_72_15!X37%)),"")</f>
        <v/>
      </c>
      <c r="Y97" s="446" t="str">
        <f>IF(AND($A97&gt;=SYear72,$A97&lt;=EYear72,Y$3&gt;0),IF($A97=SYear72,Y$67*(1+Data_72_15!Y37%),Y96*(1+Data_72_15!Y37%)),"")</f>
        <v/>
      </c>
      <c r="Z97" s="446" t="str">
        <f>IF(AND($A97&gt;=SYear72,$A97&lt;=EYear72,Z$3&gt;0),IF($A97=SYear72,Z$67*(1+Data_72_15!Z37%),Z96*(1+Data_72_15!Z37%)),"")</f>
        <v/>
      </c>
      <c r="AA97" s="446" t="str">
        <f>IF(AND($A97&gt;=SYear72,$A97&lt;=EYear72,AA$3&gt;0),IF($A97=SYear72,AA$67*(1+Data_72_15!AA37%),AA96*(1+Data_72_15!AA37%)),"")</f>
        <v/>
      </c>
      <c r="AB97" s="446" t="str">
        <f>IF(AND($A97&gt;=SYear72,$A97&lt;=EYear72,AB$3&gt;0),IF($A97=SYear72,AB$67*(1+Data_72_15!AB37%),AB96*(1+Data_72_15!AB37%)),"")</f>
        <v/>
      </c>
      <c r="AC97" s="446" t="str">
        <f>IF(AND($A97&gt;=SYear72,$A97&lt;=EYear72,AC$3&gt;0),IF($A97=SYear72,AC$67*(1+Data_72_15!AC37%),AC96*(1+Data_72_15!AC37%)),"")</f>
        <v/>
      </c>
      <c r="AD97" s="446" t="str">
        <f>IF(AND($A97&gt;=SYear72,$A97&lt;=EYear72,AD$3&gt;0),IF($A97=SYear72,AD$67*(1+Data_72_15!AD37%),AD96*(1+Data_72_15!AD37%)),"")</f>
        <v/>
      </c>
      <c r="AE97" s="446" t="str">
        <f>IF(AND($A97&gt;=SYear72,$A97&lt;=EYear72,AE$3&gt;0),IF($A97=SYear72,AE$67*(1+Data_72_15!AE37%),AE96*(1+Data_72_15!AE37%)),"")</f>
        <v/>
      </c>
      <c r="AF97" s="446" t="str">
        <f>IF(AND($A97&gt;=SYear72,$A97&lt;=EYear72,AF$3&gt;0),IF($A97=SYear72,AF$67*(1+Data_72_15!AF37%),AF96*(1+Data_72_15!AF37%)),"")</f>
        <v/>
      </c>
      <c r="AG97" s="446" t="str">
        <f>IF(AND($A97&gt;=SYear72,$A97&lt;=EYear72,AG$3&gt;0),IF($A97=SYear72,AG$67*(1+Data_72_15!AG37%),AG96*(1+Data_72_15!AG37%)),"")</f>
        <v/>
      </c>
      <c r="AH97" s="446" t="str">
        <f>IF(AND($A97&gt;=SYear72,$A97&lt;=EYear72,AH$3&gt;0),IF($A97=SYear72,AH$67*(1+Data_72_15!AH37%),AH96*(1+Data_72_15!AH37%)),"")</f>
        <v/>
      </c>
      <c r="AI97" s="446" t="str">
        <f>IF(AND($A97&gt;=SYear72,$A97&lt;=EYear72,AI$3&gt;0),IF($A97=SYear72,AI$67*(1+Data_72_15!AI37%),AI96*(1+Data_72_15!AI37%)),"")</f>
        <v/>
      </c>
      <c r="AJ97" s="446" t="str">
        <f>IF(AND($A97&gt;=SYear72,$A97&lt;=EYear72,AJ$3&gt;0),IF($A97=SYear72,AJ$67*(1+Data_72_15!AJ37%),AJ96*(1+Data_72_15!AJ37%)),"")</f>
        <v/>
      </c>
      <c r="AK97" s="446" t="str">
        <f>IF(AND($A97&gt;=SYear72,$A97&lt;=EYear72,AK$3&gt;0),IF($A97=SYear72,AK$67*(1+Data_72_15!AK37%),AK96*(1+Data_72_15!AK37%)),"")</f>
        <v/>
      </c>
      <c r="AL97" s="446" t="str">
        <f>IF(AND($A97&gt;=SYear72,$A97&lt;=EYear72,AL$3&gt;0),IF($A97=SYear72,AL$67*(1+Data_72_15!AL37%),AL96*(1+Data_72_15!AL37%)),"")</f>
        <v/>
      </c>
      <c r="AM97" s="206">
        <f t="shared" si="18"/>
        <v>-13.055992858245062</v>
      </c>
      <c r="AN97" s="446">
        <f t="shared" si="19"/>
        <v>243803.49143589928</v>
      </c>
      <c r="AO97" s="206">
        <f>IF(AND($A97&gt;=SYear72,$A97&lt;=EYear72),(AM97-Data_72_15!AM37)/(1+Data_72_15!AM37%),"")</f>
        <v>-14.384509096404305</v>
      </c>
      <c r="AP97" s="606">
        <f t="shared" si="20"/>
        <v>56708.112609029224</v>
      </c>
      <c r="AQ97" s="143">
        <f t="shared" si="21"/>
        <v>20.251125776186282</v>
      </c>
      <c r="AR97" s="143">
        <f>IF(AND($A97&gt;=SYear72,$A97&lt;=EYear72),MAX($AQ$68:AQ97),"")</f>
        <v>26.224792582823003</v>
      </c>
      <c r="AS97" s="209">
        <f t="shared" si="22"/>
        <v>0.22778699918295708</v>
      </c>
      <c r="AZ97" s="61">
        <f t="shared" si="23"/>
        <v>-0.13055992858245058</v>
      </c>
      <c r="BA97" s="61">
        <f t="shared" si="24"/>
        <v>-1.4316375579786933E-2</v>
      </c>
      <c r="BB97" s="61">
        <f t="shared" si="25"/>
        <v>3.7436048019338752E-2</v>
      </c>
      <c r="BC97" s="61">
        <f t="shared" si="26"/>
        <v>3.7877493296476938E-2</v>
      </c>
      <c r="BG97" s="61">
        <f t="shared" si="28"/>
        <v>-0.14384509096404308</v>
      </c>
      <c r="BH97" s="61">
        <f t="shared" si="29"/>
        <v>-3.303182849531916E-2</v>
      </c>
      <c r="BI97" s="61">
        <f t="shared" si="30"/>
        <v>1.2199609170435277E-2</v>
      </c>
      <c r="BJ97" s="61">
        <f t="shared" si="31"/>
        <v>1.4194205579974861E-2</v>
      </c>
      <c r="BK97" s="61"/>
    </row>
    <row r="98" spans="1:63">
      <c r="A98" s="204">
        <f t="shared" si="33"/>
        <v>2002</v>
      </c>
      <c r="B98" s="446">
        <f>IF(AND($A98&gt;=SYear72,$A98&lt;=EYear72,B$3&gt;0),IF($A98=SYear72,B$67*(1+Data_72_15!B38%),B97*(1+Data_72_15!B38%)),"")</f>
        <v>110776.48946688572</v>
      </c>
      <c r="C98" s="446" t="str">
        <f>IF(AND($A98&gt;=SYear72,$A98&lt;=EYear72,C$3&gt;0),IF($A98=SYear72,C$67*(1+Data_72_15!C38%),C97*(1+Data_72_15!C38%)),"")</f>
        <v/>
      </c>
      <c r="D98" s="446" t="str">
        <f>IF(AND($A98&gt;=SYear72,$A98&lt;=EYear72,D$3&gt;0),IF($A98=SYear72,D$67*(1+Data_72_15!D38%),D97*(1+Data_72_15!D38%)),"")</f>
        <v/>
      </c>
      <c r="E98" s="446" t="str">
        <f>IF(AND($A98&gt;=SYear72,$A98&lt;=EYear72,E$3&gt;0),IF($A98=SYear72,E$67*(1+Data_72_15!E38%),E97*(1+Data_72_15!E38%)),"")</f>
        <v/>
      </c>
      <c r="F98" s="446" t="str">
        <f>IF(AND($A98&gt;=SYear72,$A98&lt;=EYear72,F$3&gt;0),IF($A98=SYear72,F$67*(1+Data_72_15!F38%),F97*(1+Data_72_15!F38%)),"")</f>
        <v/>
      </c>
      <c r="G98" s="446" t="str">
        <f>IF(AND($A98&gt;=SYear72,$A98&lt;=EYear72,G$3&gt;0),IF($A98=SYear72,G$67*(1+Data_72_15!G38%),G97*(1+Data_72_15!G38%)),"")</f>
        <v/>
      </c>
      <c r="H98" s="446" t="str">
        <f>IF(AND($A98&gt;=SYear72,$A98&lt;=EYear72,H$3&gt;0),IF($A98=SYear72,H$67*(1+Data_72_15!H38%),H97*(1+Data_72_15!H38%)),"")</f>
        <v/>
      </c>
      <c r="I98" s="446" t="str">
        <f>IF(AND($A98&gt;=SYear72,$A98&lt;=EYear72,I$3&gt;0),IF($A98=SYear72,I$67*(1+Data_72_15!I38%),I97*(1+Data_72_15!I38%)),"")</f>
        <v/>
      </c>
      <c r="J98" s="446" t="str">
        <f>IF(AND($A98&gt;=SYear72,$A98&lt;=EYear72,J$3&gt;0),IF($A98=SYear72,J$67*(1+Data_72_15!J38%),J97*(1+Data_72_15!J38%)),"")</f>
        <v/>
      </c>
      <c r="K98" s="446" t="str">
        <f>IF(AND($A98&gt;=SYear72,$A98&lt;=EYear72,K$3&gt;0),IF($A98=SYear72,K$67*(1+Data_72_15!K38%),K97*(1+Data_72_15!K38%)),"")</f>
        <v/>
      </c>
      <c r="L98" s="446" t="str">
        <f>IF(AND($A98&gt;=SYear72,$A98&lt;=EYear72,L$3&gt;0),IF($A98=SYear72,L$67*(1+Data_72_15!L38%),L97*(1+Data_72_15!L38%)),"")</f>
        <v/>
      </c>
      <c r="M98" s="446" t="str">
        <f>IF(AND($A98&gt;=SYear72,$A98&lt;=EYear72,M$3&gt;0),IF($A98=SYear72,M$67*(1+Data_72_15!M38%),M97*(1+Data_72_15!M38%)),"")</f>
        <v/>
      </c>
      <c r="N98" s="446">
        <f>IF(AND($A98&gt;=SYear72,$A98&lt;=EYear72,N$3&gt;0),IF($A98=SYear72,N$67*(1+Data_72_15!N38%),N97*(1+Data_72_15!N38%)),"")</f>
        <v>70079.565078171014</v>
      </c>
      <c r="O98" s="446" t="str">
        <f>IF(AND($A98&gt;=SYear72,$A98&lt;=EYear72,O$3&gt;0),IF($A98=SYear72,O$67*(1+Data_72_15!O38%),O97*(1+Data_72_15!O38%)),"")</f>
        <v/>
      </c>
      <c r="P98" s="446" t="str">
        <f>IF(AND($A98&gt;=SYear72,$A98&lt;=EYear72,P$3&gt;0),IF($A98=SYear72,P$67*(1+Data_72_15!P38%),P97*(1+Data_72_15!P38%)),"")</f>
        <v/>
      </c>
      <c r="Q98" s="446" t="str">
        <f>IF(AND($A98&gt;=SYear72,$A98&lt;=EYear72,Q$3&gt;0),IF($A98=SYear72,Q$67*(1+Data_72_15!Q38%),Q97*(1+Data_72_15!Q38%)),"")</f>
        <v/>
      </c>
      <c r="R98" s="446" t="str">
        <f>IF(AND($A98&gt;=SYear72,$A98&lt;=EYear72,R$3&gt;0),IF($A98=SYear72,R$67*(1+Data_72_15!R38%),R97*(1+Data_72_15!R38%)),"")</f>
        <v/>
      </c>
      <c r="S98" s="446" t="str">
        <f>IF(AND($A98&gt;=SYear72,$A98&lt;=EYear72,S$3&gt;0),IF($A98=SYear72,S$67*(1+Data_72_15!S38%),S97*(1+Data_72_15!S38%)),"")</f>
        <v/>
      </c>
      <c r="T98" s="446">
        <f>IF(AND($A98&gt;=SYear72,$A98&lt;=EYear72,T$3&gt;0),IF($A98=SYear72,T$67*(1+Data_72_15!T38%),T97*(1+Data_72_15!T38%)),"")</f>
        <v>24116.280219576394</v>
      </c>
      <c r="U98" s="446" t="str">
        <f>IF(AND($A98&gt;=SYear72,$A98&lt;=EYear72,U$3&gt;0),IF($A98=SYear72,U$67*(1+Data_72_15!U38%),U97*(1+Data_72_15!U38%)),"")</f>
        <v/>
      </c>
      <c r="V98" s="446" t="str">
        <f>IF(AND($A98&gt;=SYear72,$A98&lt;=EYear72,V$3&gt;0),IF($A98=SYear72,V$67*(1+Data_72_15!V38%),V97*(1+Data_72_15!V38%)),"")</f>
        <v/>
      </c>
      <c r="W98" s="446" t="str">
        <f>IF(AND($A98&gt;=SYear72,$A98&lt;=EYear72,W$3&gt;0),IF($A98=SYear72,W$67*(1+Data_72_15!W38%),W97*(1+Data_72_15!W38%)),"")</f>
        <v/>
      </c>
      <c r="X98" s="446" t="str">
        <f>IF(AND($A98&gt;=SYear72,$A98&lt;=EYear72,X$3&gt;0),IF($A98=SYear72,X$67*(1+Data_72_15!X38%),X97*(1+Data_72_15!X38%)),"")</f>
        <v/>
      </c>
      <c r="Y98" s="446" t="str">
        <f>IF(AND($A98&gt;=SYear72,$A98&lt;=EYear72,Y$3&gt;0),IF($A98=SYear72,Y$67*(1+Data_72_15!Y38%),Y97*(1+Data_72_15!Y38%)),"")</f>
        <v/>
      </c>
      <c r="Z98" s="446" t="str">
        <f>IF(AND($A98&gt;=SYear72,$A98&lt;=EYear72,Z$3&gt;0),IF($A98=SYear72,Z$67*(1+Data_72_15!Z38%),Z97*(1+Data_72_15!Z38%)),"")</f>
        <v/>
      </c>
      <c r="AA98" s="446" t="str">
        <f>IF(AND($A98&gt;=SYear72,$A98&lt;=EYear72,AA$3&gt;0),IF($A98=SYear72,AA$67*(1+Data_72_15!AA38%),AA97*(1+Data_72_15!AA38%)),"")</f>
        <v/>
      </c>
      <c r="AB98" s="446" t="str">
        <f>IF(AND($A98&gt;=SYear72,$A98&lt;=EYear72,AB$3&gt;0),IF($A98=SYear72,AB$67*(1+Data_72_15!AB38%),AB97*(1+Data_72_15!AB38%)),"")</f>
        <v/>
      </c>
      <c r="AC98" s="446" t="str">
        <f>IF(AND($A98&gt;=SYear72,$A98&lt;=EYear72,AC$3&gt;0),IF($A98=SYear72,AC$67*(1+Data_72_15!AC38%),AC97*(1+Data_72_15!AC38%)),"")</f>
        <v/>
      </c>
      <c r="AD98" s="446" t="str">
        <f>IF(AND($A98&gt;=SYear72,$A98&lt;=EYear72,AD$3&gt;0),IF($A98=SYear72,AD$67*(1+Data_72_15!AD38%),AD97*(1+Data_72_15!AD38%)),"")</f>
        <v/>
      </c>
      <c r="AE98" s="446" t="str">
        <f>IF(AND($A98&gt;=SYear72,$A98&lt;=EYear72,AE$3&gt;0),IF($A98=SYear72,AE$67*(1+Data_72_15!AE38%),AE97*(1+Data_72_15!AE38%)),"")</f>
        <v/>
      </c>
      <c r="AF98" s="446" t="str">
        <f>IF(AND($A98&gt;=SYear72,$A98&lt;=EYear72,AF$3&gt;0),IF($A98=SYear72,AF$67*(1+Data_72_15!AF38%),AF97*(1+Data_72_15!AF38%)),"")</f>
        <v/>
      </c>
      <c r="AG98" s="446" t="str">
        <f>IF(AND($A98&gt;=SYear72,$A98&lt;=EYear72,AG$3&gt;0),IF($A98=SYear72,AG$67*(1+Data_72_15!AG38%),AG97*(1+Data_72_15!AG38%)),"")</f>
        <v/>
      </c>
      <c r="AH98" s="446" t="str">
        <f>IF(AND($A98&gt;=SYear72,$A98&lt;=EYear72,AH$3&gt;0),IF($A98=SYear72,AH$67*(1+Data_72_15!AH38%),AH97*(1+Data_72_15!AH38%)),"")</f>
        <v/>
      </c>
      <c r="AI98" s="446" t="str">
        <f>IF(AND($A98&gt;=SYear72,$A98&lt;=EYear72,AI$3&gt;0),IF($A98=SYear72,AI$67*(1+Data_72_15!AI38%),AI97*(1+Data_72_15!AI38%)),"")</f>
        <v/>
      </c>
      <c r="AJ98" s="446" t="str">
        <f>IF(AND($A98&gt;=SYear72,$A98&lt;=EYear72,AJ$3&gt;0),IF($A98=SYear72,AJ$67*(1+Data_72_15!AJ38%),AJ97*(1+Data_72_15!AJ38%)),"")</f>
        <v/>
      </c>
      <c r="AK98" s="446" t="str">
        <f>IF(AND($A98&gt;=SYear72,$A98&lt;=EYear72,AK$3&gt;0),IF($A98=SYear72,AK$67*(1+Data_72_15!AK38%),AK97*(1+Data_72_15!AK38%)),"")</f>
        <v/>
      </c>
      <c r="AL98" s="446" t="str">
        <f>IF(AND($A98&gt;=SYear72,$A98&lt;=EYear72,AL$3&gt;0),IF($A98=SYear72,AL$67*(1+Data_72_15!AL38%),AL97*(1+Data_72_15!AL38%)),"")</f>
        <v/>
      </c>
      <c r="AM98" s="206">
        <f t="shared" si="18"/>
        <v>-15.927235677621811</v>
      </c>
      <c r="AN98" s="446">
        <f t="shared" si="19"/>
        <v>204972.33476463309</v>
      </c>
      <c r="AO98" s="206">
        <f>IF(AND($A98&gt;=SYear72,$A98&lt;=EYear72),(AM98-Data_72_15!AM38)/(1+Data_72_15!AM38%),"")</f>
        <v>-17.879173821093278</v>
      </c>
      <c r="AP98" s="606">
        <f t="shared" si="20"/>
        <v>46569.170584999578</v>
      </c>
      <c r="AQ98" s="143">
        <f t="shared" si="21"/>
        <v>17.025681246441472</v>
      </c>
      <c r="AR98" s="143">
        <f>IF(AND($A98&gt;=SYear72,$A98&lt;=EYear72),MAX($AQ$68:AQ98),"")</f>
        <v>26.224792582823003</v>
      </c>
      <c r="AS98" s="209">
        <f t="shared" si="22"/>
        <v>0.35077918375632311</v>
      </c>
      <c r="AZ98" s="61">
        <f t="shared" si="23"/>
        <v>-0.15927235677621809</v>
      </c>
      <c r="BA98" s="61">
        <f t="shared" si="24"/>
        <v>8.113920931996188E-2</v>
      </c>
      <c r="BB98" s="61">
        <f t="shared" si="25"/>
        <v>0.10480786419830479</v>
      </c>
      <c r="BC98" s="61">
        <f t="shared" si="26"/>
        <v>4.7354844934604401E-2</v>
      </c>
      <c r="BG98" s="61">
        <f t="shared" si="28"/>
        <v>-0.17879173821093275</v>
      </c>
      <c r="BH98" s="61">
        <f t="shared" si="29"/>
        <v>5.4745153396985158E-2</v>
      </c>
      <c r="BI98" s="61">
        <f t="shared" si="30"/>
        <v>7.5845318730161537E-2</v>
      </c>
      <c r="BJ98" s="61">
        <f t="shared" si="31"/>
        <v>2.2044329949783004E-2</v>
      </c>
    </row>
    <row r="99" spans="1:63">
      <c r="A99" s="204">
        <f t="shared" si="33"/>
        <v>2003</v>
      </c>
      <c r="B99" s="446">
        <f>IF(AND($A99&gt;=SYear72,$A99&lt;=EYear72,B$3&gt;0),IF($A99=SYear72,B$67*(1+Data_72_15!B39%),B98*(1+Data_72_15!B39%)),"")</f>
        <v>145504.91891475438</v>
      </c>
      <c r="C99" s="446" t="str">
        <f>IF(AND($A99&gt;=SYear72,$A99&lt;=EYear72,C$3&gt;0),IF($A99=SYear72,C$67*(1+Data_72_15!C39%),C98*(1+Data_72_15!C39%)),"")</f>
        <v/>
      </c>
      <c r="D99" s="446" t="str">
        <f>IF(AND($A99&gt;=SYear72,$A99&lt;=EYear72,D$3&gt;0),IF($A99=SYear72,D$67*(1+Data_72_15!D39%),D98*(1+Data_72_15!D39%)),"")</f>
        <v/>
      </c>
      <c r="E99" s="446" t="str">
        <f>IF(AND($A99&gt;=SYear72,$A99&lt;=EYear72,E$3&gt;0),IF($A99=SYear72,E$67*(1+Data_72_15!E39%),E98*(1+Data_72_15!E39%)),"")</f>
        <v/>
      </c>
      <c r="F99" s="446" t="str">
        <f>IF(AND($A99&gt;=SYear72,$A99&lt;=EYear72,F$3&gt;0),IF($A99=SYear72,F$67*(1+Data_72_15!F39%),F98*(1+Data_72_15!F39%)),"")</f>
        <v/>
      </c>
      <c r="G99" s="446" t="str">
        <f>IF(AND($A99&gt;=SYear72,$A99&lt;=EYear72,G$3&gt;0),IF($A99=SYear72,G$67*(1+Data_72_15!G39%),G98*(1+Data_72_15!G39%)),"")</f>
        <v/>
      </c>
      <c r="H99" s="446" t="str">
        <f>IF(AND($A99&gt;=SYear72,$A99&lt;=EYear72,H$3&gt;0),IF($A99=SYear72,H$67*(1+Data_72_15!H39%),H98*(1+Data_72_15!H39%)),"")</f>
        <v/>
      </c>
      <c r="I99" s="446" t="str">
        <f>IF(AND($A99&gt;=SYear72,$A99&lt;=EYear72,I$3&gt;0),IF($A99=SYear72,I$67*(1+Data_72_15!I39%),I98*(1+Data_72_15!I39%)),"")</f>
        <v/>
      </c>
      <c r="J99" s="446" t="str">
        <f>IF(AND($A99&gt;=SYear72,$A99&lt;=EYear72,J$3&gt;0),IF($A99=SYear72,J$67*(1+Data_72_15!J39%),J98*(1+Data_72_15!J39%)),"")</f>
        <v/>
      </c>
      <c r="K99" s="446" t="str">
        <f>IF(AND($A99&gt;=SYear72,$A99&lt;=EYear72,K$3&gt;0),IF($A99=SYear72,K$67*(1+Data_72_15!K39%),K98*(1+Data_72_15!K39%)),"")</f>
        <v/>
      </c>
      <c r="L99" s="446" t="str">
        <f>IF(AND($A99&gt;=SYear72,$A99&lt;=EYear72,L$3&gt;0),IF($A99=SYear72,L$67*(1+Data_72_15!L39%),L98*(1+Data_72_15!L39%)),"")</f>
        <v/>
      </c>
      <c r="M99" s="446" t="str">
        <f>IF(AND($A99&gt;=SYear72,$A99&lt;=EYear72,M$3&gt;0),IF($A99=SYear72,M$67*(1+Data_72_15!M39%),M98*(1+Data_72_15!M39%)),"")</f>
        <v/>
      </c>
      <c r="N99" s="446">
        <f>IF(AND($A99&gt;=SYear72,$A99&lt;=EYear72,N$3&gt;0),IF($A99=SYear72,N$67*(1+Data_72_15!N39%),N98*(1+Data_72_15!N39%)),"")</f>
        <v>98349.661630705203</v>
      </c>
      <c r="O99" s="446" t="str">
        <f>IF(AND($A99&gt;=SYear72,$A99&lt;=EYear72,O$3&gt;0),IF($A99=SYear72,O$67*(1+Data_72_15!O39%),O98*(1+Data_72_15!O39%)),"")</f>
        <v/>
      </c>
      <c r="P99" s="446" t="str">
        <f>IF(AND($A99&gt;=SYear72,$A99&lt;=EYear72,P$3&gt;0),IF($A99=SYear72,P$67*(1+Data_72_15!P39%),P98*(1+Data_72_15!P39%)),"")</f>
        <v/>
      </c>
      <c r="Q99" s="446" t="str">
        <f>IF(AND($A99&gt;=SYear72,$A99&lt;=EYear72,Q$3&gt;0),IF($A99=SYear72,Q$67*(1+Data_72_15!Q39%),Q98*(1+Data_72_15!Q39%)),"")</f>
        <v/>
      </c>
      <c r="R99" s="446" t="str">
        <f>IF(AND($A99&gt;=SYear72,$A99&lt;=EYear72,R$3&gt;0),IF($A99=SYear72,R$67*(1+Data_72_15!R39%),R98*(1+Data_72_15!R39%)),"")</f>
        <v/>
      </c>
      <c r="S99" s="446" t="str">
        <f>IF(AND($A99&gt;=SYear72,$A99&lt;=EYear72,S$3&gt;0),IF($A99=SYear72,S$67*(1+Data_72_15!S39%),S98*(1+Data_72_15!S39%)),"")</f>
        <v/>
      </c>
      <c r="T99" s="446">
        <f>IF(AND($A99&gt;=SYear72,$A99&lt;=EYear72,T$3&gt;0),IF($A99=SYear72,T$67*(1+Data_72_15!T39%),T98*(1+Data_72_15!T39%)),"")</f>
        <v>24687.836060780355</v>
      </c>
      <c r="U99" s="446" t="str">
        <f>IF(AND($A99&gt;=SYear72,$A99&lt;=EYear72,U$3&gt;0),IF($A99=SYear72,U$67*(1+Data_72_15!U39%),U98*(1+Data_72_15!U39%)),"")</f>
        <v/>
      </c>
      <c r="V99" s="446" t="str">
        <f>IF(AND($A99&gt;=SYear72,$A99&lt;=EYear72,V$3&gt;0),IF($A99=SYear72,V$67*(1+Data_72_15!V39%),V98*(1+Data_72_15!V39%)),"")</f>
        <v/>
      </c>
      <c r="W99" s="446" t="str">
        <f>IF(AND($A99&gt;=SYear72,$A99&lt;=EYear72,W$3&gt;0),IF($A99=SYear72,W$67*(1+Data_72_15!W39%),W98*(1+Data_72_15!W39%)),"")</f>
        <v/>
      </c>
      <c r="X99" s="446" t="str">
        <f>IF(AND($A99&gt;=SYear72,$A99&lt;=EYear72,X$3&gt;0),IF($A99=SYear72,X$67*(1+Data_72_15!X39%),X98*(1+Data_72_15!X39%)),"")</f>
        <v/>
      </c>
      <c r="Y99" s="446" t="str">
        <f>IF(AND($A99&gt;=SYear72,$A99&lt;=EYear72,Y$3&gt;0),IF($A99=SYear72,Y$67*(1+Data_72_15!Y39%),Y98*(1+Data_72_15!Y39%)),"")</f>
        <v/>
      </c>
      <c r="Z99" s="446" t="str">
        <f>IF(AND($A99&gt;=SYear72,$A99&lt;=EYear72,Z$3&gt;0),IF($A99=SYear72,Z$67*(1+Data_72_15!Z39%),Z98*(1+Data_72_15!Z39%)),"")</f>
        <v/>
      </c>
      <c r="AA99" s="446" t="str">
        <f>IF(AND($A99&gt;=SYear72,$A99&lt;=EYear72,AA$3&gt;0),IF($A99=SYear72,AA$67*(1+Data_72_15!AA39%),AA98*(1+Data_72_15!AA39%)),"")</f>
        <v/>
      </c>
      <c r="AB99" s="446" t="str">
        <f>IF(AND($A99&gt;=SYear72,$A99&lt;=EYear72,AB$3&gt;0),IF($A99=SYear72,AB$67*(1+Data_72_15!AB39%),AB98*(1+Data_72_15!AB39%)),"")</f>
        <v/>
      </c>
      <c r="AC99" s="446" t="str">
        <f>IF(AND($A99&gt;=SYear72,$A99&lt;=EYear72,AC$3&gt;0),IF($A99=SYear72,AC$67*(1+Data_72_15!AC39%),AC98*(1+Data_72_15!AC39%)),"")</f>
        <v/>
      </c>
      <c r="AD99" s="446" t="str">
        <f>IF(AND($A99&gt;=SYear72,$A99&lt;=EYear72,AD$3&gt;0),IF($A99=SYear72,AD$67*(1+Data_72_15!AD39%),AD98*(1+Data_72_15!AD39%)),"")</f>
        <v/>
      </c>
      <c r="AE99" s="446" t="str">
        <f>IF(AND($A99&gt;=SYear72,$A99&lt;=EYear72,AE$3&gt;0),IF($A99=SYear72,AE$67*(1+Data_72_15!AE39%),AE98*(1+Data_72_15!AE39%)),"")</f>
        <v/>
      </c>
      <c r="AF99" s="446" t="str">
        <f>IF(AND($A99&gt;=SYear72,$A99&lt;=EYear72,AF$3&gt;0),IF($A99=SYear72,AF$67*(1+Data_72_15!AF39%),AF98*(1+Data_72_15!AF39%)),"")</f>
        <v/>
      </c>
      <c r="AG99" s="446" t="str">
        <f>IF(AND($A99&gt;=SYear72,$A99&lt;=EYear72,AG$3&gt;0),IF($A99=SYear72,AG$67*(1+Data_72_15!AG39%),AG98*(1+Data_72_15!AG39%)),"")</f>
        <v/>
      </c>
      <c r="AH99" s="446" t="str">
        <f>IF(AND($A99&gt;=SYear72,$A99&lt;=EYear72,AH$3&gt;0),IF($A99=SYear72,AH$67*(1+Data_72_15!AH39%),AH98*(1+Data_72_15!AH39%)),"")</f>
        <v/>
      </c>
      <c r="AI99" s="446" t="str">
        <f>IF(AND($A99&gt;=SYear72,$A99&lt;=EYear72,AI$3&gt;0),IF($A99=SYear72,AI$67*(1+Data_72_15!AI39%),AI98*(1+Data_72_15!AI39%)),"")</f>
        <v/>
      </c>
      <c r="AJ99" s="446" t="str">
        <f>IF(AND($A99&gt;=SYear72,$A99&lt;=EYear72,AJ$3&gt;0),IF($A99=SYear72,AJ$67*(1+Data_72_15!AJ39%),AJ98*(1+Data_72_15!AJ39%)),"")</f>
        <v/>
      </c>
      <c r="AK99" s="446" t="str">
        <f>IF(AND($A99&gt;=SYear72,$A99&lt;=EYear72,AK$3&gt;0),IF($A99=SYear72,AK$67*(1+Data_72_15!AK39%),AK98*(1+Data_72_15!AK39%)),"")</f>
        <v/>
      </c>
      <c r="AL99" s="446" t="str">
        <f>IF(AND($A99&gt;=SYear72,$A99&lt;=EYear72,AL$3&gt;0),IF($A99=SYear72,AL$67*(1+Data_72_15!AL39%),AL98*(1+Data_72_15!AL39%)),"")</f>
        <v/>
      </c>
      <c r="AM99" s="206">
        <f t="shared" si="18"/>
        <v>31.013981430520111</v>
      </c>
      <c r="AN99" s="446">
        <f t="shared" si="19"/>
        <v>268542.41660623992</v>
      </c>
      <c r="AO99" s="206">
        <f>IF(AND($A99&gt;=SYear72,$A99&lt;=EYear72),(AM99-Data_72_15!AM39)/(1+Data_72_15!AM39%),"")</f>
        <v>28.597011615741103</v>
      </c>
      <c r="AP99" s="606">
        <f t="shared" si="20"/>
        <v>59886.561706546199</v>
      </c>
      <c r="AQ99" s="143">
        <f t="shared" si="21"/>
        <v>22.306022866632372</v>
      </c>
      <c r="AR99" s="143">
        <f>IF(AND($A99&gt;=SYear72,$A99&lt;=EYear72),MAX($AQ$68:AQ99),"")</f>
        <v>26.224792582823003</v>
      </c>
      <c r="AS99" s="209">
        <f t="shared" si="22"/>
        <v>0.14942996036343825</v>
      </c>
      <c r="AZ99" s="61">
        <f t="shared" si="23"/>
        <v>0.31013981430520099</v>
      </c>
      <c r="BA99" s="61">
        <f t="shared" si="24"/>
        <v>0.18024063799905821</v>
      </c>
      <c r="BB99" s="61">
        <f t="shared" si="25"/>
        <v>0.16612135602600664</v>
      </c>
      <c r="BC99" s="61">
        <f t="shared" si="26"/>
        <v>8.1242413489408527E-2</v>
      </c>
      <c r="BG99" s="61">
        <f t="shared" si="28"/>
        <v>0.28597011615741108</v>
      </c>
      <c r="BH99" s="61">
        <f t="shared" si="29"/>
        <v>0.14755908381290617</v>
      </c>
      <c r="BI99" s="61">
        <f t="shared" si="30"/>
        <v>0.13180788332187743</v>
      </c>
      <c r="BJ99" s="61">
        <f t="shared" si="31"/>
        <v>5.5770571740337838E-2</v>
      </c>
    </row>
    <row r="100" spans="1:63">
      <c r="A100" s="204">
        <f t="shared" si="33"/>
        <v>2004</v>
      </c>
      <c r="B100" s="446">
        <f>IF(AND($A100&gt;=SYear72,$A100&lt;=EYear72,B$3&gt;0),IF($A100=SYear72,B$67*(1+Data_72_15!B40%),B99*(1+Data_72_15!B40%)),"")</f>
        <v>163722.13476288161</v>
      </c>
      <c r="C100" s="446" t="str">
        <f>IF(AND($A100&gt;=SYear72,$A100&lt;=EYear72,C$3&gt;0),IF($A100=SYear72,C$67*(1+Data_72_15!C40%),C99*(1+Data_72_15!C40%)),"")</f>
        <v/>
      </c>
      <c r="D100" s="446" t="str">
        <f>IF(AND($A100&gt;=SYear72,$A100&lt;=EYear72,D$3&gt;0),IF($A100=SYear72,D$67*(1+Data_72_15!D40%),D99*(1+Data_72_15!D40%)),"")</f>
        <v/>
      </c>
      <c r="E100" s="446" t="str">
        <f>IF(AND($A100&gt;=SYear72,$A100&lt;=EYear72,E$3&gt;0),IF($A100=SYear72,E$67*(1+Data_72_15!E40%),E99*(1+Data_72_15!E40%)),"")</f>
        <v/>
      </c>
      <c r="F100" s="446" t="str">
        <f>IF(AND($A100&gt;=SYear72,$A100&lt;=EYear72,F$3&gt;0),IF($A100=SYear72,F$67*(1+Data_72_15!F40%),F99*(1+Data_72_15!F40%)),"")</f>
        <v/>
      </c>
      <c r="G100" s="446" t="str">
        <f>IF(AND($A100&gt;=SYear72,$A100&lt;=EYear72,G$3&gt;0),IF($A100=SYear72,G$67*(1+Data_72_15!G40%),G99*(1+Data_72_15!G40%)),"")</f>
        <v/>
      </c>
      <c r="H100" s="446" t="str">
        <f>IF(AND($A100&gt;=SYear72,$A100&lt;=EYear72,H$3&gt;0),IF($A100=SYear72,H$67*(1+Data_72_15!H40%),H99*(1+Data_72_15!H40%)),"")</f>
        <v/>
      </c>
      <c r="I100" s="446" t="str">
        <f>IF(AND($A100&gt;=SYear72,$A100&lt;=EYear72,I$3&gt;0),IF($A100=SYear72,I$67*(1+Data_72_15!I40%),I99*(1+Data_72_15!I40%)),"")</f>
        <v/>
      </c>
      <c r="J100" s="446" t="str">
        <f>IF(AND($A100&gt;=SYear72,$A100&lt;=EYear72,J$3&gt;0),IF($A100=SYear72,J$67*(1+Data_72_15!J40%),J99*(1+Data_72_15!J40%)),"")</f>
        <v/>
      </c>
      <c r="K100" s="446" t="str">
        <f>IF(AND($A100&gt;=SYear72,$A100&lt;=EYear72,K$3&gt;0),IF($A100=SYear72,K$67*(1+Data_72_15!K40%),K99*(1+Data_72_15!K40%)),"")</f>
        <v/>
      </c>
      <c r="L100" s="446" t="str">
        <f>IF(AND($A100&gt;=SYear72,$A100&lt;=EYear72,L$3&gt;0),IF($A100=SYear72,L$67*(1+Data_72_15!L40%),L99*(1+Data_72_15!L40%)),"")</f>
        <v/>
      </c>
      <c r="M100" s="446" t="str">
        <f>IF(AND($A100&gt;=SYear72,$A100&lt;=EYear72,M$3&gt;0),IF($A100=SYear72,M$67*(1+Data_72_15!M40%),M99*(1+Data_72_15!M40%)),"")</f>
        <v/>
      </c>
      <c r="N100" s="446">
        <f>IF(AND($A100&gt;=SYear72,$A100&lt;=EYear72,N$3&gt;0),IF($A100=SYear72,N$67*(1+Data_72_15!N40%),N99*(1+Data_72_15!N40%)),"")</f>
        <v>118845.73111454416</v>
      </c>
      <c r="O100" s="446" t="str">
        <f>IF(AND($A100&gt;=SYear72,$A100&lt;=EYear72,O$3&gt;0),IF($A100=SYear72,O$67*(1+Data_72_15!O40%),O99*(1+Data_72_15!O40%)),"")</f>
        <v/>
      </c>
      <c r="P100" s="446" t="str">
        <f>IF(AND($A100&gt;=SYear72,$A100&lt;=EYear72,P$3&gt;0),IF($A100=SYear72,P$67*(1+Data_72_15!P40%),P99*(1+Data_72_15!P40%)),"")</f>
        <v/>
      </c>
      <c r="Q100" s="446" t="str">
        <f>IF(AND($A100&gt;=SYear72,$A100&lt;=EYear72,Q$3&gt;0),IF($A100=SYear72,Q$67*(1+Data_72_15!Q40%),Q99*(1+Data_72_15!Q40%)),"")</f>
        <v/>
      </c>
      <c r="R100" s="446" t="str">
        <f>IF(AND($A100&gt;=SYear72,$A100&lt;=EYear72,R$3&gt;0),IF($A100=SYear72,R$67*(1+Data_72_15!R40%),R99*(1+Data_72_15!R40%)),"")</f>
        <v/>
      </c>
      <c r="S100" s="446" t="str">
        <f>IF(AND($A100&gt;=SYear72,$A100&lt;=EYear72,S$3&gt;0),IF($A100=SYear72,S$67*(1+Data_72_15!S40%),S99*(1+Data_72_15!S40%)),"")</f>
        <v/>
      </c>
      <c r="T100" s="446">
        <f>IF(AND($A100&gt;=SYear72,$A100&lt;=EYear72,T$3&gt;0),IF($A100=SYear72,T$67*(1+Data_72_15!T40%),T99*(1+Data_72_15!T40%)),"")</f>
        <v>25527.222486846887</v>
      </c>
      <c r="U100" s="446" t="str">
        <f>IF(AND($A100&gt;=SYear72,$A100&lt;=EYear72,U$3&gt;0),IF($A100=SYear72,U$67*(1+Data_72_15!U40%),U99*(1+Data_72_15!U40%)),"")</f>
        <v/>
      </c>
      <c r="V100" s="446" t="str">
        <f>IF(AND($A100&gt;=SYear72,$A100&lt;=EYear72,V$3&gt;0),IF($A100=SYear72,V$67*(1+Data_72_15!V40%),V99*(1+Data_72_15!V40%)),"")</f>
        <v/>
      </c>
      <c r="W100" s="446" t="str">
        <f>IF(AND($A100&gt;=SYear72,$A100&lt;=EYear72,W$3&gt;0),IF($A100=SYear72,W$67*(1+Data_72_15!W40%),W99*(1+Data_72_15!W40%)),"")</f>
        <v/>
      </c>
      <c r="X100" s="446" t="str">
        <f>IF(AND($A100&gt;=SYear72,$A100&lt;=EYear72,X$3&gt;0),IF($A100=SYear72,X$67*(1+Data_72_15!X40%),X99*(1+Data_72_15!X40%)),"")</f>
        <v/>
      </c>
      <c r="Y100" s="446" t="str">
        <f>IF(AND($A100&gt;=SYear72,$A100&lt;=EYear72,Y$3&gt;0),IF($A100=SYear72,Y$67*(1+Data_72_15!Y40%),Y99*(1+Data_72_15!Y40%)),"")</f>
        <v/>
      </c>
      <c r="Z100" s="446" t="str">
        <f>IF(AND($A100&gt;=SYear72,$A100&lt;=EYear72,Z$3&gt;0),IF($A100=SYear72,Z$67*(1+Data_72_15!Z40%),Z99*(1+Data_72_15!Z40%)),"")</f>
        <v/>
      </c>
      <c r="AA100" s="446" t="str">
        <f>IF(AND($A100&gt;=SYear72,$A100&lt;=EYear72,AA$3&gt;0),IF($A100=SYear72,AA$67*(1+Data_72_15!AA40%),AA99*(1+Data_72_15!AA40%)),"")</f>
        <v/>
      </c>
      <c r="AB100" s="446" t="str">
        <f>IF(AND($A100&gt;=SYear72,$A100&lt;=EYear72,AB$3&gt;0),IF($A100=SYear72,AB$67*(1+Data_72_15!AB40%),AB99*(1+Data_72_15!AB40%)),"")</f>
        <v/>
      </c>
      <c r="AC100" s="446" t="str">
        <f>IF(AND($A100&gt;=SYear72,$A100&lt;=EYear72,AC$3&gt;0),IF($A100=SYear72,AC$67*(1+Data_72_15!AC40%),AC99*(1+Data_72_15!AC40%)),"")</f>
        <v/>
      </c>
      <c r="AD100" s="446" t="str">
        <f>IF(AND($A100&gt;=SYear72,$A100&lt;=EYear72,AD$3&gt;0),IF($A100=SYear72,AD$67*(1+Data_72_15!AD40%),AD99*(1+Data_72_15!AD40%)),"")</f>
        <v/>
      </c>
      <c r="AE100" s="446" t="str">
        <f>IF(AND($A100&gt;=SYear72,$A100&lt;=EYear72,AE$3&gt;0),IF($A100=SYear72,AE$67*(1+Data_72_15!AE40%),AE99*(1+Data_72_15!AE40%)),"")</f>
        <v/>
      </c>
      <c r="AF100" s="446" t="str">
        <f>IF(AND($A100&gt;=SYear72,$A100&lt;=EYear72,AF$3&gt;0),IF($A100=SYear72,AF$67*(1+Data_72_15!AF40%),AF99*(1+Data_72_15!AF40%)),"")</f>
        <v/>
      </c>
      <c r="AG100" s="446" t="str">
        <f>IF(AND($A100&gt;=SYear72,$A100&lt;=EYear72,AG$3&gt;0),IF($A100=SYear72,AG$67*(1+Data_72_15!AG40%),AG99*(1+Data_72_15!AG40%)),"")</f>
        <v/>
      </c>
      <c r="AH100" s="446" t="str">
        <f>IF(AND($A100&gt;=SYear72,$A100&lt;=EYear72,AH$3&gt;0),IF($A100=SYear72,AH$67*(1+Data_72_15!AH40%),AH99*(1+Data_72_15!AH40%)),"")</f>
        <v/>
      </c>
      <c r="AI100" s="446" t="str">
        <f>IF(AND($A100&gt;=SYear72,$A100&lt;=EYear72,AI$3&gt;0),IF($A100=SYear72,AI$67*(1+Data_72_15!AI40%),AI99*(1+Data_72_15!AI40%)),"")</f>
        <v/>
      </c>
      <c r="AJ100" s="446" t="str">
        <f>IF(AND($A100&gt;=SYear72,$A100&lt;=EYear72,AJ$3&gt;0),IF($A100=SYear72,AJ$67*(1+Data_72_15!AJ40%),AJ99*(1+Data_72_15!AJ40%)),"")</f>
        <v/>
      </c>
      <c r="AK100" s="446" t="str">
        <f>IF(AND($A100&gt;=SYear72,$A100&lt;=EYear72,AK$3&gt;0),IF($A100=SYear72,AK$67*(1+Data_72_15!AK40%),AK99*(1+Data_72_15!AK40%)),"")</f>
        <v/>
      </c>
      <c r="AL100" s="446" t="str">
        <f>IF(AND($A100&gt;=SYear72,$A100&lt;=EYear72,AL$3&gt;0),IF($A100=SYear72,AL$67*(1+Data_72_15!AL40%),AL99*(1+Data_72_15!AL40%)),"")</f>
        <v/>
      </c>
      <c r="AM100" s="206">
        <f t="shared" si="18"/>
        <v>14.728649670278456</v>
      </c>
      <c r="AN100" s="446">
        <f t="shared" si="19"/>
        <v>308095.08836427267</v>
      </c>
      <c r="AO100" s="206">
        <f>IF(AND($A100&gt;=SYear72,$A100&lt;=EYear72),(AM100-Data_72_15!AM40)/(1+Data_72_15!AM40%),"")</f>
        <v>11.11135120458392</v>
      </c>
      <c r="AP100" s="606">
        <f t="shared" si="20"/>
        <v>66540.767902110412</v>
      </c>
      <c r="AQ100" s="143">
        <f t="shared" si="21"/>
        <v>25.591398830030855</v>
      </c>
      <c r="AR100" s="143">
        <f>IF(AND($A100&gt;=SYear72,$A100&lt;=EYear72),MAX($AQ$68:AQ100),"")</f>
        <v>26.224792582823003</v>
      </c>
      <c r="AS100" s="209">
        <f t="shared" si="22"/>
        <v>2.4152479025020601E-2</v>
      </c>
      <c r="AZ100" s="61">
        <f t="shared" si="23"/>
        <v>0.14728649670278449</v>
      </c>
      <c r="BA100" s="61">
        <f t="shared" si="24"/>
        <v>0.14328262729889807</v>
      </c>
      <c r="BB100" s="61">
        <f t="shared" si="25"/>
        <v>7.6789437725355292E-3</v>
      </c>
      <c r="BC100" s="61">
        <f>IF(AND($A100&gt;=SYear72,$A100&lt;=EYear72),IF($A100=SYear72,(($AN110/$AN$67)^(1/(1+($A110-$A100)))-1),(($AN110/$AN99)^(1/(1+($A110-$A100)))-1)),"")</f>
        <v>7.3033509950480857E-2</v>
      </c>
      <c r="BG100" s="61">
        <f t="shared" si="28"/>
        <v>0.11111351204583908</v>
      </c>
      <c r="BH100" s="61">
        <f t="shared" si="29"/>
        <v>0.1092301407576326</v>
      </c>
      <c r="BI100" s="61">
        <f t="shared" si="30"/>
        <v>-1.8502632629799454E-2</v>
      </c>
      <c r="BJ100" s="61">
        <f>IF(AND($A100&gt;=SYear72,$A100&lt;=EYear72),IF($A100=SYear72,(($AP110/$AP$67)^(1/(1+($A110-$A100)))-1),(($AP110/$AP99)^(1/(1+($A110-$A100)))-1)),"")</f>
        <v>4.9663528087777298E-2</v>
      </c>
    </row>
    <row r="101" spans="1:63">
      <c r="A101" s="204">
        <f t="shared" ref="A101:A112" si="34">A100+1</f>
        <v>2005</v>
      </c>
      <c r="B101" s="446">
        <f>IF(AND($A101&gt;=SYear72,$A101&lt;=EYear72,B$3&gt;0),IF($A101=SYear72,B$67*(1+Data_72_15!B41%),B100*(1+Data_72_15!B41%)),"")</f>
        <v>173512.71842170195</v>
      </c>
      <c r="C101" s="446" t="str">
        <f>IF(AND($A101&gt;=SYear72,$A101&lt;=EYear72,C$3&gt;0),IF($A101=SYear72,C$67*(1+Data_72_15!C41%),C100*(1+Data_72_15!C41%)),"")</f>
        <v/>
      </c>
      <c r="D101" s="446" t="str">
        <f>IF(AND($A101&gt;=SYear72,$A101&lt;=EYear72,D$3&gt;0),IF($A101=SYear72,D$67*(1+Data_72_15!D41%),D100*(1+Data_72_15!D41%)),"")</f>
        <v/>
      </c>
      <c r="E101" s="446" t="str">
        <f>IF(AND($A101&gt;=SYear72,$A101&lt;=EYear72,E$3&gt;0),IF($A101=SYear72,E$67*(1+Data_72_15!E41%),E100*(1+Data_72_15!E41%)),"")</f>
        <v/>
      </c>
      <c r="F101" s="446" t="str">
        <f>IF(AND($A101&gt;=SYear72,$A101&lt;=EYear72,F$3&gt;0),IF($A101=SYear72,F$67*(1+Data_72_15!F41%),F100*(1+Data_72_15!F41%)),"")</f>
        <v/>
      </c>
      <c r="G101" s="446" t="str">
        <f>IF(AND($A101&gt;=SYear72,$A101&lt;=EYear72,G$3&gt;0),IF($A101=SYear72,G$67*(1+Data_72_15!G41%),G100*(1+Data_72_15!G41%)),"")</f>
        <v/>
      </c>
      <c r="H101" s="446" t="str">
        <f>IF(AND($A101&gt;=SYear72,$A101&lt;=EYear72,H$3&gt;0),IF($A101=SYear72,H$67*(1+Data_72_15!H41%),H100*(1+Data_72_15!H41%)),"")</f>
        <v/>
      </c>
      <c r="I101" s="446" t="str">
        <f>IF(AND($A101&gt;=SYear72,$A101&lt;=EYear72,I$3&gt;0),IF($A101=SYear72,I$67*(1+Data_72_15!I41%),I100*(1+Data_72_15!I41%)),"")</f>
        <v/>
      </c>
      <c r="J101" s="446" t="str">
        <f>IF(AND($A101&gt;=SYear72,$A101&lt;=EYear72,J$3&gt;0),IF($A101=SYear72,J$67*(1+Data_72_15!J41%),J100*(1+Data_72_15!J41%)),"")</f>
        <v/>
      </c>
      <c r="K101" s="446" t="str">
        <f>IF(AND($A101&gt;=SYear72,$A101&lt;=EYear72,K$3&gt;0),IF($A101=SYear72,K$67*(1+Data_72_15!K41%),K100*(1+Data_72_15!K41%)),"")</f>
        <v/>
      </c>
      <c r="L101" s="446" t="str">
        <f>IF(AND($A101&gt;=SYear72,$A101&lt;=EYear72,L$3&gt;0),IF($A101=SYear72,L$67*(1+Data_72_15!L41%),L100*(1+Data_72_15!L41%)),"")</f>
        <v/>
      </c>
      <c r="M101" s="446" t="str">
        <f>IF(AND($A101&gt;=SYear72,$A101&lt;=EYear72,M$3&gt;0),IF($A101=SYear72,M$67*(1+Data_72_15!M41%),M100*(1+Data_72_15!M41%)),"")</f>
        <v/>
      </c>
      <c r="N101" s="446">
        <f>IF(AND($A101&gt;=SYear72,$A101&lt;=EYear72,N$3&gt;0),IF($A101=SYear72,N$67*(1+Data_72_15!N41%),N100*(1+Data_72_15!N41%)),"")</f>
        <v>137350.01144907868</v>
      </c>
      <c r="O101" s="446" t="str">
        <f>IF(AND($A101&gt;=SYear72,$A101&lt;=EYear72,O$3&gt;0),IF($A101=SYear72,O$67*(1+Data_72_15!O41%),O100*(1+Data_72_15!O41%)),"")</f>
        <v/>
      </c>
      <c r="P101" s="446" t="str">
        <f>IF(AND($A101&gt;=SYear72,$A101&lt;=EYear72,P$3&gt;0),IF($A101=SYear72,P$67*(1+Data_72_15!P41%),P100*(1+Data_72_15!P41%)),"")</f>
        <v/>
      </c>
      <c r="Q101" s="446" t="str">
        <f>IF(AND($A101&gt;=SYear72,$A101&lt;=EYear72,Q$3&gt;0),IF($A101=SYear72,Q$67*(1+Data_72_15!Q41%),Q100*(1+Data_72_15!Q41%)),"")</f>
        <v/>
      </c>
      <c r="R101" s="446" t="str">
        <f>IF(AND($A101&gt;=SYear72,$A101&lt;=EYear72,R$3&gt;0),IF($A101=SYear72,R$67*(1+Data_72_15!R41%),R100*(1+Data_72_15!R41%)),"")</f>
        <v/>
      </c>
      <c r="S101" s="446" t="str">
        <f>IF(AND($A101&gt;=SYear72,$A101&lt;=EYear72,S$3&gt;0),IF($A101=SYear72,S$67*(1+Data_72_15!S41%),S100*(1+Data_72_15!S41%)),"")</f>
        <v/>
      </c>
      <c r="T101" s="446">
        <f>IF(AND($A101&gt;=SYear72,$A101&lt;=EYear72,T$3&gt;0),IF($A101=SYear72,T$67*(1+Data_72_15!T41%),T100*(1+Data_72_15!T41%)),"")</f>
        <v>26119.454048541738</v>
      </c>
      <c r="U101" s="446" t="str">
        <f>IF(AND($A101&gt;=SYear72,$A101&lt;=EYear72,U$3&gt;0),IF($A101=SYear72,U$67*(1+Data_72_15!U41%),U100*(1+Data_72_15!U41%)),"")</f>
        <v/>
      </c>
      <c r="V101" s="446" t="str">
        <f>IF(AND($A101&gt;=SYear72,$A101&lt;=EYear72,V$3&gt;0),IF($A101=SYear72,V$67*(1+Data_72_15!V41%),V100*(1+Data_72_15!V41%)),"")</f>
        <v/>
      </c>
      <c r="W101" s="446" t="str">
        <f>IF(AND($A101&gt;=SYear72,$A101&lt;=EYear72,W$3&gt;0),IF($A101=SYear72,W$67*(1+Data_72_15!W41%),W100*(1+Data_72_15!W41%)),"")</f>
        <v/>
      </c>
      <c r="X101" s="446" t="str">
        <f>IF(AND($A101&gt;=SYear72,$A101&lt;=EYear72,X$3&gt;0),IF($A101=SYear72,X$67*(1+Data_72_15!X41%),X100*(1+Data_72_15!X41%)),"")</f>
        <v/>
      </c>
      <c r="Y101" s="446" t="str">
        <f>IF(AND($A101&gt;=SYear72,$A101&lt;=EYear72,Y$3&gt;0),IF($A101=SYear72,Y$67*(1+Data_72_15!Y41%),Y100*(1+Data_72_15!Y41%)),"")</f>
        <v/>
      </c>
      <c r="Z101" s="446" t="str">
        <f>IF(AND($A101&gt;=SYear72,$A101&lt;=EYear72,Z$3&gt;0),IF($A101=SYear72,Z$67*(1+Data_72_15!Z41%),Z100*(1+Data_72_15!Z41%)),"")</f>
        <v/>
      </c>
      <c r="AA101" s="446" t="str">
        <f>IF(AND($A101&gt;=SYear72,$A101&lt;=EYear72,AA$3&gt;0),IF($A101=SYear72,AA$67*(1+Data_72_15!AA41%),AA100*(1+Data_72_15!AA41%)),"")</f>
        <v/>
      </c>
      <c r="AB101" s="446" t="str">
        <f>IF(AND($A101&gt;=SYear72,$A101&lt;=EYear72,AB$3&gt;0),IF($A101=SYear72,AB$67*(1+Data_72_15!AB41%),AB100*(1+Data_72_15!AB41%)),"")</f>
        <v/>
      </c>
      <c r="AC101" s="446" t="str">
        <f>IF(AND($A101&gt;=SYear72,$A101&lt;=EYear72,AC$3&gt;0),IF($A101=SYear72,AC$67*(1+Data_72_15!AC41%),AC100*(1+Data_72_15!AC41%)),"")</f>
        <v/>
      </c>
      <c r="AD101" s="446" t="str">
        <f>IF(AND($A101&gt;=SYear72,$A101&lt;=EYear72,AD$3&gt;0),IF($A101=SYear72,AD$67*(1+Data_72_15!AD41%),AD100*(1+Data_72_15!AD41%)),"")</f>
        <v/>
      </c>
      <c r="AE101" s="446" t="str">
        <f>IF(AND($A101&gt;=SYear72,$A101&lt;=EYear72,AE$3&gt;0),IF($A101=SYear72,AE$67*(1+Data_72_15!AE41%),AE100*(1+Data_72_15!AE41%)),"")</f>
        <v/>
      </c>
      <c r="AF101" s="446" t="str">
        <f>IF(AND($A101&gt;=SYear72,$A101&lt;=EYear72,AF$3&gt;0),IF($A101=SYear72,AF$67*(1+Data_72_15!AF41%),AF100*(1+Data_72_15!AF41%)),"")</f>
        <v/>
      </c>
      <c r="AG101" s="446" t="str">
        <f>IF(AND($A101&gt;=SYear72,$A101&lt;=EYear72,AG$3&gt;0),IF($A101=SYear72,AG$67*(1+Data_72_15!AG41%),AG100*(1+Data_72_15!AG41%)),"")</f>
        <v/>
      </c>
      <c r="AH101" s="446" t="str">
        <f>IF(AND($A101&gt;=SYear72,$A101&lt;=EYear72,AH$3&gt;0),IF($A101=SYear72,AH$67*(1+Data_72_15!AH41%),AH100*(1+Data_72_15!AH41%)),"")</f>
        <v/>
      </c>
      <c r="AI101" s="446" t="str">
        <f>IF(AND($A101&gt;=SYear72,$A101&lt;=EYear72,AI$3&gt;0),IF($A101=SYear72,AI$67*(1+Data_72_15!AI41%),AI100*(1+Data_72_15!AI41%)),"")</f>
        <v/>
      </c>
      <c r="AJ101" s="446" t="str">
        <f>IF(AND($A101&gt;=SYear72,$A101&lt;=EYear72,AJ$3&gt;0),IF($A101=SYear72,AJ$67*(1+Data_72_15!AJ41%),AJ100*(1+Data_72_15!AJ41%)),"")</f>
        <v/>
      </c>
      <c r="AK101" s="446" t="str">
        <f>IF(AND($A101&gt;=SYear72,$A101&lt;=EYear72,AK$3&gt;0),IF($A101=SYear72,AK$67*(1+Data_72_15!AK41%),AK100*(1+Data_72_15!AK41%)),"")</f>
        <v/>
      </c>
      <c r="AL101" s="446" t="str">
        <f>IF(AND($A101&gt;=SYear72,$A101&lt;=EYear72,AL$3&gt;0),IF($A101=SYear72,AL$67*(1+Data_72_15!AL41%),AL100*(1+Data_72_15!AL41%)),"")</f>
        <v/>
      </c>
      <c r="AM101" s="206">
        <f t="shared" ref="AM101:AM112" si="35">IF(AND($A101&gt;=SYear72,$A101&lt;=EYear72),IF($A101=SYear72,100*(AN101-$AN$67)/$AN$67,100*(AN101-AN100)/AN100),"")</f>
        <v>9.3760324802371837</v>
      </c>
      <c r="AN101" s="446">
        <f t="shared" ref="AN101:AN108" si="36">IF(AND($A101&gt;=SYear72,$A101&lt;=EYear72),SUM(B101:AG101),"")</f>
        <v>336982.18391932233</v>
      </c>
      <c r="AO101" s="206">
        <f>IF(AND($A101&gt;=SYear72,$A101&lt;=EYear72),(AM101-Data_72_15!AM41)/(1+Data_72_15!AM41%),"")</f>
        <v>5.7635110822618696</v>
      </c>
      <c r="AP101" s="606">
        <f t="shared" ref="AP101:AP108" si="37">IF(AND($A101&gt;=SYear72,$A101&lt;=EYear72),IF($A101=SYear72,$AP$4*(1+AO101%),$AP100*(1+AO101%)),"")</f>
        <v>70375.852434370696</v>
      </c>
      <c r="AQ101" s="143">
        <f t="shared" si="21"/>
        <v>27.990856696481583</v>
      </c>
      <c r="AR101" s="143">
        <f>IF(AND($A101&gt;=SYear72,$A101&lt;=EYear72),MAX($AQ$68:AQ101),"")</f>
        <v>27.990856696481583</v>
      </c>
      <c r="AS101" s="209">
        <f t="shared" si="22"/>
        <v>0</v>
      </c>
      <c r="AZ101" s="61">
        <f t="shared" si="23"/>
        <v>9.3760324802371731E-2</v>
      </c>
      <c r="BA101" s="61">
        <f t="shared" si="24"/>
        <v>0.12782852012710277</v>
      </c>
      <c r="BB101" s="61">
        <f t="shared" si="25"/>
        <v>3.042573766844292E-2</v>
      </c>
      <c r="BC101" s="61">
        <f>IF(AND($A101&gt;=SYear72,$A101&lt;=EYear72),IF($A101=SYear72,(($AN111/$AN$67)^(1/(1+($A111-$A101)))-1),(($AN111/$AN100)^(1/(1+($A111-$A101)))-1)),"")</f>
        <v>5.8607131758757092E-2</v>
      </c>
      <c r="BG101" s="61">
        <f t="shared" si="28"/>
        <v>5.763511082261874E-2</v>
      </c>
      <c r="BH101" s="61">
        <f t="shared" si="29"/>
        <v>9.1335013962348333E-2</v>
      </c>
      <c r="BI101" s="61">
        <f t="shared" si="30"/>
        <v>4.6949423717117522E-3</v>
      </c>
      <c r="BJ101" s="61">
        <f>IF(AND($A101&gt;=SYear72,$A101&lt;=EYear72),IF($A101=SYear72,(($AP111/$AP$67)^(1/(1+($A111-$A101)))-1),(($AP111/$AP100)^(1/(1+($A111-$A101)))-1)),"")</f>
        <v>3.7885677468989298E-2</v>
      </c>
    </row>
    <row r="102" spans="1:63">
      <c r="A102" s="204">
        <f t="shared" si="34"/>
        <v>2006</v>
      </c>
      <c r="B102" s="446">
        <f>IF(AND($A102&gt;=SYear72,$A102&lt;=EYear72,B$3&gt;0),IF($A102=SYear72,B$67*(1+Data_72_15!B42%),B101*(1+Data_72_15!B42%)),"")</f>
        <v>200424.54104890794</v>
      </c>
      <c r="C102" s="446" t="str">
        <f>IF(AND($A102&gt;=SYear72,$A102&lt;=EYear72,C$3&gt;0),IF($A102=SYear72,C$67*(1+Data_72_15!C42%),C101*(1+Data_72_15!C42%)),"")</f>
        <v/>
      </c>
      <c r="D102" s="446" t="str">
        <f>IF(AND($A102&gt;=SYear72,$A102&lt;=EYear72,D$3&gt;0),IF($A102=SYear72,D$67*(1+Data_72_15!D42%),D101*(1+Data_72_15!D42%)),"")</f>
        <v/>
      </c>
      <c r="E102" s="446" t="str">
        <f>IF(AND($A102&gt;=SYear72,$A102&lt;=EYear72,E$3&gt;0),IF($A102=SYear72,E$67*(1+Data_72_15!E42%),E101*(1+Data_72_15!E42%)),"")</f>
        <v/>
      </c>
      <c r="F102" s="446" t="str">
        <f>IF(AND($A102&gt;=SYear72,$A102&lt;=EYear72,F$3&gt;0),IF($A102=SYear72,F$67*(1+Data_72_15!F42%),F101*(1+Data_72_15!F42%)),"")</f>
        <v/>
      </c>
      <c r="G102" s="446" t="str">
        <f>IF(AND($A102&gt;=SYear72,$A102&lt;=EYear72,G$3&gt;0),IF($A102=SYear72,G$67*(1+Data_72_15!G42%),G101*(1+Data_72_15!G42%)),"")</f>
        <v/>
      </c>
      <c r="H102" s="446" t="str">
        <f>IF(AND($A102&gt;=SYear72,$A102&lt;=EYear72,H$3&gt;0),IF($A102=SYear72,H$67*(1+Data_72_15!H42%),H101*(1+Data_72_15!H42%)),"")</f>
        <v/>
      </c>
      <c r="I102" s="446" t="str">
        <f>IF(AND($A102&gt;=SYear72,$A102&lt;=EYear72,I$3&gt;0),IF($A102=SYear72,I$67*(1+Data_72_15!I42%),I101*(1+Data_72_15!I42%)),"")</f>
        <v/>
      </c>
      <c r="J102" s="446" t="str">
        <f>IF(AND($A102&gt;=SYear72,$A102&lt;=EYear72,J$3&gt;0),IF($A102=SYear72,J$67*(1+Data_72_15!J42%),J101*(1+Data_72_15!J42%)),"")</f>
        <v/>
      </c>
      <c r="K102" s="446" t="str">
        <f>IF(AND($A102&gt;=SYear72,$A102&lt;=EYear72,K$3&gt;0),IF($A102=SYear72,K$67*(1+Data_72_15!K42%),K101*(1+Data_72_15!K42%)),"")</f>
        <v/>
      </c>
      <c r="L102" s="446" t="str">
        <f>IF(AND($A102&gt;=SYear72,$A102&lt;=EYear72,L$3&gt;0),IF($A102=SYear72,L$67*(1+Data_72_15!L42%),L101*(1+Data_72_15!L42%)),"")</f>
        <v/>
      </c>
      <c r="M102" s="446" t="str">
        <f>IF(AND($A102&gt;=SYear72,$A102&lt;=EYear72,M$3&gt;0),IF($A102=SYear72,M$67*(1+Data_72_15!M42%),M101*(1+Data_72_15!M42%)),"")</f>
        <v/>
      </c>
      <c r="N102" s="446">
        <f>IF(AND($A102&gt;=SYear72,$A102&lt;=EYear72,N$3&gt;0),IF($A102=SYear72,N$67*(1+Data_72_15!N42%),N101*(1+Data_72_15!N42%)),"")</f>
        <v>173940.05449911323</v>
      </c>
      <c r="O102" s="446" t="str">
        <f>IF(AND($A102&gt;=SYear72,$A102&lt;=EYear72,O$3&gt;0),IF($A102=SYear72,O$67*(1+Data_72_15!O42%),O101*(1+Data_72_15!O42%)),"")</f>
        <v/>
      </c>
      <c r="P102" s="446" t="str">
        <f>IF(AND($A102&gt;=SYear72,$A102&lt;=EYear72,P$3&gt;0),IF($A102=SYear72,P$67*(1+Data_72_15!P42%),P101*(1+Data_72_15!P42%)),"")</f>
        <v/>
      </c>
      <c r="Q102" s="446" t="str">
        <f>IF(AND($A102&gt;=SYear72,$A102&lt;=EYear72,Q$3&gt;0),IF($A102=SYear72,Q$67*(1+Data_72_15!Q42%),Q101*(1+Data_72_15!Q42%)),"")</f>
        <v/>
      </c>
      <c r="R102" s="446" t="str">
        <f>IF(AND($A102&gt;=SYear72,$A102&lt;=EYear72,R$3&gt;0),IF($A102=SYear72,R$67*(1+Data_72_15!R42%),R101*(1+Data_72_15!R42%)),"")</f>
        <v/>
      </c>
      <c r="S102" s="446" t="str">
        <f>IF(AND($A102&gt;=SYear72,$A102&lt;=EYear72,S$3&gt;0),IF($A102=SYear72,S$67*(1+Data_72_15!S42%),S101*(1+Data_72_15!S42%)),"")</f>
        <v/>
      </c>
      <c r="T102" s="446">
        <f>IF(AND($A102&gt;=SYear72,$A102&lt;=EYear72,T$3&gt;0),IF($A102=SYear72,T$67*(1+Data_72_15!T42%),T101*(1+Data_72_15!T42%)),"")</f>
        <v>26939.60490566595</v>
      </c>
      <c r="U102" s="446" t="str">
        <f>IF(AND($A102&gt;=SYear72,$A102&lt;=EYear72,U$3&gt;0),IF($A102=SYear72,U$67*(1+Data_72_15!U42%),U101*(1+Data_72_15!U42%)),"")</f>
        <v/>
      </c>
      <c r="V102" s="446" t="str">
        <f>IF(AND($A102&gt;=SYear72,$A102&lt;=EYear72,V$3&gt;0),IF($A102=SYear72,V$67*(1+Data_72_15!V42%),V101*(1+Data_72_15!V42%)),"")</f>
        <v/>
      </c>
      <c r="W102" s="446" t="str">
        <f>IF(AND($A102&gt;=SYear72,$A102&lt;=EYear72,W$3&gt;0),IF($A102=SYear72,W$67*(1+Data_72_15!W42%),W101*(1+Data_72_15!W42%)),"")</f>
        <v/>
      </c>
      <c r="X102" s="446" t="str">
        <f>IF(AND($A102&gt;=SYear72,$A102&lt;=EYear72,X$3&gt;0),IF($A102=SYear72,X$67*(1+Data_72_15!X42%),X101*(1+Data_72_15!X42%)),"")</f>
        <v/>
      </c>
      <c r="Y102" s="446" t="str">
        <f>IF(AND($A102&gt;=SYear72,$A102&lt;=EYear72,Y$3&gt;0),IF($A102=SYear72,Y$67*(1+Data_72_15!Y42%),Y101*(1+Data_72_15!Y42%)),"")</f>
        <v/>
      </c>
      <c r="Z102" s="446" t="str">
        <f>IF(AND($A102&gt;=SYear72,$A102&lt;=EYear72,Z$3&gt;0),IF($A102=SYear72,Z$67*(1+Data_72_15!Z42%),Z101*(1+Data_72_15!Z42%)),"")</f>
        <v/>
      </c>
      <c r="AA102" s="446" t="str">
        <f>IF(AND($A102&gt;=SYear72,$A102&lt;=EYear72,AA$3&gt;0),IF($A102=SYear72,AA$67*(1+Data_72_15!AA42%),AA101*(1+Data_72_15!AA42%)),"")</f>
        <v/>
      </c>
      <c r="AB102" s="446" t="str">
        <f>IF(AND($A102&gt;=SYear72,$A102&lt;=EYear72,AB$3&gt;0),IF($A102=SYear72,AB$67*(1+Data_72_15!AB42%),AB101*(1+Data_72_15!AB42%)),"")</f>
        <v/>
      </c>
      <c r="AC102" s="446" t="str">
        <f>IF(AND($A102&gt;=SYear72,$A102&lt;=EYear72,AC$3&gt;0),IF($A102=SYear72,AC$67*(1+Data_72_15!AC42%),AC101*(1+Data_72_15!AC42%)),"")</f>
        <v/>
      </c>
      <c r="AD102" s="446" t="str">
        <f>IF(AND($A102&gt;=SYear72,$A102&lt;=EYear72,AD$3&gt;0),IF($A102=SYear72,AD$67*(1+Data_72_15!AD42%),AD101*(1+Data_72_15!AD42%)),"")</f>
        <v/>
      </c>
      <c r="AE102" s="446" t="str">
        <f>IF(AND($A102&gt;=SYear72,$A102&lt;=EYear72,AE$3&gt;0),IF($A102=SYear72,AE$67*(1+Data_72_15!AE42%),AE101*(1+Data_72_15!AE42%)),"")</f>
        <v/>
      </c>
      <c r="AF102" s="446" t="str">
        <f>IF(AND($A102&gt;=SYear72,$A102&lt;=EYear72,AF$3&gt;0),IF($A102=SYear72,AF$67*(1+Data_72_15!AF42%),AF101*(1+Data_72_15!AF42%)),"")</f>
        <v/>
      </c>
      <c r="AG102" s="446" t="str">
        <f>IF(AND($A102&gt;=SYear72,$A102&lt;=EYear72,AG$3&gt;0),IF($A102=SYear72,AG$67*(1+Data_72_15!AG42%),AG101*(1+Data_72_15!AG42%)),"")</f>
        <v/>
      </c>
      <c r="AH102" s="446" t="str">
        <f>IF(AND($A102&gt;=SYear72,$A102&lt;=EYear72,AH$3&gt;0),IF($A102=SYear72,AH$67*(1+Data_72_15!AH42%),AH101*(1+Data_72_15!AH42%)),"")</f>
        <v/>
      </c>
      <c r="AI102" s="446" t="str">
        <f>IF(AND($A102&gt;=SYear72,$A102&lt;=EYear72,AI$3&gt;0),IF($A102=SYear72,AI$67*(1+Data_72_15!AI42%),AI101*(1+Data_72_15!AI42%)),"")</f>
        <v/>
      </c>
      <c r="AJ102" s="446" t="str">
        <f>IF(AND($A102&gt;=SYear72,$A102&lt;=EYear72,AJ$3&gt;0),IF($A102=SYear72,AJ$67*(1+Data_72_15!AJ42%),AJ101*(1+Data_72_15!AJ42%)),"")</f>
        <v/>
      </c>
      <c r="AK102" s="446" t="str">
        <f>IF(AND($A102&gt;=SYear72,$A102&lt;=EYear72,AK$3&gt;0),IF($A102=SYear72,AK$67*(1+Data_72_15!AK42%),AK101*(1+Data_72_15!AK42%)),"")</f>
        <v/>
      </c>
      <c r="AL102" s="446" t="str">
        <f>IF(AND($A102&gt;=SYear72,$A102&lt;=EYear72,AL$3&gt;0),IF($A102=SYear72,AL$67*(1+Data_72_15!AL42%),AL101*(1+Data_72_15!AL42%)),"")</f>
        <v/>
      </c>
      <c r="AM102" s="206">
        <f t="shared" si="35"/>
        <v>19.087660892412124</v>
      </c>
      <c r="AN102" s="446">
        <f t="shared" si="36"/>
        <v>401304.20045368711</v>
      </c>
      <c r="AO102" s="206">
        <f>IF(AND($A102&gt;=SYear72,$A102&lt;=EYear72),(AM102-Data_72_15!AM42)/(1+Data_72_15!AM42%),"")</f>
        <v>16.137025092302807</v>
      </c>
      <c r="AP102" s="606">
        <f t="shared" si="37"/>
        <v>81732.421400627092</v>
      </c>
      <c r="AQ102" s="143">
        <f t="shared" si="21"/>
        <v>33.333656503587015</v>
      </c>
      <c r="AR102" s="143">
        <f>IF(AND($A102&gt;=SYear72,$A102&lt;=EYear72),MAX($AQ$68:AQ102),"")</f>
        <v>33.333656503587015</v>
      </c>
      <c r="AS102" s="209">
        <f t="shared" si="22"/>
        <v>0</v>
      </c>
      <c r="AZ102" s="61">
        <f t="shared" si="23"/>
        <v>0.19087660892412117</v>
      </c>
      <c r="BA102" s="61">
        <f t="shared" si="24"/>
        <v>-6.0985517848866411E-2</v>
      </c>
      <c r="BB102" s="61">
        <f t="shared" si="25"/>
        <v>3.8319126415490512E-2</v>
      </c>
      <c r="BC102" s="61"/>
      <c r="BG102" s="61">
        <f t="shared" si="28"/>
        <v>0.16137025092302815</v>
      </c>
      <c r="BH102" s="61">
        <f t="shared" si="29"/>
        <v>-8.141968262433541E-2</v>
      </c>
      <c r="BI102" s="61">
        <f t="shared" si="30"/>
        <v>1.6192732454217929E-2</v>
      </c>
    </row>
    <row r="103" spans="1:63">
      <c r="A103" s="204">
        <f t="shared" si="34"/>
        <v>2007</v>
      </c>
      <c r="B103" s="446">
        <f>IF(AND($A103&gt;=SYear72,$A103&lt;=EYear72,B$3&gt;0),IF($A103=SYear72,B$67*(1+Data_72_15!B43%),B102*(1+Data_72_15!B43%)),"")</f>
        <v>211427.84835249296</v>
      </c>
      <c r="C103" s="446" t="str">
        <f>IF(AND($A103&gt;=SYear72,$A103&lt;=EYear72,C$3&gt;0),IF($A103=SYear72,C$67*(1+Data_72_15!C43%),C102*(1+Data_72_15!C43%)),"")</f>
        <v/>
      </c>
      <c r="D103" s="446" t="str">
        <f>IF(AND($A103&gt;=SYear72,$A103&lt;=EYear72,D$3&gt;0),IF($A103=SYear72,D$67*(1+Data_72_15!D43%),D102*(1+Data_72_15!D43%)),"")</f>
        <v/>
      </c>
      <c r="E103" s="446" t="str">
        <f>IF(AND($A103&gt;=SYear72,$A103&lt;=EYear72,E$3&gt;0),IF($A103=SYear72,E$67*(1+Data_72_15!E43%),E102*(1+Data_72_15!E43%)),"")</f>
        <v/>
      </c>
      <c r="F103" s="446" t="str">
        <f>IF(AND($A103&gt;=SYear72,$A103&lt;=EYear72,F$3&gt;0),IF($A103=SYear72,F$67*(1+Data_72_15!F43%),F102*(1+Data_72_15!F43%)),"")</f>
        <v/>
      </c>
      <c r="G103" s="446" t="str">
        <f>IF(AND($A103&gt;=SYear72,$A103&lt;=EYear72,G$3&gt;0),IF($A103=SYear72,G$67*(1+Data_72_15!G43%),G102*(1+Data_72_15!G43%)),"")</f>
        <v/>
      </c>
      <c r="H103" s="446" t="str">
        <f>IF(AND($A103&gt;=SYear72,$A103&lt;=EYear72,H$3&gt;0),IF($A103=SYear72,H$67*(1+Data_72_15!H43%),H102*(1+Data_72_15!H43%)),"")</f>
        <v/>
      </c>
      <c r="I103" s="446" t="str">
        <f>IF(AND($A103&gt;=SYear72,$A103&lt;=EYear72,I$3&gt;0),IF($A103=SYear72,I$67*(1+Data_72_15!I43%),I102*(1+Data_72_15!I43%)),"")</f>
        <v/>
      </c>
      <c r="J103" s="446" t="str">
        <f>IF(AND($A103&gt;=SYear72,$A103&lt;=EYear72,J$3&gt;0),IF($A103=SYear72,J$67*(1+Data_72_15!J43%),J102*(1+Data_72_15!J43%)),"")</f>
        <v/>
      </c>
      <c r="K103" s="446" t="str">
        <f>IF(AND($A103&gt;=SYear72,$A103&lt;=EYear72,K$3&gt;0),IF($A103=SYear72,K$67*(1+Data_72_15!K43%),K102*(1+Data_72_15!K43%)),"")</f>
        <v/>
      </c>
      <c r="L103" s="446" t="str">
        <f>IF(AND($A103&gt;=SYear72,$A103&lt;=EYear72,L$3&gt;0),IF($A103=SYear72,L$67*(1+Data_72_15!L43%),L102*(1+Data_72_15!L43%)),"")</f>
        <v/>
      </c>
      <c r="M103" s="446" t="str">
        <f>IF(AND($A103&gt;=SYear72,$A103&lt;=EYear72,M$3&gt;0),IF($A103=SYear72,M$67*(1+Data_72_15!M43%),M102*(1+Data_72_15!M43%)),"")</f>
        <v/>
      </c>
      <c r="N103" s="446">
        <f>IF(AND($A103&gt;=SYear72,$A103&lt;=EYear72,N$3&gt;0),IF($A103=SYear72,N$67*(1+Data_72_15!N43%),N102*(1+Data_72_15!N43%)),"")</f>
        <v>200935.55095737561</v>
      </c>
      <c r="O103" s="446" t="str">
        <f>IF(AND($A103&gt;=SYear72,$A103&lt;=EYear72,O$3&gt;0),IF($A103=SYear72,O$67*(1+Data_72_15!O43%),O102*(1+Data_72_15!O43%)),"")</f>
        <v/>
      </c>
      <c r="P103" s="446" t="str">
        <f>IF(AND($A103&gt;=SYear72,$A103&lt;=EYear72,P$3&gt;0),IF($A103=SYear72,P$67*(1+Data_72_15!P43%),P102*(1+Data_72_15!P43%)),"")</f>
        <v/>
      </c>
      <c r="Q103" s="446" t="str">
        <f>IF(AND($A103&gt;=SYear72,$A103&lt;=EYear72,Q$3&gt;0),IF($A103=SYear72,Q$67*(1+Data_72_15!Q43%),Q102*(1+Data_72_15!Q43%)),"")</f>
        <v/>
      </c>
      <c r="R103" s="446" t="str">
        <f>IF(AND($A103&gt;=SYear72,$A103&lt;=EYear72,R$3&gt;0),IF($A103=SYear72,R$67*(1+Data_72_15!R43%),R102*(1+Data_72_15!R43%)),"")</f>
        <v/>
      </c>
      <c r="S103" s="446" t="str">
        <f>IF(AND($A103&gt;=SYear72,$A103&lt;=EYear72,S$3&gt;0),IF($A103=SYear72,S$67*(1+Data_72_15!S43%),S102*(1+Data_72_15!S43%)),"")</f>
        <v/>
      </c>
      <c r="T103" s="446">
        <f>IF(AND($A103&gt;=SYear72,$A103&lt;=EYear72,T$3&gt;0),IF($A103=SYear72,T$67*(1+Data_72_15!T43%),T102*(1+Data_72_15!T43%)),"")</f>
        <v>29628.177475251414</v>
      </c>
      <c r="U103" s="446" t="str">
        <f>IF(AND($A103&gt;=SYear72,$A103&lt;=EYear72,U$3&gt;0),IF($A103=SYear72,U$67*(1+Data_72_15!U43%),U102*(1+Data_72_15!U43%)),"")</f>
        <v/>
      </c>
      <c r="V103" s="446" t="str">
        <f>IF(AND($A103&gt;=SYear72,$A103&lt;=EYear72,V$3&gt;0),IF($A103=SYear72,V$67*(1+Data_72_15!V43%),V102*(1+Data_72_15!V43%)),"")</f>
        <v/>
      </c>
      <c r="W103" s="446" t="str">
        <f>IF(AND($A103&gt;=SYear72,$A103&lt;=EYear72,W$3&gt;0),IF($A103=SYear72,W$67*(1+Data_72_15!W43%),W102*(1+Data_72_15!W43%)),"")</f>
        <v/>
      </c>
      <c r="X103" s="446" t="str">
        <f>IF(AND($A103&gt;=SYear72,$A103&lt;=EYear72,X$3&gt;0),IF($A103=SYear72,X$67*(1+Data_72_15!X43%),X102*(1+Data_72_15!X43%)),"")</f>
        <v/>
      </c>
      <c r="Y103" s="446" t="str">
        <f>IF(AND($A103&gt;=SYear72,$A103&lt;=EYear72,Y$3&gt;0),IF($A103=SYear72,Y$67*(1+Data_72_15!Y43%),Y102*(1+Data_72_15!Y43%)),"")</f>
        <v/>
      </c>
      <c r="Z103" s="446" t="str">
        <f>IF(AND($A103&gt;=SYear72,$A103&lt;=EYear72,Z$3&gt;0),IF($A103=SYear72,Z$67*(1+Data_72_15!Z43%),Z102*(1+Data_72_15!Z43%)),"")</f>
        <v/>
      </c>
      <c r="AA103" s="446" t="str">
        <f>IF(AND($A103&gt;=SYear72,$A103&lt;=EYear72,AA$3&gt;0),IF($A103=SYear72,AA$67*(1+Data_72_15!AA43%),AA102*(1+Data_72_15!AA43%)),"")</f>
        <v/>
      </c>
      <c r="AB103" s="446" t="str">
        <f>IF(AND($A103&gt;=SYear72,$A103&lt;=EYear72,AB$3&gt;0),IF($A103=SYear72,AB$67*(1+Data_72_15!AB43%),AB102*(1+Data_72_15!AB43%)),"")</f>
        <v/>
      </c>
      <c r="AC103" s="446" t="str">
        <f>IF(AND($A103&gt;=SYear72,$A103&lt;=EYear72,AC$3&gt;0),IF($A103=SYear72,AC$67*(1+Data_72_15!AC43%),AC102*(1+Data_72_15!AC43%)),"")</f>
        <v/>
      </c>
      <c r="AD103" s="446" t="str">
        <f>IF(AND($A103&gt;=SYear72,$A103&lt;=EYear72,AD$3&gt;0),IF($A103=SYear72,AD$67*(1+Data_72_15!AD43%),AD102*(1+Data_72_15!AD43%)),"")</f>
        <v/>
      </c>
      <c r="AE103" s="446" t="str">
        <f>IF(AND($A103&gt;=SYear72,$A103&lt;=EYear72,AE$3&gt;0),IF($A103=SYear72,AE$67*(1+Data_72_15!AE43%),AE102*(1+Data_72_15!AE43%)),"")</f>
        <v/>
      </c>
      <c r="AF103" s="446" t="str">
        <f>IF(AND($A103&gt;=SYear72,$A103&lt;=EYear72,AF$3&gt;0),IF($A103=SYear72,AF$67*(1+Data_72_15!AF43%),AF102*(1+Data_72_15!AF43%)),"")</f>
        <v/>
      </c>
      <c r="AG103" s="446" t="str">
        <f>IF(AND($A103&gt;=SYear72,$A103&lt;=EYear72,AG$3&gt;0),IF($A103=SYear72,AG$67*(1+Data_72_15!AG43%),AG102*(1+Data_72_15!AG43%)),"")</f>
        <v/>
      </c>
      <c r="AH103" s="446" t="str">
        <f>IF(AND($A103&gt;=SYear72,$A103&lt;=EYear72,AH$3&gt;0),IF($A103=SYear72,AH$67*(1+Data_72_15!AH43%),AH102*(1+Data_72_15!AH43%)),"")</f>
        <v/>
      </c>
      <c r="AI103" s="446" t="str">
        <f>IF(AND($A103&gt;=SYear72,$A103&lt;=EYear72,AI$3&gt;0),IF($A103=SYear72,AI$67*(1+Data_72_15!AI43%),AI102*(1+Data_72_15!AI43%)),"")</f>
        <v/>
      </c>
      <c r="AJ103" s="446" t="str">
        <f>IF(AND($A103&gt;=SYear72,$A103&lt;=EYear72,AJ$3&gt;0),IF($A103=SYear72,AJ$67*(1+Data_72_15!AJ43%),AJ102*(1+Data_72_15!AJ43%)),"")</f>
        <v/>
      </c>
      <c r="AK103" s="446" t="str">
        <f>IF(AND($A103&gt;=SYear72,$A103&lt;=EYear72,AK$3&gt;0),IF($A103=SYear72,AK$67*(1+Data_72_15!AK43%),AK102*(1+Data_72_15!AK43%)),"")</f>
        <v/>
      </c>
      <c r="AL103" s="446" t="str">
        <f>IF(AND($A103&gt;=SYear72,$A103&lt;=EYear72,AL$3&gt;0),IF($A103=SYear72,AL$67*(1+Data_72_15!AL43%),AL102*(1+Data_72_15!AL43%)),"")</f>
        <v/>
      </c>
      <c r="AM103" s="206">
        <f t="shared" si="35"/>
        <v>10.138786557786968</v>
      </c>
      <c r="AN103" s="446">
        <f t="shared" si="36"/>
        <v>441991.57678512001</v>
      </c>
      <c r="AO103" s="206">
        <f>IF(AND($A103&gt;=SYear72,$A103&lt;=EYear72),(AM103-Data_72_15!AM43)/(1+Data_72_15!AM43%),"")</f>
        <v>5.8199886084357555</v>
      </c>
      <c r="AP103" s="606">
        <f t="shared" si="37"/>
        <v>86489.239015542291</v>
      </c>
      <c r="AQ103" s="143">
        <f t="shared" si="21"/>
        <v>36.713284788391576</v>
      </c>
      <c r="AR103" s="143">
        <f>IF(AND($A103&gt;=SYear72,$A103&lt;=EYear72),MAX($AQ$68:AQ103),"")</f>
        <v>36.713284788391576</v>
      </c>
      <c r="AS103" s="209">
        <f t="shared" si="22"/>
        <v>0</v>
      </c>
      <c r="AZ103" s="61">
        <f t="shared" si="23"/>
        <v>0.10138786557786972</v>
      </c>
      <c r="BA103" s="61">
        <f t="shared" si="24"/>
        <v>-3.743177884684834E-2</v>
      </c>
      <c r="BB103" s="61">
        <f t="shared" si="25"/>
        <v>-7.1104607822610744E-3</v>
      </c>
      <c r="BG103" s="61">
        <f t="shared" si="28"/>
        <v>5.8199886084357555E-2</v>
      </c>
      <c r="BH103" s="61">
        <f t="shared" si="29"/>
        <v>-5.8930912763369148E-2</v>
      </c>
      <c r="BI103" s="61">
        <f t="shared" si="30"/>
        <v>-2.9066173178659005E-2</v>
      </c>
    </row>
    <row r="104" spans="1:63">
      <c r="A104" s="204">
        <f t="shared" si="34"/>
        <v>2008</v>
      </c>
      <c r="B104" s="446">
        <f>IF(AND($A104&gt;=SYear72,$A104&lt;=EYear72,B$3&gt;0),IF($A104=SYear72,B$67*(1+Data_72_15!B44%),B103*(1+Data_72_15!B44%)),"")</f>
        <v>133114.97332272955</v>
      </c>
      <c r="C104" s="446" t="str">
        <f>IF(AND($A104&gt;=SYear72,$A104&lt;=EYear72,C$3&gt;0),IF($A104=SYear72,C$67*(1+Data_72_15!C44%),C103*(1+Data_72_15!C44%)),"")</f>
        <v/>
      </c>
      <c r="D104" s="446" t="str">
        <f>IF(AND($A104&gt;=SYear72,$A104&lt;=EYear72,D$3&gt;0),IF($A104=SYear72,D$67*(1+Data_72_15!D44%),D103*(1+Data_72_15!D44%)),"")</f>
        <v/>
      </c>
      <c r="E104" s="446" t="str">
        <f>IF(AND($A104&gt;=SYear72,$A104&lt;=EYear72,E$3&gt;0),IF($A104=SYear72,E$67*(1+Data_72_15!E44%),E103*(1+Data_72_15!E44%)),"")</f>
        <v/>
      </c>
      <c r="F104" s="446" t="str">
        <f>IF(AND($A104&gt;=SYear72,$A104&lt;=EYear72,F$3&gt;0),IF($A104=SYear72,F$67*(1+Data_72_15!F44%),F103*(1+Data_72_15!F44%)),"")</f>
        <v/>
      </c>
      <c r="G104" s="446" t="str">
        <f>IF(AND($A104&gt;=SYear72,$A104&lt;=EYear72,G$3&gt;0),IF($A104=SYear72,G$67*(1+Data_72_15!G44%),G103*(1+Data_72_15!G44%)),"")</f>
        <v/>
      </c>
      <c r="H104" s="446" t="str">
        <f>IF(AND($A104&gt;=SYear72,$A104&lt;=EYear72,H$3&gt;0),IF($A104=SYear72,H$67*(1+Data_72_15!H44%),H103*(1+Data_72_15!H44%)),"")</f>
        <v/>
      </c>
      <c r="I104" s="446" t="str">
        <f>IF(AND($A104&gt;=SYear72,$A104&lt;=EYear72,I$3&gt;0),IF($A104=SYear72,I$67*(1+Data_72_15!I44%),I103*(1+Data_72_15!I44%)),"")</f>
        <v/>
      </c>
      <c r="J104" s="446" t="str">
        <f>IF(AND($A104&gt;=SYear72,$A104&lt;=EYear72,J$3&gt;0),IF($A104=SYear72,J$67*(1+Data_72_15!J44%),J103*(1+Data_72_15!J44%)),"")</f>
        <v/>
      </c>
      <c r="K104" s="446" t="str">
        <f>IF(AND($A104&gt;=SYear72,$A104&lt;=EYear72,K$3&gt;0),IF($A104=SYear72,K$67*(1+Data_72_15!K44%),K103*(1+Data_72_15!K44%)),"")</f>
        <v/>
      </c>
      <c r="L104" s="446" t="str">
        <f>IF(AND($A104&gt;=SYear72,$A104&lt;=EYear72,L$3&gt;0),IF($A104=SYear72,L$67*(1+Data_72_15!L44%),L103*(1+Data_72_15!L44%)),"")</f>
        <v/>
      </c>
      <c r="M104" s="446" t="str">
        <f>IF(AND($A104&gt;=SYear72,$A104&lt;=EYear72,M$3&gt;0),IF($A104=SYear72,M$67*(1+Data_72_15!M44%),M103*(1+Data_72_15!M44%)),"")</f>
        <v/>
      </c>
      <c r="N104" s="446">
        <f>IF(AND($A104&gt;=SYear72,$A104&lt;=EYear72,N$3&gt;0),IF($A104=SYear72,N$67*(1+Data_72_15!N44%),N103*(1+Data_72_15!N44%)),"")</f>
        <v>112322.97298517295</v>
      </c>
      <c r="O104" s="446" t="str">
        <f>IF(AND($A104&gt;=SYear72,$A104&lt;=EYear72,O$3&gt;0),IF($A104=SYear72,O$67*(1+Data_72_15!O44%),O103*(1+Data_72_15!O44%)),"")</f>
        <v/>
      </c>
      <c r="P104" s="446" t="str">
        <f>IF(AND($A104&gt;=SYear72,$A104&lt;=EYear72,P$3&gt;0),IF($A104=SYear72,P$67*(1+Data_72_15!P44%),P103*(1+Data_72_15!P44%)),"")</f>
        <v/>
      </c>
      <c r="Q104" s="446" t="str">
        <f>IF(AND($A104&gt;=SYear72,$A104&lt;=EYear72,Q$3&gt;0),IF($A104=SYear72,Q$67*(1+Data_72_15!Q44%),Q103*(1+Data_72_15!Q44%)),"")</f>
        <v/>
      </c>
      <c r="R104" s="446" t="str">
        <f>IF(AND($A104&gt;=SYear72,$A104&lt;=EYear72,R$3&gt;0),IF($A104=SYear72,R$67*(1+Data_72_15!R44%),R103*(1+Data_72_15!R44%)),"")</f>
        <v/>
      </c>
      <c r="S104" s="446" t="str">
        <f>IF(AND($A104&gt;=SYear72,$A104&lt;=EYear72,S$3&gt;0),IF($A104=SYear72,S$67*(1+Data_72_15!S44%),S103*(1+Data_72_15!S44%)),"")</f>
        <v/>
      </c>
      <c r="T104" s="446">
        <f>IF(AND($A104&gt;=SYear72,$A104&lt;=EYear72,T$3&gt;0),IF($A104=SYear72,T$67*(1+Data_72_15!T44%),T103*(1+Data_72_15!T44%)),"")</f>
        <v>33574.6507149549</v>
      </c>
      <c r="U104" s="446" t="str">
        <f>IF(AND($A104&gt;=SYear72,$A104&lt;=EYear72,U$3&gt;0),IF($A104=SYear72,U$67*(1+Data_72_15!U44%),U103*(1+Data_72_15!U44%)),"")</f>
        <v/>
      </c>
      <c r="V104" s="446" t="str">
        <f>IF(AND($A104&gt;=SYear72,$A104&lt;=EYear72,V$3&gt;0),IF($A104=SYear72,V$67*(1+Data_72_15!V44%),V103*(1+Data_72_15!V44%)),"")</f>
        <v/>
      </c>
      <c r="W104" s="446" t="str">
        <f>IF(AND($A104&gt;=SYear72,$A104&lt;=EYear72,W$3&gt;0),IF($A104=SYear72,W$67*(1+Data_72_15!W44%),W103*(1+Data_72_15!W44%)),"")</f>
        <v/>
      </c>
      <c r="X104" s="446" t="str">
        <f>IF(AND($A104&gt;=SYear72,$A104&lt;=EYear72,X$3&gt;0),IF($A104=SYear72,X$67*(1+Data_72_15!X44%),X103*(1+Data_72_15!X44%)),"")</f>
        <v/>
      </c>
      <c r="Y104" s="446" t="str">
        <f>IF(AND($A104&gt;=SYear72,$A104&lt;=EYear72,Y$3&gt;0),IF($A104=SYear72,Y$67*(1+Data_72_15!Y44%),Y103*(1+Data_72_15!Y44%)),"")</f>
        <v/>
      </c>
      <c r="Z104" s="446" t="str">
        <f>IF(AND($A104&gt;=SYear72,$A104&lt;=EYear72,Z$3&gt;0),IF($A104=SYear72,Z$67*(1+Data_72_15!Z44%),Z103*(1+Data_72_15!Z44%)),"")</f>
        <v/>
      </c>
      <c r="AA104" s="446" t="str">
        <f>IF(AND($A104&gt;=SYear72,$A104&lt;=EYear72,AA$3&gt;0),IF($A104=SYear72,AA$67*(1+Data_72_15!AA44%),AA103*(1+Data_72_15!AA44%)),"")</f>
        <v/>
      </c>
      <c r="AB104" s="446" t="str">
        <f>IF(AND($A104&gt;=SYear72,$A104&lt;=EYear72,AB$3&gt;0),IF($A104=SYear72,AB$67*(1+Data_72_15!AB44%),AB103*(1+Data_72_15!AB44%)),"")</f>
        <v/>
      </c>
      <c r="AC104" s="446" t="str">
        <f>IF(AND($A104&gt;=SYear72,$A104&lt;=EYear72,AC$3&gt;0),IF($A104=SYear72,AC$67*(1+Data_72_15!AC44%),AC103*(1+Data_72_15!AC44%)),"")</f>
        <v/>
      </c>
      <c r="AD104" s="446" t="str">
        <f>IF(AND($A104&gt;=SYear72,$A104&lt;=EYear72,AD$3&gt;0),IF($A104=SYear72,AD$67*(1+Data_72_15!AD44%),AD103*(1+Data_72_15!AD44%)),"")</f>
        <v/>
      </c>
      <c r="AE104" s="446" t="str">
        <f>IF(AND($A104&gt;=SYear72,$A104&lt;=EYear72,AE$3&gt;0),IF($A104=SYear72,AE$67*(1+Data_72_15!AE44%),AE103*(1+Data_72_15!AE44%)),"")</f>
        <v/>
      </c>
      <c r="AF104" s="446" t="str">
        <f>IF(AND($A104&gt;=SYear72,$A104&lt;=EYear72,AF$3&gt;0),IF($A104=SYear72,AF$67*(1+Data_72_15!AF44%),AF103*(1+Data_72_15!AF44%)),"")</f>
        <v/>
      </c>
      <c r="AG104" s="446" t="str">
        <f>IF(AND($A104&gt;=SYear72,$A104&lt;=EYear72,AG$3&gt;0),IF($A104=SYear72,AG$67*(1+Data_72_15!AG44%),AG103*(1+Data_72_15!AG44%)),"")</f>
        <v/>
      </c>
      <c r="AH104" s="446" t="str">
        <f>IF(AND($A104&gt;=SYear72,$A104&lt;=EYear72,AH$3&gt;0),IF($A104=SYear72,AH$67*(1+Data_72_15!AH44%),AH103*(1+Data_72_15!AH44%)),"")</f>
        <v/>
      </c>
      <c r="AI104" s="446" t="str">
        <f>IF(AND($A104&gt;=SYear72,$A104&lt;=EYear72,AI$3&gt;0),IF($A104=SYear72,AI$67*(1+Data_72_15!AI44%),AI103*(1+Data_72_15!AI44%)),"")</f>
        <v/>
      </c>
      <c r="AJ104" s="446" t="str">
        <f>IF(AND($A104&gt;=SYear72,$A104&lt;=EYear72,AJ$3&gt;0),IF($A104=SYear72,AJ$67*(1+Data_72_15!AJ44%),AJ103*(1+Data_72_15!AJ44%)),"")</f>
        <v/>
      </c>
      <c r="AK104" s="446" t="str">
        <f>IF(AND($A104&gt;=SYear72,$A104&lt;=EYear72,AK$3&gt;0),IF($A104=SYear72,AK$67*(1+Data_72_15!AK44%),AK103*(1+Data_72_15!AK44%)),"")</f>
        <v/>
      </c>
      <c r="AL104" s="446" t="str">
        <f>IF(AND($A104&gt;=SYear72,$A104&lt;=EYear72,AL$3&gt;0),IF($A104=SYear72,AL$67*(1+Data_72_15!AL44%),AL103*(1+Data_72_15!AL44%)),"")</f>
        <v/>
      </c>
      <c r="AM104" s="206">
        <f t="shared" si="35"/>
        <v>-36.87377504967634</v>
      </c>
      <c r="AN104" s="446">
        <f t="shared" si="36"/>
        <v>279012.5970228574</v>
      </c>
      <c r="AO104" s="206">
        <f>IF(AND($A104&gt;=SYear72,$A104&lt;=EYear72),(AM104-Data_72_15!AM44)/(1+Data_72_15!AM44%),"")</f>
        <v>-36.931427860864495</v>
      </c>
      <c r="AP104" s="606">
        <f t="shared" si="37"/>
        <v>54547.528101106618</v>
      </c>
      <c r="AQ104" s="143">
        <f t="shared" si="21"/>
        <v>23.175710742173024</v>
      </c>
      <c r="AR104" s="143">
        <f>IF(AND($A104&gt;=SYear72,$A104&lt;=EYear72),MAX($AQ$68:AQ104),"")</f>
        <v>36.713284788391576</v>
      </c>
      <c r="AS104" s="209">
        <f t="shared" si="22"/>
        <v>0.36873775049676338</v>
      </c>
      <c r="AZ104" s="61">
        <f t="shared" si="23"/>
        <v>-0.36873775049676338</v>
      </c>
      <c r="BA104" s="61">
        <f t="shared" si="24"/>
        <v>-2.7366838411004846E-2</v>
      </c>
      <c r="BB104" s="61">
        <f t="shared" si="25"/>
        <v>2.5415885637276592E-3</v>
      </c>
      <c r="BG104" s="61">
        <f t="shared" si="28"/>
        <v>-0.36931427860864496</v>
      </c>
      <c r="BH104" s="61">
        <f t="shared" si="29"/>
        <v>-4.1083764355476005E-2</v>
      </c>
      <c r="BI104" s="61">
        <f t="shared" si="30"/>
        <v>-1.5158388116720989E-2</v>
      </c>
    </row>
    <row r="105" spans="1:63">
      <c r="A105" s="204">
        <f t="shared" si="34"/>
        <v>2009</v>
      </c>
      <c r="B105" s="446">
        <f>IF(AND($A105&gt;=SYear72,$A105&lt;=EYear72,B$3&gt;0),IF($A105=SYear72,B$67*(1+Data_72_15!B45%),B104*(1+Data_72_15!B45%)),"")</f>
        <v>171318.97066635292</v>
      </c>
      <c r="C105" s="446" t="str">
        <f>IF(AND($A105&gt;=SYear72,$A105&lt;=EYear72,C$3&gt;0),IF($A105=SYear72,C$67*(1+Data_72_15!C45%),C104*(1+Data_72_15!C45%)),"")</f>
        <v/>
      </c>
      <c r="D105" s="446" t="str">
        <f>IF(AND($A105&gt;=SYear72,$A105&lt;=EYear72,D$3&gt;0),IF($A105=SYear72,D$67*(1+Data_72_15!D45%),D104*(1+Data_72_15!D45%)),"")</f>
        <v/>
      </c>
      <c r="E105" s="446" t="str">
        <f>IF(AND($A105&gt;=SYear72,$A105&lt;=EYear72,E$3&gt;0),IF($A105=SYear72,E$67*(1+Data_72_15!E45%),E104*(1+Data_72_15!E45%)),"")</f>
        <v/>
      </c>
      <c r="F105" s="446" t="str">
        <f>IF(AND($A105&gt;=SYear72,$A105&lt;=EYear72,F$3&gt;0),IF($A105=SYear72,F$67*(1+Data_72_15!F45%),F104*(1+Data_72_15!F45%)),"")</f>
        <v/>
      </c>
      <c r="G105" s="446" t="str">
        <f>IF(AND($A105&gt;=SYear72,$A105&lt;=EYear72,G$3&gt;0),IF($A105=SYear72,G$67*(1+Data_72_15!G45%),G104*(1+Data_72_15!G45%)),"")</f>
        <v/>
      </c>
      <c r="H105" s="446" t="str">
        <f>IF(AND($A105&gt;=SYear72,$A105&lt;=EYear72,H$3&gt;0),IF($A105=SYear72,H$67*(1+Data_72_15!H45%),H104*(1+Data_72_15!H45%)),"")</f>
        <v/>
      </c>
      <c r="I105" s="446" t="str">
        <f>IF(AND($A105&gt;=SYear72,$A105&lt;=EYear72,I$3&gt;0),IF($A105=SYear72,I$67*(1+Data_72_15!I45%),I104*(1+Data_72_15!I45%)),"")</f>
        <v/>
      </c>
      <c r="J105" s="446" t="str">
        <f>IF(AND($A105&gt;=SYear72,$A105&lt;=EYear72,J$3&gt;0),IF($A105=SYear72,J$67*(1+Data_72_15!J45%),J104*(1+Data_72_15!J45%)),"")</f>
        <v/>
      </c>
      <c r="K105" s="446" t="str">
        <f>IF(AND($A105&gt;=SYear72,$A105&lt;=EYear72,K$3&gt;0),IF($A105=SYear72,K$67*(1+Data_72_15!K45%),K104*(1+Data_72_15!K45%)),"")</f>
        <v/>
      </c>
      <c r="L105" s="446" t="str">
        <f>IF(AND($A105&gt;=SYear72,$A105&lt;=EYear72,L$3&gt;0),IF($A105=SYear72,L$67*(1+Data_72_15!L45%),L104*(1+Data_72_15!L45%)),"")</f>
        <v/>
      </c>
      <c r="M105" s="446" t="str">
        <f>IF(AND($A105&gt;=SYear72,$A105&lt;=EYear72,M$3&gt;0),IF($A105=SYear72,M$67*(1+Data_72_15!M45%),M104*(1+Data_72_15!M45%)),"")</f>
        <v/>
      </c>
      <c r="N105" s="446">
        <f>IF(AND($A105&gt;=SYear72,$A105&lt;=EYear72,N$3&gt;0),IF($A105=SYear72,N$67*(1+Data_72_15!N45%),N104*(1+Data_72_15!N45%)),"")</f>
        <v>153579.20096262696</v>
      </c>
      <c r="O105" s="446" t="str">
        <f>IF(AND($A105&gt;=SYear72,$A105&lt;=EYear72,O$3&gt;0),IF($A105=SYear72,O$67*(1+Data_72_15!O45%),O104*(1+Data_72_15!O45%)),"")</f>
        <v/>
      </c>
      <c r="P105" s="446" t="str">
        <f>IF(AND($A105&gt;=SYear72,$A105&lt;=EYear72,P$3&gt;0),IF($A105=SYear72,P$67*(1+Data_72_15!P45%),P104*(1+Data_72_15!P45%)),"")</f>
        <v/>
      </c>
      <c r="Q105" s="446" t="str">
        <f>IF(AND($A105&gt;=SYear72,$A105&lt;=EYear72,Q$3&gt;0),IF($A105=SYear72,Q$67*(1+Data_72_15!Q45%),Q104*(1+Data_72_15!Q45%)),"")</f>
        <v/>
      </c>
      <c r="R105" s="446" t="str">
        <f>IF(AND($A105&gt;=SYear72,$A105&lt;=EYear72,R$3&gt;0),IF($A105=SYear72,R$67*(1+Data_72_15!R45%),R104*(1+Data_72_15!R45%)),"")</f>
        <v/>
      </c>
      <c r="S105" s="446" t="str">
        <f>IF(AND($A105&gt;=SYear72,$A105&lt;=EYear72,S$3&gt;0),IF($A105=SYear72,S$67*(1+Data_72_15!S45%),S104*(1+Data_72_15!S45%)),"")</f>
        <v/>
      </c>
      <c r="T105" s="446">
        <f>IF(AND($A105&gt;=SYear72,$A105&lt;=EYear72,T$3&gt;0),IF($A105=SYear72,T$67*(1+Data_72_15!T45%),T104*(1+Data_72_15!T45%)),"")</f>
        <v>33007.239117872159</v>
      </c>
      <c r="U105" s="446" t="str">
        <f>IF(AND($A105&gt;=SYear72,$A105&lt;=EYear72,U$3&gt;0),IF($A105=SYear72,U$67*(1+Data_72_15!U45%),U104*(1+Data_72_15!U45%)),"")</f>
        <v/>
      </c>
      <c r="V105" s="446" t="str">
        <f>IF(AND($A105&gt;=SYear72,$A105&lt;=EYear72,V$3&gt;0),IF($A105=SYear72,V$67*(1+Data_72_15!V45%),V104*(1+Data_72_15!V45%)),"")</f>
        <v/>
      </c>
      <c r="W105" s="446" t="str">
        <f>IF(AND($A105&gt;=SYear72,$A105&lt;=EYear72,W$3&gt;0),IF($A105=SYear72,W$67*(1+Data_72_15!W45%),W104*(1+Data_72_15!W45%)),"")</f>
        <v/>
      </c>
      <c r="X105" s="446" t="str">
        <f>IF(AND($A105&gt;=SYear72,$A105&lt;=EYear72,X$3&gt;0),IF($A105=SYear72,X$67*(1+Data_72_15!X45%),X104*(1+Data_72_15!X45%)),"")</f>
        <v/>
      </c>
      <c r="Y105" s="446" t="str">
        <f>IF(AND($A105&gt;=SYear72,$A105&lt;=EYear72,Y$3&gt;0),IF($A105=SYear72,Y$67*(1+Data_72_15!Y45%),Y104*(1+Data_72_15!Y45%)),"")</f>
        <v/>
      </c>
      <c r="Z105" s="446" t="str">
        <f>IF(AND($A105&gt;=SYear72,$A105&lt;=EYear72,Z$3&gt;0),IF($A105=SYear72,Z$67*(1+Data_72_15!Z45%),Z104*(1+Data_72_15!Z45%)),"")</f>
        <v/>
      </c>
      <c r="AA105" s="446" t="str">
        <f>IF(AND($A105&gt;=SYear72,$A105&lt;=EYear72,AA$3&gt;0),IF($A105=SYear72,AA$67*(1+Data_72_15!AA45%),AA104*(1+Data_72_15!AA45%)),"")</f>
        <v/>
      </c>
      <c r="AB105" s="446" t="str">
        <f>IF(AND($A105&gt;=SYear72,$A105&lt;=EYear72,AB$3&gt;0),IF($A105=SYear72,AB$67*(1+Data_72_15!AB45%),AB104*(1+Data_72_15!AB45%)),"")</f>
        <v/>
      </c>
      <c r="AC105" s="446" t="str">
        <f>IF(AND($A105&gt;=SYear72,$A105&lt;=EYear72,AC$3&gt;0),IF($A105=SYear72,AC$67*(1+Data_72_15!AC45%),AC104*(1+Data_72_15!AC45%)),"")</f>
        <v/>
      </c>
      <c r="AD105" s="446" t="str">
        <f>IF(AND($A105&gt;=SYear72,$A105&lt;=EYear72,AD$3&gt;0),IF($A105=SYear72,AD$67*(1+Data_72_15!AD45%),AD104*(1+Data_72_15!AD45%)),"")</f>
        <v/>
      </c>
      <c r="AE105" s="446" t="str">
        <f>IF(AND($A105&gt;=SYear72,$A105&lt;=EYear72,AE$3&gt;0),IF($A105=SYear72,AE$67*(1+Data_72_15!AE45%),AE104*(1+Data_72_15!AE45%)),"")</f>
        <v/>
      </c>
      <c r="AF105" s="446" t="str">
        <f>IF(AND($A105&gt;=SYear72,$A105&lt;=EYear72,AF$3&gt;0),IF($A105=SYear72,AF$67*(1+Data_72_15!AF45%),AF104*(1+Data_72_15!AF45%)),"")</f>
        <v/>
      </c>
      <c r="AG105" s="446" t="str">
        <f>IF(AND($A105&gt;=SYear72,$A105&lt;=EYear72,AG$3&gt;0),IF($A105=SYear72,AG$67*(1+Data_72_15!AG45%),AG104*(1+Data_72_15!AG45%)),"")</f>
        <v/>
      </c>
      <c r="AH105" s="446" t="str">
        <f>IF(AND($A105&gt;=SYear72,$A105&lt;=EYear72,AH$3&gt;0),IF($A105=SYear72,AH$67*(1+Data_72_15!AH45%),AH104*(1+Data_72_15!AH45%)),"")</f>
        <v/>
      </c>
      <c r="AI105" s="446" t="str">
        <f>IF(AND($A105&gt;=SYear72,$A105&lt;=EYear72,AI$3&gt;0),IF($A105=SYear72,AI$67*(1+Data_72_15!AI45%),AI104*(1+Data_72_15!AI45%)),"")</f>
        <v/>
      </c>
      <c r="AJ105" s="446" t="str">
        <f>IF(AND($A105&gt;=SYear72,$A105&lt;=EYear72,AJ$3&gt;0),IF($A105=SYear72,AJ$67*(1+Data_72_15!AJ45%),AJ104*(1+Data_72_15!AJ45%)),"")</f>
        <v/>
      </c>
      <c r="AK105" s="446" t="str">
        <f>IF(AND($A105&gt;=SYear72,$A105&lt;=EYear72,AK$3&gt;0),IF($A105=SYear72,AK$67*(1+Data_72_15!AK45%),AK104*(1+Data_72_15!AK45%)),"")</f>
        <v/>
      </c>
      <c r="AL105" s="446" t="str">
        <f>IF(AND($A105&gt;=SYear72,$A105&lt;=EYear72,AL$3&gt;0),IF($A105=SYear72,AL$67*(1+Data_72_15!AL45%),AL104*(1+Data_72_15!AL45%)),"")</f>
        <v/>
      </c>
      <c r="AM105" s="206">
        <f t="shared" si="35"/>
        <v>28.275717500142655</v>
      </c>
      <c r="AN105" s="446">
        <f t="shared" si="36"/>
        <v>357905.41074685199</v>
      </c>
      <c r="AO105" s="206">
        <f>IF(AND($A105&gt;=SYear72,$A105&lt;=EYear72),(AM105-Data_72_15!AM45)/(1+Data_72_15!AM45%),"")</f>
        <v>24.877390210744164</v>
      </c>
      <c r="AP105" s="606">
        <f t="shared" si="37"/>
        <v>68117.52951713423</v>
      </c>
      <c r="AQ105" s="143">
        <f t="shared" si="21"/>
        <v>29.728809240280086</v>
      </c>
      <c r="AR105" s="143">
        <f>IF(AND($A105&gt;=SYear72,$A105&lt;=EYear72),MAX($AQ$68:AQ105),"")</f>
        <v>36.713284788391576</v>
      </c>
      <c r="AS105" s="209">
        <f t="shared" si="22"/>
        <v>0.19024382014218244</v>
      </c>
      <c r="AZ105" s="61">
        <f t="shared" si="23"/>
        <v>0.28275717500142661</v>
      </c>
      <c r="BA105" s="61">
        <f t="shared" si="24"/>
        <v>0.11545363532735209</v>
      </c>
      <c r="BB105" s="61">
        <f>IF(AND($A105&gt;=SYear72,$A105&lt;=EYear72),IF($A105=SYear72,(($AN110/$AN$67)^(1/(1+($A110-$A105)))-1),(($AN110/$AN104)^(1/(1+($A110-$A105)))-1)),"")</f>
        <v>0.13072207014107007</v>
      </c>
      <c r="BG105" s="61">
        <f t="shared" si="28"/>
        <v>0.24877390210744155</v>
      </c>
      <c r="BH105" s="61">
        <f t="shared" si="29"/>
        <v>8.9404463097193521E-2</v>
      </c>
      <c r="BI105" s="61">
        <f>IF(AND($A105&gt;=SYear72,$A105&lt;=EYear72),IF($A105=SYear72,(($AP110/$AP$67)^(1/(1+($A110-$A105)))-1),(($AP110/$AP104)^(1/(1+($A110-$A105)))-1)),"")</f>
        <v>0.11007140170985452</v>
      </c>
    </row>
    <row r="106" spans="1:63">
      <c r="A106" s="204">
        <f t="shared" si="34"/>
        <v>2010</v>
      </c>
      <c r="B106" s="446">
        <f>IF(AND($A106&gt;=SYear72,$A106&lt;=EYear72,B$3&gt;0),IF($A106=SYear72,B$67*(1+Data_72_15!B46%),B105*(1+Data_72_15!B46%)),"")</f>
        <v>200597.38275323264</v>
      </c>
      <c r="C106" s="446" t="str">
        <f>IF(AND($A106&gt;=SYear72,$A106&lt;=EYear72,C$3&gt;0),IF($A106=SYear72,C$67*(1+Data_72_15!C46%),C105*(1+Data_72_15!C46%)),"")</f>
        <v/>
      </c>
      <c r="D106" s="446" t="str">
        <f>IF(AND($A106&gt;=SYear72,$A106&lt;=EYear72,D$3&gt;0),IF($A106=SYear72,D$67*(1+Data_72_15!D46%),D105*(1+Data_72_15!D46%)),"")</f>
        <v/>
      </c>
      <c r="E106" s="446" t="str">
        <f>IF(AND($A106&gt;=SYear72,$A106&lt;=EYear72,E$3&gt;0),IF($A106=SYear72,E$67*(1+Data_72_15!E46%),E105*(1+Data_72_15!E46%)),"")</f>
        <v/>
      </c>
      <c r="F106" s="446" t="str">
        <f>IF(AND($A106&gt;=SYear72,$A106&lt;=EYear72,F$3&gt;0),IF($A106=SYear72,F$67*(1+Data_72_15!F46%),F105*(1+Data_72_15!F46%)),"")</f>
        <v/>
      </c>
      <c r="G106" s="446" t="str">
        <f>IF(AND($A106&gt;=SYear72,$A106&lt;=EYear72,G$3&gt;0),IF($A106=SYear72,G$67*(1+Data_72_15!G46%),G105*(1+Data_72_15!G46%)),"")</f>
        <v/>
      </c>
      <c r="H106" s="446" t="str">
        <f>IF(AND($A106&gt;=SYear72,$A106&lt;=EYear72,H$3&gt;0),IF($A106=SYear72,H$67*(1+Data_72_15!H46%),H105*(1+Data_72_15!H46%)),"")</f>
        <v/>
      </c>
      <c r="I106" s="446" t="str">
        <f>IF(AND($A106&gt;=SYear72,$A106&lt;=EYear72,I$3&gt;0),IF($A106=SYear72,I$67*(1+Data_72_15!I46%),I105*(1+Data_72_15!I46%)),"")</f>
        <v/>
      </c>
      <c r="J106" s="446" t="str">
        <f>IF(AND($A106&gt;=SYear72,$A106&lt;=EYear72,J$3&gt;0),IF($A106=SYear72,J$67*(1+Data_72_15!J46%),J105*(1+Data_72_15!J46%)),"")</f>
        <v/>
      </c>
      <c r="K106" s="446" t="str">
        <f>IF(AND($A106&gt;=SYear72,$A106&lt;=EYear72,K$3&gt;0),IF($A106=SYear72,K$67*(1+Data_72_15!K46%),K105*(1+Data_72_15!K46%)),"")</f>
        <v/>
      </c>
      <c r="L106" s="446" t="str">
        <f>IF(AND($A106&gt;=SYear72,$A106&lt;=EYear72,L$3&gt;0),IF($A106=SYear72,L$67*(1+Data_72_15!L46%),L105*(1+Data_72_15!L46%)),"")</f>
        <v/>
      </c>
      <c r="M106" s="446" t="str">
        <f>IF(AND($A106&gt;=SYear72,$A106&lt;=EYear72,M$3&gt;0),IF($A106=SYear72,M$67*(1+Data_72_15!M46%),M105*(1+Data_72_15!M46%)),"")</f>
        <v/>
      </c>
      <c r="N106" s="446">
        <f>IF(AND($A106&gt;=SYear72,$A106&lt;=EYear72,N$3&gt;0),IF($A106=SYear72,N$67*(1+Data_72_15!N46%),N105*(1+Data_72_15!N46%)),"")</f>
        <v>170657.20810967108</v>
      </c>
      <c r="O106" s="446" t="str">
        <f>IF(AND($A106&gt;=SYear72,$A106&lt;=EYear72,O$3&gt;0),IF($A106=SYear72,O$67*(1+Data_72_15!O46%),O105*(1+Data_72_15!O46%)),"")</f>
        <v/>
      </c>
      <c r="P106" s="446" t="str">
        <f>IF(AND($A106&gt;=SYear72,$A106&lt;=EYear72,P$3&gt;0),IF($A106=SYear72,P$67*(1+Data_72_15!P46%),P105*(1+Data_72_15!P46%)),"")</f>
        <v/>
      </c>
      <c r="Q106" s="446" t="str">
        <f>IF(AND($A106&gt;=SYear72,$A106&lt;=EYear72,Q$3&gt;0),IF($A106=SYear72,Q$67*(1+Data_72_15!Q46%),Q105*(1+Data_72_15!Q46%)),"")</f>
        <v/>
      </c>
      <c r="R106" s="446" t="str">
        <f>IF(AND($A106&gt;=SYear72,$A106&lt;=EYear72,R$3&gt;0),IF($A106=SYear72,R$67*(1+Data_72_15!R46%),R105*(1+Data_72_15!R46%)),"")</f>
        <v/>
      </c>
      <c r="S106" s="446" t="str">
        <f>IF(AND($A106&gt;=SYear72,$A106&lt;=EYear72,S$3&gt;0),IF($A106=SYear72,S$67*(1+Data_72_15!S46%),S105*(1+Data_72_15!S46%)),"")</f>
        <v/>
      </c>
      <c r="T106" s="446">
        <f>IF(AND($A106&gt;=SYear72,$A106&lt;=EYear72,T$3&gt;0),IF($A106=SYear72,T$67*(1+Data_72_15!T46%),T105*(1+Data_72_15!T46%)),"")</f>
        <v>35433.271193035762</v>
      </c>
      <c r="U106" s="446" t="str">
        <f>IF(AND($A106&gt;=SYear72,$A106&lt;=EYear72,U$3&gt;0),IF($A106=SYear72,U$67*(1+Data_72_15!U46%),U105*(1+Data_72_15!U46%)),"")</f>
        <v/>
      </c>
      <c r="V106" s="446" t="str">
        <f>IF(AND($A106&gt;=SYear72,$A106&lt;=EYear72,V$3&gt;0),IF($A106=SYear72,V$67*(1+Data_72_15!V46%),V105*(1+Data_72_15!V46%)),"")</f>
        <v/>
      </c>
      <c r="W106" s="446" t="str">
        <f>IF(AND($A106&gt;=SYear72,$A106&lt;=EYear72,W$3&gt;0),IF($A106=SYear72,W$67*(1+Data_72_15!W46%),W105*(1+Data_72_15!W46%)),"")</f>
        <v/>
      </c>
      <c r="X106" s="446" t="str">
        <f>IF(AND($A106&gt;=SYear72,$A106&lt;=EYear72,X$3&gt;0),IF($A106=SYear72,X$67*(1+Data_72_15!X46%),X105*(1+Data_72_15!X46%)),"")</f>
        <v/>
      </c>
      <c r="Y106" s="446" t="str">
        <f>IF(AND($A106&gt;=SYear72,$A106&lt;=EYear72,Y$3&gt;0),IF($A106=SYear72,Y$67*(1+Data_72_15!Y46%),Y105*(1+Data_72_15!Y46%)),"")</f>
        <v/>
      </c>
      <c r="Z106" s="446" t="str">
        <f>IF(AND($A106&gt;=SYear72,$A106&lt;=EYear72,Z$3&gt;0),IF($A106=SYear72,Z$67*(1+Data_72_15!Z46%),Z105*(1+Data_72_15!Z46%)),"")</f>
        <v/>
      </c>
      <c r="AA106" s="446" t="str">
        <f>IF(AND($A106&gt;=SYear72,$A106&lt;=EYear72,AA$3&gt;0),IF($A106=SYear72,AA$67*(1+Data_72_15!AA46%),AA105*(1+Data_72_15!AA46%)),"")</f>
        <v/>
      </c>
      <c r="AB106" s="446" t="str">
        <f>IF(AND($A106&gt;=SYear72,$A106&lt;=EYear72,AB$3&gt;0),IF($A106=SYear72,AB$67*(1+Data_72_15!AB46%),AB105*(1+Data_72_15!AB46%)),"")</f>
        <v/>
      </c>
      <c r="AC106" s="446" t="str">
        <f>IF(AND($A106&gt;=SYear72,$A106&lt;=EYear72,AC$3&gt;0),IF($A106=SYear72,AC$67*(1+Data_72_15!AC46%),AC105*(1+Data_72_15!AC46%)),"")</f>
        <v/>
      </c>
      <c r="AD106" s="446" t="str">
        <f>IF(AND($A106&gt;=SYear72,$A106&lt;=EYear72,AD$3&gt;0),IF($A106=SYear72,AD$67*(1+Data_72_15!AD46%),AD105*(1+Data_72_15!AD46%)),"")</f>
        <v/>
      </c>
      <c r="AE106" s="446" t="str">
        <f>IF(AND($A106&gt;=SYear72,$A106&lt;=EYear72,AE$3&gt;0),IF($A106=SYear72,AE$67*(1+Data_72_15!AE46%),AE105*(1+Data_72_15!AE46%)),"")</f>
        <v/>
      </c>
      <c r="AF106" s="446" t="str">
        <f>IF(AND($A106&gt;=SYear72,$A106&lt;=EYear72,AF$3&gt;0),IF($A106=SYear72,AF$67*(1+Data_72_15!AF46%),AF105*(1+Data_72_15!AF46%)),"")</f>
        <v/>
      </c>
      <c r="AG106" s="446" t="str">
        <f>IF(AND($A106&gt;=SYear72,$A106&lt;=EYear72,AG$3&gt;0),IF($A106=SYear72,AG$67*(1+Data_72_15!AG46%),AG105*(1+Data_72_15!AG46%)),"")</f>
        <v/>
      </c>
      <c r="AH106" s="446" t="str">
        <f>IF(AND($A106&gt;=SYear72,$A106&lt;=EYear72,AH$3&gt;0),IF($A106=SYear72,AH$67*(1+Data_72_15!AH46%),AH105*(1+Data_72_15!AH46%)),"")</f>
        <v/>
      </c>
      <c r="AI106" s="446" t="str">
        <f>IF(AND($A106&gt;=SYear72,$A106&lt;=EYear72,AI$3&gt;0),IF($A106=SYear72,AI$67*(1+Data_72_15!AI46%),AI105*(1+Data_72_15!AI46%)),"")</f>
        <v/>
      </c>
      <c r="AJ106" s="446" t="str">
        <f>IF(AND($A106&gt;=SYear72,$A106&lt;=EYear72,AJ$3&gt;0),IF($A106=SYear72,AJ$67*(1+Data_72_15!AJ46%),AJ105*(1+Data_72_15!AJ46%)),"")</f>
        <v/>
      </c>
      <c r="AK106" s="446" t="str">
        <f>IF(AND($A106&gt;=SYear72,$A106&lt;=EYear72,AK$3&gt;0),IF($A106=SYear72,AK$67*(1+Data_72_15!AK46%),AK105*(1+Data_72_15!AK46%)),"")</f>
        <v/>
      </c>
      <c r="AL106" s="446" t="str">
        <f>IF(AND($A106&gt;=SYear72,$A106&lt;=EYear72,AL$3&gt;0),IF($A106=SYear72,AL$67*(1+Data_72_15!AL46%),AL105*(1+Data_72_15!AL46%)),"")</f>
        <v/>
      </c>
      <c r="AM106" s="206">
        <f t="shared" si="35"/>
        <v>13.629984304314288</v>
      </c>
      <c r="AN106" s="446">
        <f t="shared" si="36"/>
        <v>406687.86205593951</v>
      </c>
      <c r="AO106" s="206">
        <f>IF(AND($A106&gt;=SYear72,$A106&lt;=EYear72),(AM106-Data_72_15!AM46)/(1+Data_72_15!AM46%),"")</f>
        <v>11.955440441522084</v>
      </c>
      <c r="AP106" s="606">
        <f t="shared" si="37"/>
        <v>76261.280188791439</v>
      </c>
      <c r="AQ106" s="143">
        <f t="shared" si="21"/>
        <v>33.780841273589793</v>
      </c>
      <c r="AR106" s="143">
        <f>IF(AND($A106&gt;=SYear72,$A106&lt;=EYear72),MAX($AQ$68:AQ106),"")</f>
        <v>36.713284788391576</v>
      </c>
      <c r="AS106" s="209">
        <f t="shared" si="22"/>
        <v>7.9874179924347088E-2</v>
      </c>
      <c r="AZ106" s="61">
        <f t="shared" si="23"/>
        <v>0.1362998430431428</v>
      </c>
      <c r="BA106" s="61">
        <f t="shared" si="24"/>
        <v>7.7422164610646327E-2</v>
      </c>
      <c r="BB106" s="61">
        <f>IF(AND($A106&gt;=SYear72,$A106&lt;=EYear72),IF($A106=SYear72,(($AN111/$AN$67)^(1/(1+($A111-$A106)))-1),(($AN111/$AN105)^(1/(1+($A111-$A106)))-1)),"")</f>
        <v>8.2679499518414135E-2</v>
      </c>
      <c r="BG106" s="61">
        <f t="shared" si="28"/>
        <v>0.11955440441522081</v>
      </c>
      <c r="BH106" s="61">
        <f t="shared" si="29"/>
        <v>5.5629973137384825E-2</v>
      </c>
      <c r="BI106" s="61">
        <f>IF(AND($A106&gt;=SYear72,$A106&lt;=EYear72),IF($A106=SYear72,(($AP111/$AP$67)^(1/(1+($A111-$A106)))-1),(($AP111/$AP105)^(1/(1+($A111-$A106)))-1)),"")</f>
        <v>6.6380687350422463E-2</v>
      </c>
    </row>
    <row r="107" spans="1:63">
      <c r="A107" s="204">
        <f t="shared" si="34"/>
        <v>2011</v>
      </c>
      <c r="B107" s="446">
        <f>IF(AND($A107&gt;=SYear72,$A107&lt;=EYear72,B$3&gt;0),IF($A107=SYear72,B$67*(1+Data_72_15!B47%),B106*(1+Data_72_15!B47%)),"")</f>
        <v>202523.11762766368</v>
      </c>
      <c r="C107" s="446" t="str">
        <f>IF(AND($A107&gt;=SYear72,$A107&lt;=EYear72,C$3&gt;0),IF($A107=SYear72,C$67*(1+Data_72_15!C47%),C106*(1+Data_72_15!C47%)),"")</f>
        <v/>
      </c>
      <c r="D107" s="446" t="str">
        <f>IF(AND($A107&gt;=SYear72,$A107&lt;=EYear72,D$3&gt;0),IF($A107=SYear72,D$67*(1+Data_72_15!D47%),D106*(1+Data_72_15!D47%)),"")</f>
        <v/>
      </c>
      <c r="E107" s="446" t="str">
        <f>IF(AND($A107&gt;=SYear72,$A107&lt;=EYear72,E$3&gt;0),IF($A107=SYear72,E$67*(1+Data_72_15!E47%),E106*(1+Data_72_15!E47%)),"")</f>
        <v/>
      </c>
      <c r="F107" s="446" t="str">
        <f>IF(AND($A107&gt;=SYear72,$A107&lt;=EYear72,F$3&gt;0),IF($A107=SYear72,F$67*(1+Data_72_15!F47%),F106*(1+Data_72_15!F47%)),"")</f>
        <v/>
      </c>
      <c r="G107" s="446" t="str">
        <f>IF(AND($A107&gt;=SYear72,$A107&lt;=EYear72,G$3&gt;0),IF($A107=SYear72,G$67*(1+Data_72_15!G47%),G106*(1+Data_72_15!G47%)),"")</f>
        <v/>
      </c>
      <c r="H107" s="446" t="str">
        <f>IF(AND($A107&gt;=SYear72,$A107&lt;=EYear72,H$3&gt;0),IF($A107=SYear72,H$67*(1+Data_72_15!H47%),H106*(1+Data_72_15!H47%)),"")</f>
        <v/>
      </c>
      <c r="I107" s="446" t="str">
        <f>IF(AND($A107&gt;=SYear72,$A107&lt;=EYear72,I$3&gt;0),IF($A107=SYear72,I$67*(1+Data_72_15!I47%),I106*(1+Data_72_15!I47%)),"")</f>
        <v/>
      </c>
      <c r="J107" s="446" t="str">
        <f>IF(AND($A107&gt;=SYear72,$A107&lt;=EYear72,J$3&gt;0),IF($A107=SYear72,J$67*(1+Data_72_15!J47%),J106*(1+Data_72_15!J47%)),"")</f>
        <v/>
      </c>
      <c r="K107" s="446" t="str">
        <f>IF(AND($A107&gt;=SYear72,$A107&lt;=EYear72,K$3&gt;0),IF($A107=SYear72,K$67*(1+Data_72_15!K47%),K106*(1+Data_72_15!K47%)),"")</f>
        <v/>
      </c>
      <c r="L107" s="446" t="str">
        <f>IF(AND($A107&gt;=SYear72,$A107&lt;=EYear72,L$3&gt;0),IF($A107=SYear72,L$67*(1+Data_72_15!L47%),L106*(1+Data_72_15!L47%)),"")</f>
        <v/>
      </c>
      <c r="M107" s="446" t="str">
        <f>IF(AND($A107&gt;=SYear72,$A107&lt;=EYear72,M$3&gt;0),IF($A107=SYear72,M$67*(1+Data_72_15!M47%),M106*(1+Data_72_15!M47%)),"")</f>
        <v/>
      </c>
      <c r="N107" s="446">
        <f>IF(AND($A107&gt;=SYear72,$A107&lt;=EYear72,N$3&gt;0),IF($A107=SYear72,N$67*(1+Data_72_15!N47%),N106*(1+Data_72_15!N47%)),"")</f>
        <v>145809.51860890299</v>
      </c>
      <c r="O107" s="446" t="str">
        <f>IF(AND($A107&gt;=SYear72,$A107&lt;=EYear72,O$3&gt;0),IF($A107=SYear72,O$67*(1+Data_72_15!O47%),O106*(1+Data_72_15!O47%)),"")</f>
        <v/>
      </c>
      <c r="P107" s="446" t="str">
        <f>IF(AND($A107&gt;=SYear72,$A107&lt;=EYear72,P$3&gt;0),IF($A107=SYear72,P$67*(1+Data_72_15!P47%),P106*(1+Data_72_15!P47%)),"")</f>
        <v/>
      </c>
      <c r="Q107" s="446" t="str">
        <f>IF(AND($A107&gt;=SYear72,$A107&lt;=EYear72,Q$3&gt;0),IF($A107=SYear72,Q$67*(1+Data_72_15!Q47%),Q106*(1+Data_72_15!Q47%)),"")</f>
        <v/>
      </c>
      <c r="R107" s="446" t="str">
        <f>IF(AND($A107&gt;=SYear72,$A107&lt;=EYear72,R$3&gt;0),IF($A107=SYear72,R$67*(1+Data_72_15!R47%),R106*(1+Data_72_15!R47%)),"")</f>
        <v/>
      </c>
      <c r="S107" s="446" t="str">
        <f>IF(AND($A107&gt;=SYear72,$A107&lt;=EYear72,S$3&gt;0),IF($A107=SYear72,S$67*(1+Data_72_15!S47%),S106*(1+Data_72_15!S47%)),"")</f>
        <v/>
      </c>
      <c r="T107" s="446">
        <f>IF(AND($A107&gt;=SYear72,$A107&lt;=EYear72,T$3&gt;0),IF($A107=SYear72,T$67*(1+Data_72_15!T47%),T106*(1+Data_72_15!T47%)),"")</f>
        <v>38905.731769953272</v>
      </c>
      <c r="U107" s="446" t="str">
        <f>IF(AND($A107&gt;=SYear72,$A107&lt;=EYear72,U$3&gt;0),IF($A107=SYear72,U$67*(1+Data_72_15!U47%),U106*(1+Data_72_15!U47%)),"")</f>
        <v/>
      </c>
      <c r="V107" s="446" t="str">
        <f>IF(AND($A107&gt;=SYear72,$A107&lt;=EYear72,V$3&gt;0),IF($A107=SYear72,V$67*(1+Data_72_15!V47%),V106*(1+Data_72_15!V47%)),"")</f>
        <v/>
      </c>
      <c r="W107" s="446" t="str">
        <f>IF(AND($A107&gt;=SYear72,$A107&lt;=EYear72,W$3&gt;0),IF($A107=SYear72,W$67*(1+Data_72_15!W47%),W106*(1+Data_72_15!W47%)),"")</f>
        <v/>
      </c>
      <c r="X107" s="446" t="str">
        <f>IF(AND($A107&gt;=SYear72,$A107&lt;=EYear72,X$3&gt;0),IF($A107=SYear72,X$67*(1+Data_72_15!X47%),X106*(1+Data_72_15!X47%)),"")</f>
        <v/>
      </c>
      <c r="Y107" s="446" t="str">
        <f>IF(AND($A107&gt;=SYear72,$A107&lt;=EYear72,Y$3&gt;0),IF($A107=SYear72,Y$67*(1+Data_72_15!Y47%),Y106*(1+Data_72_15!Y47%)),"")</f>
        <v/>
      </c>
      <c r="Z107" s="446" t="str">
        <f>IF(AND($A107&gt;=SYear72,$A107&lt;=EYear72,Z$3&gt;0),IF($A107=SYear72,Z$67*(1+Data_72_15!Z47%),Z106*(1+Data_72_15!Z47%)),"")</f>
        <v/>
      </c>
      <c r="AA107" s="446" t="str">
        <f>IF(AND($A107&gt;=SYear72,$A107&lt;=EYear72,AA$3&gt;0),IF($A107=SYear72,AA$67*(1+Data_72_15!AA47%),AA106*(1+Data_72_15!AA47%)),"")</f>
        <v/>
      </c>
      <c r="AB107" s="446" t="str">
        <f>IF(AND($A107&gt;=SYear72,$A107&lt;=EYear72,AB$3&gt;0),IF($A107=SYear72,AB$67*(1+Data_72_15!AB47%),AB106*(1+Data_72_15!AB47%)),"")</f>
        <v/>
      </c>
      <c r="AC107" s="446" t="str">
        <f>IF(AND($A107&gt;=SYear72,$A107&lt;=EYear72,AC$3&gt;0),IF($A107=SYear72,AC$67*(1+Data_72_15!AC47%),AC106*(1+Data_72_15!AC47%)),"")</f>
        <v/>
      </c>
      <c r="AD107" s="446" t="str">
        <f>IF(AND($A107&gt;=SYear72,$A107&lt;=EYear72,AD$3&gt;0),IF($A107=SYear72,AD$67*(1+Data_72_15!AD47%),AD106*(1+Data_72_15!AD47%)),"")</f>
        <v/>
      </c>
      <c r="AE107" s="446" t="str">
        <f>IF(AND($A107&gt;=SYear72,$A107&lt;=EYear72,AE$3&gt;0),IF($A107=SYear72,AE$67*(1+Data_72_15!AE47%),AE106*(1+Data_72_15!AE47%)),"")</f>
        <v/>
      </c>
      <c r="AF107" s="446" t="str">
        <f>IF(AND($A107&gt;=SYear72,$A107&lt;=EYear72,AF$3&gt;0),IF($A107=SYear72,AF$67*(1+Data_72_15!AF47%),AF106*(1+Data_72_15!AF47%)),"")</f>
        <v/>
      </c>
      <c r="AG107" s="446" t="str">
        <f>IF(AND($A107&gt;=SYear72,$A107&lt;=EYear72,AG$3&gt;0),IF($A107=SYear72,AG$67*(1+Data_72_15!AG47%),AG106*(1+Data_72_15!AG47%)),"")</f>
        <v/>
      </c>
      <c r="AH107" s="446" t="str">
        <f>IF(AND($A107&gt;=SYear72,$A107&lt;=EYear72,AH$3&gt;0),IF($A107=SYear72,AH$67*(1+Data_72_15!AH47%),AH106*(1+Data_72_15!AH47%)),"")</f>
        <v/>
      </c>
      <c r="AI107" s="446" t="str">
        <f>IF(AND($A107&gt;=SYear72,$A107&lt;=EYear72,AI$3&gt;0),IF($A107=SYear72,AI$67*(1+Data_72_15!AI47%),AI106*(1+Data_72_15!AI47%)),"")</f>
        <v/>
      </c>
      <c r="AJ107" s="446" t="str">
        <f>IF(AND($A107&gt;=SYear72,$A107&lt;=EYear72,AJ$3&gt;0),IF($A107=SYear72,AJ$67*(1+Data_72_15!AJ47%),AJ106*(1+Data_72_15!AJ47%)),"")</f>
        <v/>
      </c>
      <c r="AK107" s="446" t="str">
        <f>IF(AND($A107&gt;=SYear72,$A107&lt;=EYear72,AK$3&gt;0),IF($A107=SYear72,AK$67*(1+Data_72_15!AK47%),AK106*(1+Data_72_15!AK47%)),"")</f>
        <v/>
      </c>
      <c r="AL107" s="446" t="str">
        <f>IF(AND($A107&gt;=SYear72,$A107&lt;=EYear72,AL$3&gt;0),IF($A107=SYear72,AL$67*(1+Data_72_15!AL47%),AL106*(1+Data_72_15!AL47%)),"")</f>
        <v/>
      </c>
      <c r="AM107" s="206">
        <f t="shared" si="35"/>
        <v>-4.7824132127022452</v>
      </c>
      <c r="AN107" s="446">
        <f t="shared" si="36"/>
        <v>387238.36800651997</v>
      </c>
      <c r="AO107" s="206">
        <f>IF(AND($A107&gt;=SYear72,$A107&lt;=EYear72),(AM107-Data_72_15!AM47)/(1+Data_72_15!AM47%),"")</f>
        <v>-7.5219989433641175</v>
      </c>
      <c r="AP107" s="606">
        <f t="shared" si="37"/>
        <v>70524.907498794593</v>
      </c>
      <c r="AQ107" s="143">
        <f t="shared" si="21"/>
        <v>32.165301857159662</v>
      </c>
      <c r="AR107" s="143">
        <f>IF(AND($A107&gt;=SYear72,$A107&lt;=EYear72),MAX($AQ$68:AQ107),"")</f>
        <v>36.713284788391576</v>
      </c>
      <c r="AS107" s="209">
        <f t="shared" si="22"/>
        <v>0.12387839871712991</v>
      </c>
      <c r="AZ107" s="61">
        <f t="shared" si="23"/>
        <v>-4.7824132127022412E-2</v>
      </c>
      <c r="BA107" s="61">
        <f>IF(AND($A107&gt;=SYear72,$A107&lt;=EYear72),IF($A107=SYear72,(($AN110/$AN$67)^(1/(1+($A110-$A107)))-1),(($AN110/$AN106)^(1/(1+($A110-$A107)))-1)),"")</f>
        <v>9.4269901362665998E-2</v>
      </c>
      <c r="BB107" s="61"/>
      <c r="BG107" s="61">
        <f t="shared" si="28"/>
        <v>-7.5219989433641277E-2</v>
      </c>
      <c r="BH107" s="61">
        <f>IF(AND($A107&gt;=SYear72,$A107&lt;=EYear72),IF($A107=SYear72,(($AP110/$AP$67)^(1/(1+($A110-$A107)))-1),(($AP110/$AP106)^(1/(1+($A110-$A107)))-1)),"")</f>
        <v>7.5583465064009703E-2</v>
      </c>
      <c r="BI107" s="61"/>
    </row>
    <row r="108" spans="1:63">
      <c r="A108" s="204">
        <f t="shared" si="34"/>
        <v>2012</v>
      </c>
      <c r="B108" s="446">
        <f>IF(AND($A108&gt;=SYear72,$A108&lt;=EYear72,B$3&gt;0),IF($A108=SYear72,B$67*(1+Data_72_15!B48%),B107*(1+Data_72_15!B48%)),"")</f>
        <v>235433.12424215904</v>
      </c>
      <c r="C108" s="446" t="str">
        <f>IF(AND($A108&gt;=SYear72,$A108&lt;=EYear72,C$3&gt;0),IF($A108=SYear72,C$67*(1+Data_72_15!C48%),C107*(1+Data_72_15!C48%)),"")</f>
        <v/>
      </c>
      <c r="D108" s="446" t="str">
        <f>IF(AND($A108&gt;=SYear72,$A108&lt;=EYear72,D$3&gt;0),IF($A108=SYear72,D$67*(1+Data_72_15!D48%),D107*(1+Data_72_15!D48%)),"")</f>
        <v/>
      </c>
      <c r="E108" s="446" t="str">
        <f>IF(AND($A108&gt;=SYear72,$A108&lt;=EYear72,E$3&gt;0),IF($A108=SYear72,E$67*(1+Data_72_15!E48%),E107*(1+Data_72_15!E48%)),"")</f>
        <v/>
      </c>
      <c r="F108" s="446" t="str">
        <f>IF(AND($A108&gt;=SYear72,$A108&lt;=EYear72,F$3&gt;0),IF($A108=SYear72,F$67*(1+Data_72_15!F48%),F107*(1+Data_72_15!F48%)),"")</f>
        <v/>
      </c>
      <c r="G108" s="446" t="str">
        <f>IF(AND($A108&gt;=SYear72,$A108&lt;=EYear72,G$3&gt;0),IF($A108=SYear72,G$67*(1+Data_72_15!G48%),G107*(1+Data_72_15!G48%)),"")</f>
        <v/>
      </c>
      <c r="H108" s="446" t="str">
        <f>IF(AND($A108&gt;=SYear72,$A108&lt;=EYear72,H$3&gt;0),IF($A108=SYear72,H$67*(1+Data_72_15!H48%),H107*(1+Data_72_15!H48%)),"")</f>
        <v/>
      </c>
      <c r="I108" s="446" t="str">
        <f>IF(AND($A108&gt;=SYear72,$A108&lt;=EYear72,I$3&gt;0),IF($A108=SYear72,I$67*(1+Data_72_15!I48%),I107*(1+Data_72_15!I48%)),"")</f>
        <v/>
      </c>
      <c r="J108" s="446" t="str">
        <f>IF(AND($A108&gt;=SYear72,$A108&lt;=EYear72,J$3&gt;0),IF($A108=SYear72,J$67*(1+Data_72_15!J48%),J107*(1+Data_72_15!J48%)),"")</f>
        <v/>
      </c>
      <c r="K108" s="446" t="str">
        <f>IF(AND($A108&gt;=SYear72,$A108&lt;=EYear72,K$3&gt;0),IF($A108=SYear72,K$67*(1+Data_72_15!K48%),K107*(1+Data_72_15!K48%)),"")</f>
        <v/>
      </c>
      <c r="L108" s="446" t="str">
        <f>IF(AND($A108&gt;=SYear72,$A108&lt;=EYear72,L$3&gt;0),IF($A108=SYear72,L$67*(1+Data_72_15!L48%),L107*(1+Data_72_15!L48%)),"")</f>
        <v/>
      </c>
      <c r="M108" s="446" t="str">
        <f>IF(AND($A108&gt;=SYear72,$A108&lt;=EYear72,M$3&gt;0),IF($A108=SYear72,M$67*(1+Data_72_15!M48%),M107*(1+Data_72_15!M48%)),"")</f>
        <v/>
      </c>
      <c r="N108" s="446">
        <f>IF(AND($A108&gt;=SYear72,$A108&lt;=EYear72,N$3&gt;0),IF($A108=SYear72,N$67*(1+Data_72_15!N48%),N107*(1+Data_72_15!N48%)),"")</f>
        <v>172259.36528455798</v>
      </c>
      <c r="O108" s="446" t="str">
        <f>IF(AND($A108&gt;=SYear72,$A108&lt;=EYear72,O$3&gt;0),IF($A108=SYear72,O$67*(1+Data_72_15!O48%),O107*(1+Data_72_15!O48%)),"")</f>
        <v/>
      </c>
      <c r="P108" s="446" t="str">
        <f>IF(AND($A108&gt;=SYear72,$A108&lt;=EYear72,P$3&gt;0),IF($A108=SYear72,P$67*(1+Data_72_15!P48%),P107*(1+Data_72_15!P48%)),"")</f>
        <v/>
      </c>
      <c r="Q108" s="446" t="str">
        <f>IF(AND($A108&gt;=SYear72,$A108&lt;=EYear72,Q$3&gt;0),IF($A108=SYear72,Q$67*(1+Data_72_15!Q48%),Q107*(1+Data_72_15!Q48%)),"")</f>
        <v/>
      </c>
      <c r="R108" s="446" t="str">
        <f>IF(AND($A108&gt;=SYear72,$A108&lt;=EYear72,R$3&gt;0),IF($A108=SYear72,R$67*(1+Data_72_15!R48%),R107*(1+Data_72_15!R48%)),"")</f>
        <v/>
      </c>
      <c r="S108" s="446" t="str">
        <f>IF(AND($A108&gt;=SYear72,$A108&lt;=EYear72,S$3&gt;0),IF($A108=SYear72,S$67*(1+Data_72_15!S48%),S107*(1+Data_72_15!S48%)),"")</f>
        <v/>
      </c>
      <c r="T108" s="446">
        <f>IF(AND($A108&gt;=SYear72,$A108&lt;=EYear72,T$3&gt;0),IF($A108=SYear72,T$67*(1+Data_72_15!T48%),T107*(1+Data_72_15!T48%)),"")</f>
        <v>39944.514808211025</v>
      </c>
      <c r="U108" s="446" t="str">
        <f>IF(AND($A108&gt;=SYear72,$A108&lt;=EYear72,U$3&gt;0),IF($A108=SYear72,U$67*(1+Data_72_15!U48%),U107*(1+Data_72_15!U48%)),"")</f>
        <v/>
      </c>
      <c r="V108" s="446" t="str">
        <f>IF(AND($A108&gt;=SYear72,$A108&lt;=EYear72,V$3&gt;0),IF($A108=SYear72,V$67*(1+Data_72_15!V48%),V107*(1+Data_72_15!V48%)),"")</f>
        <v/>
      </c>
      <c r="W108" s="446" t="str">
        <f>IF(AND($A108&gt;=SYear72,$A108&lt;=EYear72,W$3&gt;0),IF($A108=SYear72,W$67*(1+Data_72_15!W48%),W107*(1+Data_72_15!W48%)),"")</f>
        <v/>
      </c>
      <c r="X108" s="446" t="str">
        <f>IF(AND($A108&gt;=SYear72,$A108&lt;=EYear72,X$3&gt;0),IF($A108=SYear72,X$67*(1+Data_72_15!X48%),X107*(1+Data_72_15!X48%)),"")</f>
        <v/>
      </c>
      <c r="Y108" s="446" t="str">
        <f>IF(AND($A108&gt;=SYear72,$A108&lt;=EYear72,Y$3&gt;0),IF($A108=SYear72,Y$67*(1+Data_72_15!Y48%),Y107*(1+Data_72_15!Y48%)),"")</f>
        <v/>
      </c>
      <c r="Z108" s="446" t="str">
        <f>IF(AND($A108&gt;=SYear72,$A108&lt;=EYear72,Z$3&gt;0),IF($A108=SYear72,Z$67*(1+Data_72_15!Z48%),Z107*(1+Data_72_15!Z48%)),"")</f>
        <v/>
      </c>
      <c r="AA108" s="446" t="str">
        <f>IF(AND($A108&gt;=SYear72,$A108&lt;=EYear72,AA$3&gt;0),IF($A108=SYear72,AA$67*(1+Data_72_15!AA48%),AA107*(1+Data_72_15!AA48%)),"")</f>
        <v/>
      </c>
      <c r="AB108" s="446" t="str">
        <f>IF(AND($A108&gt;=SYear72,$A108&lt;=EYear72,AB$3&gt;0),IF($A108=SYear72,AB$67*(1+Data_72_15!AB48%),AB107*(1+Data_72_15!AB48%)),"")</f>
        <v/>
      </c>
      <c r="AC108" s="446" t="str">
        <f>IF(AND($A108&gt;=SYear72,$A108&lt;=EYear72,AC$3&gt;0),IF($A108=SYear72,AC$67*(1+Data_72_15!AC48%),AC107*(1+Data_72_15!AC48%)),"")</f>
        <v/>
      </c>
      <c r="AD108" s="446" t="str">
        <f>IF(AND($A108&gt;=SYear72,$A108&lt;=EYear72,AD$3&gt;0),IF($A108=SYear72,AD$67*(1+Data_72_15!AD48%),AD107*(1+Data_72_15!AD48%)),"")</f>
        <v/>
      </c>
      <c r="AE108" s="446" t="str">
        <f>IF(AND($A108&gt;=SYear72,$A108&lt;=EYear72,AE$3&gt;0),IF($A108=SYear72,AE$67*(1+Data_72_15!AE48%),AE107*(1+Data_72_15!AE48%)),"")</f>
        <v/>
      </c>
      <c r="AF108" s="446" t="str">
        <f>IF(AND($A108&gt;=SYear72,$A108&lt;=EYear72,AF$3&gt;0),IF($A108=SYear72,AF$67*(1+Data_72_15!AF48%),AF107*(1+Data_72_15!AF48%)),"")</f>
        <v/>
      </c>
      <c r="AG108" s="446" t="str">
        <f>IF(AND($A108&gt;=SYear72,$A108&lt;=EYear72,AG$3&gt;0),IF($A108=SYear72,AG$67*(1+Data_72_15!AG48%),AG107*(1+Data_72_15!AG48%)),"")</f>
        <v/>
      </c>
      <c r="AH108" s="446" t="str">
        <f>IF(AND($A108&gt;=SYear72,$A108&lt;=EYear72,AH$3&gt;0),IF($A108=SYear72,AH$67*(1+Data_72_15!AH48%),AH107*(1+Data_72_15!AH48%)),"")</f>
        <v/>
      </c>
      <c r="AI108" s="446" t="str">
        <f>IF(AND($A108&gt;=SYear72,$A108&lt;=EYear72,AI$3&gt;0),IF($A108=SYear72,AI$67*(1+Data_72_15!AI48%),AI107*(1+Data_72_15!AI48%)),"")</f>
        <v/>
      </c>
      <c r="AJ108" s="446" t="str">
        <f>IF(AND($A108&gt;=SYear72,$A108&lt;=EYear72,AJ$3&gt;0),IF($A108=SYear72,AJ$67*(1+Data_72_15!AJ48%),AJ107*(1+Data_72_15!AJ48%)),"")</f>
        <v/>
      </c>
      <c r="AK108" s="446" t="str">
        <f>IF(AND($A108&gt;=SYear72,$A108&lt;=EYear72,AK$3&gt;0),IF($A108=SYear72,AK$67*(1+Data_72_15!AK48%),AK107*(1+Data_72_15!AK48%)),"")</f>
        <v/>
      </c>
      <c r="AL108" s="446" t="str">
        <f>IF(AND($A108&gt;=SYear72,$A108&lt;=EYear72,AL$3&gt;0),IF($A108=SYear72,AL$67*(1+Data_72_15!AL48%),AL107*(1+Data_72_15!AL48%)),"")</f>
        <v/>
      </c>
      <c r="AM108" s="206">
        <f t="shared" si="35"/>
        <v>15.597275817305141</v>
      </c>
      <c r="AN108" s="446">
        <f t="shared" si="36"/>
        <v>447637.004334928</v>
      </c>
      <c r="AO108" s="206">
        <f>IF(AND($A108&gt;=SYear72,$A108&lt;=EYear72),(AM108-Data_72_15!AM48)/(1+Data_72_15!AM48%),"")</f>
        <v>13.61914115462427</v>
      </c>
      <c r="AP108" s="606">
        <f t="shared" si="37"/>
        <v>80129.794200223623</v>
      </c>
      <c r="AQ108" s="143">
        <f t="shared" si="21"/>
        <v>37.182212705289629</v>
      </c>
      <c r="AR108" s="143">
        <f>IF(AND($A108&gt;=SYear72,$A108&lt;=EYear72),MAX($AQ$68:AQ108),"")</f>
        <v>37.182212705289629</v>
      </c>
      <c r="AS108" s="209">
        <f t="shared" si="22"/>
        <v>0</v>
      </c>
      <c r="AZ108" s="61">
        <f t="shared" si="23"/>
        <v>0.15597275817305145</v>
      </c>
      <c r="BA108" s="61">
        <f>IF(AND($A108&gt;=SYear72,$A108&lt;=EYear72),IF($A108=SYear72,(($AN111/$AN$67)^(1/(1+($A111-$A108)))-1),(($AN111/$AN107)^(1/(1+($A111-$A108)))-1)),"")</f>
        <v>0.10458042106310095</v>
      </c>
      <c r="BB108" s="61"/>
      <c r="BG108" s="61">
        <f t="shared" si="28"/>
        <v>0.13619141154624259</v>
      </c>
      <c r="BH108" s="61">
        <f>IF(AND($A108&gt;=SYear72,$A108&lt;=EYear72),IF($A108=SYear72,(($AP111/$AP$67)^(1/(1+($A111-$A108)))-1),(($AP111/$AP107)^(1/(1+($A111-$A108)))-1)),"")</f>
        <v>9.1685388649261235E-2</v>
      </c>
      <c r="BI108" s="61"/>
    </row>
    <row r="109" spans="1:63">
      <c r="A109" s="204">
        <f t="shared" si="34"/>
        <v>2013</v>
      </c>
      <c r="B109" s="446">
        <f>IF(AND($A109&gt;=SYear72,$A109&lt;=EYear72,B$3&gt;0),IF($A109=SYear72,B$67*(1+Data_72_15!B49%),B108*(1+Data_72_15!B49%)),"")</f>
        <v>313950.07117691904</v>
      </c>
      <c r="C109" s="446" t="str">
        <f>IF(AND($A109&gt;=SYear72,$A109&lt;=EYear72,C$3&gt;0),IF($A109=SYear72,C$67*(1+Data_72_15!C49%),C108*(1+Data_72_15!C49%)),"")</f>
        <v/>
      </c>
      <c r="D109" s="446" t="str">
        <f>IF(AND($A109&gt;=SYear72,$A109&lt;=EYear72,D$3&gt;0),IF($A109=SYear72,D$67*(1+Data_72_15!D49%),D108*(1+Data_72_15!D49%)),"")</f>
        <v/>
      </c>
      <c r="E109" s="446" t="str">
        <f>IF(AND($A109&gt;=SYear72,$A109&lt;=EYear72,E$3&gt;0),IF($A109=SYear72,E$67*(1+Data_72_15!E49%),E108*(1+Data_72_15!E49%)),"")</f>
        <v/>
      </c>
      <c r="F109" s="446" t="str">
        <f>IF(AND($A109&gt;=SYear72,$A109&lt;=EYear72,F$3&gt;0),IF($A109=SYear72,F$67*(1+Data_72_15!F49%),F108*(1+Data_72_15!F49%)),"")</f>
        <v/>
      </c>
      <c r="G109" s="446" t="str">
        <f>IF(AND($A109&gt;=SYear72,$A109&lt;=EYear72,G$3&gt;0),IF($A109=SYear72,G$67*(1+Data_72_15!G49%),G108*(1+Data_72_15!G49%)),"")</f>
        <v/>
      </c>
      <c r="H109" s="446" t="str">
        <f>IF(AND($A109&gt;=SYear72,$A109&lt;=EYear72,H$3&gt;0),IF($A109=SYear72,H$67*(1+Data_72_15!H49%),H108*(1+Data_72_15!H49%)),"")</f>
        <v/>
      </c>
      <c r="I109" s="446" t="str">
        <f>IF(AND($A109&gt;=SYear72,$A109&lt;=EYear72,I$3&gt;0),IF($A109=SYear72,I$67*(1+Data_72_15!I49%),I108*(1+Data_72_15!I49%)),"")</f>
        <v/>
      </c>
      <c r="J109" s="446" t="str">
        <f>IF(AND($A109&gt;=SYear72,$A109&lt;=EYear72,J$3&gt;0),IF($A109=SYear72,J$67*(1+Data_72_15!J49%),J108*(1+Data_72_15!J49%)),"")</f>
        <v/>
      </c>
      <c r="K109" s="446" t="str">
        <f>IF(AND($A109&gt;=SYear72,$A109&lt;=EYear72,K$3&gt;0),IF($A109=SYear72,K$67*(1+Data_72_15!K49%),K108*(1+Data_72_15!K49%)),"")</f>
        <v/>
      </c>
      <c r="L109" s="446" t="str">
        <f>IF(AND($A109&gt;=SYear72,$A109&lt;=EYear72,L$3&gt;0),IF($A109=SYear72,L$67*(1+Data_72_15!L49%),L108*(1+Data_72_15!L49%)),"")</f>
        <v/>
      </c>
      <c r="M109" s="446" t="str">
        <f>IF(AND($A109&gt;=SYear72,$A109&lt;=EYear72,M$3&gt;0),IF($A109=SYear72,M$67*(1+Data_72_15!M49%),M108*(1+Data_72_15!M49%)),"")</f>
        <v/>
      </c>
      <c r="N109" s="446">
        <f>IF(AND($A109&gt;=SYear72,$A109&lt;=EYear72,N$3&gt;0),IF($A109=SYear72,N$67*(1+Data_72_15!N49%),N108*(1+Data_72_15!N49%)),"")</f>
        <v>198167.17382335546</v>
      </c>
      <c r="O109" s="446" t="str">
        <f>IF(AND($A109&gt;=SYear72,$A109&lt;=EYear72,O$3&gt;0),IF($A109=SYear72,O$67*(1+Data_72_15!O49%),O108*(1+Data_72_15!O49%)),"")</f>
        <v/>
      </c>
      <c r="P109" s="446" t="str">
        <f>IF(AND($A109&gt;=SYear72,$A109&lt;=EYear72,P$3&gt;0),IF($A109=SYear72,P$67*(1+Data_72_15!P49%),P108*(1+Data_72_15!P49%)),"")</f>
        <v/>
      </c>
      <c r="Q109" s="446" t="str">
        <f>IF(AND($A109&gt;=SYear72,$A109&lt;=EYear72,Q$3&gt;0),IF($A109=SYear72,Q$67*(1+Data_72_15!Q49%),Q108*(1+Data_72_15!Q49%)),"")</f>
        <v/>
      </c>
      <c r="R109" s="446" t="str">
        <f>IF(AND($A109&gt;=SYear72,$A109&lt;=EYear72,R$3&gt;0),IF($A109=SYear72,R$67*(1+Data_72_15!R49%),R108*(1+Data_72_15!R49%)),"")</f>
        <v/>
      </c>
      <c r="S109" s="446" t="str">
        <f>IF(AND($A109&gt;=SYear72,$A109&lt;=EYear72,S$3&gt;0),IF($A109=SYear72,S$67*(1+Data_72_15!S49%),S108*(1+Data_72_15!S49%)),"")</f>
        <v/>
      </c>
      <c r="T109" s="446">
        <f>IF(AND($A109&gt;=SYear72,$A109&lt;=EYear72,T$3&gt;0),IF($A109=SYear72,T$67*(1+Data_72_15!T49%),T108*(1+Data_72_15!T49%)),"")</f>
        <v>38710.2293006373</v>
      </c>
      <c r="U109" s="446" t="str">
        <f>IF(AND($A109&gt;=SYear72,$A109&lt;=EYear72,U$3&gt;0),IF($A109=SYear72,U$67*(1+Data_72_15!U49%),U108*(1+Data_72_15!U49%)),"")</f>
        <v/>
      </c>
      <c r="V109" s="446" t="str">
        <f>IF(AND($A109&gt;=SYear72,$A109&lt;=EYear72,V$3&gt;0),IF($A109=SYear72,V$67*(1+Data_72_15!V49%),V108*(1+Data_72_15!V49%)),"")</f>
        <v/>
      </c>
      <c r="W109" s="446" t="str">
        <f>IF(AND($A109&gt;=SYear72,$A109&lt;=EYear72,W$3&gt;0),IF($A109=SYear72,W$67*(1+Data_72_15!W49%),W108*(1+Data_72_15!W49%)),"")</f>
        <v/>
      </c>
      <c r="X109" s="446" t="str">
        <f>IF(AND($A109&gt;=SYear72,$A109&lt;=EYear72,X$3&gt;0),IF($A109=SYear72,X$67*(1+Data_72_15!X49%),X108*(1+Data_72_15!X49%)),"")</f>
        <v/>
      </c>
      <c r="Y109" s="446" t="str">
        <f>IF(AND($A109&gt;=SYear72,$A109&lt;=EYear72,Y$3&gt;0),IF($A109=SYear72,Y$67*(1+Data_72_15!Y49%),Y108*(1+Data_72_15!Y49%)),"")</f>
        <v/>
      </c>
      <c r="Z109" s="446" t="str">
        <f>IF(AND($A109&gt;=SYear72,$A109&lt;=EYear72,Z$3&gt;0),IF($A109=SYear72,Z$67*(1+Data_72_15!Z49%),Z108*(1+Data_72_15!Z49%)),"")</f>
        <v/>
      </c>
      <c r="AA109" s="446" t="str">
        <f>IF(AND($A109&gt;=SYear72,$A109&lt;=EYear72,AA$3&gt;0),IF($A109=SYear72,AA$67*(1+Data_72_15!AA49%),AA108*(1+Data_72_15!AA49%)),"")</f>
        <v/>
      </c>
      <c r="AB109" s="446" t="str">
        <f>IF(AND($A109&gt;=SYear72,$A109&lt;=EYear72,AB$3&gt;0),IF($A109=SYear72,AB$67*(1+Data_72_15!AB49%),AB108*(1+Data_72_15!AB49%)),"")</f>
        <v/>
      </c>
      <c r="AC109" s="446" t="str">
        <f>IF(AND($A109&gt;=SYear72,$A109&lt;=EYear72,AC$3&gt;0),IF($A109=SYear72,AC$67*(1+Data_72_15!AC49%),AC108*(1+Data_72_15!AC49%)),"")</f>
        <v/>
      </c>
      <c r="AD109" s="446" t="str">
        <f>IF(AND($A109&gt;=SYear72,$A109&lt;=EYear72,AD$3&gt;0),IF($A109=SYear72,AD$67*(1+Data_72_15!AD49%),AD108*(1+Data_72_15!AD49%)),"")</f>
        <v/>
      </c>
      <c r="AE109" s="446" t="str">
        <f>IF(AND($A109&gt;=SYear72,$A109&lt;=EYear72,AE$3&gt;0),IF($A109=SYear72,AE$67*(1+Data_72_15!AE49%),AE108*(1+Data_72_15!AE49%)),"")</f>
        <v/>
      </c>
      <c r="AF109" s="446" t="str">
        <f>IF(AND($A109&gt;=SYear72,$A109&lt;=EYear72,AF$3&gt;0),IF($A109=SYear72,AF$67*(1+Data_72_15!AF49%),AF108*(1+Data_72_15!AF49%)),"")</f>
        <v/>
      </c>
      <c r="AG109" s="446" t="str">
        <f>IF(AND($A109&gt;=SYear72,$A109&lt;=EYear72,AG$3&gt;0),IF($A109=SYear72,AG$67*(1+Data_72_15!AG49%),AG108*(1+Data_72_15!AG49%)),"")</f>
        <v/>
      </c>
      <c r="AH109" s="446" t="str">
        <f>IF(AND($A109&gt;=SYear72,$A109&lt;=EYear72,AH$3&gt;0),IF($A109=SYear72,AH$67*(1+Data_72_15!AH49%),AH108*(1+Data_72_15!AH49%)),"")</f>
        <v/>
      </c>
      <c r="AI109" s="446" t="str">
        <f>IF(AND($A109&gt;=SYear72,$A109&lt;=EYear72,AI$3&gt;0),IF($A109=SYear72,AI$67*(1+Data_72_15!AI49%),AI108*(1+Data_72_15!AI49%)),"")</f>
        <v/>
      </c>
      <c r="AJ109" s="446" t="str">
        <f>IF(AND($A109&gt;=SYear72,$A109&lt;=EYear72,AJ$3&gt;0),IF($A109=SYear72,AJ$67*(1+Data_72_15!AJ49%),AJ108*(1+Data_72_15!AJ49%)),"")</f>
        <v/>
      </c>
      <c r="AK109" s="446" t="str">
        <f>IF(AND($A109&gt;=SYear72,$A109&lt;=EYear72,AK$3&gt;0),IF($A109=SYear72,AK$67*(1+Data_72_15!AK49%),AK108*(1+Data_72_15!AK49%)),"")</f>
        <v/>
      </c>
      <c r="AL109" s="446" t="str">
        <f>IF(AND($A109&gt;=SYear72,$A109&lt;=EYear72,AL$3&gt;0),IF($A109=SYear72,AL$67*(1+Data_72_15!AL49%),AL108*(1+Data_72_15!AL49%)),"")</f>
        <v/>
      </c>
      <c r="AM109" s="206">
        <f t="shared" si="35"/>
        <v>23.052265332553979</v>
      </c>
      <c r="AN109" s="446">
        <f>IF(AND($A109&gt;=SYear72,$A109&lt;=EYear72),SUM(B109:AG109),"")</f>
        <v>550827.47430091177</v>
      </c>
      <c r="AO109" s="206">
        <f>IF(AND($A109&gt;=SYear72,$A109&lt;=EYear72),(AM109-Data_72_15!AM49)/(1+Data_72_15!AM49%),"")</f>
        <v>21.23168592278758</v>
      </c>
      <c r="AP109" s="606">
        <f>IF(AND($A109&gt;=SYear72,$A109&lt;=EYear72),IF($A109=SYear72,$AP$4*(1+AO109%),$AP108*(1+AO109%)),"")</f>
        <v>97142.700435391176</v>
      </c>
      <c r="AQ109" s="143">
        <f t="shared" si="21"/>
        <v>45.753555034627588</v>
      </c>
      <c r="AR109" s="143">
        <f>IF(AND($A109&gt;=SYear72,$A109&lt;=EYear72),MAX($AQ$68:AQ109),"")</f>
        <v>45.753555034627588</v>
      </c>
      <c r="AS109" s="209">
        <f>IF(AND($A109&gt;=SYear72,$A109&lt;=EYear72),1-(AQ109/AR109),"")</f>
        <v>0</v>
      </c>
      <c r="AZ109" s="61">
        <f t="shared" si="23"/>
        <v>0.23052265332553978</v>
      </c>
      <c r="BA109" s="61"/>
      <c r="BB109" s="61"/>
      <c r="BG109" s="61">
        <f t="shared" si="28"/>
        <v>0.21231685922787591</v>
      </c>
      <c r="BH109" s="61"/>
      <c r="BI109" s="61"/>
    </row>
    <row r="110" spans="1:63">
      <c r="A110" s="204">
        <f t="shared" si="34"/>
        <v>2014</v>
      </c>
      <c r="B110" s="446">
        <f>IF(AND($A110&gt;=SYear72,$A110&lt;=EYear72,B$3&gt;0),IF($A110=SYear72,B$67*(1+Data_72_15!B50%),B109*(1+Data_72_15!B50%)),"")</f>
        <v>352974.06502421008</v>
      </c>
      <c r="C110" s="446" t="str">
        <f>IF(AND($A110&gt;=SYear72,$A110&lt;=EYear72,C$3&gt;0),IF($A110=SYear72,C$67*(1+Data_72_15!C50%),C109*(1+Data_72_15!C50%)),"")</f>
        <v/>
      </c>
      <c r="D110" s="446" t="str">
        <f>IF(AND($A110&gt;=SYear72,$A110&lt;=EYear72,D$3&gt;0),IF($A110=SYear72,D$67*(1+Data_72_15!D50%),D109*(1+Data_72_15!D50%)),"")</f>
        <v/>
      </c>
      <c r="E110" s="446" t="str">
        <f>IF(AND($A110&gt;=SYear72,$A110&lt;=EYear72,E$3&gt;0),IF($A110=SYear72,E$67*(1+Data_72_15!E50%),E109*(1+Data_72_15!E50%)),"")</f>
        <v/>
      </c>
      <c r="F110" s="446" t="str">
        <f>IF(AND($A110&gt;=SYear72,$A110&lt;=EYear72,F$3&gt;0),IF($A110=SYear72,F$67*(1+Data_72_15!F50%),F109*(1+Data_72_15!F50%)),"")</f>
        <v/>
      </c>
      <c r="G110" s="446" t="str">
        <f>IF(AND($A110&gt;=SYear72,$A110&lt;=EYear72,G$3&gt;0),IF($A110=SYear72,G$67*(1+Data_72_15!G50%),G109*(1+Data_72_15!G50%)),"")</f>
        <v/>
      </c>
      <c r="H110" s="446" t="str">
        <f>IF(AND($A110&gt;=SYear72,$A110&lt;=EYear72,H$3&gt;0),IF($A110=SYear72,H$67*(1+Data_72_15!H50%),H109*(1+Data_72_15!H50%)),"")</f>
        <v/>
      </c>
      <c r="I110" s="446" t="str">
        <f>IF(AND($A110&gt;=SYear72,$A110&lt;=EYear72,I$3&gt;0),IF($A110=SYear72,I$67*(1+Data_72_15!I50%),I109*(1+Data_72_15!I50%)),"")</f>
        <v/>
      </c>
      <c r="J110" s="446" t="str">
        <f>IF(AND($A110&gt;=SYear72,$A110&lt;=EYear72,J$3&gt;0),IF($A110=SYear72,J$67*(1+Data_72_15!J50%),J109*(1+Data_72_15!J50%)),"")</f>
        <v/>
      </c>
      <c r="K110" s="446" t="str">
        <f>IF(AND($A110&gt;=SYear72,$A110&lt;=EYear72,K$3&gt;0),IF($A110=SYear72,K$67*(1+Data_72_15!K50%),K109*(1+Data_72_15!K50%)),"")</f>
        <v/>
      </c>
      <c r="L110" s="446" t="str">
        <f>IF(AND($A110&gt;=SYear72,$A110&lt;=EYear72,L$3&gt;0),IF($A110=SYear72,L$67*(1+Data_72_15!L50%),L109*(1+Data_72_15!L50%)),"")</f>
        <v/>
      </c>
      <c r="M110" s="446" t="str">
        <f>IF(AND($A110&gt;=SYear72,$A110&lt;=EYear72,M$3&gt;0),IF($A110=SYear72,M$67*(1+Data_72_15!M50%),M109*(1+Data_72_15!M50%)),"")</f>
        <v/>
      </c>
      <c r="N110" s="446">
        <f>IF(AND($A110&gt;=SYear72,$A110&lt;=EYear72,N$3&gt;0),IF($A110=SYear72,N$67*(1+Data_72_15!N50%),N109*(1+Data_72_15!N50%)),"")</f>
        <v>189764.8856532452</v>
      </c>
      <c r="O110" s="446" t="str">
        <f>IF(AND($A110&gt;=SYear72,$A110&lt;=EYear72,O$3&gt;0),IF($A110=SYear72,O$67*(1+Data_72_15!O50%),O109*(1+Data_72_15!O50%)),"")</f>
        <v/>
      </c>
      <c r="P110" s="446" t="str">
        <f>IF(AND($A110&gt;=SYear72,$A110&lt;=EYear72,P$3&gt;0),IF($A110=SYear72,P$67*(1+Data_72_15!P50%),P109*(1+Data_72_15!P50%)),"")</f>
        <v/>
      </c>
      <c r="Q110" s="446" t="str">
        <f>IF(AND($A110&gt;=SYear72,$A110&lt;=EYear72,Q$3&gt;0),IF($A110=SYear72,Q$67*(1+Data_72_15!Q50%),Q109*(1+Data_72_15!Q50%)),"")</f>
        <v/>
      </c>
      <c r="R110" s="446" t="str">
        <f>IF(AND($A110&gt;=SYear72,$A110&lt;=EYear72,R$3&gt;0),IF($A110=SYear72,R$67*(1+Data_72_15!R50%),R109*(1+Data_72_15!R50%)),"")</f>
        <v/>
      </c>
      <c r="S110" s="446" t="str">
        <f>IF(AND($A110&gt;=SYear72,$A110&lt;=EYear72,S$3&gt;0),IF($A110=SYear72,S$67*(1+Data_72_15!S50%),S109*(1+Data_72_15!S50%)),"")</f>
        <v/>
      </c>
      <c r="T110" s="446">
        <f>IF(AND($A110&gt;=SYear72,$A110&lt;=EYear72,T$3&gt;0),IF($A110=SYear72,T$67*(1+Data_72_15!T50%),T109*(1+Data_72_15!T50%)),"")</f>
        <v>40382.511206424831</v>
      </c>
      <c r="U110" s="446" t="str">
        <f>IF(AND($A110&gt;=SYear72,$A110&lt;=EYear72,U$3&gt;0),IF($A110=SYear72,U$67*(1+Data_72_15!U50%),U109*(1+Data_72_15!U50%)),"")</f>
        <v/>
      </c>
      <c r="V110" s="446" t="str">
        <f>IF(AND($A110&gt;=SYear72,$A110&lt;=EYear72,V$3&gt;0),IF($A110=SYear72,V$67*(1+Data_72_15!V50%),V109*(1+Data_72_15!V50%)),"")</f>
        <v/>
      </c>
      <c r="W110" s="446" t="str">
        <f>IF(AND($A110&gt;=SYear72,$A110&lt;=EYear72,W$3&gt;0),IF($A110=SYear72,W$67*(1+Data_72_15!W50%),W109*(1+Data_72_15!W50%)),"")</f>
        <v/>
      </c>
      <c r="X110" s="446" t="str">
        <f>IF(AND($A110&gt;=SYear72,$A110&lt;=EYear72,X$3&gt;0),IF($A110=SYear72,X$67*(1+Data_72_15!X50%),X109*(1+Data_72_15!X50%)),"")</f>
        <v/>
      </c>
      <c r="Y110" s="446" t="str">
        <f>IF(AND($A110&gt;=SYear72,$A110&lt;=EYear72,Y$3&gt;0),IF($A110=SYear72,Y$67*(1+Data_72_15!Y50%),Y109*(1+Data_72_15!Y50%)),"")</f>
        <v/>
      </c>
      <c r="Z110" s="446" t="str">
        <f>IF(AND($A110&gt;=SYear72,$A110&lt;=EYear72,Z$3&gt;0),IF($A110=SYear72,Z$67*(1+Data_72_15!Z50%),Z109*(1+Data_72_15!Z50%)),"")</f>
        <v/>
      </c>
      <c r="AA110" s="446" t="str">
        <f>IF(AND($A110&gt;=SYear72,$A110&lt;=EYear72,AA$3&gt;0),IF($A110=SYear72,AA$67*(1+Data_72_15!AA50%),AA109*(1+Data_72_15!AA50%)),"")</f>
        <v/>
      </c>
      <c r="AB110" s="446" t="str">
        <f>IF(AND($A110&gt;=SYear72,$A110&lt;=EYear72,AB$3&gt;0),IF($A110=SYear72,AB$67*(1+Data_72_15!AB50%),AB109*(1+Data_72_15!AB50%)),"")</f>
        <v/>
      </c>
      <c r="AC110" s="446" t="str">
        <f>IF(AND($A110&gt;=SYear72,$A110&lt;=EYear72,AC$3&gt;0),IF($A110=SYear72,AC$67*(1+Data_72_15!AC50%),AC109*(1+Data_72_15!AC50%)),"")</f>
        <v/>
      </c>
      <c r="AD110" s="446" t="str">
        <f>IF(AND($A110&gt;=SYear72,$A110&lt;=EYear72,AD$3&gt;0),IF($A110=SYear72,AD$67*(1+Data_72_15!AD50%),AD109*(1+Data_72_15!AD50%)),"")</f>
        <v/>
      </c>
      <c r="AE110" s="446" t="str">
        <f>IF(AND($A110&gt;=SYear72,$A110&lt;=EYear72,AE$3&gt;0),IF($A110=SYear72,AE$67*(1+Data_72_15!AE50%),AE109*(1+Data_72_15!AE50%)),"")</f>
        <v/>
      </c>
      <c r="AF110" s="446" t="str">
        <f>IF(AND($A110&gt;=SYear72,$A110&lt;=EYear72,AF$3&gt;0),IF($A110=SYear72,AF$67*(1+Data_72_15!AF50%),AF109*(1+Data_72_15!AF50%)),"")</f>
        <v/>
      </c>
      <c r="AG110" s="446" t="str">
        <f>IF(AND($A110&gt;=SYear72,$A110&lt;=EYear72,AG$3&gt;0),IF($A110=SYear72,AG$67*(1+Data_72_15!AG50%),AG109*(1+Data_72_15!AG50%)),"")</f>
        <v/>
      </c>
      <c r="AH110" s="446" t="str">
        <f>IF(AND($A110&gt;=SYear72,$A110&lt;=EYear72,AH$3&gt;0),IF($A110=SYear72,AH$67*(1+Data_72_15!AH50%),AH109*(1+Data_72_15!AH50%)),"")</f>
        <v/>
      </c>
      <c r="AI110" s="446" t="str">
        <f>IF(AND($A110&gt;=SYear72,$A110&lt;=EYear72,AI$3&gt;0),IF($A110=SYear72,AI$67*(1+Data_72_15!AI50%),AI109*(1+Data_72_15!AI50%)),"")</f>
        <v/>
      </c>
      <c r="AJ110" s="446" t="str">
        <f>IF(AND($A110&gt;=SYear72,$A110&lt;=EYear72,AJ$3&gt;0),IF($A110=SYear72,AJ$67*(1+Data_72_15!AJ50%),AJ109*(1+Data_72_15!AJ50%)),"")</f>
        <v/>
      </c>
      <c r="AK110" s="446" t="str">
        <f>IF(AND($A110&gt;=SYear72,$A110&lt;=EYear72,AK$3&gt;0),IF($A110=SYear72,AK$67*(1+Data_72_15!AK50%),AK109*(1+Data_72_15!AK50%)),"")</f>
        <v/>
      </c>
      <c r="AL110" s="446" t="str">
        <f>IF(AND($A110&gt;=SYear72,$A110&lt;=EYear72,AL$3&gt;0),IF($A110=SYear72,AL$67*(1+Data_72_15!AL50%),AL109*(1+Data_72_15!AL50%)),"")</f>
        <v/>
      </c>
      <c r="AM110" s="206">
        <f t="shared" si="35"/>
        <v>5.8628135105197057</v>
      </c>
      <c r="AN110" s="446">
        <f>IF(AND($A110&gt;=SYear72,$A110&lt;=EYear72),SUM(B110:AG110),"")</f>
        <v>583121.46188388008</v>
      </c>
      <c r="AO110" s="206">
        <f>IF(AND($A110&gt;=SYear72,$A110&lt;=EYear72),(AM110-Data_72_15!AM50)/(1+Data_72_15!AM50%),"")</f>
        <v>5.0679813033963557</v>
      </c>
      <c r="AP110" s="606">
        <f>IF(AND($A110&gt;=SYear72,$A110&lt;=EYear72),IF($A110=SYear72,$AP$4*(1+AO110%),$AP109*(1+AO110%)),"")</f>
        <v>102065.87433107114</v>
      </c>
      <c r="AQ110" s="143">
        <f t="shared" si="21"/>
        <v>48.436000640740808</v>
      </c>
      <c r="AR110" s="143">
        <f>IF(AND($A110&gt;=SYear72,$A110&lt;=EYear72),MAX($AQ$68:AQ110),"")</f>
        <v>48.436000640740808</v>
      </c>
      <c r="AS110" s="209">
        <f>IF(AND($A110&gt;=SYear72,$A110&lt;=EYear72),1-(AQ110/AR110),"")</f>
        <v>0</v>
      </c>
      <c r="AZ110" s="61">
        <f t="shared" si="23"/>
        <v>5.8628135105197154E-2</v>
      </c>
      <c r="BA110" s="61"/>
      <c r="BB110" s="61"/>
      <c r="BG110" s="61">
        <f t="shared" si="28"/>
        <v>5.0679813033963628E-2</v>
      </c>
      <c r="BH110" s="61"/>
      <c r="BI110" s="61"/>
    </row>
    <row r="111" spans="1:63">
      <c r="A111" s="204">
        <f t="shared" si="34"/>
        <v>2015</v>
      </c>
      <c r="B111" s="446">
        <f>IF(AND($A111&gt;=SYear72,$A111&lt;=EYear72,B$3&gt;0),IF($A111=SYear72,B$67*(1+Data_72_15!B51%),B110*(1+Data_72_15!B51%)),"")</f>
        <v>353997.68981278024</v>
      </c>
      <c r="C111" s="446" t="str">
        <f>IF(AND($A111&gt;=SYear72,$A111&lt;=EYear72,C$3&gt;0),IF($A111=SYear72,C$67*(1+Data_72_15!C51%),C110*(1+Data_72_15!C51%)),"")</f>
        <v/>
      </c>
      <c r="D111" s="446" t="str">
        <f>IF(AND($A111&gt;=SYear72,$A111&lt;=EYear72,D$3&gt;0),IF($A111=SYear72,D$67*(1+Data_72_15!D51%),D110*(1+Data_72_15!D51%)),"")</f>
        <v/>
      </c>
      <c r="E111" s="446" t="str">
        <f>IF(AND($A111&gt;=SYear72,$A111&lt;=EYear72,E$3&gt;0),IF($A111=SYear72,E$67*(1+Data_72_15!E51%),E110*(1+Data_72_15!E51%)),"")</f>
        <v/>
      </c>
      <c r="F111" s="446" t="str">
        <f>IF(AND($A111&gt;=SYear72,$A111&lt;=EYear72,F$3&gt;0),IF($A111=SYear72,F$67*(1+Data_72_15!F51%),F110*(1+Data_72_15!F51%)),"")</f>
        <v/>
      </c>
      <c r="G111" s="446" t="str">
        <f>IF(AND($A111&gt;=SYear72,$A111&lt;=EYear72,G$3&gt;0),IF($A111=SYear72,G$67*(1+Data_72_15!G51%),G110*(1+Data_72_15!G51%)),"")</f>
        <v/>
      </c>
      <c r="H111" s="446" t="str">
        <f>IF(AND($A111&gt;=SYear72,$A111&lt;=EYear72,H$3&gt;0),IF($A111=SYear72,H$67*(1+Data_72_15!H51%),H110*(1+Data_72_15!H51%)),"")</f>
        <v/>
      </c>
      <c r="I111" s="446" t="str">
        <f>IF(AND($A111&gt;=SYear72,$A111&lt;=EYear72,I$3&gt;0),IF($A111=SYear72,I$67*(1+Data_72_15!I51%),I110*(1+Data_72_15!I51%)),"")</f>
        <v/>
      </c>
      <c r="J111" s="446" t="str">
        <f>IF(AND($A111&gt;=SYear72,$A111&lt;=EYear72,J$3&gt;0),IF($A111=SYear72,J$67*(1+Data_72_15!J51%),J110*(1+Data_72_15!J51%)),"")</f>
        <v/>
      </c>
      <c r="K111" s="446" t="str">
        <f>IF(AND($A111&gt;=SYear72,$A111&lt;=EYear72,K$3&gt;0),IF($A111=SYear72,K$67*(1+Data_72_15!K51%),K110*(1+Data_72_15!K51%)),"")</f>
        <v/>
      </c>
      <c r="L111" s="446" t="str">
        <f>IF(AND($A111&gt;=SYear72,$A111&lt;=EYear72,L$3&gt;0),IF($A111=SYear72,L$67*(1+Data_72_15!L51%),L110*(1+Data_72_15!L51%)),"")</f>
        <v/>
      </c>
      <c r="M111" s="446" t="str">
        <f>IF(AND($A111&gt;=SYear72,$A111&lt;=EYear72,M$3&gt;0),IF($A111=SYear72,M$67*(1+Data_72_15!M51%),M110*(1+Data_72_15!M51%)),"")</f>
        <v/>
      </c>
      <c r="N111" s="446">
        <f>IF(AND($A111&gt;=SYear72,$A111&lt;=EYear72,N$3&gt;0),IF($A111=SYear72,N$67*(1+Data_72_15!N51%),N110*(1+Data_72_15!N51%)),"")</f>
        <v>181472.16015019838</v>
      </c>
      <c r="O111" s="446" t="str">
        <f>IF(AND($A111&gt;=SYear72,$A111&lt;=EYear72,O$3&gt;0),IF($A111=SYear72,O$67*(1+Data_72_15!O51%),O110*(1+Data_72_15!O51%)),"")</f>
        <v/>
      </c>
      <c r="P111" s="446" t="str">
        <f>IF(AND($A111&gt;=SYear72,$A111&lt;=EYear72,P$3&gt;0),IF($A111=SYear72,P$67*(1+Data_72_15!P51%),P110*(1+Data_72_15!P51%)),"")</f>
        <v/>
      </c>
      <c r="Q111" s="446" t="str">
        <f>IF(AND($A111&gt;=SYear72,$A111&lt;=EYear72,Q$3&gt;0),IF($A111=SYear72,Q$67*(1+Data_72_15!Q51%),Q110*(1+Data_72_15!Q51%)),"")</f>
        <v/>
      </c>
      <c r="R111" s="446" t="str">
        <f>IF(AND($A111&gt;=SYear72,$A111&lt;=EYear72,R$3&gt;0),IF($A111=SYear72,R$67*(1+Data_72_15!R51%),R110*(1+Data_72_15!R51%)),"")</f>
        <v/>
      </c>
      <c r="S111" s="446" t="str">
        <f>IF(AND($A111&gt;=SYear72,$A111&lt;=EYear72,S$3&gt;0),IF($A111=SYear72,S$67*(1+Data_72_15!S51%),S110*(1+Data_72_15!S51%)),"")</f>
        <v/>
      </c>
      <c r="T111" s="446">
        <f>IF(AND($A111&gt;=SYear72,$A111&lt;=EYear72,T$3&gt;0),IF($A111=SYear72,T$67*(1+Data_72_15!T51%),T110*(1+Data_72_15!T51%)),"")</f>
        <v>40988.248874521203</v>
      </c>
      <c r="U111" s="446" t="str">
        <f>IF(AND($A111&gt;=SYear72,$A111&lt;=EYear72,U$3&gt;0),IF($A111=SYear72,U$67*(1+Data_72_15!U51%),U110*(1+Data_72_15!U51%)),"")</f>
        <v/>
      </c>
      <c r="V111" s="446" t="str">
        <f>IF(AND($A111&gt;=SYear72,$A111&lt;=EYear72,V$3&gt;0),IF($A111=SYear72,V$67*(1+Data_72_15!V51%),V110*(1+Data_72_15!V51%)),"")</f>
        <v/>
      </c>
      <c r="W111" s="446" t="str">
        <f>IF(AND($A111&gt;=SYear72,$A111&lt;=EYear72,W$3&gt;0),IF($A111=SYear72,W$67*(1+Data_72_15!W51%),W110*(1+Data_72_15!W51%)),"")</f>
        <v/>
      </c>
      <c r="X111" s="446" t="str">
        <f>IF(AND($A111&gt;=SYear72,$A111&lt;=EYear72,X$3&gt;0),IF($A111=SYear72,X$67*(1+Data_72_15!X51%),X110*(1+Data_72_15!X51%)),"")</f>
        <v/>
      </c>
      <c r="Y111" s="446" t="str">
        <f>IF(AND($A111&gt;=SYear72,$A111&lt;=EYear72,Y$3&gt;0),IF($A111=SYear72,Y$67*(1+Data_72_15!Y51%),Y110*(1+Data_72_15!Y51%)),"")</f>
        <v/>
      </c>
      <c r="Z111" s="446" t="str">
        <f>IF(AND($A111&gt;=SYear72,$A111&lt;=EYear72,Z$3&gt;0),IF($A111=SYear72,Z$67*(1+Data_72_15!Z51%),Z110*(1+Data_72_15!Z51%)),"")</f>
        <v/>
      </c>
      <c r="AA111" s="446" t="str">
        <f>IF(AND($A111&gt;=SYear72,$A111&lt;=EYear72,AA$3&gt;0),IF($A111=SYear72,AA$67*(1+Data_72_15!AA51%),AA110*(1+Data_72_15!AA51%)),"")</f>
        <v/>
      </c>
      <c r="AB111" s="446" t="str">
        <f>IF(AND($A111&gt;=SYear72,$A111&lt;=EYear72,AB$3&gt;0),IF($A111=SYear72,AB$67*(1+Data_72_15!AB51%),AB110*(1+Data_72_15!AB51%)),"")</f>
        <v/>
      </c>
      <c r="AC111" s="446" t="str">
        <f>IF(AND($A111&gt;=SYear72,$A111&lt;=EYear72,AC$3&gt;0),IF($A111=SYear72,AC$67*(1+Data_72_15!AC51%),AC110*(1+Data_72_15!AC51%)),"")</f>
        <v/>
      </c>
      <c r="AD111" s="446" t="str">
        <f>IF(AND($A111&gt;=SYear72,$A111&lt;=EYear72,AD$3&gt;0),IF($A111=SYear72,AD$67*(1+Data_72_15!AD51%),AD110*(1+Data_72_15!AD51%)),"")</f>
        <v/>
      </c>
      <c r="AE111" s="446" t="str">
        <f>IF(AND($A111&gt;=SYear72,$A111&lt;=EYear72,AE$3&gt;0),IF($A111=SYear72,AE$67*(1+Data_72_15!AE51%),AE110*(1+Data_72_15!AE51%)),"")</f>
        <v/>
      </c>
      <c r="AF111" s="446" t="str">
        <f>IF(AND($A111&gt;=SYear72,$A111&lt;=EYear72,AF$3&gt;0),IF($A111=SYear72,AF$67*(1+Data_72_15!AF51%),AF110*(1+Data_72_15!AF51%)),"")</f>
        <v/>
      </c>
      <c r="AG111" s="446" t="str">
        <f>IF(AND($A111&gt;=SYear72,$A111&lt;=EYear72,AG$3&gt;0),IF($A111=SYear72,AG$67*(1+Data_72_15!AG51%),AG110*(1+Data_72_15!AG51%)),"")</f>
        <v/>
      </c>
      <c r="AH111" s="446" t="str">
        <f>IF(AND($A111&gt;=SYear72,$A111&lt;=EYear72,AH$3&gt;0),IF($A111=SYear72,AH$67*(1+Data_72_15!AH51%),AH110*(1+Data_72_15!AH51%)),"")</f>
        <v/>
      </c>
      <c r="AI111" s="446" t="str">
        <f>IF(AND($A111&gt;=SYear72,$A111&lt;=EYear72,AI$3&gt;0),IF($A111=SYear72,AI$67*(1+Data_72_15!AI51%),AI110*(1+Data_72_15!AI51%)),"")</f>
        <v/>
      </c>
      <c r="AJ111" s="446" t="str">
        <f>IF(AND($A111&gt;=SYear72,$A111&lt;=EYear72,AJ$3&gt;0),IF($A111=SYear72,AJ$67*(1+Data_72_15!AJ51%),AJ110*(1+Data_72_15!AJ51%)),"")</f>
        <v/>
      </c>
      <c r="AK111" s="446" t="str">
        <f>IF(AND($A111&gt;=SYear72,$A111&lt;=EYear72,AK$3&gt;0),IF($A111=SYear72,AK$67*(1+Data_72_15!AK51%),AK110*(1+Data_72_15!AK51%)),"")</f>
        <v/>
      </c>
      <c r="AL111" s="446" t="str">
        <f>IF(AND($A111&gt;=SYear72,$A111&lt;=EYear72,AL$3&gt;0),IF($A111=SYear72,AL$67*(1+Data_72_15!AL51%),AL110*(1+Data_72_15!AL51%)),"")</f>
        <v/>
      </c>
      <c r="AM111" s="206">
        <f t="shared" si="35"/>
        <v>-1.1427058480840369</v>
      </c>
      <c r="AN111" s="446">
        <f>IF(AND($A111&gt;=SYear72,$A111&lt;=EYear72),SUM(B111:AG111),"")</f>
        <v>576458.09883749986</v>
      </c>
      <c r="AO111" s="206">
        <f>IF(AND($A111&gt;=SYear72,$A111&lt;=EYear72),(AM111-Data_72_15!AM51)/(1+Data_72_15!AM51%),"")</f>
        <v>-1.8586662957417028</v>
      </c>
      <c r="AP111" s="606">
        <f>IF(AND($A111&gt;=SYear72,$A111&lt;=EYear72),IF($A111=SYear72,$AP$4*(1+AO111%),$AP110*(1+AO111%)),"")</f>
        <v>100168.81032542544</v>
      </c>
      <c r="AQ111" s="143">
        <f t="shared" si="21"/>
        <v>47.882519628841038</v>
      </c>
      <c r="AR111" s="143">
        <f>IF(AND($A111&gt;=SYear72,$A111&lt;=EYear72),MAX($AQ$68:AQ111),"")</f>
        <v>48.436000640740808</v>
      </c>
      <c r="AS111" s="209">
        <f>IF(AND($A111&gt;=SYear72,$A111&lt;=EYear72),1-(AQ111/AR111),"")</f>
        <v>1.1427058480840468E-2</v>
      </c>
      <c r="AZ111" s="61">
        <f t="shared" si="23"/>
        <v>-1.1427058480840357E-2</v>
      </c>
      <c r="BA111" s="61"/>
      <c r="BB111" s="61"/>
      <c r="BG111" s="61">
        <f t="shared" si="28"/>
        <v>-1.8586662957417066E-2</v>
      </c>
      <c r="BH111" s="61"/>
      <c r="BI111" s="61"/>
    </row>
    <row r="112" spans="1:63">
      <c r="A112" s="204">
        <f t="shared" si="34"/>
        <v>2016</v>
      </c>
      <c r="B112" s="446" t="str">
        <f>IF(AND($A112&gt;=SYear72,$A112&lt;=EYear72,B$3&gt;0),IF($A112=SYear72,B$67*(1+Data_72_15!B52%),B111*(1+Data_72_15!B52%)),"")</f>
        <v/>
      </c>
      <c r="C112" s="446" t="str">
        <f>IF(AND($A112&gt;=SYear72,$A112&lt;=EYear72,C$3&gt;0),IF($A112=SYear72,C$67*(1+Data_72_15!C52%),C111*(1+Data_72_15!C52%)),"")</f>
        <v/>
      </c>
      <c r="D112" s="446" t="str">
        <f>IF(AND($A112&gt;=SYear72,$A112&lt;=EYear72,D$3&gt;0),IF($A112=SYear72,D$67*(1+Data_72_15!D52%),D111*(1+Data_72_15!D52%)),"")</f>
        <v/>
      </c>
      <c r="E112" s="446" t="str">
        <f>IF(AND($A112&gt;=SYear72,$A112&lt;=EYear72,E$3&gt;0),IF($A112=SYear72,E$67*(1+Data_72_15!E52%),E111*(1+Data_72_15!E52%)),"")</f>
        <v/>
      </c>
      <c r="F112" s="446" t="str">
        <f>IF(AND($A112&gt;=SYear72,$A112&lt;=EYear72,F$3&gt;0),IF($A112=SYear72,F$67*(1+Data_72_15!F52%),F111*(1+Data_72_15!F52%)),"")</f>
        <v/>
      </c>
      <c r="G112" s="446" t="str">
        <f>IF(AND($A112&gt;=SYear72,$A112&lt;=EYear72,G$3&gt;0),IF($A112=SYear72,G$67*(1+Data_72_15!G52%),G111*(1+Data_72_15!G52%)),"")</f>
        <v/>
      </c>
      <c r="H112" s="446" t="str">
        <f>IF(AND($A112&gt;=SYear72,$A112&lt;=EYear72,H$3&gt;0),IF($A112=SYear72,H$67*(1+Data_72_15!H52%),H111*(1+Data_72_15!H52%)),"")</f>
        <v/>
      </c>
      <c r="I112" s="446" t="str">
        <f>IF(AND($A112&gt;=SYear72,$A112&lt;=EYear72,I$3&gt;0),IF($A112=SYear72,I$67*(1+Data_72_15!I52%),I111*(1+Data_72_15!I52%)),"")</f>
        <v/>
      </c>
      <c r="J112" s="446" t="str">
        <f>IF(AND($A112&gt;=SYear72,$A112&lt;=EYear72,J$3&gt;0),IF($A112=SYear72,J$67*(1+Data_72_15!J52%),J111*(1+Data_72_15!J52%)),"")</f>
        <v/>
      </c>
      <c r="K112" s="446" t="str">
        <f>IF(AND($A112&gt;=SYear72,$A112&lt;=EYear72,K$3&gt;0),IF($A112=SYear72,K$67*(1+Data_72_15!K52%),K111*(1+Data_72_15!K52%)),"")</f>
        <v/>
      </c>
      <c r="L112" s="446" t="str">
        <f>IF(AND($A112&gt;=SYear72,$A112&lt;=EYear72,L$3&gt;0),IF($A112=SYear72,L$67*(1+Data_72_15!L52%),L111*(1+Data_72_15!L52%)),"")</f>
        <v/>
      </c>
      <c r="M112" s="446" t="str">
        <f>IF(AND($A112&gt;=SYear72,$A112&lt;=EYear72,M$3&gt;0),IF($A112=SYear72,M$67*(1+Data_72_15!M52%),M111*(1+Data_72_15!M52%)),"")</f>
        <v/>
      </c>
      <c r="N112" s="446" t="str">
        <f>IF(AND($A112&gt;=SYear72,$A112&lt;=EYear72,N$3&gt;0),IF($A112=SYear72,N$67*(1+Data_72_15!N52%),N111*(1+Data_72_15!N52%)),"")</f>
        <v/>
      </c>
      <c r="O112" s="446" t="str">
        <f>IF(AND($A112&gt;=SYear72,$A112&lt;=EYear72,O$3&gt;0),IF($A112=SYear72,O$67*(1+Data_72_15!O52%),O111*(1+Data_72_15!O52%)),"")</f>
        <v/>
      </c>
      <c r="P112" s="446" t="str">
        <f>IF(AND($A112&gt;=SYear72,$A112&lt;=EYear72,P$3&gt;0),IF($A112=SYear72,P$67*(1+Data_72_15!P52%),P111*(1+Data_72_15!P52%)),"")</f>
        <v/>
      </c>
      <c r="Q112" s="446" t="str">
        <f>IF(AND($A112&gt;=SYear72,$A112&lt;=EYear72,Q$3&gt;0),IF($A112=SYear72,Q$67*(1+Data_72_15!Q52%),Q111*(1+Data_72_15!Q52%)),"")</f>
        <v/>
      </c>
      <c r="R112" s="446" t="str">
        <f>IF(AND($A112&gt;=SYear72,$A112&lt;=EYear72,R$3&gt;0),IF($A112=SYear72,R$67*(1+Data_72_15!R52%),R111*(1+Data_72_15!R52%)),"")</f>
        <v/>
      </c>
      <c r="S112" s="446" t="str">
        <f>IF(AND($A112&gt;=SYear72,$A112&lt;=EYear72,S$3&gt;0),IF($A112=SYear72,S$67*(1+Data_72_15!S52%),S111*(1+Data_72_15!S52%)),"")</f>
        <v/>
      </c>
      <c r="T112" s="446" t="str">
        <f>IF(AND($A112&gt;=SYear72,$A112&lt;=EYear72,T$3&gt;0),IF($A112=SYear72,T$67*(1+Data_72_15!T52%),T111*(1+Data_72_15!T52%)),"")</f>
        <v/>
      </c>
      <c r="U112" s="446" t="str">
        <f>IF(AND($A112&gt;=SYear72,$A112&lt;=EYear72,U$3&gt;0),IF($A112=SYear72,U$67*(1+Data_72_15!U52%),U111*(1+Data_72_15!U52%)),"")</f>
        <v/>
      </c>
      <c r="V112" s="446" t="str">
        <f>IF(AND($A112&gt;=SYear72,$A112&lt;=EYear72,V$3&gt;0),IF($A112=SYear72,V$67*(1+Data_72_15!V52%),V111*(1+Data_72_15!V52%)),"")</f>
        <v/>
      </c>
      <c r="W112" s="446" t="str">
        <f>IF(AND($A112&gt;=SYear72,$A112&lt;=EYear72,W$3&gt;0),IF($A112=SYear72,W$67*(1+Data_72_15!W52%),W111*(1+Data_72_15!W52%)),"")</f>
        <v/>
      </c>
      <c r="X112" s="446" t="str">
        <f>IF(AND($A112&gt;=SYear72,$A112&lt;=EYear72,X$3&gt;0),IF($A112=SYear72,X$67*(1+Data_72_15!X52%),X111*(1+Data_72_15!X52%)),"")</f>
        <v/>
      </c>
      <c r="Y112" s="446" t="str">
        <f>IF(AND($A112&gt;=SYear72,$A112&lt;=EYear72,Y$3&gt;0),IF($A112=SYear72,Y$67*(1+Data_72_15!Y52%),Y111*(1+Data_72_15!Y52%)),"")</f>
        <v/>
      </c>
      <c r="Z112" s="446" t="str">
        <f>IF(AND($A112&gt;=SYear72,$A112&lt;=EYear72,Z$3&gt;0),IF($A112=SYear72,Z$67*(1+Data_72_15!Z52%),Z111*(1+Data_72_15!Z52%)),"")</f>
        <v/>
      </c>
      <c r="AA112" s="446" t="str">
        <f>IF(AND($A112&gt;=SYear72,$A112&lt;=EYear72,AA$3&gt;0),IF($A112=SYear72,AA$67*(1+Data_72_15!AA52%),AA111*(1+Data_72_15!AA52%)),"")</f>
        <v/>
      </c>
      <c r="AB112" s="446" t="str">
        <f>IF(AND($A112&gt;=SYear72,$A112&lt;=EYear72,AB$3&gt;0),IF($A112=SYear72,AB$67*(1+Data_72_15!AB52%),AB111*(1+Data_72_15!AB52%)),"")</f>
        <v/>
      </c>
      <c r="AC112" s="446" t="str">
        <f>IF(AND($A112&gt;=SYear72,$A112&lt;=EYear72,AC$3&gt;0),IF($A112=SYear72,AC$67*(1+Data_72_15!AC52%),AC111*(1+Data_72_15!AC52%)),"")</f>
        <v/>
      </c>
      <c r="AD112" s="446" t="str">
        <f>IF(AND($A112&gt;=SYear72,$A112&lt;=EYear72,AD$3&gt;0),IF($A112=SYear72,AD$67*(1+Data_72_15!AD52%),AD111*(1+Data_72_15!AD52%)),"")</f>
        <v/>
      </c>
      <c r="AE112" s="446" t="str">
        <f>IF(AND($A112&gt;=SYear72,$A112&lt;=EYear72,AE$3&gt;0),IF($A112=SYear72,AE$67*(1+Data_72_15!AE52%),AE111*(1+Data_72_15!AE52%)),"")</f>
        <v/>
      </c>
      <c r="AF112" s="446" t="str">
        <f>IF(AND($A112&gt;=SYear72,$A112&lt;=EYear72,AF$3&gt;0),IF($A112=SYear72,AF$67*(1+Data_72_15!AF52%),AF111*(1+Data_72_15!AF52%)),"")</f>
        <v/>
      </c>
      <c r="AG112" s="446" t="str">
        <f>IF(AND($A112&gt;=SYear72,$A112&lt;=EYear72,AG$3&gt;0),IF($A112=SYear72,AG$67*(1+Data_72_15!AG52%),AG111*(1+Data_72_15!AG52%)),"")</f>
        <v/>
      </c>
      <c r="AH112" s="446" t="str">
        <f>IF(AND($A112&gt;=SYear72,$A112&lt;=EYear72,AH$3&gt;0),IF($A112=SYear72,AH$67*(1+Data_72_15!AH52%),AH111*(1+Data_72_15!AH52%)),"")</f>
        <v/>
      </c>
      <c r="AI112" s="446" t="str">
        <f>IF(AND($A112&gt;=SYear72,$A112&lt;=EYear72,AI$3&gt;0),IF($A112=SYear72,AI$67*(1+Data_72_15!AI52%),AI111*(1+Data_72_15!AI52%)),"")</f>
        <v/>
      </c>
      <c r="AJ112" s="446" t="str">
        <f>IF(AND($A112&gt;=SYear72,$A112&lt;=EYear72,AJ$3&gt;0),IF($A112=SYear72,AJ$67*(1+Data_72_15!AJ52%),AJ111*(1+Data_72_15!AJ52%)),"")</f>
        <v/>
      </c>
      <c r="AK112" s="446" t="str">
        <f>IF(AND($A112&gt;=SYear72,$A112&lt;=EYear72,AK$3&gt;0),IF($A112=SYear72,AK$67*(1+Data_72_15!AK52%),AK111*(1+Data_72_15!AK52%)),"")</f>
        <v/>
      </c>
      <c r="AL112" s="446" t="str">
        <f>IF(AND($A112&gt;=SYear72,$A112&lt;=EYear72,AL$3&gt;0),IF($A112=SYear72,AL$67*(1+Data_72_15!AL52%),AL111*(1+Data_72_15!AL52%)),"")</f>
        <v/>
      </c>
      <c r="AM112" s="206" t="str">
        <f t="shared" si="35"/>
        <v/>
      </c>
      <c r="AN112" s="446" t="str">
        <f>IF(AND($A112&gt;=SYear72,$A112&lt;=EYear72),SUM(B112:AG112),"")</f>
        <v/>
      </c>
      <c r="AO112" s="206" t="str">
        <f>IF(AND($A112&gt;=SYear72,$A112&lt;=EYear72),(AM112-Data_72_15!AM52)/(1+Data_72_15!AM52%),"")</f>
        <v/>
      </c>
      <c r="AP112" s="606" t="str">
        <f>IF(AND($A112&gt;=SYear72,$A112&lt;=EYear72),IF($A112=SYear72,$AP$4*(1+AO112%),$AP111*(1+AO112%)),"")</f>
        <v/>
      </c>
      <c r="AQ112" s="143" t="str">
        <f t="shared" si="21"/>
        <v/>
      </c>
      <c r="AR112" s="143" t="str">
        <f>IF(AND($A112&gt;=SYear72,$A112&lt;=EYear72),MAX($AQ$68:AQ112),"")</f>
        <v/>
      </c>
      <c r="AS112" s="209" t="str">
        <f>IF(AND($A112&gt;=SYear72,$A112&lt;=EYear72),1-(AQ112/AR112),"")</f>
        <v/>
      </c>
      <c r="AZ112" s="61" t="str">
        <f t="shared" si="23"/>
        <v/>
      </c>
      <c r="BA112" s="61"/>
      <c r="BB112" s="61"/>
      <c r="BG112" s="61" t="str">
        <f t="shared" si="28"/>
        <v/>
      </c>
      <c r="BH112" s="61"/>
      <c r="BI112" s="61"/>
    </row>
    <row r="113" spans="1:59">
      <c r="A113" s="248"/>
      <c r="B113" s="446"/>
      <c r="C113" s="446"/>
      <c r="D113" s="446"/>
      <c r="E113" s="446"/>
      <c r="F113" s="446"/>
      <c r="G113" s="446"/>
      <c r="H113" s="446"/>
      <c r="I113" s="446"/>
      <c r="J113" s="446"/>
      <c r="K113" s="446"/>
      <c r="L113" s="446"/>
      <c r="M113" s="446"/>
      <c r="N113" s="446"/>
      <c r="O113" s="446"/>
      <c r="P113" s="446"/>
      <c r="Q113" s="446"/>
      <c r="R113" s="446"/>
      <c r="S113" s="446"/>
      <c r="T113" s="446"/>
      <c r="U113" s="446"/>
      <c r="V113" s="446"/>
      <c r="W113" s="446"/>
      <c r="X113" s="446"/>
      <c r="Y113" s="446"/>
      <c r="Z113" s="446"/>
      <c r="AA113" s="446"/>
      <c r="AB113" s="446"/>
      <c r="AC113" s="446"/>
      <c r="AD113" s="446"/>
      <c r="AE113" s="446"/>
      <c r="AF113" s="446"/>
      <c r="AG113" s="446"/>
      <c r="AH113" s="446"/>
      <c r="AI113" s="446"/>
      <c r="AJ113" s="446"/>
      <c r="AK113" s="446"/>
      <c r="AL113" s="446"/>
      <c r="AM113" s="206"/>
      <c r="AN113" s="206"/>
      <c r="AO113" s="206"/>
      <c r="AP113" s="208"/>
      <c r="AQ113" s="143"/>
      <c r="AR113" s="143"/>
      <c r="AS113" s="209"/>
    </row>
    <row r="114" spans="1:59">
      <c r="A114" s="248" t="s">
        <v>413</v>
      </c>
      <c r="B114" s="249">
        <f>IF(B$3&gt;0,VLOOKUP(EYear72,$A$68:$AN112,COLUMN(B2))/(VLOOKUP(EYear72,$A68:$AN112,COLUMN($AN$2))),"")</f>
        <v>0.61409092963853062</v>
      </c>
      <c r="C114" s="249" t="str">
        <f>IF(C$3&gt;0,VLOOKUP(EYear72,$A$68:$AN112,COLUMN(C2))/(VLOOKUP(EYear72,$A68:$AN112,COLUMN($AN$2))),"")</f>
        <v/>
      </c>
      <c r="D114" s="249" t="str">
        <f>IF(D$3&gt;0,VLOOKUP(EYear72,$A$68:$AN112,COLUMN(D2))/(VLOOKUP(EYear72,$A68:$AN112,COLUMN($AN$2))),"")</f>
        <v/>
      </c>
      <c r="E114" s="249" t="str">
        <f>IF(E$3&gt;0,VLOOKUP(EYear72,$A$68:$AN112,COLUMN(E2))/(VLOOKUP(EYear72,$A68:$AN112,COLUMN($AN$2))),"")</f>
        <v/>
      </c>
      <c r="F114" s="249" t="str">
        <f>IF(F$3&gt;0,VLOOKUP(EYear72,$A$68:$AN112,COLUMN(F2))/(VLOOKUP(EYear72,$A68:$AN112,COLUMN($AN$2))),"")</f>
        <v/>
      </c>
      <c r="G114" s="249" t="str">
        <f>IF(G$3&gt;0,VLOOKUP(EYear72,$A$68:$AN112,COLUMN(G2))/(VLOOKUP(EYear72,$A68:$AN112,COLUMN($AN$2))),"")</f>
        <v/>
      </c>
      <c r="H114" s="249" t="str">
        <f>IF(H$3&gt;0,VLOOKUP(EYear72,$A$68:$AN112,COLUMN(H2))/(VLOOKUP(EYear72,$A68:$AN112,COLUMN($AN$2))),"")</f>
        <v/>
      </c>
      <c r="I114" s="249" t="str">
        <f>IF(I$3&gt;0,VLOOKUP(EYear72,$A$68:$AN112,COLUMN(I2))/(VLOOKUP(EYear72,$A68:$AN112,COLUMN($AN$2))),"")</f>
        <v/>
      </c>
      <c r="J114" s="249" t="str">
        <f>IF(J$3&gt;0,VLOOKUP(EYear72,$A$68:$AN112,COLUMN(J2))/(VLOOKUP(EYear72,$A68:$AN112,COLUMN($AN$2))),"")</f>
        <v/>
      </c>
      <c r="K114" s="249" t="str">
        <f>IF(K$3&gt;0,VLOOKUP(EYear72,$A$68:$AN112,COLUMN(K2))/(VLOOKUP(EYear72,$A68:$AN112,COLUMN($AN$2))),"")</f>
        <v/>
      </c>
      <c r="L114" s="249" t="str">
        <f>IF(L$3&gt;0,VLOOKUP(EYear72,$A$68:$AN112,COLUMN(L2))/(VLOOKUP(EYear72,$A68:$AN112,COLUMN($AN$2))),"")</f>
        <v/>
      </c>
      <c r="M114" s="249" t="str">
        <f>IF(M$3&gt;0,VLOOKUP(EYear72,$A$68:$AN112,COLUMN(M2))/(VLOOKUP(EYear72,$A68:$AN112,COLUMN($AN$2))),"")</f>
        <v/>
      </c>
      <c r="N114" s="249">
        <f>IF(N$3&gt;0,VLOOKUP(EYear72,$A$68:$AN112,COLUMN(N2))/(VLOOKUP(EYear72,$A68:$AN112,COLUMN($AN$2))),"")</f>
        <v>0.31480546550765748</v>
      </c>
      <c r="O114" s="249" t="str">
        <f>IF(O$3&gt;0,VLOOKUP(EYear72,$A$68:$AN112,COLUMN(O2))/(VLOOKUP(EYear72,$A68:$AN112,COLUMN($AN$2))),"")</f>
        <v/>
      </c>
      <c r="P114" s="249" t="str">
        <f>IF(P$3&gt;0,VLOOKUP(EYear72,$A$68:$AN112,COLUMN(P2))/(VLOOKUP(EYear72,$A68:$AN112,COLUMN($AN$2))),"")</f>
        <v/>
      </c>
      <c r="Q114" s="249" t="str">
        <f>IF(Q$3&gt;0,VLOOKUP(EYear72,$A$68:$AN112,COLUMN(Q2))/(VLOOKUP(EYear72,$A68:$AN112,COLUMN($AN$2))),"")</f>
        <v/>
      </c>
      <c r="R114" s="249" t="str">
        <f>IF(R$3&gt;0,VLOOKUP(EYear72,$A$68:$AN112,COLUMN(R2))/(VLOOKUP(EYear72,$A68:$AN112,COLUMN($AN$2))),"")</f>
        <v/>
      </c>
      <c r="S114" s="249" t="str">
        <f>IF(S$3&gt;0,VLOOKUP(EYear72,$A$68:$AN112,COLUMN(S2))/(VLOOKUP(EYear72,$A68:$AN112,COLUMN($AN$2))),"")</f>
        <v/>
      </c>
      <c r="T114" s="249">
        <f>IF(T$3&gt;0,VLOOKUP(EYear72,$A$68:$AN112,COLUMN(T2))/(VLOOKUP(EYear72,$A68:$AN112,COLUMN($AN$2))),"")</f>
        <v>7.1103604853811841E-2</v>
      </c>
      <c r="U114" s="249" t="str">
        <f>IF(U$3&gt;0,VLOOKUP(EYear72,$A$68:$AN112,COLUMN(U2))/(VLOOKUP(EYear72,$A68:$AN112,COLUMN($AN$2))),"")</f>
        <v/>
      </c>
      <c r="V114" s="249" t="str">
        <f>IF(V$3&gt;0,VLOOKUP(EYear72,$A$68:$AN112,COLUMN(V2))/(VLOOKUP(EYear72,$A68:$AN112,COLUMN($AN$2))),"")</f>
        <v/>
      </c>
      <c r="W114" s="249" t="str">
        <f>IF(W$3&gt;0,VLOOKUP(EYear72,$A$68:$AN112,COLUMN(W2))/(VLOOKUP(EYear72,$A68:$AN112,COLUMN($AN$2))),"")</f>
        <v/>
      </c>
      <c r="X114" s="249" t="str">
        <f>IF(X$3&gt;0,VLOOKUP(EYear72,$A$68:$AN112,COLUMN(X2))/(VLOOKUP(EYear72,$A68:$AN112,COLUMN($AN$2))),"")</f>
        <v/>
      </c>
      <c r="Y114" s="249" t="str">
        <f>IF(Y$3&gt;0,VLOOKUP(EYear72,$A$68:$AN112,COLUMN(Y2))/(VLOOKUP(EYear72,$A68:$AN112,COLUMN($AN$2))),"")</f>
        <v/>
      </c>
      <c r="Z114" s="249" t="str">
        <f>IF(Z$3&gt;0,VLOOKUP(EYear72,$A$68:$AN112,COLUMN(Z2))/(VLOOKUP(EYear72,$A68:$AN112,COLUMN($AN$2))),"")</f>
        <v/>
      </c>
      <c r="AA114" s="249" t="str">
        <f>IF(AA$3&gt;0,VLOOKUP(EYear72,$A$68:$AN112,COLUMN(AA2))/(VLOOKUP(EYear72,$A68:$AN112,COLUMN($AN$2))),"")</f>
        <v/>
      </c>
      <c r="AB114" s="249" t="str">
        <f>IF(AB$3&gt;0,VLOOKUP(EYear72,$A$68:$AN112,COLUMN(AB2))/(VLOOKUP(EYear72,$A68:$AN112,COLUMN($AN$2))),"")</f>
        <v/>
      </c>
      <c r="AC114" s="249" t="str">
        <f>IF(AC$3&gt;0,VLOOKUP(EYear72,$A$68:$AN112,COLUMN(AC2))/(VLOOKUP(EYear72,$A68:$AN112,COLUMN($AN$2))),"")</f>
        <v/>
      </c>
      <c r="AD114" s="249" t="str">
        <f>IF(AD$3&gt;0,VLOOKUP(EYear72,$A$68:$AN112,COLUMN(AD2))/(VLOOKUP(EYear72,$A68:$AN112,COLUMN($AN$2))),"")</f>
        <v/>
      </c>
      <c r="AE114" s="249" t="str">
        <f>IF(AE$3&gt;0,VLOOKUP(EYear72,$A$68:$AN112,COLUMN(AE2))/(VLOOKUP(EYear72,$A68:$AN112,COLUMN($AN$2))),"")</f>
        <v/>
      </c>
      <c r="AF114" s="249" t="str">
        <f>IF(AF$3&gt;0,VLOOKUP(EYear72,$A$68:$AN112,COLUMN(AF2))/(VLOOKUP(EYear72,$A68:$AN112,COLUMN($AN$2))),"")</f>
        <v/>
      </c>
      <c r="AG114" s="249" t="str">
        <f>IF(AG$3&gt;0,VLOOKUP(EYear72,$A$68:$AN112,COLUMN(AG2))/(VLOOKUP(EYear72,$A68:$AN112,COLUMN($AN$2))),"")</f>
        <v/>
      </c>
      <c r="AH114" s="249" t="str">
        <f>IF(AH$3&gt;0,VLOOKUP(EYear72,$A$68:$AN112,COLUMN(AH2))/(VLOOKUP(EYear72,$A68:$AN112,COLUMN($AN$2))),"")</f>
        <v/>
      </c>
      <c r="AI114" s="249" t="str">
        <f>IF(AI$3&gt;0,VLOOKUP(EYear72,$A$68:$AN112,COLUMN(AI2))/(VLOOKUP(EYear72,$A68:$AN112,COLUMN($AN$2))),"")</f>
        <v/>
      </c>
      <c r="AJ114" s="249" t="str">
        <f>IF(AJ$3&gt;0,VLOOKUP(EYear72,$A$68:$AN112,COLUMN(AJ2))/(VLOOKUP(EYear72,$A68:$AN112,COLUMN($AN$2))),"")</f>
        <v/>
      </c>
      <c r="AK114" s="249" t="str">
        <f>IF(AK$3&gt;0,VLOOKUP(EYear72,$A$68:$AN112,COLUMN(AK2))/(VLOOKUP(EYear72,$A68:$AN112,COLUMN($AN$2))),"")</f>
        <v/>
      </c>
      <c r="AL114" s="249" t="str">
        <f>IF(AL$3&gt;0,VLOOKUP(EYear72,$A$68:$AN112,COLUMN(AL2))/(VLOOKUP(EYear72,$A68:$AN112,COLUMN($AN$2))),"")</f>
        <v/>
      </c>
      <c r="AM114" s="206"/>
      <c r="AN114" s="206"/>
      <c r="AO114" s="206"/>
      <c r="AP114" s="208"/>
      <c r="AQ114" s="143"/>
      <c r="AR114" s="143"/>
      <c r="AS114" s="209"/>
    </row>
    <row r="115" spans="1:59" ht="13" thickBot="1">
      <c r="A115" s="210" t="s">
        <v>309</v>
      </c>
      <c r="B115" s="206"/>
      <c r="C115" s="206"/>
      <c r="D115" s="206"/>
      <c r="E115" s="206"/>
      <c r="F115" s="206"/>
      <c r="G115" s="211"/>
      <c r="H115" s="211"/>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32"/>
      <c r="AP115" s="207"/>
    </row>
    <row r="116" spans="1:59" ht="21" thickBot="1">
      <c r="A116" s="212" t="s">
        <v>406</v>
      </c>
      <c r="B116" s="213"/>
      <c r="C116" s="213" t="s">
        <v>176</v>
      </c>
      <c r="D116" s="213" t="s">
        <v>177</v>
      </c>
      <c r="E116" s="213" t="s">
        <v>178</v>
      </c>
      <c r="F116" s="477" t="s">
        <v>179</v>
      </c>
      <c r="G116" s="477" t="s">
        <v>180</v>
      </c>
      <c r="H116" s="474" t="s">
        <v>181</v>
      </c>
      <c r="I116" s="250"/>
      <c r="J116" s="215"/>
      <c r="K116" s="215"/>
      <c r="L116" s="215"/>
      <c r="M116" s="215"/>
      <c r="N116" s="215"/>
      <c r="O116" s="215"/>
      <c r="P116" s="215"/>
      <c r="Q116" s="215"/>
      <c r="R116" s="215"/>
      <c r="S116" s="215"/>
      <c r="T116" s="215"/>
      <c r="U116" s="215"/>
      <c r="V116" s="215"/>
      <c r="W116" s="215"/>
      <c r="X116" s="215"/>
      <c r="Y116" s="215"/>
      <c r="Z116" s="215"/>
      <c r="AA116" s="215"/>
      <c r="AB116" s="215"/>
      <c r="AC116" s="215"/>
      <c r="AD116" s="215"/>
      <c r="AE116" s="215"/>
      <c r="AF116" s="215"/>
      <c r="AG116" s="215"/>
      <c r="AH116" s="215"/>
      <c r="AI116" s="215"/>
      <c r="AJ116" s="215"/>
      <c r="AK116" s="215"/>
      <c r="AL116" s="215"/>
      <c r="AM116" s="215"/>
      <c r="AN116" s="215"/>
      <c r="AO116" s="215"/>
      <c r="AP116" s="217"/>
      <c r="AQ116" s="26"/>
    </row>
    <row r="117" spans="1:59" ht="14" thickTop="1" thickBot="1">
      <c r="A117" s="218" t="s">
        <v>407</v>
      </c>
      <c r="B117" s="441">
        <f>IF(AN66="ERROR","ERROR",VLOOKUP(EYear72,Unrebal_ReturnsTable72,COLUMN(AN35),FALSE))</f>
        <v>576458.09883749986</v>
      </c>
      <c r="C117" s="219">
        <f>RATE(Portfolio!$B$85,0,-$AN$4,B117)*100</f>
        <v>9.6522250492380017</v>
      </c>
      <c r="D117" s="219">
        <f ca="1">STDEV(Unrebal_NominalReturns72)</f>
        <v>16.075977516605167</v>
      </c>
      <c r="E117" s="219">
        <f ca="1">((AVERAGE(Unrebal_NominalReturns72))-(AVERAGE(TBill72)))/STDEV(Unrebal_NominalReturns72)</f>
        <v>0.37069187068383508</v>
      </c>
      <c r="F117" s="219">
        <f t="array" aca="1" ref="F117" ca="1">(AVERAGE(Unrebal_NominalReturns72)-MAR72_Nominal*100)/SQRT(SUM(IF(Unrebal_NominalReturns72&lt;MAR72_Nominal*100,(Unrebal_NominalReturns72-MAR72_Nominal*100)^2))/COUNT(Unrebal_NominalReturns72))</f>
        <v>0.60253811838204419</v>
      </c>
      <c r="G117" s="472">
        <f ca="1">PEARSON(Unrebal_NominalReturns72,OFFSET(Data_72_15!$B$8,$A$56,0,$C$56,1))</f>
        <v>0.89852507772815771</v>
      </c>
      <c r="H117" s="475">
        <f ca="1">PEARSON(Unrebal_NominalReturns72,OFFSET(Data_72_15!$N$8,$A$56,0,$C$56,1))</f>
        <v>0.91246963188620867</v>
      </c>
      <c r="J117" s="32"/>
      <c r="K117" s="32"/>
      <c r="L117" s="32"/>
      <c r="M117" s="221"/>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207"/>
    </row>
    <row r="118" spans="1:59" ht="13" thickBot="1">
      <c r="A118" s="223" t="s">
        <v>408</v>
      </c>
      <c r="B118" s="442">
        <f>IF(AN66="ERROR","ERROR",VLOOKUP(EYear72,Unrebal_ReturnsTable72,COLUMN(AP37),FALSE))</f>
        <v>100168.81032542544</v>
      </c>
      <c r="C118" s="224">
        <f>RATE(Portfolio!$B$85,0,-$AN$4,B118)*100</f>
        <v>5.3765366620448996</v>
      </c>
      <c r="D118" s="224">
        <f ca="1">STDEV(Unrebal_RealReturns72)</f>
        <v>16.034451405850575</v>
      </c>
      <c r="E118" s="224">
        <f ca="1">((AVERAGE(Unrebal_RealReturns72))-(AVERAGE(TBill72_Real)))/STDEV(Unrebal_RealReturns72)</f>
        <v>0.36354369551471483</v>
      </c>
      <c r="F118" s="473">
        <f t="array" aca="1" ref="F118" ca="1">(AVERAGE(Unrebal_RealReturns72)-MAR72_Real*100)/SQRT(SUM(IF(Unrebal_RealReturns72&lt;MAR72_Real*100,(Unrebal_RealReturns72-MAR72_Real*100)^2))/COUNT(Unrebal_RealReturns72))</f>
        <v>0.46004659937034398</v>
      </c>
      <c r="G118" s="293">
        <f ca="1">PEARSON(Unrebal_RealReturns72,OFFSET(Data_72_15!$B$8,$A$56,0,$C$56,1))</f>
        <v>0.88102773541772073</v>
      </c>
      <c r="H118" s="476">
        <f ca="1">PEARSON(Unrebal_RealReturns72,OFFSET(Data_72_15!$N$8,$A$56,0,$C$56,1))</f>
        <v>0.89159102577806959</v>
      </c>
      <c r="I118" s="251"/>
      <c r="J118" s="225"/>
      <c r="K118" s="225"/>
      <c r="L118" s="225"/>
      <c r="M118" s="226"/>
      <c r="N118" s="225"/>
      <c r="O118" s="225"/>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25"/>
      <c r="AN118" s="225"/>
      <c r="AO118" s="225"/>
      <c r="AP118" s="227"/>
    </row>
    <row r="119" spans="1:59" ht="14" thickTop="1">
      <c r="I119" s="230" t="str">
        <f>"Portfolio Nominal (Unbalanced) = "&amp;TEXT($B117,"#,##0")</f>
        <v>Portfolio Nominal (Unbalanced) = 576,458</v>
      </c>
      <c r="J119" s="229"/>
      <c r="K119" s="229"/>
      <c r="L119" s="229"/>
      <c r="M119" s="229"/>
      <c r="N119" s="229"/>
      <c r="Q119" s="644" t="str">
        <f>"Portfolio Real (Unbalanced) = "&amp;TEXT($B118,"#,##0")</f>
        <v>Portfolio Real (Unbalanced) = 100,169</v>
      </c>
      <c r="R119" s="644"/>
      <c r="S119" s="644"/>
      <c r="T119" s="644"/>
      <c r="U119" s="644"/>
      <c r="V119" s="644"/>
      <c r="W119" s="644"/>
      <c r="X119" s="644"/>
    </row>
    <row r="120" spans="1:59" ht="14" thickBot="1">
      <c r="I120" s="8"/>
      <c r="J120" s="509"/>
      <c r="K120" s="509"/>
      <c r="L120" s="509"/>
      <c r="M120" s="509"/>
      <c r="N120" s="509"/>
      <c r="Q120" s="8"/>
      <c r="R120" s="8"/>
      <c r="S120" s="8"/>
      <c r="T120" s="8"/>
      <c r="U120" s="8"/>
      <c r="V120" s="8"/>
      <c r="W120" s="8"/>
      <c r="X120" s="8"/>
    </row>
    <row r="121" spans="1:59" ht="16" thickBot="1">
      <c r="A121" s="642" t="s">
        <v>744</v>
      </c>
      <c r="B121" s="643"/>
      <c r="C121" s="643"/>
      <c r="D121" s="643"/>
      <c r="E121" s="643"/>
      <c r="F121" s="47"/>
      <c r="G121" s="47"/>
      <c r="H121" s="47"/>
      <c r="I121" s="189"/>
      <c r="J121" s="47"/>
      <c r="K121" s="47"/>
      <c r="L121" s="47"/>
      <c r="M121" s="47"/>
      <c r="N121" s="47"/>
      <c r="O121" s="47"/>
      <c r="P121" s="47"/>
      <c r="Q121" s="189"/>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189"/>
      <c r="BB121" s="189"/>
      <c r="BC121" s="189"/>
      <c r="BD121" s="189"/>
      <c r="BE121" s="189"/>
      <c r="BG121" s="189"/>
    </row>
    <row r="122" spans="1:59" ht="13" thickTop="1">
      <c r="A122" s="520" t="s">
        <v>460</v>
      </c>
      <c r="B122" s="513">
        <f t="array" aca="1" ref="B122" ca="1">IF(ISERROR(PRODUCT(1+OFFSET(Data_72_15!B$8,$A$56,0,$C$56,1)%)),"",(PRODUCT(1+OFFSET(Data_72_15!B$8,$A$56,0,$C$56,1)%)))</f>
        <v>70.799537962556016</v>
      </c>
      <c r="C122" s="360">
        <f t="array" aca="1" ref="C122" ca="1">IF(ISERROR(PRODUCT(1+OFFSET(Data_72_15!C$8,$A$56,0,$C$56,1)%)),"",(PRODUCT(1+OFFSET(Data_72_15!C$8,$A$56,0,$C$56,1)%)))</f>
        <v>117.51838555468198</v>
      </c>
      <c r="D122" s="360">
        <f t="array" aca="1" ref="D122" ca="1">IF(ISERROR(PRODUCT(1+OFFSET(Data_72_15!D$8,$A$56,0,$C$56,1)%)),"",(PRODUCT(1+OFFSET(Data_72_15!D$8,$A$56,0,$C$56,1)%)))</f>
        <v>68.308919963834001</v>
      </c>
      <c r="E122" s="360">
        <f t="array" aca="1" ref="E122" ca="1">IF(ISERROR(PRODUCT(1+OFFSET(Data_72_15!E$8,$A$56,0,$C$56,1)%)),"",(PRODUCT(1+OFFSET(Data_72_15!E$8,$A$56,0,$C$56,1)%)))</f>
        <v>54.151915226191406</v>
      </c>
      <c r="F122" s="360">
        <f t="array" aca="1" ref="F122" ca="1">IF(ISERROR(PRODUCT(1+OFFSET(Data_72_15!F$8,$A$56,0,$C$56,1)%)),"",(PRODUCT(1+OFFSET(Data_72_15!F$8,$A$56,0,$C$56,1)%)))</f>
        <v>157.12499543548336</v>
      </c>
      <c r="G122" s="360">
        <f t="array" aca="1" ref="G122" ca="1">IF(ISERROR(PRODUCT(1+OFFSET(Data_72_15!G$8,$A$56,0,$C$56,1)%)),"",(PRODUCT(1+OFFSET(Data_72_15!G$8,$A$56,0,$C$56,1)%)))</f>
        <v>222.54891608536738</v>
      </c>
      <c r="H122" s="360">
        <f t="array" aca="1" ref="H122" ca="1">IF(ISERROR(PRODUCT(1+OFFSET(Data_72_15!H$8,$A$56,0,$C$56,1)%)),"",(PRODUCT(1+OFFSET(Data_72_15!H$8,$A$56,0,$C$56,1)%)))</f>
        <v>111.5438145320384</v>
      </c>
      <c r="I122" s="360">
        <f t="array" aca="1" ref="I122" ca="1">IF(ISERROR(PRODUCT(1+OFFSET(Data_72_15!I$8,$A$56,0,$C$56,1)%)),"",(PRODUCT(1+OFFSET(Data_72_15!I$8,$A$56,0,$C$56,1)%)))</f>
        <v>48.873955044291485</v>
      </c>
      <c r="J122" s="360">
        <f t="array" aca="1" ref="J122" ca="1">IF(ISERROR(PRODUCT(1+OFFSET(Data_72_15!J$8,$A$56,0,$C$56,1)%)),"",(PRODUCT(1+OFFSET(Data_72_15!J$8,$A$56,0,$C$56,1)%)))</f>
        <v>107.45332423842136</v>
      </c>
      <c r="K122" s="360">
        <f t="array" aca="1" ref="K122" ca="1">IF(ISERROR(PRODUCT(1+OFFSET(Data_72_15!K$8,$A$56,0,$C$56,1)%)),"",(PRODUCT(1+OFFSET(Data_72_15!K$8,$A$56,0,$C$56,1)%)))</f>
        <v>134.21018082896435</v>
      </c>
      <c r="L122" s="360">
        <f t="array" aca="1" ref="L122" ca="1">IF(ISERROR(PRODUCT(1+OFFSET(Data_72_15!L$8,$A$56,0,$C$56,1)%)),"",(PRODUCT(1+OFFSET(Data_72_15!L$8,$A$56,0,$C$56,1)%)))</f>
        <v>44.932313914845132</v>
      </c>
      <c r="M122" s="360">
        <f t="array" aca="1" ref="M122" ca="1">IF(ISERROR(PRODUCT(1+OFFSET(Data_72_15!M$8,$A$56,0,$C$56,1)%)),"",(PRODUCT(1+OFFSET(Data_72_15!M$8,$A$56,0,$C$56,1)%)))</f>
        <v>406.84893107213355</v>
      </c>
      <c r="N122" s="360">
        <f t="array" aca="1" ref="N122" ca="1">IF(ISERROR(PRODUCT(1+OFFSET(Data_72_15!N$8,$A$56,0,$C$56,1)%)),"",(PRODUCT(1+OFFSET(Data_72_15!N$8,$A$56,0,$C$56,1)%)))</f>
        <v>60.490720050066123</v>
      </c>
      <c r="O122" s="360">
        <f t="array" aca="1" ref="O122" ca="1">IF(ISERROR(PRODUCT(1+OFFSET(Data_72_15!O$8,$A$56,0,$C$56,1)%)),"",(PRODUCT(1+OFFSET(Data_72_15!O$8,$A$56,0,$C$56,1)%)))</f>
        <v>40.888769969442947</v>
      </c>
      <c r="P122" s="360">
        <f t="array" aca="1" ref="P122" ca="1">IF(ISERROR(PRODUCT(1+OFFSET(Data_72_15!P$8,$A$56,0,$C$56,1)%)),"",(PRODUCT(1+OFFSET(Data_72_15!P$8,$A$56,0,$C$56,1)%)))</f>
        <v>60.474180950790718</v>
      </c>
      <c r="Q122" s="360">
        <f t="array" aca="1" ref="Q122" ca="1">IF(ISERROR(PRODUCT(1+OFFSET(Data_72_15!Q$8,$A$56,0,$C$56,1)%)),"",(PRODUCT(1+OFFSET(Data_72_15!Q$8,$A$56,0,$C$56,1)%)))</f>
        <v>88.361487038565002</v>
      </c>
      <c r="R122" s="360">
        <f t="array" aca="1" ref="R122" ca="1">IF(ISERROR(PRODUCT(1+OFFSET(Data_72_15!R$8,$A$56,0,$C$56,1)%)),"",(PRODUCT(1+OFFSET(Data_72_15!R$8,$A$56,0,$C$56,1)%)))</f>
        <v>26.21633358060242</v>
      </c>
      <c r="S122" s="360">
        <f t="array" aca="1" ref="S122" ca="1">IF(ISERROR(PRODUCT(1+OFFSET(Data_72_15!S$8,$A$56,0,$C$56,1)%)),"",(PRODUCT(1+OFFSET(Data_72_15!S$8,$A$56,0,$C$56,1)%)))</f>
        <v>27.138526640511159</v>
      </c>
      <c r="T122" s="360">
        <f t="array" aca="1" ref="T122" ca="1">IF(ISERROR(PRODUCT(1+OFFSET(Data_72_15!T$8,$A$56,0,$C$56,1)%)),"",(PRODUCT(1+OFFSET(Data_72_15!T$8,$A$56,0,$C$56,1)%)))</f>
        <v>20.494124437260599</v>
      </c>
      <c r="U122" s="360">
        <f t="array" aca="1" ref="U122" ca="1">IF(ISERROR(PRODUCT(1+OFFSET(Data_72_15!U$8,$A$56,0,$C$56,1)%)),"",(PRODUCT(1+OFFSET(Data_72_15!U$8,$A$56,0,$C$56,1)%)))</f>
        <v>21.316479720156934</v>
      </c>
      <c r="V122" s="360">
        <f t="array" aca="1" ref="V122" ca="1">IF(ISERROR(PRODUCT(1+OFFSET(Data_72_15!V$8,$A$56,0,$C$56,1)%)),"",(PRODUCT(1+OFFSET(Data_72_15!V$8,$A$56,0,$C$56,1)%)))</f>
        <v>8.2391344234905972</v>
      </c>
      <c r="W122" s="360">
        <f t="array" aca="1" ref="W122" ca="1">IF(ISERROR(PRODUCT(1+OFFSET(Data_72_15!W$8,$A$56,0,$C$56,1)%)),"",(PRODUCT(1+OFFSET(Data_72_15!W$8,$A$56,0,$C$56,1)%)))</f>
        <v>17.744735883658944</v>
      </c>
      <c r="X122" s="360">
        <f t="array" aca="1" ref="X122" ca="1">IF(ISERROR(PRODUCT(1+OFFSET(Data_72_15!X$8,$A$56,0,$C$56,1)%)),"",(PRODUCT(1+OFFSET(Data_72_15!X$8,$A$56,0,$C$56,1)%)))</f>
        <v>67.660779356666794</v>
      </c>
      <c r="Y122" s="360">
        <f t="array" aca="1" ref="Y122" ca="1">IF(ISERROR(PRODUCT(1+OFFSET(Data_72_15!Y$8,$A$56,0,$C$56,1)%)),"",(PRODUCT(1+OFFSET(Data_72_15!Y$8,$A$56,0,$C$56,1)%)))</f>
        <v>59.042628378063952</v>
      </c>
      <c r="Z122" s="360">
        <f t="array" aca="1" ref="Z122" ca="1">IF(ISERROR(PRODUCT(1+OFFSET(Data_72_15!Z$8,$A$56,0,$C$56,1)%)),"",(PRODUCT(1+OFFSET(Data_72_15!Z$8,$A$56,0,$C$56,1)%)))</f>
        <v>123.69419917705351</v>
      </c>
      <c r="AA122" s="360">
        <f t="array" aca="1" ref="AA122" ca="1">IF(ISERROR(PRODUCT(1+OFFSET(Data_72_15!AA$8,$A$56,0,$C$56,1)%)),"",(PRODUCT(1+OFFSET(Data_72_15!AA$8,$A$56,0,$C$56,1)%)))</f>
        <v>16.075756093158805</v>
      </c>
      <c r="AB122" s="360">
        <f t="array" aca="1" ref="AB122" ca="1">IF(ISERROR(PRODUCT(1+OFFSET(Data_72_15!AB$8,$A$56,0,$C$56,1)%)),"",(PRODUCT(1+OFFSET(Data_72_15!AB$8,$A$56,0,$C$56,1)%)))</f>
        <v>20.312631959924907</v>
      </c>
      <c r="AC122" s="360">
        <f t="array" aca="1" ref="AC122" ca="1">IF(ISERROR(PRODUCT(1+OFFSET(Data_72_15!AC$8,$A$56,0,$C$56,1)%)),"",(PRODUCT(1+OFFSET(Data_72_15!AC$8,$A$56,0,$C$56,1)%)))</f>
        <v>310.57690638208851</v>
      </c>
      <c r="AD122" s="360" t="str">
        <f t="array" aca="1" ref="AD122" ca="1">IF(ISERROR(PRODUCT(1+OFFSET(Data_72_15!AD$8,$A$56,0,$C$56,1)%)),"",(PRODUCT(1+OFFSET(Data_72_15!AD$8,$A$56,0,$C$56,1)%)))</f>
        <v/>
      </c>
      <c r="AE122" s="360" t="str">
        <f t="array" aca="1" ref="AE122" ca="1">IF(ISERROR(PRODUCT(1+OFFSET(Data_72_15!AE$8,$A$56,0,$C$56,1)%)),"",(PRODUCT(1+OFFSET(Data_72_15!AE$8,$A$56,0,$C$56,1)%)))</f>
        <v/>
      </c>
      <c r="AF122" s="360" t="str">
        <f t="array" aca="1" ref="AF122" ca="1">IF(ISERROR(PRODUCT(1+OFFSET(Data_72_15!AF$8,$A$56,0,$C$56,1)%)),"",(PRODUCT(1+OFFSET(Data_72_15!AF$8,$A$56,0,$C$56,1)%)))</f>
        <v/>
      </c>
      <c r="AG122" s="360" t="str">
        <f t="array" aca="1" ref="AG122" ca="1">IF(ISERROR(PRODUCT(1+OFFSET(Data_72_15!AG$8,$A$56,0,$C$56,1)%)),"",(PRODUCT(1+OFFSET(Data_72_15!AG$8,$A$56,0,$C$56,1)%)))</f>
        <v/>
      </c>
      <c r="AH122" s="360" t="str">
        <f t="array" aca="1" ref="AH122" ca="1">IF(ISERROR(PRODUCT(1+OFFSET(Data_72_15!AH$8,$A$56,0,$C$56,1)%)),"",(PRODUCT(1+OFFSET(Data_72_15!AH$8,$A$56,0,$C$56,1)%)))</f>
        <v/>
      </c>
      <c r="AI122" s="360" t="str">
        <f t="array" aca="1" ref="AI122" ca="1">IF(ISERROR(PRODUCT(1+OFFSET(Data_72_15!AI$8,$A$56,0,$C$56,1)%)),"",(PRODUCT(1+OFFSET(Data_72_15!AI$8,$A$56,0,$C$56,1)%)))</f>
        <v/>
      </c>
      <c r="AJ122" s="360" t="str">
        <f t="array" aca="1" ref="AJ122" ca="1">IF(ISERROR(PRODUCT(1+OFFSET(Data_72_15!AJ$8,$A$56,0,$C$56,1)%)),"",(PRODUCT(1+OFFSET(Data_72_15!AJ$8,$A$56,0,$C$56,1)%)))</f>
        <v/>
      </c>
      <c r="AK122" s="360" t="str">
        <f t="array" aca="1" ref="AK122" ca="1">IF(ISERROR(PRODUCT(1+OFFSET(Data_72_15!AK$8,$A$56,0,$C$56,1)%)),"",(PRODUCT(1+OFFSET(Data_72_15!AK$8,$A$56,0,$C$56,1)%)))</f>
        <v/>
      </c>
      <c r="AL122" s="510" t="str">
        <f t="array" aca="1" ref="AL122" ca="1">IF(ISERROR(PRODUCT(1+OFFSET(Data_72_15!AL$8,$A$56,0,$C$56,1)%)),"",(PRODUCT(1+OFFSET(Data_72_15!AL$8,$A$56,0,$C$56,1)%)))</f>
        <v/>
      </c>
      <c r="AM122" s="47"/>
      <c r="BA122"/>
    </row>
    <row r="123" spans="1:59">
      <c r="A123" s="521" t="s">
        <v>461</v>
      </c>
      <c r="B123" s="514">
        <f t="array" aca="1" ref="B123" ca="1">IF(ISERROR(PRODUCT(1+OFFSET(Data_72_15!B$8,Compare_Portfolios!$C$91,0,Compare_Portfolios!$C$90,1)%)),"",(PRODUCT(1+OFFSET(Data_72_15!B$8,Compare_Portfolios!$C$91,0,Compare_Portfolios!$C$90,1)%)))</f>
        <v>70.799537962556016</v>
      </c>
      <c r="C123" s="361">
        <f t="array" aca="1" ref="C123" ca="1">IF(ISERROR(PRODUCT(1+OFFSET(Data_72_15!C$8,Compare_Portfolios!$C$91,0,Compare_Portfolios!$C$90,1)%)),"",(PRODUCT(1+OFFSET(Data_72_15!C$8,Compare_Portfolios!$C$91,0,Compare_Portfolios!$C$90,1)%)))</f>
        <v>117.51838555468198</v>
      </c>
      <c r="D123" s="361">
        <f t="array" aca="1" ref="D123" ca="1">IF(ISERROR(PRODUCT(1+OFFSET(Data_72_15!D$8,Compare_Portfolios!$C$91,0,Compare_Portfolios!$C$90,1)%)),"",(PRODUCT(1+OFFSET(Data_72_15!D$8,Compare_Portfolios!$C$91,0,Compare_Portfolios!$C$90,1)%)))</f>
        <v>68.308919963834001</v>
      </c>
      <c r="E123" s="361">
        <f t="array" aca="1" ref="E123" ca="1">IF(ISERROR(PRODUCT(1+OFFSET(Data_72_15!E$8,Compare_Portfolios!$C$91,0,Compare_Portfolios!$C$90,1)%)),"",(PRODUCT(1+OFFSET(Data_72_15!E$8,Compare_Portfolios!$C$91,0,Compare_Portfolios!$C$90,1)%)))</f>
        <v>54.151915226191406</v>
      </c>
      <c r="F123" s="361">
        <f t="array" aca="1" ref="F123" ca="1">IF(ISERROR(PRODUCT(1+OFFSET(Data_72_15!F$8,Compare_Portfolios!$C$91,0,Compare_Portfolios!$C$90,1)%)),"",(PRODUCT(1+OFFSET(Data_72_15!F$8,Compare_Portfolios!$C$91,0,Compare_Portfolios!$C$90,1)%)))</f>
        <v>157.12499543548336</v>
      </c>
      <c r="G123" s="361">
        <f t="array" aca="1" ref="G123" ca="1">IF(ISERROR(PRODUCT(1+OFFSET(Data_72_15!G$8,Compare_Portfolios!$C$91,0,Compare_Portfolios!$C$90,1)%)),"",(PRODUCT(1+OFFSET(Data_72_15!G$8,Compare_Portfolios!$C$91,0,Compare_Portfolios!$C$90,1)%)))</f>
        <v>222.54891608536738</v>
      </c>
      <c r="H123" s="361">
        <f t="array" aca="1" ref="H123" ca="1">IF(ISERROR(PRODUCT(1+OFFSET(Data_72_15!H$8,Compare_Portfolios!$C$91,0,Compare_Portfolios!$C$90,1)%)),"",(PRODUCT(1+OFFSET(Data_72_15!H$8,Compare_Portfolios!$C$91,0,Compare_Portfolios!$C$90,1)%)))</f>
        <v>111.5438145320384</v>
      </c>
      <c r="I123" s="361">
        <f t="array" aca="1" ref="I123" ca="1">IF(ISERROR(PRODUCT(1+OFFSET(Data_72_15!I$8,Compare_Portfolios!$C$91,0,Compare_Portfolios!$C$90,1)%)),"",(PRODUCT(1+OFFSET(Data_72_15!I$8,Compare_Portfolios!$C$91,0,Compare_Portfolios!$C$90,1)%)))</f>
        <v>48.873955044291485</v>
      </c>
      <c r="J123" s="361">
        <f t="array" aca="1" ref="J123" ca="1">IF(ISERROR(PRODUCT(1+OFFSET(Data_72_15!J$8,Compare_Portfolios!$C$91,0,Compare_Portfolios!$C$90,1)%)),"",(PRODUCT(1+OFFSET(Data_72_15!J$8,Compare_Portfolios!$C$91,0,Compare_Portfolios!$C$90,1)%)))</f>
        <v>107.45332423842136</v>
      </c>
      <c r="K123" s="361">
        <f t="array" aca="1" ref="K123" ca="1">IF(ISERROR(PRODUCT(1+OFFSET(Data_72_15!K$8,Compare_Portfolios!$C$91,0,Compare_Portfolios!$C$90,1)%)),"",(PRODUCT(1+OFFSET(Data_72_15!K$8,Compare_Portfolios!$C$91,0,Compare_Portfolios!$C$90,1)%)))</f>
        <v>134.21018082896435</v>
      </c>
      <c r="L123" s="361">
        <f t="array" aca="1" ref="L123" ca="1">IF(ISERROR(PRODUCT(1+OFFSET(Data_72_15!L$8,Compare_Portfolios!$C$91,0,Compare_Portfolios!$C$90,1)%)),"",(PRODUCT(1+OFFSET(Data_72_15!L$8,Compare_Portfolios!$C$91,0,Compare_Portfolios!$C$90,1)%)))</f>
        <v>44.932313914845132</v>
      </c>
      <c r="M123" s="361">
        <f t="array" aca="1" ref="M123" ca="1">IF(ISERROR(PRODUCT(1+OFFSET(Data_72_15!M$8,Compare_Portfolios!$C$91,0,Compare_Portfolios!$C$90,1)%)),"",(PRODUCT(1+OFFSET(Data_72_15!M$8,Compare_Portfolios!$C$91,0,Compare_Portfolios!$C$90,1)%)))</f>
        <v>406.84893107213355</v>
      </c>
      <c r="N123" s="361">
        <f t="array" aca="1" ref="N123" ca="1">IF(ISERROR(PRODUCT(1+OFFSET(Data_72_15!N$8,Compare_Portfolios!$C$91,0,Compare_Portfolios!$C$90,1)%)),"",(PRODUCT(1+OFFSET(Data_72_15!N$8,Compare_Portfolios!$C$91,0,Compare_Portfolios!$C$90,1)%)))</f>
        <v>60.490720050066123</v>
      </c>
      <c r="O123" s="361">
        <f t="array" aca="1" ref="O123" ca="1">IF(ISERROR(PRODUCT(1+OFFSET(Data_72_15!O$8,Compare_Portfolios!$C$91,0,Compare_Portfolios!$C$90,1)%)),"",(PRODUCT(1+OFFSET(Data_72_15!O$8,Compare_Portfolios!$C$91,0,Compare_Portfolios!$C$90,1)%)))</f>
        <v>40.888769969442947</v>
      </c>
      <c r="P123" s="361">
        <f t="array" aca="1" ref="P123" ca="1">IF(ISERROR(PRODUCT(1+OFFSET(Data_72_15!P$8,Compare_Portfolios!$C$91,0,Compare_Portfolios!$C$90,1)%)),"",(PRODUCT(1+OFFSET(Data_72_15!P$8,Compare_Portfolios!$C$91,0,Compare_Portfolios!$C$90,1)%)))</f>
        <v>60.474180950790718</v>
      </c>
      <c r="Q123" s="361">
        <f t="array" aca="1" ref="Q123" ca="1">IF(ISERROR(PRODUCT(1+OFFSET(Data_72_15!Q$8,Compare_Portfolios!$C$91,0,Compare_Portfolios!$C$90,1)%)),"",(PRODUCT(1+OFFSET(Data_72_15!Q$8,Compare_Portfolios!$C$91,0,Compare_Portfolios!$C$90,1)%)))</f>
        <v>88.361487038565002</v>
      </c>
      <c r="R123" s="361">
        <f t="array" aca="1" ref="R123" ca="1">IF(ISERROR(PRODUCT(1+OFFSET(Data_72_15!R$8,Compare_Portfolios!$C$91,0,Compare_Portfolios!$C$90,1)%)),"",(PRODUCT(1+OFFSET(Data_72_15!R$8,Compare_Portfolios!$C$91,0,Compare_Portfolios!$C$90,1)%)))</f>
        <v>26.21633358060242</v>
      </c>
      <c r="S123" s="361">
        <f t="array" aca="1" ref="S123" ca="1">IF(ISERROR(PRODUCT(1+OFFSET(Data_72_15!S$8,Compare_Portfolios!$C$91,0,Compare_Portfolios!$C$90,1)%)),"",(PRODUCT(1+OFFSET(Data_72_15!S$8,Compare_Portfolios!$C$91,0,Compare_Portfolios!$C$90,1)%)))</f>
        <v>27.138526640511159</v>
      </c>
      <c r="T123" s="361">
        <f t="array" aca="1" ref="T123" ca="1">IF(ISERROR(PRODUCT(1+OFFSET(Data_72_15!T$8,Compare_Portfolios!$C$91,0,Compare_Portfolios!$C$90,1)%)),"",(PRODUCT(1+OFFSET(Data_72_15!T$8,Compare_Portfolios!$C$91,0,Compare_Portfolios!$C$90,1)%)))</f>
        <v>20.494124437260599</v>
      </c>
      <c r="U123" s="361">
        <f t="array" aca="1" ref="U123" ca="1">IF(ISERROR(PRODUCT(1+OFFSET(Data_72_15!U$8,Compare_Portfolios!$C$91,0,Compare_Portfolios!$C$90,1)%)),"",(PRODUCT(1+OFFSET(Data_72_15!U$8,Compare_Portfolios!$C$91,0,Compare_Portfolios!$C$90,1)%)))</f>
        <v>21.316479720156934</v>
      </c>
      <c r="V123" s="361">
        <f t="array" aca="1" ref="V123" ca="1">IF(ISERROR(PRODUCT(1+OFFSET(Data_72_15!V$8,Compare_Portfolios!$C$91,0,Compare_Portfolios!$C$90,1)%)),"",(PRODUCT(1+OFFSET(Data_72_15!V$8,Compare_Portfolios!$C$91,0,Compare_Portfolios!$C$90,1)%)))</f>
        <v>8.2391344234905972</v>
      </c>
      <c r="W123" s="361">
        <f t="array" aca="1" ref="W123" ca="1">IF(ISERROR(PRODUCT(1+OFFSET(Data_72_15!W$8,Compare_Portfolios!$C$91,0,Compare_Portfolios!$C$90,1)%)),"",(PRODUCT(1+OFFSET(Data_72_15!W$8,Compare_Portfolios!$C$91,0,Compare_Portfolios!$C$90,1)%)))</f>
        <v>17.744735883658944</v>
      </c>
      <c r="X123" s="361">
        <f t="array" aca="1" ref="X123" ca="1">IF(ISERROR(PRODUCT(1+OFFSET(Data_72_15!X$8,Compare_Portfolios!$C$91,0,Compare_Portfolios!$C$90,1)%)),"",(PRODUCT(1+OFFSET(Data_72_15!X$8,Compare_Portfolios!$C$91,0,Compare_Portfolios!$C$90,1)%)))</f>
        <v>67.660779356666794</v>
      </c>
      <c r="Y123" s="361">
        <f t="array" aca="1" ref="Y123" ca="1">IF(ISERROR(PRODUCT(1+OFFSET(Data_72_15!Y$8,Compare_Portfolios!$C$91,0,Compare_Portfolios!$C$90,1)%)),"",(PRODUCT(1+OFFSET(Data_72_15!Y$8,Compare_Portfolios!$C$91,0,Compare_Portfolios!$C$90,1)%)))</f>
        <v>59.042628378063952</v>
      </c>
      <c r="Z123" s="361">
        <f t="array" aca="1" ref="Z123" ca="1">IF(ISERROR(PRODUCT(1+OFFSET(Data_72_15!Z$8,Compare_Portfolios!$C$91,0,Compare_Portfolios!$C$90,1)%)),"",(PRODUCT(1+OFFSET(Data_72_15!Z$8,Compare_Portfolios!$C$91,0,Compare_Portfolios!$C$90,1)%)))</f>
        <v>123.69419917705351</v>
      </c>
      <c r="AA123" s="361">
        <f t="array" aca="1" ref="AA123" ca="1">IF(ISERROR(PRODUCT(1+OFFSET(Data_72_15!AA$8,Compare_Portfolios!$C$91,0,Compare_Portfolios!$C$90,1)%)),"",(PRODUCT(1+OFFSET(Data_72_15!AA$8,Compare_Portfolios!$C$91,0,Compare_Portfolios!$C$90,1)%)))</f>
        <v>16.075756093158805</v>
      </c>
      <c r="AB123" s="361">
        <f t="array" aca="1" ref="AB123" ca="1">IF(ISERROR(PRODUCT(1+OFFSET(Data_72_15!AB$8,Compare_Portfolios!$C$91,0,Compare_Portfolios!$C$90,1)%)),"",(PRODUCT(1+OFFSET(Data_72_15!AB$8,Compare_Portfolios!$C$91,0,Compare_Portfolios!$C$90,1)%)))</f>
        <v>20.312631959924907</v>
      </c>
      <c r="AC123" s="361">
        <f t="array" aca="1" ref="AC123" ca="1">IF(ISERROR(PRODUCT(1+OFFSET(Data_72_15!AC$8,Compare_Portfolios!$C$91,0,Compare_Portfolios!$C$90,1)%)),"",(PRODUCT(1+OFFSET(Data_72_15!AC$8,Compare_Portfolios!$C$91,0,Compare_Portfolios!$C$90,1)%)))</f>
        <v>310.57690638208851</v>
      </c>
      <c r="AD123" s="361" t="str">
        <f t="array" aca="1" ref="AD123" ca="1">IF(ISERROR(PRODUCT(1+OFFSET(Data_72_15!AD$8,Compare_Portfolios!$C$91,0,Compare_Portfolios!$C$90,1)%)),"",(PRODUCT(1+OFFSET(Data_72_15!AD$8,Compare_Portfolios!$C$91,0,Compare_Portfolios!$C$90,1)%)))</f>
        <v/>
      </c>
      <c r="AE123" s="361" t="str">
        <f t="array" aca="1" ref="AE123" ca="1">IF(ISERROR(PRODUCT(1+OFFSET(Data_72_15!AE$8,Compare_Portfolios!$C$91,0,Compare_Portfolios!$C$90,1)%)),"",(PRODUCT(1+OFFSET(Data_72_15!AE$8,Compare_Portfolios!$C$91,0,Compare_Portfolios!$C$90,1)%)))</f>
        <v/>
      </c>
      <c r="AF123" s="361" t="str">
        <f t="array" aca="1" ref="AF123" ca="1">IF(ISERROR(PRODUCT(1+OFFSET(Data_72_15!AF$8,Compare_Portfolios!$C$91,0,Compare_Portfolios!$C$90,1)%)),"",(PRODUCT(1+OFFSET(Data_72_15!AF$8,Compare_Portfolios!$C$91,0,Compare_Portfolios!$C$90,1)%)))</f>
        <v/>
      </c>
      <c r="AG123" s="361" t="str">
        <f t="array" aca="1" ref="AG123" ca="1">IF(ISERROR(PRODUCT(1+OFFSET(Data_72_15!AG$8,Compare_Portfolios!$C$91,0,Compare_Portfolios!$C$90,1)%)),"",(PRODUCT(1+OFFSET(Data_72_15!AG$8,Compare_Portfolios!$C$91,0,Compare_Portfolios!$C$90,1)%)))</f>
        <v/>
      </c>
      <c r="AH123" s="361" t="str">
        <f t="array" aca="1" ref="AH123" ca="1">IF(ISERROR(PRODUCT(1+OFFSET(Data_72_15!AH$8,Compare_Portfolios!$C$91,0,Compare_Portfolios!$C$90,1)%)),"",(PRODUCT(1+OFFSET(Data_72_15!AH$8,Compare_Portfolios!$C$91,0,Compare_Portfolios!$C$90,1)%)))</f>
        <v/>
      </c>
      <c r="AI123" s="361" t="str">
        <f t="array" aca="1" ref="AI123" ca="1">IF(ISERROR(PRODUCT(1+OFFSET(Data_72_15!AI$8,Compare_Portfolios!$C$91,0,Compare_Portfolios!$C$90,1)%)),"",(PRODUCT(1+OFFSET(Data_72_15!AI$8,Compare_Portfolios!$C$91,0,Compare_Portfolios!$C$90,1)%)))</f>
        <v/>
      </c>
      <c r="AJ123" s="361" t="str">
        <f t="array" aca="1" ref="AJ123" ca="1">IF(ISERROR(PRODUCT(1+OFFSET(Data_72_15!AJ$8,Compare_Portfolios!$C$91,0,Compare_Portfolios!$C$90,1)%)),"",(PRODUCT(1+OFFSET(Data_72_15!AJ$8,Compare_Portfolios!$C$91,0,Compare_Portfolios!$C$90,1)%)))</f>
        <v/>
      </c>
      <c r="AK123" s="361" t="str">
        <f t="array" aca="1" ref="AK123" ca="1">IF(ISERROR(PRODUCT(1+OFFSET(Data_72_15!AK$8,Compare_Portfolios!$C$91,0,Compare_Portfolios!$C$90,1)%)),"",(PRODUCT(1+OFFSET(Data_72_15!AK$8,Compare_Portfolios!$C$91,0,Compare_Portfolios!$C$90,1)%)))</f>
        <v/>
      </c>
      <c r="AL123" s="511" t="str">
        <f t="array" aca="1" ref="AL123" ca="1">IF(ISERROR(PRODUCT(1+OFFSET(Data_72_15!AL$8,Compare_Portfolios!$C$91,0,Compare_Portfolios!$C$90,1)%)),"",(PRODUCT(1+OFFSET(Data_72_15!AL$8,Compare_Portfolios!$C$91,0,Compare_Portfolios!$C$90,1)%)))</f>
        <v/>
      </c>
      <c r="AM123" s="47"/>
      <c r="BA123"/>
    </row>
    <row r="124" spans="1:59">
      <c r="A124" s="521" t="s">
        <v>462</v>
      </c>
      <c r="B124" s="514">
        <f t="array" aca="1" ref="B124" ca="1">IF(ISERROR(PRODUCT(1+OFFSET(Data_72_15!B$8,Compare_Portfolios!$D$91,0,Compare_Portfolios!$D$90,1)%)),"",(PRODUCT(1+OFFSET(Data_72_15!B$8,Compare_Portfolios!$D$91,0,Compare_Portfolios!$D$90,1)%)))</f>
        <v>70.799537962556016</v>
      </c>
      <c r="C124" s="361">
        <f t="array" aca="1" ref="C124" ca="1">IF(ISERROR(PRODUCT(1+OFFSET(Data_72_15!C$8,Compare_Portfolios!$D$91,0,Compare_Portfolios!$D$90,1)%)),"",(PRODUCT(1+OFFSET(Data_72_15!C$8,Compare_Portfolios!$D$91,0,Compare_Portfolios!$D$90,1)%)))</f>
        <v>117.51838555468198</v>
      </c>
      <c r="D124" s="361">
        <f t="array" aca="1" ref="D124" ca="1">IF(ISERROR(PRODUCT(1+OFFSET(Data_72_15!D$8,Compare_Portfolios!$D$91,0,Compare_Portfolios!$D$90,1)%)),"",(PRODUCT(1+OFFSET(Data_72_15!D$8,Compare_Portfolios!$D$91,0,Compare_Portfolios!$D$90,1)%)))</f>
        <v>68.308919963834001</v>
      </c>
      <c r="E124" s="361">
        <f t="array" aca="1" ref="E124" ca="1">IF(ISERROR(PRODUCT(1+OFFSET(Data_72_15!E$8,Compare_Portfolios!$D$91,0,Compare_Portfolios!$D$90,1)%)),"",(PRODUCT(1+OFFSET(Data_72_15!E$8,Compare_Portfolios!$D$91,0,Compare_Portfolios!$D$90,1)%)))</f>
        <v>54.151915226191406</v>
      </c>
      <c r="F124" s="361">
        <f t="array" aca="1" ref="F124" ca="1">IF(ISERROR(PRODUCT(1+OFFSET(Data_72_15!F$8,Compare_Portfolios!$D$91,0,Compare_Portfolios!$D$90,1)%)),"",(PRODUCT(1+OFFSET(Data_72_15!F$8,Compare_Portfolios!$D$91,0,Compare_Portfolios!$D$90,1)%)))</f>
        <v>157.12499543548336</v>
      </c>
      <c r="G124" s="361">
        <f t="array" aca="1" ref="G124" ca="1">IF(ISERROR(PRODUCT(1+OFFSET(Data_72_15!G$8,Compare_Portfolios!$D$91,0,Compare_Portfolios!$D$90,1)%)),"",(PRODUCT(1+OFFSET(Data_72_15!G$8,Compare_Portfolios!$D$91,0,Compare_Portfolios!$D$90,1)%)))</f>
        <v>222.54891608536738</v>
      </c>
      <c r="H124" s="361">
        <f t="array" aca="1" ref="H124" ca="1">IF(ISERROR(PRODUCT(1+OFFSET(Data_72_15!H$8,Compare_Portfolios!$D$91,0,Compare_Portfolios!$D$90,1)%)),"",(PRODUCT(1+OFFSET(Data_72_15!H$8,Compare_Portfolios!$D$91,0,Compare_Portfolios!$D$90,1)%)))</f>
        <v>111.5438145320384</v>
      </c>
      <c r="I124" s="361">
        <f t="array" aca="1" ref="I124" ca="1">IF(ISERROR(PRODUCT(1+OFFSET(Data_72_15!I$8,Compare_Portfolios!$D$91,0,Compare_Portfolios!$D$90,1)%)),"",(PRODUCT(1+OFFSET(Data_72_15!I$8,Compare_Portfolios!$D$91,0,Compare_Portfolios!$D$90,1)%)))</f>
        <v>48.873955044291485</v>
      </c>
      <c r="J124" s="361">
        <f t="array" aca="1" ref="J124" ca="1">IF(ISERROR(PRODUCT(1+OFFSET(Data_72_15!J$8,Compare_Portfolios!$D$91,0,Compare_Portfolios!$D$90,1)%)),"",(PRODUCT(1+OFFSET(Data_72_15!J$8,Compare_Portfolios!$D$91,0,Compare_Portfolios!$D$90,1)%)))</f>
        <v>107.45332423842136</v>
      </c>
      <c r="K124" s="361">
        <f t="array" aca="1" ref="K124" ca="1">IF(ISERROR(PRODUCT(1+OFFSET(Data_72_15!K$8,Compare_Portfolios!$D$91,0,Compare_Portfolios!$D$90,1)%)),"",(PRODUCT(1+OFFSET(Data_72_15!K$8,Compare_Portfolios!$D$91,0,Compare_Portfolios!$D$90,1)%)))</f>
        <v>134.21018082896435</v>
      </c>
      <c r="L124" s="361">
        <f t="array" aca="1" ref="L124" ca="1">IF(ISERROR(PRODUCT(1+OFFSET(Data_72_15!L$8,Compare_Portfolios!$D$91,0,Compare_Portfolios!$D$90,1)%)),"",(PRODUCT(1+OFFSET(Data_72_15!L$8,Compare_Portfolios!$D$91,0,Compare_Portfolios!$D$90,1)%)))</f>
        <v>44.932313914845132</v>
      </c>
      <c r="M124" s="361">
        <f t="array" aca="1" ref="M124" ca="1">IF(ISERROR(PRODUCT(1+OFFSET(Data_72_15!M$8,Compare_Portfolios!$D$91,0,Compare_Portfolios!$D$90,1)%)),"",(PRODUCT(1+OFFSET(Data_72_15!M$8,Compare_Portfolios!$D$91,0,Compare_Portfolios!$D$90,1)%)))</f>
        <v>406.84893107213355</v>
      </c>
      <c r="N124" s="361">
        <f t="array" aca="1" ref="N124" ca="1">IF(ISERROR(PRODUCT(1+OFFSET(Data_72_15!N$8,Compare_Portfolios!$D$91,0,Compare_Portfolios!$D$90,1)%)),"",(PRODUCT(1+OFFSET(Data_72_15!N$8,Compare_Portfolios!$D$91,0,Compare_Portfolios!$D$90,1)%)))</f>
        <v>60.490720050066123</v>
      </c>
      <c r="O124" s="361">
        <f t="array" aca="1" ref="O124" ca="1">IF(ISERROR(PRODUCT(1+OFFSET(Data_72_15!O$8,Compare_Portfolios!$D$91,0,Compare_Portfolios!$D$90,1)%)),"",(PRODUCT(1+OFFSET(Data_72_15!O$8,Compare_Portfolios!$D$91,0,Compare_Portfolios!$D$90,1)%)))</f>
        <v>40.888769969442947</v>
      </c>
      <c r="P124" s="361">
        <f t="array" aca="1" ref="P124" ca="1">IF(ISERROR(PRODUCT(1+OFFSET(Data_72_15!P$8,Compare_Portfolios!$D$91,0,Compare_Portfolios!$D$90,1)%)),"",(PRODUCT(1+OFFSET(Data_72_15!P$8,Compare_Portfolios!$D$91,0,Compare_Portfolios!$D$90,1)%)))</f>
        <v>60.474180950790718</v>
      </c>
      <c r="Q124" s="361">
        <f t="array" aca="1" ref="Q124" ca="1">IF(ISERROR(PRODUCT(1+OFFSET(Data_72_15!Q$8,Compare_Portfolios!$D$91,0,Compare_Portfolios!$D$90,1)%)),"",(PRODUCT(1+OFFSET(Data_72_15!Q$8,Compare_Portfolios!$D$91,0,Compare_Portfolios!$D$90,1)%)))</f>
        <v>88.361487038565002</v>
      </c>
      <c r="R124" s="361">
        <f t="array" aca="1" ref="R124" ca="1">IF(ISERROR(PRODUCT(1+OFFSET(Data_72_15!R$8,Compare_Portfolios!$D$91,0,Compare_Portfolios!$D$90,1)%)),"",(PRODUCT(1+OFFSET(Data_72_15!R$8,Compare_Portfolios!$D$91,0,Compare_Portfolios!$D$90,1)%)))</f>
        <v>26.21633358060242</v>
      </c>
      <c r="S124" s="361">
        <f t="array" aca="1" ref="S124" ca="1">IF(ISERROR(PRODUCT(1+OFFSET(Data_72_15!S$8,Compare_Portfolios!$D$91,0,Compare_Portfolios!$D$90,1)%)),"",(PRODUCT(1+OFFSET(Data_72_15!S$8,Compare_Portfolios!$D$91,0,Compare_Portfolios!$D$90,1)%)))</f>
        <v>27.138526640511159</v>
      </c>
      <c r="T124" s="361">
        <f t="array" aca="1" ref="T124" ca="1">IF(ISERROR(PRODUCT(1+OFFSET(Data_72_15!T$8,Compare_Portfolios!$D$91,0,Compare_Portfolios!$D$90,1)%)),"",(PRODUCT(1+OFFSET(Data_72_15!T$8,Compare_Portfolios!$D$91,0,Compare_Portfolios!$D$90,1)%)))</f>
        <v>20.494124437260599</v>
      </c>
      <c r="U124" s="361">
        <f t="array" aca="1" ref="U124" ca="1">IF(ISERROR(PRODUCT(1+OFFSET(Data_72_15!U$8,Compare_Portfolios!$D$91,0,Compare_Portfolios!$D$90,1)%)),"",(PRODUCT(1+OFFSET(Data_72_15!U$8,Compare_Portfolios!$D$91,0,Compare_Portfolios!$D$90,1)%)))</f>
        <v>21.316479720156934</v>
      </c>
      <c r="V124" s="361">
        <f t="array" aca="1" ref="V124" ca="1">IF(ISERROR(PRODUCT(1+OFFSET(Data_72_15!V$8,Compare_Portfolios!$D$91,0,Compare_Portfolios!$D$90,1)%)),"",(PRODUCT(1+OFFSET(Data_72_15!V$8,Compare_Portfolios!$D$91,0,Compare_Portfolios!$D$90,1)%)))</f>
        <v>8.2391344234905972</v>
      </c>
      <c r="W124" s="361">
        <f t="array" aca="1" ref="W124" ca="1">IF(ISERROR(PRODUCT(1+OFFSET(Data_72_15!W$8,Compare_Portfolios!$D$91,0,Compare_Portfolios!$D$90,1)%)),"",(PRODUCT(1+OFFSET(Data_72_15!W$8,Compare_Portfolios!$D$91,0,Compare_Portfolios!$D$90,1)%)))</f>
        <v>17.744735883658944</v>
      </c>
      <c r="X124" s="361">
        <f t="array" aca="1" ref="X124" ca="1">IF(ISERROR(PRODUCT(1+OFFSET(Data_72_15!X$8,Compare_Portfolios!$D$91,0,Compare_Portfolios!$D$90,1)%)),"",(PRODUCT(1+OFFSET(Data_72_15!X$8,Compare_Portfolios!$D$91,0,Compare_Portfolios!$D$90,1)%)))</f>
        <v>67.660779356666794</v>
      </c>
      <c r="Y124" s="361">
        <f t="array" aca="1" ref="Y124" ca="1">IF(ISERROR(PRODUCT(1+OFFSET(Data_72_15!Y$8,Compare_Portfolios!$D$91,0,Compare_Portfolios!$D$90,1)%)),"",(PRODUCT(1+OFFSET(Data_72_15!Y$8,Compare_Portfolios!$D$91,0,Compare_Portfolios!$D$90,1)%)))</f>
        <v>59.042628378063952</v>
      </c>
      <c r="Z124" s="361">
        <f t="array" aca="1" ref="Z124" ca="1">IF(ISERROR(PRODUCT(1+OFFSET(Data_72_15!Z$8,Compare_Portfolios!$D$91,0,Compare_Portfolios!$D$90,1)%)),"",(PRODUCT(1+OFFSET(Data_72_15!Z$8,Compare_Portfolios!$D$91,0,Compare_Portfolios!$D$90,1)%)))</f>
        <v>123.69419917705351</v>
      </c>
      <c r="AA124" s="361">
        <f t="array" aca="1" ref="AA124" ca="1">IF(ISERROR(PRODUCT(1+OFFSET(Data_72_15!AA$8,Compare_Portfolios!$D$91,0,Compare_Portfolios!$D$90,1)%)),"",(PRODUCT(1+OFFSET(Data_72_15!AA$8,Compare_Portfolios!$D$91,0,Compare_Portfolios!$D$90,1)%)))</f>
        <v>16.075756093158805</v>
      </c>
      <c r="AB124" s="361">
        <f t="array" aca="1" ref="AB124" ca="1">IF(ISERROR(PRODUCT(1+OFFSET(Data_72_15!AB$8,Compare_Portfolios!$D$91,0,Compare_Portfolios!$D$90,1)%)),"",(PRODUCT(1+OFFSET(Data_72_15!AB$8,Compare_Portfolios!$D$91,0,Compare_Portfolios!$D$90,1)%)))</f>
        <v>20.312631959924907</v>
      </c>
      <c r="AC124" s="361">
        <f t="array" aca="1" ref="AC124" ca="1">IF(ISERROR(PRODUCT(1+OFFSET(Data_72_15!AC$8,Compare_Portfolios!$D$91,0,Compare_Portfolios!$D$90,1)%)),"",(PRODUCT(1+OFFSET(Data_72_15!AC$8,Compare_Portfolios!$D$91,0,Compare_Portfolios!$D$90,1)%)))</f>
        <v>310.57690638208851</v>
      </c>
      <c r="AD124" s="361" t="str">
        <f t="array" aca="1" ref="AD124" ca="1">IF(ISERROR(PRODUCT(1+OFFSET(Data_72_15!AD$8,Compare_Portfolios!$D$91,0,Compare_Portfolios!$D$90,1)%)),"",(PRODUCT(1+OFFSET(Data_72_15!AD$8,Compare_Portfolios!$D$91,0,Compare_Portfolios!$D$90,1)%)))</f>
        <v/>
      </c>
      <c r="AE124" s="361" t="str">
        <f t="array" aca="1" ref="AE124" ca="1">IF(ISERROR(PRODUCT(1+OFFSET(Data_72_15!AE$8,Compare_Portfolios!$D$91,0,Compare_Portfolios!$D$90,1)%)),"",(PRODUCT(1+OFFSET(Data_72_15!AE$8,Compare_Portfolios!$D$91,0,Compare_Portfolios!$D$90,1)%)))</f>
        <v/>
      </c>
      <c r="AF124" s="361" t="str">
        <f t="array" aca="1" ref="AF124" ca="1">IF(ISERROR(PRODUCT(1+OFFSET(Data_72_15!AF$8,Compare_Portfolios!$D$91,0,Compare_Portfolios!$D$90,1)%)),"",(PRODUCT(1+OFFSET(Data_72_15!AF$8,Compare_Portfolios!$D$91,0,Compare_Portfolios!$D$90,1)%)))</f>
        <v/>
      </c>
      <c r="AG124" s="361" t="str">
        <f t="array" aca="1" ref="AG124" ca="1">IF(ISERROR(PRODUCT(1+OFFSET(Data_72_15!AG$8,Compare_Portfolios!$D$91,0,Compare_Portfolios!$D$90,1)%)),"",(PRODUCT(1+OFFSET(Data_72_15!AG$8,Compare_Portfolios!$D$91,0,Compare_Portfolios!$D$90,1)%)))</f>
        <v/>
      </c>
      <c r="AH124" s="361" t="str">
        <f t="array" aca="1" ref="AH124" ca="1">IF(ISERROR(PRODUCT(1+OFFSET(Data_72_15!AH$8,Compare_Portfolios!$D$91,0,Compare_Portfolios!$D$90,1)%)),"",(PRODUCT(1+OFFSET(Data_72_15!AH$8,Compare_Portfolios!$D$91,0,Compare_Portfolios!$D$90,1)%)))</f>
        <v/>
      </c>
      <c r="AI124" s="361" t="str">
        <f t="array" aca="1" ref="AI124" ca="1">IF(ISERROR(PRODUCT(1+OFFSET(Data_72_15!AI$8,Compare_Portfolios!$D$91,0,Compare_Portfolios!$D$90,1)%)),"",(PRODUCT(1+OFFSET(Data_72_15!AI$8,Compare_Portfolios!$D$91,0,Compare_Portfolios!$D$90,1)%)))</f>
        <v/>
      </c>
      <c r="AJ124" s="361" t="str">
        <f t="array" aca="1" ref="AJ124" ca="1">IF(ISERROR(PRODUCT(1+OFFSET(Data_72_15!AJ$8,Compare_Portfolios!$D$91,0,Compare_Portfolios!$D$90,1)%)),"",(PRODUCT(1+OFFSET(Data_72_15!AJ$8,Compare_Portfolios!$D$91,0,Compare_Portfolios!$D$90,1)%)))</f>
        <v/>
      </c>
      <c r="AK124" s="361" t="str">
        <f t="array" aca="1" ref="AK124" ca="1">IF(ISERROR(PRODUCT(1+OFFSET(Data_72_15!AK$8,Compare_Portfolios!$D$91,0,Compare_Portfolios!$D$90,1)%)),"",(PRODUCT(1+OFFSET(Data_72_15!AK$8,Compare_Portfolios!$D$91,0,Compare_Portfolios!$D$90,1)%)))</f>
        <v/>
      </c>
      <c r="AL124" s="511" t="str">
        <f t="array" aca="1" ref="AL124" ca="1">IF(ISERROR(PRODUCT(1+OFFSET(Data_72_15!AL$8,Compare_Portfolios!$D$91,0,Compare_Portfolios!$D$90,1)%)),"",(PRODUCT(1+OFFSET(Data_72_15!AL$8,Compare_Portfolios!$D$91,0,Compare_Portfolios!$D$90,1)%)))</f>
        <v/>
      </c>
      <c r="AM124" s="47"/>
      <c r="BA124"/>
    </row>
    <row r="125" spans="1:59">
      <c r="A125" s="521" t="s">
        <v>463</v>
      </c>
      <c r="B125" s="514">
        <f t="array" aca="1" ref="B125" ca="1">IF(ISERROR(PRODUCT(1+OFFSET(Data_72_15!B$8,Compare_Portfolios!$E$91,0,Compare_Portfolios!$E$90,1)%)),"",(PRODUCT(1+OFFSET(Data_72_15!B$8,Compare_Portfolios!$E$91,0,Compare_Portfolios!$E$90,1)%)))</f>
        <v>70.799537962556016</v>
      </c>
      <c r="C125" s="361">
        <f t="array" aca="1" ref="C125" ca="1">IF(ISERROR(PRODUCT(1+OFFSET(Data_72_15!C$8,Compare_Portfolios!$E$91,0,Compare_Portfolios!$E$90,1)%)),"",(PRODUCT(1+OFFSET(Data_72_15!C$8,Compare_Portfolios!$E$91,0,Compare_Portfolios!$E$90,1)%)))</f>
        <v>117.51838555468198</v>
      </c>
      <c r="D125" s="361">
        <f t="array" aca="1" ref="D125" ca="1">IF(ISERROR(PRODUCT(1+OFFSET(Data_72_15!D$8,Compare_Portfolios!$E$91,0,Compare_Portfolios!$E$90,1)%)),"",(PRODUCT(1+OFFSET(Data_72_15!D$8,Compare_Portfolios!$E$91,0,Compare_Portfolios!$E$90,1)%)))</f>
        <v>68.308919963834001</v>
      </c>
      <c r="E125" s="361">
        <f t="array" aca="1" ref="E125" ca="1">IF(ISERROR(PRODUCT(1+OFFSET(Data_72_15!E$8,Compare_Portfolios!$E$91,0,Compare_Portfolios!$E$90,1)%)),"",(PRODUCT(1+OFFSET(Data_72_15!E$8,Compare_Portfolios!$E$91,0,Compare_Portfolios!$E$90,1)%)))</f>
        <v>54.151915226191406</v>
      </c>
      <c r="F125" s="361">
        <f t="array" aca="1" ref="F125" ca="1">IF(ISERROR(PRODUCT(1+OFFSET(Data_72_15!F$8,Compare_Portfolios!$E$91,0,Compare_Portfolios!$E$90,1)%)),"",(PRODUCT(1+OFFSET(Data_72_15!F$8,Compare_Portfolios!$E$91,0,Compare_Portfolios!$E$90,1)%)))</f>
        <v>157.12499543548336</v>
      </c>
      <c r="G125" s="361">
        <f t="array" aca="1" ref="G125" ca="1">IF(ISERROR(PRODUCT(1+OFFSET(Data_72_15!G$8,Compare_Portfolios!$E$91,0,Compare_Portfolios!$E$90,1)%)),"",(PRODUCT(1+OFFSET(Data_72_15!G$8,Compare_Portfolios!$E$91,0,Compare_Portfolios!$E$90,1)%)))</f>
        <v>222.54891608536738</v>
      </c>
      <c r="H125" s="361">
        <f t="array" aca="1" ref="H125" ca="1">IF(ISERROR(PRODUCT(1+OFFSET(Data_72_15!H$8,Compare_Portfolios!$E$91,0,Compare_Portfolios!$E$90,1)%)),"",(PRODUCT(1+OFFSET(Data_72_15!H$8,Compare_Portfolios!$E$91,0,Compare_Portfolios!$E$90,1)%)))</f>
        <v>111.5438145320384</v>
      </c>
      <c r="I125" s="361">
        <f t="array" aca="1" ref="I125" ca="1">IF(ISERROR(PRODUCT(1+OFFSET(Data_72_15!I$8,Compare_Portfolios!$E$91,0,Compare_Portfolios!$E$90,1)%)),"",(PRODUCT(1+OFFSET(Data_72_15!I$8,Compare_Portfolios!$E$91,0,Compare_Portfolios!$E$90,1)%)))</f>
        <v>48.873955044291485</v>
      </c>
      <c r="J125" s="361">
        <f t="array" aca="1" ref="J125" ca="1">IF(ISERROR(PRODUCT(1+OFFSET(Data_72_15!J$8,Compare_Portfolios!$E$91,0,Compare_Portfolios!$E$90,1)%)),"",(PRODUCT(1+OFFSET(Data_72_15!J$8,Compare_Portfolios!$E$91,0,Compare_Portfolios!$E$90,1)%)))</f>
        <v>107.45332423842136</v>
      </c>
      <c r="K125" s="361">
        <f t="array" aca="1" ref="K125" ca="1">IF(ISERROR(PRODUCT(1+OFFSET(Data_72_15!K$8,Compare_Portfolios!$E$91,0,Compare_Portfolios!$E$90,1)%)),"",(PRODUCT(1+OFFSET(Data_72_15!K$8,Compare_Portfolios!$E$91,0,Compare_Portfolios!$E$90,1)%)))</f>
        <v>134.21018082896435</v>
      </c>
      <c r="L125" s="361">
        <f t="array" aca="1" ref="L125" ca="1">IF(ISERROR(PRODUCT(1+OFFSET(Data_72_15!L$8,Compare_Portfolios!$E$91,0,Compare_Portfolios!$E$90,1)%)),"",(PRODUCT(1+OFFSET(Data_72_15!L$8,Compare_Portfolios!$E$91,0,Compare_Portfolios!$E$90,1)%)))</f>
        <v>44.932313914845132</v>
      </c>
      <c r="M125" s="361">
        <f t="array" aca="1" ref="M125" ca="1">IF(ISERROR(PRODUCT(1+OFFSET(Data_72_15!M$8,Compare_Portfolios!$E$91,0,Compare_Portfolios!$E$90,1)%)),"",(PRODUCT(1+OFFSET(Data_72_15!M$8,Compare_Portfolios!$E$91,0,Compare_Portfolios!$E$90,1)%)))</f>
        <v>406.84893107213355</v>
      </c>
      <c r="N125" s="361">
        <f t="array" aca="1" ref="N125" ca="1">IF(ISERROR(PRODUCT(1+OFFSET(Data_72_15!N$8,Compare_Portfolios!$E$91,0,Compare_Portfolios!$E$90,1)%)),"",(PRODUCT(1+OFFSET(Data_72_15!N$8,Compare_Portfolios!$E$91,0,Compare_Portfolios!$E$90,1)%)))</f>
        <v>60.490720050066123</v>
      </c>
      <c r="O125" s="361">
        <f t="array" aca="1" ref="O125" ca="1">IF(ISERROR(PRODUCT(1+OFFSET(Data_72_15!O$8,Compare_Portfolios!$E$91,0,Compare_Portfolios!$E$90,1)%)),"",(PRODUCT(1+OFFSET(Data_72_15!O$8,Compare_Portfolios!$E$91,0,Compare_Portfolios!$E$90,1)%)))</f>
        <v>40.888769969442947</v>
      </c>
      <c r="P125" s="361">
        <f t="array" aca="1" ref="P125" ca="1">IF(ISERROR(PRODUCT(1+OFFSET(Data_72_15!P$8,Compare_Portfolios!$E$91,0,Compare_Portfolios!$E$90,1)%)),"",(PRODUCT(1+OFFSET(Data_72_15!P$8,Compare_Portfolios!$E$91,0,Compare_Portfolios!$E$90,1)%)))</f>
        <v>60.474180950790718</v>
      </c>
      <c r="Q125" s="361">
        <f t="array" aca="1" ref="Q125" ca="1">IF(ISERROR(PRODUCT(1+OFFSET(Data_72_15!Q$8,Compare_Portfolios!$E$91,0,Compare_Portfolios!$E$90,1)%)),"",(PRODUCT(1+OFFSET(Data_72_15!Q$8,Compare_Portfolios!$E$91,0,Compare_Portfolios!$E$90,1)%)))</f>
        <v>88.361487038565002</v>
      </c>
      <c r="R125" s="361">
        <f t="array" aca="1" ref="R125" ca="1">IF(ISERROR(PRODUCT(1+OFFSET(Data_72_15!R$8,Compare_Portfolios!$E$91,0,Compare_Portfolios!$E$90,1)%)),"",(PRODUCT(1+OFFSET(Data_72_15!R$8,Compare_Portfolios!$E$91,0,Compare_Portfolios!$E$90,1)%)))</f>
        <v>26.21633358060242</v>
      </c>
      <c r="S125" s="361">
        <f t="array" aca="1" ref="S125" ca="1">IF(ISERROR(PRODUCT(1+OFFSET(Data_72_15!S$8,Compare_Portfolios!$E$91,0,Compare_Portfolios!$E$90,1)%)),"",(PRODUCT(1+OFFSET(Data_72_15!S$8,Compare_Portfolios!$E$91,0,Compare_Portfolios!$E$90,1)%)))</f>
        <v>27.138526640511159</v>
      </c>
      <c r="T125" s="361">
        <f t="array" aca="1" ref="T125" ca="1">IF(ISERROR(PRODUCT(1+OFFSET(Data_72_15!T$8,Compare_Portfolios!$E$91,0,Compare_Portfolios!$E$90,1)%)),"",(PRODUCT(1+OFFSET(Data_72_15!T$8,Compare_Portfolios!$E$91,0,Compare_Portfolios!$E$90,1)%)))</f>
        <v>20.494124437260599</v>
      </c>
      <c r="U125" s="361">
        <f t="array" aca="1" ref="U125" ca="1">IF(ISERROR(PRODUCT(1+OFFSET(Data_72_15!U$8,Compare_Portfolios!$E$91,0,Compare_Portfolios!$E$90,1)%)),"",(PRODUCT(1+OFFSET(Data_72_15!U$8,Compare_Portfolios!$E$91,0,Compare_Portfolios!$E$90,1)%)))</f>
        <v>21.316479720156934</v>
      </c>
      <c r="V125" s="361">
        <f t="array" aca="1" ref="V125" ca="1">IF(ISERROR(PRODUCT(1+OFFSET(Data_72_15!V$8,Compare_Portfolios!$E$91,0,Compare_Portfolios!$E$90,1)%)),"",(PRODUCT(1+OFFSET(Data_72_15!V$8,Compare_Portfolios!$E$91,0,Compare_Portfolios!$E$90,1)%)))</f>
        <v>8.2391344234905972</v>
      </c>
      <c r="W125" s="361">
        <f t="array" aca="1" ref="W125" ca="1">IF(ISERROR(PRODUCT(1+OFFSET(Data_72_15!W$8,Compare_Portfolios!$E$91,0,Compare_Portfolios!$E$90,1)%)),"",(PRODUCT(1+OFFSET(Data_72_15!W$8,Compare_Portfolios!$E$91,0,Compare_Portfolios!$E$90,1)%)))</f>
        <v>17.744735883658944</v>
      </c>
      <c r="X125" s="361">
        <f t="array" aca="1" ref="X125" ca="1">IF(ISERROR(PRODUCT(1+OFFSET(Data_72_15!X$8,Compare_Portfolios!$E$91,0,Compare_Portfolios!$E$90,1)%)),"",(PRODUCT(1+OFFSET(Data_72_15!X$8,Compare_Portfolios!$E$91,0,Compare_Portfolios!$E$90,1)%)))</f>
        <v>67.660779356666794</v>
      </c>
      <c r="Y125" s="361">
        <f t="array" aca="1" ref="Y125" ca="1">IF(ISERROR(PRODUCT(1+OFFSET(Data_72_15!Y$8,Compare_Portfolios!$E$91,0,Compare_Portfolios!$E$90,1)%)),"",(PRODUCT(1+OFFSET(Data_72_15!Y$8,Compare_Portfolios!$E$91,0,Compare_Portfolios!$E$90,1)%)))</f>
        <v>59.042628378063952</v>
      </c>
      <c r="Z125" s="361">
        <f t="array" aca="1" ref="Z125" ca="1">IF(ISERROR(PRODUCT(1+OFFSET(Data_72_15!Z$8,Compare_Portfolios!$E$91,0,Compare_Portfolios!$E$90,1)%)),"",(PRODUCT(1+OFFSET(Data_72_15!Z$8,Compare_Portfolios!$E$91,0,Compare_Portfolios!$E$90,1)%)))</f>
        <v>123.69419917705351</v>
      </c>
      <c r="AA125" s="361">
        <f t="array" aca="1" ref="AA125" ca="1">IF(ISERROR(PRODUCT(1+OFFSET(Data_72_15!AA$8,Compare_Portfolios!$E$91,0,Compare_Portfolios!$E$90,1)%)),"",(PRODUCT(1+OFFSET(Data_72_15!AA$8,Compare_Portfolios!$E$91,0,Compare_Portfolios!$E$90,1)%)))</f>
        <v>16.075756093158805</v>
      </c>
      <c r="AB125" s="361">
        <f t="array" aca="1" ref="AB125" ca="1">IF(ISERROR(PRODUCT(1+OFFSET(Data_72_15!AB$8,Compare_Portfolios!$E$91,0,Compare_Portfolios!$E$90,1)%)),"",(PRODUCT(1+OFFSET(Data_72_15!AB$8,Compare_Portfolios!$E$91,0,Compare_Portfolios!$E$90,1)%)))</f>
        <v>20.312631959924907</v>
      </c>
      <c r="AC125" s="361">
        <f t="array" aca="1" ref="AC125" ca="1">IF(ISERROR(PRODUCT(1+OFFSET(Data_72_15!AC$8,Compare_Portfolios!$E$91,0,Compare_Portfolios!$E$90,1)%)),"",(PRODUCT(1+OFFSET(Data_72_15!AC$8,Compare_Portfolios!$E$91,0,Compare_Portfolios!$E$90,1)%)))</f>
        <v>310.57690638208851</v>
      </c>
      <c r="AD125" s="361" t="str">
        <f t="array" aca="1" ref="AD125" ca="1">IF(ISERROR(PRODUCT(1+OFFSET(Data_72_15!AD$8,Compare_Portfolios!$E$91,0,Compare_Portfolios!$E$90,1)%)),"",(PRODUCT(1+OFFSET(Data_72_15!AD$8,Compare_Portfolios!$E$91,0,Compare_Portfolios!$E$90,1)%)))</f>
        <v/>
      </c>
      <c r="AE125" s="361" t="str">
        <f t="array" aca="1" ref="AE125" ca="1">IF(ISERROR(PRODUCT(1+OFFSET(Data_72_15!AE$8,Compare_Portfolios!$E$91,0,Compare_Portfolios!$E$90,1)%)),"",(PRODUCT(1+OFFSET(Data_72_15!AE$8,Compare_Portfolios!$E$91,0,Compare_Portfolios!$E$90,1)%)))</f>
        <v/>
      </c>
      <c r="AF125" s="361" t="str">
        <f t="array" aca="1" ref="AF125" ca="1">IF(ISERROR(PRODUCT(1+OFFSET(Data_72_15!AF$8,Compare_Portfolios!$E$91,0,Compare_Portfolios!$E$90,1)%)),"",(PRODUCT(1+OFFSET(Data_72_15!AF$8,Compare_Portfolios!$E$91,0,Compare_Portfolios!$E$90,1)%)))</f>
        <v/>
      </c>
      <c r="AG125" s="361" t="str">
        <f t="array" aca="1" ref="AG125" ca="1">IF(ISERROR(PRODUCT(1+OFFSET(Data_72_15!AG$8,Compare_Portfolios!$E$91,0,Compare_Portfolios!$E$90,1)%)),"",(PRODUCT(1+OFFSET(Data_72_15!AG$8,Compare_Portfolios!$E$91,0,Compare_Portfolios!$E$90,1)%)))</f>
        <v/>
      </c>
      <c r="AH125" s="361" t="str">
        <f t="array" aca="1" ref="AH125" ca="1">IF(ISERROR(PRODUCT(1+OFFSET(Data_72_15!AH$8,Compare_Portfolios!$E$91,0,Compare_Portfolios!$E$90,1)%)),"",(PRODUCT(1+OFFSET(Data_72_15!AH$8,Compare_Portfolios!$E$91,0,Compare_Portfolios!$E$90,1)%)))</f>
        <v/>
      </c>
      <c r="AI125" s="361" t="str">
        <f t="array" aca="1" ref="AI125" ca="1">IF(ISERROR(PRODUCT(1+OFFSET(Data_72_15!AI$8,Compare_Portfolios!$E$91,0,Compare_Portfolios!$E$90,1)%)),"",(PRODUCT(1+OFFSET(Data_72_15!AI$8,Compare_Portfolios!$E$91,0,Compare_Portfolios!$E$90,1)%)))</f>
        <v/>
      </c>
      <c r="AJ125" s="361" t="str">
        <f t="array" aca="1" ref="AJ125" ca="1">IF(ISERROR(PRODUCT(1+OFFSET(Data_72_15!AJ$8,Compare_Portfolios!$E$91,0,Compare_Portfolios!$E$90,1)%)),"",(PRODUCT(1+OFFSET(Data_72_15!AJ$8,Compare_Portfolios!$E$91,0,Compare_Portfolios!$E$90,1)%)))</f>
        <v/>
      </c>
      <c r="AK125" s="361" t="str">
        <f t="array" aca="1" ref="AK125" ca="1">IF(ISERROR(PRODUCT(1+OFFSET(Data_72_15!AK$8,Compare_Portfolios!$E$91,0,Compare_Portfolios!$E$90,1)%)),"",(PRODUCT(1+OFFSET(Data_72_15!AK$8,Compare_Portfolios!$E$91,0,Compare_Portfolios!$E$90,1)%)))</f>
        <v/>
      </c>
      <c r="AL125" s="511" t="str">
        <f t="array" aca="1" ref="AL125" ca="1">IF(ISERROR(PRODUCT(1+OFFSET(Data_72_15!AL$8,Compare_Portfolios!$E$91,0,Compare_Portfolios!$E$90,1)%)),"",(PRODUCT(1+OFFSET(Data_72_15!AL$8,Compare_Portfolios!$E$91,0,Compare_Portfolios!$E$90,1)%)))</f>
        <v/>
      </c>
      <c r="AM125" s="47"/>
      <c r="BA125"/>
    </row>
    <row r="126" spans="1:59">
      <c r="A126" s="521" t="s">
        <v>464</v>
      </c>
      <c r="B126" s="514">
        <f t="array" aca="1" ref="B126" ca="1">IF(ISERROR(PRODUCT(1+OFFSET(Data_72_15!B$8,Compare_Portfolios!$F$91,0,Compare_Portfolios!$F$90,1)%)),"",(PRODUCT(1+OFFSET(Data_72_15!B$8,Compare_Portfolios!$F$91,0,Compare_Portfolios!$F$90,1)%)))</f>
        <v>70.799537962556016</v>
      </c>
      <c r="C126" s="361">
        <f t="array" aca="1" ref="C126" ca="1">IF(ISERROR(PRODUCT(1+OFFSET(Data_72_15!C$8,Compare_Portfolios!$F$91,0,Compare_Portfolios!$F$90,1)%)),"",(PRODUCT(1+OFFSET(Data_72_15!C$8,Compare_Portfolios!$F$91,0,Compare_Portfolios!$F$90,1)%)))</f>
        <v>117.51838555468198</v>
      </c>
      <c r="D126" s="361">
        <f t="array" aca="1" ref="D126" ca="1">IF(ISERROR(PRODUCT(1+OFFSET(Data_72_15!D$8,Compare_Portfolios!$F$91,0,Compare_Portfolios!$F$90,1)%)),"",(PRODUCT(1+OFFSET(Data_72_15!D$8,Compare_Portfolios!$F$91,0,Compare_Portfolios!$F$90,1)%)))</f>
        <v>68.308919963834001</v>
      </c>
      <c r="E126" s="361">
        <f t="array" aca="1" ref="E126" ca="1">IF(ISERROR(PRODUCT(1+OFFSET(Data_72_15!E$8,Compare_Portfolios!$F$91,0,Compare_Portfolios!$F$90,1)%)),"",(PRODUCT(1+OFFSET(Data_72_15!E$8,Compare_Portfolios!$F$91,0,Compare_Portfolios!$F$90,1)%)))</f>
        <v>54.151915226191406</v>
      </c>
      <c r="F126" s="361">
        <f t="array" aca="1" ref="F126" ca="1">IF(ISERROR(PRODUCT(1+OFFSET(Data_72_15!F$8,Compare_Portfolios!$F$91,0,Compare_Portfolios!$F$90,1)%)),"",(PRODUCT(1+OFFSET(Data_72_15!F$8,Compare_Portfolios!$F$91,0,Compare_Portfolios!$F$90,1)%)))</f>
        <v>157.12499543548336</v>
      </c>
      <c r="G126" s="361">
        <f t="array" aca="1" ref="G126" ca="1">IF(ISERROR(PRODUCT(1+OFFSET(Data_72_15!G$8,Compare_Portfolios!$F$91,0,Compare_Portfolios!$F$90,1)%)),"",(PRODUCT(1+OFFSET(Data_72_15!G$8,Compare_Portfolios!$F$91,0,Compare_Portfolios!$F$90,1)%)))</f>
        <v>222.54891608536738</v>
      </c>
      <c r="H126" s="361">
        <f t="array" aca="1" ref="H126" ca="1">IF(ISERROR(PRODUCT(1+OFFSET(Data_72_15!H$8,Compare_Portfolios!$F$91,0,Compare_Portfolios!$F$90,1)%)),"",(PRODUCT(1+OFFSET(Data_72_15!H$8,Compare_Portfolios!$F$91,0,Compare_Portfolios!$F$90,1)%)))</f>
        <v>111.5438145320384</v>
      </c>
      <c r="I126" s="361">
        <f t="array" aca="1" ref="I126" ca="1">IF(ISERROR(PRODUCT(1+OFFSET(Data_72_15!I$8,Compare_Portfolios!$F$91,0,Compare_Portfolios!$F$90,1)%)),"",(PRODUCT(1+OFFSET(Data_72_15!I$8,Compare_Portfolios!$F$91,0,Compare_Portfolios!$F$90,1)%)))</f>
        <v>48.873955044291485</v>
      </c>
      <c r="J126" s="361">
        <f t="array" aca="1" ref="J126" ca="1">IF(ISERROR(PRODUCT(1+OFFSET(Data_72_15!J$8,Compare_Portfolios!$F$91,0,Compare_Portfolios!$F$90,1)%)),"",(PRODUCT(1+OFFSET(Data_72_15!J$8,Compare_Portfolios!$F$91,0,Compare_Portfolios!$F$90,1)%)))</f>
        <v>107.45332423842136</v>
      </c>
      <c r="K126" s="361">
        <f t="array" aca="1" ref="K126" ca="1">IF(ISERROR(PRODUCT(1+OFFSET(Data_72_15!K$8,Compare_Portfolios!$F$91,0,Compare_Portfolios!$F$90,1)%)),"",(PRODUCT(1+OFFSET(Data_72_15!K$8,Compare_Portfolios!$F$91,0,Compare_Portfolios!$F$90,1)%)))</f>
        <v>134.21018082896435</v>
      </c>
      <c r="L126" s="361">
        <f t="array" aca="1" ref="L126" ca="1">IF(ISERROR(PRODUCT(1+OFFSET(Data_72_15!L$8,Compare_Portfolios!$F$91,0,Compare_Portfolios!$F$90,1)%)),"",(PRODUCT(1+OFFSET(Data_72_15!L$8,Compare_Portfolios!$F$91,0,Compare_Portfolios!$F$90,1)%)))</f>
        <v>44.932313914845132</v>
      </c>
      <c r="M126" s="361">
        <f t="array" aca="1" ref="M126" ca="1">IF(ISERROR(PRODUCT(1+OFFSET(Data_72_15!M$8,Compare_Portfolios!$F$91,0,Compare_Portfolios!$F$90,1)%)),"",(PRODUCT(1+OFFSET(Data_72_15!M$8,Compare_Portfolios!$F$91,0,Compare_Portfolios!$F$90,1)%)))</f>
        <v>406.84893107213355</v>
      </c>
      <c r="N126" s="361">
        <f t="array" aca="1" ref="N126" ca="1">IF(ISERROR(PRODUCT(1+OFFSET(Data_72_15!N$8,Compare_Portfolios!$F$91,0,Compare_Portfolios!$F$90,1)%)),"",(PRODUCT(1+OFFSET(Data_72_15!N$8,Compare_Portfolios!$F$91,0,Compare_Portfolios!$F$90,1)%)))</f>
        <v>60.490720050066123</v>
      </c>
      <c r="O126" s="361">
        <f t="array" aca="1" ref="O126" ca="1">IF(ISERROR(PRODUCT(1+OFFSET(Data_72_15!O$8,Compare_Portfolios!$F$91,0,Compare_Portfolios!$F$90,1)%)),"",(PRODUCT(1+OFFSET(Data_72_15!O$8,Compare_Portfolios!$F$91,0,Compare_Portfolios!$F$90,1)%)))</f>
        <v>40.888769969442947</v>
      </c>
      <c r="P126" s="361">
        <f t="array" aca="1" ref="P126" ca="1">IF(ISERROR(PRODUCT(1+OFFSET(Data_72_15!P$8,Compare_Portfolios!$F$91,0,Compare_Portfolios!$F$90,1)%)),"",(PRODUCT(1+OFFSET(Data_72_15!P$8,Compare_Portfolios!$F$91,0,Compare_Portfolios!$F$90,1)%)))</f>
        <v>60.474180950790718</v>
      </c>
      <c r="Q126" s="361">
        <f t="array" aca="1" ref="Q126" ca="1">IF(ISERROR(PRODUCT(1+OFFSET(Data_72_15!Q$8,Compare_Portfolios!$F$91,0,Compare_Portfolios!$F$90,1)%)),"",(PRODUCT(1+OFFSET(Data_72_15!Q$8,Compare_Portfolios!$F$91,0,Compare_Portfolios!$F$90,1)%)))</f>
        <v>88.361487038565002</v>
      </c>
      <c r="R126" s="361">
        <f t="array" aca="1" ref="R126" ca="1">IF(ISERROR(PRODUCT(1+OFFSET(Data_72_15!R$8,Compare_Portfolios!$F$91,0,Compare_Portfolios!$F$90,1)%)),"",(PRODUCT(1+OFFSET(Data_72_15!R$8,Compare_Portfolios!$F$91,0,Compare_Portfolios!$F$90,1)%)))</f>
        <v>26.21633358060242</v>
      </c>
      <c r="S126" s="361">
        <f t="array" aca="1" ref="S126" ca="1">IF(ISERROR(PRODUCT(1+OFFSET(Data_72_15!S$8,Compare_Portfolios!$F$91,0,Compare_Portfolios!$F$90,1)%)),"",(PRODUCT(1+OFFSET(Data_72_15!S$8,Compare_Portfolios!$F$91,0,Compare_Portfolios!$F$90,1)%)))</f>
        <v>27.138526640511159</v>
      </c>
      <c r="T126" s="361">
        <f t="array" aca="1" ref="T126" ca="1">IF(ISERROR(PRODUCT(1+OFFSET(Data_72_15!T$8,Compare_Portfolios!$F$91,0,Compare_Portfolios!$F$90,1)%)),"",(PRODUCT(1+OFFSET(Data_72_15!T$8,Compare_Portfolios!$F$91,0,Compare_Portfolios!$F$90,1)%)))</f>
        <v>20.494124437260599</v>
      </c>
      <c r="U126" s="361">
        <f t="array" aca="1" ref="U126" ca="1">IF(ISERROR(PRODUCT(1+OFFSET(Data_72_15!U$8,Compare_Portfolios!$F$91,0,Compare_Portfolios!$F$90,1)%)),"",(PRODUCT(1+OFFSET(Data_72_15!U$8,Compare_Portfolios!$F$91,0,Compare_Portfolios!$F$90,1)%)))</f>
        <v>21.316479720156934</v>
      </c>
      <c r="V126" s="361">
        <f t="array" aca="1" ref="V126" ca="1">IF(ISERROR(PRODUCT(1+OFFSET(Data_72_15!V$8,Compare_Portfolios!$F$91,0,Compare_Portfolios!$F$90,1)%)),"",(PRODUCT(1+OFFSET(Data_72_15!V$8,Compare_Portfolios!$F$91,0,Compare_Portfolios!$F$90,1)%)))</f>
        <v>8.2391344234905972</v>
      </c>
      <c r="W126" s="361">
        <f t="array" aca="1" ref="W126" ca="1">IF(ISERROR(PRODUCT(1+OFFSET(Data_72_15!W$8,Compare_Portfolios!$F$91,0,Compare_Portfolios!$F$90,1)%)),"",(PRODUCT(1+OFFSET(Data_72_15!W$8,Compare_Portfolios!$F$91,0,Compare_Portfolios!$F$90,1)%)))</f>
        <v>17.744735883658944</v>
      </c>
      <c r="X126" s="361">
        <f t="array" aca="1" ref="X126" ca="1">IF(ISERROR(PRODUCT(1+OFFSET(Data_72_15!X$8,Compare_Portfolios!$F$91,0,Compare_Portfolios!$F$90,1)%)),"",(PRODUCT(1+OFFSET(Data_72_15!X$8,Compare_Portfolios!$F$91,0,Compare_Portfolios!$F$90,1)%)))</f>
        <v>67.660779356666794</v>
      </c>
      <c r="Y126" s="361">
        <f t="array" aca="1" ref="Y126" ca="1">IF(ISERROR(PRODUCT(1+OFFSET(Data_72_15!Y$8,Compare_Portfolios!$F$91,0,Compare_Portfolios!$F$90,1)%)),"",(PRODUCT(1+OFFSET(Data_72_15!Y$8,Compare_Portfolios!$F$91,0,Compare_Portfolios!$F$90,1)%)))</f>
        <v>59.042628378063952</v>
      </c>
      <c r="Z126" s="361">
        <f t="array" aca="1" ref="Z126" ca="1">IF(ISERROR(PRODUCT(1+OFFSET(Data_72_15!Z$8,Compare_Portfolios!$F$91,0,Compare_Portfolios!$F$90,1)%)),"",(PRODUCT(1+OFFSET(Data_72_15!Z$8,Compare_Portfolios!$F$91,0,Compare_Portfolios!$F$90,1)%)))</f>
        <v>123.69419917705351</v>
      </c>
      <c r="AA126" s="361">
        <f t="array" aca="1" ref="AA126" ca="1">IF(ISERROR(PRODUCT(1+OFFSET(Data_72_15!AA$8,Compare_Portfolios!$F$91,0,Compare_Portfolios!$F$90,1)%)),"",(PRODUCT(1+OFFSET(Data_72_15!AA$8,Compare_Portfolios!$F$91,0,Compare_Portfolios!$F$90,1)%)))</f>
        <v>16.075756093158805</v>
      </c>
      <c r="AB126" s="361">
        <f t="array" aca="1" ref="AB126" ca="1">IF(ISERROR(PRODUCT(1+OFFSET(Data_72_15!AB$8,Compare_Portfolios!$F$91,0,Compare_Portfolios!$F$90,1)%)),"",(PRODUCT(1+OFFSET(Data_72_15!AB$8,Compare_Portfolios!$F$91,0,Compare_Portfolios!$F$90,1)%)))</f>
        <v>20.312631959924907</v>
      </c>
      <c r="AC126" s="361">
        <f t="array" aca="1" ref="AC126" ca="1">IF(ISERROR(PRODUCT(1+OFFSET(Data_72_15!AC$8,Compare_Portfolios!$F$91,0,Compare_Portfolios!$F$90,1)%)),"",(PRODUCT(1+OFFSET(Data_72_15!AC$8,Compare_Portfolios!$F$91,0,Compare_Portfolios!$F$90,1)%)))</f>
        <v>310.57690638208851</v>
      </c>
      <c r="AD126" s="361" t="str">
        <f t="array" aca="1" ref="AD126" ca="1">IF(ISERROR(PRODUCT(1+OFFSET(Data_72_15!AD$8,Compare_Portfolios!$F$91,0,Compare_Portfolios!$F$90,1)%)),"",(PRODUCT(1+OFFSET(Data_72_15!AD$8,Compare_Portfolios!$F$91,0,Compare_Portfolios!$F$90,1)%)))</f>
        <v/>
      </c>
      <c r="AE126" s="361" t="str">
        <f t="array" aca="1" ref="AE126" ca="1">IF(ISERROR(PRODUCT(1+OFFSET(Data_72_15!AE$8,Compare_Portfolios!$F$91,0,Compare_Portfolios!$F$90,1)%)),"",(PRODUCT(1+OFFSET(Data_72_15!AE$8,Compare_Portfolios!$F$91,0,Compare_Portfolios!$F$90,1)%)))</f>
        <v/>
      </c>
      <c r="AF126" s="361" t="str">
        <f t="array" aca="1" ref="AF126" ca="1">IF(ISERROR(PRODUCT(1+OFFSET(Data_72_15!AF$8,Compare_Portfolios!$F$91,0,Compare_Portfolios!$F$90,1)%)),"",(PRODUCT(1+OFFSET(Data_72_15!AF$8,Compare_Portfolios!$F$91,0,Compare_Portfolios!$F$90,1)%)))</f>
        <v/>
      </c>
      <c r="AG126" s="361" t="str">
        <f t="array" aca="1" ref="AG126" ca="1">IF(ISERROR(PRODUCT(1+OFFSET(Data_72_15!AG$8,Compare_Portfolios!$F$91,0,Compare_Portfolios!$F$90,1)%)),"",(PRODUCT(1+OFFSET(Data_72_15!AG$8,Compare_Portfolios!$F$91,0,Compare_Portfolios!$F$90,1)%)))</f>
        <v/>
      </c>
      <c r="AH126" s="361" t="str">
        <f t="array" aca="1" ref="AH126" ca="1">IF(ISERROR(PRODUCT(1+OFFSET(Data_72_15!AH$8,Compare_Portfolios!$F$91,0,Compare_Portfolios!$F$90,1)%)),"",(PRODUCT(1+OFFSET(Data_72_15!AH$8,Compare_Portfolios!$F$91,0,Compare_Portfolios!$F$90,1)%)))</f>
        <v/>
      </c>
      <c r="AI126" s="361" t="str">
        <f t="array" aca="1" ref="AI126" ca="1">IF(ISERROR(PRODUCT(1+OFFSET(Data_72_15!AI$8,Compare_Portfolios!$F$91,0,Compare_Portfolios!$F$90,1)%)),"",(PRODUCT(1+OFFSET(Data_72_15!AI$8,Compare_Portfolios!$F$91,0,Compare_Portfolios!$F$90,1)%)))</f>
        <v/>
      </c>
      <c r="AJ126" s="361" t="str">
        <f t="array" aca="1" ref="AJ126" ca="1">IF(ISERROR(PRODUCT(1+OFFSET(Data_72_15!AJ$8,Compare_Portfolios!$F$91,0,Compare_Portfolios!$F$90,1)%)),"",(PRODUCT(1+OFFSET(Data_72_15!AJ$8,Compare_Portfolios!$F$91,0,Compare_Portfolios!$F$90,1)%)))</f>
        <v/>
      </c>
      <c r="AK126" s="361" t="str">
        <f t="array" aca="1" ref="AK126" ca="1">IF(ISERROR(PRODUCT(1+OFFSET(Data_72_15!AK$8,Compare_Portfolios!$F$91,0,Compare_Portfolios!$F$90,1)%)),"",(PRODUCT(1+OFFSET(Data_72_15!AK$8,Compare_Portfolios!$F$91,0,Compare_Portfolios!$F$90,1)%)))</f>
        <v/>
      </c>
      <c r="AL126" s="511" t="str">
        <f t="array" aca="1" ref="AL126" ca="1">IF(ISERROR(PRODUCT(1+OFFSET(Data_72_15!AL$8,Compare_Portfolios!$F$91,0,Compare_Portfolios!$F$90,1)%)),"",(PRODUCT(1+OFFSET(Data_72_15!AL$8,Compare_Portfolios!$F$91,0,Compare_Portfolios!$F$90,1)%)))</f>
        <v/>
      </c>
      <c r="AM126" s="47"/>
      <c r="BA126"/>
    </row>
    <row r="127" spans="1:59" ht="13" thickBot="1">
      <c r="A127" s="522" t="s">
        <v>465</v>
      </c>
      <c r="B127" s="515">
        <f t="array" aca="1" ref="B127" ca="1">IF(ISERROR(PRODUCT(1+OFFSET(Data_72_15!B$8,Compare_Portfolios!$G$91,0,Compare_Portfolios!$G$90,1)%)),"",(PRODUCT(1+OFFSET(Data_72_15!B$8,Compare_Portfolios!$G$91,0,Compare_Portfolios!$G$90,1)%)))</f>
        <v>70.799537962556016</v>
      </c>
      <c r="C127" s="362">
        <f t="array" aca="1" ref="C127" ca="1">IF(ISERROR(PRODUCT(1+OFFSET(Data_72_15!C$8,Compare_Portfolios!$G$91,0,Compare_Portfolios!$G$90,1)%)),"",(PRODUCT(1+OFFSET(Data_72_15!C$8,Compare_Portfolios!$G$91,0,Compare_Portfolios!$G$90,1)%)))</f>
        <v>117.51838555468198</v>
      </c>
      <c r="D127" s="362">
        <f t="array" aca="1" ref="D127" ca="1">IF(ISERROR(PRODUCT(1+OFFSET(Data_72_15!D$8,Compare_Portfolios!$G$91,0,Compare_Portfolios!$G$90,1)%)),"",(PRODUCT(1+OFFSET(Data_72_15!D$8,Compare_Portfolios!$G$91,0,Compare_Portfolios!$G$90,1)%)))</f>
        <v>68.308919963834001</v>
      </c>
      <c r="E127" s="362">
        <f t="array" aca="1" ref="E127" ca="1">IF(ISERROR(PRODUCT(1+OFFSET(Data_72_15!E$8,Compare_Portfolios!$G$91,0,Compare_Portfolios!$G$90,1)%)),"",(PRODUCT(1+OFFSET(Data_72_15!E$8,Compare_Portfolios!$G$91,0,Compare_Portfolios!$G$90,1)%)))</f>
        <v>54.151915226191406</v>
      </c>
      <c r="F127" s="362">
        <f t="array" aca="1" ref="F127" ca="1">IF(ISERROR(PRODUCT(1+OFFSET(Data_72_15!F$8,Compare_Portfolios!$G$91,0,Compare_Portfolios!$G$90,1)%)),"",(PRODUCT(1+OFFSET(Data_72_15!F$8,Compare_Portfolios!$G$91,0,Compare_Portfolios!$G$90,1)%)))</f>
        <v>157.12499543548336</v>
      </c>
      <c r="G127" s="362">
        <f t="array" aca="1" ref="G127" ca="1">IF(ISERROR(PRODUCT(1+OFFSET(Data_72_15!G$8,Compare_Portfolios!$G$91,0,Compare_Portfolios!$G$90,1)%)),"",(PRODUCT(1+OFFSET(Data_72_15!G$8,Compare_Portfolios!$G$91,0,Compare_Portfolios!$G$90,1)%)))</f>
        <v>222.54891608536738</v>
      </c>
      <c r="H127" s="362">
        <f t="array" aca="1" ref="H127" ca="1">IF(ISERROR(PRODUCT(1+OFFSET(Data_72_15!H$8,Compare_Portfolios!$G$91,0,Compare_Portfolios!$G$90,1)%)),"",(PRODUCT(1+OFFSET(Data_72_15!H$8,Compare_Portfolios!$G$91,0,Compare_Portfolios!$G$90,1)%)))</f>
        <v>111.5438145320384</v>
      </c>
      <c r="I127" s="362">
        <f t="array" aca="1" ref="I127" ca="1">IF(ISERROR(PRODUCT(1+OFFSET(Data_72_15!I$8,Compare_Portfolios!$G$91,0,Compare_Portfolios!$G$90,1)%)),"",(PRODUCT(1+OFFSET(Data_72_15!I$8,Compare_Portfolios!$G$91,0,Compare_Portfolios!$G$90,1)%)))</f>
        <v>48.873955044291485</v>
      </c>
      <c r="J127" s="362">
        <f t="array" aca="1" ref="J127" ca="1">IF(ISERROR(PRODUCT(1+OFFSET(Data_72_15!J$8,Compare_Portfolios!$G$91,0,Compare_Portfolios!$G$90,1)%)),"",(PRODUCT(1+OFFSET(Data_72_15!J$8,Compare_Portfolios!$G$91,0,Compare_Portfolios!$G$90,1)%)))</f>
        <v>107.45332423842136</v>
      </c>
      <c r="K127" s="362">
        <f t="array" aca="1" ref="K127" ca="1">IF(ISERROR(PRODUCT(1+OFFSET(Data_72_15!K$8,Compare_Portfolios!$G$91,0,Compare_Portfolios!$G$90,1)%)),"",(PRODUCT(1+OFFSET(Data_72_15!K$8,Compare_Portfolios!$G$91,0,Compare_Portfolios!$G$90,1)%)))</f>
        <v>134.21018082896435</v>
      </c>
      <c r="L127" s="362">
        <f t="array" aca="1" ref="L127" ca="1">IF(ISERROR(PRODUCT(1+OFFSET(Data_72_15!L$8,Compare_Portfolios!$G$91,0,Compare_Portfolios!$G$90,1)%)),"",(PRODUCT(1+OFFSET(Data_72_15!L$8,Compare_Portfolios!$G$91,0,Compare_Portfolios!$G$90,1)%)))</f>
        <v>44.932313914845132</v>
      </c>
      <c r="M127" s="362">
        <f t="array" aca="1" ref="M127" ca="1">IF(ISERROR(PRODUCT(1+OFFSET(Data_72_15!M$8,Compare_Portfolios!$G$91,0,Compare_Portfolios!$G$90,1)%)),"",(PRODUCT(1+OFFSET(Data_72_15!M$8,Compare_Portfolios!$G$91,0,Compare_Portfolios!$G$90,1)%)))</f>
        <v>406.84893107213355</v>
      </c>
      <c r="N127" s="362">
        <f t="array" aca="1" ref="N127" ca="1">IF(ISERROR(PRODUCT(1+OFFSET(Data_72_15!N$8,Compare_Portfolios!$G$91,0,Compare_Portfolios!$G$90,1)%)),"",(PRODUCT(1+OFFSET(Data_72_15!N$8,Compare_Portfolios!$G$91,0,Compare_Portfolios!$G$90,1)%)))</f>
        <v>60.490720050066123</v>
      </c>
      <c r="O127" s="362">
        <f t="array" aca="1" ref="O127" ca="1">IF(ISERROR(PRODUCT(1+OFFSET(Data_72_15!O$8,Compare_Portfolios!$G$91,0,Compare_Portfolios!$G$90,1)%)),"",(PRODUCT(1+OFFSET(Data_72_15!O$8,Compare_Portfolios!$G$91,0,Compare_Portfolios!$G$90,1)%)))</f>
        <v>40.888769969442947</v>
      </c>
      <c r="P127" s="362">
        <f t="array" aca="1" ref="P127" ca="1">IF(ISERROR(PRODUCT(1+OFFSET(Data_72_15!P$8,Compare_Portfolios!$G$91,0,Compare_Portfolios!$G$90,1)%)),"",(PRODUCT(1+OFFSET(Data_72_15!P$8,Compare_Portfolios!$G$91,0,Compare_Portfolios!$G$90,1)%)))</f>
        <v>60.474180950790718</v>
      </c>
      <c r="Q127" s="362">
        <f t="array" aca="1" ref="Q127" ca="1">IF(ISERROR(PRODUCT(1+OFFSET(Data_72_15!Q$8,Compare_Portfolios!$G$91,0,Compare_Portfolios!$G$90,1)%)),"",(PRODUCT(1+OFFSET(Data_72_15!Q$8,Compare_Portfolios!$G$91,0,Compare_Portfolios!$G$90,1)%)))</f>
        <v>88.361487038565002</v>
      </c>
      <c r="R127" s="362">
        <f t="array" aca="1" ref="R127" ca="1">IF(ISERROR(PRODUCT(1+OFFSET(Data_72_15!R$8,Compare_Portfolios!$G$91,0,Compare_Portfolios!$G$90,1)%)),"",(PRODUCT(1+OFFSET(Data_72_15!R$8,Compare_Portfolios!$G$91,0,Compare_Portfolios!$G$90,1)%)))</f>
        <v>26.21633358060242</v>
      </c>
      <c r="S127" s="362">
        <f t="array" aca="1" ref="S127" ca="1">IF(ISERROR(PRODUCT(1+OFFSET(Data_72_15!S$8,Compare_Portfolios!$G$91,0,Compare_Portfolios!$G$90,1)%)),"",(PRODUCT(1+OFFSET(Data_72_15!S$8,Compare_Portfolios!$G$91,0,Compare_Portfolios!$G$90,1)%)))</f>
        <v>27.138526640511159</v>
      </c>
      <c r="T127" s="362">
        <f t="array" aca="1" ref="T127" ca="1">IF(ISERROR(PRODUCT(1+OFFSET(Data_72_15!T$8,Compare_Portfolios!$G$91,0,Compare_Portfolios!$G$90,1)%)),"",(PRODUCT(1+OFFSET(Data_72_15!T$8,Compare_Portfolios!$G$91,0,Compare_Portfolios!$G$90,1)%)))</f>
        <v>20.494124437260599</v>
      </c>
      <c r="U127" s="362">
        <f t="array" aca="1" ref="U127" ca="1">IF(ISERROR(PRODUCT(1+OFFSET(Data_72_15!U$8,Compare_Portfolios!$G$91,0,Compare_Portfolios!$G$90,1)%)),"",(PRODUCT(1+OFFSET(Data_72_15!U$8,Compare_Portfolios!$G$91,0,Compare_Portfolios!$G$90,1)%)))</f>
        <v>21.316479720156934</v>
      </c>
      <c r="V127" s="362">
        <f t="array" aca="1" ref="V127" ca="1">IF(ISERROR(PRODUCT(1+OFFSET(Data_72_15!V$8,Compare_Portfolios!$G$91,0,Compare_Portfolios!$G$90,1)%)),"",(PRODUCT(1+OFFSET(Data_72_15!V$8,Compare_Portfolios!$G$91,0,Compare_Portfolios!$G$90,1)%)))</f>
        <v>8.2391344234905972</v>
      </c>
      <c r="W127" s="362">
        <f t="array" aca="1" ref="W127" ca="1">IF(ISERROR(PRODUCT(1+OFFSET(Data_72_15!W$8,Compare_Portfolios!$G$91,0,Compare_Portfolios!$G$90,1)%)),"",(PRODUCT(1+OFFSET(Data_72_15!W$8,Compare_Portfolios!$G$91,0,Compare_Portfolios!$G$90,1)%)))</f>
        <v>17.744735883658944</v>
      </c>
      <c r="X127" s="362">
        <f t="array" aca="1" ref="X127" ca="1">IF(ISERROR(PRODUCT(1+OFFSET(Data_72_15!X$8,Compare_Portfolios!$G$91,0,Compare_Portfolios!$G$90,1)%)),"",(PRODUCT(1+OFFSET(Data_72_15!X$8,Compare_Portfolios!$G$91,0,Compare_Portfolios!$G$90,1)%)))</f>
        <v>67.660779356666794</v>
      </c>
      <c r="Y127" s="362">
        <f t="array" aca="1" ref="Y127" ca="1">IF(ISERROR(PRODUCT(1+OFFSET(Data_72_15!Y$8,Compare_Portfolios!$G$91,0,Compare_Portfolios!$G$90,1)%)),"",(PRODUCT(1+OFFSET(Data_72_15!Y$8,Compare_Portfolios!$G$91,0,Compare_Portfolios!$G$90,1)%)))</f>
        <v>59.042628378063952</v>
      </c>
      <c r="Z127" s="362">
        <f t="array" aca="1" ref="Z127" ca="1">IF(ISERROR(PRODUCT(1+OFFSET(Data_72_15!Z$8,Compare_Portfolios!$G$91,0,Compare_Portfolios!$G$90,1)%)),"",(PRODUCT(1+OFFSET(Data_72_15!Z$8,Compare_Portfolios!$G$91,0,Compare_Portfolios!$G$90,1)%)))</f>
        <v>123.69419917705351</v>
      </c>
      <c r="AA127" s="362">
        <f t="array" aca="1" ref="AA127" ca="1">IF(ISERROR(PRODUCT(1+OFFSET(Data_72_15!AA$8,Compare_Portfolios!$G$91,0,Compare_Portfolios!$G$90,1)%)),"",(PRODUCT(1+OFFSET(Data_72_15!AA$8,Compare_Portfolios!$G$91,0,Compare_Portfolios!$G$90,1)%)))</f>
        <v>16.075756093158805</v>
      </c>
      <c r="AB127" s="362">
        <f t="array" aca="1" ref="AB127" ca="1">IF(ISERROR(PRODUCT(1+OFFSET(Data_72_15!AB$8,Compare_Portfolios!$G$91,0,Compare_Portfolios!$G$90,1)%)),"",(PRODUCT(1+OFFSET(Data_72_15!AB$8,Compare_Portfolios!$G$91,0,Compare_Portfolios!$G$90,1)%)))</f>
        <v>20.312631959924907</v>
      </c>
      <c r="AC127" s="362">
        <f t="array" aca="1" ref="AC127" ca="1">IF(ISERROR(PRODUCT(1+OFFSET(Data_72_15!AC$8,Compare_Portfolios!$G$91,0,Compare_Portfolios!$G$90,1)%)),"",(PRODUCT(1+OFFSET(Data_72_15!AC$8,Compare_Portfolios!$G$91,0,Compare_Portfolios!$G$90,1)%)))</f>
        <v>310.57690638208851</v>
      </c>
      <c r="AD127" s="362" t="str">
        <f t="array" aca="1" ref="AD127" ca="1">IF(ISERROR(PRODUCT(1+OFFSET(Data_72_15!AD$8,Compare_Portfolios!$G$91,0,Compare_Portfolios!$G$90,1)%)),"",(PRODUCT(1+OFFSET(Data_72_15!AD$8,Compare_Portfolios!$G$91,0,Compare_Portfolios!$G$90,1)%)))</f>
        <v/>
      </c>
      <c r="AE127" s="362" t="str">
        <f t="array" aca="1" ref="AE127" ca="1">IF(ISERROR(PRODUCT(1+OFFSET(Data_72_15!AE$8,Compare_Portfolios!$G$91,0,Compare_Portfolios!$G$90,1)%)),"",(PRODUCT(1+OFFSET(Data_72_15!AE$8,Compare_Portfolios!$G$91,0,Compare_Portfolios!$G$90,1)%)))</f>
        <v/>
      </c>
      <c r="AF127" s="362" t="str">
        <f t="array" aca="1" ref="AF127" ca="1">IF(ISERROR(PRODUCT(1+OFFSET(Data_72_15!AF$8,Compare_Portfolios!$G$91,0,Compare_Portfolios!$G$90,1)%)),"",(PRODUCT(1+OFFSET(Data_72_15!AF$8,Compare_Portfolios!$G$91,0,Compare_Portfolios!$G$90,1)%)))</f>
        <v/>
      </c>
      <c r="AG127" s="362" t="str">
        <f t="array" aca="1" ref="AG127" ca="1">IF(ISERROR(PRODUCT(1+OFFSET(Data_72_15!AG$8,Compare_Portfolios!$G$91,0,Compare_Portfolios!$G$90,1)%)),"",(PRODUCT(1+OFFSET(Data_72_15!AG$8,Compare_Portfolios!$G$91,0,Compare_Portfolios!$G$90,1)%)))</f>
        <v/>
      </c>
      <c r="AH127" s="362" t="str">
        <f t="array" aca="1" ref="AH127" ca="1">IF(ISERROR(PRODUCT(1+OFFSET(Data_72_15!AH$8,Compare_Portfolios!$G$91,0,Compare_Portfolios!$G$90,1)%)),"",(PRODUCT(1+OFFSET(Data_72_15!AH$8,Compare_Portfolios!$G$91,0,Compare_Portfolios!$G$90,1)%)))</f>
        <v/>
      </c>
      <c r="AI127" s="362" t="str">
        <f t="array" aca="1" ref="AI127" ca="1">IF(ISERROR(PRODUCT(1+OFFSET(Data_72_15!AI$8,Compare_Portfolios!$G$91,0,Compare_Portfolios!$G$90,1)%)),"",(PRODUCT(1+OFFSET(Data_72_15!AI$8,Compare_Portfolios!$G$91,0,Compare_Portfolios!$G$90,1)%)))</f>
        <v/>
      </c>
      <c r="AJ127" s="362" t="str">
        <f t="array" aca="1" ref="AJ127" ca="1">IF(ISERROR(PRODUCT(1+OFFSET(Data_72_15!AJ$8,Compare_Portfolios!$G$91,0,Compare_Portfolios!$G$90,1)%)),"",(PRODUCT(1+OFFSET(Data_72_15!AJ$8,Compare_Portfolios!$G$91,0,Compare_Portfolios!$G$90,1)%)))</f>
        <v/>
      </c>
      <c r="AK127" s="362" t="str">
        <f t="array" aca="1" ref="AK127" ca="1">IF(ISERROR(PRODUCT(1+OFFSET(Data_72_15!AK$8,Compare_Portfolios!$G$91,0,Compare_Portfolios!$G$90,1)%)),"",(PRODUCT(1+OFFSET(Data_72_15!AK$8,Compare_Portfolios!$G$91,0,Compare_Portfolios!$G$90,1)%)))</f>
        <v/>
      </c>
      <c r="AL127" s="512" t="str">
        <f t="array" aca="1" ref="AL127" ca="1">IF(ISERROR(PRODUCT(1+OFFSET(Data_72_15!AL$8,Compare_Portfolios!$G$91,0,Compare_Portfolios!$G$90,1)%)),"",(PRODUCT(1+OFFSET(Data_72_15!AL$8,Compare_Portfolios!$G$91,0,Compare_Portfolios!$G$90,1)%)))</f>
        <v/>
      </c>
      <c r="AM127" s="47"/>
      <c r="BA127"/>
    </row>
    <row r="128" spans="1:59" ht="13" thickTop="1"/>
    <row r="129" spans="1:39" ht="13" thickBot="1">
      <c r="AM129" s="47"/>
    </row>
    <row r="130" spans="1:39" ht="14" thickBot="1">
      <c r="A130" s="641" t="s">
        <v>414</v>
      </c>
      <c r="B130" s="641"/>
      <c r="C130" s="641"/>
      <c r="N130" s="61"/>
      <c r="AM130" s="47"/>
    </row>
    <row r="131" spans="1:39" ht="13" thickBot="1">
      <c r="B131" s="252"/>
      <c r="I131" s="253"/>
      <c r="J131" s="253"/>
      <c r="K131" s="253"/>
    </row>
    <row r="132" spans="1:39" ht="20">
      <c r="A132" s="192" t="s">
        <v>369</v>
      </c>
      <c r="B132" s="238" t="s">
        <v>415</v>
      </c>
      <c r="C132" s="254" t="s">
        <v>371</v>
      </c>
      <c r="D132" s="191" t="s">
        <v>375</v>
      </c>
      <c r="E132" s="191" t="s">
        <v>376</v>
      </c>
      <c r="F132" s="191" t="s">
        <v>416</v>
      </c>
      <c r="G132" s="191" t="s">
        <v>114</v>
      </c>
      <c r="H132" s="255" t="s">
        <v>383</v>
      </c>
      <c r="I132" s="256" t="s">
        <v>388</v>
      </c>
      <c r="J132" s="238" t="s">
        <v>175</v>
      </c>
      <c r="K132" s="256" t="s">
        <v>417</v>
      </c>
      <c r="L132" s="257" t="s">
        <v>175</v>
      </c>
      <c r="R132" s="128"/>
    </row>
    <row r="133" spans="1:39" ht="48">
      <c r="A133" s="258"/>
      <c r="B133" s="165" t="s">
        <v>101</v>
      </c>
      <c r="C133" s="259" t="s">
        <v>99</v>
      </c>
      <c r="D133" s="165" t="s">
        <v>107</v>
      </c>
      <c r="E133" s="165" t="s">
        <v>109</v>
      </c>
      <c r="F133" s="165" t="s">
        <v>120</v>
      </c>
      <c r="G133" s="165" t="s">
        <v>115</v>
      </c>
      <c r="H133" s="260" t="s">
        <v>134</v>
      </c>
      <c r="I133" s="32" t="s">
        <v>407</v>
      </c>
      <c r="J133" s="32" t="s">
        <v>407</v>
      </c>
      <c r="K133" s="32" t="s">
        <v>408</v>
      </c>
      <c r="L133" s="261" t="s">
        <v>408</v>
      </c>
      <c r="O133" s="376"/>
      <c r="P133" s="377"/>
      <c r="Q133" s="460" t="s">
        <v>667</v>
      </c>
      <c r="R133" s="460" t="s">
        <v>549</v>
      </c>
      <c r="S133" s="460" t="s">
        <v>669</v>
      </c>
      <c r="T133" s="460" t="s">
        <v>770</v>
      </c>
      <c r="U133" s="460" t="s">
        <v>670</v>
      </c>
      <c r="V133" s="460" t="s">
        <v>671</v>
      </c>
      <c r="W133" s="462" t="s">
        <v>672</v>
      </c>
      <c r="X133" s="462" t="s">
        <v>673</v>
      </c>
      <c r="Y133" s="460" t="s">
        <v>771</v>
      </c>
      <c r="Z133" s="460" t="s">
        <v>675</v>
      </c>
      <c r="AA133" s="459" t="s">
        <v>394</v>
      </c>
      <c r="AB133" s="459" t="s">
        <v>395</v>
      </c>
      <c r="AC133" s="459" t="s">
        <v>396</v>
      </c>
      <c r="AD133" s="459" t="s">
        <v>397</v>
      </c>
      <c r="AE133" s="459" t="s">
        <v>399</v>
      </c>
      <c r="AF133" s="459" t="s">
        <v>400</v>
      </c>
      <c r="AG133" s="459" t="s">
        <v>401</v>
      </c>
      <c r="AH133" s="458" t="s">
        <v>402</v>
      </c>
    </row>
    <row r="134" spans="1:39">
      <c r="A134" s="192" t="s">
        <v>404</v>
      </c>
      <c r="B134" s="200">
        <v>0.1</v>
      </c>
      <c r="C134" s="262">
        <v>0.1</v>
      </c>
      <c r="D134" s="200">
        <v>0.1</v>
      </c>
      <c r="E134" s="200">
        <v>0.1</v>
      </c>
      <c r="F134" s="200">
        <v>0.1</v>
      </c>
      <c r="G134" s="200">
        <v>0.1</v>
      </c>
      <c r="H134" s="263">
        <v>0.4</v>
      </c>
      <c r="I134" s="201" t="str">
        <f>IF((OR(SUM(B134:H134)&lt;1,SUM(B134:H134)&gt;1)),"ERROR","")</f>
        <v/>
      </c>
      <c r="J134" s="38"/>
      <c r="K134" s="201"/>
      <c r="L134" s="264" t="s">
        <v>309</v>
      </c>
      <c r="O134" s="378"/>
      <c r="P134" s="346" t="s">
        <v>550</v>
      </c>
      <c r="Q134" s="379">
        <f>$A56</f>
        <v>0</v>
      </c>
      <c r="R134" s="47"/>
      <c r="S134" s="379">
        <f t="shared" ref="S134:Z134" si="38">$A56</f>
        <v>0</v>
      </c>
      <c r="T134" s="379">
        <f t="shared" si="38"/>
        <v>0</v>
      </c>
      <c r="U134" s="379">
        <f t="shared" si="38"/>
        <v>0</v>
      </c>
      <c r="V134" s="379">
        <f t="shared" si="38"/>
        <v>0</v>
      </c>
      <c r="W134" s="379">
        <f t="shared" si="38"/>
        <v>0</v>
      </c>
      <c r="X134" s="379">
        <f t="shared" si="38"/>
        <v>0</v>
      </c>
      <c r="Y134" s="379">
        <f t="shared" si="38"/>
        <v>0</v>
      </c>
      <c r="Z134" s="379">
        <f t="shared" si="38"/>
        <v>0</v>
      </c>
      <c r="AA134" s="380" t="b">
        <f>BA2</f>
        <v>1</v>
      </c>
      <c r="AB134" s="380" t="b">
        <f>BB2</f>
        <v>1</v>
      </c>
      <c r="AC134" s="47" t="b">
        <f>BC2</f>
        <v>1</v>
      </c>
      <c r="AD134" s="47" t="b">
        <f>BD2</f>
        <v>1</v>
      </c>
      <c r="AE134" s="380" t="b">
        <f>BH2</f>
        <v>1</v>
      </c>
      <c r="AF134" s="380" t="b">
        <f>BI2</f>
        <v>1</v>
      </c>
      <c r="AG134" s="47" t="b">
        <f>BJ2</f>
        <v>1</v>
      </c>
      <c r="AH134" s="389" t="b">
        <f>BK2</f>
        <v>1</v>
      </c>
    </row>
    <row r="135" spans="1:39">
      <c r="A135" s="192"/>
      <c r="B135" s="265"/>
      <c r="C135" s="266"/>
      <c r="D135" s="265"/>
      <c r="E135" s="265"/>
      <c r="F135" s="265"/>
      <c r="G135" s="265"/>
      <c r="H135" s="267"/>
      <c r="I135" s="201"/>
      <c r="J135" s="38"/>
      <c r="K135" s="201"/>
      <c r="L135" s="264" t="s">
        <v>309</v>
      </c>
      <c r="O135" s="378"/>
      <c r="P135" s="346" t="s">
        <v>551</v>
      </c>
      <c r="Q135" s="381" t="s">
        <v>552</v>
      </c>
      <c r="R135" s="47"/>
      <c r="S135" s="381" t="s">
        <v>553</v>
      </c>
      <c r="T135" s="381" t="s">
        <v>910</v>
      </c>
      <c r="U135" s="381" t="s">
        <v>554</v>
      </c>
      <c r="V135" s="382" t="s">
        <v>555</v>
      </c>
      <c r="W135" s="382" t="s">
        <v>556</v>
      </c>
      <c r="X135" s="382" t="s">
        <v>557</v>
      </c>
      <c r="Y135" s="382" t="s">
        <v>911</v>
      </c>
      <c r="Z135" s="382" t="s">
        <v>558</v>
      </c>
      <c r="AA135" s="381" t="s">
        <v>559</v>
      </c>
      <c r="AB135" s="383" t="s">
        <v>560</v>
      </c>
      <c r="AC135" s="383" t="s">
        <v>561</v>
      </c>
      <c r="AD135" s="383" t="s">
        <v>562</v>
      </c>
      <c r="AE135" s="383" t="s">
        <v>563</v>
      </c>
      <c r="AF135" s="383" t="s">
        <v>564</v>
      </c>
      <c r="AG135" s="383" t="s">
        <v>565</v>
      </c>
      <c r="AH135" s="390" t="s">
        <v>566</v>
      </c>
    </row>
    <row r="136" spans="1:39">
      <c r="A136" s="197"/>
      <c r="B136" s="206"/>
      <c r="C136" s="268"/>
      <c r="D136" s="206" t="s">
        <v>309</v>
      </c>
      <c r="E136" s="206"/>
      <c r="F136" s="206"/>
      <c r="G136" s="206"/>
      <c r="H136" s="269"/>
      <c r="I136" s="446"/>
      <c r="J136" s="487">
        <f>Portfolio!$B$88</f>
        <v>10000</v>
      </c>
      <c r="K136" s="446"/>
      <c r="L136" s="490">
        <f>Portfolio!$B$88</f>
        <v>10000</v>
      </c>
      <c r="O136" s="384"/>
      <c r="P136" s="385" t="s">
        <v>567</v>
      </c>
      <c r="Q136" s="386">
        <f ca="1">OFFSET(INDIRECT(Q135),Q134,0)</f>
        <v>1972</v>
      </c>
      <c r="R136" s="444"/>
      <c r="S136" s="444">
        <f t="shared" ref="S136:Z136" ca="1" si="39">OFFSET(INDIRECT(S135),S134,0)</f>
        <v>12039.00929411998</v>
      </c>
      <c r="T136" s="444">
        <f t="shared" ca="1" si="39"/>
        <v>11185.217577531861</v>
      </c>
      <c r="U136" s="444">
        <f t="shared" ca="1" si="39"/>
        <v>12039.00929411998</v>
      </c>
      <c r="V136" s="444">
        <f t="shared" ca="1" si="39"/>
        <v>11642.430164431324</v>
      </c>
      <c r="W136" s="584">
        <f t="shared" ca="1" si="39"/>
        <v>0</v>
      </c>
      <c r="X136" s="584">
        <f t="shared" ca="1" si="39"/>
        <v>0</v>
      </c>
      <c r="Y136" s="444">
        <f t="shared" ca="1" si="39"/>
        <v>10816.763351448459</v>
      </c>
      <c r="Z136" s="444">
        <f t="shared" ca="1" si="39"/>
        <v>11642.430164431324</v>
      </c>
      <c r="AA136" s="386"/>
      <c r="AB136" s="386"/>
      <c r="AC136" s="386"/>
      <c r="AD136" s="386"/>
      <c r="AE136" s="386"/>
      <c r="AF136" s="386"/>
      <c r="AG136" s="386"/>
      <c r="AH136" s="461"/>
    </row>
    <row r="137" spans="1:39">
      <c r="A137" s="165">
        <v>1972</v>
      </c>
      <c r="B137" s="206">
        <f>IF(AND($A137&gt;=SYear72,$A137&lt;=EYear72),IF(B$134&gt;0,B$134*Data_72_15!$D8,""),"")</f>
        <v>1.8798043326345213</v>
      </c>
      <c r="C137" s="268">
        <f>IF(AND($A137&gt;=SYear72,$A137&lt;=EYear72),IF(C$134&gt;0,C$134*Data_72_15!$C8,""),"")</f>
        <v>1.7908809737603513</v>
      </c>
      <c r="D137" s="206">
        <f>IF(AND($A137&gt;=SYear72,$A137&lt;=EYear72),IF(D$134&gt;0,D$134*Data_72_15!$G8,""),"")</f>
        <v>0.69440287339120033</v>
      </c>
      <c r="E137" s="206">
        <f>IF(AND($A137&gt;=SYear72,$A137&lt;=EYear72),IF(E$134&gt;0,E$134*Data_72_15!$H8,""),"")</f>
        <v>0.71136386311483601</v>
      </c>
      <c r="F137" s="206">
        <f>IF(AND($A137&gt;=SYear72,$A137&lt;=EYear72),IF(F$134&gt;0,F$134*Data_72_15!$N8,""),"")</f>
        <v>3.8081221313111158</v>
      </c>
      <c r="G137" s="206">
        <f>IF(AND($A137&gt;=SYear72,$A137&lt;=EYear72),IF(G$134&gt;0,G$134*Data_72_15!$K8,""),"")</f>
        <v>0.77199281867145431</v>
      </c>
      <c r="H137" s="269">
        <f>IF(AND($A137&gt;=SYear72,$A137&lt;=EYear72),IF(H$134&gt;0,H$134*Data_72_15!$U8,""),"")</f>
        <v>2.1956087824351296</v>
      </c>
      <c r="I137" s="206">
        <f>IF(AND($A137&gt;=SYear72,$A137&lt;=EYear72),SUM(B137:H137),"")</f>
        <v>11.85217577531861</v>
      </c>
      <c r="J137" s="446">
        <f>IF(AND($A137&gt;=SYear72,$A137&lt;=EYear72),IF($A137=SYear72,$J$136*(1+I137%),$J136*(1+I137%)),"")</f>
        <v>11185.217577531861</v>
      </c>
      <c r="K137" s="206">
        <f>IF(AND($A137&gt;=SYear72,$A137&lt;=EYear72),(I137-Data_72_15!$AM8)/(1+Data_72_15!$AM8%),"")</f>
        <v>8.1676335144845904</v>
      </c>
      <c r="L137" s="447">
        <f>IF(AND($A137&gt;=SYear72,$A137&lt;=EYear72),IF($A137=SYear72,$L$136*(1+K137%),$L136*(1+K137%)),"")</f>
        <v>10816.763351448459</v>
      </c>
      <c r="P137">
        <v>0</v>
      </c>
      <c r="Q137">
        <f ca="1">IF(OFFSET(INDIRECT(S$135),$P137,0)="",Q136,OFFSET(INDIRECT(Q$135),$P137,0))</f>
        <v>1972</v>
      </c>
      <c r="R137" s="443">
        <f>AN7</f>
        <v>12039.00929411998</v>
      </c>
      <c r="S137" s="443">
        <f t="shared" ref="S137:Z138" ca="1" si="40">IF(OFFSET(INDIRECT(S$135),$P137,0)="",S136,OFFSET(INDIRECT(S$135),$P137,0))</f>
        <v>12039.00929411998</v>
      </c>
      <c r="T137" s="443">
        <f t="shared" ca="1" si="40"/>
        <v>11185.217577531861</v>
      </c>
      <c r="U137" s="443">
        <f t="shared" ca="1" si="40"/>
        <v>12039.00929411998</v>
      </c>
      <c r="V137" s="443">
        <f t="shared" ca="1" si="40"/>
        <v>11642.430164431324</v>
      </c>
      <c r="W137" s="209">
        <f t="shared" ca="1" si="40"/>
        <v>0</v>
      </c>
      <c r="X137" s="209">
        <f t="shared" ca="1" si="40"/>
        <v>0</v>
      </c>
      <c r="Y137" s="443">
        <f t="shared" ca="1" si="40"/>
        <v>10816.763351448459</v>
      </c>
      <c r="Z137" s="443">
        <f t="shared" ca="1" si="40"/>
        <v>11642.430164431324</v>
      </c>
      <c r="AA137" s="388">
        <f t="shared" ref="AA137:AH152" ca="1" si="41">IF(AA$134,IF(OFFSET(INDIRECT(AA$135),$P137,0)="","",OFFSET(INDIRECT(AA$135),$P137,0)),"")</f>
        <v>-5.5905546377663096E-2</v>
      </c>
      <c r="AB137" s="388">
        <f t="shared" ca="1" si="41"/>
        <v>5.1827893811231762E-2</v>
      </c>
      <c r="AC137" s="388">
        <f t="shared" ca="1" si="41"/>
        <v>7.9852832957996389E-2</v>
      </c>
      <c r="AD137" s="388">
        <f t="shared" ca="1" si="41"/>
        <v>0.1248414213773763</v>
      </c>
      <c r="AE137" s="388">
        <f t="shared" ca="1" si="41"/>
        <v>-0.12654553831660498</v>
      </c>
      <c r="AF137" s="388">
        <f t="shared" ca="1" si="41"/>
        <v>-1.886571676609905E-2</v>
      </c>
      <c r="AG137" s="388">
        <f t="shared" ca="1" si="41"/>
        <v>-5.8865062348694153E-3</v>
      </c>
      <c r="AH137" s="388">
        <f t="shared" ca="1" si="41"/>
        <v>5.3068454767516871E-2</v>
      </c>
    </row>
    <row r="138" spans="1:39">
      <c r="A138" s="165">
        <f>A137+1</f>
        <v>1973</v>
      </c>
      <c r="B138" s="206">
        <f>IF(AND($A138&gt;=SYear72,$A138&lt;=EYear72),IF(B$134&gt;0,B$134*Data_72_15!$D9,""),"")</f>
        <v>-1.4844763901367675</v>
      </c>
      <c r="C138" s="268">
        <f>IF(AND($A138&gt;=SYear72,$A138&lt;=EYear72),IF(C$134&gt;0,C$134*Data_72_15!$C9,""),"")</f>
        <v>-0.42302703781303008</v>
      </c>
      <c r="D138" s="206">
        <f>IF(AND($A138&gt;=SYear72,$A138&lt;=EYear72),IF(D$134&gt;0,D$134*Data_72_15!$G9,""),"")</f>
        <v>-2.7556619774518611</v>
      </c>
      <c r="E138" s="206">
        <f>IF(AND($A138&gt;=SYear72,$A138&lt;=EYear72),IF(E$134&gt;0,E$134*Data_72_15!$H9,""),"")</f>
        <v>-3.3073929961089492</v>
      </c>
      <c r="F138" s="206">
        <f>IF(AND($A138&gt;=SYear72,$A138&lt;=EYear72),IF(F$134&gt;0,F$134*Data_72_15!$N9,""),"")</f>
        <v>-1.4922171223308722</v>
      </c>
      <c r="G138" s="206">
        <f>IF(AND($A138&gt;=SYear72,$A138&lt;=EYear72),IF(G$134&gt;0,G$134*Data_72_15!$K9,""),"")</f>
        <v>-1.5719130261320569</v>
      </c>
      <c r="H138" s="269">
        <f>IF(AND($A138&gt;=SYear72,$A138&lt;=EYear72),IF(H$134&gt;0,H$134*Data_72_15!$U9,""),"")</f>
        <v>1.2774451097804391</v>
      </c>
      <c r="I138" s="206">
        <f>IF(AND($A138&gt;=SYear72,$A138&lt;=EYear72),SUM(B138:H138),"")</f>
        <v>-9.757243440193097</v>
      </c>
      <c r="J138" s="446">
        <f>IF(AND($A138&gt;=SYear72,$A138&lt;=EYear72),IF($A138=SYear72,$J$136*(1+I138%),$J137*(1+I138%)),"")</f>
        <v>10093.848669176808</v>
      </c>
      <c r="K138" s="206">
        <f>IF(AND($A138&gt;=SYear72,$A138&lt;=EYear72),(I138-Data_72_15!$AM9)/(1+Data_72_15!$AM9%),"")</f>
        <v>-16.984477190653831</v>
      </c>
      <c r="L138" s="447">
        <f>IF(AND($A138&gt;=SYear72,$A138&lt;=EYear72),IF($A138=SYear72,$L$136*(1+K138%),$L137*(1+K138%)),"")</f>
        <v>8979.5926472546926</v>
      </c>
      <c r="P138">
        <f>P137+1</f>
        <v>1</v>
      </c>
      <c r="Q138">
        <f ca="1">IF(OFFSET(INDIRECT(S$135),$P138,0)="",Q137,OFFSET(INDIRECT(Q$135),$P138,0))</f>
        <v>1973</v>
      </c>
      <c r="R138" s="443">
        <f>AN8</f>
        <v>10492.191891383531</v>
      </c>
      <c r="S138" s="443">
        <f t="shared" ca="1" si="40"/>
        <v>10492.191891383531</v>
      </c>
      <c r="T138" s="443">
        <f t="shared" ca="1" si="40"/>
        <v>10093.848669176808</v>
      </c>
      <c r="U138" s="443">
        <f t="shared" ca="1" si="40"/>
        <v>10433.684009053251</v>
      </c>
      <c r="V138" s="443">
        <f t="shared" ca="1" si="40"/>
        <v>9333.9629163606751</v>
      </c>
      <c r="W138" s="209">
        <f t="shared" ca="1" si="40"/>
        <v>0.128483778436149</v>
      </c>
      <c r="X138" s="209">
        <f t="shared" ca="1" si="40"/>
        <v>0.1333436369926877</v>
      </c>
      <c r="Y138" s="443">
        <f t="shared" ca="1" si="40"/>
        <v>8979.5926472546926</v>
      </c>
      <c r="Z138" s="443">
        <f t="shared" ca="1" si="40"/>
        <v>9281.9136963655546</v>
      </c>
      <c r="AA138" s="388">
        <f t="shared" ca="1" si="41"/>
        <v>-2.7571825022444929E-2</v>
      </c>
      <c r="AB138" s="388">
        <f t="shared" ca="1" si="41"/>
        <v>2.3828979820851748E-2</v>
      </c>
      <c r="AC138" s="388">
        <f t="shared" ca="1" si="41"/>
        <v>7.6370971303458379E-2</v>
      </c>
      <c r="AD138" s="388">
        <f t="shared" ca="1" si="41"/>
        <v>0.11734026355314753</v>
      </c>
      <c r="AE138" s="388">
        <f t="shared" ca="1" si="41"/>
        <v>-0.11034249001091723</v>
      </c>
      <c r="AF138" s="388">
        <f t="shared" ca="1" si="41"/>
        <v>-5.0954827904816202E-2</v>
      </c>
      <c r="AG138" s="388">
        <f t="shared" ca="1" si="41"/>
        <v>-9.4967885119847661E-3</v>
      </c>
      <c r="AH138" s="388">
        <f t="shared" ca="1" si="41"/>
        <v>4.5356258476690892E-2</v>
      </c>
    </row>
    <row r="139" spans="1:39">
      <c r="A139" s="165">
        <f t="shared" ref="A139:A181" si="42">A138+1</f>
        <v>1974</v>
      </c>
      <c r="B139" s="206">
        <f>IF(AND($A139&gt;=SYear72,$A139&lt;=EYear72),IF(B$134&gt;0,B$134*Data_72_15!$D10,""),"")</f>
        <v>-2.6624737945492662</v>
      </c>
      <c r="C139" s="268">
        <f>IF(AND($A139&gt;=SYear72,$A139&lt;=EYear72),IF(C$134&gt;0,C$134*Data_72_15!$C10,""),"")</f>
        <v>-2.3396188765838573</v>
      </c>
      <c r="D139" s="206">
        <f>IF(AND($A139&gt;=SYear72,$A139&lt;=EYear72),IF(D$134&gt;0,D$134*Data_72_15!$G10,""),"")</f>
        <v>-1.8726928065449469</v>
      </c>
      <c r="E139" s="206">
        <f>IF(AND($A139&gt;=SYear72,$A139&lt;=EYear72),IF(E$134&gt;0,E$134*Data_72_15!$H10,""),"")</f>
        <v>-2.6139878279956101</v>
      </c>
      <c r="F139" s="206">
        <f>IF(AND($A139&gt;=SYear72,$A139&lt;=EYear72),IF(F$134&gt;0,F$134*Data_72_15!$N10,""),"")</f>
        <v>-2.3682897625224508</v>
      </c>
      <c r="G139" s="206">
        <f>IF(AND($A139&gt;=SYear72,$A139&lt;=EYear72),IF(G$134&gt;0,G$134*Data_72_15!$K10,""),"")</f>
        <v>-2.1603830041891086</v>
      </c>
      <c r="H139" s="269">
        <f>IF(AND($A139&gt;=SYear72,$A139&lt;=EYear72),IF(H$134&gt;0,H$134*Data_72_15!$U10,""),"")</f>
        <v>2.7145708582834334</v>
      </c>
      <c r="I139" s="206">
        <f t="shared" ref="I139:I181" si="43">IF(AND($A139&gt;=SYear72,$A139&lt;=EYear72),SUM(B139:H139),"")</f>
        <v>-11.302875214101807</v>
      </c>
      <c r="J139" s="446">
        <f t="shared" ref="J139:J181" si="44">IF(AND($A139&gt;=SYear72,$A139&lt;=EYear72),IF($A139=SYear72,$J$136*(1+I139%),$J138*(1+I139%)),"")</f>
        <v>8952.9535497994784</v>
      </c>
      <c r="K139" s="206">
        <f>IF(AND($A139&gt;=SYear72,$A139&lt;=EYear72),(I139-Data_72_15!$AM10)/(1+Data_72_15!$AM10%),"")</f>
        <v>-21.044177936252474</v>
      </c>
      <c r="L139" s="447">
        <f t="shared" ref="L139:L181" si="45">IF(AND($A139&gt;=SYear72,$A139&lt;=EYear72),IF($A139=SYear72,$L$136*(1+K139%),$L138*(1+K139%)),"")</f>
        <v>7089.9111926157711</v>
      </c>
      <c r="P139">
        <f t="shared" ref="P139:P181" si="46">P138+1</f>
        <v>2</v>
      </c>
      <c r="Q139">
        <f t="shared" ref="Q139:Q181" ca="1" si="47">IF(OFFSET(INDIRECT(S$135),$P139,0)="",Q138,OFFSET(INDIRECT(Q$135),$P139,0))</f>
        <v>1974</v>
      </c>
      <c r="R139" s="443">
        <f t="shared" ref="R139:R181" si="48">AN9</f>
        <v>8414.8492233607758</v>
      </c>
      <c r="S139" s="443">
        <f t="shared" ref="S139:Z139" ca="1" si="49">IF(OFFSET(INDIRECT(S$135),$P139,0)="",S138,OFFSET(INDIRECT(S$135),$P139,0))</f>
        <v>8414.8492233607758</v>
      </c>
      <c r="T139" s="443">
        <f t="shared" ca="1" si="49"/>
        <v>8952.9535497994784</v>
      </c>
      <c r="U139" s="443">
        <f t="shared" ca="1" si="49"/>
        <v>8398.9464960253099</v>
      </c>
      <c r="V139" s="443">
        <f t="shared" ca="1" si="49"/>
        <v>6663.7823329504427</v>
      </c>
      <c r="W139" s="209">
        <f t="shared" ca="1" si="49"/>
        <v>0.30103474316024448</v>
      </c>
      <c r="X139" s="209">
        <f t="shared" ca="1" si="49"/>
        <v>0.30235567638215266</v>
      </c>
      <c r="Y139" s="443">
        <f t="shared" ca="1" si="49"/>
        <v>7089.9111926157711</v>
      </c>
      <c r="Z139" s="443">
        <f t="shared" ca="1" si="49"/>
        <v>6651.1888436732224</v>
      </c>
      <c r="AA139" s="388">
        <f t="shared" ca="1" si="41"/>
        <v>7.0579849494035951E-2</v>
      </c>
      <c r="AB139" s="388">
        <f t="shared" ca="1" si="41"/>
        <v>8.1668083131645419E-2</v>
      </c>
      <c r="AC139" s="388">
        <f t="shared" ca="1" si="41"/>
        <v>0.11105389838702373</v>
      </c>
      <c r="AD139" s="388">
        <f t="shared" ca="1" si="41"/>
        <v>0.14079009289346778</v>
      </c>
      <c r="AE139" s="388">
        <f t="shared" ca="1" si="41"/>
        <v>-8.729774075372454E-3</v>
      </c>
      <c r="AF139" s="388">
        <f t="shared" ca="1" si="41"/>
        <v>2.0852657907117766E-3</v>
      </c>
      <c r="AG139" s="388">
        <f t="shared" ca="1" si="41"/>
        <v>2.7160666810245315E-2</v>
      </c>
      <c r="AH139" s="388">
        <f t="shared" ca="1" si="41"/>
        <v>7.0161697234523368E-2</v>
      </c>
    </row>
    <row r="140" spans="1:39">
      <c r="A140" s="165">
        <f t="shared" si="42"/>
        <v>1975</v>
      </c>
      <c r="B140" s="206">
        <f>IF(AND($A140&gt;=SYear72,$A140&lt;=EYear72),IF(B$134&gt;0,B$134*Data_72_15!$D11,""),"")</f>
        <v>3.6967155835080363</v>
      </c>
      <c r="C140" s="268">
        <f>IF(AND($A140&gt;=SYear72,$A140&lt;=EYear72),IF(C$134&gt;0,C$134*Data_72_15!$C11,""),"")</f>
        <v>5.514317070737305</v>
      </c>
      <c r="D140" s="206">
        <f>IF(AND($A140&gt;=SYear72,$A140&lt;=EYear72),IF(D$134&gt;0,D$134*Data_72_15!$G11,""),"")</f>
        <v>5.7926768432605016</v>
      </c>
      <c r="E140" s="206">
        <f>IF(AND($A140&gt;=SYear72,$A140&lt;=EYear72),IF(E$134&gt;0,E$134*Data_72_15!$H11,""),"")</f>
        <v>5.7597525690910913</v>
      </c>
      <c r="F140" s="206">
        <f>IF(AND($A140&gt;=SYear72,$A140&lt;=EYear72),IF(F$134&gt;0,F$134*Data_72_15!$N11,""),"")</f>
        <v>3.6419876272201162</v>
      </c>
      <c r="G140" s="206">
        <f>IF(AND($A140&gt;=SYear72,$A140&lt;=EYear72),IF(G$134&gt;0,G$134*Data_72_15!$K11,""),"")</f>
        <v>1.8990624376620788</v>
      </c>
      <c r="H140" s="269">
        <f>IF(AND($A140&gt;=SYear72,$A140&lt;=EYear72),IF(H$134&gt;0,H$134*Data_72_15!$U11,""),"")</f>
        <v>3.2335329341317371</v>
      </c>
      <c r="I140" s="206">
        <f t="shared" si="43"/>
        <v>29.53804506561087</v>
      </c>
      <c r="J140" s="446">
        <f t="shared" si="44"/>
        <v>11597.481004042456</v>
      </c>
      <c r="K140" s="206">
        <f>IF(AND($A140&gt;=SYear72,$A140&lt;=EYear72),(I140-Data_72_15!$AM11)/(1+Data_72_15!$AM11%),"")</f>
        <v>21.135577277571251</v>
      </c>
      <c r="L140" s="447">
        <f t="shared" si="45"/>
        <v>8588.4048516422499</v>
      </c>
      <c r="P140">
        <f t="shared" si="46"/>
        <v>3</v>
      </c>
      <c r="Q140">
        <f t="shared" ca="1" si="47"/>
        <v>1975</v>
      </c>
      <c r="R140" s="443">
        <f t="shared" si="48"/>
        <v>11070.400944830533</v>
      </c>
      <c r="S140" s="443">
        <f t="shared" ref="S140:Z140" ca="1" si="50">IF(OFFSET(INDIRECT(S$135),$P140,0)="",S139,OFFSET(INDIRECT(S$135),$P140,0))</f>
        <v>11070.400944830533</v>
      </c>
      <c r="T140" s="443">
        <f t="shared" ca="1" si="50"/>
        <v>11597.481004042456</v>
      </c>
      <c r="U140" s="443">
        <f t="shared" ca="1" si="50"/>
        <v>10869.083693677105</v>
      </c>
      <c r="V140" s="443">
        <f t="shared" ca="1" si="50"/>
        <v>8198.0806996853153</v>
      </c>
      <c r="W140" s="209">
        <f t="shared" ca="1" si="50"/>
        <v>8.0455818716123839E-2</v>
      </c>
      <c r="X140" s="209">
        <f t="shared" ca="1" si="50"/>
        <v>9.7177896607678727E-2</v>
      </c>
      <c r="Y140" s="443">
        <f t="shared" ca="1" si="50"/>
        <v>8588.4048516422499</v>
      </c>
      <c r="Z140" s="443">
        <f t="shared" ca="1" si="50"/>
        <v>8048.9971136960185</v>
      </c>
      <c r="AA140" s="388">
        <f t="shared" ca="1" si="41"/>
        <v>0.17190885026368541</v>
      </c>
      <c r="AB140" s="388">
        <f t="shared" ca="1" si="41"/>
        <v>0.15881363379047886</v>
      </c>
      <c r="AC140" s="388">
        <f t="shared" ca="1" si="41"/>
        <v>0.14373337955388044</v>
      </c>
      <c r="AD140" s="388">
        <f t="shared" ca="1" si="41"/>
        <v>0.17347544957360905</v>
      </c>
      <c r="AE140" s="388">
        <f t="shared" ca="1" si="41"/>
        <v>0.10387293824503607</v>
      </c>
      <c r="AF140" s="388">
        <f t="shared" ca="1" si="41"/>
        <v>7.1736434031284935E-2</v>
      </c>
      <c r="AG140" s="388">
        <f t="shared" ca="1" si="41"/>
        <v>6.5610999460886443E-2</v>
      </c>
      <c r="AH140" s="388">
        <f t="shared" ca="1" si="41"/>
        <v>0.1060399812764703</v>
      </c>
    </row>
    <row r="141" spans="1:39">
      <c r="A141" s="165">
        <f t="shared" si="42"/>
        <v>1976</v>
      </c>
      <c r="B141" s="206">
        <f>IF(AND($A141&gt;=SYear72,$A141&lt;=EYear72),IF(B$134&gt;0,B$134*Data_72_15!$D12,""),"")</f>
        <v>2.3689727463312367</v>
      </c>
      <c r="C141" s="268">
        <f>IF(AND($A141&gt;=SYear72,$A141&lt;=EYear72),IF(C$134&gt;0,C$134*Data_72_15!$C12,""),"")</f>
        <v>4.4148458545345708</v>
      </c>
      <c r="D141" s="206">
        <f>IF(AND($A141&gt;=SYear72,$A141&lt;=EYear72),IF(D$134&gt;0,D$134*Data_72_15!$G12,""),"")</f>
        <v>6.0251421730020951</v>
      </c>
      <c r="E141" s="206">
        <f>IF(AND($A141&gt;=SYear72,$A141&lt;=EYear72),IF(E$134&gt;0,E$134*Data_72_15!$H12,""),"")</f>
        <v>4.6981941534470719</v>
      </c>
      <c r="F141" s="206">
        <f>IF(AND($A141&gt;=SYear72,$A141&lt;=EYear72),IF(F$134&gt;0,F$134*Data_72_15!$N12,""),"")</f>
        <v>0.29934144881261221</v>
      </c>
      <c r="G141" s="206">
        <f>IF(AND($A141&gt;=SYear72,$A141&lt;=EYear72),IF(G$134&gt;0,G$134*Data_72_15!$K12,""),"")</f>
        <v>4.7217235188509887</v>
      </c>
      <c r="H141" s="269">
        <f>IF(AND($A141&gt;=SYear72,$A141&lt;=EYear72),IF(H$134&gt;0,H$134*Data_72_15!$U12,""),"")</f>
        <v>4.5908183632734536</v>
      </c>
      <c r="I141" s="206">
        <f t="shared" si="43"/>
        <v>27.119038258252029</v>
      </c>
      <c r="J141" s="446">
        <f t="shared" si="44"/>
        <v>14742.606314522243</v>
      </c>
      <c r="K141" s="206">
        <f>IF(AND($A141&gt;=SYear72,$A141&lt;=EYear72),(I141-Data_72_15!$AM12)/(1+Data_72_15!$AM12%),"")</f>
        <v>21.221763287508384</v>
      </c>
      <c r="L141" s="447">
        <f t="shared" si="45"/>
        <v>10411.015799430654</v>
      </c>
      <c r="P141">
        <f t="shared" si="46"/>
        <v>4</v>
      </c>
      <c r="Q141">
        <f t="shared" ca="1" si="47"/>
        <v>1976</v>
      </c>
      <c r="R141" s="443">
        <f t="shared" si="48"/>
        <v>12874.293901693258</v>
      </c>
      <c r="S141" s="443">
        <f t="shared" ref="S141:Z141" ca="1" si="51">IF(OFFSET(INDIRECT(S$135),$P141,0)="",S140,OFFSET(INDIRECT(S$135),$P141,0))</f>
        <v>12874.293901693258</v>
      </c>
      <c r="T141" s="443">
        <f t="shared" ca="1" si="51"/>
        <v>14742.606314522243</v>
      </c>
      <c r="U141" s="443">
        <f t="shared" ca="1" si="51"/>
        <v>12508.837796780756</v>
      </c>
      <c r="V141" s="443">
        <f t="shared" ca="1" si="51"/>
        <v>9091.6405388246221</v>
      </c>
      <c r="W141" s="209">
        <f t="shared" ca="1" si="51"/>
        <v>0</v>
      </c>
      <c r="X141" s="209">
        <f t="shared" ca="1" si="51"/>
        <v>0</v>
      </c>
      <c r="Y141" s="443">
        <f t="shared" ca="1" si="51"/>
        <v>10411.015799430654</v>
      </c>
      <c r="Z141" s="443">
        <f t="shared" ca="1" si="51"/>
        <v>8833.5607121596058</v>
      </c>
      <c r="AA141" s="388">
        <f t="shared" ca="1" si="41"/>
        <v>0.11958649214254313</v>
      </c>
      <c r="AB141" s="388">
        <f t="shared" ca="1" si="41"/>
        <v>0.1447904819413619</v>
      </c>
      <c r="AC141" s="388">
        <f t="shared" ca="1" si="41"/>
        <v>0.14850644312546168</v>
      </c>
      <c r="AD141" s="388">
        <f t="shared" ca="1" si="41"/>
        <v>0.14612374296802022</v>
      </c>
      <c r="AE141" s="388">
        <f t="shared" ca="1" si="41"/>
        <v>4.7833843763452011E-2</v>
      </c>
      <c r="AF141" s="388">
        <f t="shared" ca="1" si="41"/>
        <v>4.8051074153793394E-2</v>
      </c>
      <c r="AG141" s="388">
        <f t="shared" ca="1" si="41"/>
        <v>7.3249557392828679E-2</v>
      </c>
      <c r="AH141" s="388">
        <f t="shared" ca="1" si="41"/>
        <v>8.0821480566331649E-2</v>
      </c>
    </row>
    <row r="142" spans="1:39">
      <c r="A142" s="165">
        <f t="shared" si="42"/>
        <v>1977</v>
      </c>
      <c r="B142" s="206">
        <f>IF(AND($A142&gt;=SYear72,$A142&lt;=EYear72),IF(B$134&gt;0,B$134*Data_72_15!$D13,""),"")</f>
        <v>-0.79564739942098428</v>
      </c>
      <c r="C142" s="268">
        <f>IF(AND($A142&gt;=SYear72,$A142&lt;=EYear72),IF(C$134&gt;0,C$134*Data_72_15!$C13,""),"")</f>
        <v>0.11174299112042306</v>
      </c>
      <c r="D142" s="206">
        <f>IF(AND($A142&gt;=SYear72,$A142&lt;=EYear72),IF(D$134&gt;0,D$134*Data_72_15!$G13,""),"")</f>
        <v>2.2917290232465333</v>
      </c>
      <c r="E142" s="206">
        <f>IF(AND($A142&gt;=SYear72,$A142&lt;=EYear72),IF(E$134&gt;0,E$134*Data_72_15!$H13,""),"")</f>
        <v>1.7908809737603513</v>
      </c>
      <c r="F142" s="206">
        <f>IF(AND($A142&gt;=SYear72,$A142&lt;=EYear72),IF(F$134&gt;0,F$134*Data_72_15!$N13,""),"")</f>
        <v>2.2705048892436643</v>
      </c>
      <c r="G142" s="206">
        <f>IF(AND($A142&gt;=SYear72,$A142&lt;=EYear72),IF(G$134&gt;0,G$134*Data_72_15!$K13,""),"")</f>
        <v>2.2082585278276481</v>
      </c>
      <c r="H142" s="269">
        <f>IF(AND($A142&gt;=SYear72,$A142&lt;=EYear72),IF(H$134&gt;0,H$134*Data_72_15!$U13,""),"")</f>
        <v>1.1177644710578842</v>
      </c>
      <c r="I142" s="206">
        <f t="shared" si="43"/>
        <v>8.9952334768355193</v>
      </c>
      <c r="J142" s="446">
        <f t="shared" si="44"/>
        <v>16068.738173084217</v>
      </c>
      <c r="K142" s="206">
        <f>IF(AND($A142&gt;=SYear72,$A142&lt;=EYear72),(I142-Data_72_15!$AM13)/(1+Data_72_15!$AM13%),"")</f>
        <v>2.1501221956815995</v>
      </c>
      <c r="L142" s="447">
        <f t="shared" si="45"/>
        <v>10634.865360930131</v>
      </c>
      <c r="P142">
        <f t="shared" si="46"/>
        <v>5</v>
      </c>
      <c r="Q142">
        <f t="shared" ca="1" si="47"/>
        <v>1977</v>
      </c>
      <c r="R142" s="443">
        <f t="shared" si="48"/>
        <v>13543.404226096491</v>
      </c>
      <c r="S142" s="443">
        <f t="shared" ref="S142:Z142" ca="1" si="52">IF(OFFSET(INDIRECT(S$135),$P142,0)="",S141,OFFSET(INDIRECT(S$135),$P142,0))</f>
        <v>13543.404226096491</v>
      </c>
      <c r="T142" s="443">
        <f t="shared" ca="1" si="52"/>
        <v>16068.738173084217</v>
      </c>
      <c r="U142" s="443">
        <f t="shared" ca="1" si="52"/>
        <v>13177.29453501197</v>
      </c>
      <c r="V142" s="443">
        <f t="shared" ca="1" si="52"/>
        <v>8963.5090771749728</v>
      </c>
      <c r="W142" s="209">
        <f t="shared" ca="1" si="52"/>
        <v>0</v>
      </c>
      <c r="X142" s="209">
        <f t="shared" ca="1" si="52"/>
        <v>0</v>
      </c>
      <c r="Y142" s="443">
        <f t="shared" ca="1" si="52"/>
        <v>10634.865360930131</v>
      </c>
      <c r="Z142" s="443">
        <f t="shared" ca="1" si="52"/>
        <v>8721.2045956359416</v>
      </c>
      <c r="AA142" s="388">
        <f t="shared" ca="1" si="41"/>
        <v>0.10950764768440524</v>
      </c>
      <c r="AB142" s="388">
        <f t="shared" ca="1" si="41"/>
        <v>0.10862446956239746</v>
      </c>
      <c r="AC142" s="388">
        <f t="shared" ca="1" si="41"/>
        <v>0.16322736073302124</v>
      </c>
      <c r="AD142" s="388">
        <f t="shared" ca="1" si="41"/>
        <v>0.15216265956077946</v>
      </c>
      <c r="AE142" s="388">
        <f t="shared" ca="1" si="41"/>
        <v>1.1982122368541903E-2</v>
      </c>
      <c r="AF142" s="388">
        <f t="shared" ca="1" si="41"/>
        <v>7.2644034295907822E-3</v>
      </c>
      <c r="AG142" s="388">
        <f t="shared" ca="1" si="41"/>
        <v>9.0989773011945552E-2</v>
      </c>
      <c r="AH142" s="388">
        <f t="shared" ca="1" si="41"/>
        <v>8.7771586851042471E-2</v>
      </c>
    </row>
    <row r="143" spans="1:39">
      <c r="A143" s="165">
        <f t="shared" si="42"/>
        <v>1978</v>
      </c>
      <c r="B143" s="206">
        <f>IF(AND($A143&gt;=SYear72,$A143&lt;=EYear72),IF(B$134&gt;0,B$134*Data_72_15!$D14,""),"")</f>
        <v>0.59000000000000008</v>
      </c>
      <c r="C143" s="268">
        <f>IF(AND($A143&gt;=SYear72,$A143&lt;=EYear72),IF(C$134&gt;0,C$134*Data_72_15!$C14,""),"")</f>
        <v>0.35318766836276572</v>
      </c>
      <c r="D143" s="206">
        <f>IF(AND($A143&gt;=SYear72,$A143&lt;=EYear72),IF(D$134&gt;0,D$134*Data_72_15!$G14,""),"")</f>
        <v>2.1799860321261098</v>
      </c>
      <c r="E143" s="206">
        <f>IF(AND($A143&gt;=SYear72,$A143&lt;=EYear72),IF(E$134&gt;0,E$134*Data_72_15!$H14,""),"")</f>
        <v>2.0662476304499653</v>
      </c>
      <c r="F143" s="206">
        <f>IF(AND($A143&gt;=SYear72,$A143&lt;=EYear72),IF(F$134&gt;0,F$134*Data_72_15!$N14,""),"")</f>
        <v>3.5452005587707052</v>
      </c>
      <c r="G143" s="206">
        <f>IF(AND($A143&gt;=SYear72,$A143&lt;=EYear72),IF(G$134&gt;0,G$134*Data_72_15!$K14,""),"")</f>
        <v>1.0013963694394576</v>
      </c>
      <c r="H143" s="269">
        <f>IF(AND($A143&gt;=SYear72,$A143&lt;=EYear72),IF(H$134&gt;0,H$134*Data_72_15!$U14,""),"")</f>
        <v>0.79840319361277445</v>
      </c>
      <c r="I143" s="206">
        <f t="shared" si="43"/>
        <v>10.534421452761778</v>
      </c>
      <c r="J143" s="446">
        <f t="shared" si="44"/>
        <v>17761.486774377721</v>
      </c>
      <c r="K143" s="206">
        <f>IF(AND($A143&gt;=SYear72,$A143&lt;=EYear72),(I143-Data_72_15!$AM14)/(1+Data_72_15!$AM14%),"")</f>
        <v>1.3912492203324478</v>
      </c>
      <c r="L143" s="447">
        <f t="shared" si="45"/>
        <v>10782.822842347477</v>
      </c>
      <c r="P143">
        <f t="shared" si="46"/>
        <v>6</v>
      </c>
      <c r="Q143">
        <f t="shared" ca="1" si="47"/>
        <v>1978</v>
      </c>
      <c r="R143" s="443">
        <f t="shared" si="48"/>
        <v>15535.895825756959</v>
      </c>
      <c r="S143" s="443">
        <f t="shared" ref="S143:Z143" ca="1" si="53">IF(OFFSET(INDIRECT(S$135),$P143,0)="",S142,OFFSET(INDIRECT(S$135),$P143,0))</f>
        <v>15535.895825756959</v>
      </c>
      <c r="T143" s="443">
        <f t="shared" ca="1" si="53"/>
        <v>17761.486774377721</v>
      </c>
      <c r="U143" s="443">
        <f t="shared" ca="1" si="53"/>
        <v>15303.24608512723</v>
      </c>
      <c r="V143" s="443">
        <f t="shared" ca="1" si="53"/>
        <v>9431.688603229115</v>
      </c>
      <c r="W143" s="209">
        <f t="shared" ca="1" si="53"/>
        <v>0</v>
      </c>
      <c r="X143" s="209">
        <f t="shared" ca="1" si="53"/>
        <v>0</v>
      </c>
      <c r="Y143" s="443">
        <f t="shared" ca="1" si="53"/>
        <v>10782.822842347477</v>
      </c>
      <c r="Z143" s="443">
        <f t="shared" ca="1" si="53"/>
        <v>9290.4492481348461</v>
      </c>
      <c r="AA143" s="388">
        <f t="shared" ca="1" si="41"/>
        <v>0.17135495684586588</v>
      </c>
      <c r="AB143" s="388">
        <f t="shared" ca="1" si="41"/>
        <v>0.13160937099814873</v>
      </c>
      <c r="AC143" s="388">
        <f t="shared" ca="1" si="41"/>
        <v>0.16725156334343327</v>
      </c>
      <c r="AD143" s="388">
        <f t="shared" ca="1" si="41"/>
        <v>0.15110901442873881</v>
      </c>
      <c r="AE143" s="388">
        <f t="shared" ca="1" si="41"/>
        <v>4.9660338968870565E-2</v>
      </c>
      <c r="AF143" s="388">
        <f t="shared" ca="1" si="41"/>
        <v>3.3772301693636875E-2</v>
      </c>
      <c r="AG143" s="388">
        <f t="shared" ca="1" si="41"/>
        <v>9.7117249676794248E-2</v>
      </c>
      <c r="AH143" s="388">
        <f t="shared" ca="1" si="41"/>
        <v>8.9407603023975213E-2</v>
      </c>
    </row>
    <row r="144" spans="1:39">
      <c r="A144" s="165">
        <f t="shared" si="42"/>
        <v>1979</v>
      </c>
      <c r="B144" s="206">
        <f>IF(AND($A144&gt;=SYear72,$A144&lt;=EYear72),IF(B$134&gt;0,B$134*Data_72_15!$D15,""),"")</f>
        <v>1.8</v>
      </c>
      <c r="C144" s="268">
        <f>IF(AND($A144&gt;=SYear72,$A144&lt;=EYear72),IF(C$134&gt;0,C$134*Data_72_15!$C15,""),"")</f>
        <v>2.0223485982240845</v>
      </c>
      <c r="D144" s="206">
        <f>IF(AND($A144&gt;=SYear72,$A144&lt;=EYear72),IF(D$134&gt;0,D$134*Data_72_15!$G15,""),"")</f>
        <v>3.5089294622368556</v>
      </c>
      <c r="E144" s="206">
        <f>IF(AND($A144&gt;=SYear72,$A144&lt;=EYear72),IF(E$134&gt;0,E$134*Data_72_15!$H15,""),"")</f>
        <v>4.2771625261897643</v>
      </c>
      <c r="F144" s="206">
        <f>IF(AND($A144&gt;=SYear72,$A144&lt;=EYear72),IF(F$134&gt;0,F$134*Data_72_15!$N15,""),"")</f>
        <v>0.42406705248453402</v>
      </c>
      <c r="G144" s="206">
        <f>IF(AND($A144&gt;=SYear72,$A144&lt;=EYear72),IF(G$134&gt;0,G$134*Data_72_15!$K15,""),"")</f>
        <v>3.5547576301615802</v>
      </c>
      <c r="H144" s="269">
        <f>IF(AND($A144&gt;=SYear72,$A144&lt;=EYear72),IF(H$134&gt;0,H$134*Data_72_15!$U15,""),"")</f>
        <v>2.5548902195608783</v>
      </c>
      <c r="I144" s="206">
        <f t="shared" si="43"/>
        <v>18.142155488857696</v>
      </c>
      <c r="J144" s="446">
        <f t="shared" si="44"/>
        <v>20983.803322118223</v>
      </c>
      <c r="K144" s="206">
        <f>IF(AND($A144&gt;=SYear72,$A144&lt;=EYear72),(I144-Data_72_15!$AM15)/(1+Data_72_15!$AM15%),"")</f>
        <v>4.2793210768665739</v>
      </c>
      <c r="L144" s="447">
        <f t="shared" si="45"/>
        <v>11244.254452921235</v>
      </c>
      <c r="P144">
        <f t="shared" si="46"/>
        <v>7</v>
      </c>
      <c r="Q144">
        <f t="shared" ca="1" si="47"/>
        <v>1979</v>
      </c>
      <c r="R144" s="443">
        <f t="shared" si="48"/>
        <v>17583.864140035039</v>
      </c>
      <c r="S144" s="443">
        <f t="shared" ref="S144:Z144" ca="1" si="54">IF(OFFSET(INDIRECT(S$135),$P144,0)="",S143,OFFSET(INDIRECT(S$135),$P144,0))</f>
        <v>17583.864140035039</v>
      </c>
      <c r="T144" s="443">
        <f t="shared" ca="1" si="54"/>
        <v>20983.803322118223</v>
      </c>
      <c r="U144" s="443">
        <f t="shared" ca="1" si="54"/>
        <v>17061.81428479603</v>
      </c>
      <c r="V144" s="443">
        <f t="shared" ca="1" si="54"/>
        <v>9422.3835222352045</v>
      </c>
      <c r="W144" s="209">
        <f t="shared" ca="1" si="54"/>
        <v>0</v>
      </c>
      <c r="X144" s="209">
        <f t="shared" ca="1" si="54"/>
        <v>0</v>
      </c>
      <c r="Y144" s="443">
        <f t="shared" ca="1" si="54"/>
        <v>11244.254452921235</v>
      </c>
      <c r="Z144" s="443">
        <f t="shared" ca="1" si="54"/>
        <v>9142.6410313574543</v>
      </c>
      <c r="AA144" s="388">
        <f t="shared" ca="1" si="41"/>
        <v>0.11541498089207702</v>
      </c>
      <c r="AB144" s="388">
        <f t="shared" ca="1" si="41"/>
        <v>0.14123804184648736</v>
      </c>
      <c r="AC144" s="388">
        <f t="shared" ca="1" si="41"/>
        <v>0.17155209186527909</v>
      </c>
      <c r="AD144" s="388">
        <f t="shared" ca="1" si="41"/>
        <v>0.15403604831423179</v>
      </c>
      <c r="AE144" s="388">
        <f t="shared" ca="1" si="41"/>
        <v>-1.7633605907263483E-4</v>
      </c>
      <c r="AF144" s="388">
        <f t="shared" ca="1" si="41"/>
        <v>5.2863535129973549E-2</v>
      </c>
      <c r="AG144" s="388">
        <f t="shared" ca="1" si="41"/>
        <v>0.10591504424709441</v>
      </c>
      <c r="AH144" s="388">
        <f t="shared" ca="1" si="41"/>
        <v>9.6498692006872888E-2</v>
      </c>
    </row>
    <row r="145" spans="1:34">
      <c r="A145" s="165">
        <f t="shared" si="42"/>
        <v>1980</v>
      </c>
      <c r="B145" s="206">
        <f>IF(AND($A145&gt;=SYear72,$A145&lt;=EYear72),IF(B$134&gt;0,B$134*Data_72_15!$D16,""),"")</f>
        <v>3.19</v>
      </c>
      <c r="C145" s="268">
        <f>IF(AND($A145&gt;=SYear72,$A145&lt;=EYear72),IF(C$134&gt;0,C$134*Data_72_15!$C16,""),"")</f>
        <v>2.4114536565898437</v>
      </c>
      <c r="D145" s="206">
        <f>IF(AND($A145&gt;=SYear72,$A145&lt;=EYear72),IF(D$134&gt;0,D$134*Data_72_15!$G16,""),"")</f>
        <v>2.5112241843759353</v>
      </c>
      <c r="E145" s="206">
        <f>IF(AND($A145&gt;=SYear72,$A145&lt;=EYear72),IF(E$134&gt;0,E$134*Data_72_15!$H16,""),"")</f>
        <v>3.8281951511523502</v>
      </c>
      <c r="F145" s="206">
        <f>IF(AND($A145&gt;=SYear72,$A145&lt;=EYear72),IF(F$134&gt;0,F$134*Data_72_15!$N16,""),"")</f>
        <v>2.2959489123927361</v>
      </c>
      <c r="G145" s="206">
        <f>IF(AND($A145&gt;=SYear72,$A145&lt;=EYear72),IF(G$134&gt;0,G$134*Data_72_15!$K16,""),"")</f>
        <v>2.4077398763215641</v>
      </c>
      <c r="H145" s="269">
        <f>IF(AND($A145&gt;=SYear72,$A145&lt;=EYear72),IF(H$134&gt;0,H$134*Data_72_15!$U16,""),"")</f>
        <v>2.5548902195608783</v>
      </c>
      <c r="I145" s="206">
        <f t="shared" si="43"/>
        <v>19.199452000393308</v>
      </c>
      <c r="J145" s="446">
        <f t="shared" si="44"/>
        <v>25012.578568805246</v>
      </c>
      <c r="K145" s="206">
        <f>IF(AND($A145&gt;=SYear72,$A145&lt;=EYear72),(I145-Data_72_15!$AM16)/(1+Data_72_15!$AM16%),"")</f>
        <v>5.9397215345326506</v>
      </c>
      <c r="L145" s="447">
        <f t="shared" si="45"/>
        <v>11912.131856059046</v>
      </c>
      <c r="P145">
        <f t="shared" si="46"/>
        <v>8</v>
      </c>
      <c r="Q145">
        <f t="shared" ca="1" si="47"/>
        <v>1980</v>
      </c>
      <c r="R145" s="443">
        <f t="shared" si="48"/>
        <v>21766.740516459507</v>
      </c>
      <c r="S145" s="443">
        <f t="shared" ref="S145:Z145" ca="1" si="55">IF(OFFSET(INDIRECT(S$135),$P145,0)="",S144,OFFSET(INDIRECT(S$135),$P145,0))</f>
        <v>21766.740516459507</v>
      </c>
      <c r="T145" s="443">
        <f t="shared" ca="1" si="55"/>
        <v>25012.578568805246</v>
      </c>
      <c r="U145" s="443">
        <f t="shared" ca="1" si="55"/>
        <v>21145.189202544814</v>
      </c>
      <c r="V145" s="443">
        <f t="shared" ca="1" si="55"/>
        <v>10366.315587792422</v>
      </c>
      <c r="W145" s="209">
        <f t="shared" ca="1" si="55"/>
        <v>0</v>
      </c>
      <c r="X145" s="209">
        <f t="shared" ca="1" si="55"/>
        <v>0</v>
      </c>
      <c r="Y145" s="443">
        <f t="shared" ca="1" si="55"/>
        <v>11912.131856059046</v>
      </c>
      <c r="Z145" s="443">
        <f t="shared" ca="1" si="55"/>
        <v>10070.304475371864</v>
      </c>
      <c r="AA145" s="388">
        <f t="shared" ca="1" si="41"/>
        <v>0.12641579723092633</v>
      </c>
      <c r="AB145" s="388">
        <f t="shared" ca="1" si="41"/>
        <v>0.12884937263540919</v>
      </c>
      <c r="AC145" s="388">
        <f t="shared" ca="1" si="41"/>
        <v>0.18087577684586087</v>
      </c>
      <c r="AD145" s="388">
        <f t="shared" ca="1" si="41"/>
        <v>0.14509319483700844</v>
      </c>
      <c r="AE145" s="388">
        <f t="shared" ca="1" si="41"/>
        <v>3.9474678977920563E-2</v>
      </c>
      <c r="AF145" s="388">
        <f t="shared" ca="1" si="41"/>
        <v>5.9520574383013169E-2</v>
      </c>
      <c r="AG145" s="388">
        <f t="shared" ca="1" si="41"/>
        <v>0.1236013227649011</v>
      </c>
      <c r="AH145" s="388">
        <f t="shared" ca="1" si="41"/>
        <v>9.5163777993420684E-2</v>
      </c>
    </row>
    <row r="146" spans="1:34">
      <c r="A146" s="165">
        <f t="shared" si="42"/>
        <v>1981</v>
      </c>
      <c r="B146" s="206">
        <f>IF(AND($A146&gt;=SYear72,$A146&lt;=EYear72),IF(B$134&gt;0,B$134*Data_72_15!$D17,""),"")</f>
        <v>-0.52</v>
      </c>
      <c r="C146" s="268">
        <f>IF(AND($A146&gt;=SYear72,$A146&lt;=EYear72),IF(C$134&gt;0,C$134*Data_72_15!$C17,""),"")</f>
        <v>0.10675446473111845</v>
      </c>
      <c r="D146" s="206">
        <f>IF(AND($A146&gt;=SYear72,$A146&lt;=EYear72),IF(D$134&gt;0,D$134*Data_72_15!$G17,""),"")</f>
        <v>1.4636336426219696</v>
      </c>
      <c r="E146" s="206">
        <f>IF(AND($A146&gt;=SYear72,$A146&lt;=EYear72),IF(E$134&gt;0,E$134*Data_72_15!$H17,""),"")</f>
        <v>0.17659383418138286</v>
      </c>
      <c r="F146" s="206">
        <f>IF(AND($A146&gt;=SYear72,$A146&lt;=EYear72),IF(F$134&gt;0,F$134*Data_72_15!$N17,""),"")</f>
        <v>-3.7916583516264223E-2</v>
      </c>
      <c r="G146" s="206">
        <f>IF(AND($A146&gt;=SYear72,$A146&lt;=EYear72),IF(G$134&gt;0,G$134*Data_72_15!$K17,""),"")</f>
        <v>0.57251147017753856</v>
      </c>
      <c r="H146" s="269">
        <f>IF(AND($A146&gt;=SYear72,$A146&lt;=EYear72),IF(H$134&gt;0,H$134*Data_72_15!$U17,""),"")</f>
        <v>4.2315369261477054</v>
      </c>
      <c r="I146" s="206">
        <f t="shared" si="43"/>
        <v>5.9931137543434509</v>
      </c>
      <c r="J146" s="446">
        <f t="shared" si="44"/>
        <v>26511.610855328276</v>
      </c>
      <c r="K146" s="206">
        <f>IF(AND($A146&gt;=SYear72,$A146&lt;=EYear72),(I146-Data_72_15!$AM17)/(1+Data_72_15!$AM17%),"")</f>
        <v>-2.6893008829804268</v>
      </c>
      <c r="L146" s="447">
        <f t="shared" si="45"/>
        <v>11591.778788872258</v>
      </c>
      <c r="P146">
        <f t="shared" si="46"/>
        <v>9</v>
      </c>
      <c r="Q146">
        <f t="shared" ca="1" si="47"/>
        <v>1981</v>
      </c>
      <c r="R146" s="443">
        <f t="shared" si="48"/>
        <v>21559.849245848167</v>
      </c>
      <c r="S146" s="443">
        <f t="shared" ref="S146:Z146" ca="1" si="56">IF(OFFSET(INDIRECT(S$135),$P146,0)="",S145,OFFSET(INDIRECT(S$135),$P146,0))</f>
        <v>21559.849245848167</v>
      </c>
      <c r="T146" s="443">
        <f t="shared" ca="1" si="56"/>
        <v>26511.610855328276</v>
      </c>
      <c r="U146" s="443">
        <f t="shared" ca="1" si="56"/>
        <v>20884.833351938458</v>
      </c>
      <c r="V146" s="443">
        <f t="shared" ca="1" si="56"/>
        <v>9426.7000425995739</v>
      </c>
      <c r="W146" s="209">
        <f t="shared" ca="1" si="56"/>
        <v>9.5049265853514031E-3</v>
      </c>
      <c r="X146" s="209">
        <f t="shared" ca="1" si="56"/>
        <v>1.2312769969209936E-2</v>
      </c>
      <c r="Y146" s="443">
        <f t="shared" ca="1" si="56"/>
        <v>11591.778788872258</v>
      </c>
      <c r="Z146" s="443">
        <f t="shared" ca="1" si="56"/>
        <v>9131.5601145177716</v>
      </c>
      <c r="AA146" s="388">
        <f t="shared" ca="1" si="41"/>
        <v>0.11380210249416711</v>
      </c>
      <c r="AB146" s="388">
        <f t="shared" ca="1" si="41"/>
        <v>0.15223446622633974</v>
      </c>
      <c r="AC146" s="388">
        <f t="shared" ca="1" si="41"/>
        <v>0.14679095565340572</v>
      </c>
      <c r="AD146" s="388">
        <f t="shared" ca="1" si="41"/>
        <v>0.14577221427715492</v>
      </c>
      <c r="AE146" s="388">
        <f t="shared" ca="1" si="41"/>
        <v>5.5865217427795155E-2</v>
      </c>
      <c r="AF146" s="388">
        <f t="shared" ca="1" si="41"/>
        <v>9.9053892362954921E-2</v>
      </c>
      <c r="AG146" s="388">
        <f t="shared" ca="1" si="41"/>
        <v>9.7588953207158324E-2</v>
      </c>
      <c r="AH146" s="388">
        <f t="shared" ca="1" si="41"/>
        <v>0.10261809109329678</v>
      </c>
    </row>
    <row r="147" spans="1:34">
      <c r="A147" s="165">
        <f t="shared" si="42"/>
        <v>1982</v>
      </c>
      <c r="B147" s="206">
        <f>IF(AND($A147&gt;=SYear72,$A147&lt;=EYear72),IF(B$134&gt;0,B$134*Data_72_15!$D18,""),"")</f>
        <v>2.09</v>
      </c>
      <c r="C147" s="268">
        <f>IF(AND($A147&gt;=SYear72,$A147&lt;=EYear72),IF(C$134&gt;0,C$134*Data_72_15!$C18,""),"")</f>
        <v>1.9724633343310387</v>
      </c>
      <c r="D147" s="206">
        <f>IF(AND($A147&gt;=SYear72,$A147&lt;=EYear72),IF(D$134&gt;0,D$134*Data_72_15!$G18,""),"")</f>
        <v>2.8205128205128207</v>
      </c>
      <c r="E147" s="206">
        <f>IF(AND($A147&gt;=SYear72,$A147&lt;=EYear72),IF(E$134&gt;0,E$134*Data_72_15!$H18,""),"")</f>
        <v>2.4613389204828895</v>
      </c>
      <c r="F147" s="206">
        <f>IF(AND($A147&gt;=SYear72,$A147&lt;=EYear72),IF(F$134&gt;0,F$134*Data_72_15!$N18,""),"")</f>
        <v>-0.11474755537816805</v>
      </c>
      <c r="G147" s="206">
        <f>IF(AND($A147&gt;=SYear72,$A147&lt;=EYear72),IF(G$134&gt;0,G$134*Data_72_15!$K18,""),"")</f>
        <v>2.1284659884300821</v>
      </c>
      <c r="H147" s="269">
        <f>IF(AND($A147&gt;=SYear72,$A147&lt;=EYear72),IF(H$134&gt;0,H$134*Data_72_15!$U18,""),"")</f>
        <v>10.059880239520957</v>
      </c>
      <c r="I147" s="206">
        <f t="shared" si="43"/>
        <v>21.417913747899622</v>
      </c>
      <c r="J147" s="446">
        <f t="shared" si="44"/>
        <v>32189.84480150128</v>
      </c>
      <c r="K147" s="206">
        <f>IF(AND($A147&gt;=SYear72,$A147&lt;=EYear72),(I147-Data_72_15!$AM18)/(1+Data_72_15!$AM18%),"")</f>
        <v>16.939384142444315</v>
      </c>
      <c r="L147" s="447">
        <f t="shared" si="45"/>
        <v>13555.354726861709</v>
      </c>
      <c r="P147">
        <f t="shared" si="46"/>
        <v>10</v>
      </c>
      <c r="Q147">
        <f t="shared" ca="1" si="47"/>
        <v>1982</v>
      </c>
      <c r="R147" s="443">
        <f t="shared" si="48"/>
        <v>25131.043225665871</v>
      </c>
      <c r="S147" s="443">
        <f t="shared" ref="S147:Z147" ca="1" si="57">IF(OFFSET(INDIRECT(S$135),$P147,0)="",S146,OFFSET(INDIRECT(S$135),$P147,0))</f>
        <v>25131.043225665871</v>
      </c>
      <c r="T147" s="443">
        <f t="shared" ca="1" si="57"/>
        <v>32189.84480150128</v>
      </c>
      <c r="U147" s="443">
        <f t="shared" ca="1" si="57"/>
        <v>23830.80024413154</v>
      </c>
      <c r="V147" s="443">
        <f t="shared" ca="1" si="57"/>
        <v>10582.847096053973</v>
      </c>
      <c r="W147" s="209">
        <f t="shared" ca="1" si="57"/>
        <v>0</v>
      </c>
      <c r="X147" s="209">
        <f t="shared" ca="1" si="57"/>
        <v>0</v>
      </c>
      <c r="Y147" s="443">
        <f t="shared" ca="1" si="57"/>
        <v>13555.354726861709</v>
      </c>
      <c r="Z147" s="443">
        <f t="shared" ca="1" si="57"/>
        <v>10035.306250346375</v>
      </c>
      <c r="AA147" s="388">
        <f t="shared" ca="1" si="41"/>
        <v>0.14344740492515595</v>
      </c>
      <c r="AB147" s="388">
        <f t="shared" ca="1" si="41"/>
        <v>0.22051959875286942</v>
      </c>
      <c r="AC147" s="388">
        <f t="shared" ca="1" si="41"/>
        <v>0.17456880953511411</v>
      </c>
      <c r="AD147" s="388">
        <f t="shared" ca="1" si="41"/>
        <v>0.15597523810726499</v>
      </c>
      <c r="AE147" s="388">
        <f t="shared" ca="1" si="41"/>
        <v>0.10098825816256762</v>
      </c>
      <c r="AF147" s="388">
        <f t="shared" ca="1" si="41"/>
        <v>0.18167452434931342</v>
      </c>
      <c r="AG147" s="388">
        <f t="shared" ca="1" si="41"/>
        <v>0.13040695989016982</v>
      </c>
      <c r="AH147" s="388">
        <f t="shared" ca="1" si="41"/>
        <v>0.11635805230695961</v>
      </c>
    </row>
    <row r="148" spans="1:34">
      <c r="A148" s="165">
        <f t="shared" si="42"/>
        <v>1983</v>
      </c>
      <c r="B148" s="206">
        <f>IF(AND($A148&gt;=SYear72,$A148&lt;=EYear72),IF(B$134&gt;0,B$134*Data_72_15!$D19,""),"")</f>
        <v>2.1300000000000003</v>
      </c>
      <c r="C148" s="268">
        <f>IF(AND($A148&gt;=SYear72,$A148&lt;=EYear72),IF(C$134&gt;0,C$134*Data_72_15!$C19,""),"")</f>
        <v>2.8005587149556024</v>
      </c>
      <c r="D148" s="206">
        <f>IF(AND($A148&gt;=SYear72,$A148&lt;=EYear72),IF(D$134&gt;0,D$134*Data_72_15!$G19,""),"")</f>
        <v>3.8281951511523502</v>
      </c>
      <c r="E148" s="206">
        <f>IF(AND($A148&gt;=SYear72,$A148&lt;=EYear72),IF(E$134&gt;0,E$134*Data_72_15!$H19,""),"")</f>
        <v>2.8803751371844761</v>
      </c>
      <c r="F148" s="206">
        <f>IF(AND($A148&gt;=SYear72,$A148&lt;=EYear72),IF(F$134&gt;0,F$134*Data_72_15!$N19,""),"")</f>
        <v>2.5523847535422077</v>
      </c>
      <c r="G148" s="206">
        <f>IF(AND($A148&gt;=SYear72,$A148&lt;=EYear72),IF(G$134&gt;0,G$134*Data_72_15!$K19,""),"")</f>
        <v>3.0261320566527035</v>
      </c>
      <c r="H148" s="269">
        <f>IF(AND($A148&gt;=SYear72,$A148&lt;=EYear72),IF(H$134&gt;0,H$134*Data_72_15!$U19,""),"")</f>
        <v>3.1936127744510974</v>
      </c>
      <c r="I148" s="206">
        <f t="shared" si="43"/>
        <v>20.411258587938438</v>
      </c>
      <c r="J148" s="446">
        <f t="shared" si="44"/>
        <v>38760.197262991765</v>
      </c>
      <c r="K148" s="206">
        <f>IF(AND($A148&gt;=SYear72,$A148&lt;=EYear72),(I148-Data_72_15!$AM19)/(1+Data_72_15!$AM19%),"")</f>
        <v>16.013216566463875</v>
      </c>
      <c r="L148" s="447">
        <f t="shared" si="45"/>
        <v>15726.003035626474</v>
      </c>
      <c r="P148">
        <f t="shared" si="46"/>
        <v>11</v>
      </c>
      <c r="Q148">
        <f t="shared" ca="1" si="47"/>
        <v>1983</v>
      </c>
      <c r="R148" s="443">
        <f t="shared" si="48"/>
        <v>30075.821602640011</v>
      </c>
      <c r="S148" s="443">
        <f t="shared" ref="S148:Z148" ca="1" si="58">IF(OFFSET(INDIRECT(S$135),$P148,0)="",S147,OFFSET(INDIRECT(S$135),$P148,0))</f>
        <v>30075.821602640011</v>
      </c>
      <c r="T148" s="443">
        <f t="shared" ca="1" si="58"/>
        <v>38760.197262991765</v>
      </c>
      <c r="U148" s="443">
        <f t="shared" ca="1" si="58"/>
        <v>28648.686351199518</v>
      </c>
      <c r="V148" s="443">
        <f t="shared" ca="1" si="58"/>
        <v>12202.529791396892</v>
      </c>
      <c r="W148" s="209">
        <f t="shared" ca="1" si="58"/>
        <v>0</v>
      </c>
      <c r="X148" s="209">
        <f t="shared" ca="1" si="58"/>
        <v>0</v>
      </c>
      <c r="Y148" s="443">
        <f t="shared" ca="1" si="58"/>
        <v>15726.003035626474</v>
      </c>
      <c r="Z148" s="443">
        <f t="shared" ca="1" si="58"/>
        <v>11623.504531434353</v>
      </c>
      <c r="AA148" s="388">
        <f t="shared" ca="1" si="41"/>
        <v>0.20715322090374766</v>
      </c>
      <c r="AB148" s="388">
        <f t="shared" ca="1" si="41"/>
        <v>0.20401637441894094</v>
      </c>
      <c r="AC148" s="388">
        <f t="shared" ca="1" si="41"/>
        <v>0.16098448166577151</v>
      </c>
      <c r="AD148" s="388">
        <f t="shared" ca="1" si="41"/>
        <v>0.15625677067700328</v>
      </c>
      <c r="AE148" s="388">
        <f t="shared" ca="1" si="41"/>
        <v>0.16244464915978463</v>
      </c>
      <c r="AF148" s="388">
        <f t="shared" ca="1" si="41"/>
        <v>0.16434369306122631</v>
      </c>
      <c r="AG148" s="388">
        <f t="shared" ca="1" si="41"/>
        <v>0.11833819299940895</v>
      </c>
      <c r="AH148" s="388">
        <f t="shared" ca="1" si="41"/>
        <v>0.11817210106063136</v>
      </c>
    </row>
    <row r="149" spans="1:34">
      <c r="A149" s="165">
        <f t="shared" si="42"/>
        <v>1984</v>
      </c>
      <c r="B149" s="206">
        <f>IF(AND($A149&gt;=SYear72,$A149&lt;=EYear72),IF(B$134&gt;0,B$134*Data_72_15!$D20,""),"")</f>
        <v>0.621</v>
      </c>
      <c r="C149" s="268">
        <f>IF(AND($A149&gt;=SYear72,$A149&lt;=EYear72),IF(C$134&gt;0,C$134*Data_72_15!$C20,""),"")</f>
        <v>0.98473510924872787</v>
      </c>
      <c r="D149" s="206">
        <f>IF(AND($A149&gt;=SYear72,$A149&lt;=EYear72),IF(D$134&gt;0,D$134*Data_72_15!$G20,""),"")</f>
        <v>0.2065249925172104</v>
      </c>
      <c r="E149" s="206">
        <f>IF(AND($A149&gt;=SYear72,$A149&lt;=EYear72),IF(E$134&gt;0,E$134*Data_72_15!$H20,""),"")</f>
        <v>-0.75127207422927278</v>
      </c>
      <c r="F149" s="206">
        <f>IF(AND($A149&gt;=SYear72,$A149&lt;=EYear72),IF(F$134&gt;0,F$134*Data_72_15!$N20,""),"")</f>
        <v>0.80223508281780076</v>
      </c>
      <c r="G149" s="206">
        <f>IF(AND($A149&gt;=SYear72,$A149&lt;=EYear72),IF(G$134&gt;0,G$134*Data_72_15!$K20,""),"")</f>
        <v>2.0586475164572113</v>
      </c>
      <c r="H149" s="269">
        <f>IF(AND($A149&gt;=SYear72,$A149&lt;=EYear72),IF(H$134&gt;0,H$134*Data_72_15!$U20,""),"")</f>
        <v>5.6287425149700603</v>
      </c>
      <c r="I149" s="206">
        <f t="shared" si="43"/>
        <v>9.5506131417817386</v>
      </c>
      <c r="J149" s="446">
        <f t="shared" si="44"/>
        <v>42462.033756571582</v>
      </c>
      <c r="K149" s="206">
        <f>IF(AND($A149&gt;=SYear72,$A149&lt;=EYear72),(I149-Data_72_15!$AM20)/(1+Data_72_15!$AM20%),"")</f>
        <v>5.3891463557691477</v>
      </c>
      <c r="L149" s="447">
        <f t="shared" si="45"/>
        <v>16573.500355129083</v>
      </c>
      <c r="P149">
        <f t="shared" si="46"/>
        <v>12</v>
      </c>
      <c r="Q149">
        <f t="shared" ca="1" si="47"/>
        <v>1984</v>
      </c>
      <c r="R149" s="443">
        <f t="shared" si="48"/>
        <v>32232.52285992241</v>
      </c>
      <c r="S149" s="443">
        <f t="shared" ref="S149:Z149" ca="1" si="59">IF(OFFSET(INDIRECT(S$135),$P149,0)="",S148,OFFSET(INDIRECT(S$135),$P149,0))</f>
        <v>32232.52285992241</v>
      </c>
      <c r="T149" s="443">
        <f t="shared" ca="1" si="59"/>
        <v>42462.033756571582</v>
      </c>
      <c r="U149" s="443">
        <f t="shared" ca="1" si="59"/>
        <v>30636.086378390479</v>
      </c>
      <c r="V149" s="443">
        <f t="shared" ca="1" si="59"/>
        <v>12580.78527581018</v>
      </c>
      <c r="W149" s="209">
        <f t="shared" ca="1" si="59"/>
        <v>0</v>
      </c>
      <c r="X149" s="209">
        <f t="shared" ca="1" si="59"/>
        <v>0</v>
      </c>
      <c r="Y149" s="443">
        <f t="shared" ca="1" si="59"/>
        <v>16573.500355129083</v>
      </c>
      <c r="Z149" s="443">
        <f t="shared" ca="1" si="59"/>
        <v>11957.674740283464</v>
      </c>
      <c r="AA149" s="388">
        <f t="shared" ca="1" si="41"/>
        <v>0.24752905515133827</v>
      </c>
      <c r="AB149" s="388">
        <f t="shared" ca="1" si="41"/>
        <v>0.20267135656746382</v>
      </c>
      <c r="AC149" s="388">
        <f t="shared" ca="1" si="41"/>
        <v>0.16048877088126945</v>
      </c>
      <c r="AD149" s="388">
        <f t="shared" ca="1" si="41"/>
        <v>0.15545160685211346</v>
      </c>
      <c r="AE149" s="388">
        <f t="shared" ca="1" si="41"/>
        <v>0.21189890102706976</v>
      </c>
      <c r="AF149" s="388">
        <f t="shared" ca="1" si="41"/>
        <v>0.16163970380175674</v>
      </c>
      <c r="AG149" s="388">
        <f t="shared" ca="1" si="41"/>
        <v>0.11898981761600269</v>
      </c>
      <c r="AH149" s="388">
        <f t="shared" ca="1" si="41"/>
        <v>0.11897519748319429</v>
      </c>
    </row>
    <row r="150" spans="1:34">
      <c r="A150" s="165">
        <f t="shared" si="42"/>
        <v>1985</v>
      </c>
      <c r="B150" s="206">
        <f>IF(AND($A150&gt;=SYear72,$A150&lt;=EYear72),IF(B$134&gt;0,B$134*Data_72_15!$D21,""),"")</f>
        <v>3.1230000000000002</v>
      </c>
      <c r="C150" s="268">
        <f>IF(AND($A150&gt;=SYear72,$A150&lt;=EYear72),IF(C$134&gt;0,C$134*Data_72_15!$C21,""),"")</f>
        <v>3.1198244038710965</v>
      </c>
      <c r="D150" s="206">
        <f>IF(AND($A150&gt;=SYear72,$A150&lt;=EYear72),IF(D$134&gt;0,D$134*Data_72_15!$G21,""),"")</f>
        <v>3.0699391399780507</v>
      </c>
      <c r="E150" s="206">
        <f>IF(AND($A150&gt;=SYear72,$A150&lt;=EYear72),IF(E$134&gt;0,E$134*Data_72_15!$H21,""),"")</f>
        <v>3.0799161927566598</v>
      </c>
      <c r="F150" s="206">
        <f>IF(AND($A150&gt;=SYear72,$A150&lt;=EYear72),IF(F$134&gt;0,F$134*Data_72_15!$N21,""),"")</f>
        <v>5.698463380562762</v>
      </c>
      <c r="G150" s="206">
        <f>IF(AND($A150&gt;=SYear72,$A150&lt;=EYear72),IF(G$134&gt;0,G$134*Data_72_15!$K21,""),"")</f>
        <v>1.8791143028126873</v>
      </c>
      <c r="H150" s="269">
        <f>IF(AND($A150&gt;=SYear72,$A150&lt;=EYear72),IF(H$134&gt;0,H$134*Data_72_15!$U21,""),"")</f>
        <v>7.1057884231536939</v>
      </c>
      <c r="I150" s="206">
        <f t="shared" si="43"/>
        <v>27.076045843134953</v>
      </c>
      <c r="J150" s="446">
        <f t="shared" si="44"/>
        <v>53959.073482428335</v>
      </c>
      <c r="K150" s="206">
        <f>IF(AND($A150&gt;=SYear72,$A150&lt;=EYear72),(I150-Data_72_15!$AM21)/(1+Data_72_15!$AM21%),"")</f>
        <v>22.425504366716478</v>
      </c>
      <c r="L150" s="447">
        <f t="shared" si="45"/>
        <v>20290.191400986329</v>
      </c>
      <c r="P150">
        <f t="shared" si="46"/>
        <v>13</v>
      </c>
      <c r="Q150">
        <f t="shared" ca="1" si="47"/>
        <v>1985</v>
      </c>
      <c r="R150" s="443">
        <f t="shared" si="48"/>
        <v>44207.678546848023</v>
      </c>
      <c r="S150" s="443">
        <f t="shared" ref="S150:Z150" ca="1" si="60">IF(OFFSET(INDIRECT(S$135),$P150,0)="",S149,OFFSET(INDIRECT(S$135),$P150,0))</f>
        <v>44207.678546848023</v>
      </c>
      <c r="T150" s="443">
        <f t="shared" ca="1" si="60"/>
        <v>53959.073482428335</v>
      </c>
      <c r="U150" s="443">
        <f t="shared" ca="1" si="60"/>
        <v>42544.730024971344</v>
      </c>
      <c r="V150" s="443">
        <f t="shared" ca="1" si="60"/>
        <v>16623.381411486327</v>
      </c>
      <c r="W150" s="209">
        <f t="shared" ca="1" si="60"/>
        <v>0</v>
      </c>
      <c r="X150" s="209">
        <f t="shared" ca="1" si="60"/>
        <v>0</v>
      </c>
      <c r="Y150" s="443">
        <f t="shared" ca="1" si="60"/>
        <v>20290.191400986329</v>
      </c>
      <c r="Z150" s="443">
        <f t="shared" ca="1" si="60"/>
        <v>15998.06408075318</v>
      </c>
      <c r="AA150" s="388">
        <f t="shared" ca="1" si="41"/>
        <v>0.25417862485107556</v>
      </c>
      <c r="AB150" s="388">
        <f t="shared" ca="1" si="41"/>
        <v>0.23529997371198808</v>
      </c>
      <c r="AC150" s="388">
        <f t="shared" ca="1" si="41"/>
        <v>0.15330255084205846</v>
      </c>
      <c r="AD150" s="388">
        <f t="shared" ca="1" si="41"/>
        <v>0.16430849141857462</v>
      </c>
      <c r="AE150" s="388">
        <f t="shared" ca="1" si="41"/>
        <v>0.21646676718273783</v>
      </c>
      <c r="AF150" s="388">
        <f t="shared" ca="1" si="41"/>
        <v>0.19155773190549952</v>
      </c>
      <c r="AG150" s="388">
        <f t="shared" ca="1" si="41"/>
        <v>0.11343254073527609</v>
      </c>
      <c r="AH150" s="388">
        <f t="shared" ca="1" si="41"/>
        <v>0.12847259107108577</v>
      </c>
    </row>
    <row r="151" spans="1:34">
      <c r="A151" s="165">
        <f t="shared" si="42"/>
        <v>1986</v>
      </c>
      <c r="B151" s="206">
        <f>IF(AND($A151&gt;=SYear72,$A151&lt;=EYear72),IF(B$134&gt;0,B$134*Data_72_15!$D22,""),"")</f>
        <v>1.806</v>
      </c>
      <c r="C151" s="268">
        <f>IF(AND($A151&gt;=SYear72,$A151&lt;=EYear72),IF(C$134&gt;0,C$134*Data_72_15!$C22,""),"")</f>
        <v>1.9724633343310387</v>
      </c>
      <c r="D151" s="206">
        <f>IF(AND($A151&gt;=SYear72,$A151&lt;=EYear72),IF(D$134&gt;0,D$134*Data_72_15!$G22,""),"")</f>
        <v>0.71535468422627968</v>
      </c>
      <c r="E151" s="206">
        <f>IF(AND($A151&gt;=SYear72,$A151&lt;=EYear72),IF(E$134&gt;0,E$134*Data_72_15!$H22,""),"")</f>
        <v>0.54574478698992324</v>
      </c>
      <c r="F151" s="206">
        <f>IF(AND($A151&gt;=SYear72,$A151&lt;=EYear72),IF(F$134&gt;0,F$134*Data_72_15!$N22,""),"")</f>
        <v>6.8449411295150684</v>
      </c>
      <c r="G151" s="206">
        <f>IF(AND($A151&gt;=SYear72,$A151&lt;=EYear72),IF(G$134&gt;0,G$134*Data_72_15!$K22,""),"")</f>
        <v>1.8890883702373829</v>
      </c>
      <c r="H151" s="269">
        <f>IF(AND($A151&gt;=SYear72,$A151&lt;=EYear72),IF(H$134&gt;0,H$134*Data_72_15!$U22,""),"")</f>
        <v>5.1497005988023954</v>
      </c>
      <c r="I151" s="206">
        <f t="shared" si="43"/>
        <v>18.923292904102087</v>
      </c>
      <c r="J151" s="446">
        <f t="shared" si="44"/>
        <v>64169.907005847926</v>
      </c>
      <c r="K151" s="206">
        <f>IF(AND($A151&gt;=SYear72,$A151&lt;=EYear72),(I151-Data_72_15!$AM22)/(1+Data_72_15!$AM22%),"")</f>
        <v>17.631818230030397</v>
      </c>
      <c r="L151" s="447">
        <f t="shared" si="45"/>
        <v>23867.721067333496</v>
      </c>
      <c r="P151">
        <f t="shared" si="46"/>
        <v>14</v>
      </c>
      <c r="Q151">
        <f t="shared" ca="1" si="47"/>
        <v>1986</v>
      </c>
      <c r="R151" s="443">
        <f t="shared" si="48"/>
        <v>58394.172399220894</v>
      </c>
      <c r="S151" s="443">
        <f t="shared" ref="S151:Z151" ca="1" si="61">IF(OFFSET(INDIRECT(S$135),$P151,0)="",S150,OFFSET(INDIRECT(S$135),$P151,0))</f>
        <v>58394.172399220894</v>
      </c>
      <c r="T151" s="443">
        <f t="shared" ca="1" si="61"/>
        <v>64169.907005847926</v>
      </c>
      <c r="U151" s="443">
        <f t="shared" ca="1" si="61"/>
        <v>58304.456027132481</v>
      </c>
      <c r="V151" s="443">
        <f t="shared" ca="1" si="61"/>
        <v>21719.461408217023</v>
      </c>
      <c r="W151" s="209">
        <f t="shared" ca="1" si="61"/>
        <v>0</v>
      </c>
      <c r="X151" s="209">
        <f t="shared" ca="1" si="61"/>
        <v>0</v>
      </c>
      <c r="Y151" s="443">
        <f t="shared" ca="1" si="61"/>
        <v>23867.721067333496</v>
      </c>
      <c r="Z151" s="443">
        <f t="shared" ca="1" si="61"/>
        <v>21686.091789277336</v>
      </c>
      <c r="AA151" s="388">
        <f t="shared" ca="1" si="41"/>
        <v>0.19623969529327678</v>
      </c>
      <c r="AB151" s="388">
        <f t="shared" ca="1" si="41"/>
        <v>0.14137316190133253</v>
      </c>
      <c r="AC151" s="388">
        <f t="shared" ca="1" si="41"/>
        <v>0.14255469224536599</v>
      </c>
      <c r="AD151" s="388">
        <f t="shared" ca="1" si="41"/>
        <v>0.13440871913584851</v>
      </c>
      <c r="AE151" s="388">
        <f t="shared" ca="1" si="41"/>
        <v>0.15796628474894203</v>
      </c>
      <c r="AF151" s="388">
        <f t="shared" ca="1" si="41"/>
        <v>9.6125966682388375E-2</v>
      </c>
      <c r="AG151" s="388">
        <f t="shared" ca="1" si="41"/>
        <v>0.1044045225895498</v>
      </c>
      <c r="AH151" s="388">
        <f t="shared" ca="1" si="41"/>
        <v>9.9784556196598873E-2</v>
      </c>
    </row>
    <row r="152" spans="1:34">
      <c r="A152" s="165">
        <f t="shared" si="42"/>
        <v>1987</v>
      </c>
      <c r="B152" s="206">
        <f>IF(AND($A152&gt;=SYear72,$A152&lt;=EYear72),IF(B$134&gt;0,B$134*Data_72_15!$D23,""),"")</f>
        <v>0.47100000000000003</v>
      </c>
      <c r="C152" s="268">
        <f>IF(AND($A152&gt;=SYear72,$A152&lt;=EYear72),IF(C$134&gt;0,C$134*Data_72_15!$C23,""),"")</f>
        <v>2.6938042502244842E-2</v>
      </c>
      <c r="D152" s="206">
        <f>IF(AND($A152&gt;=SYear72,$A152&lt;=EYear72),IF(D$134&gt;0,D$134*Data_72_15!$G23,""),"")</f>
        <v>-0.73131796867205434</v>
      </c>
      <c r="E152" s="206">
        <f>IF(AND($A152&gt;=SYear72,$A152&lt;=EYear72),IF(E$134&gt;0,E$134*Data_72_15!$H23,""),"")</f>
        <v>-0.9009278659084109</v>
      </c>
      <c r="F152" s="206">
        <f>IF(AND($A152&gt;=SYear72,$A152&lt;=EYear72),IF(F$134&gt;0,F$134*Data_72_15!$N23,""),"")</f>
        <v>2.6541608461384953</v>
      </c>
      <c r="G152" s="206">
        <f>IF(AND($A152&gt;=SYear72,$A152&lt;=EYear72),IF(G$134&gt;0,G$134*Data_72_15!$K23,""),"")</f>
        <v>-0.38499900259325759</v>
      </c>
      <c r="H152" s="269">
        <f>IF(AND($A152&gt;=SYear72,$A152&lt;=EYear72),IF(H$134&gt;0,H$134*Data_72_15!$U23,""),"")</f>
        <v>0.37524950099800397</v>
      </c>
      <c r="I152" s="206">
        <f t="shared" si="43"/>
        <v>1.5101035524650215</v>
      </c>
      <c r="J152" s="446">
        <f t="shared" si="44"/>
        <v>65138.939051156733</v>
      </c>
      <c r="K152" s="206">
        <f>IF(AND($A152&gt;=SYear72,$A152&lt;=EYear72),(I152-Data_72_15!$AM23)/(1+Data_72_15!$AM23%),"")</f>
        <v>-2.8001174822583694</v>
      </c>
      <c r="L152" s="447">
        <f t="shared" si="45"/>
        <v>23199.396837110427</v>
      </c>
      <c r="P152">
        <f t="shared" si="46"/>
        <v>15</v>
      </c>
      <c r="Q152">
        <f t="shared" ca="1" si="47"/>
        <v>1987</v>
      </c>
      <c r="R152" s="443">
        <f t="shared" si="48"/>
        <v>63587.607320058407</v>
      </c>
      <c r="S152" s="443">
        <f t="shared" ref="S152:Z152" ca="1" si="62">IF(OFFSET(INDIRECT(S$135),$P152,0)="",S151,OFFSET(INDIRECT(S$135),$P152,0))</f>
        <v>63587.607320058407</v>
      </c>
      <c r="T152" s="443">
        <f t="shared" ca="1" si="62"/>
        <v>65138.939051156733</v>
      </c>
      <c r="U152" s="443">
        <f t="shared" ca="1" si="62"/>
        <v>66257.318968409891</v>
      </c>
      <c r="V152" s="443">
        <f t="shared" ca="1" si="62"/>
        <v>22646.886142585816</v>
      </c>
      <c r="W152" s="209">
        <f t="shared" ca="1" si="62"/>
        <v>0</v>
      </c>
      <c r="X152" s="209">
        <f t="shared" ca="1" si="62"/>
        <v>0</v>
      </c>
      <c r="Y152" s="443">
        <f t="shared" ca="1" si="62"/>
        <v>23199.396837110427</v>
      </c>
      <c r="Z152" s="443">
        <f t="shared" ca="1" si="62"/>
        <v>23597.710655126924</v>
      </c>
      <c r="AA152" s="388">
        <f t="shared" ca="1" si="41"/>
        <v>0.16661883597431193</v>
      </c>
      <c r="AB152" s="388">
        <f t="shared" ca="1" si="41"/>
        <v>0.1303480007551101</v>
      </c>
      <c r="AC152" s="388">
        <f t="shared" ca="1" si="41"/>
        <v>0.1249945488762656</v>
      </c>
      <c r="AD152" s="388">
        <f t="shared" ca="1" si="41"/>
        <v>0.10574377197982865</v>
      </c>
      <c r="AE152" s="388">
        <f t="shared" ca="1" si="41"/>
        <v>0.11637828760744418</v>
      </c>
      <c r="AF152" s="388">
        <f t="shared" ca="1" si="41"/>
        <v>8.1363665406736896E-2</v>
      </c>
      <c r="AG152" s="388">
        <f t="shared" ca="1" si="41"/>
        <v>8.5066430490861933E-2</v>
      </c>
      <c r="AH152" s="388">
        <f t="shared" ca="1" si="41"/>
        <v>7.1674467474590609E-2</v>
      </c>
    </row>
    <row r="153" spans="1:34">
      <c r="A153" s="165">
        <f t="shared" si="42"/>
        <v>1988</v>
      </c>
      <c r="B153" s="206">
        <f>IF(AND($A153&gt;=SYear72,$A153&lt;=EYear72),IF(B$134&gt;0,B$134*Data_72_15!$D24,""),"")</f>
        <v>1.6219999999999999</v>
      </c>
      <c r="C153" s="268">
        <f>IF(AND($A153&gt;=SYear72,$A153&lt;=EYear72),IF(C$134&gt;0,C$134*Data_72_15!$C24,""),"")</f>
        <v>2.2917290232465333</v>
      </c>
      <c r="D153" s="206">
        <f>IF(AND($A153&gt;=SYear72,$A153&lt;=EYear72),IF(D$134&gt;0,D$134*Data_72_15!$G24,""),"")</f>
        <v>2.9202833482989128</v>
      </c>
      <c r="E153" s="206">
        <f>IF(AND($A153&gt;=SYear72,$A153&lt;=EYear72),IF(E$134&gt;0,E$134*Data_72_15!$H24,""),"")</f>
        <v>2.4613389204828895</v>
      </c>
      <c r="F153" s="206">
        <f>IF(AND($A153&gt;=SYear72,$A153&lt;=EYear72),IF(F$134&gt;0,F$134*Data_72_15!$N24,""),"")</f>
        <v>3.0083815605667539</v>
      </c>
      <c r="G153" s="206">
        <f>IF(AND($A153&gt;=SYear72,$A153&lt;=EYear72),IF(G$134&gt;0,G$134*Data_72_15!$K24,""),"")</f>
        <v>1.3205665270297229</v>
      </c>
      <c r="H153" s="269">
        <f>IF(AND($A153&gt;=SYear72,$A153&lt;=EYear72),IF(H$134&gt;0,H$134*Data_72_15!$U24,""),"")</f>
        <v>2.94</v>
      </c>
      <c r="I153" s="206">
        <f t="shared" si="43"/>
        <v>16.564299379624813</v>
      </c>
      <c r="J153" s="446">
        <f t="shared" si="44"/>
        <v>75928.747928301673</v>
      </c>
      <c r="K153" s="206">
        <f>IF(AND($A153&gt;=SYear72,$A153&lt;=EYear72),(I153-Data_72_15!$AM24)/(1+Data_72_15!$AM24%),"")</f>
        <v>11.630872600902119</v>
      </c>
      <c r="L153" s="447">
        <f t="shared" si="45"/>
        <v>25897.689127412457</v>
      </c>
      <c r="P153">
        <f t="shared" si="46"/>
        <v>16</v>
      </c>
      <c r="Q153">
        <f t="shared" ca="1" si="47"/>
        <v>1988</v>
      </c>
      <c r="R153" s="443">
        <f t="shared" si="48"/>
        <v>75674.984152616831</v>
      </c>
      <c r="S153" s="443">
        <f t="shared" ref="S153:Z153" ca="1" si="63">IF(OFFSET(INDIRECT(S$135),$P153,0)="",S152,OFFSET(INDIRECT(S$135),$P153,0))</f>
        <v>75674.984152616831</v>
      </c>
      <c r="T153" s="443">
        <f t="shared" ca="1" si="63"/>
        <v>75928.747928301673</v>
      </c>
      <c r="U153" s="443">
        <f t="shared" ca="1" si="63"/>
        <v>81591.779574418368</v>
      </c>
      <c r="V153" s="443">
        <f t="shared" ca="1" si="63"/>
        <v>25811.135673631168</v>
      </c>
      <c r="W153" s="209">
        <f t="shared" ca="1" si="63"/>
        <v>0</v>
      </c>
      <c r="X153" s="209">
        <f t="shared" ca="1" si="63"/>
        <v>0</v>
      </c>
      <c r="Y153" s="443">
        <f t="shared" ca="1" si="63"/>
        <v>25897.689127412457</v>
      </c>
      <c r="Z153" s="443">
        <f t="shared" ca="1" si="63"/>
        <v>27829.229381814079</v>
      </c>
      <c r="AA153" s="388">
        <f t="shared" ref="AA153:AH181" ca="1" si="64">IF(AA$134,IF(OFFSET(INDIRECT(AA$135),$P153,0)="","",OFFSET(INDIRECT(AA$135),$P153,0)),"")</f>
        <v>0.10430194220837463</v>
      </c>
      <c r="AB153" s="388">
        <f t="shared" ca="1" si="64"/>
        <v>0.11949056118047419</v>
      </c>
      <c r="AC153" s="388">
        <f t="shared" ca="1" si="64"/>
        <v>0.13309216522150713</v>
      </c>
      <c r="AD153" s="388">
        <f t="shared" ca="1" si="64"/>
        <v>9.0006724185064391E-2</v>
      </c>
      <c r="AE153" s="388">
        <f t="shared" ca="1" si="64"/>
        <v>5.1165425426697553E-2</v>
      </c>
      <c r="AF153" s="388">
        <f t="shared" ca="1" si="64"/>
        <v>7.4150460361893655E-2</v>
      </c>
      <c r="AG153" s="388">
        <f t="shared" ca="1" si="64"/>
        <v>9.5777505307883981E-2</v>
      </c>
      <c r="AH153" s="388">
        <f t="shared" ca="1" si="64"/>
        <v>5.7824593777220601E-2</v>
      </c>
    </row>
    <row r="154" spans="1:34">
      <c r="A154" s="165">
        <f t="shared" si="42"/>
        <v>1989</v>
      </c>
      <c r="B154" s="206">
        <f>IF(AND($A154&gt;=SYear72,$A154&lt;=EYear72),IF(B$134&gt;0,B$134*Data_72_15!$D25,""),"")</f>
        <v>3.1360000000000001</v>
      </c>
      <c r="C154" s="268">
        <f>IF(AND($A154&gt;=SYear72,$A154&lt;=EYear72),IF(C$134&gt;0,C$134*Data_72_15!$C25,""),"")</f>
        <v>2.491270078818717</v>
      </c>
      <c r="D154" s="206">
        <f>IF(AND($A154&gt;=SYear72,$A154&lt;=EYear72),IF(D$134&gt;0,D$134*Data_72_15!$G25,""),"")</f>
        <v>1.2142073231567396</v>
      </c>
      <c r="E154" s="206">
        <f>IF(AND($A154&gt;=SYear72,$A154&lt;=EYear72),IF(E$134&gt;0,E$134*Data_72_15!$H25,""),"")</f>
        <v>1.5933353287438892</v>
      </c>
      <c r="F154" s="206">
        <f>IF(AND($A154&gt;=SYear72,$A154&lt;=EYear72),IF(F$134&gt;0,F$134*Data_72_15!$N25,""),"")</f>
        <v>1.866892835761325</v>
      </c>
      <c r="G154" s="206">
        <f>IF(AND($A154&gt;=SYear72,$A154&lt;=EYear72),IF(G$134&gt;0,G$134*Data_72_15!$K25,""),"")</f>
        <v>0.85178535806902078</v>
      </c>
      <c r="H154" s="269">
        <f>IF(AND($A154&gt;=SYear72,$A154&lt;=EYear72),IF(H$134&gt;0,H$134*Data_72_15!$U25,""),"")</f>
        <v>5.4560000000000004</v>
      </c>
      <c r="I154" s="206">
        <f t="shared" si="43"/>
        <v>16.609490924549693</v>
      </c>
      <c r="J154" s="446">
        <f t="shared" si="44"/>
        <v>88540.126424577145</v>
      </c>
      <c r="K154" s="206">
        <f>IF(AND($A154&gt;=SYear72,$A154&lt;=EYear72),(I154-Data_72_15!$AM25)/(1+Data_72_15!$AM25%),"")</f>
        <v>11.430956831151763</v>
      </c>
      <c r="L154" s="447">
        <f t="shared" si="45"/>
        <v>28858.042791832857</v>
      </c>
      <c r="P154">
        <f t="shared" si="46"/>
        <v>17</v>
      </c>
      <c r="Q154">
        <f t="shared" ca="1" si="47"/>
        <v>1989</v>
      </c>
      <c r="R154" s="443">
        <f t="shared" si="48"/>
        <v>92716.378602815792</v>
      </c>
      <c r="S154" s="443">
        <f t="shared" ref="S154:Z154" ca="1" si="65">IF(OFFSET(INDIRECT(S$135),$P154,0)="",S153,OFFSET(INDIRECT(S$135),$P154,0))</f>
        <v>92716.378602815792</v>
      </c>
      <c r="T154" s="443">
        <f t="shared" ca="1" si="65"/>
        <v>88540.126424577145</v>
      </c>
      <c r="U154" s="443">
        <f t="shared" ca="1" si="65"/>
        <v>99127.449896895196</v>
      </c>
      <c r="V154" s="443">
        <f t="shared" ca="1" si="65"/>
        <v>30219.216182202486</v>
      </c>
      <c r="W154" s="209">
        <f t="shared" ca="1" si="65"/>
        <v>0</v>
      </c>
      <c r="X154" s="209">
        <f t="shared" ca="1" si="65"/>
        <v>0</v>
      </c>
      <c r="Y154" s="443">
        <f t="shared" ca="1" si="65"/>
        <v>28858.042791832857</v>
      </c>
      <c r="Z154" s="443">
        <f t="shared" ca="1" si="65"/>
        <v>32308.788190026917</v>
      </c>
      <c r="AA154" s="388">
        <f t="shared" ca="1" si="64"/>
        <v>0.12501766174641271</v>
      </c>
      <c r="AB154" s="388">
        <f t="shared" ca="1" si="64"/>
        <v>0.11978570038054648</v>
      </c>
      <c r="AC154" s="388">
        <f t="shared" ca="1" si="64"/>
        <v>0.13254158480936318</v>
      </c>
      <c r="AD154" s="388">
        <f t="shared" ca="1" si="64"/>
        <v>9.5455072632940396E-2</v>
      </c>
      <c r="AE154" s="388">
        <f t="shared" ca="1" si="64"/>
        <v>7.5557420163421263E-2</v>
      </c>
      <c r="AF154" s="388">
        <f t="shared" ca="1" si="64"/>
        <v>7.7905832445601897E-2</v>
      </c>
      <c r="AG154" s="388">
        <f t="shared" ca="1" si="64"/>
        <v>9.82342073045952E-2</v>
      </c>
      <c r="AH154" s="388">
        <f t="shared" ca="1" si="64"/>
        <v>6.4858785146876485E-2</v>
      </c>
    </row>
    <row r="155" spans="1:34">
      <c r="A155" s="165">
        <f t="shared" si="42"/>
        <v>1990</v>
      </c>
      <c r="B155" s="206">
        <f>IF(AND($A155&gt;=SYear72,$A155&lt;=EYear72),IF(B$134&gt;0,B$134*Data_72_15!$D26,""),"")</f>
        <v>-0.33200000000000002</v>
      </c>
      <c r="C155" s="268">
        <f>IF(AND($A155&gt;=SYear72,$A155&lt;=EYear72),IF(C$134&gt;0,C$134*Data_72_15!$C26,""),"")</f>
        <v>-0.83108849645814642</v>
      </c>
      <c r="D155" s="206">
        <f>IF(AND($A155&gt;=SYear72,$A155&lt;=EYear72),IF(D$134&gt;0,D$134*Data_72_15!$G26,""),"")</f>
        <v>-2.1979447271276067</v>
      </c>
      <c r="E155" s="206">
        <f>IF(AND($A155&gt;=SYear72,$A155&lt;=EYear72),IF(E$134&gt;0,E$134*Data_72_15!$H26,""),"")</f>
        <v>-1.968472513219595</v>
      </c>
      <c r="F155" s="206">
        <f>IF(AND($A155&gt;=SYear72,$A155&lt;=EYear72),IF(F$134&gt;0,F$134*Data_72_15!$N26,""),"")</f>
        <v>-2.1482737976451807</v>
      </c>
      <c r="G155" s="206">
        <f>IF(AND($A155&gt;=SYear72,$A155&lt;=EYear72),IF(G$134&gt;0,G$134*Data_72_15!$K26,""),"")</f>
        <v>-1.5619389587073611</v>
      </c>
      <c r="H155" s="269">
        <f>IF(AND($A155&gt;=SYear72,$A155&lt;=EYear72),IF(H$134&gt;0,H$134*Data_72_15!$U26,""),"")</f>
        <v>3.4600000000000004</v>
      </c>
      <c r="I155" s="206">
        <f t="shared" si="43"/>
        <v>-5.5797184931578894</v>
      </c>
      <c r="J155" s="446">
        <f t="shared" si="44"/>
        <v>83599.836616599641</v>
      </c>
      <c r="K155" s="206">
        <f>IF(AND($A155&gt;=SYear72,$A155&lt;=EYear72),(I155-Data_72_15!$AM26)/(1+Data_72_15!$AM26%),"")</f>
        <v>-11.013471614254204</v>
      </c>
      <c r="L155" s="447">
        <f t="shared" si="45"/>
        <v>25679.770440525015</v>
      </c>
      <c r="P155">
        <f t="shared" si="46"/>
        <v>18</v>
      </c>
      <c r="Q155">
        <f t="shared" ca="1" si="47"/>
        <v>1990</v>
      </c>
      <c r="R155" s="443">
        <f t="shared" si="48"/>
        <v>85631.981105330327</v>
      </c>
      <c r="S155" s="443">
        <f t="shared" ref="S155:Z155" ca="1" si="66">IF(OFFSET(INDIRECT(S$135),$P155,0)="",S154,OFFSET(INDIRECT(S$135),$P155,0))</f>
        <v>85631.981105330327</v>
      </c>
      <c r="T155" s="443">
        <f t="shared" ca="1" si="66"/>
        <v>83599.836616599641</v>
      </c>
      <c r="U155" s="443">
        <f t="shared" ca="1" si="66"/>
        <v>85827.548174884621</v>
      </c>
      <c r="V155" s="443">
        <f t="shared" ca="1" si="66"/>
        <v>26303.994196031988</v>
      </c>
      <c r="W155" s="209">
        <f t="shared" ca="1" si="66"/>
        <v>7.6409342170643324E-2</v>
      </c>
      <c r="X155" s="209">
        <f t="shared" ca="1" si="66"/>
        <v>0.13416971520849286</v>
      </c>
      <c r="Y155" s="443">
        <f t="shared" ca="1" si="66"/>
        <v>25679.770440525015</v>
      </c>
      <c r="Z155" s="443">
        <f t="shared" ca="1" si="66"/>
        <v>26364.06748869775</v>
      </c>
      <c r="AA155" s="388">
        <f t="shared" ca="1" si="64"/>
        <v>6.4402946729442245E-2</v>
      </c>
      <c r="AB155" s="388">
        <f t="shared" ca="1" si="64"/>
        <v>7.6747998125445749E-2</v>
      </c>
      <c r="AC155" s="388">
        <f t="shared" ca="1" si="64"/>
        <v>0.13035765855624248</v>
      </c>
      <c r="AD155" s="388">
        <f t="shared" ca="1" si="64"/>
        <v>8.9687606633775507E-2</v>
      </c>
      <c r="AE155" s="388">
        <f t="shared" ca="1" si="64"/>
        <v>2.3332966874306083E-2</v>
      </c>
      <c r="AF155" s="388">
        <f t="shared" ca="1" si="64"/>
        <v>4.0429674175898933E-2</v>
      </c>
      <c r="AG155" s="388">
        <f t="shared" ca="1" si="64"/>
        <v>9.8193776470292482E-2</v>
      </c>
      <c r="AH155" s="388">
        <f t="shared" ca="1" si="64"/>
        <v>6.0198286808002655E-2</v>
      </c>
    </row>
    <row r="156" spans="1:34">
      <c r="A156" s="165">
        <f t="shared" si="42"/>
        <v>1991</v>
      </c>
      <c r="B156" s="206">
        <f>IF(AND($A156&gt;=SYear72,$A156&lt;=EYear72),IF(B$134&gt;0,B$134*Data_72_15!$D27,""),"")</f>
        <v>3.0220000000000002</v>
      </c>
      <c r="C156" s="268">
        <f>IF(AND($A156&gt;=SYear72,$A156&lt;=EYear72),IF(C$134&gt;0,C$134*Data_72_15!$C27,""),"")</f>
        <v>2.431407762147062</v>
      </c>
      <c r="D156" s="206">
        <f>IF(AND($A156&gt;=SYear72,$A156&lt;=EYear72),IF(D$134&gt;0,D$134*Data_72_15!$G27,""),"")</f>
        <v>4.137483787289236</v>
      </c>
      <c r="E156" s="206">
        <f>IF(AND($A156&gt;=SYear72,$A156&lt;=EYear72),IF(E$134&gt;0,E$134*Data_72_15!$H27,""),"")</f>
        <v>4.5764741095480401</v>
      </c>
      <c r="F156" s="206">
        <f>IF(AND($A156&gt;=SYear72,$A156&lt;=EYear72),IF(F$134&gt;0,F$134*Data_72_15!$N27,""),"")</f>
        <v>1.9347435641588508</v>
      </c>
      <c r="G156" s="206">
        <f>IF(AND($A156&gt;=SYear72,$A156&lt;=EYear72),IF(G$134&gt;0,G$134*Data_72_15!$K27,""),"")</f>
        <v>3.5348094953121887</v>
      </c>
      <c r="H156" s="269">
        <f>IF(AND($A156&gt;=SYear72,$A156&lt;=EYear72),IF(H$134&gt;0,H$134*Data_72_15!$U27,""),"")</f>
        <v>6.1000000000000005</v>
      </c>
      <c r="I156" s="206">
        <f t="shared" si="43"/>
        <v>25.736918718455378</v>
      </c>
      <c r="J156" s="446">
        <f t="shared" si="44"/>
        <v>105115.85861537539</v>
      </c>
      <c r="K156" s="206">
        <f>IF(AND($A156&gt;=SYear72,$A156&lt;=EYear72),(I156-Data_72_15!$AM27)/(1+Data_72_15!$AM27%),"")</f>
        <v>21.998547676064746</v>
      </c>
      <c r="L156" s="447">
        <f t="shared" si="45"/>
        <v>31328.946983987895</v>
      </c>
      <c r="P156">
        <f t="shared" si="46"/>
        <v>19</v>
      </c>
      <c r="Q156">
        <f t="shared" ca="1" si="47"/>
        <v>1991</v>
      </c>
      <c r="R156" s="443">
        <f t="shared" si="48"/>
        <v>107753.24559741266</v>
      </c>
      <c r="S156" s="443">
        <f t="shared" ref="S156:Z156" ca="1" si="67">IF(OFFSET(INDIRECT(S$135),$P156,0)="",S155,OFFSET(INDIRECT(S$135),$P156,0))</f>
        <v>107753.24559741266</v>
      </c>
      <c r="T156" s="443">
        <f t="shared" ca="1" si="67"/>
        <v>105115.85861537539</v>
      </c>
      <c r="U156" s="443">
        <f t="shared" ca="1" si="67"/>
        <v>106925.53881175112</v>
      </c>
      <c r="V156" s="443">
        <f t="shared" ca="1" si="67"/>
        <v>32114.9992317162</v>
      </c>
      <c r="W156" s="209">
        <f t="shared" ca="1" si="67"/>
        <v>0</v>
      </c>
      <c r="X156" s="209">
        <f t="shared" ca="1" si="67"/>
        <v>0</v>
      </c>
      <c r="Y156" s="443">
        <f t="shared" ca="1" si="67"/>
        <v>31328.946983987895</v>
      </c>
      <c r="Z156" s="443">
        <f t="shared" ca="1" si="67"/>
        <v>31868.3077966858</v>
      </c>
      <c r="AA156" s="388">
        <f t="shared" ca="1" si="64"/>
        <v>0.1587692924409414</v>
      </c>
      <c r="AB156" s="388">
        <f t="shared" ca="1" si="64"/>
        <v>0.14373744568978464</v>
      </c>
      <c r="AC156" s="388">
        <f t="shared" ca="1" si="64"/>
        <v>0.13094244988789838</v>
      </c>
      <c r="AD156" s="388">
        <f t="shared" ca="1" si="64"/>
        <v>0.10119724829923982</v>
      </c>
      <c r="AE156" s="388">
        <f t="shared" ca="1" si="64"/>
        <v>0.1260642590173644</v>
      </c>
      <c r="AF156" s="388">
        <f t="shared" ca="1" si="64"/>
        <v>0.11274560277767076</v>
      </c>
      <c r="AG156" s="388">
        <f t="shared" ca="1" si="64"/>
        <v>0.10161842769972962</v>
      </c>
      <c r="AH156" s="388">
        <f t="shared" ca="1" si="64"/>
        <v>7.3232590107487949E-2</v>
      </c>
    </row>
    <row r="157" spans="1:34">
      <c r="A157" s="165">
        <f t="shared" si="42"/>
        <v>1992</v>
      </c>
      <c r="B157" s="206">
        <f>IF(AND($A157&gt;=SYear72,$A157&lt;=EYear72),IF(B$134&gt;0,B$134*Data_72_15!$D28,""),"")</f>
        <v>0.74199999999999999</v>
      </c>
      <c r="C157" s="268">
        <f>IF(AND($A157&gt;=SYear72,$A157&lt;=EYear72),IF(C$134&gt;0,C$134*Data_72_15!$C28,""),"")</f>
        <v>1.3538860620572684</v>
      </c>
      <c r="D157" s="206">
        <f>IF(AND($A157&gt;=SYear72,$A157&lt;=EYear72),IF(D$134&gt;0,D$134*Data_72_15!$G28,""),"")</f>
        <v>2.8803751371844761</v>
      </c>
      <c r="E157" s="206">
        <f>IF(AND($A157&gt;=SYear72,$A157&lt;=EYear72),IF(E$134&gt;0,E$134*Data_72_15!$H28,""),"")</f>
        <v>1.7928763843160731</v>
      </c>
      <c r="F157" s="206">
        <f>IF(AND($A157&gt;=SYear72,$A157&lt;=EYear72),IF(F$134&gt;0,F$134*Data_72_15!$N28,""),"")</f>
        <v>-0.85212532428656973</v>
      </c>
      <c r="G157" s="206">
        <f>IF(AND($A157&gt;=SYear72,$A157&lt;=EYear72),IF(G$134&gt;0,G$134*Data_72_15!$K28,""),"")</f>
        <v>1.4302812687013766</v>
      </c>
      <c r="H157" s="269">
        <f>IF(AND($A157&gt;=SYear72,$A157&lt;=EYear72),IF(H$134&gt;0,H$134*Data_72_15!$U28,""),"")</f>
        <v>2.8559999999999999</v>
      </c>
      <c r="I157" s="206">
        <f t="shared" si="43"/>
        <v>10.203293527972622</v>
      </c>
      <c r="J157" s="446">
        <f t="shared" si="44"/>
        <v>115841.13821435084</v>
      </c>
      <c r="K157" s="206">
        <f>IF(AND($A157&gt;=SYear72,$A157&lt;=EYear72),(I157-Data_72_15!$AM28)/(1+Data_72_15!$AM28%),"")</f>
        <v>7.0967877202778382</v>
      </c>
      <c r="L157" s="447">
        <f t="shared" si="45"/>
        <v>33552.295846439905</v>
      </c>
      <c r="P157">
        <f t="shared" si="46"/>
        <v>20</v>
      </c>
      <c r="Q157">
        <f t="shared" ca="1" si="47"/>
        <v>1992</v>
      </c>
      <c r="R157" s="443">
        <f t="shared" si="48"/>
        <v>111808.45976534009</v>
      </c>
      <c r="S157" s="443">
        <f t="shared" ref="S157:Z157" ca="1" si="68">IF(OFFSET(INDIRECT(S$135),$P157,0)="",S156,OFFSET(INDIRECT(S$135),$P157,0))</f>
        <v>111808.45976534009</v>
      </c>
      <c r="T157" s="443">
        <f t="shared" ca="1" si="68"/>
        <v>115841.13821435084</v>
      </c>
      <c r="U157" s="443">
        <f t="shared" ca="1" si="68"/>
        <v>107552.65666862072</v>
      </c>
      <c r="V157" s="443">
        <f t="shared" ca="1" si="68"/>
        <v>32384.268473259206</v>
      </c>
      <c r="W157" s="209">
        <f t="shared" ca="1" si="68"/>
        <v>0</v>
      </c>
      <c r="X157" s="209">
        <f t="shared" ca="1" si="68"/>
        <v>0</v>
      </c>
      <c r="Y157" s="443">
        <f t="shared" ca="1" si="68"/>
        <v>33552.295846439905</v>
      </c>
      <c r="Z157" s="443">
        <f t="shared" ca="1" si="68"/>
        <v>31151.615145033917</v>
      </c>
      <c r="AA157" s="388">
        <f t="shared" ca="1" si="64"/>
        <v>7.5884097535557249E-2</v>
      </c>
      <c r="AB157" s="388">
        <f t="shared" ca="1" si="64"/>
        <v>0.11966645153160016</v>
      </c>
      <c r="AC157" s="388">
        <f t="shared" ca="1" si="64"/>
        <v>9.3643226832401671E-2</v>
      </c>
      <c r="AD157" s="388">
        <f t="shared" ca="1" si="64"/>
        <v>9.54758448627544E-2</v>
      </c>
      <c r="AE157" s="388">
        <f t="shared" ca="1" si="64"/>
        <v>4.6838396640938695E-2</v>
      </c>
      <c r="AF157" s="388">
        <f t="shared" ca="1" si="64"/>
        <v>8.8781874444923803E-2</v>
      </c>
      <c r="AG157" s="388">
        <f t="shared" ca="1" si="64"/>
        <v>6.6862473599084593E-2</v>
      </c>
      <c r="AH157" s="388">
        <f t="shared" ca="1" si="64"/>
        <v>6.8019083528882751E-2</v>
      </c>
    </row>
    <row r="158" spans="1:34">
      <c r="A158" s="165">
        <f t="shared" si="42"/>
        <v>1993</v>
      </c>
      <c r="B158" s="206">
        <f>IF(AND($A158&gt;=SYear72,$A158&lt;=EYear72),IF(B$134&gt;0,B$134*Data_72_15!$D29,""),"")</f>
        <v>0.9890000000000001</v>
      </c>
      <c r="C158" s="268">
        <f>IF(AND($A158&gt;=SYear72,$A158&lt;=EYear72),IF(C$134&gt;0,C$134*Data_72_15!$C29,""),"")</f>
        <v>1.8078419634839873</v>
      </c>
      <c r="D158" s="206">
        <f>IF(AND($A158&gt;=SYear72,$A158&lt;=EYear72),IF(D$134&gt;0,D$134*Data_72_15!$G29,""),"")</f>
        <v>2.3515913399181883</v>
      </c>
      <c r="E158" s="206">
        <f>IF(AND($A158&gt;=SYear72,$A158&lt;=EYear72),IF(E$134&gt;0,E$134*Data_72_15!$H29,""),"")</f>
        <v>1.87</v>
      </c>
      <c r="F158" s="206">
        <f>IF(AND($A158&gt;=SYear72,$A158&lt;=EYear72),IF(F$134&gt;0,F$134*Data_72_15!$N29,""),"")</f>
        <v>3.8879465176611454</v>
      </c>
      <c r="G158" s="206">
        <f>IF(AND($A158&gt;=SYear72,$A158&lt;=EYear72),IF(G$134&gt;0,G$134*Data_72_15!$K29,""),"")</f>
        <v>1.9389587073608618</v>
      </c>
      <c r="H158" s="269">
        <f>IF(AND($A158&gt;=SYear72,$A158&lt;=EYear72),IF(H$134&gt;0,H$134*Data_72_15!$U29,""),"")</f>
        <v>3.8719999999999999</v>
      </c>
      <c r="I158" s="206">
        <f t="shared" si="43"/>
        <v>16.717338528424182</v>
      </c>
      <c r="J158" s="446">
        <f t="shared" si="44"/>
        <v>135206.69344482361</v>
      </c>
      <c r="K158" s="206">
        <f>IF(AND($A158&gt;=SYear72,$A158&lt;=EYear72),(I158-Data_72_15!$AM29)/(1+Data_72_15!$AM29%),"")</f>
        <v>13.595269802355213</v>
      </c>
      <c r="L158" s="447">
        <f t="shared" si="45"/>
        <v>38113.82099164783</v>
      </c>
      <c r="P158">
        <f t="shared" si="46"/>
        <v>21</v>
      </c>
      <c r="Q158">
        <f t="shared" ca="1" si="47"/>
        <v>1993</v>
      </c>
      <c r="R158" s="443">
        <f t="shared" si="48"/>
        <v>133237.63800027137</v>
      </c>
      <c r="S158" s="443">
        <f t="shared" ref="S158:Z158" ca="1" si="69">IF(OFFSET(INDIRECT(S$135),$P158,0)="",S157,OFFSET(INDIRECT(S$135),$P158,0))</f>
        <v>133237.63800027137</v>
      </c>
      <c r="T158" s="443">
        <f t="shared" ca="1" si="69"/>
        <v>135206.69344482361</v>
      </c>
      <c r="U158" s="443">
        <f t="shared" ca="1" si="69"/>
        <v>132427.21886095058</v>
      </c>
      <c r="V158" s="443">
        <f t="shared" ca="1" si="69"/>
        <v>37558.75803711357</v>
      </c>
      <c r="W158" s="209">
        <f t="shared" ca="1" si="69"/>
        <v>0</v>
      </c>
      <c r="X158" s="209">
        <f t="shared" ca="1" si="69"/>
        <v>0</v>
      </c>
      <c r="Y158" s="443">
        <f t="shared" ca="1" si="69"/>
        <v>38113.82099164783</v>
      </c>
      <c r="Z158" s="443">
        <f t="shared" ca="1" si="69"/>
        <v>37330.306551337933</v>
      </c>
      <c r="AA158" s="388">
        <f t="shared" ca="1" si="64"/>
        <v>0.14445224562393899</v>
      </c>
      <c r="AB158" s="388">
        <f t="shared" ca="1" si="64"/>
        <v>0.14685902624540748</v>
      </c>
      <c r="AC158" s="388">
        <f t="shared" ca="1" si="64"/>
        <v>7.5557288251772547E-2</v>
      </c>
      <c r="AD158" s="388">
        <f t="shared" ca="1" si="64"/>
        <v>9.9343837781127764E-2</v>
      </c>
      <c r="AE158" s="388">
        <f t="shared" ca="1" si="64"/>
        <v>0.11486516961380588</v>
      </c>
      <c r="AF158" s="388">
        <f t="shared" ca="1" si="64"/>
        <v>0.11783999118171073</v>
      </c>
      <c r="AG158" s="388">
        <f t="shared" ca="1" si="64"/>
        <v>4.9754948032604274E-2</v>
      </c>
      <c r="AH158" s="388">
        <f t="shared" ca="1" si="64"/>
        <v>7.0975305043617043E-2</v>
      </c>
    </row>
    <row r="159" spans="1:34">
      <c r="A159" s="165">
        <f t="shared" si="42"/>
        <v>1994</v>
      </c>
      <c r="B159" s="206">
        <f>IF(AND($A159&gt;=SYear72,$A159&lt;=EYear72),IF(B$134&gt;0,B$134*Data_72_15!$D30,""),"")</f>
        <v>0.11799999999999999</v>
      </c>
      <c r="C159" s="268">
        <f>IF(AND($A159&gt;=SYear72,$A159&lt;=EYear72),IF(C$134&gt;0,C$134*Data_72_15!$C30,""),"")</f>
        <v>-7.2999999999999995E-2</v>
      </c>
      <c r="D159" s="206">
        <f>IF(AND($A159&gt;=SYear72,$A159&lt;=EYear72),IF(D$134&gt;0,D$134*Data_72_15!$G30,""),"")</f>
        <v>-0.17260301306993917</v>
      </c>
      <c r="E159" s="206">
        <f>IF(AND($A159&gt;=SYear72,$A159&lt;=EYear72),IF(E$134&gt;0,E$134*Data_72_15!$H30,""),"")</f>
        <v>-5.1000000000000004E-2</v>
      </c>
      <c r="F159" s="206">
        <f>IF(AND($A159&gt;=SYear72,$A159&lt;=EYear72),IF(F$134&gt;0,F$134*Data_72_15!$N30,""),"")</f>
        <v>0.55577728996208353</v>
      </c>
      <c r="G159" s="206">
        <f>IF(AND($A159&gt;=SYear72,$A159&lt;=EYear72),IF(G$134&gt;0,G$134*Data_72_15!$K30,""),"")</f>
        <v>0.29323758228605634</v>
      </c>
      <c r="H159" s="269">
        <f>IF(AND($A159&gt;=SYear72,$A159&lt;=EYear72),IF(H$134&gt;0,H$134*Data_72_15!$U30,""),"")</f>
        <v>-1.0640000000000001</v>
      </c>
      <c r="I159" s="206">
        <f t="shared" si="43"/>
        <v>-0.39358814082179938</v>
      </c>
      <c r="J159" s="446">
        <f t="shared" si="44"/>
        <v>134674.53593382752</v>
      </c>
      <c r="K159" s="206">
        <f>IF(AND($A159&gt;=SYear72,$A159&lt;=EYear72),(I159-Data_72_15!$AM30)/(1+Data_72_15!$AM30%),"")</f>
        <v>-2.9885447624035795</v>
      </c>
      <c r="L159" s="447">
        <f t="shared" si="45"/>
        <v>36974.772390650061</v>
      </c>
      <c r="P159">
        <f t="shared" si="46"/>
        <v>22</v>
      </c>
      <c r="Q159">
        <f t="shared" ca="1" si="47"/>
        <v>1994</v>
      </c>
      <c r="R159" s="443">
        <f t="shared" si="48"/>
        <v>134192.06166395097</v>
      </c>
      <c r="S159" s="443">
        <f t="shared" ref="S159:Z159" ca="1" si="70">IF(OFFSET(INDIRECT(S$135),$P159,0)="",S158,OFFSET(INDIRECT(S$135),$P159,0))</f>
        <v>134192.06166395097</v>
      </c>
      <c r="T159" s="443">
        <f t="shared" ca="1" si="70"/>
        <v>134674.53593382752</v>
      </c>
      <c r="U159" s="443">
        <f t="shared" ca="1" si="70"/>
        <v>135463.8868808375</v>
      </c>
      <c r="V159" s="443">
        <f t="shared" ca="1" si="70"/>
        <v>36842.309514952518</v>
      </c>
      <c r="W159" s="209">
        <f t="shared" ca="1" si="70"/>
        <v>0</v>
      </c>
      <c r="X159" s="209">
        <f t="shared" ca="1" si="70"/>
        <v>0</v>
      </c>
      <c r="Y159" s="443">
        <f t="shared" ca="1" si="70"/>
        <v>36974.772390650061</v>
      </c>
      <c r="Z159" s="443">
        <f t="shared" ca="1" si="70"/>
        <v>37191.487981312115</v>
      </c>
      <c r="AA159" s="388">
        <f t="shared" ca="1" si="64"/>
        <v>0.12481799214465683</v>
      </c>
      <c r="AB159" s="388">
        <f t="shared" ca="1" si="64"/>
        <v>0.14544277613708556</v>
      </c>
      <c r="AC159" s="388">
        <f t="shared" ca="1" si="64"/>
        <v>8.3488727919266648E-2</v>
      </c>
      <c r="AD159" s="388">
        <f t="shared" ca="1" si="64"/>
        <v>6.1953566729177956E-2</v>
      </c>
      <c r="AE159" s="388">
        <f t="shared" ca="1" si="64"/>
        <v>9.3705429767047876E-2</v>
      </c>
      <c r="AF159" s="388">
        <f t="shared" ca="1" si="64"/>
        <v>0.11894595779063177</v>
      </c>
      <c r="AG159" s="388">
        <f t="shared" ca="1" si="64"/>
        <v>5.8394602400634321E-2</v>
      </c>
      <c r="AH159" s="388">
        <f t="shared" ca="1" si="64"/>
        <v>3.6358448706546032E-2</v>
      </c>
    </row>
    <row r="160" spans="1:34">
      <c r="A160" s="165">
        <f t="shared" si="42"/>
        <v>1995</v>
      </c>
      <c r="B160" s="206">
        <f>IF(AND($A160&gt;=SYear72,$A160&lt;=EYear72),IF(B$134&gt;0,B$134*Data_72_15!$D31,""),"")</f>
        <v>3.7450000000000006</v>
      </c>
      <c r="C160" s="268">
        <f>IF(AND($A160&gt;=SYear72,$A160&lt;=EYear72),IF(C$134&gt;0,C$134*Data_72_15!$C31,""),"")</f>
        <v>3.694</v>
      </c>
      <c r="D160" s="206">
        <f>IF(AND($A160&gt;=SYear72,$A160&lt;=EYear72),IF(D$134&gt;0,D$134*Data_72_15!$G31,""),"")</f>
        <v>2.5511323954903724</v>
      </c>
      <c r="E160" s="206">
        <f>IF(AND($A160&gt;=SYear72,$A160&lt;=EYear72),IF(E$134&gt;0,E$134*Data_72_15!$H31,""),"")</f>
        <v>2.8740000000000001</v>
      </c>
      <c r="F160" s="206">
        <f>IF(AND($A160&gt;=SYear72,$A160&lt;=EYear72),IF(F$134&gt;0,F$134*Data_72_15!$N31,""),"")</f>
        <v>0.97026541608461381</v>
      </c>
      <c r="G160" s="206">
        <f>IF(AND($A160&gt;=SYear72,$A160&lt;=EYear72),IF(G$134&gt;0,G$134*Data_72_15!$K31,""),"")</f>
        <v>1.5000997406742471</v>
      </c>
      <c r="H160" s="269">
        <f>IF(AND($A160&gt;=SYear72,$A160&lt;=EYear72),IF(H$134&gt;0,H$134*Data_72_15!$U31,""),"")</f>
        <v>7.2720000000000002</v>
      </c>
      <c r="I160" s="206">
        <f t="shared" si="43"/>
        <v>22.606497552249234</v>
      </c>
      <c r="J160" s="446">
        <f t="shared" si="44"/>
        <v>165119.73160321126</v>
      </c>
      <c r="K160" s="206">
        <f>IF(AND($A160&gt;=SYear72,$A160&lt;=EYear72),(I160-Data_72_15!$AM31)/(1+Data_72_15!$AM31%),"")</f>
        <v>19.571287840858037</v>
      </c>
      <c r="L160" s="447">
        <f t="shared" si="45"/>
        <v>44211.211523726291</v>
      </c>
      <c r="P160">
        <f t="shared" si="46"/>
        <v>23</v>
      </c>
      <c r="Q160">
        <f t="shared" ca="1" si="47"/>
        <v>1995</v>
      </c>
      <c r="R160" s="443">
        <f t="shared" si="48"/>
        <v>167597.56007590605</v>
      </c>
      <c r="S160" s="443">
        <f t="shared" ref="S160:Z160" ca="1" si="71">IF(OFFSET(INDIRECT(S$135),$P160,0)="",S159,OFFSET(INDIRECT(S$135),$P160,0))</f>
        <v>167597.56007590605</v>
      </c>
      <c r="T160" s="443">
        <f t="shared" ca="1" si="71"/>
        <v>165119.73160321126</v>
      </c>
      <c r="U160" s="443">
        <f t="shared" ca="1" si="71"/>
        <v>163889.12061213012</v>
      </c>
      <c r="V160" s="443">
        <f t="shared" ca="1" si="71"/>
        <v>44874.656150617244</v>
      </c>
      <c r="W160" s="209">
        <f t="shared" ca="1" si="71"/>
        <v>0</v>
      </c>
      <c r="X160" s="209">
        <f t="shared" ca="1" si="71"/>
        <v>0</v>
      </c>
      <c r="Y160" s="443">
        <f t="shared" ca="1" si="71"/>
        <v>44211.211523726291</v>
      </c>
      <c r="Z160" s="443">
        <f t="shared" ca="1" si="71"/>
        <v>43881.712424485675</v>
      </c>
      <c r="AA160" s="388">
        <f t="shared" ca="1" si="64"/>
        <v>0.18240432115745797</v>
      </c>
      <c r="AB160" s="388">
        <f t="shared" ca="1" si="64"/>
        <v>0.18663646320324268</v>
      </c>
      <c r="AC160" s="388">
        <f t="shared" ca="1" si="64"/>
        <v>9.6215606824122224E-2</v>
      </c>
      <c r="AD160" s="388">
        <f t="shared" ca="1" si="64"/>
        <v>7.7374556307237219E-2</v>
      </c>
      <c r="AE160" s="388">
        <f t="shared" ca="1" si="64"/>
        <v>0.15335185693797504</v>
      </c>
      <c r="AF160" s="388">
        <f t="shared" ca="1" si="64"/>
        <v>0.15916491100982078</v>
      </c>
      <c r="AG160" s="388">
        <f t="shared" ca="1" si="64"/>
        <v>7.0223004785729293E-2</v>
      </c>
      <c r="AH160" s="388">
        <f t="shared" ca="1" si="64"/>
        <v>5.1376071042585236E-2</v>
      </c>
    </row>
    <row r="161" spans="1:34">
      <c r="A161" s="165">
        <f t="shared" si="42"/>
        <v>1996</v>
      </c>
      <c r="B161" s="206">
        <f>IF(AND($A161&gt;=SYear72,$A161&lt;=EYear72),IF(B$134&gt;0,B$134*Data_72_15!$D32,""),"")</f>
        <v>2.2879999999999998</v>
      </c>
      <c r="C161" s="268">
        <f>IF(AND($A161&gt;=SYear72,$A161&lt;=EYear72),IF(C$134&gt;0,C$134*Data_72_15!$C32,""),"")</f>
        <v>2.1859999999999999</v>
      </c>
      <c r="D161" s="206">
        <f>IF(AND($A161&gt;=SYear72,$A161&lt;=EYear72),IF(D$134&gt;0,D$134*Data_72_15!$G32,""),"")</f>
        <v>2.1121420732315674</v>
      </c>
      <c r="E161" s="206">
        <f>IF(AND($A161&gt;=SYear72,$A161&lt;=EYear72),IF(E$134&gt;0,E$134*Data_72_15!$H32,""),"")</f>
        <v>1.8120000000000003</v>
      </c>
      <c r="F161" s="206">
        <f>IF(AND($A161&gt;=SYear72,$A161&lt;=EYear72),IF(F$134&gt;0,F$134*Data_72_15!$N32,""),"")</f>
        <v>0.75778287766912811</v>
      </c>
      <c r="G161" s="206">
        <f>IF(AND($A161&gt;=SYear72,$A161&lt;=EYear72),IF(G$134&gt;0,G$134*Data_72_15!$K32,""),"")</f>
        <v>3.4949132256134052</v>
      </c>
      <c r="H161" s="269">
        <f>IF(AND($A161&gt;=SYear72,$A161&lt;=EYear72),IF(H$134&gt;0,H$134*Data_72_15!$U32,""),"")</f>
        <v>1.4320000000000002</v>
      </c>
      <c r="I161" s="206">
        <f t="shared" si="43"/>
        <v>14.082838176514102</v>
      </c>
      <c r="J161" s="446">
        <f t="shared" si="44"/>
        <v>188373.27620238592</v>
      </c>
      <c r="K161" s="206">
        <f>IF(AND($A161&gt;=SYear72,$A161&lt;=EYear72),(I161-Data_72_15!$AM32)/(1+Data_72_15!$AM32%),"")</f>
        <v>10.414348424305885</v>
      </c>
      <c r="L161" s="447">
        <f t="shared" si="45"/>
        <v>48815.521134414026</v>
      </c>
      <c r="P161">
        <f t="shared" si="46"/>
        <v>24</v>
      </c>
      <c r="Q161">
        <f t="shared" ca="1" si="47"/>
        <v>1996</v>
      </c>
      <c r="R161" s="443">
        <f t="shared" si="48"/>
        <v>189615.43584349184</v>
      </c>
      <c r="S161" s="443">
        <f t="shared" ref="S161:Z161" ca="1" si="72">IF(OFFSET(INDIRECT(S$135),$P161,0)="",S160,OFFSET(INDIRECT(S$135),$P161,0))</f>
        <v>189615.43584349184</v>
      </c>
      <c r="T161" s="443">
        <f t="shared" ca="1" si="72"/>
        <v>188373.27620238592</v>
      </c>
      <c r="U161" s="443">
        <f t="shared" ca="1" si="72"/>
        <v>185227.97064845741</v>
      </c>
      <c r="V161" s="443">
        <f t="shared" ca="1" si="72"/>
        <v>49137.417485293336</v>
      </c>
      <c r="W161" s="209">
        <f t="shared" ca="1" si="72"/>
        <v>0</v>
      </c>
      <c r="X161" s="209">
        <f t="shared" ca="1" si="72"/>
        <v>0</v>
      </c>
      <c r="Y161" s="443">
        <f t="shared" ca="1" si="72"/>
        <v>48815.521134414026</v>
      </c>
      <c r="Z161" s="443">
        <f t="shared" ca="1" si="72"/>
        <v>48000.438799820957</v>
      </c>
      <c r="AA161" s="388">
        <f t="shared" ca="1" si="64"/>
        <v>0.16165029531003472</v>
      </c>
      <c r="AB161" s="388">
        <f t="shared" ca="1" si="64"/>
        <v>0.11829059175994883</v>
      </c>
      <c r="AC161" s="388">
        <f t="shared" ca="1" si="64"/>
        <v>8.0524220412740988E-2</v>
      </c>
      <c r="AD161" s="388">
        <f t="shared" ca="1" si="64"/>
        <v>7.0431828780614714E-2</v>
      </c>
      <c r="AE161" s="388">
        <f t="shared" ca="1" si="64"/>
        <v>0.13654128438187363</v>
      </c>
      <c r="AF161" s="388">
        <f t="shared" ca="1" si="64"/>
        <v>9.0602521563140304E-2</v>
      </c>
      <c r="AG161" s="388">
        <f t="shared" ca="1" si="64"/>
        <v>5.4005397300822322E-2</v>
      </c>
      <c r="AH161" s="388">
        <f t="shared" ca="1" si="64"/>
        <v>4.5312900229980801E-2</v>
      </c>
    </row>
    <row r="162" spans="1:34">
      <c r="A162" s="165">
        <f t="shared" si="42"/>
        <v>1997</v>
      </c>
      <c r="B162" s="206">
        <f>IF(AND($A162&gt;=SYear72,$A162&lt;=EYear72),IF(B$134&gt;0,B$134*Data_72_15!$D33,""),"")</f>
        <v>3.319</v>
      </c>
      <c r="C162" s="268">
        <f>IF(AND($A162&gt;=SYear72,$A162&lt;=EYear72),IF(C$134&gt;0,C$134*Data_72_15!$C33,""),"")</f>
        <v>2.9770000000000003</v>
      </c>
      <c r="D162" s="206">
        <f>IF(AND($A162&gt;=SYear72,$A162&lt;=EYear72),IF(D$134&gt;0,D$134*Data_72_15!$G33,""),"")</f>
        <v>3.1497555622069244</v>
      </c>
      <c r="E162" s="206">
        <f>IF(AND($A162&gt;=SYear72,$A162&lt;=EYear72),IF(E$134&gt;0,E$134*Data_72_15!$H33,""),"")</f>
        <v>2.4590000000000001</v>
      </c>
      <c r="F162" s="206">
        <f>IF(AND($A162&gt;=SYear72,$A162&lt;=EYear72),IF(F$134&gt;0,F$134*Data_72_15!$N33,""),"")</f>
        <v>-9.8782678108162048E-2</v>
      </c>
      <c r="G162" s="206">
        <f>IF(AND($A162&gt;=SYear72,$A162&lt;=EYear72),IF(G$134&gt;0,G$134*Data_72_15!$K33,""),"")</f>
        <v>1.8461998803111908</v>
      </c>
      <c r="H162" s="269">
        <f>IF(AND($A162&gt;=SYear72,$A162&lt;=EYear72),IF(H$134&gt;0,H$134*Data_72_15!$U33,""),"")</f>
        <v>3.7759999999999998</v>
      </c>
      <c r="I162" s="206">
        <f t="shared" si="43"/>
        <v>17.428172764409954</v>
      </c>
      <c r="J162" s="446">
        <f t="shared" si="44"/>
        <v>221203.29622091688</v>
      </c>
      <c r="K162" s="206">
        <f>IF(AND($A162&gt;=SYear72,$A162&lt;=EYear72),(I162-Data_72_15!$AM33)/(1+Data_72_15!$AM33%),"")</f>
        <v>15.462543090114174</v>
      </c>
      <c r="L162" s="447">
        <f t="shared" si="45"/>
        <v>56363.642124486585</v>
      </c>
      <c r="P162">
        <f t="shared" si="46"/>
        <v>25</v>
      </c>
      <c r="Q162">
        <f t="shared" ca="1" si="47"/>
        <v>1997</v>
      </c>
      <c r="R162" s="443">
        <f t="shared" si="48"/>
        <v>221832.33462085825</v>
      </c>
      <c r="S162" s="443">
        <f t="shared" ref="S162:Z162" ca="1" si="73">IF(OFFSET(INDIRECT(S$135),$P162,0)="",S161,OFFSET(INDIRECT(S$135),$P162,0))</f>
        <v>221832.33462085825</v>
      </c>
      <c r="T162" s="443">
        <f t="shared" ca="1" si="73"/>
        <v>221203.29622091688</v>
      </c>
      <c r="U162" s="443">
        <f t="shared" ca="1" si="73"/>
        <v>213030.81406768685</v>
      </c>
      <c r="V162" s="443">
        <f t="shared" ca="1" si="73"/>
        <v>56523.924072642803</v>
      </c>
      <c r="W162" s="209">
        <f t="shared" ca="1" si="73"/>
        <v>0</v>
      </c>
      <c r="X162" s="209">
        <f t="shared" ca="1" si="73"/>
        <v>0</v>
      </c>
      <c r="Y162" s="443">
        <f t="shared" ca="1" si="73"/>
        <v>56363.642124486585</v>
      </c>
      <c r="Z162" s="443">
        <f t="shared" ca="1" si="73"/>
        <v>54281.255165418057</v>
      </c>
      <c r="AA162" s="388">
        <f t="shared" ca="1" si="64"/>
        <v>0.18526063559375761</v>
      </c>
      <c r="AB162" s="388">
        <f t="shared" ca="1" si="64"/>
        <v>6.8224832458179563E-2</v>
      </c>
      <c r="AC162" s="388">
        <f t="shared" ca="1" si="64"/>
        <v>8.357724404284772E-2</v>
      </c>
      <c r="AD162" s="388">
        <f t="shared" ca="1" si="64"/>
        <v>6.0282556346854088E-2</v>
      </c>
      <c r="AE162" s="388">
        <f t="shared" ca="1" si="64"/>
        <v>0.16203769622796571</v>
      </c>
      <c r="AF162" s="388">
        <f t="shared" ca="1" si="64"/>
        <v>4.5384355019893574E-2</v>
      </c>
      <c r="AG162" s="388">
        <f t="shared" ca="1" si="64"/>
        <v>5.7786641294308216E-2</v>
      </c>
      <c r="AH162" s="388">
        <f t="shared" ca="1" si="64"/>
        <v>3.5642784007741124E-2</v>
      </c>
    </row>
    <row r="163" spans="1:34">
      <c r="A163" s="165">
        <f t="shared" si="42"/>
        <v>1998</v>
      </c>
      <c r="B163" s="206">
        <f>IF(AND($A163&gt;=SYear72,$A163&lt;=EYear72),IF(B$134&gt;0,B$134*Data_72_15!$D34,""),"")</f>
        <v>2.8620000000000001</v>
      </c>
      <c r="C163" s="268">
        <f>IF(AND($A163&gt;=SYear72,$A163&lt;=EYear72),IF(C$134&gt;0,C$134*Data_72_15!$C34,""),"")</f>
        <v>1.4640000000000002</v>
      </c>
      <c r="D163" s="206">
        <f>IF(AND($A163&gt;=SYear72,$A163&lt;=EYear72),IF(D$134&gt;0,D$134*Data_72_15!$G34,""),"")</f>
        <v>-0.67145565200039925</v>
      </c>
      <c r="E163" s="206">
        <f>IF(AND($A163&gt;=SYear72,$A163&lt;=EYear72),IF(E$134&gt;0,E$134*Data_72_15!$H34,""),"")</f>
        <v>-0.26100000000000001</v>
      </c>
      <c r="F163" s="206">
        <f>IF(AND($A163&gt;=SYear72,$A163&lt;=EYear72),IF(F$134&gt;0,F$134*Data_72_15!$N34,""),"")</f>
        <v>1.56</v>
      </c>
      <c r="G163" s="206">
        <f>IF(AND($A163&gt;=SYear72,$A163&lt;=EYear72),IF(G$134&gt;0,G$134*Data_72_15!$K34,""),"")</f>
        <v>-1.6320000000000001</v>
      </c>
      <c r="H163" s="269">
        <f>IF(AND($A163&gt;=SYear72,$A163&lt;=EYear72),IF(H$134&gt;0,H$134*Data_72_15!$U34,""),"")</f>
        <v>3.4320000000000004</v>
      </c>
      <c r="I163" s="206">
        <f t="shared" si="43"/>
        <v>6.7535443479996022</v>
      </c>
      <c r="J163" s="446">
        <f t="shared" si="44"/>
        <v>236142.3589304334</v>
      </c>
      <c r="K163" s="206">
        <f>IF(AND($A163&gt;=SYear72,$A163&lt;=EYear72),(I163-Data_72_15!$AM34)/(1+Data_72_15!$AM34%),"")</f>
        <v>5.0600775066036361</v>
      </c>
      <c r="L163" s="447">
        <f t="shared" si="45"/>
        <v>59215.686101530307</v>
      </c>
      <c r="P163">
        <f t="shared" si="46"/>
        <v>26</v>
      </c>
      <c r="Q163">
        <f t="shared" ca="1" si="47"/>
        <v>1998</v>
      </c>
      <c r="R163" s="443">
        <f t="shared" si="48"/>
        <v>262720.47053817485</v>
      </c>
      <c r="S163" s="443">
        <f t="shared" ref="S163:Z163" ca="1" si="74">IF(OFFSET(INDIRECT(S$135),$P163,0)="",S162,OFFSET(INDIRECT(S$135),$P163,0))</f>
        <v>262720.47053817485</v>
      </c>
      <c r="T163" s="443">
        <f t="shared" ca="1" si="74"/>
        <v>236142.3589304334</v>
      </c>
      <c r="U163" s="443">
        <f t="shared" ca="1" si="74"/>
        <v>254293.62244705821</v>
      </c>
      <c r="V163" s="443">
        <f t="shared" ca="1" si="74"/>
        <v>65880.484070280654</v>
      </c>
      <c r="W163" s="209">
        <f t="shared" ca="1" si="74"/>
        <v>0</v>
      </c>
      <c r="X163" s="209">
        <f t="shared" ca="1" si="74"/>
        <v>0</v>
      </c>
      <c r="Y163" s="443">
        <f t="shared" ca="1" si="74"/>
        <v>59215.686101530307</v>
      </c>
      <c r="Z163" s="443">
        <f t="shared" ca="1" si="74"/>
        <v>63767.345226199483</v>
      </c>
      <c r="AA163" s="388">
        <f t="shared" ca="1" si="64"/>
        <v>9.733373955632052E-2</v>
      </c>
      <c r="AB163" s="388">
        <f t="shared" ca="1" si="64"/>
        <v>8.688473332873814E-3</v>
      </c>
      <c r="AC163" s="388">
        <f t="shared" ca="1" si="64"/>
        <v>7.6329642499944006E-2</v>
      </c>
      <c r="AD163" s="388">
        <f t="shared" ca="1" si="64"/>
        <v>5.8516183968515767E-2</v>
      </c>
      <c r="AE163" s="388">
        <f t="shared" ca="1" si="64"/>
        <v>6.9958924739713879E-2</v>
      </c>
      <c r="AF163" s="388">
        <f t="shared" ca="1" si="64"/>
        <v>-1.418319293266157E-2</v>
      </c>
      <c r="AG163" s="388">
        <f t="shared" ca="1" si="64"/>
        <v>4.8284981741351096E-2</v>
      </c>
      <c r="AH163" s="388">
        <f t="shared" ca="1" si="64"/>
        <v>3.3891286757597117E-2</v>
      </c>
    </row>
    <row r="164" spans="1:34">
      <c r="A164" s="165">
        <f t="shared" si="42"/>
        <v>1999</v>
      </c>
      <c r="B164" s="206">
        <f>IF(AND($A164&gt;=SYear72,$A164&lt;=EYear72),IF(B$134&gt;0,B$134*Data_72_15!$D35,""),"")</f>
        <v>2.1070000000000002</v>
      </c>
      <c r="C164" s="268">
        <f>IF(AND($A164&gt;=SYear72,$A164&lt;=EYear72),IF(C$134&gt;0,C$134*Data_72_15!$C35,""),"")</f>
        <v>1.2570000000000001</v>
      </c>
      <c r="D164" s="206">
        <f>IF(AND($A164&gt;=SYear72,$A164&lt;=EYear72),IF(D$134&gt;0,D$134*Data_72_15!$G35,""),"")</f>
        <v>0.31128404669260701</v>
      </c>
      <c r="E164" s="206">
        <f>IF(AND($A164&gt;=SYear72,$A164&lt;=EYear72),IF(E$134&gt;0,E$134*Data_72_15!$H35,""),"")</f>
        <v>2.3130000000000002</v>
      </c>
      <c r="F164" s="206">
        <f>IF(AND($A164&gt;=SYear72,$A164&lt;=EYear72),IF(F$134&gt;0,F$134*Data_72_15!$N35,""),"")</f>
        <v>2.9920000000000004</v>
      </c>
      <c r="G164" s="206">
        <f>IF(AND($A164&gt;=SYear72,$A164&lt;=EYear72),IF(G$134&gt;0,G$134*Data_72_15!$K35,""),"")</f>
        <v>-0.40400000000000003</v>
      </c>
      <c r="H164" s="269">
        <f>IF(AND($A164&gt;=SYear72,$A164&lt;=EYear72),IF(H$134&gt;0,H$134*Data_72_15!$U35,""),"")</f>
        <v>-0.30400000000000005</v>
      </c>
      <c r="I164" s="206">
        <f t="shared" si="43"/>
        <v>8.272284046692608</v>
      </c>
      <c r="J164" s="446">
        <f t="shared" si="44"/>
        <v>255676.72561571922</v>
      </c>
      <c r="K164" s="206">
        <f>IF(AND($A164&gt;=SYear72,$A164&lt;=EYear72),(I164-Data_72_15!$AM35)/(1+Data_72_15!$AM35%),"")</f>
        <v>5.4416360977594715</v>
      </c>
      <c r="L164" s="447">
        <f t="shared" si="45"/>
        <v>62437.988251967123</v>
      </c>
      <c r="P164">
        <f t="shared" si="46"/>
        <v>27</v>
      </c>
      <c r="Q164">
        <f t="shared" ca="1" si="47"/>
        <v>1999</v>
      </c>
      <c r="R164" s="443">
        <f t="shared" si="48"/>
        <v>315729.57987866236</v>
      </c>
      <c r="S164" s="443">
        <f t="shared" ref="S164:Z164" ca="1" si="75">IF(OFFSET(INDIRECT(S$135),$P164,0)="",S163,OFFSET(INDIRECT(S$135),$P164,0))</f>
        <v>315729.57987866236</v>
      </c>
      <c r="T164" s="443">
        <f t="shared" ca="1" si="75"/>
        <v>255676.72561571922</v>
      </c>
      <c r="U164" s="443">
        <f t="shared" ca="1" si="75"/>
        <v>315720.5216409748</v>
      </c>
      <c r="V164" s="443">
        <f t="shared" ca="1" si="75"/>
        <v>77103.302038104812</v>
      </c>
      <c r="W164" s="209">
        <f t="shared" ca="1" si="75"/>
        <v>0</v>
      </c>
      <c r="X164" s="209">
        <f t="shared" ca="1" si="75"/>
        <v>0</v>
      </c>
      <c r="Y164" s="443">
        <f t="shared" ca="1" si="75"/>
        <v>62437.988251967123</v>
      </c>
      <c r="Z164" s="443">
        <f t="shared" ca="1" si="75"/>
        <v>77101.089955104384</v>
      </c>
      <c r="AA164" s="388">
        <f t="shared" ca="1" si="64"/>
        <v>1.3003648162213111E-3</v>
      </c>
      <c r="AB164" s="388">
        <f t="shared" ca="1" si="64"/>
        <v>2.4885614528170397E-2</v>
      </c>
      <c r="AC164" s="388">
        <f t="shared" ca="1" si="64"/>
        <v>2.2519485960510899E-2</v>
      </c>
      <c r="AD164" s="388">
        <f t="shared" ca="1" si="64"/>
        <v>5.9778916965992135E-2</v>
      </c>
      <c r="AE164" s="388">
        <f t="shared" ca="1" si="64"/>
        <v>-2.3485921163299506E-2</v>
      </c>
      <c r="AF164" s="388">
        <f t="shared" ca="1" si="64"/>
        <v>1.1199616848693861E-3</v>
      </c>
      <c r="AG164" s="388">
        <f t="shared" ca="1" si="64"/>
        <v>-2.6205115512316635E-3</v>
      </c>
      <c r="AH164" s="388">
        <f t="shared" ca="1" si="64"/>
        <v>3.5199506172050699E-2</v>
      </c>
    </row>
    <row r="165" spans="1:34">
      <c r="A165" s="165">
        <f t="shared" si="42"/>
        <v>2000</v>
      </c>
      <c r="B165" s="206">
        <f>IF(AND($A165&gt;=SYear72,$A165&lt;=EYear72),IF(B$134&gt;0,B$134*Data_72_15!$D36,""),"")</f>
        <v>-0.90600000000000014</v>
      </c>
      <c r="C165" s="268">
        <f>IF(AND($A165&gt;=SYear72,$A165&lt;=EYear72),IF(C$134&gt;0,C$134*Data_72_15!$C36,""),"")</f>
        <v>0.6080000000000001</v>
      </c>
      <c r="D165" s="206">
        <f>IF(AND($A165&gt;=SYear72,$A165&lt;=EYear72),IF(D$134&gt;0,D$134*Data_72_15!$G36,""),"")</f>
        <v>2.1880000000000002</v>
      </c>
      <c r="E165" s="206">
        <f>IF(AND($A165&gt;=SYear72,$A165&lt;=EYear72),IF(E$134&gt;0,E$134*Data_72_15!$H36,""),"")</f>
        <v>-0.26700000000000002</v>
      </c>
      <c r="F165" s="206">
        <f>IF(AND($A165&gt;=SYear72,$A165&lt;=EYear72),IF(F$134&gt;0,F$134*Data_72_15!$N36,""),"")</f>
        <v>-1.5609999999999999</v>
      </c>
      <c r="G165" s="206">
        <f>IF(AND($A165&gt;=SYear72,$A165&lt;=EYear72),IF(G$134&gt;0,G$134*Data_72_15!$K36,""),"")</f>
        <v>2.6350000000000002</v>
      </c>
      <c r="H165" s="269">
        <f>IF(AND($A165&gt;=SYear72,$A165&lt;=EYear72),IF(H$134&gt;0,H$134*Data_72_15!$U36,""),"")</f>
        <v>4.556</v>
      </c>
      <c r="I165" s="206">
        <f t="shared" si="43"/>
        <v>7.2530000000000001</v>
      </c>
      <c r="J165" s="446">
        <f t="shared" si="44"/>
        <v>274220.95852462732</v>
      </c>
      <c r="K165" s="206">
        <f>IF(AND($A165&gt;=SYear72,$A165&lt;=EYear72),(I165-Data_72_15!$AM36)/(1+Data_72_15!$AM36%),"")</f>
        <v>3.7395396551724298</v>
      </c>
      <c r="L165" s="447">
        <f t="shared" si="45"/>
        <v>64772.881582541333</v>
      </c>
      <c r="P165">
        <f t="shared" si="46"/>
        <v>28</v>
      </c>
      <c r="Q165">
        <f t="shared" ca="1" si="47"/>
        <v>2000</v>
      </c>
      <c r="R165" s="443">
        <f t="shared" si="48"/>
        <v>293117.02736775257</v>
      </c>
      <c r="S165" s="443">
        <f t="shared" ref="S165:Z165" ca="1" si="76">IF(OFFSET(INDIRECT(S$135),$P165,0)="",S164,OFFSET(INDIRECT(S$135),$P165,0))</f>
        <v>293117.02736775257</v>
      </c>
      <c r="T165" s="443">
        <f t="shared" ca="1" si="76"/>
        <v>274220.95852462732</v>
      </c>
      <c r="U165" s="443">
        <f t="shared" ca="1" si="76"/>
        <v>280414.37179033866</v>
      </c>
      <c r="V165" s="443">
        <f t="shared" ca="1" si="76"/>
        <v>69236.26336100373</v>
      </c>
      <c r="W165" s="209">
        <f t="shared" ca="1" si="76"/>
        <v>7.1619999999999906E-2</v>
      </c>
      <c r="X165" s="209">
        <f t="shared" ca="1" si="76"/>
        <v>0.11182722512661036</v>
      </c>
      <c r="Y165" s="443">
        <f t="shared" ca="1" si="76"/>
        <v>64772.881582541333</v>
      </c>
      <c r="Z165" s="443">
        <f t="shared" ca="1" si="76"/>
        <v>66235.80850909726</v>
      </c>
      <c r="AA165" s="388">
        <f t="shared" ca="1" si="64"/>
        <v>-9.8086357762725007E-2</v>
      </c>
      <c r="AB165" s="388">
        <f t="shared" ca="1" si="64"/>
        <v>1.2684755532375691E-2</v>
      </c>
      <c r="AC165" s="388">
        <f t="shared" ca="1" si="64"/>
        <v>2.6576285644510644E-2</v>
      </c>
      <c r="AD165" s="388">
        <f t="shared" ca="1" si="64"/>
        <v>5.0819552304467663E-2</v>
      </c>
      <c r="AE165" s="388">
        <f t="shared" ca="1" si="64"/>
        <v>-0.11953221089372967</v>
      </c>
      <c r="AF165" s="388">
        <f t="shared" ca="1" si="64"/>
        <v>-1.1894451692136321E-2</v>
      </c>
      <c r="AG165" s="388">
        <f t="shared" ca="1" si="64"/>
        <v>1.3006994059652222E-3</v>
      </c>
      <c r="AH165" s="388">
        <f t="shared" ca="1" si="64"/>
        <v>2.7745854140967641E-2</v>
      </c>
    </row>
    <row r="166" spans="1:34">
      <c r="A166" s="165">
        <f t="shared" si="42"/>
        <v>2001</v>
      </c>
      <c r="B166" s="206">
        <f>IF(AND($A166&gt;=SYear72,$A166&lt;=EYear72),IF(B$134&gt;0,B$134*Data_72_15!$D37,""),"")</f>
        <v>-1.202</v>
      </c>
      <c r="C166" s="268">
        <f>IF(AND($A166&gt;=SYear72,$A166&lt;=EYear72),IF(C$134&gt;0,C$134*Data_72_15!$C37,""),"")</f>
        <v>-1.1880000000000002</v>
      </c>
      <c r="D166" s="206">
        <f>IF(AND($A166&gt;=SYear72,$A166&lt;=EYear72),IF(D$134&gt;0,D$134*Data_72_15!$G37,""),"")</f>
        <v>1.37</v>
      </c>
      <c r="E166" s="206">
        <f>IF(AND($A166&gt;=SYear72,$A166&lt;=EYear72),IF(E$134&gt;0,E$134*Data_72_15!$H37,""),"")</f>
        <v>0.31000000000000005</v>
      </c>
      <c r="F166" s="206">
        <f>IF(AND($A166&gt;=SYear72,$A166&lt;=EYear72),IF(F$134&gt;0,F$134*Data_72_15!$N37,""),"")</f>
        <v>-2.0150000000000001</v>
      </c>
      <c r="G166" s="206">
        <f>IF(AND($A166&gt;=SYear72,$A166&lt;=EYear72),IF(G$134&gt;0,G$134*Data_72_15!$K37,""),"")</f>
        <v>1.2350000000000001</v>
      </c>
      <c r="H166" s="269">
        <f>IF(AND($A166&gt;=SYear72,$A166&lt;=EYear72),IF(H$134&gt;0,H$134*Data_72_15!$U37,""),"")</f>
        <v>3.3719999999999999</v>
      </c>
      <c r="I166" s="206">
        <f t="shared" si="43"/>
        <v>1.8819999999999999</v>
      </c>
      <c r="J166" s="446">
        <f t="shared" si="44"/>
        <v>279381.79696406081</v>
      </c>
      <c r="K166" s="206">
        <f>IF(AND($A166&gt;=SYear72,$A166&lt;=EYear72),(I166-Data_72_15!$AM37)/(1+Data_72_15!$AM37%),"")</f>
        <v>0.32522920203735378</v>
      </c>
      <c r="L166" s="447">
        <f t="shared" si="45"/>
        <v>64983.541908448831</v>
      </c>
      <c r="P166">
        <f t="shared" si="46"/>
        <v>29</v>
      </c>
      <c r="Q166">
        <f t="shared" ca="1" si="47"/>
        <v>2001</v>
      </c>
      <c r="R166" s="443">
        <f t="shared" si="48"/>
        <v>263746.70122550376</v>
      </c>
      <c r="S166" s="443">
        <f t="shared" ref="S166:Z166" ca="1" si="77">IF(OFFSET(INDIRECT(S$135),$P166,0)="",S165,OFFSET(INDIRECT(S$135),$P166,0))</f>
        <v>263746.70122550376</v>
      </c>
      <c r="T166" s="443">
        <f t="shared" ca="1" si="77"/>
        <v>279381.79696406081</v>
      </c>
      <c r="U166" s="443">
        <f t="shared" ca="1" si="77"/>
        <v>243803.49143589928</v>
      </c>
      <c r="V166" s="443">
        <f t="shared" ca="1" si="77"/>
        <v>61346.855802876184</v>
      </c>
      <c r="W166" s="209">
        <f t="shared" ca="1" si="77"/>
        <v>0.16464367599999996</v>
      </c>
      <c r="X166" s="209">
        <f t="shared" ca="1" si="77"/>
        <v>0.22778699918295708</v>
      </c>
      <c r="Y166" s="443">
        <f t="shared" ca="1" si="77"/>
        <v>64983.541908448831</v>
      </c>
      <c r="Z166" s="443">
        <f t="shared" ca="1" si="77"/>
        <v>56708.112609029224</v>
      </c>
      <c r="AA166" s="388">
        <f t="shared" ca="1" si="64"/>
        <v>4.4846029036818003E-3</v>
      </c>
      <c r="AB166" s="388">
        <f t="shared" ca="1" si="64"/>
        <v>4.4033276772110552E-2</v>
      </c>
      <c r="AC166" s="388">
        <f t="shared" ca="1" si="64"/>
        <v>4.7276083316752926E-2</v>
      </c>
      <c r="AD166" s="388">
        <f t="shared" ca="1" si="64"/>
        <v>5.5426356307912039E-2</v>
      </c>
      <c r="AE166" s="388">
        <f t="shared" ca="1" si="64"/>
        <v>-1.4587829491731874E-2</v>
      </c>
      <c r="AF166" s="388">
        <f t="shared" ca="1" si="64"/>
        <v>1.8636355202070298E-2</v>
      </c>
      <c r="AG166" s="388">
        <f t="shared" ca="1" si="64"/>
        <v>2.3378329525962194E-2</v>
      </c>
      <c r="AH166" s="388">
        <f t="shared" ca="1" si="64"/>
        <v>3.4044943077028433E-2</v>
      </c>
    </row>
    <row r="167" spans="1:34">
      <c r="A167" s="165">
        <f t="shared" si="42"/>
        <v>2002</v>
      </c>
      <c r="B167" s="206">
        <f>IF(AND($A167&gt;=SYear72,$A167&lt;=EYear72),IF(B$134&gt;0,B$134*Data_72_15!$D38,""),"")</f>
        <v>-2.2149999999999999</v>
      </c>
      <c r="C167" s="268">
        <f>IF(AND($A167&gt;=SYear72,$A167&lt;=EYear72),IF(C$134&gt;0,C$134*Data_72_15!$C38,""),"")</f>
        <v>-2.0910000000000002</v>
      </c>
      <c r="D167" s="206">
        <f>IF(AND($A167&gt;=SYear72,$A167&lt;=EYear72),IF(D$134&gt;0,D$134*Data_72_15!$G38,""),"")</f>
        <v>-1.42</v>
      </c>
      <c r="E167" s="206">
        <f>IF(AND($A167&gt;=SYear72,$A167&lt;=EYear72),IF(E$134&gt;0,E$134*Data_72_15!$H38,""),"")</f>
        <v>-2.0020000000000002</v>
      </c>
      <c r="F167" s="206">
        <f>IF(AND($A167&gt;=SYear72,$A167&lt;=EYear72),IF(F$134&gt;0,F$134*Data_72_15!$N38,""),"")</f>
        <v>-1.508</v>
      </c>
      <c r="G167" s="206">
        <f>IF(AND($A167&gt;=SYear72,$A167&lt;=EYear72),IF(G$134&gt;0,G$134*Data_72_15!$K38,""),"")</f>
        <v>0.375</v>
      </c>
      <c r="H167" s="269">
        <f>IF(AND($A167&gt;=SYear72,$A167&lt;=EYear72),IF(H$134&gt;0,H$134*Data_72_15!$U38,""),"")</f>
        <v>3.3040000000000003</v>
      </c>
      <c r="I167" s="206">
        <f t="shared" si="43"/>
        <v>-5.5570000000000004</v>
      </c>
      <c r="J167" s="446">
        <f t="shared" si="44"/>
        <v>263856.55050676793</v>
      </c>
      <c r="K167" s="206">
        <f>IF(AND($A167&gt;=SYear72,$A167&lt;=EYear72),(I167-Data_72_15!$AM38)/(1+Data_72_15!$AM38%),"")</f>
        <v>-7.7497064676616922</v>
      </c>
      <c r="L167" s="447">
        <f t="shared" si="45"/>
        <v>59947.508158254132</v>
      </c>
      <c r="P167">
        <f t="shared" si="46"/>
        <v>30</v>
      </c>
      <c r="Q167">
        <f t="shared" ca="1" si="47"/>
        <v>2002</v>
      </c>
      <c r="R167" s="443">
        <f t="shared" si="48"/>
        <v>231638.17781831094</v>
      </c>
      <c r="S167" s="443">
        <f t="shared" ref="S167:Z167" ca="1" si="78">IF(OFFSET(INDIRECT(S$135),$P167,0)="",S166,OFFSET(INDIRECT(S$135),$P167,0))</f>
        <v>231638.17781831094</v>
      </c>
      <c r="T167" s="443">
        <f t="shared" ca="1" si="78"/>
        <v>263856.55050676793</v>
      </c>
      <c r="U167" s="443">
        <f t="shared" ca="1" si="78"/>
        <v>204972.33476463309</v>
      </c>
      <c r="V167" s="443">
        <f t="shared" ca="1" si="78"/>
        <v>52627.579371656131</v>
      </c>
      <c r="W167" s="209">
        <f t="shared" ca="1" si="78"/>
        <v>0.26633995488375994</v>
      </c>
      <c r="X167" s="209">
        <f t="shared" ca="1" si="78"/>
        <v>0.35077918375632311</v>
      </c>
      <c r="Y167" s="443">
        <f t="shared" ca="1" si="78"/>
        <v>59947.508158254132</v>
      </c>
      <c r="Z167" s="443">
        <f t="shared" ca="1" si="78"/>
        <v>46569.170584999578</v>
      </c>
      <c r="AA167" s="388">
        <f t="shared" ca="1" si="64"/>
        <v>8.4342630851324207E-2</v>
      </c>
      <c r="AB167" s="388">
        <f t="shared" ca="1" si="64"/>
        <v>9.9150298823875938E-2</v>
      </c>
      <c r="AC167" s="388">
        <f t="shared" ca="1" si="64"/>
        <v>5.6333589935174899E-2</v>
      </c>
      <c r="AD167" s="388" t="str">
        <f t="shared" ca="1" si="64"/>
        <v/>
      </c>
      <c r="AE167" s="388">
        <f t="shared" ca="1" si="64"/>
        <v>5.7870369192846827E-2</v>
      </c>
      <c r="AF167" s="388">
        <f t="shared" ca="1" si="64"/>
        <v>7.0336066469447456E-2</v>
      </c>
      <c r="AG167" s="388">
        <f t="shared" ca="1" si="64"/>
        <v>3.0806093417322211E-2</v>
      </c>
      <c r="AH167" s="388" t="str">
        <f t="shared" ca="1" si="64"/>
        <v/>
      </c>
    </row>
    <row r="168" spans="1:34">
      <c r="A168" s="165">
        <f t="shared" si="42"/>
        <v>2003</v>
      </c>
      <c r="B168" s="206">
        <f>IF(AND($A168&gt;=SYear72,$A168&lt;=EYear72),IF(B$134&gt;0,B$134*Data_72_15!$D39,""),"")</f>
        <v>2.85</v>
      </c>
      <c r="C168" s="268">
        <f>IF(AND($A168&gt;=SYear72,$A168&lt;=EYear72),IF(C$134&gt;0,C$134*Data_72_15!$C39,""),"")</f>
        <v>3.2250000000000001</v>
      </c>
      <c r="D168" s="206">
        <f>IF(AND($A168&gt;=SYear72,$A168&lt;=EYear72),IF(D$134&gt;0,D$134*Data_72_15!$G39,""),"")</f>
        <v>3.7189999999999999</v>
      </c>
      <c r="E168" s="206">
        <f>IF(AND($A168&gt;=SYear72,$A168&lt;=EYear72),IF(E$134&gt;0,E$134*Data_72_15!$H39,""),"")</f>
        <v>4.5630000000000006</v>
      </c>
      <c r="F168" s="206">
        <f>IF(AND($A168&gt;=SYear72,$A168&lt;=EYear72),IF(F$134&gt;0,F$134*Data_72_15!$N39,""),"")</f>
        <v>4.0340000000000007</v>
      </c>
      <c r="G168" s="206">
        <f>IF(AND($A168&gt;=SYear72,$A168&lt;=EYear72),IF(G$134&gt;0,G$134*Data_72_15!$K39,""),"")</f>
        <v>3.5649999999999999</v>
      </c>
      <c r="H168" s="269">
        <f>IF(AND($A168&gt;=SYear72,$A168&lt;=EYear72),IF(H$134&gt;0,H$134*Data_72_15!$U39,""),"")</f>
        <v>1.5880000000000001</v>
      </c>
      <c r="I168" s="206">
        <f t="shared" si="43"/>
        <v>23.544000000000004</v>
      </c>
      <c r="J168" s="446">
        <f t="shared" si="44"/>
        <v>325978.93675808143</v>
      </c>
      <c r="K168" s="206">
        <f>IF(AND($A168&gt;=SYear72,$A168&lt;=EYear72),(I168-Data_72_15!$AM39)/(1+Data_72_15!$AM39%),"")</f>
        <v>21.264837764514365</v>
      </c>
      <c r="L168" s="447">
        <f t="shared" si="45"/>
        <v>72695.248511975893</v>
      </c>
      <c r="P168">
        <f t="shared" si="46"/>
        <v>31</v>
      </c>
      <c r="Q168">
        <f t="shared" ca="1" si="47"/>
        <v>2003</v>
      </c>
      <c r="R168" s="443">
        <f t="shared" si="48"/>
        <v>297078.27943376196</v>
      </c>
      <c r="S168" s="443">
        <f t="shared" ref="S168:Z168" ca="1" si="79">IF(OFFSET(INDIRECT(S$135),$P168,0)="",S167,OFFSET(INDIRECT(S$135),$P168,0))</f>
        <v>297078.27943376196</v>
      </c>
      <c r="T168" s="443">
        <f t="shared" ca="1" si="79"/>
        <v>325978.93675808143</v>
      </c>
      <c r="U168" s="443">
        <f t="shared" ca="1" si="79"/>
        <v>268542.41660623992</v>
      </c>
      <c r="V168" s="443">
        <f t="shared" ca="1" si="79"/>
        <v>66250.229434224821</v>
      </c>
      <c r="W168" s="209">
        <f t="shared" ca="1" si="79"/>
        <v>5.9073655537970948E-2</v>
      </c>
      <c r="X168" s="209">
        <f t="shared" ca="1" si="79"/>
        <v>0.14942996036343825</v>
      </c>
      <c r="Y168" s="443">
        <f t="shared" ca="1" si="79"/>
        <v>72695.248511975893</v>
      </c>
      <c r="Z168" s="443">
        <f t="shared" ca="1" si="79"/>
        <v>59886.561706546199</v>
      </c>
      <c r="AA168" s="388">
        <f t="shared" ca="1" si="64"/>
        <v>0.16216432042514106</v>
      </c>
      <c r="AB168" s="388">
        <f t="shared" ca="1" si="64"/>
        <v>0.1485067292344775</v>
      </c>
      <c r="AC168" s="388">
        <f t="shared" ca="1" si="64"/>
        <v>8.434560784525913E-2</v>
      </c>
      <c r="AD168" s="388" t="str">
        <f t="shared" ca="1" si="64"/>
        <v/>
      </c>
      <c r="AE168" s="388">
        <f t="shared" ca="1" si="64"/>
        <v>0.12998331005459574</v>
      </c>
      <c r="AF168" s="388">
        <f t="shared" ca="1" si="64"/>
        <v>0.11471157223778405</v>
      </c>
      <c r="AG168" s="388">
        <f t="shared" ca="1" si="64"/>
        <v>5.8800661235925311E-2</v>
      </c>
      <c r="AH168" s="388" t="str">
        <f t="shared" ca="1" si="64"/>
        <v/>
      </c>
    </row>
    <row r="169" spans="1:34">
      <c r="A169" s="165">
        <f t="shared" si="42"/>
        <v>2004</v>
      </c>
      <c r="B169" s="206">
        <f>IF(AND($A169&gt;=SYear72,$A169&lt;=EYear72),IF(B$134&gt;0,B$134*Data_72_15!$D40,""),"")</f>
        <v>1.0740000000000001</v>
      </c>
      <c r="C169" s="268">
        <f>IF(AND($A169&gt;=SYear72,$A169&lt;=EYear72),IF(C$134&gt;0,C$134*Data_72_15!$C40,""),"")</f>
        <v>1.5289999999999999</v>
      </c>
      <c r="D169" s="206">
        <f>IF(AND($A169&gt;=SYear72,$A169&lt;=EYear72),IF(D$134&gt;0,D$134*Data_72_15!$G40,""),"")</f>
        <v>2.355</v>
      </c>
      <c r="E169" s="206">
        <f>IF(AND($A169&gt;=SYear72,$A169&lt;=EYear72),IF(E$134&gt;0,E$134*Data_72_15!$H40,""),"")</f>
        <v>1.99</v>
      </c>
      <c r="F169" s="206">
        <f>IF(AND($A169&gt;=SYear72,$A169&lt;=EYear72),IF(F$134&gt;0,F$134*Data_72_15!$N40,""),"")</f>
        <v>2.0840000000000001</v>
      </c>
      <c r="G169" s="206">
        <f>IF(AND($A169&gt;=SYear72,$A169&lt;=EYear72),IF(G$134&gt;0,G$134*Data_72_15!$K40,""),"")</f>
        <v>3.0760000000000005</v>
      </c>
      <c r="H169" s="269">
        <f>IF(AND($A169&gt;=SYear72,$A169&lt;=EYear72),IF(H$134&gt;0,H$134*Data_72_15!$U40,""),"")</f>
        <v>1.6960000000000002</v>
      </c>
      <c r="I169" s="206">
        <f t="shared" si="43"/>
        <v>13.804</v>
      </c>
      <c r="J169" s="446">
        <f t="shared" si="44"/>
        <v>370977.06918816699</v>
      </c>
      <c r="K169" s="206">
        <f>IF(AND($A169&gt;=SYear72,$A169&lt;=EYear72),(I169-Data_72_15!$AM40)/(1+Data_72_15!$AM40%),"")</f>
        <v>10.215854965843409</v>
      </c>
      <c r="L169" s="447">
        <f t="shared" si="45"/>
        <v>80121.689667018785</v>
      </c>
      <c r="P169">
        <f t="shared" si="46"/>
        <v>32</v>
      </c>
      <c r="Q169">
        <f t="shared" ca="1" si="47"/>
        <v>2004</v>
      </c>
      <c r="R169" s="443">
        <f t="shared" si="48"/>
        <v>336268.84605666384</v>
      </c>
      <c r="S169" s="443">
        <f t="shared" ref="S169:Z169" ca="1" si="80">IF(OFFSET(INDIRECT(S$135),$P169,0)="",S168,OFFSET(INDIRECT(S$135),$P169,0))</f>
        <v>336268.84605666384</v>
      </c>
      <c r="T169" s="443">
        <f t="shared" ca="1" si="80"/>
        <v>370977.06918816699</v>
      </c>
      <c r="U169" s="443">
        <f t="shared" ca="1" si="80"/>
        <v>308095.08836427267</v>
      </c>
      <c r="V169" s="443">
        <f t="shared" ca="1" si="80"/>
        <v>72625.588927634817</v>
      </c>
      <c r="W169" s="209">
        <f t="shared" ca="1" si="80"/>
        <v>0</v>
      </c>
      <c r="X169" s="209">
        <f t="shared" ca="1" si="80"/>
        <v>2.4152479025020601E-2</v>
      </c>
      <c r="Y169" s="443">
        <f t="shared" ca="1" si="80"/>
        <v>80121.689667018785</v>
      </c>
      <c r="Z169" s="443">
        <f t="shared" ca="1" si="80"/>
        <v>66540.767902110412</v>
      </c>
      <c r="AA169" s="388">
        <f t="shared" ca="1" si="64"/>
        <v>0.12512432979823407</v>
      </c>
      <c r="AB169" s="388">
        <f t="shared" ca="1" si="64"/>
        <v>2.0158820016503487E-2</v>
      </c>
      <c r="AC169" s="388">
        <f t="shared" ca="1" si="64"/>
        <v>7.7668564159214082E-2</v>
      </c>
      <c r="AD169" s="388" t="str">
        <f t="shared" ca="1" si="64"/>
        <v/>
      </c>
      <c r="AE169" s="388">
        <f t="shared" ca="1" si="64"/>
        <v>9.1612685185717524E-2</v>
      </c>
      <c r="AF169" s="388">
        <f t="shared" ca="1" si="64"/>
        <v>-6.347009299313755E-3</v>
      </c>
      <c r="AG169" s="388">
        <f t="shared" ca="1" si="64"/>
        <v>5.2671884673530345E-2</v>
      </c>
      <c r="AH169" s="388" t="str">
        <f t="shared" ca="1" si="64"/>
        <v/>
      </c>
    </row>
    <row r="170" spans="1:34">
      <c r="A170" s="165">
        <f t="shared" si="42"/>
        <v>2005</v>
      </c>
      <c r="B170" s="206">
        <f>IF(AND($A170&gt;=SYear72,$A170&lt;=EYear72),IF(B$134&gt;0,B$134*Data_72_15!$D41,""),"")</f>
        <v>0.47699999999999998</v>
      </c>
      <c r="C170" s="268">
        <f>IF(AND($A170&gt;=SYear72,$A170&lt;=EYear72),IF(C$134&gt;0,C$134*Data_72_15!$C41,""),"")</f>
        <v>0.70900000000000007</v>
      </c>
      <c r="D170" s="206">
        <f>IF(AND($A170&gt;=SYear72,$A170&lt;=EYear72),IF(D$134&gt;0,D$134*Data_72_15!$G41,""),"")</f>
        <v>0.6070000000000001</v>
      </c>
      <c r="E170" s="206">
        <f>IF(AND($A170&gt;=SYear72,$A170&lt;=EYear72),IF(E$134&gt;0,E$134*Data_72_15!$H41,""),"")</f>
        <v>0.7360000000000001</v>
      </c>
      <c r="F170" s="206">
        <f>IF(AND($A170&gt;=SYear72,$A170&lt;=EYear72),IF(F$134&gt;0,F$134*Data_72_15!$N41,""),"")</f>
        <v>1.5570000000000002</v>
      </c>
      <c r="G170" s="206">
        <f>IF(AND($A170&gt;=SYear72,$A170&lt;=EYear72),IF(G$134&gt;0,G$134*Data_72_15!$K41,""),"")</f>
        <v>1.1890000000000001</v>
      </c>
      <c r="H170" s="269">
        <f>IF(AND($A170&gt;=SYear72,$A170&lt;=EYear72),IF(H$134&gt;0,H$134*Data_72_15!$U41,""),"")</f>
        <v>0.96</v>
      </c>
      <c r="I170" s="206">
        <f t="shared" si="43"/>
        <v>6.2350000000000003</v>
      </c>
      <c r="J170" s="446">
        <f t="shared" si="44"/>
        <v>394107.48945204919</v>
      </c>
      <c r="K170" s="206">
        <f>IF(AND($A170&gt;=SYear72,$A170&lt;=EYear72),(I170-Data_72_15!$AM41)/(1+Data_72_15!$AM41%),"")</f>
        <v>2.7262220528455279</v>
      </c>
      <c r="L170" s="447">
        <f t="shared" si="45"/>
        <v>82305.984839833502</v>
      </c>
      <c r="P170">
        <f t="shared" si="46"/>
        <v>33</v>
      </c>
      <c r="Q170">
        <f t="shared" ca="1" si="47"/>
        <v>2005</v>
      </c>
      <c r="R170" s="443">
        <f t="shared" si="48"/>
        <v>363590.68979876779</v>
      </c>
      <c r="S170" s="443">
        <f t="shared" ref="S170:Z170" ca="1" si="81">IF(OFFSET(INDIRECT(S$135),$P170,0)="",S169,OFFSET(INDIRECT(S$135),$P170,0))</f>
        <v>363590.68979876779</v>
      </c>
      <c r="T170" s="443">
        <f t="shared" ca="1" si="81"/>
        <v>394107.48945204919</v>
      </c>
      <c r="U170" s="443">
        <f t="shared" ca="1" si="81"/>
        <v>336982.18391932233</v>
      </c>
      <c r="V170" s="443">
        <f t="shared" ca="1" si="81"/>
        <v>75932.811741511061</v>
      </c>
      <c r="W170" s="209">
        <f t="shared" ca="1" si="81"/>
        <v>0</v>
      </c>
      <c r="X170" s="209">
        <f t="shared" ca="1" si="81"/>
        <v>0</v>
      </c>
      <c r="Y170" s="443">
        <f t="shared" ca="1" si="81"/>
        <v>82305.984839833502</v>
      </c>
      <c r="Z170" s="443">
        <f t="shared" ca="1" si="81"/>
        <v>70375.852434370696</v>
      </c>
      <c r="AA170" s="388">
        <f t="shared" ca="1" si="64"/>
        <v>0.11240707490889146</v>
      </c>
      <c r="AB170" s="388">
        <f t="shared" ca="1" si="64"/>
        <v>4.065837319103216E-2</v>
      </c>
      <c r="AC170" s="388">
        <f t="shared" ca="1" si="64"/>
        <v>7.0422135260287844E-2</v>
      </c>
      <c r="AD170" s="388" t="str">
        <f t="shared" ca="1" si="64"/>
        <v/>
      </c>
      <c r="AE170" s="388">
        <f t="shared" ca="1" si="64"/>
        <v>7.641256535230645E-2</v>
      </c>
      <c r="AF170" s="388">
        <f t="shared" ca="1" si="64"/>
        <v>1.4672058413029543E-2</v>
      </c>
      <c r="AG170" s="388">
        <f t="shared" ca="1" si="64"/>
        <v>4.8158429478033948E-2</v>
      </c>
      <c r="AH170" s="388" t="str">
        <f t="shared" ca="1" si="64"/>
        <v/>
      </c>
    </row>
    <row r="171" spans="1:34">
      <c r="A171" s="165">
        <f t="shared" si="42"/>
        <v>2006</v>
      </c>
      <c r="B171" s="206">
        <f>IF(AND($A171&gt;=SYear72,$A171&lt;=EYear72),IF(B$134&gt;0,B$134*Data_72_15!$D42,""),"")</f>
        <v>1.5640000000000001</v>
      </c>
      <c r="C171" s="268">
        <f>IF(AND($A171&gt;=SYear72,$A171&lt;=EYear72),IF(C$134&gt;0,C$134*Data_72_15!$C42,""),"")</f>
        <v>2.2149999999999999</v>
      </c>
      <c r="D171" s="206">
        <f>IF(AND($A171&gt;=SYear72,$A171&lt;=EYear72),IF(D$134&gt;0,D$134*Data_72_15!$G42,""),"")</f>
        <v>1.9239999999999999</v>
      </c>
      <c r="E171" s="206">
        <f>IF(AND($A171&gt;=SYear72,$A171&lt;=EYear72),IF(E$134&gt;0,E$134*Data_72_15!$H42,""),"")</f>
        <v>1.5640000000000001</v>
      </c>
      <c r="F171" s="206">
        <f>IF(AND($A171&gt;=SYear72,$A171&lt;=EYear72),IF(F$134&gt;0,F$134*Data_72_15!$N42,""),"")</f>
        <v>2.6640000000000001</v>
      </c>
      <c r="G171" s="206">
        <f>IF(AND($A171&gt;=SYear72,$A171&lt;=EYear72),IF(G$134&gt;0,G$134*Data_72_15!$K42,""),"")</f>
        <v>3.5070000000000001</v>
      </c>
      <c r="H171" s="269">
        <f>IF(AND($A171&gt;=SYear72,$A171&lt;=EYear72),IF(H$134&gt;0,H$134*Data_72_15!$U42,""),"")</f>
        <v>1.708</v>
      </c>
      <c r="I171" s="206">
        <f t="shared" si="43"/>
        <v>15.145999999999999</v>
      </c>
      <c r="J171" s="446">
        <f t="shared" si="44"/>
        <v>453799.00980445655</v>
      </c>
      <c r="K171" s="206">
        <f>IF(AND($A171&gt;=SYear72,$A171&lt;=EYear72),(I171-Data_72_15!$AM42)/(1+Data_72_15!$AM42%),"")</f>
        <v>12.293026759167493</v>
      </c>
      <c r="L171" s="447">
        <f t="shared" si="45"/>
        <v>92423.881580590576</v>
      </c>
      <c r="P171">
        <f t="shared" si="46"/>
        <v>34</v>
      </c>
      <c r="Q171">
        <f t="shared" ca="1" si="47"/>
        <v>2006</v>
      </c>
      <c r="R171" s="443">
        <f t="shared" si="48"/>
        <v>423128.66525331605</v>
      </c>
      <c r="S171" s="443">
        <f t="shared" ref="S171:Z171" ca="1" si="82">IF(OFFSET(INDIRECT(S$135),$P171,0)="",S170,OFFSET(INDIRECT(S$135),$P171,0))</f>
        <v>423128.66525331605</v>
      </c>
      <c r="T171" s="443">
        <f t="shared" ca="1" si="82"/>
        <v>453799.00980445655</v>
      </c>
      <c r="U171" s="443">
        <f t="shared" ca="1" si="82"/>
        <v>401304.20045368711</v>
      </c>
      <c r="V171" s="443">
        <f t="shared" ca="1" si="82"/>
        <v>86177.344608083804</v>
      </c>
      <c r="W171" s="209">
        <f t="shared" ca="1" si="82"/>
        <v>0</v>
      </c>
      <c r="X171" s="209">
        <f t="shared" ca="1" si="82"/>
        <v>0</v>
      </c>
      <c r="Y171" s="443">
        <f t="shared" ca="1" si="82"/>
        <v>92423.881580590576</v>
      </c>
      <c r="Z171" s="443">
        <f t="shared" ca="1" si="82"/>
        <v>81732.421400627092</v>
      </c>
      <c r="AA171" s="388">
        <f t="shared" ca="1" si="64"/>
        <v>-3.3506294729317099E-2</v>
      </c>
      <c r="AB171" s="388">
        <f t="shared" ca="1" si="64"/>
        <v>5.0528962140239386E-2</v>
      </c>
      <c r="AC171" s="388">
        <f t="shared" ca="1" si="64"/>
        <v>6.1169434514457777E-2</v>
      </c>
      <c r="AD171" s="388" t="str">
        <f t="shared" ca="1" si="64"/>
        <v/>
      </c>
      <c r="AE171" s="388">
        <f t="shared" ca="1" si="64"/>
        <v>-5.4538442798760745E-2</v>
      </c>
      <c r="AF171" s="388">
        <f t="shared" ca="1" si="64"/>
        <v>2.8142378774211441E-2</v>
      </c>
      <c r="AG171" s="388">
        <f t="shared" ca="1" si="64"/>
        <v>4.1836423197797012E-2</v>
      </c>
      <c r="AH171" s="388" t="str">
        <f t="shared" ca="1" si="64"/>
        <v/>
      </c>
    </row>
    <row r="172" spans="1:34">
      <c r="A172" s="165">
        <f t="shared" si="42"/>
        <v>2007</v>
      </c>
      <c r="B172" s="206">
        <f>IF(AND($A172&gt;=SYear72,$A172&lt;=EYear72),IF(B$134&gt;0,B$134*Data_72_15!$D43,""),"")</f>
        <v>0.53900000000000003</v>
      </c>
      <c r="C172" s="268">
        <f>IF(AND($A172&gt;=SYear72,$A172&lt;=EYear72),IF(C$134&gt;0,C$134*Data_72_15!$C43,""),"")</f>
        <v>8.9999999999999993E-3</v>
      </c>
      <c r="D172" s="206">
        <f>IF(AND($A172&gt;=SYear72,$A172&lt;=EYear72),IF(D$134&gt;0,D$134*Data_72_15!$G43,""),"")</f>
        <v>-0.70700000000000007</v>
      </c>
      <c r="E172" s="206">
        <f>IF(AND($A172&gt;=SYear72,$A172&lt;=EYear72),IF(E$134&gt;0,E$134*Data_72_15!$H43,""),"")</f>
        <v>0.11599999999999999</v>
      </c>
      <c r="F172" s="206">
        <f>IF(AND($A172&gt;=SYear72,$A172&lt;=EYear72),IF(F$134&gt;0,F$134*Data_72_15!$N43,""),"")</f>
        <v>1.552</v>
      </c>
      <c r="G172" s="206">
        <f>IF(AND($A172&gt;=SYear72,$A172&lt;=EYear72),IF(G$134&gt;0,G$134*Data_72_15!$K43,""),"")</f>
        <v>-1.6460000000000001</v>
      </c>
      <c r="H172" s="269">
        <f>IF(AND($A172&gt;=SYear72,$A172&lt;=EYear72),IF(H$134&gt;0,H$134*Data_72_15!$U43,""),"")</f>
        <v>2.7680000000000002</v>
      </c>
      <c r="I172" s="206">
        <f t="shared" si="43"/>
        <v>2.6310000000000002</v>
      </c>
      <c r="J172" s="446">
        <f t="shared" si="44"/>
        <v>465738.46175241185</v>
      </c>
      <c r="K172" s="206">
        <f>IF(AND($A172&gt;=SYear72,$A172&lt;=EYear72),(I172-Data_72_15!$AM43)/(1+Data_72_15!$AM43%),"")</f>
        <v>-1.3934001790169206</v>
      </c>
      <c r="L172" s="447">
        <f t="shared" si="45"/>
        <v>91136.047049192231</v>
      </c>
      <c r="P172">
        <f t="shared" si="46"/>
        <v>35</v>
      </c>
      <c r="Q172">
        <f t="shared" ca="1" si="47"/>
        <v>2007</v>
      </c>
      <c r="R172" s="443">
        <f t="shared" si="48"/>
        <v>462890.06592717022</v>
      </c>
      <c r="S172" s="443">
        <f t="shared" ref="S172:Z172" ca="1" si="83">IF(OFFSET(INDIRECT(S$135),$P172,0)="",S171,OFFSET(INDIRECT(S$135),$P172,0))</f>
        <v>462890.06592717022</v>
      </c>
      <c r="T172" s="443">
        <f t="shared" ca="1" si="83"/>
        <v>465738.46175241185</v>
      </c>
      <c r="U172" s="443">
        <f t="shared" ca="1" si="83"/>
        <v>441991.57678512001</v>
      </c>
      <c r="V172" s="443">
        <f t="shared" ca="1" si="83"/>
        <v>90578.670845030007</v>
      </c>
      <c r="W172" s="209">
        <f t="shared" ca="1" si="83"/>
        <v>0</v>
      </c>
      <c r="X172" s="209">
        <f t="shared" ca="1" si="83"/>
        <v>0</v>
      </c>
      <c r="Y172" s="443">
        <f t="shared" ca="1" si="83"/>
        <v>91136.047049192231</v>
      </c>
      <c r="Z172" s="443">
        <f t="shared" ca="1" si="83"/>
        <v>86489.239015542291</v>
      </c>
      <c r="AA172" s="388">
        <f t="shared" ca="1" si="64"/>
        <v>-1.011433881978141E-2</v>
      </c>
      <c r="AB172" s="388">
        <f t="shared" ca="1" si="64"/>
        <v>1.5184779023685202E-2</v>
      </c>
      <c r="AC172" s="388" t="str">
        <f t="shared" ca="1" si="64"/>
        <v/>
      </c>
      <c r="AD172" s="388" t="str">
        <f t="shared" ca="1" si="64"/>
        <v/>
      </c>
      <c r="AE172" s="388">
        <f t="shared" ca="1" si="64"/>
        <v>-3.2223612660405188E-2</v>
      </c>
      <c r="AF172" s="388">
        <f t="shared" ca="1" si="64"/>
        <v>-7.2639467983286465E-3</v>
      </c>
      <c r="AG172" s="388" t="str">
        <f t="shared" ca="1" si="64"/>
        <v/>
      </c>
      <c r="AH172" s="388" t="str">
        <f t="shared" ca="1" si="64"/>
        <v/>
      </c>
    </row>
    <row r="173" spans="1:34">
      <c r="A173" s="165">
        <f t="shared" si="42"/>
        <v>2008</v>
      </c>
      <c r="B173" s="206">
        <f>IF(AND($A173&gt;=SYear72,$A173&lt;=EYear72),IF(B$134&gt;0,B$134*Data_72_15!$D44,""),"")</f>
        <v>-3.7020000000000004</v>
      </c>
      <c r="C173" s="268">
        <f>IF(AND($A173&gt;=SYear72,$A173&lt;=EYear72),IF(C$134&gt;0,C$134*Data_72_15!$C44,""),"")</f>
        <v>-3.597</v>
      </c>
      <c r="D173" s="206">
        <f>IF(AND($A173&gt;=SYear72,$A173&lt;=EYear72),IF(D$134&gt;0,D$134*Data_72_15!$G44,""),"")</f>
        <v>-3.2050000000000001</v>
      </c>
      <c r="E173" s="206">
        <f>IF(AND($A173&gt;=SYear72,$A173&lt;=EYear72),IF(E$134&gt;0,E$134*Data_72_15!$H44,""),"")</f>
        <v>-3.6070000000000002</v>
      </c>
      <c r="F173" s="206">
        <f>IF(AND($A173&gt;=SYear72,$A173&lt;=EYear72),IF(F$134&gt;0,F$134*Data_72_15!$N44,""),"")</f>
        <v>-4.41</v>
      </c>
      <c r="G173" s="206">
        <f>IF(AND($A173&gt;=SYear72,$A173&lt;=EYear72),IF(G$134&gt;0,G$134*Data_72_15!$K44,""),"")</f>
        <v>-3.7050000000000001</v>
      </c>
      <c r="H173" s="269">
        <f>IF(AND($A173&gt;=SYear72,$A173&lt;=EYear72),IF(H$134&gt;0,H$134*Data_72_15!$U44,""),"")</f>
        <v>2.02</v>
      </c>
      <c r="I173" s="206">
        <f t="shared" si="43"/>
        <v>-20.206</v>
      </c>
      <c r="J173" s="446">
        <f t="shared" si="44"/>
        <v>371631.34817071952</v>
      </c>
      <c r="K173" s="206">
        <f>IF(AND($A173&gt;=SYear72,$A173&lt;=EYear72),(I173-Data_72_15!$AM44)/(1+Data_72_15!$AM44%),"")</f>
        <v>-20.278875392431075</v>
      </c>
      <c r="L173" s="447">
        <f t="shared" si="45"/>
        <v>72654.681630499181</v>
      </c>
      <c r="P173">
        <f t="shared" si="46"/>
        <v>36</v>
      </c>
      <c r="Q173">
        <f t="shared" ca="1" si="47"/>
        <v>2008</v>
      </c>
      <c r="R173" s="443">
        <f t="shared" si="48"/>
        <v>328253.86135159346</v>
      </c>
      <c r="S173" s="443">
        <f t="shared" ref="S173:Z173" ca="1" si="84">IF(OFFSET(INDIRECT(S$135),$P173,0)="",S172,OFFSET(INDIRECT(S$135),$P173,0))</f>
        <v>328253.86135159346</v>
      </c>
      <c r="T173" s="443">
        <f t="shared" ca="1" si="84"/>
        <v>371631.34817071952</v>
      </c>
      <c r="U173" s="443">
        <f t="shared" ca="1" si="84"/>
        <v>279012.5970228574</v>
      </c>
      <c r="V173" s="443">
        <f t="shared" ca="1" si="84"/>
        <v>64174.295058462769</v>
      </c>
      <c r="W173" s="209">
        <f t="shared" ca="1" si="84"/>
        <v>0.29086000000000001</v>
      </c>
      <c r="X173" s="209">
        <f t="shared" ca="1" si="84"/>
        <v>0.36873775049676338</v>
      </c>
      <c r="Y173" s="443">
        <f t="shared" ca="1" si="84"/>
        <v>72654.681630499181</v>
      </c>
      <c r="Z173" s="443">
        <f t="shared" ca="1" si="84"/>
        <v>54547.528101106618</v>
      </c>
      <c r="AA173" s="388">
        <f t="shared" ca="1" si="64"/>
        <v>1.670801902023733E-3</v>
      </c>
      <c r="AB173" s="388">
        <f t="shared" ca="1" si="64"/>
        <v>2.3768835936226917E-2</v>
      </c>
      <c r="AC173" s="388" t="str">
        <f t="shared" ca="1" si="64"/>
        <v/>
      </c>
      <c r="AD173" s="388" t="str">
        <f t="shared" ca="1" si="64"/>
        <v/>
      </c>
      <c r="AE173" s="388">
        <f t="shared" ca="1" si="64"/>
        <v>-1.2455638315151507E-2</v>
      </c>
      <c r="AF173" s="388">
        <f t="shared" ca="1" si="64"/>
        <v>5.694089981596262E-3</v>
      </c>
      <c r="AG173" s="388" t="str">
        <f t="shared" ca="1" si="64"/>
        <v/>
      </c>
      <c r="AH173" s="388" t="str">
        <f t="shared" ca="1" si="64"/>
        <v/>
      </c>
    </row>
    <row r="174" spans="1:34">
      <c r="A174" s="165">
        <f t="shared" si="42"/>
        <v>2009</v>
      </c>
      <c r="B174" s="206">
        <f>IF(AND($A174&gt;=SYear72,$A174&lt;=EYear72),IF(B$134&gt;0,B$134*Data_72_15!$D45,""),"")</f>
        <v>2.649</v>
      </c>
      <c r="C174" s="268">
        <f>IF(AND($A174&gt;=SYear72,$A174&lt;=EYear72),IF(C$134&gt;0,C$134*Data_72_15!$C45,""),"")</f>
        <v>1.958</v>
      </c>
      <c r="D174" s="206">
        <f>IF(AND($A174&gt;=SYear72,$A174&lt;=EYear72),IF(D$134&gt;0,D$134*Data_72_15!$G45,""),"")</f>
        <v>3.0340000000000003</v>
      </c>
      <c r="E174" s="206">
        <f>IF(AND($A174&gt;=SYear72,$A174&lt;=EYear72),IF(E$134&gt;0,E$134*Data_72_15!$H45,""),"")</f>
        <v>3.6120000000000001</v>
      </c>
      <c r="F174" s="206">
        <f>IF(AND($A174&gt;=SYear72,$A174&lt;=EYear72),IF(F$134&gt;0,F$134*Data_72_15!$N45,""),"")</f>
        <v>3.673</v>
      </c>
      <c r="G174" s="206">
        <f>IF(AND($A174&gt;=SYear72,$A174&lt;=EYear72),IF(G$134&gt;0,G$134*Data_72_15!$K45,""),"")</f>
        <v>2.9580000000000002</v>
      </c>
      <c r="H174" s="269">
        <f>IF(AND($A174&gt;=SYear72,$A174&lt;=EYear72),IF(H$134&gt;0,H$134*Data_72_15!$U45,""),"")</f>
        <v>2.3719999999999999</v>
      </c>
      <c r="I174" s="206">
        <f t="shared" si="43"/>
        <v>20.256</v>
      </c>
      <c r="J174" s="446">
        <f t="shared" si="44"/>
        <v>446908.99405618047</v>
      </c>
      <c r="K174" s="206">
        <f>IF(AND($A174&gt;=SYear72,$A174&lt;=EYear72),(I174-Data_72_15!$AM45)/(1+Data_72_15!$AM45%),"")</f>
        <v>17.07013400386203</v>
      </c>
      <c r="L174" s="447">
        <f t="shared" si="45"/>
        <v>85056.933144904731</v>
      </c>
      <c r="P174">
        <f t="shared" si="46"/>
        <v>37</v>
      </c>
      <c r="Q174">
        <f t="shared" ca="1" si="47"/>
        <v>2009</v>
      </c>
      <c r="R174" s="443">
        <f t="shared" si="48"/>
        <v>410419.08538651082</v>
      </c>
      <c r="S174" s="443">
        <f t="shared" ref="S174:Z174" ca="1" si="85">IF(OFFSET(INDIRECT(S$135),$P174,0)="",S173,OFFSET(INDIRECT(S$135),$P174,0))</f>
        <v>410419.08538651082</v>
      </c>
      <c r="T174" s="443">
        <f t="shared" ca="1" si="85"/>
        <v>446908.99405618047</v>
      </c>
      <c r="U174" s="443">
        <f t="shared" ca="1" si="85"/>
        <v>357905.41074685199</v>
      </c>
      <c r="V174" s="443">
        <f t="shared" ca="1" si="85"/>
        <v>78112.074653671094</v>
      </c>
      <c r="W174" s="209">
        <f t="shared" ca="1" si="85"/>
        <v>0.1133551666</v>
      </c>
      <c r="X174" s="209">
        <f t="shared" ca="1" si="85"/>
        <v>0.19024382014218244</v>
      </c>
      <c r="Y174" s="443">
        <f t="shared" ca="1" si="85"/>
        <v>85056.933144904731</v>
      </c>
      <c r="Z174" s="443">
        <f t="shared" ca="1" si="85"/>
        <v>68117.52951713423</v>
      </c>
      <c r="AA174" s="388">
        <f t="shared" ca="1" si="64"/>
        <v>0.11599615302558108</v>
      </c>
      <c r="AB174" s="388">
        <f t="shared" ca="1" si="64"/>
        <v>0.13842032376703273</v>
      </c>
      <c r="AC174" s="388" t="str">
        <f t="shared" ca="1" si="64"/>
        <v/>
      </c>
      <c r="AD174" s="388" t="str">
        <f t="shared" ca="1" si="64"/>
        <v/>
      </c>
      <c r="AE174" s="388">
        <f t="shared" ca="1" si="64"/>
        <v>8.9934311387648513E-2</v>
      </c>
      <c r="AF174" s="388">
        <f t="shared" ca="1" si="64"/>
        <v>0.11519625780094489</v>
      </c>
      <c r="AG174" s="388" t="str">
        <f t="shared" ca="1" si="64"/>
        <v/>
      </c>
      <c r="AH174" s="388" t="str">
        <f t="shared" ca="1" si="64"/>
        <v/>
      </c>
    </row>
    <row r="175" spans="1:34">
      <c r="A175" s="165">
        <f t="shared" si="42"/>
        <v>2010</v>
      </c>
      <c r="B175" s="206">
        <f>IF(AND($A175&gt;=SYear72,$A175&lt;=EYear72),IF(B$134&gt;0,B$134*Data_72_15!$D46,""),"")</f>
        <v>1.4910000000000001</v>
      </c>
      <c r="C175" s="268">
        <f>IF(AND($A175&gt;=SYear72,$A175&lt;=EYear72),IF(C$134&gt;0,C$134*Data_72_15!$C46,""),"")</f>
        <v>1.4279999999999999</v>
      </c>
      <c r="D175" s="206">
        <f>IF(AND($A175&gt;=SYear72,$A175&lt;=EYear72),IF(D$134&gt;0,D$134*Data_72_15!$G46,""),"")</f>
        <v>2.4820000000000002</v>
      </c>
      <c r="E175" s="206">
        <f>IF(AND($A175&gt;=SYear72,$A175&lt;=EYear72),IF(E$134&gt;0,E$134*Data_72_15!$H46,""),"")</f>
        <v>2.7720000000000002</v>
      </c>
      <c r="F175" s="206">
        <f>IF(AND($A175&gt;=SYear72,$A175&lt;=EYear72),IF(F$134&gt;0,F$134*Data_72_15!$N46,""),"")</f>
        <v>1.1119999999999999</v>
      </c>
      <c r="G175" s="206">
        <f>IF(AND($A175&gt;=SYear72,$A175&lt;=EYear72),IF(G$134&gt;0,G$134*Data_72_15!$K46,""),"")</f>
        <v>2.83</v>
      </c>
      <c r="H175" s="269">
        <f>IF(AND($A175&gt;=SYear72,$A175&lt;=EYear72),IF(H$134&gt;0,H$134*Data_72_15!$U46,""),"")</f>
        <v>2.5680000000000001</v>
      </c>
      <c r="I175" s="206">
        <f t="shared" si="43"/>
        <v>14.683</v>
      </c>
      <c r="J175" s="446">
        <f t="shared" si="44"/>
        <v>512528.64165344945</v>
      </c>
      <c r="K175" s="206">
        <f>IF(AND($A175&gt;=SYear72,$A175&lt;=EYear72),(I175-Data_72_15!$AM46)/(1+Data_72_15!$AM46%),"")</f>
        <v>12.992938041509465</v>
      </c>
      <c r="L175" s="447">
        <f t="shared" si="45"/>
        <v>96108.327768430332</v>
      </c>
      <c r="P175">
        <f t="shared" si="46"/>
        <v>38</v>
      </c>
      <c r="Q175">
        <f t="shared" ca="1" si="47"/>
        <v>2010</v>
      </c>
      <c r="R175" s="443">
        <f t="shared" si="48"/>
        <v>465214.13747646386</v>
      </c>
      <c r="S175" s="443">
        <f t="shared" ref="S175:Z175" ca="1" si="86">IF(OFFSET(INDIRECT(S$135),$P175,0)="",S174,OFFSET(INDIRECT(S$135),$P175,0))</f>
        <v>465214.13747646386</v>
      </c>
      <c r="T175" s="443">
        <f t="shared" ca="1" si="86"/>
        <v>512528.64165344945</v>
      </c>
      <c r="U175" s="443">
        <f t="shared" ca="1" si="86"/>
        <v>406687.86205593951</v>
      </c>
      <c r="V175" s="443">
        <f t="shared" ca="1" si="86"/>
        <v>87236.008241130286</v>
      </c>
      <c r="W175" s="209">
        <f t="shared" ca="1" si="86"/>
        <v>0</v>
      </c>
      <c r="X175" s="209">
        <f t="shared" ca="1" si="86"/>
        <v>7.9874179924347088E-2</v>
      </c>
      <c r="Y175" s="443">
        <f t="shared" ca="1" si="86"/>
        <v>96108.327768430332</v>
      </c>
      <c r="Z175" s="443">
        <f t="shared" ca="1" si="86"/>
        <v>76261.280188791439</v>
      </c>
      <c r="AA175" s="388">
        <f t="shared" ca="1" si="64"/>
        <v>8.2480162417775116E-2</v>
      </c>
      <c r="AB175" s="388">
        <f t="shared" ca="1" si="64"/>
        <v>0.10103716759780523</v>
      </c>
      <c r="AC175" s="388" t="str">
        <f t="shared" ca="1" si="64"/>
        <v/>
      </c>
      <c r="AD175" s="388" t="str">
        <f t="shared" ca="1" si="64"/>
        <v/>
      </c>
      <c r="AE175" s="388">
        <f t="shared" ca="1" si="64"/>
        <v>6.0585666703609098E-2</v>
      </c>
      <c r="AF175" s="388">
        <f t="shared" ca="1" si="64"/>
        <v>8.274992316645724E-2</v>
      </c>
      <c r="AG175" s="388" t="str">
        <f t="shared" ca="1" si="64"/>
        <v/>
      </c>
      <c r="AH175" s="388" t="str">
        <f t="shared" ca="1" si="64"/>
        <v/>
      </c>
    </row>
    <row r="176" spans="1:34">
      <c r="A176" s="165">
        <f t="shared" si="42"/>
        <v>2011</v>
      </c>
      <c r="B176" s="206">
        <f>IF(AND($A176&gt;=SYear72,$A176&lt;=EYear72),IF(B$134&gt;0,B$134*Data_72_15!$D47,""),"")</f>
        <v>0.19700000000000001</v>
      </c>
      <c r="C176" s="268">
        <f>IF(AND($A176&gt;=SYear72,$A176&lt;=EYear72),IF(C$134&gt;0,C$134*Data_72_15!$C47,""),"")</f>
        <v>0.1</v>
      </c>
      <c r="D176" s="206">
        <f>IF(AND($A176&gt;=SYear72,$A176&lt;=EYear72),IF(D$134&gt;0,D$134*Data_72_15!$G47,""),"")</f>
        <v>-0.41600000000000004</v>
      </c>
      <c r="E176" s="206">
        <f>IF(AND($A176&gt;=SYear72,$A176&lt;=EYear72),IF(E$134&gt;0,E$134*Data_72_15!$H47,""),"")</f>
        <v>-0.27999999999999997</v>
      </c>
      <c r="F176" s="206">
        <f>IF(AND($A176&gt;=SYear72,$A176&lt;=EYear72),IF(F$134&gt;0,F$134*Data_72_15!$N47,""),"")</f>
        <v>-1.4560000000000002</v>
      </c>
      <c r="G176" s="206">
        <f>IF(AND($A176&gt;=SYear72,$A176&lt;=EYear72),IF(G$134&gt;0,G$134*Data_72_15!$K47,""),"")</f>
        <v>0.84700000000000009</v>
      </c>
      <c r="H176" s="269">
        <f>IF(AND($A176&gt;=SYear72,$A176&lt;=EYear72),IF(H$134&gt;0,H$134*Data_72_15!$U47,""),"")</f>
        <v>3.024</v>
      </c>
      <c r="I176" s="206">
        <f t="shared" si="43"/>
        <v>2.016</v>
      </c>
      <c r="J176" s="446">
        <f t="shared" si="44"/>
        <v>522861.21906918299</v>
      </c>
      <c r="K176" s="206">
        <f>IF(AND($A176&gt;=SYear72,$A176&lt;=EYear72),(I176-Data_72_15!$AM47)/(1+Data_72_15!$AM47%),"")</f>
        <v>-0.91918862774292676</v>
      </c>
      <c r="L176" s="447">
        <f t="shared" si="45"/>
        <v>95224.910949269019</v>
      </c>
      <c r="P176">
        <f t="shared" si="46"/>
        <v>39</v>
      </c>
      <c r="Q176">
        <f t="shared" ca="1" si="47"/>
        <v>2011</v>
      </c>
      <c r="R176" s="443">
        <f t="shared" si="48"/>
        <v>456244.80890591763</v>
      </c>
      <c r="S176" s="443">
        <f t="shared" ref="S176:Z176" ca="1" si="87">IF(OFFSET(INDIRECT(S$135),$P176,0)="",S175,OFFSET(INDIRECT(S$135),$P176,0))</f>
        <v>456244.80890591763</v>
      </c>
      <c r="T176" s="443">
        <f t="shared" ca="1" si="87"/>
        <v>522861.21906918299</v>
      </c>
      <c r="U176" s="443">
        <f t="shared" ca="1" si="87"/>
        <v>387238.36800651997</v>
      </c>
      <c r="V176" s="443">
        <f t="shared" ca="1" si="87"/>
        <v>83092.548681419241</v>
      </c>
      <c r="W176" s="209">
        <f t="shared" ca="1" si="87"/>
        <v>1.9279999999999964E-2</v>
      </c>
      <c r="X176" s="209">
        <f t="shared" ca="1" si="87"/>
        <v>0.12387839871712991</v>
      </c>
      <c r="Y176" s="443">
        <f t="shared" ca="1" si="87"/>
        <v>95224.910949269019</v>
      </c>
      <c r="Z176" s="443">
        <f t="shared" ca="1" si="87"/>
        <v>70524.907498794593</v>
      </c>
      <c r="AA176" s="388">
        <f t="shared" ca="1" si="64"/>
        <v>0.10498584288538071</v>
      </c>
      <c r="AB176" s="388">
        <f t="shared" ca="1" si="64"/>
        <v>7.1917680835351661E-2</v>
      </c>
      <c r="AC176" s="388" t="str">
        <f t="shared" ca="1" si="64"/>
        <v/>
      </c>
      <c r="AD176" s="388" t="str">
        <f t="shared" ca="1" si="64"/>
        <v/>
      </c>
      <c r="AE176" s="388">
        <f t="shared" ca="1" si="64"/>
        <v>8.2614766257798955E-2</v>
      </c>
      <c r="AF176" s="388">
        <f t="shared" ca="1" si="64"/>
        <v>5.5712861477084319E-2</v>
      </c>
      <c r="AG176" s="388" t="str">
        <f t="shared" ca="1" si="64"/>
        <v/>
      </c>
      <c r="AH176" s="388" t="str">
        <f t="shared" ca="1" si="64"/>
        <v/>
      </c>
    </row>
    <row r="177" spans="1:34">
      <c r="A177" s="165">
        <f t="shared" si="42"/>
        <v>2012</v>
      </c>
      <c r="B177" s="206">
        <f>IF(AND($A177&gt;=SYear72,$A177&lt;=EYear72),IF(B$134&gt;0,B$134*Data_72_15!$D48,""),"")</f>
        <v>1.5820000000000001</v>
      </c>
      <c r="C177" s="268">
        <f>IF(AND($A177&gt;=SYear72,$A177&lt;=EYear72),IF(C$134&gt;0,C$134*Data_72_15!$C48,""),"")</f>
        <v>1.5</v>
      </c>
      <c r="D177" s="206">
        <f>IF(AND($A177&gt;=SYear72,$A177&lt;=EYear72),IF(D$134&gt;0,D$134*Data_72_15!$G48,""),"")</f>
        <v>1.8559999999999999</v>
      </c>
      <c r="E177" s="206">
        <f>IF(AND($A177&gt;=SYear72,$A177&lt;=EYear72),IF(E$134&gt;0,E$134*Data_72_15!$H48,""),"")</f>
        <v>1.804</v>
      </c>
      <c r="F177" s="206">
        <f>IF(AND($A177&gt;=SYear72,$A177&lt;=EYear72),IF(F$134&gt;0,F$134*Data_72_15!$N48,""),"")</f>
        <v>1.8140000000000001</v>
      </c>
      <c r="G177" s="206">
        <f>IF(AND($A177&gt;=SYear72,$A177&lt;=EYear72),IF(G$134&gt;0,G$134*Data_72_15!$K48,""),"")</f>
        <v>1.7530000000000001</v>
      </c>
      <c r="H177" s="269">
        <f>IF(AND($A177&gt;=SYear72,$A177&lt;=EYear72),IF(H$134&gt;0,H$134*Data_72_15!$U48,""),"")</f>
        <v>1.62</v>
      </c>
      <c r="I177" s="206">
        <f t="shared" si="43"/>
        <v>11.929000000000002</v>
      </c>
      <c r="J177" s="446">
        <f t="shared" si="44"/>
        <v>585233.33389194589</v>
      </c>
      <c r="K177" s="206">
        <f>IF(AND($A177&gt;=SYear72,$A177&lt;=EYear72),(I177-Data_72_15!$AM48)/(1+Data_72_15!$AM48%),"")</f>
        <v>10.013637954538533</v>
      </c>
      <c r="L177" s="447">
        <f t="shared" si="45"/>
        <v>104760.38877426054</v>
      </c>
      <c r="P177">
        <f t="shared" si="46"/>
        <v>40</v>
      </c>
      <c r="Q177">
        <f t="shared" ca="1" si="47"/>
        <v>2012</v>
      </c>
      <c r="R177" s="443">
        <f t="shared" si="48"/>
        <v>520579.8894097411</v>
      </c>
      <c r="S177" s="443">
        <f t="shared" ref="S177:Z177" ca="1" si="88">IF(OFFSET(INDIRECT(S$135),$P177,0)="",S176,OFFSET(INDIRECT(S$135),$P177,0))</f>
        <v>520579.8894097411</v>
      </c>
      <c r="T177" s="443">
        <f t="shared" ca="1" si="88"/>
        <v>585233.33389194589</v>
      </c>
      <c r="U177" s="443">
        <f t="shared" ca="1" si="88"/>
        <v>447637.004334928</v>
      </c>
      <c r="V177" s="443">
        <f t="shared" ca="1" si="88"/>
        <v>93187.022071943895</v>
      </c>
      <c r="W177" s="209">
        <f t="shared" ca="1" si="88"/>
        <v>0</v>
      </c>
      <c r="X177" s="209">
        <f t="shared" ca="1" si="88"/>
        <v>0</v>
      </c>
      <c r="Y177" s="443">
        <f t="shared" ca="1" si="88"/>
        <v>104760.38877426054</v>
      </c>
      <c r="Z177" s="443">
        <f t="shared" ca="1" si="88"/>
        <v>80129.794200223623</v>
      </c>
      <c r="AA177" s="388">
        <f t="shared" ca="1" si="64"/>
        <v>0.13330421354208744</v>
      </c>
      <c r="AB177" s="388" t="str">
        <f t="shared" ca="1" si="64"/>
        <v/>
      </c>
      <c r="AC177" s="388" t="str">
        <f t="shared" ca="1" si="64"/>
        <v/>
      </c>
      <c r="AD177" s="388" t="str">
        <f t="shared" ca="1" si="64"/>
        <v/>
      </c>
      <c r="AE177" s="388">
        <f t="shared" ca="1" si="64"/>
        <v>0.11840465711999149</v>
      </c>
      <c r="AF177" s="388" t="str">
        <f t="shared" ca="1" si="64"/>
        <v/>
      </c>
      <c r="AG177" s="388" t="str">
        <f t="shared" ca="1" si="64"/>
        <v/>
      </c>
      <c r="AH177" s="388" t="str">
        <f t="shared" ca="1" si="64"/>
        <v/>
      </c>
    </row>
    <row r="178" spans="1:34">
      <c r="A178" s="165">
        <f t="shared" si="42"/>
        <v>2013</v>
      </c>
      <c r="B178" s="206">
        <f>IF(AND($A178&gt;=SYear72,$A178&lt;=EYear72),IF(B$134&gt;0,B$134*Data_72_15!$D49,""),"")</f>
        <v>3.218</v>
      </c>
      <c r="C178" s="268">
        <f>IF(AND($A178&gt;=SYear72,$A178&lt;=EYear72),IF(C$134&gt;0,C$134*Data_72_15!$C49,""),"")</f>
        <v>3.2850000000000001</v>
      </c>
      <c r="D178" s="206">
        <f>IF(AND($A178&gt;=SYear72,$A178&lt;=EYear72),IF(D$134&gt;0,D$134*Data_72_15!$G49,""),"")</f>
        <v>3.641</v>
      </c>
      <c r="E178" s="206">
        <f>IF(AND($A178&gt;=SYear72,$A178&lt;=EYear72),IF(E$134&gt;0,E$134*Data_72_15!$H49,""),"")</f>
        <v>3.762</v>
      </c>
      <c r="F178" s="206">
        <f>IF(AND($A178&gt;=SYear72,$A178&lt;=EYear72),IF(F$134&gt;0,F$134*Data_72_15!$N49,""),"")</f>
        <v>1.504</v>
      </c>
      <c r="G178" s="206">
        <f>IF(AND($A178&gt;=SYear72,$A178&lt;=EYear72),IF(G$134&gt;0,G$134*Data_72_15!$K49,""),"")</f>
        <v>0.23100000000000001</v>
      </c>
      <c r="H178" s="269">
        <f>IF(AND($A178&gt;=SYear72,$A178&lt;=EYear72),IF(H$134&gt;0,H$134*Data_72_15!$U49,""),"")</f>
        <v>-0.90399999999999991</v>
      </c>
      <c r="I178" s="206">
        <f t="shared" si="43"/>
        <v>14.737</v>
      </c>
      <c r="J178" s="446">
        <f t="shared" si="44"/>
        <v>671479.17030760192</v>
      </c>
      <c r="K178" s="206">
        <f>IF(AND($A178&gt;=SYear72,$A178&lt;=EYear72),(I178-Data_72_15!$AM49)/(1+Data_72_15!$AM49%),"")</f>
        <v>13.039446369647571</v>
      </c>
      <c r="L178" s="447">
        <f t="shared" si="45"/>
        <v>118420.56348511454</v>
      </c>
      <c r="P178">
        <f t="shared" si="46"/>
        <v>41</v>
      </c>
      <c r="Q178">
        <f t="shared" ca="1" si="47"/>
        <v>2013</v>
      </c>
      <c r="R178" s="443">
        <f t="shared" si="48"/>
        <v>627657.9668624308</v>
      </c>
      <c r="S178" s="443">
        <f t="shared" ref="S178:Z178" ca="1" si="89">IF(OFFSET(INDIRECT(S$135),$P178,0)="",S177,OFFSET(INDIRECT(S$135),$P178,0))</f>
        <v>627657.9668624308</v>
      </c>
      <c r="T178" s="443">
        <f t="shared" ca="1" si="89"/>
        <v>671479.17030760192</v>
      </c>
      <c r="U178" s="443">
        <f t="shared" ca="1" si="89"/>
        <v>550827.47430091177</v>
      </c>
      <c r="V178" s="443">
        <f t="shared" ca="1" si="89"/>
        <v>110692.35413173168</v>
      </c>
      <c r="W178" s="209">
        <f t="shared" ca="1" si="89"/>
        <v>0</v>
      </c>
      <c r="X178" s="209">
        <f t="shared" ca="1" si="89"/>
        <v>0</v>
      </c>
      <c r="Y178" s="443">
        <f t="shared" ca="1" si="89"/>
        <v>118420.56348511454</v>
      </c>
      <c r="Z178" s="443">
        <f t="shared" ca="1" si="89"/>
        <v>97142.700435391176</v>
      </c>
      <c r="AA178" s="388">
        <f t="shared" ca="1" si="64"/>
        <v>8.1411283165660153E-2</v>
      </c>
      <c r="AB178" s="388" t="str">
        <f t="shared" ca="1" si="64"/>
        <v/>
      </c>
      <c r="AC178" s="388" t="str">
        <f t="shared" ca="1" si="64"/>
        <v/>
      </c>
      <c r="AD178" s="388" t="str">
        <f t="shared" ca="1" si="64"/>
        <v/>
      </c>
      <c r="AE178" s="388">
        <f t="shared" ca="1" si="64"/>
        <v>7.0754244458143267E-2</v>
      </c>
      <c r="AF178" s="388" t="str">
        <f t="shared" ca="1" si="64"/>
        <v/>
      </c>
      <c r="AG178" s="388" t="str">
        <f t="shared" ca="1" si="64"/>
        <v/>
      </c>
      <c r="AH178" s="388" t="str">
        <f t="shared" ca="1" si="64"/>
        <v/>
      </c>
    </row>
    <row r="179" spans="1:34">
      <c r="A179" s="165">
        <f t="shared" si="42"/>
        <v>2014</v>
      </c>
      <c r="B179" s="206">
        <f>IF(AND($A179&gt;=SYear72,$A179&lt;=EYear72),IF(B$134&gt;0,B$134*Data_72_15!$D50,""),"")</f>
        <v>1.351</v>
      </c>
      <c r="C179" s="268">
        <f>IF(AND($A179&gt;=SYear72,$A179&lt;=EYear72),IF(C$134&gt;0,C$134*Data_72_15!$C50,""),"")</f>
        <v>1.3050000000000002</v>
      </c>
      <c r="D179" s="206">
        <f>IF(AND($A179&gt;=SYear72,$A179&lt;=EYear72),IF(D$134&gt;0,D$134*Data_72_15!$G50,""),"")</f>
        <v>1.0390000000000001</v>
      </c>
      <c r="E179" s="206">
        <f>IF(AND($A179&gt;=SYear72,$A179&lt;=EYear72),IF(E$134&gt;0,E$134*Data_72_15!$H50,""),"")</f>
        <v>0.7370000000000001</v>
      </c>
      <c r="F179" s="206">
        <f>IF(AND($A179&gt;=SYear72,$A179&lt;=EYear72),IF(F$134&gt;0,F$134*Data_72_15!$N50,""),"")</f>
        <v>-0.42400000000000004</v>
      </c>
      <c r="G179" s="206">
        <f>IF(AND($A179&gt;=SYear72,$A179&lt;=EYear72),IF(G$134&gt;0,G$134*Data_72_15!$K50,""),"")</f>
        <v>3.0129999999999999</v>
      </c>
      <c r="H179" s="269">
        <f>IF(AND($A179&gt;=SYear72,$A179&lt;=EYear72),IF(H$134&gt;0,H$134*Data_72_15!$U50,""),"")</f>
        <v>2.3039999999999998</v>
      </c>
      <c r="I179" s="206">
        <f t="shared" si="43"/>
        <v>9.3249999999999993</v>
      </c>
      <c r="J179" s="446">
        <f t="shared" si="44"/>
        <v>734094.6029387858</v>
      </c>
      <c r="K179" s="206">
        <f>IF(AND($A179&gt;=SYear72,$A179&lt;=EYear72),(I179-Data_72_15!$AM50)/(1+Data_72_15!$AM50%),"")</f>
        <v>8.5041732322027741</v>
      </c>
      <c r="L179" s="447">
        <f t="shared" si="45"/>
        <v>128491.25334643936</v>
      </c>
      <c r="P179">
        <f t="shared" si="46"/>
        <v>42</v>
      </c>
      <c r="Q179">
        <f t="shared" ca="1" si="47"/>
        <v>2014</v>
      </c>
      <c r="R179" s="443">
        <f t="shared" si="48"/>
        <v>664106.06499813218</v>
      </c>
      <c r="S179" s="443">
        <f t="shared" ref="S179:Z179" ca="1" si="90">IF(OFFSET(INDIRECT(S$135),$P179,0)="",S178,OFFSET(INDIRECT(S$135),$P179,0))</f>
        <v>664106.06499813218</v>
      </c>
      <c r="T179" s="443">
        <f t="shared" ca="1" si="90"/>
        <v>734094.6029387858</v>
      </c>
      <c r="U179" s="443">
        <f t="shared" ca="1" si="90"/>
        <v>583121.46188388008</v>
      </c>
      <c r="V179" s="443">
        <f t="shared" ca="1" si="90"/>
        <v>116240.904516904</v>
      </c>
      <c r="W179" s="209">
        <f t="shared" ca="1" si="90"/>
        <v>0</v>
      </c>
      <c r="X179" s="209">
        <f t="shared" ca="1" si="90"/>
        <v>0</v>
      </c>
      <c r="Y179" s="443">
        <f t="shared" ca="1" si="90"/>
        <v>128491.25334643936</v>
      </c>
      <c r="Z179" s="443">
        <f t="shared" ca="1" si="90"/>
        <v>102065.87433107114</v>
      </c>
      <c r="AA179" s="388" t="str">
        <f t="shared" ca="1" si="64"/>
        <v/>
      </c>
      <c r="AB179" s="388" t="str">
        <f t="shared" ca="1" si="64"/>
        <v/>
      </c>
      <c r="AC179" s="388" t="str">
        <f t="shared" ca="1" si="64"/>
        <v/>
      </c>
      <c r="AD179" s="388" t="str">
        <f t="shared" ca="1" si="64"/>
        <v/>
      </c>
      <c r="AE179" s="388" t="str">
        <f t="shared" ca="1" si="64"/>
        <v/>
      </c>
      <c r="AF179" s="388" t="str">
        <f t="shared" ca="1" si="64"/>
        <v/>
      </c>
      <c r="AG179" s="388" t="str">
        <f t="shared" ca="1" si="64"/>
        <v/>
      </c>
      <c r="AH179" s="388" t="str">
        <f t="shared" ca="1" si="64"/>
        <v/>
      </c>
    </row>
    <row r="180" spans="1:34">
      <c r="A180" s="165">
        <f t="shared" si="42"/>
        <v>2015</v>
      </c>
      <c r="B180" s="206">
        <f>IF(AND($A180&gt;=SYear72,$A180&lt;=EYear72),IF(B$134&gt;0,B$134*Data_72_15!$D51,""),"")</f>
        <v>0.125</v>
      </c>
      <c r="C180" s="268">
        <f>IF(AND($A180&gt;=SYear72,$A180&lt;=EYear72),IF(C$134&gt;0,C$134*Data_72_15!$C51,""),"")</f>
        <v>-0.10300000000000001</v>
      </c>
      <c r="D180" s="206">
        <f>IF(AND($A180&gt;=SYear72,$A180&lt;=EYear72),IF(D$134&gt;0,D$134*Data_72_15!$G51,""),"")</f>
        <v>-0.47800000000000004</v>
      </c>
      <c r="E180" s="206">
        <f>IF(AND($A180&gt;=SYear72,$A180&lt;=EYear72),IF(E$134&gt;0,E$134*Data_72_15!$H51,""),"")</f>
        <v>-0.378</v>
      </c>
      <c r="F180" s="206">
        <f>IF(AND($A180&gt;=SYear72,$A180&lt;=EYear72),IF(F$134&gt;0,F$134*Data_72_15!$N51,""),"")</f>
        <v>-0.43700000000000006</v>
      </c>
      <c r="G180" s="206">
        <f>IF(AND($A180&gt;=SYear72,$A180&lt;=EYear72),IF(G$134&gt;0,G$134*Data_72_15!$K51,""),"")</f>
        <v>0.22200000000000003</v>
      </c>
      <c r="H180" s="269">
        <f>IF(AND($A180&gt;=SYear72,$A180&lt;=EYear72),IF(H$134&gt;0,H$134*Data_72_15!$U51,""),"")</f>
        <v>0.12</v>
      </c>
      <c r="I180" s="206">
        <f t="shared" si="43"/>
        <v>-0.92900000000000016</v>
      </c>
      <c r="J180" s="446">
        <f t="shared" si="44"/>
        <v>727274.86407748447</v>
      </c>
      <c r="K180" s="206">
        <f>IF(AND($A180&gt;=SYear72,$A180&lt;=EYear72),(I180-Data_72_15!$AM51)/(1+Data_72_15!$AM51%),"")</f>
        <v>-1.6465081830673185</v>
      </c>
      <c r="L180" s="447">
        <f t="shared" si="45"/>
        <v>126375.63434556448</v>
      </c>
      <c r="P180">
        <f t="shared" si="46"/>
        <v>43</v>
      </c>
      <c r="Q180">
        <f t="shared" ca="1" si="47"/>
        <v>2015</v>
      </c>
      <c r="R180" s="443">
        <f t="shared" si="48"/>
        <v>658354.9064752484</v>
      </c>
      <c r="S180" s="443">
        <f t="shared" ref="S180:Z180" ca="1" si="91">IF(OFFSET(INDIRECT(S$135),$P180,0)="",S179,OFFSET(INDIRECT(S$135),$P180,0))</f>
        <v>658354.9064752484</v>
      </c>
      <c r="T180" s="443">
        <f t="shared" ca="1" si="91"/>
        <v>727274.86407748447</v>
      </c>
      <c r="U180" s="443">
        <f t="shared" ca="1" si="91"/>
        <v>576458.09883749986</v>
      </c>
      <c r="V180" s="443">
        <f t="shared" ca="1" si="91"/>
        <v>114399.68991071869</v>
      </c>
      <c r="W180" s="209">
        <f t="shared" ca="1" si="91"/>
        <v>8.660000000000001E-3</v>
      </c>
      <c r="X180" s="209">
        <f t="shared" ca="1" si="91"/>
        <v>1.1427058480840468E-2</v>
      </c>
      <c r="Y180" s="443">
        <f t="shared" ca="1" si="91"/>
        <v>126375.63434556448</v>
      </c>
      <c r="Z180" s="443">
        <f t="shared" ca="1" si="91"/>
        <v>100168.81032542544</v>
      </c>
      <c r="AA180" s="388" t="str">
        <f t="shared" ca="1" si="64"/>
        <v/>
      </c>
      <c r="AB180" s="388" t="str">
        <f t="shared" ca="1" si="64"/>
        <v/>
      </c>
      <c r="AC180" s="388" t="str">
        <f t="shared" ca="1" si="64"/>
        <v/>
      </c>
      <c r="AD180" s="388" t="str">
        <f t="shared" ca="1" si="64"/>
        <v/>
      </c>
      <c r="AE180" s="388" t="str">
        <f t="shared" ca="1" si="64"/>
        <v/>
      </c>
      <c r="AF180" s="388" t="str">
        <f t="shared" ca="1" si="64"/>
        <v/>
      </c>
      <c r="AG180" s="388" t="str">
        <f t="shared" ca="1" si="64"/>
        <v/>
      </c>
      <c r="AH180" s="388" t="str">
        <f t="shared" ca="1" si="64"/>
        <v/>
      </c>
    </row>
    <row r="181" spans="1:34">
      <c r="A181" s="165">
        <f t="shared" si="42"/>
        <v>2016</v>
      </c>
      <c r="B181" s="206" t="str">
        <f>IF(AND($A181&gt;=SYear72,$A181&lt;=EYear72),IF(B$134&gt;0,B$134*Data_72_15!$D52,""),"")</f>
        <v/>
      </c>
      <c r="C181" s="268" t="str">
        <f>IF(AND($A181&gt;=SYear72,$A181&lt;=EYear72),IF(C$134&gt;0,C$134*Data_72_15!$C52,""),"")</f>
        <v/>
      </c>
      <c r="D181" s="206" t="str">
        <f>IF(AND($A181&gt;=SYear72,$A181&lt;=EYear72),IF(D$134&gt;0,D$134*Data_72_15!$G52,""),"")</f>
        <v/>
      </c>
      <c r="E181" s="206" t="str">
        <f>IF(AND($A181&gt;=SYear72,$A181&lt;=EYear72),IF(E$134&gt;0,E$134*Data_72_15!$H52,""),"")</f>
        <v/>
      </c>
      <c r="F181" s="206" t="str">
        <f>IF(AND($A181&gt;=SYear72,$A181&lt;=EYear72),IF(F$134&gt;0,F$134*Data_72_15!$N52,""),"")</f>
        <v/>
      </c>
      <c r="G181" s="206" t="str">
        <f>IF(AND($A181&gt;=SYear72,$A181&lt;=EYear72),IF(G$134&gt;0,G$134*Data_72_15!$K52,""),"")</f>
        <v/>
      </c>
      <c r="H181" s="269" t="str">
        <f>IF(AND($A181&gt;=SYear72,$A181&lt;=EYear72),IF(H$134&gt;0,H$134*Data_72_15!$U52,""),"")</f>
        <v/>
      </c>
      <c r="I181" s="206" t="str">
        <f t="shared" si="43"/>
        <v/>
      </c>
      <c r="J181" s="446" t="str">
        <f t="shared" si="44"/>
        <v/>
      </c>
      <c r="K181" s="206" t="str">
        <f>IF(AND($A181&gt;=SYear72,$A181&lt;=EYear72),(I181-Data_72_15!$AM52)/(1+Data_72_15!$AM52%),"")</f>
        <v/>
      </c>
      <c r="L181" s="447" t="str">
        <f t="shared" si="45"/>
        <v/>
      </c>
      <c r="P181">
        <f t="shared" si="46"/>
        <v>44</v>
      </c>
      <c r="Q181">
        <f t="shared" ca="1" si="47"/>
        <v>2015</v>
      </c>
      <c r="R181" s="443" t="str">
        <f t="shared" si="48"/>
        <v/>
      </c>
      <c r="S181" s="443">
        <f t="shared" ref="S181:Z181" ca="1" si="92">IF(OFFSET(INDIRECT(S$135),$P181,0)="",S180,OFFSET(INDIRECT(S$135),$P181,0))</f>
        <v>658354.9064752484</v>
      </c>
      <c r="T181" s="443">
        <f t="shared" ca="1" si="92"/>
        <v>727274.86407748447</v>
      </c>
      <c r="U181" s="443">
        <f t="shared" ca="1" si="92"/>
        <v>576458.09883749986</v>
      </c>
      <c r="V181" s="443">
        <f t="shared" ca="1" si="92"/>
        <v>114399.68991071869</v>
      </c>
      <c r="W181" s="209">
        <f t="shared" ca="1" si="92"/>
        <v>8.660000000000001E-3</v>
      </c>
      <c r="X181" s="209">
        <f t="shared" ca="1" si="92"/>
        <v>1.1427058480840468E-2</v>
      </c>
      <c r="Y181" s="443">
        <f t="shared" ca="1" si="92"/>
        <v>126375.63434556448</v>
      </c>
      <c r="Z181" s="443">
        <f t="shared" ca="1" si="92"/>
        <v>100168.81032542544</v>
      </c>
      <c r="AA181" s="388" t="str">
        <f t="shared" ca="1" si="64"/>
        <v/>
      </c>
      <c r="AB181" s="388" t="str">
        <f t="shared" ca="1" si="64"/>
        <v/>
      </c>
      <c r="AC181" s="388" t="str">
        <f t="shared" ca="1" si="64"/>
        <v/>
      </c>
      <c r="AD181" s="388" t="str">
        <f t="shared" ca="1" si="64"/>
        <v/>
      </c>
      <c r="AE181" s="388" t="str">
        <f t="shared" ca="1" si="64"/>
        <v/>
      </c>
      <c r="AF181" s="388" t="str">
        <f t="shared" ca="1" si="64"/>
        <v/>
      </c>
      <c r="AG181" s="388" t="str">
        <f t="shared" ca="1" si="64"/>
        <v/>
      </c>
      <c r="AH181" s="388" t="str">
        <f t="shared" ca="1" si="64"/>
        <v/>
      </c>
    </row>
    <row r="182" spans="1:34" ht="13" thickBot="1">
      <c r="A182" s="42"/>
      <c r="B182" s="206"/>
      <c r="C182" s="268"/>
      <c r="D182" s="206"/>
      <c r="E182" s="206"/>
      <c r="F182" s="206"/>
      <c r="G182" s="211"/>
      <c r="H182" s="272"/>
      <c r="I182" s="211"/>
      <c r="J182" s="488"/>
      <c r="K182" s="211"/>
      <c r="L182" s="489"/>
    </row>
    <row r="183" spans="1:34" ht="21" thickBot="1">
      <c r="A183" s="212" t="s">
        <v>406</v>
      </c>
      <c r="B183" s="213" t="s">
        <v>175</v>
      </c>
      <c r="C183" s="213" t="s">
        <v>176</v>
      </c>
      <c r="D183" s="213" t="s">
        <v>177</v>
      </c>
      <c r="E183" s="213" t="s">
        <v>178</v>
      </c>
      <c r="F183" s="477" t="s">
        <v>179</v>
      </c>
      <c r="G183" s="477" t="s">
        <v>180</v>
      </c>
      <c r="H183" s="474" t="s">
        <v>181</v>
      </c>
      <c r="I183" s="250"/>
      <c r="J183" s="215"/>
      <c r="K183" s="215"/>
      <c r="L183" s="271"/>
    </row>
    <row r="184" spans="1:34" ht="14" thickTop="1" thickBot="1">
      <c r="A184" s="218" t="s">
        <v>407</v>
      </c>
      <c r="B184" s="441">
        <f>IF(I134="ERROR","ERROR",VLOOKUP(EYear72,Rebal_CHP_ReturnsTable72,COLUMN(J172),FALSE))</f>
        <v>727274.86407748447</v>
      </c>
      <c r="C184" s="219">
        <f>RATE(Portfolio!$B$85,0,-$J$136,B184)*100</f>
        <v>10.232924965646616</v>
      </c>
      <c r="D184" s="219">
        <f ca="1">STDEV(Rebal_CHP_NominalReturns72)</f>
        <v>10.972964091991352</v>
      </c>
      <c r="E184" s="219">
        <f ca="1">((AVERAGE(Rebal_CHP_NominalReturns72))-(AVERAGE(TBill72)))/STDEV(Rebal_CHP_NominalReturns72)</f>
        <v>0.5312201769259417</v>
      </c>
      <c r="F184" s="219">
        <f t="array" aca="1" ref="F184" ca="1">(AVERAGE(Rebal_CHP_NominalReturns72)-MAR72_Nominal*100)/SQRT(SUM(IF(Rebal_CHP_NominalReturns72&lt;MAR72_Nominal*100,(Rebal_CHP_NominalReturns72-MAR72_Nominal*100)^2))/COUNT(Rebal_CHP_NominalReturns72))</f>
        <v>1.0118337204438592</v>
      </c>
      <c r="G184" s="472">
        <f ca="1">PEARSON(Rebal_CHP_NominalReturns72,OFFSET(Data_72_15!$B$8,$A$186,0,$C$186,1))</f>
        <v>0.9072881835808142</v>
      </c>
      <c r="H184" s="475">
        <f ca="1">PEARSON(Rebal_CHP_NominalReturns72,OFFSET(Data_72_15!$N$8,$A$186,0,$C$186,1))</f>
        <v>0.68518538520125405</v>
      </c>
      <c r="I184" s="274" t="str">
        <f>IF(AND($A184&gt;EYear72-Portfolio!$B$85,$A184&lt;=EYear72),SUM(B184:H184),"")</f>
        <v/>
      </c>
      <c r="J184" s="274"/>
      <c r="K184" s="274"/>
      <c r="L184" s="274" t="str">
        <f>IF(AND(EYear72-Portfolio!$B$85&lt;$A184,EYear72&gt;$A184),IF(EYear72-Portfolio!$B$85+1=$A184,$L$136*(1+I184%),L173*(1+I184%)),"")</f>
        <v/>
      </c>
    </row>
    <row r="185" spans="1:34" ht="13" thickBot="1">
      <c r="A185" s="223" t="s">
        <v>408</v>
      </c>
      <c r="B185" s="442">
        <f>IF(I135="ERROR","ERROR",VLOOKUP(EYear72,Rebal_CHP_ReturnsTable72,COLUMN(L172),FALSE))</f>
        <v>126375.63434556448</v>
      </c>
      <c r="C185" s="224">
        <f>RATE(Portfolio!$B$85,0,-$L$136,B185)*100</f>
        <v>5.9345932450609231</v>
      </c>
      <c r="D185" s="224">
        <f ca="1">STDEV(Rebal_CHP_RealReturns72)</f>
        <v>10.990050146647896</v>
      </c>
      <c r="E185" s="224">
        <f ca="1">((AVERAGE(Rebal_CHP_RealReturns72))-(AVERAGE(TBill72_Real)))/STDEV(Rebal_CHP_RealReturns72)</f>
        <v>0.51628654002953656</v>
      </c>
      <c r="F185" s="473">
        <f t="array" aca="1" ref="F185" ca="1">(AVERAGE(Rebal_CHP_RealReturns72)-MAR72_Real*100)/SQRT(SUM(IF(Rebal_CHP_RealReturns72&lt;MAR72_Real*100,(Rebal_CHP_RealReturns72-MAR72_Real*100)^2))/COUNT(Rebal_CHP_RealReturns72))</f>
        <v>0.71561563785560811</v>
      </c>
      <c r="G185" s="293">
        <f ca="1">PEARSON(Rebal_CHP_RealReturns72,OFFSET(Data_72_15!$B$8,$A$186,0,$C$186,1))</f>
        <v>0.88950632364201687</v>
      </c>
      <c r="H185" s="476">
        <f ca="1">PEARSON(Rebal_CHP_RealReturns72,OFFSET(Data_72_15!$N$8,$A$186,0,$C$186,1))</f>
        <v>0.66996386542356812</v>
      </c>
      <c r="I185" s="274" t="str">
        <f>IF(AND($A185&gt;EYear72-Portfolio!$B$85,$A185&lt;=EYear72),SUM(B185:H185),"")</f>
        <v/>
      </c>
      <c r="J185" s="274"/>
      <c r="K185" s="274"/>
      <c r="L185" s="274" t="str">
        <f>IF(AND(EYear72-Portfolio!$B$85&lt;$A185,EYear72&gt;$A185),IF(EYear72-Portfolio!$B$85+1=$A185,$L$136*(1+I185%),L174*(1+I185%)),"")</f>
        <v/>
      </c>
    </row>
    <row r="186" spans="1:34" ht="13" thickTop="1">
      <c r="A186" s="453">
        <f>MATCH(SYear72,A137:A182,0)-1</f>
        <v>0</v>
      </c>
      <c r="B186" s="454">
        <f>MATCH(EYear72,A137:A182,0)-1</f>
        <v>43</v>
      </c>
      <c r="C186" s="454">
        <f>B186-A186+1</f>
        <v>44</v>
      </c>
      <c r="K186" s="47"/>
    </row>
    <row r="187" spans="1:34" ht="13" thickBot="1">
      <c r="A187" s="36" t="s">
        <v>409</v>
      </c>
    </row>
    <row r="188" spans="1:34" ht="13" thickBot="1">
      <c r="A188" s="275" t="s">
        <v>406</v>
      </c>
      <c r="B188" s="213" t="s">
        <v>415</v>
      </c>
      <c r="C188" s="213" t="s">
        <v>371</v>
      </c>
      <c r="D188" s="213" t="s">
        <v>375</v>
      </c>
      <c r="E188" s="213" t="s">
        <v>376</v>
      </c>
      <c r="F188" s="213" t="s">
        <v>114</v>
      </c>
      <c r="G188" s="213" t="s">
        <v>418</v>
      </c>
      <c r="H188" s="213" t="s">
        <v>383</v>
      </c>
      <c r="I188" s="213" t="s">
        <v>300</v>
      </c>
      <c r="J188" s="236"/>
      <c r="K188" s="236"/>
      <c r="L188" s="236"/>
    </row>
    <row r="189" spans="1:34" ht="13" thickTop="1">
      <c r="A189" s="276" t="s">
        <v>411</v>
      </c>
      <c r="B189" s="277" t="s">
        <v>101</v>
      </c>
      <c r="C189" s="277" t="s">
        <v>99</v>
      </c>
      <c r="D189" s="277" t="s">
        <v>107</v>
      </c>
      <c r="E189" s="277" t="s">
        <v>109</v>
      </c>
      <c r="F189" s="277" t="s">
        <v>115</v>
      </c>
      <c r="G189" s="277" t="s">
        <v>120</v>
      </c>
      <c r="H189" s="277" t="s">
        <v>134</v>
      </c>
      <c r="I189" s="278" t="s">
        <v>138</v>
      </c>
      <c r="J189" s="48"/>
      <c r="K189" s="48"/>
      <c r="L189" s="48"/>
    </row>
    <row r="190" spans="1:34" ht="13" thickBot="1">
      <c r="A190" s="241"/>
      <c r="B190" s="242">
        <f ca="1">PEARSON(OFFSET(Returns_72_15!$I$137,$A$186,0,$C$186,1),OFFSET(Data_72_15!$D$8,$A$186,0,$C$186,1))</f>
        <v>0.87864757485467559</v>
      </c>
      <c r="C190" s="242">
        <f ca="1">PEARSON(OFFSET(Returns_72_15!$I$137,$A$186,0,$C$186,1),OFFSET(Data_72_15!$D$8,$A$186,0,$C$186,1))</f>
        <v>0.87864757485467559</v>
      </c>
      <c r="D190" s="242">
        <f ca="1">PEARSON(OFFSET(Returns_72_15!$I$137,$A$186,0,$C$186,1),OFFSET(Data_72_15!$G$8,$A$186,0,$C$186,1))</f>
        <v>0.90645527321915265</v>
      </c>
      <c r="E190" s="242">
        <f ca="1">PEARSON(OFFSET(Returns_72_15!$I$137,$A$186,0,$C$186,1),OFFSET(Data_72_15!$H$8,$A$186,0,$C$186,1))</f>
        <v>0.92141246834551571</v>
      </c>
      <c r="F190" s="242">
        <f ca="1">PEARSON(OFFSET(Returns_72_15!$I$137,$A$186,0,$C$186,1),OFFSET(Data_72_15!$K$8,$A$186,0,$C$186,1))</f>
        <v>0.79081741372024139</v>
      </c>
      <c r="G190" s="242">
        <f ca="1">PEARSON(OFFSET(Returns_72_15!$I$137,$A$186,0,$C$186,1),OFFSET(Data_72_15!$N$8,$A$186,0,$C$186,1))</f>
        <v>0.68518538520125405</v>
      </c>
      <c r="H190" s="242">
        <f ca="1">PEARSON(OFFSET(Returns_72_15!$I$137,$A$186,0,$C$186,1),OFFSET(Data_72_15!$U$8,$A$186,0,$C$186,1))</f>
        <v>0.40127700627652257</v>
      </c>
      <c r="I190" s="279">
        <f ca="1">PEARSON(OFFSET(Returns_72_15!$I$137,$A$186,0,$C$186,1),OFFSET(Data_72_15!$W$8,$A$186,0,$C$186,1))</f>
        <v>0.25897956207698608</v>
      </c>
    </row>
    <row r="192" spans="1:34">
      <c r="A192" s="38" t="str">
        <f>"CHP Nominal (Rebalanced) = "&amp;TEXT(B184,"#,##0")</f>
        <v>CHP Nominal (Rebalanced) = 727,275</v>
      </c>
      <c r="B192" s="32"/>
      <c r="C192" s="32"/>
      <c r="D192" s="32"/>
    </row>
    <row r="193" spans="1:4">
      <c r="A193" s="38" t="str">
        <f>"CHP Real (Rebalanced) = "&amp;TEXT(B185,"#,##0")</f>
        <v>CHP Real (Rebalanced) = 126,376</v>
      </c>
      <c r="B193" s="32"/>
      <c r="C193" s="32"/>
      <c r="D193" s="32"/>
    </row>
  </sheetData>
  <sheetProtection selectLockedCells="1" selectUnlockedCells="1"/>
  <mergeCells count="5">
    <mergeCell ref="AQ66:AS66"/>
    <mergeCell ref="AQ67:AS67"/>
    <mergeCell ref="Q119:X119"/>
    <mergeCell ref="A130:C130"/>
    <mergeCell ref="A121:E121"/>
  </mergeCells>
  <conditionalFormatting sqref="AM7:AM51">
    <cfRule type="cellIs" dxfId="29" priority="720" stopIfTrue="1" operator="equal">
      <formula>MAX(AM$7:AM$51)</formula>
    </cfRule>
    <cfRule type="cellIs" dxfId="28" priority="721" stopIfTrue="1" operator="equal">
      <formula>MIN(AM$7:AM$51)</formula>
    </cfRule>
  </conditionalFormatting>
  <conditionalFormatting sqref="AO7:AO51">
    <cfRule type="cellIs" dxfId="27" priority="3" stopIfTrue="1" operator="equal">
      <formula>MAX(AO$7:AO$51)</formula>
    </cfRule>
    <cfRule type="cellIs" dxfId="26" priority="4" stopIfTrue="1" operator="equal">
      <formula>MIN(AO$7:AO$51)</formula>
    </cfRule>
  </conditionalFormatting>
  <conditionalFormatting sqref="AM68:AM112">
    <cfRule type="cellIs" dxfId="25" priority="5" stopIfTrue="1" operator="equal">
      <formula>MAX(AM$68:AM$112)</formula>
    </cfRule>
    <cfRule type="cellIs" dxfId="24" priority="6" stopIfTrue="1" operator="equal">
      <formula>MIN(AM$68:AM$112)</formula>
    </cfRule>
  </conditionalFormatting>
  <conditionalFormatting sqref="AO68:AO112">
    <cfRule type="cellIs" dxfId="23" priority="1" stopIfTrue="1" operator="equal">
      <formula>MAX(AO$68:AO$112)</formula>
    </cfRule>
    <cfRule type="cellIs" dxfId="22" priority="2" stopIfTrue="1" operator="equal">
      <formula>MIN(AO$68:AO$112)</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B3:AL3 AN7:AQ7 A186:B186 AV5 AQ3 AS2 AZ7:BK7 B55 B185 B114:AL114 B7:AL8 B9:AL51 B58:AL59" emptyCellReference="1"/>
  </ignoredError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195"/>
  <sheetViews>
    <sheetView zoomScale="90" zoomScaleNormal="90" zoomScalePageLayoutView="90" workbookViewId="0"/>
  </sheetViews>
  <sheetFormatPr baseColWidth="10" defaultColWidth="8.83203125" defaultRowHeight="12" x14ac:dyDescent="0"/>
  <cols>
    <col min="1" max="1" width="10.5" style="189" customWidth="1"/>
    <col min="2" max="2" width="12.6640625" style="189" customWidth="1"/>
    <col min="3" max="3" width="10.33203125" style="189" customWidth="1"/>
    <col min="4" max="4" width="9.1640625" style="189" customWidth="1"/>
    <col min="5" max="5" width="8.83203125" style="189" customWidth="1"/>
    <col min="6" max="7" width="9.5" style="189" customWidth="1"/>
    <col min="8" max="8" width="8.83203125" style="189" customWidth="1"/>
    <col min="9" max="9" width="9.33203125" style="189" customWidth="1"/>
    <col min="10" max="10" width="9.1640625" style="189" customWidth="1"/>
    <col min="11" max="11" width="10" style="189" customWidth="1"/>
    <col min="12" max="12" width="7.83203125" style="189" customWidth="1"/>
    <col min="13" max="13" width="7.5" style="189" customWidth="1"/>
    <col min="14" max="14" width="8.5" style="189" customWidth="1"/>
    <col min="15" max="15" width="12.5" style="189" customWidth="1"/>
    <col min="16" max="16" width="10.83203125" style="189" customWidth="1"/>
    <col min="17" max="17" width="9.5" style="189" customWidth="1"/>
    <col min="18" max="18" width="11.1640625" style="189" customWidth="1"/>
    <col min="19" max="19" width="11.5" style="189" customWidth="1"/>
    <col min="20" max="20" width="10.5" style="189" customWidth="1"/>
    <col min="21" max="21" width="11.33203125" style="189" customWidth="1"/>
    <col min="22" max="23" width="10.83203125" style="189" customWidth="1"/>
    <col min="24" max="24" width="11" style="189" customWidth="1"/>
    <col min="25" max="26" width="9.5" style="189" customWidth="1"/>
    <col min="27" max="27" width="8.5" style="189" customWidth="1"/>
    <col min="28" max="28" width="9.33203125" style="189" customWidth="1"/>
    <col min="29" max="29" width="8.5" style="189" customWidth="1"/>
    <col min="30" max="30" width="8.83203125" style="189" customWidth="1"/>
    <col min="31" max="31" width="8" style="189" customWidth="1"/>
    <col min="32" max="32" width="7" style="189" customWidth="1"/>
    <col min="33" max="34" width="7.5" style="189" customWidth="1"/>
    <col min="35" max="35" width="7.6640625" style="189" customWidth="1"/>
    <col min="36" max="36" width="8.1640625" style="189" customWidth="1"/>
    <col min="37" max="37" width="7.83203125" style="189" customWidth="1"/>
    <col min="38" max="38" width="7" style="189" customWidth="1"/>
    <col min="39" max="39" width="7.5" style="189" customWidth="1"/>
    <col min="40" max="40" width="6.5" style="189" customWidth="1"/>
    <col min="41" max="41" width="9" style="189" customWidth="1"/>
    <col min="42" max="42" width="6.6640625" style="189" customWidth="1"/>
    <col min="43" max="51" width="5.5" style="189" customWidth="1"/>
    <col min="52" max="52" width="8.5" style="189" customWidth="1"/>
    <col min="53" max="53" width="10.1640625" style="189" customWidth="1"/>
    <col min="54" max="54" width="9" style="189" customWidth="1"/>
    <col min="55" max="55" width="9.33203125" style="189" customWidth="1"/>
    <col min="56" max="56" width="8.6640625" style="189" customWidth="1"/>
    <col min="57" max="57" width="10.33203125" style="189" customWidth="1"/>
    <col min="59" max="59" width="8.6640625" style="189" customWidth="1"/>
  </cols>
  <sheetData>
    <row r="1" spans="1:77" s="26" customFormat="1" ht="48">
      <c r="A1" s="190" t="s">
        <v>369</v>
      </c>
      <c r="B1" s="192" t="str">
        <f>IF(Data_85_15!B$1="","",Data_85_15!B$1)</f>
        <v>MKT-TSM</v>
      </c>
      <c r="C1" s="192" t="str">
        <f>IF(Data_85_15!C$1="","",Data_85_15!C$1)</f>
        <v>LCV</v>
      </c>
      <c r="D1" s="192" t="str">
        <f>IF(Data_85_15!D$1="","",Data_85_15!D$1)</f>
        <v>500 Idx</v>
      </c>
      <c r="E1" s="192" t="str">
        <f>IF(Data_85_15!E$1="","",Data_85_15!E$1)</f>
        <v>LCG</v>
      </c>
      <c r="F1" s="192" t="str">
        <f>IF(Data_85_15!F$1="","",Data_85_15!F$1)</f>
        <v>MCB</v>
      </c>
      <c r="G1" s="192" t="str">
        <f>IF(Data_85_15!G$1="","",Data_85_15!G$1)</f>
        <v>SCV</v>
      </c>
      <c r="H1" s="192" t="str">
        <f>IF(Data_85_15!H$1="","",Data_85_15!H$1)</f>
        <v>SCB</v>
      </c>
      <c r="I1" s="192" t="str">
        <f>IF(Data_85_15!I$1="","",Data_85_15!I$1)</f>
        <v>SCG</v>
      </c>
      <c r="J1" s="192" t="str">
        <f>IF(Data_85_15!J$1="","",Data_85_15!J$1)</f>
        <v>D10</v>
      </c>
      <c r="K1" s="192" t="str">
        <f>IF(Data_85_15!K$1="","",Data_85_15!K$1)</f>
        <v>REIT</v>
      </c>
      <c r="L1" s="192" t="str">
        <f>IF(Data_85_15!L$1="","",Data_85_15!L$1)</f>
        <v>EAFED</v>
      </c>
      <c r="M1" s="192" t="str">
        <f>IF(Data_85_15!M$1="","",Data_85_15!M$1)</f>
        <v>EM</v>
      </c>
      <c r="N1" s="192" t="str">
        <f>IF(Data_85_15!N$1="","",Data_85_15!N$1)</f>
        <v>Total Intl</v>
      </c>
      <c r="O1" s="192" t="str">
        <f>IF(Data_85_15!O$1="","",Data_85_15!O$1)</f>
        <v>Pacific</v>
      </c>
      <c r="P1" s="192" t="str">
        <f>IF(Data_85_15!P$1="","",Data_85_15!P$1)</f>
        <v>Europe</v>
      </c>
      <c r="Q1" s="192" t="str">
        <f>IF(Data_85_15!Q$1="","",Data_85_15!Q$1)</f>
        <v>Intl Value</v>
      </c>
      <c r="R1" s="192" t="str">
        <f>IF(Data_85_15!R$1="","",Data_85_15!R$1)</f>
        <v>COMM</v>
      </c>
      <c r="S1" s="192" t="str">
        <f>IF(Data_85_15!S$1="","",Data_85_15!S$1)</f>
        <v>LTGB</v>
      </c>
      <c r="T1" s="192" t="str">
        <f>IF(Data_85_15!T$1="","",Data_85_15!T$1)</f>
        <v>5 Yr T</v>
      </c>
      <c r="U1" s="192" t="str">
        <f>IF(Data_85_15!U$1="","",Data_85_15!U$1)</f>
        <v>ITB</v>
      </c>
      <c r="V1" s="192" t="str">
        <f>IF(Data_85_15!V$1="","",Data_85_15!V$1)</f>
        <v>TBILL</v>
      </c>
      <c r="W1" s="192" t="str">
        <f>IF(Data_85_15!W$1="","",Data_85_15!W$1)</f>
        <v>TIPS</v>
      </c>
      <c r="X1" s="192" t="str">
        <f>IF(Data_85_15!X$1="","",Data_85_15!X$1)</f>
        <v>Wellington</v>
      </c>
      <c r="Y1" s="192" t="str">
        <f>IF(Data_85_15!Y$1="","",Data_85_15!Y$1)</f>
        <v>Wellesley</v>
      </c>
      <c r="Z1" s="192" t="str">
        <f>IF(Data_85_15!Z$1="","",Data_85_15!Z$1)</f>
        <v>Energy</v>
      </c>
      <c r="AA1" s="192" t="str">
        <f>IF(Data_85_15!AA$1="","",Data_85_15!AA$1)</f>
        <v>Health</v>
      </c>
      <c r="AB1" s="192" t="str">
        <f>IF(Data_85_15!AB$1="","",Data_85_15!AB$1)</f>
        <v>P.Metals</v>
      </c>
      <c r="AC1" s="192" t="str">
        <f>IF(Data_85_15!AC$1="","",Data_85_15!AC$1)</f>
        <v>Windsor</v>
      </c>
      <c r="AD1" s="192" t="str">
        <f>IF(Data_85_15!AD$1="","",Data_85_15!AD$1)</f>
        <v>Windsor II</v>
      </c>
      <c r="AE1" s="192" t="str">
        <f>IF(Data_85_15!AE$1="","",Data_85_15!AE$1)</f>
        <v>V ST TE</v>
      </c>
      <c r="AF1" s="192" t="str">
        <f>IF(Data_85_15!AF$1="","",Data_85_15!AF$1)</f>
        <v>V Int TE</v>
      </c>
      <c r="AG1" s="192" t="str">
        <f>IF(Data_85_15!AG$1="","",Data_85_15!AG$1)</f>
        <v>V LT TE</v>
      </c>
      <c r="AH1" s="192" t="str">
        <f>IF(Data_85_15!AH$1="","",Data_85_15!AH$1)</f>
        <v>Hi-Yld C</v>
      </c>
      <c r="AI1" s="192" t="str">
        <f>IF(Data_85_15!AI$1="","",Data_85_15!AI$1)</f>
        <v>ST Treasury</v>
      </c>
      <c r="AJ1" s="192" t="str">
        <f>IF(Data_85_15!AJ$1="","",Data_85_15!AJ$1)</f>
        <v>MidCap Growth</v>
      </c>
      <c r="AK1" s="192" t="str">
        <f>IF(Data_85_15!AK$1="","",Data_85_15!AK$1)</f>
        <v>MidCap Val</v>
      </c>
      <c r="AL1" s="192" t="str">
        <f>IF(Data_85_15!AL$1="","",Data_85_15!AL$1)</f>
        <v>V Ext Mkt</v>
      </c>
      <c r="AM1" s="192" t="str">
        <f>IF(Data_85_15!AM$1="","",Data_85_15!AM$1)</f>
        <v>Global Bond Fund</v>
      </c>
      <c r="AN1" s="192" t="str">
        <f>IF(Data_85_15!AN$1="","",Data_85_15!AN$1)</f>
        <v>ST Investment Grade</v>
      </c>
      <c r="AO1" s="192" t="str">
        <f>IF(Data_85_15!AO$1="","",Data_85_15!AO$1)</f>
        <v>GOLD</v>
      </c>
      <c r="AP1" s="192" t="str">
        <f>IF(Data_85_15!AP$1="","",Data_85_15!AP$1)</f>
        <v>VG Intl Small</v>
      </c>
      <c r="AQ1" s="192" t="str">
        <f>IF(Data_85_15!AQ$1="","",Data_85_15!AQ$1)</f>
        <v/>
      </c>
      <c r="AR1" s="192" t="str">
        <f>IF(Data_85_15!AR$1="","",Data_85_15!AR$1)</f>
        <v/>
      </c>
      <c r="AS1" s="192" t="str">
        <f>IF(Data_85_15!AS$1="","",Data_85_15!AS$1)</f>
        <v/>
      </c>
      <c r="AT1" s="192" t="str">
        <f>IF(Data_85_15!AT$1="","",Data_85_15!AT$1)</f>
        <v/>
      </c>
      <c r="AU1" s="192" t="str">
        <f>IF(Data_85_15!AU$1="","",Data_85_15!AU$1)</f>
        <v/>
      </c>
      <c r="AV1" s="192" t="str">
        <f>IF(Data_85_15!AV$1="","",Data_85_15!AV$1)</f>
        <v/>
      </c>
      <c r="AW1" s="192" t="str">
        <f>IF(Data_85_15!AW$1="","",Data_85_15!AW$1)</f>
        <v/>
      </c>
      <c r="AX1" s="192" t="str">
        <f>IF(Data_85_15!AX$1="","",Data_85_15!AX$1)</f>
        <v/>
      </c>
      <c r="AY1" s="192" t="str">
        <f>IF(Data_85_15!AY$1="","",Data_85_15!AY$1)</f>
        <v/>
      </c>
      <c r="AZ1" s="194" t="s">
        <v>388</v>
      </c>
      <c r="BA1" s="191" t="s">
        <v>175</v>
      </c>
      <c r="BB1" s="191" t="s">
        <v>389</v>
      </c>
      <c r="BC1" s="195" t="s">
        <v>631</v>
      </c>
      <c r="BD1" s="156" t="str">
        <f>"Growth of "&amp;TEXT(BA4,"0")</f>
        <v>Growth of 10000</v>
      </c>
      <c r="BE1" s="181" t="s">
        <v>390</v>
      </c>
      <c r="BI1" s="181" t="s">
        <v>384</v>
      </c>
      <c r="BJ1" s="181" t="s">
        <v>391</v>
      </c>
      <c r="BK1" s="181" t="s">
        <v>419</v>
      </c>
      <c r="BN1" s="181" t="s">
        <v>393</v>
      </c>
      <c r="BO1" s="181" t="s">
        <v>394</v>
      </c>
      <c r="BP1" s="181" t="s">
        <v>395</v>
      </c>
      <c r="BQ1" s="181" t="s">
        <v>396</v>
      </c>
      <c r="BR1" s="181" t="s">
        <v>397</v>
      </c>
      <c r="BU1" s="181" t="s">
        <v>398</v>
      </c>
      <c r="BV1" s="181" t="s">
        <v>399</v>
      </c>
      <c r="BW1" s="181" t="s">
        <v>400</v>
      </c>
      <c r="BX1" s="181" t="s">
        <v>401</v>
      </c>
      <c r="BY1" s="181" t="s">
        <v>402</v>
      </c>
    </row>
    <row r="2" spans="1:77">
      <c r="B2" s="165" t="str">
        <f>IF(Data_85_15!B$2="","",Data_85_15!B$2)</f>
        <v>VTSMX</v>
      </c>
      <c r="C2" s="165" t="str">
        <f>IF(Data_85_15!C$2="","",Data_85_15!C$2)</f>
        <v>VIVAX</v>
      </c>
      <c r="D2" s="165" t="str">
        <f>IF(Data_85_15!D$2="","",Data_85_15!D$2)</f>
        <v>VFINX</v>
      </c>
      <c r="E2" s="165" t="str">
        <f>IF(Data_85_15!E$2="","",Data_85_15!E$2)</f>
        <v>VIGRX</v>
      </c>
      <c r="F2" s="165" t="str">
        <f>IF(Data_85_15!F$2="","",Data_85_15!F$2)</f>
        <v>VIMSX</v>
      </c>
      <c r="G2" s="165" t="str">
        <f>IF(Data_85_15!G$2="","",Data_85_15!G$2)</f>
        <v>VISVX</v>
      </c>
      <c r="H2" s="165" t="str">
        <f>IF(Data_85_15!H$2="","",Data_85_15!H$2)</f>
        <v>NAESX</v>
      </c>
      <c r="I2" s="165" t="str">
        <f>IF(Data_85_15!I$2="","",Data_85_15!I$2)</f>
        <v>VISGX</v>
      </c>
      <c r="J2" s="165" t="str">
        <f>IF(Data_85_15!J$2="","",Data_85_15!J$2)</f>
        <v>BRSIX</v>
      </c>
      <c r="K2" s="165" t="str">
        <f>IF(Data_85_15!K$2="","",Data_85_15!K$2)</f>
        <v>VGSIX</v>
      </c>
      <c r="L2" s="165" t="str">
        <f>IF(Data_85_15!L$2="","",Data_85_15!L$2)</f>
        <v>VTMGX</v>
      </c>
      <c r="M2" s="165" t="str">
        <f>IF(Data_85_15!M$2="","",Data_85_15!M$2)</f>
        <v>VEIEX</v>
      </c>
      <c r="N2" s="165" t="str">
        <f>IF(Data_85_15!N$2="","",Data_85_15!N$2)</f>
        <v>VGTSX</v>
      </c>
      <c r="O2" s="165" t="str">
        <f>IF(Data_85_15!O$2="","",Data_85_15!O$2)</f>
        <v>VPACX</v>
      </c>
      <c r="P2" s="165" t="str">
        <f>IF(Data_85_15!P$2="","",Data_85_15!P$2)</f>
        <v>VEURX</v>
      </c>
      <c r="Q2" s="165" t="str">
        <f>IF(Data_85_15!Q$2="","",Data_85_15!Q$2)</f>
        <v>VTRIX</v>
      </c>
      <c r="R2" s="165" t="str">
        <f>IF(Data_85_15!R$2="","",Data_85_15!R$2)</f>
        <v>PCRIX</v>
      </c>
      <c r="S2" s="165" t="str">
        <f>IF(Data_85_15!S$2="","",Data_85_15!S$2)</f>
        <v>VUSTX</v>
      </c>
      <c r="T2" s="165" t="str">
        <f>IF(Data_85_15!T$2="","",Data_85_15!T$2)</f>
        <v>VFITX</v>
      </c>
      <c r="U2" s="165" t="str">
        <f>IF(Data_85_15!U$2="","",Data_85_15!U$2)</f>
        <v>VBMFX</v>
      </c>
      <c r="V2" s="165" t="str">
        <f>IF(Data_85_15!V$2="","",Data_85_15!V$2)</f>
        <v>VUSXX</v>
      </c>
      <c r="W2" s="165" t="str">
        <f>IF(Data_85_15!W$2="","",Data_85_15!W$2)</f>
        <v>VIPSX</v>
      </c>
      <c r="X2" s="165" t="str">
        <f>IF(Data_85_15!X$2="","",Data_85_15!X$2)</f>
        <v>VWELX</v>
      </c>
      <c r="Y2" s="165" t="str">
        <f>IF(Data_85_15!Y$2="","",Data_85_15!Y$2)</f>
        <v>VWINX</v>
      </c>
      <c r="Z2" s="165" t="str">
        <f>IF(Data_85_15!Z$2="","",Data_85_15!Z$2)</f>
        <v>VGENX</v>
      </c>
      <c r="AA2" s="165" t="str">
        <f>IF(Data_85_15!AA$2="","",Data_85_15!AA$2)</f>
        <v>VGHCX</v>
      </c>
      <c r="AB2" s="165" t="str">
        <f>IF(Data_85_15!AB$2="","",Data_85_15!AB$2)</f>
        <v>VGPMX</v>
      </c>
      <c r="AC2" s="165" t="str">
        <f>IF(Data_85_15!AC$2="","",Data_85_15!AC$2)</f>
        <v>VWNDX</v>
      </c>
      <c r="AD2" s="165" t="str">
        <f>IF(Data_85_15!AD$2="","",Data_85_15!AD$2)</f>
        <v>VWNFX</v>
      </c>
      <c r="AE2" s="165" t="str">
        <f>IF(Data_85_15!AE$2="","",Data_85_15!AE$2)</f>
        <v>VWSTX</v>
      </c>
      <c r="AF2" s="165" t="str">
        <f>IF(Data_85_15!AF$2="","",Data_85_15!AF$2)</f>
        <v>VWITX</v>
      </c>
      <c r="AG2" s="165" t="str">
        <f>IF(Data_85_15!AG$2="","",Data_85_15!AG$2)</f>
        <v>VWLTX</v>
      </c>
      <c r="AH2" s="165" t="str">
        <f>IF(Data_85_15!AH$2="","",Data_85_15!AH$2)</f>
        <v>VWEHX</v>
      </c>
      <c r="AI2" s="165" t="str">
        <f>IF(Data_85_15!AI$2="","",Data_85_15!AI$2)</f>
        <v>VFISX</v>
      </c>
      <c r="AJ2" s="165" t="str">
        <f>IF(Data_85_15!AJ$2="","",Data_85_15!AJ$2)</f>
        <v>VMGIX</v>
      </c>
      <c r="AK2" s="165" t="str">
        <f>IF(Data_85_15!AK$2="","",Data_85_15!AK$2)</f>
        <v>VMVIX</v>
      </c>
      <c r="AL2" s="165" t="str">
        <f>IF(Data_85_15!AL$2="","",Data_85_15!AL$2)</f>
        <v>VEXMX</v>
      </c>
      <c r="AM2" s="165" t="str">
        <f>IF(Data_85_15!AM$2="","",Data_85_15!AM$2)</f>
        <v>PIGLX</v>
      </c>
      <c r="AN2" s="165" t="str">
        <f>IF(Data_85_15!AN$2="","",Data_85_15!AN$2)</f>
        <v>VFSTX</v>
      </c>
      <c r="AO2" s="165" t="str">
        <f>IF(Data_85_15!AO$2="","",Data_85_15!AO$2)</f>
        <v>GLD</v>
      </c>
      <c r="AP2" s="165" t="str">
        <f>IF(Data_85_15!AP$2="","",Data_85_15!AP$2)</f>
        <v>VFSVX</v>
      </c>
      <c r="AQ2" s="165" t="str">
        <f>IF(Data_85_15!AQ$2="","",Data_85_15!AQ$2)</f>
        <v/>
      </c>
      <c r="AR2" s="165" t="str">
        <f>IF(Data_85_15!AR$2="","",Data_85_15!AR$2)</f>
        <v/>
      </c>
      <c r="AS2" s="165" t="str">
        <f>IF(Data_85_15!AS$2="","",Data_85_15!AS$2)</f>
        <v/>
      </c>
      <c r="AT2" s="165" t="str">
        <f>IF(Data_85_15!AT$2="","",Data_85_15!AT$2)</f>
        <v/>
      </c>
      <c r="AU2" s="165" t="str">
        <f>IF(Data_85_15!AU$2="","",Data_85_15!AU$2)</f>
        <v/>
      </c>
      <c r="AV2" s="165" t="str">
        <f>IF(Data_85_15!AV$2="","",Data_85_15!AV$2)</f>
        <v/>
      </c>
      <c r="AW2" s="165" t="str">
        <f>IF(Data_85_15!AW$2="","",Data_85_15!AW$2)</f>
        <v/>
      </c>
      <c r="AX2" s="165" t="str">
        <f>IF(Data_85_15!AX$2="","",Data_85_15!AX$2)</f>
        <v/>
      </c>
      <c r="AY2" s="165" t="str">
        <f>IF(Data_85_15!AY$2="","",Data_85_15!AY$2)</f>
        <v/>
      </c>
      <c r="AZ2" s="197"/>
      <c r="BA2" s="197"/>
      <c r="BB2" s="32"/>
      <c r="BC2" s="207"/>
      <c r="BD2" s="36">
        <f>BA4/10000</f>
        <v>1</v>
      </c>
      <c r="BE2" s="36"/>
      <c r="BF2" s="199">
        <f>AVERAGE(BF7:BF38)</f>
        <v>4.732694297409459E-3</v>
      </c>
      <c r="BI2" s="181" t="s">
        <v>136</v>
      </c>
      <c r="BJ2" s="36" t="s">
        <v>403</v>
      </c>
      <c r="BO2" s="189" t="b">
        <v>1</v>
      </c>
      <c r="BP2" s="189" t="b">
        <v>1</v>
      </c>
      <c r="BQ2" s="189" t="b">
        <v>1</v>
      </c>
      <c r="BR2" s="189" t="b">
        <v>1</v>
      </c>
      <c r="BV2" s="189" t="b">
        <v>1</v>
      </c>
      <c r="BW2" s="189" t="b">
        <v>1</v>
      </c>
      <c r="BX2" s="189" t="b">
        <v>1</v>
      </c>
      <c r="BY2" s="189" t="b">
        <v>1</v>
      </c>
    </row>
    <row r="3" spans="1:77" s="36" customFormat="1" ht="14" customHeight="1">
      <c r="A3" s="424" t="s">
        <v>433</v>
      </c>
      <c r="B3" s="200">
        <f t="shared" ref="B3:AG3" si="0">VLOOKUP(B2,Allocation85,2,)</f>
        <v>0</v>
      </c>
      <c r="C3" s="200">
        <f t="shared" si="0"/>
        <v>0</v>
      </c>
      <c r="D3" s="200">
        <f t="shared" si="0"/>
        <v>0</v>
      </c>
      <c r="E3" s="200">
        <f t="shared" si="0"/>
        <v>0</v>
      </c>
      <c r="F3" s="200">
        <f t="shared" si="0"/>
        <v>0.25</v>
      </c>
      <c r="G3" s="200">
        <f t="shared" si="0"/>
        <v>0</v>
      </c>
      <c r="H3" s="200">
        <f t="shared" si="0"/>
        <v>0</v>
      </c>
      <c r="I3" s="200">
        <f t="shared" si="0"/>
        <v>0</v>
      </c>
      <c r="J3" s="200">
        <f t="shared" si="0"/>
        <v>0</v>
      </c>
      <c r="K3" s="200">
        <f t="shared" si="0"/>
        <v>0</v>
      </c>
      <c r="L3" s="200">
        <f t="shared" si="0"/>
        <v>0</v>
      </c>
      <c r="M3" s="200">
        <f t="shared" si="0"/>
        <v>0</v>
      </c>
      <c r="N3" s="200">
        <f t="shared" si="0"/>
        <v>0</v>
      </c>
      <c r="O3" s="200">
        <f t="shared" si="0"/>
        <v>0</v>
      </c>
      <c r="P3" s="200">
        <f t="shared" si="0"/>
        <v>0</v>
      </c>
      <c r="Q3" s="200">
        <f t="shared" si="0"/>
        <v>0</v>
      </c>
      <c r="R3" s="200">
        <f t="shared" si="0"/>
        <v>0</v>
      </c>
      <c r="S3" s="200">
        <f t="shared" si="0"/>
        <v>0.25</v>
      </c>
      <c r="T3" s="200">
        <f t="shared" si="0"/>
        <v>0</v>
      </c>
      <c r="U3" s="200">
        <f t="shared" si="0"/>
        <v>0</v>
      </c>
      <c r="V3" s="200">
        <f t="shared" si="0"/>
        <v>0</v>
      </c>
      <c r="W3" s="200">
        <f t="shared" si="0"/>
        <v>0.25</v>
      </c>
      <c r="X3" s="200">
        <f t="shared" si="0"/>
        <v>0</v>
      </c>
      <c r="Y3" s="200">
        <f t="shared" si="0"/>
        <v>0</v>
      </c>
      <c r="Z3" s="200">
        <f t="shared" si="0"/>
        <v>0</v>
      </c>
      <c r="AA3" s="200">
        <f t="shared" si="0"/>
        <v>0</v>
      </c>
      <c r="AB3" s="200">
        <f t="shared" si="0"/>
        <v>0</v>
      </c>
      <c r="AC3" s="200">
        <f t="shared" si="0"/>
        <v>0</v>
      </c>
      <c r="AD3" s="200">
        <f t="shared" si="0"/>
        <v>0</v>
      </c>
      <c r="AE3" s="200">
        <f t="shared" si="0"/>
        <v>0</v>
      </c>
      <c r="AF3" s="200">
        <f t="shared" si="0"/>
        <v>0</v>
      </c>
      <c r="AG3" s="200">
        <f t="shared" si="0"/>
        <v>0</v>
      </c>
      <c r="AH3" s="200">
        <f t="shared" ref="AH3:AY3" si="1">VLOOKUP(AH2,Allocation85,2,)</f>
        <v>0</v>
      </c>
      <c r="AI3" s="200">
        <f t="shared" si="1"/>
        <v>0</v>
      </c>
      <c r="AJ3" s="200">
        <f t="shared" si="1"/>
        <v>0</v>
      </c>
      <c r="AK3" s="200">
        <f t="shared" si="1"/>
        <v>0</v>
      </c>
      <c r="AL3" s="200">
        <f t="shared" si="1"/>
        <v>0</v>
      </c>
      <c r="AM3" s="200">
        <f t="shared" si="1"/>
        <v>0</v>
      </c>
      <c r="AN3" s="200">
        <f t="shared" si="1"/>
        <v>0</v>
      </c>
      <c r="AO3" s="200">
        <f t="shared" si="1"/>
        <v>0.25</v>
      </c>
      <c r="AP3" s="200">
        <f t="shared" si="1"/>
        <v>0</v>
      </c>
      <c r="AQ3" s="200">
        <f t="shared" si="1"/>
        <v>0</v>
      </c>
      <c r="AR3" s="200">
        <f t="shared" si="1"/>
        <v>0</v>
      </c>
      <c r="AS3" s="200">
        <f t="shared" si="1"/>
        <v>0</v>
      </c>
      <c r="AT3" s="200">
        <f t="shared" si="1"/>
        <v>0</v>
      </c>
      <c r="AU3" s="200">
        <f t="shared" si="1"/>
        <v>0</v>
      </c>
      <c r="AV3" s="200">
        <f t="shared" si="1"/>
        <v>0</v>
      </c>
      <c r="AW3" s="200">
        <f t="shared" si="1"/>
        <v>0</v>
      </c>
      <c r="AX3" s="200">
        <f t="shared" si="1"/>
        <v>0</v>
      </c>
      <c r="AY3" s="200">
        <f t="shared" si="1"/>
        <v>0</v>
      </c>
      <c r="AZ3" s="201" t="str">
        <f>IF((OR(SUM(B3:AY3)&lt;1,SUM(B3:AY3)&gt;1)),"ERROR","")</f>
        <v/>
      </c>
      <c r="BA3" s="202" t="s">
        <v>309</v>
      </c>
      <c r="BB3" s="38"/>
      <c r="BC3" s="280"/>
      <c r="BD3" s="36" t="str">
        <f>"Max. Drawdown Rebalanced = "&amp;TEXT(MAX(BF7:BF38),"0.0%")</f>
        <v>Max. Drawdown Rebalanced = 4.3%</v>
      </c>
    </row>
    <row r="4" spans="1:77">
      <c r="A4" s="204" t="s">
        <v>405</v>
      </c>
      <c r="B4" s="446" t="str">
        <f>IF(Portfolio!$K$88*B$3&gt;0,Portfolio!$K$88*B$3,"")</f>
        <v/>
      </c>
      <c r="C4" s="446" t="str">
        <f>IF(Portfolio!$K$88*C$3&gt;0,Portfolio!$K$88*C$3,"")</f>
        <v/>
      </c>
      <c r="D4" s="446" t="str">
        <f>IF(Portfolio!$K$88*D$3&gt;0,Portfolio!$K$88*D$3,"")</f>
        <v/>
      </c>
      <c r="E4" s="446" t="str">
        <f>IF(Portfolio!$K$88*E$3&gt;0,Portfolio!$K$88*E$3,"")</f>
        <v/>
      </c>
      <c r="F4" s="446">
        <f>IF(Portfolio!$K$88*F$3&gt;0,Portfolio!$K$88*F$3,"")</f>
        <v>2500</v>
      </c>
      <c r="G4" s="446" t="str">
        <f>IF(Portfolio!$K$88*G$3&gt;0,Portfolio!$K$88*G$3,"")</f>
        <v/>
      </c>
      <c r="H4" s="446" t="str">
        <f>IF(Portfolio!$K$88*H$3&gt;0,Portfolio!$K$88*H$3,"")</f>
        <v/>
      </c>
      <c r="I4" s="446" t="str">
        <f>IF(Portfolio!$K$88*I$3&gt;0,Portfolio!$K$88*I$3,"")</f>
        <v/>
      </c>
      <c r="J4" s="446" t="str">
        <f>IF(Portfolio!$K$88*J$3&gt;0,Portfolio!$K$88*J$3,"")</f>
        <v/>
      </c>
      <c r="K4" s="446" t="str">
        <f>IF(Portfolio!$K$88*K$3&gt;0,Portfolio!$K$88*K$3,"")</f>
        <v/>
      </c>
      <c r="L4" s="446" t="str">
        <f>IF(Portfolio!$K$88*L$3&gt;0,Portfolio!$K$88*L$3,"")</f>
        <v/>
      </c>
      <c r="M4" s="446" t="str">
        <f>IF(Portfolio!$K$88*M$3&gt;0,Portfolio!$K$88*M$3,"")</f>
        <v/>
      </c>
      <c r="N4" s="446" t="str">
        <f>IF(Portfolio!$K$88*N$3&gt;0,Portfolio!$K$88*N$3,"")</f>
        <v/>
      </c>
      <c r="O4" s="446" t="str">
        <f>IF(Portfolio!$K$88*O$3&gt;0,Portfolio!$K$88*O$3,"")</f>
        <v/>
      </c>
      <c r="P4" s="446" t="str">
        <f>IF(Portfolio!$K$88*P$3&gt;0,Portfolio!$K$88*P$3,"")</f>
        <v/>
      </c>
      <c r="Q4" s="446" t="str">
        <f>IF(Portfolio!$K$88*Q$3&gt;0,Portfolio!$K$88*Q$3,"")</f>
        <v/>
      </c>
      <c r="R4" s="446" t="str">
        <f>IF(Portfolio!$K$88*R$3&gt;0,Portfolio!$K$88*R$3,"")</f>
        <v/>
      </c>
      <c r="S4" s="446">
        <f>IF(Portfolio!$K$88*S$3&gt;0,Portfolio!$K$88*S$3,"")</f>
        <v>2500</v>
      </c>
      <c r="T4" s="446" t="str">
        <f>IF(Portfolio!$K$88*T$3&gt;0,Portfolio!$K$88*T$3,"")</f>
        <v/>
      </c>
      <c r="U4" s="446" t="str">
        <f>IF(Portfolio!$K$88*U$3&gt;0,Portfolio!$K$88*U$3,"")</f>
        <v/>
      </c>
      <c r="V4" s="446" t="str">
        <f>IF(Portfolio!$K$88*V$3&gt;0,Portfolio!$K$88*V$3,"")</f>
        <v/>
      </c>
      <c r="W4" s="446">
        <f>IF(Portfolio!$K$88*W$3&gt;0,Portfolio!$K$88*W$3,"")</f>
        <v>2500</v>
      </c>
      <c r="X4" s="446" t="str">
        <f>IF(Portfolio!$K$88*X$3&gt;0,Portfolio!$K$88*X$3,"")</f>
        <v/>
      </c>
      <c r="Y4" s="446" t="str">
        <f>IF(Portfolio!$K$88*Y$3&gt;0,Portfolio!$K$88*Y$3,"")</f>
        <v/>
      </c>
      <c r="Z4" s="446" t="str">
        <f>IF(Portfolio!$K$88*Z$3&gt;0,Portfolio!$K$88*Z$3,"")</f>
        <v/>
      </c>
      <c r="AA4" s="446" t="str">
        <f>IF(Portfolio!$K$88*AA$3&gt;0,Portfolio!$K$88*AA$3,"")</f>
        <v/>
      </c>
      <c r="AB4" s="446" t="str">
        <f>IF(Portfolio!$K$88*AB$3&gt;0,Portfolio!$K$88*AB$3,"")</f>
        <v/>
      </c>
      <c r="AC4" s="446" t="str">
        <f>IF(Portfolio!$K$88*AC$3&gt;0,Portfolio!$K$88*AC$3,"")</f>
        <v/>
      </c>
      <c r="AD4" s="446" t="str">
        <f>IF(Portfolio!$K$88*AD$3&gt;0,Portfolio!$K$88*AD$3,"")</f>
        <v/>
      </c>
      <c r="AE4" s="446" t="str">
        <f>IF(Portfolio!$K$88*AE$3&gt;0,Portfolio!$K$88*AE$3,"")</f>
        <v/>
      </c>
      <c r="AF4" s="446" t="str">
        <f>IF(Portfolio!$K$88*AF$3&gt;0,Portfolio!$K$88*AF$3,"")</f>
        <v/>
      </c>
      <c r="AG4" s="446" t="str">
        <f>IF(Portfolio!$K$88*AG$3&gt;0,Portfolio!$K$88*AG$3,"")</f>
        <v/>
      </c>
      <c r="AH4" s="446" t="str">
        <f>IF(Portfolio!$K$88*AH$3&gt;0,Portfolio!$K$88*AH$3,"")</f>
        <v/>
      </c>
      <c r="AI4" s="446" t="str">
        <f>IF(Portfolio!$K$88*AI$3&gt;0,Portfolio!$K$88*AI$3,"")</f>
        <v/>
      </c>
      <c r="AJ4" s="446" t="str">
        <f>IF(Portfolio!$K$88*AJ$3&gt;0,Portfolio!$K$88*AJ$3,"")</f>
        <v/>
      </c>
      <c r="AK4" s="446" t="str">
        <f>IF(Portfolio!$K$88*AK$3&gt;0,Portfolio!$K$88*AK$3,"")</f>
        <v/>
      </c>
      <c r="AL4" s="446" t="str">
        <f>IF(Portfolio!$K$88*AL$3&gt;0,Portfolio!$K$88*AL$3,"")</f>
        <v/>
      </c>
      <c r="AM4" s="446" t="str">
        <f>IF(Portfolio!$K$88*AM$3&gt;0,Portfolio!$K$88*AM$3,"")</f>
        <v/>
      </c>
      <c r="AN4" s="446" t="str">
        <f>IF(Portfolio!$K$88*AN$3&gt;0,Portfolio!$K$88*AN$3,"")</f>
        <v/>
      </c>
      <c r="AO4" s="446">
        <f>IF(Portfolio!$K$88*AO$3&gt;0,Portfolio!$K$88*AO$3,"")</f>
        <v>2500</v>
      </c>
      <c r="AP4" s="205" t="str">
        <f>IF(Portfolio!$K$88*AP$3&gt;0,Portfolio!$K$88*AP$3,"")</f>
        <v/>
      </c>
      <c r="AQ4" s="205" t="str">
        <f>IF(Portfolio!$K$88*AQ$3&gt;0,Portfolio!$K$88*AQ$3,"")</f>
        <v/>
      </c>
      <c r="AR4" s="205" t="str">
        <f>IF(Portfolio!$K$88*AR$3&gt;0,Portfolio!$K$88*AR$3,"")</f>
        <v/>
      </c>
      <c r="AS4" s="205"/>
      <c r="AT4" s="205"/>
      <c r="AU4" s="205"/>
      <c r="AV4" s="205"/>
      <c r="AW4" s="205"/>
      <c r="AX4" s="205"/>
      <c r="AY4" s="205"/>
      <c r="AZ4" s="206"/>
      <c r="BA4" s="487">
        <f>Portfolio!$K$88</f>
        <v>10000</v>
      </c>
      <c r="BB4" s="32"/>
      <c r="BC4" s="490">
        <f>Portfolio!$K$88</f>
        <v>10000</v>
      </c>
      <c r="BD4" s="144" t="str">
        <f>"Avg. Drawdown Rebalanced = "&amp;TEXT(BF2,"0.0%")</f>
        <v>Avg. Drawdown Rebalanced = 0.5%</v>
      </c>
    </row>
    <row r="5" spans="1:77">
      <c r="A5" s="164"/>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32"/>
      <c r="BB5" s="32"/>
      <c r="BC5" s="207"/>
      <c r="BD5" s="144"/>
      <c r="BI5" s="61">
        <f>AVERAGE(TBill85)/100</f>
        <v>3.6238709677419351E-2</v>
      </c>
      <c r="BJ5" s="61">
        <f>AVERAGE(BJ7:BJ38)/100</f>
        <v>2.6528920675631836E-2</v>
      </c>
    </row>
    <row r="6" spans="1:77">
      <c r="A6" s="164"/>
      <c r="B6" s="206"/>
      <c r="C6" s="206"/>
      <c r="D6" s="206"/>
      <c r="E6" s="206"/>
      <c r="F6" s="206"/>
      <c r="G6" s="206"/>
      <c r="H6" s="206"/>
      <c r="I6" s="206"/>
      <c r="J6" s="206"/>
      <c r="K6" s="206"/>
      <c r="L6" s="206"/>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32"/>
      <c r="BB6" s="32"/>
      <c r="BC6" s="207"/>
      <c r="BD6" s="144"/>
      <c r="BI6" s="61">
        <f>(BI5-BJ5)/(1+BJ5)</f>
        <v>9.4588557674505757E-3</v>
      </c>
    </row>
    <row r="7" spans="1:77">
      <c r="A7" s="204">
        <v>1985</v>
      </c>
      <c r="B7" s="206" t="str">
        <f>IF(AND($A7&gt;=SYear85,$A7&lt;=EYear85,B$3&gt;0),B$3*Data_85_15!B8,"")</f>
        <v/>
      </c>
      <c r="C7" s="206" t="str">
        <f>IF(AND($A7&gt;=SYear85,$A7&lt;=EYear85,C$3&gt;0),C$3*Data_85_15!C8,"")</f>
        <v/>
      </c>
      <c r="D7" s="206" t="str">
        <f>IF(AND($A7&gt;=SYear85,$A7&lt;=EYear85,D$3&gt;0),D$3*Data_85_15!D8,"")</f>
        <v/>
      </c>
      <c r="E7" s="206" t="str">
        <f>IF(AND($A7&gt;=SYear85,$A7&lt;=EYear85,E$3&gt;0),E$3*Data_85_15!E8,"")</f>
        <v/>
      </c>
      <c r="F7" s="206">
        <f>IF(AND($A7&gt;=SYear85,$A7&lt;=EYear85,F$3&gt;0),F$3*Data_85_15!F8,"")</f>
        <v>7.9242741694103564</v>
      </c>
      <c r="G7" s="206" t="str">
        <f>IF(AND($A7&gt;=SYear85,$A7&lt;=EYear85,G$3&gt;0),G$3*Data_85_15!G8,"")</f>
        <v/>
      </c>
      <c r="H7" s="206" t="str">
        <f>IF(AND($A7&gt;=SYear85,$A7&lt;=EYear85,H$3&gt;0),H$3*Data_85_15!H8,"")</f>
        <v/>
      </c>
      <c r="I7" s="206" t="str">
        <f>IF(AND($A7&gt;=SYear85,$A7&lt;=EYear85,I$3&gt;0),I$3*Data_85_15!I8,"")</f>
        <v/>
      </c>
      <c r="J7" s="206" t="str">
        <f>IF(AND($A7&gt;=SYear85,$A7&lt;=EYear85,J$3&gt;0),J$3*Data_85_15!J8,"")</f>
        <v/>
      </c>
      <c r="K7" s="206" t="str">
        <f>IF(AND($A7&gt;=SYear85,$A7&lt;=EYear85,K$3&gt;0),K$3*Data_85_15!K8,"")</f>
        <v/>
      </c>
      <c r="L7" s="206" t="str">
        <f>IF(AND($A7&gt;=SYear85,$A7&lt;=EYear85,L$3&gt;0),L$3*Data_85_15!L8,"")</f>
        <v/>
      </c>
      <c r="M7" s="206" t="str">
        <f>IF(AND($A7&gt;=SYear85,$A7&lt;=EYear85,M$3&gt;0),M$3*Data_85_15!M8,"")</f>
        <v/>
      </c>
      <c r="N7" s="206" t="str">
        <f>IF(AND($A7&gt;=SYear85,$A7&lt;=EYear85,N$3&gt;0),N$3*Data_85_15!N8,"")</f>
        <v/>
      </c>
      <c r="O7" s="206" t="str">
        <f>IF(AND($A7&gt;=SYear85,$A7&lt;=EYear85,O$3&gt;0),O$3*Data_85_15!O8,"")</f>
        <v/>
      </c>
      <c r="P7" s="206" t="str">
        <f>IF(AND($A7&gt;=SYear85,$A7&lt;=EYear85,P$3&gt;0),P$3*Data_85_15!P8,"")</f>
        <v/>
      </c>
      <c r="Q7" s="206" t="str">
        <f>IF(AND($A7&gt;=SYear85,$A7&lt;=EYear85,Q$3&gt;0),Q$3*Data_85_15!Q8,"")</f>
        <v/>
      </c>
      <c r="R7" s="206" t="str">
        <f>IF(AND($A7&gt;=SYear85,$A7&lt;=EYear85,R$3&gt;0),R$3*Data_85_15!R8,"")</f>
        <v/>
      </c>
      <c r="S7" s="206">
        <f>IF(AND($A7&gt;=SYear85,$A7&lt;=EYear85,S$3&gt;0),S$3*Data_85_15!S8,"")</f>
        <v>7.6846307385229542</v>
      </c>
      <c r="T7" s="206" t="str">
        <f>IF(AND($A7&gt;=SYear85,$A7&lt;=EYear85,T$3&gt;0),T$3*Data_85_15!T8,"")</f>
        <v/>
      </c>
      <c r="U7" s="206" t="str">
        <f>IF(AND($A7&gt;=SYear85,$A7&lt;=EYear85,U$3&gt;0),U$3*Data_85_15!U8,"")</f>
        <v/>
      </c>
      <c r="V7" s="206" t="str">
        <f>IF(AND($A7&gt;=SYear85,$A7&lt;=EYear85,V$3&gt;0),V$3*Data_85_15!V8,"")</f>
        <v/>
      </c>
      <c r="W7" s="206">
        <f>IF(AND($A7&gt;=SYear85,$A7&lt;=EYear85,W$3&gt;0),W$3*Data_85_15!W8,"")</f>
        <v>2.1706586826347309</v>
      </c>
      <c r="X7" s="206" t="str">
        <f>IF(AND($A7&gt;=SYear85,$A7&lt;=EYear85,X$3&gt;0),X$3*Data_85_15!X8,"")</f>
        <v/>
      </c>
      <c r="Y7" s="206" t="str">
        <f>IF(AND($A7&gt;=SYear85,$A7&lt;=EYear85,Y$3&gt;0),Y$3*Data_85_15!Y8,"")</f>
        <v/>
      </c>
      <c r="Z7" s="206" t="str">
        <f>IF(AND($A7&gt;=SYear85,$A7&lt;=EYear85,Z$3&gt;0),Z$3*Data_85_15!Z8,"")</f>
        <v/>
      </c>
      <c r="AA7" s="206" t="str">
        <f>IF(AND($A7&gt;=SYear85,$A7&lt;=EYear85,AA$3&gt;0),AA$3*Data_85_15!AA8,"")</f>
        <v/>
      </c>
      <c r="AB7" s="206" t="str">
        <f>IF(AND($A7&gt;=SYear85,$A7&lt;=EYear85,AB$3&gt;0),AB$3*Data_85_15!AB8,"")</f>
        <v/>
      </c>
      <c r="AC7" s="206" t="str">
        <f>IF(AND($A7&gt;=SYear85,$A7&lt;=EYear85,AC$3&gt;0),AC$3*Data_85_15!AC8,"")</f>
        <v/>
      </c>
      <c r="AD7" s="206" t="str">
        <f>IF(AND($A7&gt;=SYear85,$A7&lt;=EYear85,AD$3&gt;0),AD$3*Data_85_15!AD8,"")</f>
        <v/>
      </c>
      <c r="AE7" s="206" t="str">
        <f>IF(AND($A7&gt;=SYear85,$A7&lt;=EYear85,AE$3&gt;0),AE$3*Data_85_15!AE8,"")</f>
        <v/>
      </c>
      <c r="AF7" s="206" t="str">
        <f>IF(AND($A7&gt;=SYear85,$A7&lt;=EYear85,AF$3&gt;0),AF$3*Data_85_15!AF8,"")</f>
        <v/>
      </c>
      <c r="AG7" s="206" t="str">
        <f>IF(AND($A7&gt;=SYear85,$A7&lt;=EYear85,AG$3&gt;0),AG$3*Data_85_15!AG8,"")</f>
        <v/>
      </c>
      <c r="AH7" s="206" t="str">
        <f>IF(AND($A7&gt;=SYear85,$A7&lt;=EYear85,AH$3&gt;0),AH$3*Data_85_15!AH8,"")</f>
        <v/>
      </c>
      <c r="AI7" s="206" t="str">
        <f>IF(AND($A7&gt;=SYear85,$A7&lt;=EYear85,AI$3&gt;0),AI$3*Data_85_15!AI8,"")</f>
        <v/>
      </c>
      <c r="AJ7" s="206" t="str">
        <f>IF(AND($A7&gt;=SYear85,$A7&lt;=EYear85,AJ$3&gt;0),AJ$3*Data_85_15!AJ8,"")</f>
        <v/>
      </c>
      <c r="AK7" s="206" t="str">
        <f>IF(AND($A7&gt;=SYear85,$A7&lt;=EYear85,AK$3&gt;0),AK$3*Data_85_15!AK8,"")</f>
        <v/>
      </c>
      <c r="AL7" s="206" t="str">
        <f>IF(AND($A7&gt;=SYear85,$A7&lt;=EYear85,AL$3&gt;0),AL$3*Data_85_15!AL8,"")</f>
        <v/>
      </c>
      <c r="AM7" s="206" t="str">
        <f>IF(AND($A7&gt;=SYear85,$A7&lt;=EYear85,AM$3&gt;0),AM$3*Data_85_15!AM8,"")</f>
        <v/>
      </c>
      <c r="AN7" s="206" t="str">
        <f>IF(AND($A7&gt;=SYear85,$A7&lt;=EYear85,AN$3&gt;0),AN$3*Data_85_15!AN8,"")</f>
        <v/>
      </c>
      <c r="AO7" s="206">
        <f>IF(AND($A7&gt;=SYear85,$A7&lt;=EYear85,AO$3&gt;0),AO$3*Data_85_15!AO8,"")</f>
        <v>1.3146443352802393</v>
      </c>
      <c r="AP7" s="206" t="str">
        <f>IF(AND($A7&gt;=SYear85,$A7&lt;=EYear85,AP$3&gt;0),AP$3*Data_85_15!AP8,"")</f>
        <v/>
      </c>
      <c r="AQ7" s="206" t="str">
        <f>IF(AND($A7&gt;=SYear85,$A7&lt;=EYear85,AQ$3&gt;0),AQ$3*Data_85_15!AQ8,"")</f>
        <v/>
      </c>
      <c r="AR7" s="206" t="str">
        <f>IF(AND($A7&gt;=SYear85,$A7&lt;=EYear85,AR$3&gt;0),AR$3*Data_85_15!AR8,"")</f>
        <v/>
      </c>
      <c r="AS7" s="206" t="str">
        <f>IF(AND($A7&gt;=SYear85,$A7&lt;=EYear85,AS$3&gt;0),AS$3*Data_85_15!AS8,"")</f>
        <v/>
      </c>
      <c r="AT7" s="206" t="str">
        <f>IF(AND($A7&gt;=SYear85,$A7&lt;=EYear85,AT$3&gt;0),AT$3*Data_85_15!AT8,"")</f>
        <v/>
      </c>
      <c r="AU7" s="206" t="str">
        <f>IF(AND($A7&gt;=SYear85,$A7&lt;=EYear85,AU$3&gt;0),AU$3*Data_85_15!AU8,"")</f>
        <v/>
      </c>
      <c r="AV7" s="206" t="str">
        <f>IF(AND($A7&gt;=SYear85,$A7&lt;=EYear85,AV$3&gt;0),AV$3*Data_85_15!AV8,"")</f>
        <v/>
      </c>
      <c r="AW7" s="206" t="str">
        <f>IF(AND($A7&gt;=SYear85,$A7&lt;=EYear85,AW$3&gt;0),AW$3*Data_85_15!AW8,"")</f>
        <v/>
      </c>
      <c r="AX7" s="206" t="str">
        <f>IF(AND($A7&gt;=SYear85,$A7&lt;=EYear85,AX$3&gt;0),AX$3*Data_85_15!AX8,"")</f>
        <v/>
      </c>
      <c r="AY7" s="206" t="str">
        <f>IF(AND($A7&gt;=SYear85,$A7&lt;=EYear85,AY$3&gt;0),AY$3*Data_85_15!AY8,"")</f>
        <v/>
      </c>
      <c r="AZ7" s="206">
        <f t="shared" ref="AZ7:AZ33" si="2">IF(AND($A7&gt;=SYear85,$A7&lt;=EYear85),SUM(B7:AY7),"")</f>
        <v>19.094207925848281</v>
      </c>
      <c r="BA7" s="446">
        <f>IF(AND($A7&gt;=SYear85,$A7&lt;=EYear85),IF($A7=SYear85,$BA$4*(1+AZ7%),$BA4*(1+AZ7%)),"")</f>
        <v>11909.420792584828</v>
      </c>
      <c r="BB7" s="206">
        <f>IF(AND($A7&gt;=SYear85,$A7&lt;=EYear85),(AZ7-Data_85_15!AZ8)/(1+Data_85_15!AZ8%),"")</f>
        <v>14.735773966988329</v>
      </c>
      <c r="BC7" s="606">
        <f>IF(AND($A7&gt;=SYear85,$A7&lt;=EYear85),IF($A7=SYear85,$BC$4*(1+BB7%),$BC4*(1+BB7%)),"")</f>
        <v>11473.577396698833</v>
      </c>
      <c r="BD7" s="143">
        <f t="shared" ref="BD7:BD27" si="3">IF(AND($A7&gt;=SYear85,$A7&lt;=EYear85),IF($A7=SYear85,$BD$2,$BD6*(1+AZ7%)),"")</f>
        <v>1</v>
      </c>
      <c r="BE7" s="143">
        <f>IF(AND($A7&gt;=SYear85,$A7&lt;=EYear85),MAX($BD$7:BD7),"")</f>
        <v>1</v>
      </c>
      <c r="BF7" s="209">
        <f t="shared" ref="BF7:BF27" si="4">IF(AND($A7&gt;=SYear85,$A7&lt;=EYear85),1-(BD7/BE7),"")</f>
        <v>0</v>
      </c>
      <c r="BI7" s="143">
        <f>IF(AND($A7&gt;=SYear85,$A7&lt;=EYear85),Data_85_15!$V8,"")</f>
        <v>7.37</v>
      </c>
      <c r="BJ7" s="143">
        <f>IF(AND($A7&gt;=SYear85,$A7&lt;=EYear85),Data_85_15!$AZ8,"")</f>
        <v>3.7986704653371284</v>
      </c>
      <c r="BK7" s="143">
        <f t="shared" ref="BK7:BK33" si="5">IF(AND($A7&gt;=SYear85,$A7&lt;=EYear85),(BI7-BJ7)/(1+BJ7%),"")</f>
        <v>3.4406312900274512</v>
      </c>
      <c r="BN7" s="61">
        <f t="shared" ref="BN7:BN38" si="6">IF(AND($A7&gt;=SYear85,$A7&lt;=EYear85),IF($A7=SYear85,($BA7/$BA$4)-1,($BA7/$BA6)-1),"")</f>
        <v>0.19094207925848283</v>
      </c>
      <c r="BO7" s="61">
        <f t="shared" ref="BO7:BO35" si="7">IF(AND($A7&gt;=SYear85,$A7&lt;=EYear85),IF($A7=SYear85,(($BA9/$BA$4)^(1/(1+($A9-$A7)))-1),(($BA9/$BA6)^(1/(1+($A9-$A7)))-1)),"")</f>
        <v>0.15491594279020648</v>
      </c>
      <c r="BP7" s="61">
        <f t="shared" ref="BP7:BP33" si="8">IF(AND($A7&gt;=SYear85,$A7&lt;=EYear85),IF($A7=SYear85,(($BA11/$BA$4)^(1/(1+($A11-$A7)))-1),(($BA11/$BA6)^(1/(1+($A11-$A7)))-1)),"")</f>
        <v>0.1317115494124439</v>
      </c>
      <c r="BQ7" s="61">
        <f t="shared" ref="BQ7:BQ28" si="9">IF(AND($A7&gt;=SYear85,$A7&lt;=EYear85),IF($A7=SYear85,(($BA16/$BA$4)^(1/(1+($A16-$A7)))-1),(($BA16/$BA6)^(1/(1+($A16-$A7)))-1)),"")</f>
        <v>9.9323962448060188E-2</v>
      </c>
      <c r="BR7" s="61">
        <f t="shared" ref="BR7:BR23" si="10">IF(AND($A7&gt;=SYear85,$A7&lt;=EYear85),IF($A7=SYear85,(($BA21/$BA$4)^(1/(1+($A21-$A7)))-1),(($BA21/$BA6)^(1/(1+($A21-$A7)))-1)),"")</f>
        <v>9.0702168635621527E-2</v>
      </c>
      <c r="BU7" s="61">
        <f t="shared" ref="BU7:BU38" si="11">IF(AND($A7&gt;=SYear85,$A7&lt;=EYear85),IF($A7=SYear85,($BC7/$BC$4)-1,($BC7/$BC6)-1),"")</f>
        <v>0.1473577396698833</v>
      </c>
      <c r="BV7" s="61">
        <f t="shared" ref="BV7:BV35" si="12">IF(AND($A7&gt;=SYear85,$A7&lt;=EYear85),IF($A7=SYear85,(($BC9/$BC$4)^(1/(1+($A9-$A7)))-1),(($BC9/$BC6)^(1/(1+($A9-$A7)))-1)),"")</f>
        <v>0.12018881159023853</v>
      </c>
      <c r="BW7" s="61">
        <f t="shared" ref="BW7:BW33" si="13">IF(AND($A7&gt;=SYear85,$A7&lt;=EYear85),IF($A7=SYear85,(($BC11/$BC$4)^(1/(1+($A11-$A7)))-1),(($BC11/$BC6)^(1/(1+($A11-$A7)))-1)),"")</f>
        <v>9.1637396329739662E-2</v>
      </c>
      <c r="BX7" s="61">
        <f t="shared" ref="BX7:BX28" si="14">IF(AND($A7&gt;=SYear85,$A7&lt;=EYear85),IF($A7=SYear85,(($BC16/$BC$4)^(1/(1+($A16-$A7)))-1),(($BC16/$BC6)^(1/(1+($A16-$A7)))-1)),"")</f>
        <v>6.1320008098500578E-2</v>
      </c>
      <c r="BY7" s="61">
        <f t="shared" ref="BY7:BY19" si="15">IF(AND($A7&gt;=SYear85,$A7&lt;=EYear85),IF($A7=SYear85,(($BC21/$BC$4)^(1/(1+($A21-$A7)))-1),(($BC21/$BC6)^(1/(1+($A21-$A7)))-1)),"")</f>
        <v>5.7131775125569995E-2</v>
      </c>
    </row>
    <row r="8" spans="1:77">
      <c r="A8" s="204">
        <f>A7+1</f>
        <v>1986</v>
      </c>
      <c r="B8" s="206" t="str">
        <f>IF(AND($A8&gt;=SYear85,$A8&lt;=EYear85,B$3&gt;0),B$3*Data_85_15!B9,"")</f>
        <v/>
      </c>
      <c r="C8" s="206" t="str">
        <f>IF(AND($A8&gt;=SYear85,$A8&lt;=EYear85,C$3&gt;0),C$3*Data_85_15!C9,"")</f>
        <v/>
      </c>
      <c r="D8" s="206" t="str">
        <f>IF(AND($A8&gt;=SYear85,$A8&lt;=EYear85,D$3&gt;0),D$3*Data_85_15!D9,"")</f>
        <v/>
      </c>
      <c r="E8" s="206" t="str">
        <f>IF(AND($A8&gt;=SYear85,$A8&lt;=EYear85,E$3&gt;0),E$3*Data_85_15!E9,"")</f>
        <v/>
      </c>
      <c r="F8" s="206">
        <f>IF(AND($A8&gt;=SYear85,$A8&lt;=EYear85,F$3&gt;0),F$3*Data_85_15!F9,"")</f>
        <v>4.4821909607901826</v>
      </c>
      <c r="G8" s="206" t="str">
        <f>IF(AND($A8&gt;=SYear85,$A8&lt;=EYear85,G$3&gt;0),G$3*Data_85_15!G9,"")</f>
        <v/>
      </c>
      <c r="H8" s="206" t="str">
        <f>IF(AND($A8&gt;=SYear85,$A8&lt;=EYear85,H$3&gt;0),H$3*Data_85_15!H9,"")</f>
        <v/>
      </c>
      <c r="I8" s="206" t="str">
        <f>IF(AND($A8&gt;=SYear85,$A8&lt;=EYear85,I$3&gt;0),I$3*Data_85_15!I9,"")</f>
        <v/>
      </c>
      <c r="J8" s="206" t="str">
        <f>IF(AND($A8&gt;=SYear85,$A8&lt;=EYear85,J$3&gt;0),J$3*Data_85_15!J9,"")</f>
        <v/>
      </c>
      <c r="K8" s="206" t="str">
        <f>IF(AND($A8&gt;=SYear85,$A8&lt;=EYear85,K$3&gt;0),K$3*Data_85_15!K9,"")</f>
        <v/>
      </c>
      <c r="L8" s="206" t="str">
        <f>IF(AND($A8&gt;=SYear85,$A8&lt;=EYear85,L$3&gt;0),L$3*Data_85_15!L9,"")</f>
        <v/>
      </c>
      <c r="M8" s="206" t="str">
        <f>IF(AND($A8&gt;=SYear85,$A8&lt;=EYear85,M$3&gt;0),M$3*Data_85_15!M9,"")</f>
        <v/>
      </c>
      <c r="N8" s="206" t="str">
        <f>IF(AND($A8&gt;=SYear85,$A8&lt;=EYear85,N$3&gt;0),N$3*Data_85_15!N9,"")</f>
        <v/>
      </c>
      <c r="O8" s="206" t="str">
        <f>IF(AND($A8&gt;=SYear85,$A8&lt;=EYear85,O$3&gt;0),O$3*Data_85_15!O9,"")</f>
        <v/>
      </c>
      <c r="P8" s="206" t="str">
        <f>IF(AND($A8&gt;=SYear85,$A8&lt;=EYear85,P$3&gt;0),P$3*Data_85_15!P9,"")</f>
        <v/>
      </c>
      <c r="Q8" s="206" t="str">
        <f>IF(AND($A8&gt;=SYear85,$A8&lt;=EYear85,Q$3&gt;0),Q$3*Data_85_15!Q9,"")</f>
        <v/>
      </c>
      <c r="R8" s="206" t="str">
        <f>IF(AND($A8&gt;=SYear85,$A8&lt;=EYear85,R$3&gt;0),R$3*Data_85_15!R9,"")</f>
        <v/>
      </c>
      <c r="S8" s="206">
        <f>IF(AND($A8&gt;=SYear85,$A8&lt;=EYear85,S$3&gt;0),S$3*Data_85_15!S9,"")</f>
        <v>6.0628742514970062</v>
      </c>
      <c r="T8" s="206" t="str">
        <f>IF(AND($A8&gt;=SYear85,$A8&lt;=EYear85,T$3&gt;0),T$3*Data_85_15!T9,"")</f>
        <v/>
      </c>
      <c r="U8" s="206" t="str">
        <f>IF(AND($A8&gt;=SYear85,$A8&lt;=EYear85,U$3&gt;0),U$3*Data_85_15!U9,"")</f>
        <v/>
      </c>
      <c r="V8" s="206" t="str">
        <f>IF(AND($A8&gt;=SYear85,$A8&lt;=EYear85,V$3&gt;0),V$3*Data_85_15!V9,"")</f>
        <v/>
      </c>
      <c r="W8" s="206">
        <f>IF(AND($A8&gt;=SYear85,$A8&lt;=EYear85,W$3&gt;0),W$3*Data_85_15!W9,"")</f>
        <v>5.4890219560878242</v>
      </c>
      <c r="X8" s="206" t="str">
        <f>IF(AND($A8&gt;=SYear85,$A8&lt;=EYear85,X$3&gt;0),X$3*Data_85_15!X9,"")</f>
        <v/>
      </c>
      <c r="Y8" s="206" t="str">
        <f>IF(AND($A8&gt;=SYear85,$A8&lt;=EYear85,Y$3&gt;0),Y$3*Data_85_15!Y9,"")</f>
        <v/>
      </c>
      <c r="Z8" s="206" t="str">
        <f>IF(AND($A8&gt;=SYear85,$A8&lt;=EYear85,Z$3&gt;0),Z$3*Data_85_15!Z9,"")</f>
        <v/>
      </c>
      <c r="AA8" s="206" t="str">
        <f>IF(AND($A8&gt;=SYear85,$A8&lt;=EYear85,AA$3&gt;0),AA$3*Data_85_15!AA9,"")</f>
        <v/>
      </c>
      <c r="AB8" s="206" t="str">
        <f>IF(AND($A8&gt;=SYear85,$A8&lt;=EYear85,AB$3&gt;0),AB$3*Data_85_15!AB9,"")</f>
        <v/>
      </c>
      <c r="AC8" s="206" t="str">
        <f>IF(AND($A8&gt;=SYear85,$A8&lt;=EYear85,AC$3&gt;0),AC$3*Data_85_15!AC9,"")</f>
        <v/>
      </c>
      <c r="AD8" s="206" t="str">
        <f>IF(AND($A8&gt;=SYear85,$A8&lt;=EYear85,AD$3&gt;0),AD$3*Data_85_15!AD9,"")</f>
        <v/>
      </c>
      <c r="AE8" s="206" t="str">
        <f>IF(AND($A8&gt;=SYear85,$A8&lt;=EYear85,AE$3&gt;0),AE$3*Data_85_15!AE9,"")</f>
        <v/>
      </c>
      <c r="AF8" s="206" t="str">
        <f>IF(AND($A8&gt;=SYear85,$A8&lt;=EYear85,AF$3&gt;0),AF$3*Data_85_15!AF9,"")</f>
        <v/>
      </c>
      <c r="AG8" s="206" t="str">
        <f>IF(AND($A8&gt;=SYear85,$A8&lt;=EYear85,AG$3&gt;0),AG$3*Data_85_15!AG9,"")</f>
        <v/>
      </c>
      <c r="AH8" s="206" t="str">
        <f>IF(AND($A8&gt;=SYear85,$A8&lt;=EYear85,AH$3&gt;0),AH$3*Data_85_15!AH9,"")</f>
        <v/>
      </c>
      <c r="AI8" s="206" t="str">
        <f>IF(AND($A8&gt;=SYear85,$A8&lt;=EYear85,AI$3&gt;0),AI$3*Data_85_15!AI9,"")</f>
        <v/>
      </c>
      <c r="AJ8" s="206" t="str">
        <f>IF(AND($A8&gt;=SYear85,$A8&lt;=EYear85,AJ$3&gt;0),AJ$3*Data_85_15!AJ9,"")</f>
        <v/>
      </c>
      <c r="AK8" s="206" t="str">
        <f>IF(AND($A8&gt;=SYear85,$A8&lt;=EYear85,AK$3&gt;0),AK$3*Data_85_15!AK9,"")</f>
        <v/>
      </c>
      <c r="AL8" s="206" t="str">
        <f>IF(AND($A8&gt;=SYear85,$A8&lt;=EYear85,AL$3&gt;0),AL$3*Data_85_15!AL9,"")</f>
        <v/>
      </c>
      <c r="AM8" s="206" t="str">
        <f>IF(AND($A8&gt;=SYear85,$A8&lt;=EYear85,AM$3&gt;0),AM$3*Data_85_15!AM9,"")</f>
        <v/>
      </c>
      <c r="AN8" s="206" t="str">
        <f>IF(AND($A8&gt;=SYear85,$A8&lt;=EYear85,AN$3&gt;0),AN$3*Data_85_15!AN9,"")</f>
        <v/>
      </c>
      <c r="AO8" s="206">
        <f>IF(AND($A8&gt;=SYear85,$A8&lt;=EYear85,AO$3&gt;0),AO$3*Data_85_15!AO9,"")</f>
        <v>5.2060781525559063</v>
      </c>
      <c r="AP8" s="206" t="str">
        <f>IF(AND($A8&gt;=SYear85,$A8&lt;=EYear85,AP$3&gt;0),AP$3*Data_85_15!AP9,"")</f>
        <v/>
      </c>
      <c r="AQ8" s="206" t="str">
        <f>IF(AND($A8&gt;=SYear85,$A8&lt;=EYear85,AQ$3&gt;0),AQ$3*Data_85_15!AQ9,"")</f>
        <v/>
      </c>
      <c r="AR8" s="206" t="str">
        <f>IF(AND($A8&gt;=SYear85,$A8&lt;=EYear85,AR$3&gt;0),AR$3*Data_85_15!AR9,"")</f>
        <v/>
      </c>
      <c r="AS8" s="206" t="str">
        <f>IF(AND($A8&gt;=SYear85,$A8&lt;=EYear85,AS$3&gt;0),AS$3*Data_85_15!AS9,"")</f>
        <v/>
      </c>
      <c r="AT8" s="206" t="str">
        <f>IF(AND($A8&gt;=SYear85,$A8&lt;=EYear85,AT$3&gt;0),AT$3*Data_85_15!AT9,"")</f>
        <v/>
      </c>
      <c r="AU8" s="206" t="str">
        <f>IF(AND($A8&gt;=SYear85,$A8&lt;=EYear85,AU$3&gt;0),AU$3*Data_85_15!AU9,"")</f>
        <v/>
      </c>
      <c r="AV8" s="206" t="str">
        <f>IF(AND($A8&gt;=SYear85,$A8&lt;=EYear85,AV$3&gt;0),AV$3*Data_85_15!AV9,"")</f>
        <v/>
      </c>
      <c r="AW8" s="206" t="str">
        <f>IF(AND($A8&gt;=SYear85,$A8&lt;=EYear85,AW$3&gt;0),AW$3*Data_85_15!AW9,"")</f>
        <v/>
      </c>
      <c r="AX8" s="206" t="str">
        <f>IF(AND($A8&gt;=SYear85,$A8&lt;=EYear85,AX$3&gt;0),AX$3*Data_85_15!AX9,"")</f>
        <v/>
      </c>
      <c r="AY8" s="206" t="str">
        <f>IF(AND($A8&gt;=SYear85,$A8&lt;=EYear85,AY$3&gt;0),AY$3*Data_85_15!AY9,"")</f>
        <v/>
      </c>
      <c r="AZ8" s="206">
        <f t="shared" si="2"/>
        <v>21.24016532093092</v>
      </c>
      <c r="BA8" s="446">
        <f t="shared" ref="BA8:BA27" si="16">IF(AND($A8&gt;=SYear85,$A8&lt;=EYear85),IF($A8=SYear85,$BA$4*(1+AZ8%),$BA7*(1+AZ8%)),"")</f>
        <v>14439.001457695165</v>
      </c>
      <c r="BB8" s="206">
        <f>IF(AND($A8&gt;=SYear85,$A8&lt;=EYear85),(AZ8-Data_85_15!AZ9)/(1+Data_85_15!AZ9%),"")</f>
        <v>19.923530041427608</v>
      </c>
      <c r="BC8" s="606">
        <f t="shared" ref="BC8:BC27" si="17">IF(AND($A8&gt;=SYear85,$A8&lt;=EYear85),IF($A8=SYear85,$BC$4*(1+BB8%),$BC7*(1+BB8%)),"")</f>
        <v>13759.519036156571</v>
      </c>
      <c r="BD8" s="143">
        <f t="shared" si="3"/>
        <v>1.2124016532093091</v>
      </c>
      <c r="BE8" s="143">
        <f>IF(AND($A8&gt;=SYear85,$A8&lt;=EYear85),MAX($BD$7:BD8),"")</f>
        <v>1.2124016532093091</v>
      </c>
      <c r="BF8" s="209">
        <f t="shared" si="4"/>
        <v>0</v>
      </c>
      <c r="BI8" s="143">
        <f>IF(AND($A8&gt;=SYear85,$A8&lt;=EYear85),Data_85_15!$V9,"")</f>
        <v>6</v>
      </c>
      <c r="BJ8" s="143">
        <f>IF(AND($A8&gt;=SYear85,$A8&lt;=EYear85),Data_85_15!$AZ9,"")</f>
        <v>1.0978956999085021</v>
      </c>
      <c r="BK8" s="143">
        <f t="shared" si="5"/>
        <v>4.8488687782805497</v>
      </c>
      <c r="BN8" s="61">
        <f t="shared" si="6"/>
        <v>0.21240165320930915</v>
      </c>
      <c r="BO8" s="61">
        <f t="shared" si="7"/>
        <v>0.11765889804607021</v>
      </c>
      <c r="BP8" s="61">
        <f t="shared" si="8"/>
        <v>9.1859878867671663E-2</v>
      </c>
      <c r="BQ8" s="61">
        <f t="shared" si="9"/>
        <v>9.6758684495235281E-2</v>
      </c>
      <c r="BR8" s="61">
        <f t="shared" si="10"/>
        <v>8.4378973132825275E-2</v>
      </c>
      <c r="BU8" s="61">
        <f t="shared" si="11"/>
        <v>0.19923530041427595</v>
      </c>
      <c r="BV8" s="61">
        <f t="shared" si="12"/>
        <v>8.1899661814606617E-2</v>
      </c>
      <c r="BW8" s="61">
        <f t="shared" si="13"/>
        <v>4.8575527404071339E-2</v>
      </c>
      <c r="BX8" s="61">
        <f t="shared" si="14"/>
        <v>6.0137654299511789E-2</v>
      </c>
      <c r="BY8" s="61">
        <f t="shared" si="15"/>
        <v>5.1281806635156135E-2</v>
      </c>
    </row>
    <row r="9" spans="1:77">
      <c r="A9" s="204">
        <f t="shared" ref="A9:A27" si="18">A8+1</f>
        <v>1987</v>
      </c>
      <c r="B9" s="206" t="str">
        <f>IF(AND($A9&gt;=SYear85,$A9&lt;=EYear85,B$3&gt;0),B$3*Data_85_15!B10,"")</f>
        <v/>
      </c>
      <c r="C9" s="206" t="str">
        <f>IF(AND($A9&gt;=SYear85,$A9&lt;=EYear85,C$3&gt;0),C$3*Data_85_15!C10,"")</f>
        <v/>
      </c>
      <c r="D9" s="206" t="str">
        <f>IF(AND($A9&gt;=SYear85,$A9&lt;=EYear85,D$3&gt;0),D$3*Data_85_15!D10,"")</f>
        <v/>
      </c>
      <c r="E9" s="206" t="str">
        <f>IF(AND($A9&gt;=SYear85,$A9&lt;=EYear85,E$3&gt;0),E$3*Data_85_15!E10,"")</f>
        <v/>
      </c>
      <c r="F9" s="206">
        <f>IF(AND($A9&gt;=SYear85,$A9&lt;=EYear85,F$3&gt;0),F$3*Data_85_15!F10,"")</f>
        <v>-7.4827895839568994E-3</v>
      </c>
      <c r="G9" s="206" t="str">
        <f>IF(AND($A9&gt;=SYear85,$A9&lt;=EYear85,G$3&gt;0),G$3*Data_85_15!G10,"")</f>
        <v/>
      </c>
      <c r="H9" s="206" t="str">
        <f>IF(AND($A9&gt;=SYear85,$A9&lt;=EYear85,H$3&gt;0),H$3*Data_85_15!H10,"")</f>
        <v/>
      </c>
      <c r="I9" s="206" t="str">
        <f>IF(AND($A9&gt;=SYear85,$A9&lt;=EYear85,I$3&gt;0),I$3*Data_85_15!I10,"")</f>
        <v/>
      </c>
      <c r="J9" s="206" t="str">
        <f>IF(AND($A9&gt;=SYear85,$A9&lt;=EYear85,J$3&gt;0),J$3*Data_85_15!J10,"")</f>
        <v/>
      </c>
      <c r="K9" s="206" t="str">
        <f>IF(AND($A9&gt;=SYear85,$A9&lt;=EYear85,K$3&gt;0),K$3*Data_85_15!K10,"")</f>
        <v/>
      </c>
      <c r="L9" s="206" t="str">
        <f>IF(AND($A9&gt;=SYear85,$A9&lt;=EYear85,L$3&gt;0),L$3*Data_85_15!L10,"")</f>
        <v/>
      </c>
      <c r="M9" s="206" t="str">
        <f>IF(AND($A9&gt;=SYear85,$A9&lt;=EYear85,M$3&gt;0),M$3*Data_85_15!M10,"")</f>
        <v/>
      </c>
      <c r="N9" s="206" t="str">
        <f>IF(AND($A9&gt;=SYear85,$A9&lt;=EYear85,N$3&gt;0),N$3*Data_85_15!N10,"")</f>
        <v/>
      </c>
      <c r="O9" s="206" t="str">
        <f>IF(AND($A9&gt;=SYear85,$A9&lt;=EYear85,O$3&gt;0),O$3*Data_85_15!O10,"")</f>
        <v/>
      </c>
      <c r="P9" s="206" t="str">
        <f>IF(AND($A9&gt;=SYear85,$A9&lt;=EYear85,P$3&gt;0),P$3*Data_85_15!P10,"")</f>
        <v/>
      </c>
      <c r="Q9" s="206" t="str">
        <f>IF(AND($A9&gt;=SYear85,$A9&lt;=EYear85,Q$3&gt;0),Q$3*Data_85_15!Q10,"")</f>
        <v/>
      </c>
      <c r="R9" s="206" t="str">
        <f>IF(AND($A9&gt;=SYear85,$A9&lt;=EYear85,R$3&gt;0),R$3*Data_85_15!R10,"")</f>
        <v/>
      </c>
      <c r="S9" s="206">
        <f>IF(AND($A9&gt;=SYear85,$A9&lt;=EYear85,S$3&gt;0),S$3*Data_85_15!S10,"")</f>
        <v>-0.78093812375249505</v>
      </c>
      <c r="T9" s="206" t="str">
        <f>IF(AND($A9&gt;=SYear85,$A9&lt;=EYear85,T$3&gt;0),T$3*Data_85_15!T10,"")</f>
        <v/>
      </c>
      <c r="U9" s="206" t="str">
        <f>IF(AND($A9&gt;=SYear85,$A9&lt;=EYear85,U$3&gt;0),U$3*Data_85_15!U10,"")</f>
        <v/>
      </c>
      <c r="V9" s="206" t="str">
        <f>IF(AND($A9&gt;=SYear85,$A9&lt;=EYear85,V$3&gt;0),V$3*Data_85_15!V10,"")</f>
        <v/>
      </c>
      <c r="W9" s="206">
        <f>IF(AND($A9&gt;=SYear85,$A9&lt;=EYear85,W$3&gt;0),W$3*Data_85_15!W10,"")</f>
        <v>2.0459081836327346</v>
      </c>
      <c r="X9" s="206" t="str">
        <f>IF(AND($A9&gt;=SYear85,$A9&lt;=EYear85,X$3&gt;0),X$3*Data_85_15!X10,"")</f>
        <v/>
      </c>
      <c r="Y9" s="206" t="str">
        <f>IF(AND($A9&gt;=SYear85,$A9&lt;=EYear85,Y$3&gt;0),Y$3*Data_85_15!Y10,"")</f>
        <v/>
      </c>
      <c r="Z9" s="206" t="str">
        <f>IF(AND($A9&gt;=SYear85,$A9&lt;=EYear85,Z$3&gt;0),Z$3*Data_85_15!Z10,"")</f>
        <v/>
      </c>
      <c r="AA9" s="206" t="str">
        <f>IF(AND($A9&gt;=SYear85,$A9&lt;=EYear85,AA$3&gt;0),AA$3*Data_85_15!AA10,"")</f>
        <v/>
      </c>
      <c r="AB9" s="206" t="str">
        <f>IF(AND($A9&gt;=SYear85,$A9&lt;=EYear85,AB$3&gt;0),AB$3*Data_85_15!AB10,"")</f>
        <v/>
      </c>
      <c r="AC9" s="206" t="str">
        <f>IF(AND($A9&gt;=SYear85,$A9&lt;=EYear85,AC$3&gt;0),AC$3*Data_85_15!AC10,"")</f>
        <v/>
      </c>
      <c r="AD9" s="206" t="str">
        <f>IF(AND($A9&gt;=SYear85,$A9&lt;=EYear85,AD$3&gt;0),AD$3*Data_85_15!AD10,"")</f>
        <v/>
      </c>
      <c r="AE9" s="206" t="str">
        <f>IF(AND($A9&gt;=SYear85,$A9&lt;=EYear85,AE$3&gt;0),AE$3*Data_85_15!AE10,"")</f>
        <v/>
      </c>
      <c r="AF9" s="206" t="str">
        <f>IF(AND($A9&gt;=SYear85,$A9&lt;=EYear85,AF$3&gt;0),AF$3*Data_85_15!AF10,"")</f>
        <v/>
      </c>
      <c r="AG9" s="206" t="str">
        <f>IF(AND($A9&gt;=SYear85,$A9&lt;=EYear85,AG$3&gt;0),AG$3*Data_85_15!AG10,"")</f>
        <v/>
      </c>
      <c r="AH9" s="206" t="str">
        <f>IF(AND($A9&gt;=SYear85,$A9&lt;=EYear85,AH$3&gt;0),AH$3*Data_85_15!AH10,"")</f>
        <v/>
      </c>
      <c r="AI9" s="206" t="str">
        <f>IF(AND($A9&gt;=SYear85,$A9&lt;=EYear85,AI$3&gt;0),AI$3*Data_85_15!AI10,"")</f>
        <v/>
      </c>
      <c r="AJ9" s="206" t="str">
        <f>IF(AND($A9&gt;=SYear85,$A9&lt;=EYear85,AJ$3&gt;0),AJ$3*Data_85_15!AJ10,"")</f>
        <v/>
      </c>
      <c r="AK9" s="206" t="str">
        <f>IF(AND($A9&gt;=SYear85,$A9&lt;=EYear85,AK$3&gt;0),AK$3*Data_85_15!AK10,"")</f>
        <v/>
      </c>
      <c r="AL9" s="206" t="str">
        <f>IF(AND($A9&gt;=SYear85,$A9&lt;=EYear85,AL$3&gt;0),AL$3*Data_85_15!AL10,"")</f>
        <v/>
      </c>
      <c r="AM9" s="206" t="str">
        <f>IF(AND($A9&gt;=SYear85,$A9&lt;=EYear85,AM$3&gt;0),AM$3*Data_85_15!AM10,"")</f>
        <v/>
      </c>
      <c r="AN9" s="206" t="str">
        <f>IF(AND($A9&gt;=SYear85,$A9&lt;=EYear85,AN$3&gt;0),AN$3*Data_85_15!AN10,"")</f>
        <v/>
      </c>
      <c r="AO9" s="206">
        <f>IF(AND($A9&gt;=SYear85,$A9&lt;=EYear85,AO$3&gt;0),AO$3*Data_85_15!AO10,"")</f>
        <v>5.4301185684646383</v>
      </c>
      <c r="AP9" s="206" t="str">
        <f>IF(AND($A9&gt;=SYear85,$A9&lt;=EYear85,AP$3&gt;0),AP$3*Data_85_15!AP10,"")</f>
        <v/>
      </c>
      <c r="AQ9" s="206" t="str">
        <f>IF(AND($A9&gt;=SYear85,$A9&lt;=EYear85,AQ$3&gt;0),AQ$3*Data_85_15!AQ10,"")</f>
        <v/>
      </c>
      <c r="AR9" s="206" t="str">
        <f>IF(AND($A9&gt;=SYear85,$A9&lt;=EYear85,AR$3&gt;0),AR$3*Data_85_15!AR10,"")</f>
        <v/>
      </c>
      <c r="AS9" s="206" t="str">
        <f>IF(AND($A9&gt;=SYear85,$A9&lt;=EYear85,AS$3&gt;0),AS$3*Data_85_15!AS10,"")</f>
        <v/>
      </c>
      <c r="AT9" s="206" t="str">
        <f>IF(AND($A9&gt;=SYear85,$A9&lt;=EYear85,AT$3&gt;0),AT$3*Data_85_15!AT10,"")</f>
        <v/>
      </c>
      <c r="AU9" s="206" t="str">
        <f>IF(AND($A9&gt;=SYear85,$A9&lt;=EYear85,AU$3&gt;0),AU$3*Data_85_15!AU10,"")</f>
        <v/>
      </c>
      <c r="AV9" s="206" t="str">
        <f>IF(AND($A9&gt;=SYear85,$A9&lt;=EYear85,AV$3&gt;0),AV$3*Data_85_15!AV10,"")</f>
        <v/>
      </c>
      <c r="AW9" s="206" t="str">
        <f>IF(AND($A9&gt;=SYear85,$A9&lt;=EYear85,AW$3&gt;0),AW$3*Data_85_15!AW10,"")</f>
        <v/>
      </c>
      <c r="AX9" s="206" t="str">
        <f>IF(AND($A9&gt;=SYear85,$A9&lt;=EYear85,AX$3&gt;0),AX$3*Data_85_15!AX10,"")</f>
        <v/>
      </c>
      <c r="AY9" s="206" t="str">
        <f>IF(AND($A9&gt;=SYear85,$A9&lt;=EYear85,AY$3&gt;0),AY$3*Data_85_15!AY10,"")</f>
        <v/>
      </c>
      <c r="AZ9" s="206">
        <f t="shared" si="2"/>
        <v>6.6876058387609207</v>
      </c>
      <c r="BA9" s="446">
        <f t="shared" si="16"/>
        <v>15404.62496223876</v>
      </c>
      <c r="BB9" s="206">
        <f>IF(AND($A9&gt;=SYear85,$A9&lt;=EYear85),(AZ9-Data_85_15!AZ10)/(1+Data_85_15!AZ10%),"")</f>
        <v>2.1575428525396969</v>
      </c>
      <c r="BC9" s="606">
        <f t="shared" si="17"/>
        <v>14056.386555665007</v>
      </c>
      <c r="BD9" s="143">
        <f t="shared" si="3"/>
        <v>1.2934822969585686</v>
      </c>
      <c r="BE9" s="143">
        <f>IF(AND($A9&gt;=SYear85,$A9&lt;=EYear85),MAX($BD$7:BD9),"")</f>
        <v>1.2934822969585686</v>
      </c>
      <c r="BF9" s="209">
        <f t="shared" si="4"/>
        <v>0</v>
      </c>
      <c r="BI9" s="143">
        <f>IF(AND($A9&gt;=SYear85,$A9&lt;=EYear85),Data_85_15!$V10,"")</f>
        <v>6.12</v>
      </c>
      <c r="BJ9" s="143">
        <f>IF(AND($A9&gt;=SYear85,$A9&lt;=EYear85),Data_85_15!$AZ10,"")</f>
        <v>4.4343891402714997</v>
      </c>
      <c r="BK9" s="143">
        <f t="shared" si="5"/>
        <v>1.6140381282495606</v>
      </c>
      <c r="BN9" s="61">
        <f t="shared" si="6"/>
        <v>6.6876058387609127E-2</v>
      </c>
      <c r="BO9" s="61">
        <f t="shared" si="7"/>
        <v>8.7377961299538898E-2</v>
      </c>
      <c r="BP9" s="61">
        <f t="shared" si="8"/>
        <v>8.2181994716716833E-2</v>
      </c>
      <c r="BQ9" s="61">
        <f t="shared" si="9"/>
        <v>8.0169121750604644E-2</v>
      </c>
      <c r="BR9" s="61">
        <f t="shared" si="10"/>
        <v>7.259375509014343E-2</v>
      </c>
      <c r="BU9" s="61">
        <f t="shared" si="11"/>
        <v>2.1575428525397067E-2</v>
      </c>
      <c r="BV9" s="61">
        <f t="shared" si="12"/>
        <v>4.0549928549570069E-2</v>
      </c>
      <c r="BW9" s="61">
        <f t="shared" si="13"/>
        <v>3.5284963269974323E-2</v>
      </c>
      <c r="BX9" s="61">
        <f t="shared" si="14"/>
        <v>4.1831939928171247E-2</v>
      </c>
      <c r="BY9" s="61">
        <f t="shared" si="15"/>
        <v>3.9545842744995285E-2</v>
      </c>
    </row>
    <row r="10" spans="1:77">
      <c r="A10" s="204">
        <f t="shared" si="18"/>
        <v>1988</v>
      </c>
      <c r="B10" s="206" t="str">
        <f>IF(AND($A10&gt;=SYear85,$A10&lt;=EYear85,B$3&gt;0),B$3*Data_85_15!B11,"")</f>
        <v/>
      </c>
      <c r="C10" s="206" t="str">
        <f>IF(AND($A10&gt;=SYear85,$A10&lt;=EYear85,C$3&gt;0),C$3*Data_85_15!C11,"")</f>
        <v/>
      </c>
      <c r="D10" s="206" t="str">
        <f>IF(AND($A10&gt;=SYear85,$A10&lt;=EYear85,D$3&gt;0),D$3*Data_85_15!D11,"")</f>
        <v/>
      </c>
      <c r="E10" s="206" t="str">
        <f>IF(AND($A10&gt;=SYear85,$A10&lt;=EYear85,E$3&gt;0),E$3*Data_85_15!E11,"")</f>
        <v/>
      </c>
      <c r="F10" s="206">
        <f>IF(AND($A10&gt;=SYear85,$A10&lt;=EYear85,F$3&gt;0),F$3*Data_85_15!F11,"")</f>
        <v>4.881273071934551</v>
      </c>
      <c r="G10" s="206" t="str">
        <f>IF(AND($A10&gt;=SYear85,$A10&lt;=EYear85,G$3&gt;0),G$3*Data_85_15!G11,"")</f>
        <v/>
      </c>
      <c r="H10" s="206" t="str">
        <f>IF(AND($A10&gt;=SYear85,$A10&lt;=EYear85,H$3&gt;0),H$3*Data_85_15!H11,"")</f>
        <v/>
      </c>
      <c r="I10" s="206" t="str">
        <f>IF(AND($A10&gt;=SYear85,$A10&lt;=EYear85,I$3&gt;0),I$3*Data_85_15!I11,"")</f>
        <v/>
      </c>
      <c r="J10" s="206" t="str">
        <f>IF(AND($A10&gt;=SYear85,$A10&lt;=EYear85,J$3&gt;0),J$3*Data_85_15!J11,"")</f>
        <v/>
      </c>
      <c r="K10" s="206" t="str">
        <f>IF(AND($A10&gt;=SYear85,$A10&lt;=EYear85,K$3&gt;0),K$3*Data_85_15!K11,"")</f>
        <v/>
      </c>
      <c r="L10" s="206" t="str">
        <f>IF(AND($A10&gt;=SYear85,$A10&lt;=EYear85,L$3&gt;0),L$3*Data_85_15!L11,"")</f>
        <v/>
      </c>
      <c r="M10" s="206" t="str">
        <f>IF(AND($A10&gt;=SYear85,$A10&lt;=EYear85,M$3&gt;0),M$3*Data_85_15!M11,"")</f>
        <v/>
      </c>
      <c r="N10" s="206" t="str">
        <f>IF(AND($A10&gt;=SYear85,$A10&lt;=EYear85,N$3&gt;0),N$3*Data_85_15!N11,"")</f>
        <v/>
      </c>
      <c r="O10" s="206" t="str">
        <f>IF(AND($A10&gt;=SYear85,$A10&lt;=EYear85,O$3&gt;0),O$3*Data_85_15!O11,"")</f>
        <v/>
      </c>
      <c r="P10" s="206" t="str">
        <f>IF(AND($A10&gt;=SYear85,$A10&lt;=EYear85,P$3&gt;0),P$3*Data_85_15!P11,"")</f>
        <v/>
      </c>
      <c r="Q10" s="206" t="str">
        <f>IF(AND($A10&gt;=SYear85,$A10&lt;=EYear85,Q$3&gt;0),Q$3*Data_85_15!Q11,"")</f>
        <v/>
      </c>
      <c r="R10" s="206" t="str">
        <f>IF(AND($A10&gt;=SYear85,$A10&lt;=EYear85,R$3&gt;0),R$3*Data_85_15!R11,"")</f>
        <v/>
      </c>
      <c r="S10" s="206">
        <f>IF(AND($A10&gt;=SYear85,$A10&lt;=EYear85,S$3&gt;0),S$3*Data_85_15!S11,"")</f>
        <v>2.2875000000000001</v>
      </c>
      <c r="T10" s="206" t="str">
        <f>IF(AND($A10&gt;=SYear85,$A10&lt;=EYear85,T$3&gt;0),T$3*Data_85_15!T11,"")</f>
        <v/>
      </c>
      <c r="U10" s="206" t="str">
        <f>IF(AND($A10&gt;=SYear85,$A10&lt;=EYear85,U$3&gt;0),U$3*Data_85_15!U11,"")</f>
        <v/>
      </c>
      <c r="V10" s="206" t="str">
        <f>IF(AND($A10&gt;=SYear85,$A10&lt;=EYear85,V$3&gt;0),V$3*Data_85_15!V11,"")</f>
        <v/>
      </c>
      <c r="W10" s="206">
        <f>IF(AND($A10&gt;=SYear85,$A10&lt;=EYear85,W$3&gt;0),W$3*Data_85_15!W11,"")</f>
        <v>4.6656686626746504</v>
      </c>
      <c r="X10" s="206" t="str">
        <f>IF(AND($A10&gt;=SYear85,$A10&lt;=EYear85,X$3&gt;0),X$3*Data_85_15!X11,"")</f>
        <v/>
      </c>
      <c r="Y10" s="206" t="str">
        <f>IF(AND($A10&gt;=SYear85,$A10&lt;=EYear85,Y$3&gt;0),Y$3*Data_85_15!Y11,"")</f>
        <v/>
      </c>
      <c r="Z10" s="206" t="str">
        <f>IF(AND($A10&gt;=SYear85,$A10&lt;=EYear85,Z$3&gt;0),Z$3*Data_85_15!Z11,"")</f>
        <v/>
      </c>
      <c r="AA10" s="206" t="str">
        <f>IF(AND($A10&gt;=SYear85,$A10&lt;=EYear85,AA$3&gt;0),AA$3*Data_85_15!AA11,"")</f>
        <v/>
      </c>
      <c r="AB10" s="206" t="str">
        <f>IF(AND($A10&gt;=SYear85,$A10&lt;=EYear85,AB$3&gt;0),AB$3*Data_85_15!AB11,"")</f>
        <v/>
      </c>
      <c r="AC10" s="206" t="str">
        <f>IF(AND($A10&gt;=SYear85,$A10&lt;=EYear85,AC$3&gt;0),AC$3*Data_85_15!AC11,"")</f>
        <v/>
      </c>
      <c r="AD10" s="206" t="str">
        <f>IF(AND($A10&gt;=SYear85,$A10&lt;=EYear85,AD$3&gt;0),AD$3*Data_85_15!AD11,"")</f>
        <v/>
      </c>
      <c r="AE10" s="206" t="str">
        <f>IF(AND($A10&gt;=SYear85,$A10&lt;=EYear85,AE$3&gt;0),AE$3*Data_85_15!AE11,"")</f>
        <v/>
      </c>
      <c r="AF10" s="206" t="str">
        <f>IF(AND($A10&gt;=SYear85,$A10&lt;=EYear85,AF$3&gt;0),AF$3*Data_85_15!AF11,"")</f>
        <v/>
      </c>
      <c r="AG10" s="206" t="str">
        <f>IF(AND($A10&gt;=SYear85,$A10&lt;=EYear85,AG$3&gt;0),AG$3*Data_85_15!AG11,"")</f>
        <v/>
      </c>
      <c r="AH10" s="206" t="str">
        <f>IF(AND($A10&gt;=SYear85,$A10&lt;=EYear85,AH$3&gt;0),AH$3*Data_85_15!AH11,"")</f>
        <v/>
      </c>
      <c r="AI10" s="206" t="str">
        <f>IF(AND($A10&gt;=SYear85,$A10&lt;=EYear85,AI$3&gt;0),AI$3*Data_85_15!AI11,"")</f>
        <v/>
      </c>
      <c r="AJ10" s="206" t="str">
        <f>IF(AND($A10&gt;=SYear85,$A10&lt;=EYear85,AJ$3&gt;0),AJ$3*Data_85_15!AJ11,"")</f>
        <v/>
      </c>
      <c r="AK10" s="206" t="str">
        <f>IF(AND($A10&gt;=SYear85,$A10&lt;=EYear85,AK$3&gt;0),AK$3*Data_85_15!AK11,"")</f>
        <v/>
      </c>
      <c r="AL10" s="206" t="str">
        <f>IF(AND($A10&gt;=SYear85,$A10&lt;=EYear85,AL$3&gt;0),AL$3*Data_85_15!AL11,"")</f>
        <v/>
      </c>
      <c r="AM10" s="206" t="str">
        <f>IF(AND($A10&gt;=SYear85,$A10&lt;=EYear85,AM$3&gt;0),AM$3*Data_85_15!AM11,"")</f>
        <v/>
      </c>
      <c r="AN10" s="206" t="str">
        <f>IF(AND($A10&gt;=SYear85,$A10&lt;=EYear85,AN$3&gt;0),AN$3*Data_85_15!AN11,"")</f>
        <v/>
      </c>
      <c r="AO10" s="206">
        <f>IF(AND($A10&gt;=SYear85,$A10&lt;=EYear85,AO$3&gt;0),AO$3*Data_85_15!AO11,"")</f>
        <v>-3.898185403397771</v>
      </c>
      <c r="AP10" s="206" t="str">
        <f>IF(AND($A10&gt;=SYear85,$A10&lt;=EYear85,AP$3&gt;0),AP$3*Data_85_15!AP11,"")</f>
        <v/>
      </c>
      <c r="AQ10" s="206" t="str">
        <f>IF(AND($A10&gt;=SYear85,$A10&lt;=EYear85,AQ$3&gt;0),AQ$3*Data_85_15!AQ11,"")</f>
        <v/>
      </c>
      <c r="AR10" s="206" t="str">
        <f>IF(AND($A10&gt;=SYear85,$A10&lt;=EYear85,AR$3&gt;0),AR$3*Data_85_15!AR11,"")</f>
        <v/>
      </c>
      <c r="AS10" s="206" t="str">
        <f>IF(AND($A10&gt;=SYear85,$A10&lt;=EYear85,AS$3&gt;0),AS$3*Data_85_15!AS11,"")</f>
        <v/>
      </c>
      <c r="AT10" s="206" t="str">
        <f>IF(AND($A10&gt;=SYear85,$A10&lt;=EYear85,AT$3&gt;0),AT$3*Data_85_15!AT11,"")</f>
        <v/>
      </c>
      <c r="AU10" s="206" t="str">
        <f>IF(AND($A10&gt;=SYear85,$A10&lt;=EYear85,AU$3&gt;0),AU$3*Data_85_15!AU11,"")</f>
        <v/>
      </c>
      <c r="AV10" s="206" t="str">
        <f>IF(AND($A10&gt;=SYear85,$A10&lt;=EYear85,AV$3&gt;0),AV$3*Data_85_15!AV11,"")</f>
        <v/>
      </c>
      <c r="AW10" s="206" t="str">
        <f>IF(AND($A10&gt;=SYear85,$A10&lt;=EYear85,AW$3&gt;0),AW$3*Data_85_15!AW11,"")</f>
        <v/>
      </c>
      <c r="AX10" s="206" t="str">
        <f>IF(AND($A10&gt;=SYear85,$A10&lt;=EYear85,AX$3&gt;0),AX$3*Data_85_15!AX11,"")</f>
        <v/>
      </c>
      <c r="AY10" s="206" t="str">
        <f>IF(AND($A10&gt;=SYear85,$A10&lt;=EYear85,AY$3&gt;0),AY$3*Data_85_15!AY11,"")</f>
        <v/>
      </c>
      <c r="AZ10" s="206">
        <f t="shared" si="2"/>
        <v>7.9362563312114291</v>
      </c>
      <c r="BA10" s="446">
        <f t="shared" si="16"/>
        <v>16627.17548610381</v>
      </c>
      <c r="BB10" s="206">
        <f>IF(AND($A10&gt;=SYear85,$A10&lt;=EYear85),(AZ10-Data_85_15!AZ11)/(1+Data_85_15!AZ11%),"")</f>
        <v>3.3679998391850683</v>
      </c>
      <c r="BC10" s="606">
        <f t="shared" si="17"/>
        <v>14529.805632255036</v>
      </c>
      <c r="BD10" s="143">
        <f t="shared" si="3"/>
        <v>1.3961363676440419</v>
      </c>
      <c r="BE10" s="143">
        <f>IF(AND($A10&gt;=SYear85,$A10&lt;=EYear85),MAX($BD$7:BD10),"")</f>
        <v>1.3961363676440419</v>
      </c>
      <c r="BF10" s="209">
        <f t="shared" si="4"/>
        <v>0</v>
      </c>
      <c r="BI10" s="143">
        <f>IF(AND($A10&gt;=SYear85,$A10&lt;=EYear85),Data_85_15!$V11,"")</f>
        <v>7.18</v>
      </c>
      <c r="BJ10" s="143">
        <f>IF(AND($A10&gt;=SYear85,$A10&lt;=EYear85),Data_85_15!$AZ11,"")</f>
        <v>4.4194107452339537</v>
      </c>
      <c r="BK10" s="143">
        <f t="shared" si="5"/>
        <v>2.6437510373444129</v>
      </c>
      <c r="BN10" s="61">
        <f t="shared" si="6"/>
        <v>7.936256331211422E-2</v>
      </c>
      <c r="BO10" s="61">
        <f t="shared" si="7"/>
        <v>6.2571141476447156E-2</v>
      </c>
      <c r="BP10" s="61">
        <f t="shared" si="8"/>
        <v>8.1137709823968063E-2</v>
      </c>
      <c r="BQ10" s="61">
        <f t="shared" si="9"/>
        <v>8.0653267771984893E-2</v>
      </c>
      <c r="BR10" s="61">
        <f t="shared" si="10"/>
        <v>7.5370593768201433E-2</v>
      </c>
      <c r="BU10" s="61">
        <f t="shared" si="11"/>
        <v>3.3679998391850763E-2</v>
      </c>
      <c r="BV10" s="61">
        <f t="shared" si="12"/>
        <v>1.1442616629449232E-2</v>
      </c>
      <c r="BW10" s="61">
        <f t="shared" si="13"/>
        <v>3.7350924600429769E-2</v>
      </c>
      <c r="BX10" s="61">
        <f t="shared" si="14"/>
        <v>4.506551029810435E-2</v>
      </c>
      <c r="BY10" s="61">
        <f t="shared" si="15"/>
        <v>4.3620590839290152E-2</v>
      </c>
    </row>
    <row r="11" spans="1:77">
      <c r="A11" s="204">
        <f t="shared" si="18"/>
        <v>1989</v>
      </c>
      <c r="B11" s="206" t="str">
        <f>IF(AND($A11&gt;=SYear85,$A11&lt;=EYear85,B$3&gt;0),B$3*Data_85_15!B12,"")</f>
        <v/>
      </c>
      <c r="C11" s="206" t="str">
        <f>IF(AND($A11&gt;=SYear85,$A11&lt;=EYear85,C$3&gt;0),C$3*Data_85_15!C12,"")</f>
        <v/>
      </c>
      <c r="D11" s="206" t="str">
        <f>IF(AND($A11&gt;=SYear85,$A11&lt;=EYear85,D$3&gt;0),D$3*Data_85_15!D12,"")</f>
        <v/>
      </c>
      <c r="E11" s="206" t="str">
        <f>IF(AND($A11&gt;=SYear85,$A11&lt;=EYear85,E$3&gt;0),E$3*Data_85_15!E12,"")</f>
        <v/>
      </c>
      <c r="F11" s="206">
        <f>IF(AND($A11&gt;=SYear85,$A11&lt;=EYear85,F$3&gt;0),F$3*Data_85_15!F12,"")</f>
        <v>6.5025441484585453</v>
      </c>
      <c r="G11" s="206" t="str">
        <f>IF(AND($A11&gt;=SYear85,$A11&lt;=EYear85,G$3&gt;0),G$3*Data_85_15!G12,"")</f>
        <v/>
      </c>
      <c r="H11" s="206" t="str">
        <f>IF(AND($A11&gt;=SYear85,$A11&lt;=EYear85,H$3&gt;0),H$3*Data_85_15!H12,"")</f>
        <v/>
      </c>
      <c r="I11" s="206" t="str">
        <f>IF(AND($A11&gt;=SYear85,$A11&lt;=EYear85,I$3&gt;0),I$3*Data_85_15!I12,"")</f>
        <v/>
      </c>
      <c r="J11" s="206" t="str">
        <f>IF(AND($A11&gt;=SYear85,$A11&lt;=EYear85,J$3&gt;0),J$3*Data_85_15!J12,"")</f>
        <v/>
      </c>
      <c r="K11" s="206" t="str">
        <f>IF(AND($A11&gt;=SYear85,$A11&lt;=EYear85,K$3&gt;0),K$3*Data_85_15!K12,"")</f>
        <v/>
      </c>
      <c r="L11" s="206" t="str">
        <f>IF(AND($A11&gt;=SYear85,$A11&lt;=EYear85,L$3&gt;0),L$3*Data_85_15!L12,"")</f>
        <v/>
      </c>
      <c r="M11" s="206" t="str">
        <f>IF(AND($A11&gt;=SYear85,$A11&lt;=EYear85,M$3&gt;0),M$3*Data_85_15!M12,"")</f>
        <v/>
      </c>
      <c r="N11" s="206" t="str">
        <f>IF(AND($A11&gt;=SYear85,$A11&lt;=EYear85,N$3&gt;0),N$3*Data_85_15!N12,"")</f>
        <v/>
      </c>
      <c r="O11" s="206" t="str">
        <f>IF(AND($A11&gt;=SYear85,$A11&lt;=EYear85,O$3&gt;0),O$3*Data_85_15!O12,"")</f>
        <v/>
      </c>
      <c r="P11" s="206" t="str">
        <f>IF(AND($A11&gt;=SYear85,$A11&lt;=EYear85,P$3&gt;0),P$3*Data_85_15!P12,"")</f>
        <v/>
      </c>
      <c r="Q11" s="206" t="str">
        <f>IF(AND($A11&gt;=SYear85,$A11&lt;=EYear85,Q$3&gt;0),Q$3*Data_85_15!Q12,"")</f>
        <v/>
      </c>
      <c r="R11" s="206" t="str">
        <f>IF(AND($A11&gt;=SYear85,$A11&lt;=EYear85,R$3&gt;0),R$3*Data_85_15!R12,"")</f>
        <v/>
      </c>
      <c r="S11" s="206">
        <f>IF(AND($A11&gt;=SYear85,$A11&lt;=EYear85,S$3&gt;0),S$3*Data_85_15!S12,"")</f>
        <v>4.4824999999999999</v>
      </c>
      <c r="T11" s="206" t="str">
        <f>IF(AND($A11&gt;=SYear85,$A11&lt;=EYear85,T$3&gt;0),T$3*Data_85_15!T12,"")</f>
        <v/>
      </c>
      <c r="U11" s="206" t="str">
        <f>IF(AND($A11&gt;=SYear85,$A11&lt;=EYear85,U$3&gt;0),U$3*Data_85_15!U12,"")</f>
        <v/>
      </c>
      <c r="V11" s="206" t="str">
        <f>IF(AND($A11&gt;=SYear85,$A11&lt;=EYear85,V$3&gt;0),V$3*Data_85_15!V12,"")</f>
        <v/>
      </c>
      <c r="W11" s="206">
        <f>IF(AND($A11&gt;=SYear85,$A11&lt;=EYear85,W$3&gt;0),W$3*Data_85_15!W12,"")</f>
        <v>1.4720558882235528</v>
      </c>
      <c r="X11" s="206" t="str">
        <f>IF(AND($A11&gt;=SYear85,$A11&lt;=EYear85,X$3&gt;0),X$3*Data_85_15!X12,"")</f>
        <v/>
      </c>
      <c r="Y11" s="206" t="str">
        <f>IF(AND($A11&gt;=SYear85,$A11&lt;=EYear85,Y$3&gt;0),Y$3*Data_85_15!Y12,"")</f>
        <v/>
      </c>
      <c r="Z11" s="206" t="str">
        <f>IF(AND($A11&gt;=SYear85,$A11&lt;=EYear85,Z$3&gt;0),Z$3*Data_85_15!Z12,"")</f>
        <v/>
      </c>
      <c r="AA11" s="206" t="str">
        <f>IF(AND($A11&gt;=SYear85,$A11&lt;=EYear85,AA$3&gt;0),AA$3*Data_85_15!AA12,"")</f>
        <v/>
      </c>
      <c r="AB11" s="206" t="str">
        <f>IF(AND($A11&gt;=SYear85,$A11&lt;=EYear85,AB$3&gt;0),AB$3*Data_85_15!AB12,"")</f>
        <v/>
      </c>
      <c r="AC11" s="206" t="str">
        <f>IF(AND($A11&gt;=SYear85,$A11&lt;=EYear85,AC$3&gt;0),AC$3*Data_85_15!AC12,"")</f>
        <v/>
      </c>
      <c r="AD11" s="206" t="str">
        <f>IF(AND($A11&gt;=SYear85,$A11&lt;=EYear85,AD$3&gt;0),AD$3*Data_85_15!AD12,"")</f>
        <v/>
      </c>
      <c r="AE11" s="206" t="str">
        <f>IF(AND($A11&gt;=SYear85,$A11&lt;=EYear85,AE$3&gt;0),AE$3*Data_85_15!AE12,"")</f>
        <v/>
      </c>
      <c r="AF11" s="206" t="str">
        <f>IF(AND($A11&gt;=SYear85,$A11&lt;=EYear85,AF$3&gt;0),AF$3*Data_85_15!AF12,"")</f>
        <v/>
      </c>
      <c r="AG11" s="206" t="str">
        <f>IF(AND($A11&gt;=SYear85,$A11&lt;=EYear85,AG$3&gt;0),AG$3*Data_85_15!AG12,"")</f>
        <v/>
      </c>
      <c r="AH11" s="206" t="str">
        <f>IF(AND($A11&gt;=SYear85,$A11&lt;=EYear85,AH$3&gt;0),AH$3*Data_85_15!AH12,"")</f>
        <v/>
      </c>
      <c r="AI11" s="206" t="str">
        <f>IF(AND($A11&gt;=SYear85,$A11&lt;=EYear85,AI$3&gt;0),AI$3*Data_85_15!AI12,"")</f>
        <v/>
      </c>
      <c r="AJ11" s="206" t="str">
        <f>IF(AND($A11&gt;=SYear85,$A11&lt;=EYear85,AJ$3&gt;0),AJ$3*Data_85_15!AJ12,"")</f>
        <v/>
      </c>
      <c r="AK11" s="206" t="str">
        <f>IF(AND($A11&gt;=SYear85,$A11&lt;=EYear85,AK$3&gt;0),AK$3*Data_85_15!AK12,"")</f>
        <v/>
      </c>
      <c r="AL11" s="206" t="str">
        <f>IF(AND($A11&gt;=SYear85,$A11&lt;=EYear85,AL$3&gt;0),AL$3*Data_85_15!AL12,"")</f>
        <v/>
      </c>
      <c r="AM11" s="206" t="str">
        <f>IF(AND($A11&gt;=SYear85,$A11&lt;=EYear85,AM$3&gt;0),AM$3*Data_85_15!AM12,"")</f>
        <v/>
      </c>
      <c r="AN11" s="206" t="str">
        <f>IF(AND($A11&gt;=SYear85,$A11&lt;=EYear85,AN$3&gt;0),AN$3*Data_85_15!AN12,"")</f>
        <v/>
      </c>
      <c r="AO11" s="206">
        <f>IF(AND($A11&gt;=SYear85,$A11&lt;=EYear85,AO$3&gt;0),AO$3*Data_85_15!AO12,"")</f>
        <v>-0.80670614313009859</v>
      </c>
      <c r="AP11" s="206" t="str">
        <f>IF(AND($A11&gt;=SYear85,$A11&lt;=EYear85,AP$3&gt;0),AP$3*Data_85_15!AP12,"")</f>
        <v/>
      </c>
      <c r="AQ11" s="206" t="str">
        <f>IF(AND($A11&gt;=SYear85,$A11&lt;=EYear85,AQ$3&gt;0),AQ$3*Data_85_15!AQ12,"")</f>
        <v/>
      </c>
      <c r="AR11" s="206" t="str">
        <f>IF(AND($A11&gt;=SYear85,$A11&lt;=EYear85,AR$3&gt;0),AR$3*Data_85_15!AR12,"")</f>
        <v/>
      </c>
      <c r="AS11" s="206" t="str">
        <f>IF(AND($A11&gt;=SYear85,$A11&lt;=EYear85,AS$3&gt;0),AS$3*Data_85_15!AS12,"")</f>
        <v/>
      </c>
      <c r="AT11" s="206" t="str">
        <f>IF(AND($A11&gt;=SYear85,$A11&lt;=EYear85,AT$3&gt;0),AT$3*Data_85_15!AT12,"")</f>
        <v/>
      </c>
      <c r="AU11" s="206" t="str">
        <f>IF(AND($A11&gt;=SYear85,$A11&lt;=EYear85,AU$3&gt;0),AU$3*Data_85_15!AU12,"")</f>
        <v/>
      </c>
      <c r="AV11" s="206" t="str">
        <f>IF(AND($A11&gt;=SYear85,$A11&lt;=EYear85,AV$3&gt;0),AV$3*Data_85_15!AV12,"")</f>
        <v/>
      </c>
      <c r="AW11" s="206" t="str">
        <f>IF(AND($A11&gt;=SYear85,$A11&lt;=EYear85,AW$3&gt;0),AW$3*Data_85_15!AW12,"")</f>
        <v/>
      </c>
      <c r="AX11" s="206" t="str">
        <f>IF(AND($A11&gt;=SYear85,$A11&lt;=EYear85,AX$3&gt;0),AX$3*Data_85_15!AX12,"")</f>
        <v/>
      </c>
      <c r="AY11" s="206" t="str">
        <f>IF(AND($A11&gt;=SYear85,$A11&lt;=EYear85,AY$3&gt;0),AY$3*Data_85_15!AY12,"")</f>
        <v/>
      </c>
      <c r="AZ11" s="206">
        <f t="shared" si="2"/>
        <v>11.650393893552</v>
      </c>
      <c r="BA11" s="446">
        <f t="shared" si="16"/>
        <v>18564.306923607022</v>
      </c>
      <c r="BB11" s="206">
        <f>IF(AND($A11&gt;=SYear85,$A11&lt;=EYear85),(AZ11-Data_85_15!AZ12)/(1+Data_85_15!AZ12%),"")</f>
        <v>6.6920893273038482</v>
      </c>
      <c r="BC11" s="606">
        <f t="shared" si="17"/>
        <v>15502.153204249169</v>
      </c>
      <c r="BD11" s="143">
        <f t="shared" si="3"/>
        <v>1.5587917537657021</v>
      </c>
      <c r="BE11" s="143">
        <f>IF(AND($A11&gt;=SYear85,$A11&lt;=EYear85),MAX($BD$7:BD11),"")</f>
        <v>1.5587917537657021</v>
      </c>
      <c r="BF11" s="209">
        <f t="shared" si="4"/>
        <v>0</v>
      </c>
      <c r="BI11" s="143">
        <f>IF(AND($A11&gt;=SYear85,$A11&lt;=EYear85),Data_85_15!$V12,"")</f>
        <v>8.8699999999999992</v>
      </c>
      <c r="BJ11" s="143">
        <f>IF(AND($A11&gt;=SYear85,$A11&lt;=EYear85),Data_85_15!$AZ12,"")</f>
        <v>4.647302904564321</v>
      </c>
      <c r="BK11" s="143">
        <f t="shared" si="5"/>
        <v>4.035170499603483</v>
      </c>
      <c r="BN11" s="61">
        <f t="shared" si="6"/>
        <v>0.11650393893552002</v>
      </c>
      <c r="BO11" s="61">
        <f t="shared" si="7"/>
        <v>8.8278542781608627E-2</v>
      </c>
      <c r="BP11" s="61">
        <f t="shared" si="8"/>
        <v>9.6595866002933128E-2</v>
      </c>
      <c r="BQ11" s="61">
        <f t="shared" si="9"/>
        <v>7.8767546534376454E-2</v>
      </c>
      <c r="BR11" s="61">
        <f t="shared" si="10"/>
        <v>8.0539511548948228E-2</v>
      </c>
      <c r="BU11" s="61">
        <f t="shared" si="11"/>
        <v>6.6920893273038518E-2</v>
      </c>
      <c r="BV11" s="61">
        <f t="shared" si="12"/>
        <v>4.0433498685139124E-2</v>
      </c>
      <c r="BW11" s="61">
        <f t="shared" si="13"/>
        <v>5.5583295445368774E-2</v>
      </c>
      <c r="BX11" s="61">
        <f t="shared" si="14"/>
        <v>4.6089112510183883E-2</v>
      </c>
      <c r="BY11" s="61">
        <f t="shared" si="15"/>
        <v>5.0359818778945797E-2</v>
      </c>
    </row>
    <row r="12" spans="1:77">
      <c r="A12" s="204">
        <f t="shared" si="18"/>
        <v>1990</v>
      </c>
      <c r="B12" s="206" t="str">
        <f>IF(AND($A12&gt;=SYear85,$A12&lt;=EYear85,B$3&gt;0),B$3*Data_85_15!B13,"")</f>
        <v/>
      </c>
      <c r="C12" s="206" t="str">
        <f>IF(AND($A12&gt;=SYear85,$A12&lt;=EYear85,C$3&gt;0),C$3*Data_85_15!C13,"")</f>
        <v/>
      </c>
      <c r="D12" s="206" t="str">
        <f>IF(AND($A12&gt;=SYear85,$A12&lt;=EYear85,D$3&gt;0),D$3*Data_85_15!D13,"")</f>
        <v/>
      </c>
      <c r="E12" s="206" t="str">
        <f>IF(AND($A12&gt;=SYear85,$A12&lt;=EYear85,E$3&gt;0),E$3*Data_85_15!E13,"")</f>
        <v/>
      </c>
      <c r="F12" s="206">
        <f>IF(AND($A12&gt;=SYear85,$A12&lt;=EYear85,F$3&gt;0),F$3*Data_85_15!F13,"")</f>
        <v>-2.9257707273271478</v>
      </c>
      <c r="G12" s="206" t="str">
        <f>IF(AND($A12&gt;=SYear85,$A12&lt;=EYear85,G$3&gt;0),G$3*Data_85_15!G13,"")</f>
        <v/>
      </c>
      <c r="H12" s="206" t="str">
        <f>IF(AND($A12&gt;=SYear85,$A12&lt;=EYear85,H$3&gt;0),H$3*Data_85_15!H13,"")</f>
        <v/>
      </c>
      <c r="I12" s="206" t="str">
        <f>IF(AND($A12&gt;=SYear85,$A12&lt;=EYear85,I$3&gt;0),I$3*Data_85_15!I13,"")</f>
        <v/>
      </c>
      <c r="J12" s="206" t="str">
        <f>IF(AND($A12&gt;=SYear85,$A12&lt;=EYear85,J$3&gt;0),J$3*Data_85_15!J13,"")</f>
        <v/>
      </c>
      <c r="K12" s="206" t="str">
        <f>IF(AND($A12&gt;=SYear85,$A12&lt;=EYear85,K$3&gt;0),K$3*Data_85_15!K13,"")</f>
        <v/>
      </c>
      <c r="L12" s="206" t="str">
        <f>IF(AND($A12&gt;=SYear85,$A12&lt;=EYear85,L$3&gt;0),L$3*Data_85_15!L13,"")</f>
        <v/>
      </c>
      <c r="M12" s="206" t="str">
        <f>IF(AND($A12&gt;=SYear85,$A12&lt;=EYear85,M$3&gt;0),M$3*Data_85_15!M13,"")</f>
        <v/>
      </c>
      <c r="N12" s="206" t="str">
        <f>IF(AND($A12&gt;=SYear85,$A12&lt;=EYear85,N$3&gt;0),N$3*Data_85_15!N13,"")</f>
        <v/>
      </c>
      <c r="O12" s="206" t="str">
        <f>IF(AND($A12&gt;=SYear85,$A12&lt;=EYear85,O$3&gt;0),O$3*Data_85_15!O13,"")</f>
        <v/>
      </c>
      <c r="P12" s="206" t="str">
        <f>IF(AND($A12&gt;=SYear85,$A12&lt;=EYear85,P$3&gt;0),P$3*Data_85_15!P13,"")</f>
        <v/>
      </c>
      <c r="Q12" s="206" t="str">
        <f>IF(AND($A12&gt;=SYear85,$A12&lt;=EYear85,Q$3&gt;0),Q$3*Data_85_15!Q13,"")</f>
        <v/>
      </c>
      <c r="R12" s="206" t="str">
        <f>IF(AND($A12&gt;=SYear85,$A12&lt;=EYear85,R$3&gt;0),R$3*Data_85_15!R13,"")</f>
        <v/>
      </c>
      <c r="S12" s="206">
        <f>IF(AND($A12&gt;=SYear85,$A12&lt;=EYear85,S$3&gt;0),S$3*Data_85_15!S13,"")</f>
        <v>1.4450000000000001</v>
      </c>
      <c r="T12" s="206" t="str">
        <f>IF(AND($A12&gt;=SYear85,$A12&lt;=EYear85,T$3&gt;0),T$3*Data_85_15!T13,"")</f>
        <v/>
      </c>
      <c r="U12" s="206" t="str">
        <f>IF(AND($A12&gt;=SYear85,$A12&lt;=EYear85,U$3&gt;0),U$3*Data_85_15!U13,"")</f>
        <v/>
      </c>
      <c r="V12" s="206" t="str">
        <f>IF(AND($A12&gt;=SYear85,$A12&lt;=EYear85,V$3&gt;0),V$3*Data_85_15!V13,"")</f>
        <v/>
      </c>
      <c r="W12" s="206">
        <f>IF(AND($A12&gt;=SYear85,$A12&lt;=EYear85,W$3&gt;0),W$3*Data_85_15!W13,"")</f>
        <v>1.4970059880239521</v>
      </c>
      <c r="X12" s="206" t="str">
        <f>IF(AND($A12&gt;=SYear85,$A12&lt;=EYear85,X$3&gt;0),X$3*Data_85_15!X13,"")</f>
        <v/>
      </c>
      <c r="Y12" s="206" t="str">
        <f>IF(AND($A12&gt;=SYear85,$A12&lt;=EYear85,Y$3&gt;0),Y$3*Data_85_15!Y13,"")</f>
        <v/>
      </c>
      <c r="Z12" s="206" t="str">
        <f>IF(AND($A12&gt;=SYear85,$A12&lt;=EYear85,Z$3&gt;0),Z$3*Data_85_15!Z13,"")</f>
        <v/>
      </c>
      <c r="AA12" s="206" t="str">
        <f>IF(AND($A12&gt;=SYear85,$A12&lt;=EYear85,AA$3&gt;0),AA$3*Data_85_15!AA13,"")</f>
        <v/>
      </c>
      <c r="AB12" s="206" t="str">
        <f>IF(AND($A12&gt;=SYear85,$A12&lt;=EYear85,AB$3&gt;0),AB$3*Data_85_15!AB13,"")</f>
        <v/>
      </c>
      <c r="AC12" s="206" t="str">
        <f>IF(AND($A12&gt;=SYear85,$A12&lt;=EYear85,AC$3&gt;0),AC$3*Data_85_15!AC13,"")</f>
        <v/>
      </c>
      <c r="AD12" s="206" t="str">
        <f>IF(AND($A12&gt;=SYear85,$A12&lt;=EYear85,AD$3&gt;0),AD$3*Data_85_15!AD13,"")</f>
        <v/>
      </c>
      <c r="AE12" s="206" t="str">
        <f>IF(AND($A12&gt;=SYear85,$A12&lt;=EYear85,AE$3&gt;0),AE$3*Data_85_15!AE13,"")</f>
        <v/>
      </c>
      <c r="AF12" s="206" t="str">
        <f>IF(AND($A12&gt;=SYear85,$A12&lt;=EYear85,AF$3&gt;0),AF$3*Data_85_15!AF13,"")</f>
        <v/>
      </c>
      <c r="AG12" s="206" t="str">
        <f>IF(AND($A12&gt;=SYear85,$A12&lt;=EYear85,AG$3&gt;0),AG$3*Data_85_15!AG13,"")</f>
        <v/>
      </c>
      <c r="AH12" s="206" t="str">
        <f>IF(AND($A12&gt;=SYear85,$A12&lt;=EYear85,AH$3&gt;0),AH$3*Data_85_15!AH13,"")</f>
        <v/>
      </c>
      <c r="AI12" s="206" t="str">
        <f>IF(AND($A12&gt;=SYear85,$A12&lt;=EYear85,AI$3&gt;0),AI$3*Data_85_15!AI13,"")</f>
        <v/>
      </c>
      <c r="AJ12" s="206" t="str">
        <f>IF(AND($A12&gt;=SYear85,$A12&lt;=EYear85,AJ$3&gt;0),AJ$3*Data_85_15!AJ13,"")</f>
        <v/>
      </c>
      <c r="AK12" s="206" t="str">
        <f>IF(AND($A12&gt;=SYear85,$A12&lt;=EYear85,AK$3&gt;0),AK$3*Data_85_15!AK13,"")</f>
        <v/>
      </c>
      <c r="AL12" s="206" t="str">
        <f>IF(AND($A12&gt;=SYear85,$A12&lt;=EYear85,AL$3&gt;0),AL$3*Data_85_15!AL13,"")</f>
        <v/>
      </c>
      <c r="AM12" s="206" t="str">
        <f>IF(AND($A12&gt;=SYear85,$A12&lt;=EYear85,AM$3&gt;0),AM$3*Data_85_15!AM13,"")</f>
        <v/>
      </c>
      <c r="AN12" s="206" t="str">
        <f>IF(AND($A12&gt;=SYear85,$A12&lt;=EYear85,AN$3&gt;0),AN$3*Data_85_15!AN13,"")</f>
        <v/>
      </c>
      <c r="AO12" s="206">
        <f>IF(AND($A12&gt;=SYear85,$A12&lt;=EYear85,AO$3&gt;0),AO$3*Data_85_15!AO13,"")</f>
        <v>-0.46504898619271173</v>
      </c>
      <c r="AP12" s="206" t="str">
        <f>IF(AND($A12&gt;=SYear85,$A12&lt;=EYear85,AP$3&gt;0),AP$3*Data_85_15!AP13,"")</f>
        <v/>
      </c>
      <c r="AQ12" s="206" t="str">
        <f>IF(AND($A12&gt;=SYear85,$A12&lt;=EYear85,AQ$3&gt;0),AQ$3*Data_85_15!AQ13,"")</f>
        <v/>
      </c>
      <c r="AR12" s="206" t="str">
        <f>IF(AND($A12&gt;=SYear85,$A12&lt;=EYear85,AR$3&gt;0),AR$3*Data_85_15!AR13,"")</f>
        <v/>
      </c>
      <c r="AS12" s="206" t="str">
        <f>IF(AND($A12&gt;=SYear85,$A12&lt;=EYear85,AS$3&gt;0),AS$3*Data_85_15!AS13,"")</f>
        <v/>
      </c>
      <c r="AT12" s="206" t="str">
        <f>IF(AND($A12&gt;=SYear85,$A12&lt;=EYear85,AT$3&gt;0),AT$3*Data_85_15!AT13,"")</f>
        <v/>
      </c>
      <c r="AU12" s="206" t="str">
        <f>IF(AND($A12&gt;=SYear85,$A12&lt;=EYear85,AU$3&gt;0),AU$3*Data_85_15!AU13,"")</f>
        <v/>
      </c>
      <c r="AV12" s="206" t="str">
        <f>IF(AND($A12&gt;=SYear85,$A12&lt;=EYear85,AV$3&gt;0),AV$3*Data_85_15!AV13,"")</f>
        <v/>
      </c>
      <c r="AW12" s="206" t="str">
        <f>IF(AND($A12&gt;=SYear85,$A12&lt;=EYear85,AW$3&gt;0),AW$3*Data_85_15!AW13,"")</f>
        <v/>
      </c>
      <c r="AX12" s="206" t="str">
        <f>IF(AND($A12&gt;=SYear85,$A12&lt;=EYear85,AX$3&gt;0),AX$3*Data_85_15!AX13,"")</f>
        <v/>
      </c>
      <c r="AY12" s="206" t="str">
        <f>IF(AND($A12&gt;=SYear85,$A12&lt;=EYear85,AY$3&gt;0),AY$3*Data_85_15!AY13,"")</f>
        <v/>
      </c>
      <c r="AZ12" s="206">
        <f t="shared" si="2"/>
        <v>-0.44881372549590737</v>
      </c>
      <c r="BA12" s="446">
        <f t="shared" si="16"/>
        <v>18480.987766090686</v>
      </c>
      <c r="BB12" s="206">
        <f>IF(AND($A12&gt;=SYear85,$A12&lt;=EYear85),(AZ12-Data_85_15!AZ13)/(1+Data_85_15!AZ13%),"")</f>
        <v>-6.1778431299330085</v>
      </c>
      <c r="BC12" s="606">
        <f t="shared" si="17"/>
        <v>14544.454497528772</v>
      </c>
      <c r="BD12" s="143">
        <f t="shared" si="3"/>
        <v>1.5517956824229031</v>
      </c>
      <c r="BE12" s="143">
        <f>IF(AND($A12&gt;=SYear85,$A12&lt;=EYear85),MAX($BD$7:BD12),"")</f>
        <v>1.5587917537657021</v>
      </c>
      <c r="BF12" s="209">
        <f t="shared" si="4"/>
        <v>4.4881372549592236E-3</v>
      </c>
      <c r="BI12" s="143">
        <f>IF(AND($A12&gt;=SYear85,$A12&lt;=EYear85),Data_85_15!$V13,"")</f>
        <v>7.94</v>
      </c>
      <c r="BJ12" s="143">
        <f>IF(AND($A12&gt;=SYear85,$A12&lt;=EYear85),Data_85_15!$AZ13,"")</f>
        <v>6.1062648691514898</v>
      </c>
      <c r="BK12" s="143">
        <f t="shared" si="5"/>
        <v>1.7282062780268843</v>
      </c>
      <c r="BN12" s="61">
        <f t="shared" si="6"/>
        <v>-4.4881372549591125E-3</v>
      </c>
      <c r="BO12" s="61">
        <f t="shared" si="7"/>
        <v>7.0185730684646952E-2</v>
      </c>
      <c r="BP12" s="61">
        <f t="shared" si="8"/>
        <v>6.7863251055389151E-2</v>
      </c>
      <c r="BQ12" s="61">
        <f t="shared" si="9"/>
        <v>7.0758155619457419E-2</v>
      </c>
      <c r="BR12" s="61">
        <f t="shared" si="10"/>
        <v>7.9503694521900536E-2</v>
      </c>
      <c r="BU12" s="61">
        <f t="shared" si="11"/>
        <v>-6.1778431299330139E-2</v>
      </c>
      <c r="BV12" s="61">
        <f t="shared" si="12"/>
        <v>2.8892622153217085E-2</v>
      </c>
      <c r="BW12" s="61">
        <f t="shared" si="13"/>
        <v>3.1844606439225709E-2</v>
      </c>
      <c r="BX12" s="61">
        <f t="shared" si="14"/>
        <v>4.0290153921745286E-2</v>
      </c>
      <c r="BY12" s="61">
        <f t="shared" si="15"/>
        <v>5.02899735370399E-2</v>
      </c>
    </row>
    <row r="13" spans="1:77">
      <c r="A13" s="204">
        <f t="shared" si="18"/>
        <v>1991</v>
      </c>
      <c r="B13" s="206" t="str">
        <f>IF(AND($A13&gt;=SYear85,$A13&lt;=EYear85,B$3&gt;0),B$3*Data_85_15!B14,"")</f>
        <v/>
      </c>
      <c r="C13" s="206" t="str">
        <f>IF(AND($A13&gt;=SYear85,$A13&lt;=EYear85,C$3&gt;0),C$3*Data_85_15!C14,"")</f>
        <v/>
      </c>
      <c r="D13" s="206" t="str">
        <f>IF(AND($A13&gt;=SYear85,$A13&lt;=EYear85,D$3&gt;0),D$3*Data_85_15!D14,"")</f>
        <v/>
      </c>
      <c r="E13" s="206" t="str">
        <f>IF(AND($A13&gt;=SYear85,$A13&lt;=EYear85,E$3&gt;0),E$3*Data_85_15!E14,"")</f>
        <v/>
      </c>
      <c r="F13" s="206">
        <f>IF(AND($A13&gt;=SYear85,$A13&lt;=EYear85,F$3&gt;0),F$3*Data_85_15!F14,"")</f>
        <v>10.293824204330042</v>
      </c>
      <c r="G13" s="206" t="str">
        <f>IF(AND($A13&gt;=SYear85,$A13&lt;=EYear85,G$3&gt;0),G$3*Data_85_15!G14,"")</f>
        <v/>
      </c>
      <c r="H13" s="206" t="str">
        <f>IF(AND($A13&gt;=SYear85,$A13&lt;=EYear85,H$3&gt;0),H$3*Data_85_15!H14,"")</f>
        <v/>
      </c>
      <c r="I13" s="206" t="str">
        <f>IF(AND($A13&gt;=SYear85,$A13&lt;=EYear85,I$3&gt;0),I$3*Data_85_15!I14,"")</f>
        <v/>
      </c>
      <c r="J13" s="206" t="str">
        <f>IF(AND($A13&gt;=SYear85,$A13&lt;=EYear85,J$3&gt;0),J$3*Data_85_15!J14,"")</f>
        <v/>
      </c>
      <c r="K13" s="206" t="str">
        <f>IF(AND($A13&gt;=SYear85,$A13&lt;=EYear85,K$3&gt;0),K$3*Data_85_15!K14,"")</f>
        <v/>
      </c>
      <c r="L13" s="206" t="str">
        <f>IF(AND($A13&gt;=SYear85,$A13&lt;=EYear85,L$3&gt;0),L$3*Data_85_15!L14,"")</f>
        <v/>
      </c>
      <c r="M13" s="206" t="str">
        <f>IF(AND($A13&gt;=SYear85,$A13&lt;=EYear85,M$3&gt;0),M$3*Data_85_15!M14,"")</f>
        <v/>
      </c>
      <c r="N13" s="206" t="str">
        <f>IF(AND($A13&gt;=SYear85,$A13&lt;=EYear85,N$3&gt;0),N$3*Data_85_15!N14,"")</f>
        <v/>
      </c>
      <c r="O13" s="206" t="str">
        <f>IF(AND($A13&gt;=SYear85,$A13&lt;=EYear85,O$3&gt;0),O$3*Data_85_15!O14,"")</f>
        <v/>
      </c>
      <c r="P13" s="206" t="str">
        <f>IF(AND($A13&gt;=SYear85,$A13&lt;=EYear85,P$3&gt;0),P$3*Data_85_15!P14,"")</f>
        <v/>
      </c>
      <c r="Q13" s="206" t="str">
        <f>IF(AND($A13&gt;=SYear85,$A13&lt;=EYear85,Q$3&gt;0),Q$3*Data_85_15!Q14,"")</f>
        <v/>
      </c>
      <c r="R13" s="206" t="str">
        <f>IF(AND($A13&gt;=SYear85,$A13&lt;=EYear85,R$3&gt;0),R$3*Data_85_15!R14,"")</f>
        <v/>
      </c>
      <c r="S13" s="206">
        <f>IF(AND($A13&gt;=SYear85,$A13&lt;=EYear85,S$3&gt;0),S$3*Data_85_15!S14,"")</f>
        <v>4.3574999999999999</v>
      </c>
      <c r="T13" s="206" t="str">
        <f>IF(AND($A13&gt;=SYear85,$A13&lt;=EYear85,T$3&gt;0),T$3*Data_85_15!T14,"")</f>
        <v/>
      </c>
      <c r="U13" s="206" t="str">
        <f>IF(AND($A13&gt;=SYear85,$A13&lt;=EYear85,U$3&gt;0),U$3*Data_85_15!U14,"")</f>
        <v/>
      </c>
      <c r="V13" s="206" t="str">
        <f>IF(AND($A13&gt;=SYear85,$A13&lt;=EYear85,V$3&gt;0),V$3*Data_85_15!V14,"")</f>
        <v/>
      </c>
      <c r="W13" s="206">
        <f>IF(AND($A13&gt;=SYear85,$A13&lt;=EYear85,W$3&gt;0),W$3*Data_85_15!W14,"")</f>
        <v>3.9171656686626748</v>
      </c>
      <c r="X13" s="206" t="str">
        <f>IF(AND($A13&gt;=SYear85,$A13&lt;=EYear85,X$3&gt;0),X$3*Data_85_15!X14,"")</f>
        <v/>
      </c>
      <c r="Y13" s="206" t="str">
        <f>IF(AND($A13&gt;=SYear85,$A13&lt;=EYear85,Y$3&gt;0),Y$3*Data_85_15!Y14,"")</f>
        <v/>
      </c>
      <c r="Z13" s="206" t="str">
        <f>IF(AND($A13&gt;=SYear85,$A13&lt;=EYear85,Z$3&gt;0),Z$3*Data_85_15!Z14,"")</f>
        <v/>
      </c>
      <c r="AA13" s="206" t="str">
        <f>IF(AND($A13&gt;=SYear85,$A13&lt;=EYear85,AA$3&gt;0),AA$3*Data_85_15!AA14,"")</f>
        <v/>
      </c>
      <c r="AB13" s="206" t="str">
        <f>IF(AND($A13&gt;=SYear85,$A13&lt;=EYear85,AB$3&gt;0),AB$3*Data_85_15!AB14,"")</f>
        <v/>
      </c>
      <c r="AC13" s="206" t="str">
        <f>IF(AND($A13&gt;=SYear85,$A13&lt;=EYear85,AC$3&gt;0),AC$3*Data_85_15!AC14,"")</f>
        <v/>
      </c>
      <c r="AD13" s="206" t="str">
        <f>IF(AND($A13&gt;=SYear85,$A13&lt;=EYear85,AD$3&gt;0),AD$3*Data_85_15!AD14,"")</f>
        <v/>
      </c>
      <c r="AE13" s="206" t="str">
        <f>IF(AND($A13&gt;=SYear85,$A13&lt;=EYear85,AE$3&gt;0),AE$3*Data_85_15!AE14,"")</f>
        <v/>
      </c>
      <c r="AF13" s="206" t="str">
        <f>IF(AND($A13&gt;=SYear85,$A13&lt;=EYear85,AF$3&gt;0),AF$3*Data_85_15!AF14,"")</f>
        <v/>
      </c>
      <c r="AG13" s="206" t="str">
        <f>IF(AND($A13&gt;=SYear85,$A13&lt;=EYear85,AG$3&gt;0),AG$3*Data_85_15!AG14,"")</f>
        <v/>
      </c>
      <c r="AH13" s="206" t="str">
        <f>IF(AND($A13&gt;=SYear85,$A13&lt;=EYear85,AH$3&gt;0),AH$3*Data_85_15!AH14,"")</f>
        <v/>
      </c>
      <c r="AI13" s="206" t="str">
        <f>IF(AND($A13&gt;=SYear85,$A13&lt;=EYear85,AI$3&gt;0),AI$3*Data_85_15!AI14,"")</f>
        <v/>
      </c>
      <c r="AJ13" s="206" t="str">
        <f>IF(AND($A13&gt;=SYear85,$A13&lt;=EYear85,AJ$3&gt;0),AJ$3*Data_85_15!AJ14,"")</f>
        <v/>
      </c>
      <c r="AK13" s="206" t="str">
        <f>IF(AND($A13&gt;=SYear85,$A13&lt;=EYear85,AK$3&gt;0),AK$3*Data_85_15!AK14,"")</f>
        <v/>
      </c>
      <c r="AL13" s="206" t="str">
        <f>IF(AND($A13&gt;=SYear85,$A13&lt;=EYear85,AL$3&gt;0),AL$3*Data_85_15!AL14,"")</f>
        <v/>
      </c>
      <c r="AM13" s="206" t="str">
        <f>IF(AND($A13&gt;=SYear85,$A13&lt;=EYear85,AM$3&gt;0),AM$3*Data_85_15!AM14,"")</f>
        <v/>
      </c>
      <c r="AN13" s="206" t="str">
        <f>IF(AND($A13&gt;=SYear85,$A13&lt;=EYear85,AN$3&gt;0),AN$3*Data_85_15!AN14,"")</f>
        <v/>
      </c>
      <c r="AO13" s="206">
        <f>IF(AND($A13&gt;=SYear85,$A13&lt;=EYear85,AO$3&gt;0),AO$3*Data_85_15!AO14,"")</f>
        <v>-2.6070764681566554</v>
      </c>
      <c r="AP13" s="206" t="str">
        <f>IF(AND($A13&gt;=SYear85,$A13&lt;=EYear85,AP$3&gt;0),AP$3*Data_85_15!AP14,"")</f>
        <v/>
      </c>
      <c r="AQ13" s="206" t="str">
        <f>IF(AND($A13&gt;=SYear85,$A13&lt;=EYear85,AQ$3&gt;0),AQ$3*Data_85_15!AQ14,"")</f>
        <v/>
      </c>
      <c r="AR13" s="206" t="str">
        <f>IF(AND($A13&gt;=SYear85,$A13&lt;=EYear85,AR$3&gt;0),AR$3*Data_85_15!AR14,"")</f>
        <v/>
      </c>
      <c r="AS13" s="206" t="str">
        <f>IF(AND($A13&gt;=SYear85,$A13&lt;=EYear85,AS$3&gt;0),AS$3*Data_85_15!AS14,"")</f>
        <v/>
      </c>
      <c r="AT13" s="206" t="str">
        <f>IF(AND($A13&gt;=SYear85,$A13&lt;=EYear85,AT$3&gt;0),AT$3*Data_85_15!AT14,"")</f>
        <v/>
      </c>
      <c r="AU13" s="206" t="str">
        <f>IF(AND($A13&gt;=SYear85,$A13&lt;=EYear85,AU$3&gt;0),AU$3*Data_85_15!AU14,"")</f>
        <v/>
      </c>
      <c r="AV13" s="206" t="str">
        <f>IF(AND($A13&gt;=SYear85,$A13&lt;=EYear85,AV$3&gt;0),AV$3*Data_85_15!AV14,"")</f>
        <v/>
      </c>
      <c r="AW13" s="206" t="str">
        <f>IF(AND($A13&gt;=SYear85,$A13&lt;=EYear85,AW$3&gt;0),AW$3*Data_85_15!AW14,"")</f>
        <v/>
      </c>
      <c r="AX13" s="206" t="str">
        <f>IF(AND($A13&gt;=SYear85,$A13&lt;=EYear85,AX$3&gt;0),AX$3*Data_85_15!AX14,"")</f>
        <v/>
      </c>
      <c r="AY13" s="206" t="str">
        <f>IF(AND($A13&gt;=SYear85,$A13&lt;=EYear85,AY$3&gt;0),AY$3*Data_85_15!AY14,"")</f>
        <v/>
      </c>
      <c r="AZ13" s="206">
        <f t="shared" si="2"/>
        <v>15.961413404836062</v>
      </c>
      <c r="BA13" s="446">
        <f t="shared" si="16"/>
        <v>21430.814624733597</v>
      </c>
      <c r="BB13" s="206">
        <f>IF(AND($A13&gt;=SYear85,$A13&lt;=EYear85),(AZ13-Data_85_15!AZ14)/(1+Data_85_15!AZ14%),"")</f>
        <v>12.513684652408006</v>
      </c>
      <c r="BC13" s="606">
        <f t="shared" si="17"/>
        <v>16364.501667762495</v>
      </c>
      <c r="BD13" s="143">
        <f t="shared" si="3"/>
        <v>1.7994842064928196</v>
      </c>
      <c r="BE13" s="143">
        <f>IF(AND($A13&gt;=SYear85,$A13&lt;=EYear85),MAX($BD$7:BD13),"")</f>
        <v>1.7994842064928196</v>
      </c>
      <c r="BF13" s="209">
        <f t="shared" si="4"/>
        <v>0</v>
      </c>
      <c r="BI13" s="143">
        <f>IF(AND($A13&gt;=SYear85,$A13&lt;=EYear85),Data_85_15!$V14,"")</f>
        <v>5.73</v>
      </c>
      <c r="BJ13" s="143">
        <f>IF(AND($A13&gt;=SYear85,$A13&lt;=EYear85),Data_85_15!$AZ14,"")</f>
        <v>3.0642750373692129</v>
      </c>
      <c r="BK13" s="143">
        <f t="shared" si="5"/>
        <v>2.5864684554024611</v>
      </c>
      <c r="BN13" s="61">
        <f t="shared" si="6"/>
        <v>0.15961413404836056</v>
      </c>
      <c r="BO13" s="61">
        <f t="shared" si="7"/>
        <v>0.12575039367669705</v>
      </c>
      <c r="BP13" s="61">
        <f t="shared" si="8"/>
        <v>0.10167946940515993</v>
      </c>
      <c r="BQ13" s="61">
        <f t="shared" si="9"/>
        <v>8.065776312666495E-2</v>
      </c>
      <c r="BR13" s="61">
        <f t="shared" si="10"/>
        <v>8.690295405584747E-2</v>
      </c>
      <c r="BU13" s="61">
        <f t="shared" si="11"/>
        <v>0.12513684652408008</v>
      </c>
      <c r="BV13" s="61">
        <f t="shared" si="12"/>
        <v>9.3977283626252683E-2</v>
      </c>
      <c r="BW13" s="61">
        <f t="shared" si="13"/>
        <v>7.1827271084666799E-2</v>
      </c>
      <c r="BX13" s="61">
        <f t="shared" si="14"/>
        <v>5.2637564373948287E-2</v>
      </c>
      <c r="BY13" s="61">
        <f t="shared" si="15"/>
        <v>5.9301296274082427E-2</v>
      </c>
    </row>
    <row r="14" spans="1:77">
      <c r="A14" s="204">
        <f t="shared" si="18"/>
        <v>1992</v>
      </c>
      <c r="B14" s="206" t="str">
        <f>IF(AND($A14&gt;=SYear85,$A14&lt;=EYear85,B$3&gt;0),B$3*Data_85_15!B15,"")</f>
        <v/>
      </c>
      <c r="C14" s="206" t="str">
        <f>IF(AND($A14&gt;=SYear85,$A14&lt;=EYear85,C$3&gt;0),C$3*Data_85_15!C15,"")</f>
        <v/>
      </c>
      <c r="D14" s="206" t="str">
        <f>IF(AND($A14&gt;=SYear85,$A14&lt;=EYear85,D$3&gt;0),D$3*Data_85_15!D15,"")</f>
        <v/>
      </c>
      <c r="E14" s="206" t="str">
        <f>IF(AND($A14&gt;=SYear85,$A14&lt;=EYear85,E$3&gt;0),E$3*Data_85_15!E15,"")</f>
        <v/>
      </c>
      <c r="F14" s="206">
        <f>IF(AND($A14&gt;=SYear85,$A14&lt;=EYear85,F$3&gt;0),F$3*Data_85_15!F15,"")</f>
        <v>4.0332235857527685</v>
      </c>
      <c r="G14" s="206" t="str">
        <f>IF(AND($A14&gt;=SYear85,$A14&lt;=EYear85,G$3&gt;0),G$3*Data_85_15!G15,"")</f>
        <v/>
      </c>
      <c r="H14" s="206" t="str">
        <f>IF(AND($A14&gt;=SYear85,$A14&lt;=EYear85,H$3&gt;0),H$3*Data_85_15!H15,"")</f>
        <v/>
      </c>
      <c r="I14" s="206" t="str">
        <f>IF(AND($A14&gt;=SYear85,$A14&lt;=EYear85,I$3&gt;0),I$3*Data_85_15!I15,"")</f>
        <v/>
      </c>
      <c r="J14" s="206" t="str">
        <f>IF(AND($A14&gt;=SYear85,$A14&lt;=EYear85,J$3&gt;0),J$3*Data_85_15!J15,"")</f>
        <v/>
      </c>
      <c r="K14" s="206" t="str">
        <f>IF(AND($A14&gt;=SYear85,$A14&lt;=EYear85,K$3&gt;0),K$3*Data_85_15!K15,"")</f>
        <v/>
      </c>
      <c r="L14" s="206" t="str">
        <f>IF(AND($A14&gt;=SYear85,$A14&lt;=EYear85,L$3&gt;0),L$3*Data_85_15!L15,"")</f>
        <v/>
      </c>
      <c r="M14" s="206" t="str">
        <f>IF(AND($A14&gt;=SYear85,$A14&lt;=EYear85,M$3&gt;0),M$3*Data_85_15!M15,"")</f>
        <v/>
      </c>
      <c r="N14" s="206" t="str">
        <f>IF(AND($A14&gt;=SYear85,$A14&lt;=EYear85,N$3&gt;0),N$3*Data_85_15!N15,"")</f>
        <v/>
      </c>
      <c r="O14" s="206" t="str">
        <f>IF(AND($A14&gt;=SYear85,$A14&lt;=EYear85,O$3&gt;0),O$3*Data_85_15!O15,"")</f>
        <v/>
      </c>
      <c r="P14" s="206" t="str">
        <f>IF(AND($A14&gt;=SYear85,$A14&lt;=EYear85,P$3&gt;0),P$3*Data_85_15!P15,"")</f>
        <v/>
      </c>
      <c r="Q14" s="206" t="str">
        <f>IF(AND($A14&gt;=SYear85,$A14&lt;=EYear85,Q$3&gt;0),Q$3*Data_85_15!Q15,"")</f>
        <v/>
      </c>
      <c r="R14" s="206" t="str">
        <f>IF(AND($A14&gt;=SYear85,$A14&lt;=EYear85,R$3&gt;0),R$3*Data_85_15!R15,"")</f>
        <v/>
      </c>
      <c r="S14" s="206">
        <f>IF(AND($A14&gt;=SYear85,$A14&lt;=EYear85,S$3&gt;0),S$3*Data_85_15!S15,"")</f>
        <v>1.85</v>
      </c>
      <c r="T14" s="206" t="str">
        <f>IF(AND($A14&gt;=SYear85,$A14&lt;=EYear85,T$3&gt;0),T$3*Data_85_15!T15,"")</f>
        <v/>
      </c>
      <c r="U14" s="206" t="str">
        <f>IF(AND($A14&gt;=SYear85,$A14&lt;=EYear85,U$3&gt;0),U$3*Data_85_15!U15,"")</f>
        <v/>
      </c>
      <c r="V14" s="206" t="str">
        <f>IF(AND($A14&gt;=SYear85,$A14&lt;=EYear85,V$3&gt;0),V$3*Data_85_15!V15,"")</f>
        <v/>
      </c>
      <c r="W14" s="206">
        <f>IF(AND($A14&gt;=SYear85,$A14&lt;=EYear85,W$3&gt;0),W$3*Data_85_15!W15,"")</f>
        <v>1.8213572854291418</v>
      </c>
      <c r="X14" s="206" t="str">
        <f>IF(AND($A14&gt;=SYear85,$A14&lt;=EYear85,X$3&gt;0),X$3*Data_85_15!X15,"")</f>
        <v/>
      </c>
      <c r="Y14" s="206" t="str">
        <f>IF(AND($A14&gt;=SYear85,$A14&lt;=EYear85,Y$3&gt;0),Y$3*Data_85_15!Y15,"")</f>
        <v/>
      </c>
      <c r="Z14" s="206" t="str">
        <f>IF(AND($A14&gt;=SYear85,$A14&lt;=EYear85,Z$3&gt;0),Z$3*Data_85_15!Z15,"")</f>
        <v/>
      </c>
      <c r="AA14" s="206" t="str">
        <f>IF(AND($A14&gt;=SYear85,$A14&lt;=EYear85,AA$3&gt;0),AA$3*Data_85_15!AA15,"")</f>
        <v/>
      </c>
      <c r="AB14" s="206" t="str">
        <f>IF(AND($A14&gt;=SYear85,$A14&lt;=EYear85,AB$3&gt;0),AB$3*Data_85_15!AB15,"")</f>
        <v/>
      </c>
      <c r="AC14" s="206" t="str">
        <f>IF(AND($A14&gt;=SYear85,$A14&lt;=EYear85,AC$3&gt;0),AC$3*Data_85_15!AC15,"")</f>
        <v/>
      </c>
      <c r="AD14" s="206" t="str">
        <f>IF(AND($A14&gt;=SYear85,$A14&lt;=EYear85,AD$3&gt;0),AD$3*Data_85_15!AD15,"")</f>
        <v/>
      </c>
      <c r="AE14" s="206" t="str">
        <f>IF(AND($A14&gt;=SYear85,$A14&lt;=EYear85,AE$3&gt;0),AE$3*Data_85_15!AE15,"")</f>
        <v/>
      </c>
      <c r="AF14" s="206" t="str">
        <f>IF(AND($A14&gt;=SYear85,$A14&lt;=EYear85,AF$3&gt;0),AF$3*Data_85_15!AF15,"")</f>
        <v/>
      </c>
      <c r="AG14" s="206" t="str">
        <f>IF(AND($A14&gt;=SYear85,$A14&lt;=EYear85,AG$3&gt;0),AG$3*Data_85_15!AG15,"")</f>
        <v/>
      </c>
      <c r="AH14" s="206" t="str">
        <f>IF(AND($A14&gt;=SYear85,$A14&lt;=EYear85,AH$3&gt;0),AH$3*Data_85_15!AH15,"")</f>
        <v/>
      </c>
      <c r="AI14" s="206" t="str">
        <f>IF(AND($A14&gt;=SYear85,$A14&lt;=EYear85,AI$3&gt;0),AI$3*Data_85_15!AI15,"")</f>
        <v/>
      </c>
      <c r="AJ14" s="206" t="str">
        <f>IF(AND($A14&gt;=SYear85,$A14&lt;=EYear85,AJ$3&gt;0),AJ$3*Data_85_15!AJ15,"")</f>
        <v/>
      </c>
      <c r="AK14" s="206" t="str">
        <f>IF(AND($A14&gt;=SYear85,$A14&lt;=EYear85,AK$3&gt;0),AK$3*Data_85_15!AK15,"")</f>
        <v/>
      </c>
      <c r="AL14" s="206" t="str">
        <f>IF(AND($A14&gt;=SYear85,$A14&lt;=EYear85,AL$3&gt;0),AL$3*Data_85_15!AL15,"")</f>
        <v/>
      </c>
      <c r="AM14" s="206" t="str">
        <f>IF(AND($A14&gt;=SYear85,$A14&lt;=EYear85,AM$3&gt;0),AM$3*Data_85_15!AM15,"")</f>
        <v/>
      </c>
      <c r="AN14" s="206" t="str">
        <f>IF(AND($A14&gt;=SYear85,$A14&lt;=EYear85,AN$3&gt;0),AN$3*Data_85_15!AN15,"")</f>
        <v/>
      </c>
      <c r="AO14" s="206">
        <f>IF(AND($A14&gt;=SYear85,$A14&lt;=EYear85,AO$3&gt;0),AO$3*Data_85_15!AO15,"")</f>
        <v>-1.5307400071289032</v>
      </c>
      <c r="AP14" s="206" t="str">
        <f>IF(AND($A14&gt;=SYear85,$A14&lt;=EYear85,AP$3&gt;0),AP$3*Data_85_15!AP15,"")</f>
        <v/>
      </c>
      <c r="AQ14" s="206" t="str">
        <f>IF(AND($A14&gt;=SYear85,$A14&lt;=EYear85,AQ$3&gt;0),AQ$3*Data_85_15!AQ15,"")</f>
        <v/>
      </c>
      <c r="AR14" s="206" t="str">
        <f>IF(AND($A14&gt;=SYear85,$A14&lt;=EYear85,AR$3&gt;0),AR$3*Data_85_15!AR15,"")</f>
        <v/>
      </c>
      <c r="AS14" s="206" t="str">
        <f>IF(AND($A14&gt;=SYear85,$A14&lt;=EYear85,AS$3&gt;0),AS$3*Data_85_15!AS15,"")</f>
        <v/>
      </c>
      <c r="AT14" s="206" t="str">
        <f>IF(AND($A14&gt;=SYear85,$A14&lt;=EYear85,AT$3&gt;0),AT$3*Data_85_15!AT15,"")</f>
        <v/>
      </c>
      <c r="AU14" s="206" t="str">
        <f>IF(AND($A14&gt;=SYear85,$A14&lt;=EYear85,AU$3&gt;0),AU$3*Data_85_15!AU15,"")</f>
        <v/>
      </c>
      <c r="AV14" s="206" t="str">
        <f>IF(AND($A14&gt;=SYear85,$A14&lt;=EYear85,AV$3&gt;0),AV$3*Data_85_15!AV15,"")</f>
        <v/>
      </c>
      <c r="AW14" s="206" t="str">
        <f>IF(AND($A14&gt;=SYear85,$A14&lt;=EYear85,AW$3&gt;0),AW$3*Data_85_15!AW15,"")</f>
        <v/>
      </c>
      <c r="AX14" s="206" t="str">
        <f>IF(AND($A14&gt;=SYear85,$A14&lt;=EYear85,AX$3&gt;0),AX$3*Data_85_15!AX15,"")</f>
        <v/>
      </c>
      <c r="AY14" s="206" t="str">
        <f>IF(AND($A14&gt;=SYear85,$A14&lt;=EYear85,AY$3&gt;0),AY$3*Data_85_15!AY15,"")</f>
        <v/>
      </c>
      <c r="AZ14" s="206">
        <f t="shared" si="2"/>
        <v>6.1738408640530062</v>
      </c>
      <c r="BA14" s="446">
        <f t="shared" si="16"/>
        <v>22753.919015534851</v>
      </c>
      <c r="BB14" s="206">
        <f>IF(AND($A14&gt;=SYear85,$A14&lt;=EYear85),(AZ14-Data_85_15!AZ15)/(1+Data_85_15!AZ15%),"")</f>
        <v>3.18092075512974</v>
      </c>
      <c r="BC14" s="606">
        <f t="shared" si="17"/>
        <v>16885.043497785908</v>
      </c>
      <c r="BD14" s="143">
        <f t="shared" si="3"/>
        <v>1.9105814977754534</v>
      </c>
      <c r="BE14" s="143">
        <f>IF(AND($A14&gt;=SYear85,$A14&lt;=EYear85),MAX($BD$7:BD14),"")</f>
        <v>1.9105814977754534</v>
      </c>
      <c r="BF14" s="209">
        <f t="shared" si="4"/>
        <v>0</v>
      </c>
      <c r="BI14" s="143">
        <f>IF(AND($A14&gt;=SYear85,$A14&lt;=EYear85),Data_85_15!$V15,"")</f>
        <v>3.53</v>
      </c>
      <c r="BJ14" s="143">
        <f>IF(AND($A14&gt;=SYear85,$A14&lt;=EYear85),Data_85_15!$AZ15,"")</f>
        <v>2.9006526468455363</v>
      </c>
      <c r="BK14" s="143">
        <f t="shared" si="5"/>
        <v>0.61160676532769931</v>
      </c>
      <c r="BN14" s="61">
        <f t="shared" si="6"/>
        <v>6.1738408640530151E-2</v>
      </c>
      <c r="BO14" s="61">
        <f t="shared" si="7"/>
        <v>6.3504720806121462E-2</v>
      </c>
      <c r="BP14" s="61">
        <f t="shared" si="8"/>
        <v>7.8159992755097552E-2</v>
      </c>
      <c r="BQ14" s="61">
        <f t="shared" si="9"/>
        <v>6.7831539759148018E-2</v>
      </c>
      <c r="BR14" s="61">
        <f t="shared" si="10"/>
        <v>8.2746638139835405E-2</v>
      </c>
      <c r="BU14" s="61">
        <f t="shared" si="11"/>
        <v>3.1809207551297458E-2</v>
      </c>
      <c r="BV14" s="61">
        <f t="shared" si="12"/>
        <v>3.4793226611433248E-2</v>
      </c>
      <c r="BW14" s="61">
        <f t="shared" si="13"/>
        <v>4.8420318620478131E-2</v>
      </c>
      <c r="BX14" s="61">
        <f t="shared" si="14"/>
        <v>4.1682854100597799E-2</v>
      </c>
      <c r="BY14" s="61">
        <f t="shared" si="15"/>
        <v>5.5608918793607298E-2</v>
      </c>
    </row>
    <row r="15" spans="1:77">
      <c r="A15" s="204">
        <f t="shared" si="18"/>
        <v>1993</v>
      </c>
      <c r="B15" s="206" t="str">
        <f>IF(AND($A15&gt;=SYear85,$A15&lt;=EYear85,B$3&gt;0),B$3*Data_85_15!B16,"")</f>
        <v/>
      </c>
      <c r="C15" s="206" t="str">
        <f>IF(AND($A15&gt;=SYear85,$A15&lt;=EYear85,C$3&gt;0),C$3*Data_85_15!C16,"")</f>
        <v/>
      </c>
      <c r="D15" s="206" t="str">
        <f>IF(AND($A15&gt;=SYear85,$A15&lt;=EYear85,D$3&gt;0),D$3*Data_85_15!D16,"")</f>
        <v/>
      </c>
      <c r="E15" s="206" t="str">
        <f>IF(AND($A15&gt;=SYear85,$A15&lt;=EYear85,E$3&gt;0),E$3*Data_85_15!E16,"")</f>
        <v/>
      </c>
      <c r="F15" s="206">
        <f>IF(AND($A15&gt;=SYear85,$A15&lt;=EYear85,F$3&gt;0),F$3*Data_85_15!F16,"")</f>
        <v>3.5094283148757857</v>
      </c>
      <c r="G15" s="206" t="str">
        <f>IF(AND($A15&gt;=SYear85,$A15&lt;=EYear85,G$3&gt;0),G$3*Data_85_15!G16,"")</f>
        <v/>
      </c>
      <c r="H15" s="206" t="str">
        <f>IF(AND($A15&gt;=SYear85,$A15&lt;=EYear85,H$3&gt;0),H$3*Data_85_15!H16,"")</f>
        <v/>
      </c>
      <c r="I15" s="206" t="str">
        <f>IF(AND($A15&gt;=SYear85,$A15&lt;=EYear85,I$3&gt;0),I$3*Data_85_15!I16,"")</f>
        <v/>
      </c>
      <c r="J15" s="206" t="str">
        <f>IF(AND($A15&gt;=SYear85,$A15&lt;=EYear85,J$3&gt;0),J$3*Data_85_15!J16,"")</f>
        <v/>
      </c>
      <c r="K15" s="206" t="str">
        <f>IF(AND($A15&gt;=SYear85,$A15&lt;=EYear85,K$3&gt;0),K$3*Data_85_15!K16,"")</f>
        <v/>
      </c>
      <c r="L15" s="206" t="str">
        <f>IF(AND($A15&gt;=SYear85,$A15&lt;=EYear85,L$3&gt;0),L$3*Data_85_15!L16,"")</f>
        <v/>
      </c>
      <c r="M15" s="206" t="str">
        <f>IF(AND($A15&gt;=SYear85,$A15&lt;=EYear85,M$3&gt;0),M$3*Data_85_15!M16,"")</f>
        <v/>
      </c>
      <c r="N15" s="206" t="str">
        <f>IF(AND($A15&gt;=SYear85,$A15&lt;=EYear85,N$3&gt;0),N$3*Data_85_15!N16,"")</f>
        <v/>
      </c>
      <c r="O15" s="206" t="str">
        <f>IF(AND($A15&gt;=SYear85,$A15&lt;=EYear85,O$3&gt;0),O$3*Data_85_15!O16,"")</f>
        <v/>
      </c>
      <c r="P15" s="206" t="str">
        <f>IF(AND($A15&gt;=SYear85,$A15&lt;=EYear85,P$3&gt;0),P$3*Data_85_15!P16,"")</f>
        <v/>
      </c>
      <c r="Q15" s="206" t="str">
        <f>IF(AND($A15&gt;=SYear85,$A15&lt;=EYear85,Q$3&gt;0),Q$3*Data_85_15!Q16,"")</f>
        <v/>
      </c>
      <c r="R15" s="206" t="str">
        <f>IF(AND($A15&gt;=SYear85,$A15&lt;=EYear85,R$3&gt;0),R$3*Data_85_15!R16,"")</f>
        <v/>
      </c>
      <c r="S15" s="206">
        <f>IF(AND($A15&gt;=SYear85,$A15&lt;=EYear85,S$3&gt;0),S$3*Data_85_15!S16,"")</f>
        <v>4.1974999999999998</v>
      </c>
      <c r="T15" s="206" t="str">
        <f>IF(AND($A15&gt;=SYear85,$A15&lt;=EYear85,T$3&gt;0),T$3*Data_85_15!T16,"")</f>
        <v/>
      </c>
      <c r="U15" s="206" t="str">
        <f>IF(AND($A15&gt;=SYear85,$A15&lt;=EYear85,U$3&gt;0),U$3*Data_85_15!U16,"")</f>
        <v/>
      </c>
      <c r="V15" s="206" t="str">
        <f>IF(AND($A15&gt;=SYear85,$A15&lt;=EYear85,V$3&gt;0),V$3*Data_85_15!V16,"")</f>
        <v/>
      </c>
      <c r="W15" s="206">
        <f>IF(AND($A15&gt;=SYear85,$A15&lt;=EYear85,W$3&gt;0),W$3*Data_85_15!W16,"")</f>
        <v>3.8672654690618762</v>
      </c>
      <c r="X15" s="206" t="str">
        <f>IF(AND($A15&gt;=SYear85,$A15&lt;=EYear85,X$3&gt;0),X$3*Data_85_15!X16,"")</f>
        <v/>
      </c>
      <c r="Y15" s="206" t="str">
        <f>IF(AND($A15&gt;=SYear85,$A15&lt;=EYear85,Y$3&gt;0),Y$3*Data_85_15!Y16,"")</f>
        <v/>
      </c>
      <c r="Z15" s="206" t="str">
        <f>IF(AND($A15&gt;=SYear85,$A15&lt;=EYear85,Z$3&gt;0),Z$3*Data_85_15!Z16,"")</f>
        <v/>
      </c>
      <c r="AA15" s="206" t="str">
        <f>IF(AND($A15&gt;=SYear85,$A15&lt;=EYear85,AA$3&gt;0),AA$3*Data_85_15!AA16,"")</f>
        <v/>
      </c>
      <c r="AB15" s="206" t="str">
        <f>IF(AND($A15&gt;=SYear85,$A15&lt;=EYear85,AB$3&gt;0),AB$3*Data_85_15!AB16,"")</f>
        <v/>
      </c>
      <c r="AC15" s="206" t="str">
        <f>IF(AND($A15&gt;=SYear85,$A15&lt;=EYear85,AC$3&gt;0),AC$3*Data_85_15!AC16,"")</f>
        <v/>
      </c>
      <c r="AD15" s="206" t="str">
        <f>IF(AND($A15&gt;=SYear85,$A15&lt;=EYear85,AD$3&gt;0),AD$3*Data_85_15!AD16,"")</f>
        <v/>
      </c>
      <c r="AE15" s="206" t="str">
        <f>IF(AND($A15&gt;=SYear85,$A15&lt;=EYear85,AE$3&gt;0),AE$3*Data_85_15!AE16,"")</f>
        <v/>
      </c>
      <c r="AF15" s="206" t="str">
        <f>IF(AND($A15&gt;=SYear85,$A15&lt;=EYear85,AF$3&gt;0),AF$3*Data_85_15!AF16,"")</f>
        <v/>
      </c>
      <c r="AG15" s="206" t="str">
        <f>IF(AND($A15&gt;=SYear85,$A15&lt;=EYear85,AG$3&gt;0),AG$3*Data_85_15!AG16,"")</f>
        <v/>
      </c>
      <c r="AH15" s="206" t="str">
        <f>IF(AND($A15&gt;=SYear85,$A15&lt;=EYear85,AH$3&gt;0),AH$3*Data_85_15!AH16,"")</f>
        <v/>
      </c>
      <c r="AI15" s="206" t="str">
        <f>IF(AND($A15&gt;=SYear85,$A15&lt;=EYear85,AI$3&gt;0),AI$3*Data_85_15!AI16,"")</f>
        <v/>
      </c>
      <c r="AJ15" s="206" t="str">
        <f>IF(AND($A15&gt;=SYear85,$A15&lt;=EYear85,AJ$3&gt;0),AJ$3*Data_85_15!AJ16,"")</f>
        <v/>
      </c>
      <c r="AK15" s="206" t="str">
        <f>IF(AND($A15&gt;=SYear85,$A15&lt;=EYear85,AK$3&gt;0),AK$3*Data_85_15!AK16,"")</f>
        <v/>
      </c>
      <c r="AL15" s="206" t="str">
        <f>IF(AND($A15&gt;=SYear85,$A15&lt;=EYear85,AL$3&gt;0),AL$3*Data_85_15!AL16,"")</f>
        <v/>
      </c>
      <c r="AM15" s="206" t="str">
        <f>IF(AND($A15&gt;=SYear85,$A15&lt;=EYear85,AM$3&gt;0),AM$3*Data_85_15!AM16,"")</f>
        <v/>
      </c>
      <c r="AN15" s="206" t="str">
        <f>IF(AND($A15&gt;=SYear85,$A15&lt;=EYear85,AN$3&gt;0),AN$3*Data_85_15!AN16,"")</f>
        <v/>
      </c>
      <c r="AO15" s="206">
        <f>IF(AND($A15&gt;=SYear85,$A15&lt;=EYear85,AO$3&gt;0),AO$3*Data_85_15!AO16,"")</f>
        <v>4.3022861991505312</v>
      </c>
      <c r="AP15" s="206" t="str">
        <f>IF(AND($A15&gt;=SYear85,$A15&lt;=EYear85,AP$3&gt;0),AP$3*Data_85_15!AP16,"")</f>
        <v/>
      </c>
      <c r="AQ15" s="206" t="str">
        <f>IF(AND($A15&gt;=SYear85,$A15&lt;=EYear85,AQ$3&gt;0),AQ$3*Data_85_15!AQ16,"")</f>
        <v/>
      </c>
      <c r="AR15" s="206" t="str">
        <f>IF(AND($A15&gt;=SYear85,$A15&lt;=EYear85,AR$3&gt;0),AR$3*Data_85_15!AR16,"")</f>
        <v/>
      </c>
      <c r="AS15" s="206" t="str">
        <f>IF(AND($A15&gt;=SYear85,$A15&lt;=EYear85,AS$3&gt;0),AS$3*Data_85_15!AS16,"")</f>
        <v/>
      </c>
      <c r="AT15" s="206" t="str">
        <f>IF(AND($A15&gt;=SYear85,$A15&lt;=EYear85,AT$3&gt;0),AT$3*Data_85_15!AT16,"")</f>
        <v/>
      </c>
      <c r="AU15" s="206" t="str">
        <f>IF(AND($A15&gt;=SYear85,$A15&lt;=EYear85,AU$3&gt;0),AU$3*Data_85_15!AU16,"")</f>
        <v/>
      </c>
      <c r="AV15" s="206" t="str">
        <f>IF(AND($A15&gt;=SYear85,$A15&lt;=EYear85,AV$3&gt;0),AV$3*Data_85_15!AV16,"")</f>
        <v/>
      </c>
      <c r="AW15" s="206" t="str">
        <f>IF(AND($A15&gt;=SYear85,$A15&lt;=EYear85,AW$3&gt;0),AW$3*Data_85_15!AW16,"")</f>
        <v/>
      </c>
      <c r="AX15" s="206" t="str">
        <f>IF(AND($A15&gt;=SYear85,$A15&lt;=EYear85,AX$3&gt;0),AX$3*Data_85_15!AX16,"")</f>
        <v/>
      </c>
      <c r="AY15" s="206" t="str">
        <f>IF(AND($A15&gt;=SYear85,$A15&lt;=EYear85,AY$3&gt;0),AY$3*Data_85_15!AY16,"")</f>
        <v/>
      </c>
      <c r="AZ15" s="206">
        <f t="shared" si="2"/>
        <v>15.876479983088194</v>
      </c>
      <c r="BA15" s="446">
        <f t="shared" si="16"/>
        <v>26366.44041340434</v>
      </c>
      <c r="BB15" s="206">
        <f>IF(AND($A15&gt;=SYear85,$A15&lt;=EYear85),(AZ15-Data_85_15!AZ16)/(1+Data_85_15!AZ16%),"")</f>
        <v>12.776903358026154</v>
      </c>
      <c r="BC15" s="606">
        <f t="shared" si="17"/>
        <v>19042.429187458692</v>
      </c>
      <c r="BD15" s="143">
        <f t="shared" si="3"/>
        <v>2.2139145868303598</v>
      </c>
      <c r="BE15" s="143">
        <f>IF(AND($A15&gt;=SYear85,$A15&lt;=EYear85),MAX($BD$7:BD15),"")</f>
        <v>2.2139145868303598</v>
      </c>
      <c r="BF15" s="209">
        <f t="shared" si="4"/>
        <v>0</v>
      </c>
      <c r="BI15" s="143">
        <f>IF(AND($A15&gt;=SYear85,$A15&lt;=EYear85),Data_85_15!$V16,"")</f>
        <v>2.86</v>
      </c>
      <c r="BJ15" s="143">
        <f>IF(AND($A15&gt;=SYear85,$A15&lt;=EYear85),Data_85_15!$AZ16,"")</f>
        <v>2.748414376321362</v>
      </c>
      <c r="BK15" s="143">
        <f t="shared" si="5"/>
        <v>0.10860082304525868</v>
      </c>
      <c r="BN15" s="61">
        <f t="shared" si="6"/>
        <v>0.15876479983088188</v>
      </c>
      <c r="BO15" s="61">
        <f t="shared" si="7"/>
        <v>9.643212246065147E-2</v>
      </c>
      <c r="BP15" s="61">
        <f t="shared" si="8"/>
        <v>8.0169042791425227E-2</v>
      </c>
      <c r="BQ15" s="61">
        <f t="shared" si="9"/>
        <v>7.2498582346301355E-2</v>
      </c>
      <c r="BR15" s="61">
        <f t="shared" si="10"/>
        <v>8.8116475924302495E-2</v>
      </c>
      <c r="BU15" s="61">
        <f t="shared" si="11"/>
        <v>0.12776903358026148</v>
      </c>
      <c r="BV15" s="61">
        <f t="shared" si="12"/>
        <v>6.8086491901370838E-2</v>
      </c>
      <c r="BW15" s="61">
        <f t="shared" si="13"/>
        <v>5.2837467933351201E-2</v>
      </c>
      <c r="BX15" s="61">
        <f t="shared" si="14"/>
        <v>4.6769619688017405E-2</v>
      </c>
      <c r="BY15" s="61">
        <f t="shared" si="15"/>
        <v>6.0037664902096388E-2</v>
      </c>
    </row>
    <row r="16" spans="1:77">
      <c r="A16" s="204">
        <f t="shared" si="18"/>
        <v>1994</v>
      </c>
      <c r="B16" s="206" t="str">
        <f>IF(AND($A16&gt;=SYear85,$A16&lt;=EYear85,B$3&gt;0),B$3*Data_85_15!B17,"")</f>
        <v/>
      </c>
      <c r="C16" s="206" t="str">
        <f>IF(AND($A16&gt;=SYear85,$A16&lt;=EYear85,C$3&gt;0),C$3*Data_85_15!C17,"")</f>
        <v/>
      </c>
      <c r="D16" s="206" t="str">
        <f>IF(AND($A16&gt;=SYear85,$A16&lt;=EYear85,D$3&gt;0),D$3*Data_85_15!D17,"")</f>
        <v/>
      </c>
      <c r="E16" s="206" t="str">
        <f>IF(AND($A16&gt;=SYear85,$A16&lt;=EYear85,E$3&gt;0),E$3*Data_85_15!E17,"")</f>
        <v/>
      </c>
      <c r="F16" s="206">
        <f>IF(AND($A16&gt;=SYear85,$A16&lt;=EYear85,F$3&gt;0),F$3*Data_85_15!F17,"")</f>
        <v>-0.58116332435398588</v>
      </c>
      <c r="G16" s="206" t="str">
        <f>IF(AND($A16&gt;=SYear85,$A16&lt;=EYear85,G$3&gt;0),G$3*Data_85_15!G17,"")</f>
        <v/>
      </c>
      <c r="H16" s="206" t="str">
        <f>IF(AND($A16&gt;=SYear85,$A16&lt;=EYear85,H$3&gt;0),H$3*Data_85_15!H17,"")</f>
        <v/>
      </c>
      <c r="I16" s="206" t="str">
        <f>IF(AND($A16&gt;=SYear85,$A16&lt;=EYear85,I$3&gt;0),I$3*Data_85_15!I17,"")</f>
        <v/>
      </c>
      <c r="J16" s="206" t="str">
        <f>IF(AND($A16&gt;=SYear85,$A16&lt;=EYear85,J$3&gt;0),J$3*Data_85_15!J17,"")</f>
        <v/>
      </c>
      <c r="K16" s="206" t="str">
        <f>IF(AND($A16&gt;=SYear85,$A16&lt;=EYear85,K$3&gt;0),K$3*Data_85_15!K17,"")</f>
        <v/>
      </c>
      <c r="L16" s="206" t="str">
        <f>IF(AND($A16&gt;=SYear85,$A16&lt;=EYear85,L$3&gt;0),L$3*Data_85_15!L17,"")</f>
        <v/>
      </c>
      <c r="M16" s="206" t="str">
        <f>IF(AND($A16&gt;=SYear85,$A16&lt;=EYear85,M$3&gt;0),M$3*Data_85_15!M17,"")</f>
        <v/>
      </c>
      <c r="N16" s="206" t="str">
        <f>IF(AND($A16&gt;=SYear85,$A16&lt;=EYear85,N$3&gt;0),N$3*Data_85_15!N17,"")</f>
        <v/>
      </c>
      <c r="O16" s="206" t="str">
        <f>IF(AND($A16&gt;=SYear85,$A16&lt;=EYear85,O$3&gt;0),O$3*Data_85_15!O17,"")</f>
        <v/>
      </c>
      <c r="P16" s="206" t="str">
        <f>IF(AND($A16&gt;=SYear85,$A16&lt;=EYear85,P$3&gt;0),P$3*Data_85_15!P17,"")</f>
        <v/>
      </c>
      <c r="Q16" s="206" t="str">
        <f>IF(AND($A16&gt;=SYear85,$A16&lt;=EYear85,Q$3&gt;0),Q$3*Data_85_15!Q17,"")</f>
        <v/>
      </c>
      <c r="R16" s="206" t="str">
        <f>IF(AND($A16&gt;=SYear85,$A16&lt;=EYear85,R$3&gt;0),R$3*Data_85_15!R17,"")</f>
        <v/>
      </c>
      <c r="S16" s="206">
        <f>IF(AND($A16&gt;=SYear85,$A16&lt;=EYear85,S$3&gt;0),S$3*Data_85_15!S17,"")</f>
        <v>-1.7575000000000001</v>
      </c>
      <c r="T16" s="206" t="str">
        <f>IF(AND($A16&gt;=SYear85,$A16&lt;=EYear85,T$3&gt;0),T$3*Data_85_15!T17,"")</f>
        <v/>
      </c>
      <c r="U16" s="206" t="str">
        <f>IF(AND($A16&gt;=SYear85,$A16&lt;=EYear85,U$3&gt;0),U$3*Data_85_15!U17,"")</f>
        <v/>
      </c>
      <c r="V16" s="206" t="str">
        <f>IF(AND($A16&gt;=SYear85,$A16&lt;=EYear85,V$3&gt;0),V$3*Data_85_15!V17,"")</f>
        <v/>
      </c>
      <c r="W16" s="206">
        <f>IF(AND($A16&gt;=SYear85,$A16&lt;=EYear85,W$3&gt;0),W$3*Data_85_15!W17,"")</f>
        <v>0.74850299401197606</v>
      </c>
      <c r="X16" s="206" t="str">
        <f>IF(AND($A16&gt;=SYear85,$A16&lt;=EYear85,X$3&gt;0),X$3*Data_85_15!X17,"")</f>
        <v/>
      </c>
      <c r="Y16" s="206" t="str">
        <f>IF(AND($A16&gt;=SYear85,$A16&lt;=EYear85,Y$3&gt;0),Y$3*Data_85_15!Y17,"")</f>
        <v/>
      </c>
      <c r="Z16" s="206" t="str">
        <f>IF(AND($A16&gt;=SYear85,$A16&lt;=EYear85,Z$3&gt;0),Z$3*Data_85_15!Z17,"")</f>
        <v/>
      </c>
      <c r="AA16" s="206" t="str">
        <f>IF(AND($A16&gt;=SYear85,$A16&lt;=EYear85,AA$3&gt;0),AA$3*Data_85_15!AA17,"")</f>
        <v/>
      </c>
      <c r="AB16" s="206" t="str">
        <f>IF(AND($A16&gt;=SYear85,$A16&lt;=EYear85,AB$3&gt;0),AB$3*Data_85_15!AB17,"")</f>
        <v/>
      </c>
      <c r="AC16" s="206" t="str">
        <f>IF(AND($A16&gt;=SYear85,$A16&lt;=EYear85,AC$3&gt;0),AC$3*Data_85_15!AC17,"")</f>
        <v/>
      </c>
      <c r="AD16" s="206" t="str">
        <f>IF(AND($A16&gt;=SYear85,$A16&lt;=EYear85,AD$3&gt;0),AD$3*Data_85_15!AD17,"")</f>
        <v/>
      </c>
      <c r="AE16" s="206" t="str">
        <f>IF(AND($A16&gt;=SYear85,$A16&lt;=EYear85,AE$3&gt;0),AE$3*Data_85_15!AE17,"")</f>
        <v/>
      </c>
      <c r="AF16" s="206" t="str">
        <f>IF(AND($A16&gt;=SYear85,$A16&lt;=EYear85,AF$3&gt;0),AF$3*Data_85_15!AF17,"")</f>
        <v/>
      </c>
      <c r="AG16" s="206" t="str">
        <f>IF(AND($A16&gt;=SYear85,$A16&lt;=EYear85,AG$3&gt;0),AG$3*Data_85_15!AG17,"")</f>
        <v/>
      </c>
      <c r="AH16" s="206" t="str">
        <f>IF(AND($A16&gt;=SYear85,$A16&lt;=EYear85,AH$3&gt;0),AH$3*Data_85_15!AH17,"")</f>
        <v/>
      </c>
      <c r="AI16" s="206" t="str">
        <f>IF(AND($A16&gt;=SYear85,$A16&lt;=EYear85,AI$3&gt;0),AI$3*Data_85_15!AI17,"")</f>
        <v/>
      </c>
      <c r="AJ16" s="206" t="str">
        <f>IF(AND($A16&gt;=SYear85,$A16&lt;=EYear85,AJ$3&gt;0),AJ$3*Data_85_15!AJ17,"")</f>
        <v/>
      </c>
      <c r="AK16" s="206" t="str">
        <f>IF(AND($A16&gt;=SYear85,$A16&lt;=EYear85,AK$3&gt;0),AK$3*Data_85_15!AK17,"")</f>
        <v/>
      </c>
      <c r="AL16" s="206" t="str">
        <f>IF(AND($A16&gt;=SYear85,$A16&lt;=EYear85,AL$3&gt;0),AL$3*Data_85_15!AL17,"")</f>
        <v/>
      </c>
      <c r="AM16" s="206" t="str">
        <f>IF(AND($A16&gt;=SYear85,$A16&lt;=EYear85,AM$3&gt;0),AM$3*Data_85_15!AM17,"")</f>
        <v/>
      </c>
      <c r="AN16" s="206" t="str">
        <f>IF(AND($A16&gt;=SYear85,$A16&lt;=EYear85,AN$3&gt;0),AN$3*Data_85_15!AN17,"")</f>
        <v/>
      </c>
      <c r="AO16" s="206">
        <f>IF(AND($A16&gt;=SYear85,$A16&lt;=EYear85,AO$3&gt;0),AO$3*Data_85_15!AO17,"")</f>
        <v>-0.63987826613139021</v>
      </c>
      <c r="AP16" s="206" t="str">
        <f>IF(AND($A16&gt;=SYear85,$A16&lt;=EYear85,AP$3&gt;0),AP$3*Data_85_15!AP17,"")</f>
        <v/>
      </c>
      <c r="AQ16" s="206" t="str">
        <f>IF(AND($A16&gt;=SYear85,$A16&lt;=EYear85,AQ$3&gt;0),AQ$3*Data_85_15!AQ17,"")</f>
        <v/>
      </c>
      <c r="AR16" s="206" t="str">
        <f>IF(AND($A16&gt;=SYear85,$A16&lt;=EYear85,AR$3&gt;0),AR$3*Data_85_15!AR17,"")</f>
        <v/>
      </c>
      <c r="AS16" s="206" t="str">
        <f>IF(AND($A16&gt;=SYear85,$A16&lt;=EYear85,AS$3&gt;0),AS$3*Data_85_15!AS17,"")</f>
        <v/>
      </c>
      <c r="AT16" s="206" t="str">
        <f>IF(AND($A16&gt;=SYear85,$A16&lt;=EYear85,AT$3&gt;0),AT$3*Data_85_15!AT17,"")</f>
        <v/>
      </c>
      <c r="AU16" s="206" t="str">
        <f>IF(AND($A16&gt;=SYear85,$A16&lt;=EYear85,AU$3&gt;0),AU$3*Data_85_15!AU17,"")</f>
        <v/>
      </c>
      <c r="AV16" s="206" t="str">
        <f>IF(AND($A16&gt;=SYear85,$A16&lt;=EYear85,AV$3&gt;0),AV$3*Data_85_15!AV17,"")</f>
        <v/>
      </c>
      <c r="AW16" s="206" t="str">
        <f>IF(AND($A16&gt;=SYear85,$A16&lt;=EYear85,AW$3&gt;0),AW$3*Data_85_15!AW17,"")</f>
        <v/>
      </c>
      <c r="AX16" s="206" t="str">
        <f>IF(AND($A16&gt;=SYear85,$A16&lt;=EYear85,AX$3&gt;0),AX$3*Data_85_15!AX17,"")</f>
        <v/>
      </c>
      <c r="AY16" s="206" t="str">
        <f>IF(AND($A16&gt;=SYear85,$A16&lt;=EYear85,AY$3&gt;0),AY$3*Data_85_15!AY17,"")</f>
        <v/>
      </c>
      <c r="AZ16" s="206">
        <f t="shared" si="2"/>
        <v>-2.2300385964734</v>
      </c>
      <c r="BA16" s="446">
        <f t="shared" si="16"/>
        <v>25778.45861566926</v>
      </c>
      <c r="BB16" s="206">
        <f>IF(AND($A16&gt;=SYear85,$A16&lt;=EYear85),(AZ16-Data_85_15!AZ17)/(1+Data_85_15!AZ17%),"")</f>
        <v>-4.7771518194109506</v>
      </c>
      <c r="BC16" s="606">
        <f t="shared" si="17"/>
        <v>18132.743435069966</v>
      </c>
      <c r="BD16" s="143">
        <f t="shared" si="3"/>
        <v>2.1645434370510879</v>
      </c>
      <c r="BE16" s="143">
        <f>IF(AND($A16&gt;=SYear85,$A16&lt;=EYear85),MAX($BD$7:BD16),"")</f>
        <v>2.2139145868303598</v>
      </c>
      <c r="BF16" s="209">
        <f t="shared" si="4"/>
        <v>2.230038596473416E-2</v>
      </c>
      <c r="BI16" s="143">
        <f>IF(AND($A16&gt;=SYear85,$A16&lt;=EYear85),Data_85_15!$V17,"")</f>
        <v>3.81</v>
      </c>
      <c r="BJ16" s="143">
        <f>IF(AND($A16&gt;=SYear85,$A16&lt;=EYear85),Data_85_15!$AZ17,"")</f>
        <v>2.6748971193415461</v>
      </c>
      <c r="BK16" s="143">
        <f t="shared" si="5"/>
        <v>1.105531062124266</v>
      </c>
      <c r="BN16" s="61">
        <f t="shared" si="6"/>
        <v>-2.2300385964734049E-2</v>
      </c>
      <c r="BO16" s="61">
        <f t="shared" si="7"/>
        <v>5.795634270780825E-2</v>
      </c>
      <c r="BP16" s="61">
        <f t="shared" si="8"/>
        <v>6.1229077670702514E-2</v>
      </c>
      <c r="BQ16" s="61">
        <f t="shared" si="9"/>
        <v>7.2599712071239164E-2</v>
      </c>
      <c r="BR16" s="61">
        <f t="shared" si="10"/>
        <v>7.4328884142742968E-2</v>
      </c>
      <c r="BU16" s="61">
        <f t="shared" si="11"/>
        <v>-4.777151819410963E-2</v>
      </c>
      <c r="BV16" s="61">
        <f t="shared" si="12"/>
        <v>2.8693179302567762E-2</v>
      </c>
      <c r="BW16" s="61">
        <f t="shared" si="13"/>
        <v>3.6680322655768371E-2</v>
      </c>
      <c r="BX16" s="61">
        <f t="shared" si="14"/>
        <v>4.7757781451754244E-2</v>
      </c>
      <c r="BY16" s="61">
        <f t="shared" si="15"/>
        <v>4.8435497231817504E-2</v>
      </c>
    </row>
    <row r="17" spans="1:77">
      <c r="A17" s="204">
        <f t="shared" si="18"/>
        <v>1995</v>
      </c>
      <c r="B17" s="206" t="str">
        <f>IF(AND($A17&gt;=SYear85,$A17&lt;=EYear85,B$3&gt;0),B$3*Data_85_15!B18,"")</f>
        <v/>
      </c>
      <c r="C17" s="206" t="str">
        <f>IF(AND($A17&gt;=SYear85,$A17&lt;=EYear85,C$3&gt;0),C$3*Data_85_15!C18,"")</f>
        <v/>
      </c>
      <c r="D17" s="206" t="str">
        <f>IF(AND($A17&gt;=SYear85,$A17&lt;=EYear85,D$3&gt;0),D$3*Data_85_15!D18,"")</f>
        <v/>
      </c>
      <c r="E17" s="206" t="str">
        <f>IF(AND($A17&gt;=SYear85,$A17&lt;=EYear85,E$3&gt;0),E$3*Data_85_15!E18,"")</f>
        <v/>
      </c>
      <c r="F17" s="206">
        <f>IF(AND($A17&gt;=SYear85,$A17&lt;=EYear85,F$3&gt;0),F$3*Data_85_15!F18,"")</f>
        <v>8.522897336126908</v>
      </c>
      <c r="G17" s="206" t="str">
        <f>IF(AND($A17&gt;=SYear85,$A17&lt;=EYear85,G$3&gt;0),G$3*Data_85_15!G18,"")</f>
        <v/>
      </c>
      <c r="H17" s="206" t="str">
        <f>IF(AND($A17&gt;=SYear85,$A17&lt;=EYear85,H$3&gt;0),H$3*Data_85_15!H18,"")</f>
        <v/>
      </c>
      <c r="I17" s="206" t="str">
        <f>IF(AND($A17&gt;=SYear85,$A17&lt;=EYear85,I$3&gt;0),I$3*Data_85_15!I18,"")</f>
        <v/>
      </c>
      <c r="J17" s="206" t="str">
        <f>IF(AND($A17&gt;=SYear85,$A17&lt;=EYear85,J$3&gt;0),J$3*Data_85_15!J18,"")</f>
        <v/>
      </c>
      <c r="K17" s="206" t="str">
        <f>IF(AND($A17&gt;=SYear85,$A17&lt;=EYear85,K$3&gt;0),K$3*Data_85_15!K18,"")</f>
        <v/>
      </c>
      <c r="L17" s="206" t="str">
        <f>IF(AND($A17&gt;=SYear85,$A17&lt;=EYear85,L$3&gt;0),L$3*Data_85_15!L18,"")</f>
        <v/>
      </c>
      <c r="M17" s="206" t="str">
        <f>IF(AND($A17&gt;=SYear85,$A17&lt;=EYear85,M$3&gt;0),M$3*Data_85_15!M18,"")</f>
        <v/>
      </c>
      <c r="N17" s="206" t="str">
        <f>IF(AND($A17&gt;=SYear85,$A17&lt;=EYear85,N$3&gt;0),N$3*Data_85_15!N18,"")</f>
        <v/>
      </c>
      <c r="O17" s="206" t="str">
        <f>IF(AND($A17&gt;=SYear85,$A17&lt;=EYear85,O$3&gt;0),O$3*Data_85_15!O18,"")</f>
        <v/>
      </c>
      <c r="P17" s="206" t="str">
        <f>IF(AND($A17&gt;=SYear85,$A17&lt;=EYear85,P$3&gt;0),P$3*Data_85_15!P18,"")</f>
        <v/>
      </c>
      <c r="Q17" s="206" t="str">
        <f>IF(AND($A17&gt;=SYear85,$A17&lt;=EYear85,Q$3&gt;0),Q$3*Data_85_15!Q18,"")</f>
        <v/>
      </c>
      <c r="R17" s="206" t="str">
        <f>IF(AND($A17&gt;=SYear85,$A17&lt;=EYear85,R$3&gt;0),R$3*Data_85_15!R18,"")</f>
        <v/>
      </c>
      <c r="S17" s="206">
        <f>IF(AND($A17&gt;=SYear85,$A17&lt;=EYear85,S$3&gt;0),S$3*Data_85_15!S18,"")</f>
        <v>7.5274999999999999</v>
      </c>
      <c r="T17" s="206" t="str">
        <f>IF(AND($A17&gt;=SYear85,$A17&lt;=EYear85,T$3&gt;0),T$3*Data_85_15!T18,"")</f>
        <v/>
      </c>
      <c r="U17" s="206" t="str">
        <f>IF(AND($A17&gt;=SYear85,$A17&lt;=EYear85,U$3&gt;0),U$3*Data_85_15!U18,"")</f>
        <v/>
      </c>
      <c r="V17" s="206" t="str">
        <f>IF(AND($A17&gt;=SYear85,$A17&lt;=EYear85,V$3&gt;0),V$3*Data_85_15!V18,"")</f>
        <v/>
      </c>
      <c r="W17" s="206">
        <f>IF(AND($A17&gt;=SYear85,$A17&lt;=EYear85,W$3&gt;0),W$3*Data_85_15!W18,"")</f>
        <v>0.14970059880239522</v>
      </c>
      <c r="X17" s="206" t="str">
        <f>IF(AND($A17&gt;=SYear85,$A17&lt;=EYear85,X$3&gt;0),X$3*Data_85_15!X18,"")</f>
        <v/>
      </c>
      <c r="Y17" s="206" t="str">
        <f>IF(AND($A17&gt;=SYear85,$A17&lt;=EYear85,Y$3&gt;0),Y$3*Data_85_15!Y18,"")</f>
        <v/>
      </c>
      <c r="Z17" s="206" t="str">
        <f>IF(AND($A17&gt;=SYear85,$A17&lt;=EYear85,Z$3&gt;0),Z$3*Data_85_15!Z18,"")</f>
        <v/>
      </c>
      <c r="AA17" s="206" t="str">
        <f>IF(AND($A17&gt;=SYear85,$A17&lt;=EYear85,AA$3&gt;0),AA$3*Data_85_15!AA18,"")</f>
        <v/>
      </c>
      <c r="AB17" s="206" t="str">
        <f>IF(AND($A17&gt;=SYear85,$A17&lt;=EYear85,AB$3&gt;0),AB$3*Data_85_15!AB18,"")</f>
        <v/>
      </c>
      <c r="AC17" s="206" t="str">
        <f>IF(AND($A17&gt;=SYear85,$A17&lt;=EYear85,AC$3&gt;0),AC$3*Data_85_15!AC18,"")</f>
        <v/>
      </c>
      <c r="AD17" s="206" t="str">
        <f>IF(AND($A17&gt;=SYear85,$A17&lt;=EYear85,AD$3&gt;0),AD$3*Data_85_15!AD18,"")</f>
        <v/>
      </c>
      <c r="AE17" s="206" t="str">
        <f>IF(AND($A17&gt;=SYear85,$A17&lt;=EYear85,AE$3&gt;0),AE$3*Data_85_15!AE18,"")</f>
        <v/>
      </c>
      <c r="AF17" s="206" t="str">
        <f>IF(AND($A17&gt;=SYear85,$A17&lt;=EYear85,AF$3&gt;0),AF$3*Data_85_15!AF18,"")</f>
        <v/>
      </c>
      <c r="AG17" s="206" t="str">
        <f>IF(AND($A17&gt;=SYear85,$A17&lt;=EYear85,AG$3&gt;0),AG$3*Data_85_15!AG18,"")</f>
        <v/>
      </c>
      <c r="AH17" s="206" t="str">
        <f>IF(AND($A17&gt;=SYear85,$A17&lt;=EYear85,AH$3&gt;0),AH$3*Data_85_15!AH18,"")</f>
        <v/>
      </c>
      <c r="AI17" s="206" t="str">
        <f>IF(AND($A17&gt;=SYear85,$A17&lt;=EYear85,AI$3&gt;0),AI$3*Data_85_15!AI18,"")</f>
        <v/>
      </c>
      <c r="AJ17" s="206" t="str">
        <f>IF(AND($A17&gt;=SYear85,$A17&lt;=EYear85,AJ$3&gt;0),AJ$3*Data_85_15!AJ18,"")</f>
        <v/>
      </c>
      <c r="AK17" s="206" t="str">
        <f>IF(AND($A17&gt;=SYear85,$A17&lt;=EYear85,AK$3&gt;0),AK$3*Data_85_15!AK18,"")</f>
        <v/>
      </c>
      <c r="AL17" s="206" t="str">
        <f>IF(AND($A17&gt;=SYear85,$A17&lt;=EYear85,AL$3&gt;0),AL$3*Data_85_15!AL18,"")</f>
        <v/>
      </c>
      <c r="AM17" s="206" t="str">
        <f>IF(AND($A17&gt;=SYear85,$A17&lt;=EYear85,AM$3&gt;0),AM$3*Data_85_15!AM18,"")</f>
        <v/>
      </c>
      <c r="AN17" s="206" t="str">
        <f>IF(AND($A17&gt;=SYear85,$A17&lt;=EYear85,AN$3&gt;0),AN$3*Data_85_15!AN18,"")</f>
        <v/>
      </c>
      <c r="AO17" s="206">
        <f>IF(AND($A17&gt;=SYear85,$A17&lt;=EYear85,AO$3&gt;0),AO$3*Data_85_15!AO18,"")</f>
        <v>0.14404222639773584</v>
      </c>
      <c r="AP17" s="206" t="str">
        <f>IF(AND($A17&gt;=SYear85,$A17&lt;=EYear85,AP$3&gt;0),AP$3*Data_85_15!AP18,"")</f>
        <v/>
      </c>
      <c r="AQ17" s="206" t="str">
        <f>IF(AND($A17&gt;=SYear85,$A17&lt;=EYear85,AQ$3&gt;0),AQ$3*Data_85_15!AQ18,"")</f>
        <v/>
      </c>
      <c r="AR17" s="206" t="str">
        <f>IF(AND($A17&gt;=SYear85,$A17&lt;=EYear85,AR$3&gt;0),AR$3*Data_85_15!AR18,"")</f>
        <v/>
      </c>
      <c r="AS17" s="206" t="str">
        <f>IF(AND($A17&gt;=SYear85,$A17&lt;=EYear85,AS$3&gt;0),AS$3*Data_85_15!AS18,"")</f>
        <v/>
      </c>
      <c r="AT17" s="206" t="str">
        <f>IF(AND($A17&gt;=SYear85,$A17&lt;=EYear85,AT$3&gt;0),AT$3*Data_85_15!AT18,"")</f>
        <v/>
      </c>
      <c r="AU17" s="206" t="str">
        <f>IF(AND($A17&gt;=SYear85,$A17&lt;=EYear85,AU$3&gt;0),AU$3*Data_85_15!AU18,"")</f>
        <v/>
      </c>
      <c r="AV17" s="206" t="str">
        <f>IF(AND($A17&gt;=SYear85,$A17&lt;=EYear85,AV$3&gt;0),AV$3*Data_85_15!AV18,"")</f>
        <v/>
      </c>
      <c r="AW17" s="206" t="str">
        <f>IF(AND($A17&gt;=SYear85,$A17&lt;=EYear85,AW$3&gt;0),AW$3*Data_85_15!AW18,"")</f>
        <v/>
      </c>
      <c r="AX17" s="206" t="str">
        <f>IF(AND($A17&gt;=SYear85,$A17&lt;=EYear85,AX$3&gt;0),AX$3*Data_85_15!AX18,"")</f>
        <v/>
      </c>
      <c r="AY17" s="206" t="str">
        <f>IF(AND($A17&gt;=SYear85,$A17&lt;=EYear85,AY$3&gt;0),AY$3*Data_85_15!AY18,"")</f>
        <v/>
      </c>
      <c r="AZ17" s="206">
        <f t="shared" si="2"/>
        <v>16.344140161327037</v>
      </c>
      <c r="BA17" s="446">
        <f t="shared" si="16"/>
        <v>29991.726023243929</v>
      </c>
      <c r="BB17" s="206">
        <f>IF(AND($A17&gt;=SYear85,$A17&lt;=EYear85),(AZ17-Data_85_15!AZ18)/(1+Data_85_15!AZ18%),"")</f>
        <v>13.463959492838148</v>
      </c>
      <c r="BC17" s="606">
        <f t="shared" si="17"/>
        <v>20574.128666108052</v>
      </c>
      <c r="BD17" s="143">
        <f t="shared" si="3"/>
        <v>2.5183194502555235</v>
      </c>
      <c r="BE17" s="143">
        <f>IF(AND($A17&gt;=SYear85,$A17&lt;=EYear85),MAX($BD$7:BD17),"")</f>
        <v>2.5183194502555235</v>
      </c>
      <c r="BF17" s="209">
        <f t="shared" si="4"/>
        <v>0</v>
      </c>
      <c r="BI17" s="143">
        <f>IF(AND($A17&gt;=SYear85,$A17&lt;=EYear85),Data_85_15!$V18,"")</f>
        <v>5.49</v>
      </c>
      <c r="BJ17" s="143">
        <f>IF(AND($A17&gt;=SYear85,$A17&lt;=EYear85),Data_85_15!$AZ18,"")</f>
        <v>2.5384101536406245</v>
      </c>
      <c r="BK17" s="143">
        <f t="shared" si="5"/>
        <v>2.8785211726384268</v>
      </c>
      <c r="BN17" s="61">
        <f t="shared" si="6"/>
        <v>0.16344140161327037</v>
      </c>
      <c r="BO17" s="61">
        <f t="shared" si="7"/>
        <v>9.081884306811272E-2</v>
      </c>
      <c r="BP17" s="61">
        <f t="shared" si="8"/>
        <v>7.3660908072688214E-2</v>
      </c>
      <c r="BQ17" s="61">
        <f t="shared" si="9"/>
        <v>8.5371413471358792E-2</v>
      </c>
      <c r="BR17" s="61">
        <f t="shared" si="10"/>
        <v>8.6481796987761816E-2</v>
      </c>
      <c r="BU17" s="61">
        <f t="shared" si="11"/>
        <v>0.1346395949283814</v>
      </c>
      <c r="BV17" s="61">
        <f t="shared" si="12"/>
        <v>6.4016695240073807E-2</v>
      </c>
      <c r="BW17" s="61">
        <f t="shared" si="13"/>
        <v>4.880482738683467E-2</v>
      </c>
      <c r="BX17" s="61">
        <f t="shared" si="14"/>
        <v>5.9635940414245692E-2</v>
      </c>
      <c r="BY17" s="61">
        <f t="shared" si="15"/>
        <v>6.0263541856401925E-2</v>
      </c>
    </row>
    <row r="18" spans="1:77">
      <c r="A18" s="204">
        <f t="shared" si="18"/>
        <v>1996</v>
      </c>
      <c r="B18" s="206" t="str">
        <f>IF(AND($A18&gt;=SYear85,$A18&lt;=EYear85,B$3&gt;0),B$3*Data_85_15!B19,"")</f>
        <v/>
      </c>
      <c r="C18" s="206" t="str">
        <f>IF(AND($A18&gt;=SYear85,$A18&lt;=EYear85,C$3&gt;0),C$3*Data_85_15!C19,"")</f>
        <v/>
      </c>
      <c r="D18" s="206" t="str">
        <f>IF(AND($A18&gt;=SYear85,$A18&lt;=EYear85,D$3&gt;0),D$3*Data_85_15!D19,"")</f>
        <v/>
      </c>
      <c r="E18" s="206" t="str">
        <f>IF(AND($A18&gt;=SYear85,$A18&lt;=EYear85,E$3&gt;0),E$3*Data_85_15!E19,"")</f>
        <v/>
      </c>
      <c r="F18" s="206">
        <f>IF(AND($A18&gt;=SYear85,$A18&lt;=EYear85,F$3&gt;0),F$3*Data_85_15!F19,"")</f>
        <v>4.6817320163623668</v>
      </c>
      <c r="G18" s="206" t="str">
        <f>IF(AND($A18&gt;=SYear85,$A18&lt;=EYear85,G$3&gt;0),G$3*Data_85_15!G19,"")</f>
        <v/>
      </c>
      <c r="H18" s="206" t="str">
        <f>IF(AND($A18&gt;=SYear85,$A18&lt;=EYear85,H$3&gt;0),H$3*Data_85_15!H19,"")</f>
        <v/>
      </c>
      <c r="I18" s="206" t="str">
        <f>IF(AND($A18&gt;=SYear85,$A18&lt;=EYear85,I$3&gt;0),I$3*Data_85_15!I19,"")</f>
        <v/>
      </c>
      <c r="J18" s="206" t="str">
        <f>IF(AND($A18&gt;=SYear85,$A18&lt;=EYear85,J$3&gt;0),J$3*Data_85_15!J19,"")</f>
        <v/>
      </c>
      <c r="K18" s="206" t="str">
        <f>IF(AND($A18&gt;=SYear85,$A18&lt;=EYear85,K$3&gt;0),K$3*Data_85_15!K19,"")</f>
        <v/>
      </c>
      <c r="L18" s="206" t="str">
        <f>IF(AND($A18&gt;=SYear85,$A18&lt;=EYear85,L$3&gt;0),L$3*Data_85_15!L19,"")</f>
        <v/>
      </c>
      <c r="M18" s="206" t="str">
        <f>IF(AND($A18&gt;=SYear85,$A18&lt;=EYear85,M$3&gt;0),M$3*Data_85_15!M19,"")</f>
        <v/>
      </c>
      <c r="N18" s="206" t="str">
        <f>IF(AND($A18&gt;=SYear85,$A18&lt;=EYear85,N$3&gt;0),N$3*Data_85_15!N19,"")</f>
        <v/>
      </c>
      <c r="O18" s="206" t="str">
        <f>IF(AND($A18&gt;=SYear85,$A18&lt;=EYear85,O$3&gt;0),O$3*Data_85_15!O19,"")</f>
        <v/>
      </c>
      <c r="P18" s="206" t="str">
        <f>IF(AND($A18&gt;=SYear85,$A18&lt;=EYear85,P$3&gt;0),P$3*Data_85_15!P19,"")</f>
        <v/>
      </c>
      <c r="Q18" s="206" t="str">
        <f>IF(AND($A18&gt;=SYear85,$A18&lt;=EYear85,Q$3&gt;0),Q$3*Data_85_15!Q19,"")</f>
        <v/>
      </c>
      <c r="R18" s="206" t="str">
        <f>IF(AND($A18&gt;=SYear85,$A18&lt;=EYear85,R$3&gt;0),R$3*Data_85_15!R19,"")</f>
        <v/>
      </c>
      <c r="S18" s="206">
        <f>IF(AND($A18&gt;=SYear85,$A18&lt;=EYear85,S$3&gt;0),S$3*Data_85_15!S19,"")</f>
        <v>-0.3125</v>
      </c>
      <c r="T18" s="206" t="str">
        <f>IF(AND($A18&gt;=SYear85,$A18&lt;=EYear85,T$3&gt;0),T$3*Data_85_15!T19,"")</f>
        <v/>
      </c>
      <c r="U18" s="206" t="str">
        <f>IF(AND($A18&gt;=SYear85,$A18&lt;=EYear85,U$3&gt;0),U$3*Data_85_15!U19,"")</f>
        <v/>
      </c>
      <c r="V18" s="206" t="str">
        <f>IF(AND($A18&gt;=SYear85,$A18&lt;=EYear85,V$3&gt;0),V$3*Data_85_15!V19,"")</f>
        <v/>
      </c>
      <c r="W18" s="206">
        <f>IF(AND($A18&gt;=SYear85,$A18&lt;=EYear85,W$3&gt;0),W$3*Data_85_15!W19,"")</f>
        <v>0.97305389221556871</v>
      </c>
      <c r="X18" s="206" t="str">
        <f>IF(AND($A18&gt;=SYear85,$A18&lt;=EYear85,X$3&gt;0),X$3*Data_85_15!X19,"")</f>
        <v/>
      </c>
      <c r="Y18" s="206" t="str">
        <f>IF(AND($A18&gt;=SYear85,$A18&lt;=EYear85,Y$3&gt;0),Y$3*Data_85_15!Y19,"")</f>
        <v/>
      </c>
      <c r="Z18" s="206" t="str">
        <f>IF(AND($A18&gt;=SYear85,$A18&lt;=EYear85,Z$3&gt;0),Z$3*Data_85_15!Z19,"")</f>
        <v/>
      </c>
      <c r="AA18" s="206" t="str">
        <f>IF(AND($A18&gt;=SYear85,$A18&lt;=EYear85,AA$3&gt;0),AA$3*Data_85_15!AA19,"")</f>
        <v/>
      </c>
      <c r="AB18" s="206" t="str">
        <f>IF(AND($A18&gt;=SYear85,$A18&lt;=EYear85,AB$3&gt;0),AB$3*Data_85_15!AB19,"")</f>
        <v/>
      </c>
      <c r="AC18" s="206" t="str">
        <f>IF(AND($A18&gt;=SYear85,$A18&lt;=EYear85,AC$3&gt;0),AC$3*Data_85_15!AC19,"")</f>
        <v/>
      </c>
      <c r="AD18" s="206" t="str">
        <f>IF(AND($A18&gt;=SYear85,$A18&lt;=EYear85,AD$3&gt;0),AD$3*Data_85_15!AD19,"")</f>
        <v/>
      </c>
      <c r="AE18" s="206" t="str">
        <f>IF(AND($A18&gt;=SYear85,$A18&lt;=EYear85,AE$3&gt;0),AE$3*Data_85_15!AE19,"")</f>
        <v/>
      </c>
      <c r="AF18" s="206" t="str">
        <f>IF(AND($A18&gt;=SYear85,$A18&lt;=EYear85,AF$3&gt;0),AF$3*Data_85_15!AF19,"")</f>
        <v/>
      </c>
      <c r="AG18" s="206" t="str">
        <f>IF(AND($A18&gt;=SYear85,$A18&lt;=EYear85,AG$3&gt;0),AG$3*Data_85_15!AG19,"")</f>
        <v/>
      </c>
      <c r="AH18" s="206" t="str">
        <f>IF(AND($A18&gt;=SYear85,$A18&lt;=EYear85,AH$3&gt;0),AH$3*Data_85_15!AH19,"")</f>
        <v/>
      </c>
      <c r="AI18" s="206" t="str">
        <f>IF(AND($A18&gt;=SYear85,$A18&lt;=EYear85,AI$3&gt;0),AI$3*Data_85_15!AI19,"")</f>
        <v/>
      </c>
      <c r="AJ18" s="206" t="str">
        <f>IF(AND($A18&gt;=SYear85,$A18&lt;=EYear85,AJ$3&gt;0),AJ$3*Data_85_15!AJ19,"")</f>
        <v/>
      </c>
      <c r="AK18" s="206" t="str">
        <f>IF(AND($A18&gt;=SYear85,$A18&lt;=EYear85,AK$3&gt;0),AK$3*Data_85_15!AK19,"")</f>
        <v/>
      </c>
      <c r="AL18" s="206" t="str">
        <f>IF(AND($A18&gt;=SYear85,$A18&lt;=EYear85,AL$3&gt;0),AL$3*Data_85_15!AL19,"")</f>
        <v/>
      </c>
      <c r="AM18" s="206" t="str">
        <f>IF(AND($A18&gt;=SYear85,$A18&lt;=EYear85,AM$3&gt;0),AM$3*Data_85_15!AM19,"")</f>
        <v/>
      </c>
      <c r="AN18" s="206" t="str">
        <f>IF(AND($A18&gt;=SYear85,$A18&lt;=EYear85,AN$3&gt;0),AN$3*Data_85_15!AN19,"")</f>
        <v/>
      </c>
      <c r="AO18" s="206">
        <f>IF(AND($A18&gt;=SYear85,$A18&lt;=EYear85,AO$3&gt;0),AO$3*Data_85_15!AO19,"")</f>
        <v>-1.2416741303519772</v>
      </c>
      <c r="AP18" s="206" t="str">
        <f>IF(AND($A18&gt;=SYear85,$A18&lt;=EYear85,AP$3&gt;0),AP$3*Data_85_15!AP19,"")</f>
        <v/>
      </c>
      <c r="AQ18" s="206" t="str">
        <f>IF(AND($A18&gt;=SYear85,$A18&lt;=EYear85,AQ$3&gt;0),AQ$3*Data_85_15!AQ19,"")</f>
        <v/>
      </c>
      <c r="AR18" s="206" t="str">
        <f>IF(AND($A18&gt;=SYear85,$A18&lt;=EYear85,AR$3&gt;0),AR$3*Data_85_15!AR19,"")</f>
        <v/>
      </c>
      <c r="AS18" s="206" t="str">
        <f>IF(AND($A18&gt;=SYear85,$A18&lt;=EYear85,AS$3&gt;0),AS$3*Data_85_15!AS19,"")</f>
        <v/>
      </c>
      <c r="AT18" s="206" t="str">
        <f>IF(AND($A18&gt;=SYear85,$A18&lt;=EYear85,AT$3&gt;0),AT$3*Data_85_15!AT19,"")</f>
        <v/>
      </c>
      <c r="AU18" s="206" t="str">
        <f>IF(AND($A18&gt;=SYear85,$A18&lt;=EYear85,AU$3&gt;0),AU$3*Data_85_15!AU19,"")</f>
        <v/>
      </c>
      <c r="AV18" s="206" t="str">
        <f>IF(AND($A18&gt;=SYear85,$A18&lt;=EYear85,AV$3&gt;0),AV$3*Data_85_15!AV19,"")</f>
        <v/>
      </c>
      <c r="AW18" s="206" t="str">
        <f>IF(AND($A18&gt;=SYear85,$A18&lt;=EYear85,AW$3&gt;0),AW$3*Data_85_15!AW19,"")</f>
        <v/>
      </c>
      <c r="AX18" s="206" t="str">
        <f>IF(AND($A18&gt;=SYear85,$A18&lt;=EYear85,AX$3&gt;0),AX$3*Data_85_15!AX19,"")</f>
        <v/>
      </c>
      <c r="AY18" s="206" t="str">
        <f>IF(AND($A18&gt;=SYear85,$A18&lt;=EYear85,AY$3&gt;0),AY$3*Data_85_15!AY19,"")</f>
        <v/>
      </c>
      <c r="AZ18" s="206">
        <f t="shared" si="2"/>
        <v>4.1006117782259581</v>
      </c>
      <c r="BA18" s="446">
        <f t="shared" si="16"/>
        <v>31221.570273046331</v>
      </c>
      <c r="BB18" s="206">
        <f>IF(AND($A18&gt;=SYear85,$A18&lt;=EYear85),(AZ18-Data_85_15!AZ19)/(1+Data_85_15!AZ19%),"")</f>
        <v>0.75311417375588685</v>
      </c>
      <c r="BC18" s="606">
        <f t="shared" si="17"/>
        <v>20729.075345219288</v>
      </c>
      <c r="BD18" s="143">
        <f t="shared" si="3"/>
        <v>2.6215859542460569</v>
      </c>
      <c r="BE18" s="143">
        <f>IF(AND($A18&gt;=SYear85,$A18&lt;=EYear85),MAX($BD$7:BD18),"")</f>
        <v>2.6215859542460569</v>
      </c>
      <c r="BF18" s="209">
        <f t="shared" si="4"/>
        <v>0</v>
      </c>
      <c r="BI18" s="143">
        <f>IF(AND($A18&gt;=SYear85,$A18&lt;=EYear85),Data_85_15!$V19,"")</f>
        <v>5.09</v>
      </c>
      <c r="BJ18" s="143">
        <f>IF(AND($A18&gt;=SYear85,$A18&lt;=EYear85),Data_85_15!$AZ19,"")</f>
        <v>3.3224755700325792</v>
      </c>
      <c r="BK18" s="143">
        <f t="shared" si="5"/>
        <v>1.7106872635561101</v>
      </c>
      <c r="BN18" s="61">
        <f t="shared" si="6"/>
        <v>4.1006117782259599E-2</v>
      </c>
      <c r="BO18" s="61">
        <f t="shared" si="7"/>
        <v>5.770668498041065E-2</v>
      </c>
      <c r="BP18" s="61">
        <f t="shared" si="8"/>
        <v>6.0037182717473714E-2</v>
      </c>
      <c r="BQ18" s="61">
        <f t="shared" si="9"/>
        <v>7.9589185825867936E-2</v>
      </c>
      <c r="BR18" s="61">
        <f t="shared" si="10"/>
        <v>8.7171862548695467E-2</v>
      </c>
      <c r="BU18" s="61">
        <f t="shared" si="11"/>
        <v>7.5311417375589773E-3</v>
      </c>
      <c r="BV18" s="61">
        <f t="shared" si="12"/>
        <v>3.4844409802428755E-2</v>
      </c>
      <c r="BW18" s="61">
        <f t="shared" si="13"/>
        <v>3.3791425002462239E-2</v>
      </c>
      <c r="BX18" s="61">
        <f t="shared" si="14"/>
        <v>5.3093310849996911E-2</v>
      </c>
      <c r="BY18" s="61">
        <f t="shared" si="15"/>
        <v>6.166010962489743E-2</v>
      </c>
    </row>
    <row r="19" spans="1:77">
      <c r="A19" s="204">
        <f t="shared" si="18"/>
        <v>1997</v>
      </c>
      <c r="B19" s="206" t="str">
        <f>IF(AND($A19&gt;=SYear85,$A19&lt;=EYear85,B$3&gt;0),B$3*Data_85_15!B20,"")</f>
        <v/>
      </c>
      <c r="C19" s="206" t="str">
        <f>IF(AND($A19&gt;=SYear85,$A19&lt;=EYear85,C$3&gt;0),C$3*Data_85_15!C20,"")</f>
        <v/>
      </c>
      <c r="D19" s="206" t="str">
        <f>IF(AND($A19&gt;=SYear85,$A19&lt;=EYear85,D$3&gt;0),D$3*Data_85_15!D20,"")</f>
        <v/>
      </c>
      <c r="E19" s="206" t="str">
        <f>IF(AND($A19&gt;=SYear85,$A19&lt;=EYear85,E$3&gt;0),E$3*Data_85_15!E20,"")</f>
        <v/>
      </c>
      <c r="F19" s="206">
        <f>IF(AND($A19&gt;=SYear85,$A19&lt;=EYear85,F$3&gt;0),F$3*Data_85_15!F20,"")</f>
        <v>7.1759952110146665</v>
      </c>
      <c r="G19" s="206" t="str">
        <f>IF(AND($A19&gt;=SYear85,$A19&lt;=EYear85,G$3&gt;0),G$3*Data_85_15!G20,"")</f>
        <v/>
      </c>
      <c r="H19" s="206" t="str">
        <f>IF(AND($A19&gt;=SYear85,$A19&lt;=EYear85,H$3&gt;0),H$3*Data_85_15!H20,"")</f>
        <v/>
      </c>
      <c r="I19" s="206" t="str">
        <f>IF(AND($A19&gt;=SYear85,$A19&lt;=EYear85,I$3&gt;0),I$3*Data_85_15!I20,"")</f>
        <v/>
      </c>
      <c r="J19" s="206" t="str">
        <f>IF(AND($A19&gt;=SYear85,$A19&lt;=EYear85,J$3&gt;0),J$3*Data_85_15!J20,"")</f>
        <v/>
      </c>
      <c r="K19" s="206" t="str">
        <f>IF(AND($A19&gt;=SYear85,$A19&lt;=EYear85,K$3&gt;0),K$3*Data_85_15!K20,"")</f>
        <v/>
      </c>
      <c r="L19" s="206" t="str">
        <f>IF(AND($A19&gt;=SYear85,$A19&lt;=EYear85,L$3&gt;0),L$3*Data_85_15!L20,"")</f>
        <v/>
      </c>
      <c r="M19" s="206" t="str">
        <f>IF(AND($A19&gt;=SYear85,$A19&lt;=EYear85,M$3&gt;0),M$3*Data_85_15!M20,"")</f>
        <v/>
      </c>
      <c r="N19" s="206" t="str">
        <f>IF(AND($A19&gt;=SYear85,$A19&lt;=EYear85,N$3&gt;0),N$3*Data_85_15!N20,"")</f>
        <v/>
      </c>
      <c r="O19" s="206" t="str">
        <f>IF(AND($A19&gt;=SYear85,$A19&lt;=EYear85,O$3&gt;0),O$3*Data_85_15!O20,"")</f>
        <v/>
      </c>
      <c r="P19" s="206" t="str">
        <f>IF(AND($A19&gt;=SYear85,$A19&lt;=EYear85,P$3&gt;0),P$3*Data_85_15!P20,"")</f>
        <v/>
      </c>
      <c r="Q19" s="206" t="str">
        <f>IF(AND($A19&gt;=SYear85,$A19&lt;=EYear85,Q$3&gt;0),Q$3*Data_85_15!Q20,"")</f>
        <v/>
      </c>
      <c r="R19" s="206" t="str">
        <f>IF(AND($A19&gt;=SYear85,$A19&lt;=EYear85,R$3&gt;0),R$3*Data_85_15!R20,"")</f>
        <v/>
      </c>
      <c r="S19" s="206">
        <f>IF(AND($A19&gt;=SYear85,$A19&lt;=EYear85,S$3&gt;0),S$3*Data_85_15!S20,"")</f>
        <v>3.4750000000000001</v>
      </c>
      <c r="T19" s="206" t="str">
        <f>IF(AND($A19&gt;=SYear85,$A19&lt;=EYear85,T$3&gt;0),T$3*Data_85_15!T20,"")</f>
        <v/>
      </c>
      <c r="U19" s="206" t="str">
        <f>IF(AND($A19&gt;=SYear85,$A19&lt;=EYear85,U$3&gt;0),U$3*Data_85_15!U20,"")</f>
        <v/>
      </c>
      <c r="V19" s="206" t="str">
        <f>IF(AND($A19&gt;=SYear85,$A19&lt;=EYear85,V$3&gt;0),V$3*Data_85_15!V20,"")</f>
        <v/>
      </c>
      <c r="W19" s="206">
        <f>IF(AND($A19&gt;=SYear85,$A19&lt;=EYear85,W$3&gt;0),W$3*Data_85_15!W20,"")</f>
        <v>1.9461077844311376</v>
      </c>
      <c r="X19" s="206" t="str">
        <f>IF(AND($A19&gt;=SYear85,$A19&lt;=EYear85,X$3&gt;0),X$3*Data_85_15!X20,"")</f>
        <v/>
      </c>
      <c r="Y19" s="206" t="str">
        <f>IF(AND($A19&gt;=SYear85,$A19&lt;=EYear85,Y$3&gt;0),Y$3*Data_85_15!Y20,"")</f>
        <v/>
      </c>
      <c r="Z19" s="206" t="str">
        <f>IF(AND($A19&gt;=SYear85,$A19&lt;=EYear85,Z$3&gt;0),Z$3*Data_85_15!Z20,"")</f>
        <v/>
      </c>
      <c r="AA19" s="206" t="str">
        <f>IF(AND($A19&gt;=SYear85,$A19&lt;=EYear85,AA$3&gt;0),AA$3*Data_85_15!AA20,"")</f>
        <v/>
      </c>
      <c r="AB19" s="206" t="str">
        <f>IF(AND($A19&gt;=SYear85,$A19&lt;=EYear85,AB$3&gt;0),AB$3*Data_85_15!AB20,"")</f>
        <v/>
      </c>
      <c r="AC19" s="206" t="str">
        <f>IF(AND($A19&gt;=SYear85,$A19&lt;=EYear85,AC$3&gt;0),AC$3*Data_85_15!AC20,"")</f>
        <v/>
      </c>
      <c r="AD19" s="206" t="str">
        <f>IF(AND($A19&gt;=SYear85,$A19&lt;=EYear85,AD$3&gt;0),AD$3*Data_85_15!AD20,"")</f>
        <v/>
      </c>
      <c r="AE19" s="206" t="str">
        <f>IF(AND($A19&gt;=SYear85,$A19&lt;=EYear85,AE$3&gt;0),AE$3*Data_85_15!AE20,"")</f>
        <v/>
      </c>
      <c r="AF19" s="206" t="str">
        <f>IF(AND($A19&gt;=SYear85,$A19&lt;=EYear85,AF$3&gt;0),AF$3*Data_85_15!AF20,"")</f>
        <v/>
      </c>
      <c r="AG19" s="206" t="str">
        <f>IF(AND($A19&gt;=SYear85,$A19&lt;=EYear85,AG$3&gt;0),AG$3*Data_85_15!AG20,"")</f>
        <v/>
      </c>
      <c r="AH19" s="206" t="str">
        <f>IF(AND($A19&gt;=SYear85,$A19&lt;=EYear85,AH$3&gt;0),AH$3*Data_85_15!AH20,"")</f>
        <v/>
      </c>
      <c r="AI19" s="206" t="str">
        <f>IF(AND($A19&gt;=SYear85,$A19&lt;=EYear85,AI$3&gt;0),AI$3*Data_85_15!AI20,"")</f>
        <v/>
      </c>
      <c r="AJ19" s="206" t="str">
        <f>IF(AND($A19&gt;=SYear85,$A19&lt;=EYear85,AJ$3&gt;0),AJ$3*Data_85_15!AJ20,"")</f>
        <v/>
      </c>
      <c r="AK19" s="206" t="str">
        <f>IF(AND($A19&gt;=SYear85,$A19&lt;=EYear85,AK$3&gt;0),AK$3*Data_85_15!AK20,"")</f>
        <v/>
      </c>
      <c r="AL19" s="206" t="str">
        <f>IF(AND($A19&gt;=SYear85,$A19&lt;=EYear85,AL$3&gt;0),AL$3*Data_85_15!AL20,"")</f>
        <v/>
      </c>
      <c r="AM19" s="206" t="str">
        <f>IF(AND($A19&gt;=SYear85,$A19&lt;=EYear85,AM$3&gt;0),AM$3*Data_85_15!AM20,"")</f>
        <v/>
      </c>
      <c r="AN19" s="206" t="str">
        <f>IF(AND($A19&gt;=SYear85,$A19&lt;=EYear85,AN$3&gt;0),AN$3*Data_85_15!AN20,"")</f>
        <v/>
      </c>
      <c r="AO19" s="206">
        <f>IF(AND($A19&gt;=SYear85,$A19&lt;=EYear85,AO$3&gt;0),AO$3*Data_85_15!AO20,"")</f>
        <v>-5.4303436221262542</v>
      </c>
      <c r="AP19" s="206" t="str">
        <f>IF(AND($A19&gt;=SYear85,$A19&lt;=EYear85,AP$3&gt;0),AP$3*Data_85_15!AP20,"")</f>
        <v/>
      </c>
      <c r="AQ19" s="206" t="str">
        <f>IF(AND($A19&gt;=SYear85,$A19&lt;=EYear85,AQ$3&gt;0),AQ$3*Data_85_15!AQ20,"")</f>
        <v/>
      </c>
      <c r="AR19" s="206" t="str">
        <f>IF(AND($A19&gt;=SYear85,$A19&lt;=EYear85,AR$3&gt;0),AR$3*Data_85_15!AR20,"")</f>
        <v/>
      </c>
      <c r="AS19" s="206" t="str">
        <f>IF(AND($A19&gt;=SYear85,$A19&lt;=EYear85,AS$3&gt;0),AS$3*Data_85_15!AS20,"")</f>
        <v/>
      </c>
      <c r="AT19" s="206" t="str">
        <f>IF(AND($A19&gt;=SYear85,$A19&lt;=EYear85,AT$3&gt;0),AT$3*Data_85_15!AT20,"")</f>
        <v/>
      </c>
      <c r="AU19" s="206" t="str">
        <f>IF(AND($A19&gt;=SYear85,$A19&lt;=EYear85,AU$3&gt;0),AU$3*Data_85_15!AU20,"")</f>
        <v/>
      </c>
      <c r="AV19" s="206" t="str">
        <f>IF(AND($A19&gt;=SYear85,$A19&lt;=EYear85,AV$3&gt;0),AV$3*Data_85_15!AV20,"")</f>
        <v/>
      </c>
      <c r="AW19" s="206" t="str">
        <f>IF(AND($A19&gt;=SYear85,$A19&lt;=EYear85,AW$3&gt;0),AW$3*Data_85_15!AW20,"")</f>
        <v/>
      </c>
      <c r="AX19" s="206" t="str">
        <f>IF(AND($A19&gt;=SYear85,$A19&lt;=EYear85,AX$3&gt;0),AX$3*Data_85_15!AX20,"")</f>
        <v/>
      </c>
      <c r="AY19" s="206" t="str">
        <f>IF(AND($A19&gt;=SYear85,$A19&lt;=EYear85,AY$3&gt;0),AY$3*Data_85_15!AY20,"")</f>
        <v/>
      </c>
      <c r="AZ19" s="206">
        <f t="shared" si="2"/>
        <v>7.1667593733195512</v>
      </c>
      <c r="BA19" s="446">
        <f t="shared" si="16"/>
        <v>33459.145087087425</v>
      </c>
      <c r="BB19" s="206">
        <f>IF(AND($A19&gt;=SYear85,$A19&lt;=EYear85),(AZ19-Data_85_15!AZ20)/(1+Data_85_15!AZ20%),"")</f>
        <v>5.3728954532453708</v>
      </c>
      <c r="BC19" s="606">
        <f t="shared" si="17"/>
        <v>21842.826891942383</v>
      </c>
      <c r="BD19" s="143">
        <f t="shared" si="3"/>
        <v>2.8094687113516148</v>
      </c>
      <c r="BE19" s="143">
        <f>IF(AND($A19&gt;=SYear85,$A19&lt;=EYear85),MAX($BD$7:BD19),"")</f>
        <v>2.8094687113516148</v>
      </c>
      <c r="BF19" s="209">
        <f t="shared" si="4"/>
        <v>0</v>
      </c>
      <c r="BI19" s="143">
        <f>IF(AND($A19&gt;=SYear85,$A19&lt;=EYear85),Data_85_15!$V20,"")</f>
        <v>5.12</v>
      </c>
      <c r="BJ19" s="143">
        <f>IF(AND($A19&gt;=SYear85,$A19&lt;=EYear85),Data_85_15!$AZ20,"")</f>
        <v>1.7023959646910614</v>
      </c>
      <c r="BK19" s="143">
        <f t="shared" si="5"/>
        <v>3.3603967761934137</v>
      </c>
      <c r="BN19" s="61">
        <f t="shared" si="6"/>
        <v>7.1667593733195423E-2</v>
      </c>
      <c r="BO19" s="61">
        <f t="shared" si="7"/>
        <v>5.6118465208503832E-2</v>
      </c>
      <c r="BP19" s="61">
        <f t="shared" si="8"/>
        <v>5.7602030279936489E-2</v>
      </c>
      <c r="BQ19" s="61">
        <f t="shared" si="9"/>
        <v>8.5047272742247104E-2</v>
      </c>
      <c r="BR19" s="61">
        <f t="shared" si="10"/>
        <v>9.2807162904199547E-2</v>
      </c>
      <c r="BU19" s="61">
        <f t="shared" si="11"/>
        <v>5.3728954532453743E-2</v>
      </c>
      <c r="BV19" s="61">
        <f t="shared" si="12"/>
        <v>3.5425822304402166E-2</v>
      </c>
      <c r="BW19" s="61">
        <f t="shared" si="13"/>
        <v>3.4988686555557091E-2</v>
      </c>
      <c r="BX19" s="61">
        <f t="shared" si="14"/>
        <v>5.922168132407335E-2</v>
      </c>
      <c r="BY19" s="61">
        <f t="shared" si="15"/>
        <v>6.7411555343432683E-2</v>
      </c>
    </row>
    <row r="20" spans="1:77">
      <c r="A20" s="204">
        <f t="shared" si="18"/>
        <v>1998</v>
      </c>
      <c r="B20" s="206" t="str">
        <f>IF(AND($A20&gt;=SYear85,$A20&lt;=EYear85,B$3&gt;0),B$3*Data_85_15!B21,"")</f>
        <v/>
      </c>
      <c r="C20" s="206" t="str">
        <f>IF(AND($A20&gt;=SYear85,$A20&lt;=EYear85,C$3&gt;0),C$3*Data_85_15!C21,"")</f>
        <v/>
      </c>
      <c r="D20" s="206" t="str">
        <f>IF(AND($A20&gt;=SYear85,$A20&lt;=EYear85,D$3&gt;0),D$3*Data_85_15!D21,"")</f>
        <v/>
      </c>
      <c r="E20" s="206" t="str">
        <f>IF(AND($A20&gt;=SYear85,$A20&lt;=EYear85,E$3&gt;0),E$3*Data_85_15!E21,"")</f>
        <v/>
      </c>
      <c r="F20" s="206">
        <f>IF(AND($A20&gt;=SYear85,$A20&lt;=EYear85,F$3&gt;0),F$3*Data_85_15!F21,"")</f>
        <v>2.4618377731218195</v>
      </c>
      <c r="G20" s="206" t="str">
        <f>IF(AND($A20&gt;=SYear85,$A20&lt;=EYear85,G$3&gt;0),G$3*Data_85_15!G21,"")</f>
        <v/>
      </c>
      <c r="H20" s="206" t="str">
        <f>IF(AND($A20&gt;=SYear85,$A20&lt;=EYear85,H$3&gt;0),H$3*Data_85_15!H21,"")</f>
        <v/>
      </c>
      <c r="I20" s="206" t="str">
        <f>IF(AND($A20&gt;=SYear85,$A20&lt;=EYear85,I$3&gt;0),I$3*Data_85_15!I21,"")</f>
        <v/>
      </c>
      <c r="J20" s="206" t="str">
        <f>IF(AND($A20&gt;=SYear85,$A20&lt;=EYear85,J$3&gt;0),J$3*Data_85_15!J21,"")</f>
        <v/>
      </c>
      <c r="K20" s="206" t="str">
        <f>IF(AND($A20&gt;=SYear85,$A20&lt;=EYear85,K$3&gt;0),K$3*Data_85_15!K21,"")</f>
        <v/>
      </c>
      <c r="L20" s="206" t="str">
        <f>IF(AND($A20&gt;=SYear85,$A20&lt;=EYear85,L$3&gt;0),L$3*Data_85_15!L21,"")</f>
        <v/>
      </c>
      <c r="M20" s="206" t="str">
        <f>IF(AND($A20&gt;=SYear85,$A20&lt;=EYear85,M$3&gt;0),M$3*Data_85_15!M21,"")</f>
        <v/>
      </c>
      <c r="N20" s="206" t="str">
        <f>IF(AND($A20&gt;=SYear85,$A20&lt;=EYear85,N$3&gt;0),N$3*Data_85_15!N21,"")</f>
        <v/>
      </c>
      <c r="O20" s="206" t="str">
        <f>IF(AND($A20&gt;=SYear85,$A20&lt;=EYear85,O$3&gt;0),O$3*Data_85_15!O21,"")</f>
        <v/>
      </c>
      <c r="P20" s="206" t="str">
        <f>IF(AND($A20&gt;=SYear85,$A20&lt;=EYear85,P$3&gt;0),P$3*Data_85_15!P21,"")</f>
        <v/>
      </c>
      <c r="Q20" s="206" t="str">
        <f>IF(AND($A20&gt;=SYear85,$A20&lt;=EYear85,Q$3&gt;0),Q$3*Data_85_15!Q21,"")</f>
        <v/>
      </c>
      <c r="R20" s="206" t="str">
        <f>IF(AND($A20&gt;=SYear85,$A20&lt;=EYear85,R$3&gt;0),R$3*Data_85_15!R21,"")</f>
        <v/>
      </c>
      <c r="S20" s="206">
        <f>IF(AND($A20&gt;=SYear85,$A20&lt;=EYear85,S$3&gt;0),S$3*Data_85_15!S21,"")</f>
        <v>3.2625000000000002</v>
      </c>
      <c r="T20" s="206" t="str">
        <f>IF(AND($A20&gt;=SYear85,$A20&lt;=EYear85,T$3&gt;0),T$3*Data_85_15!T21,"")</f>
        <v/>
      </c>
      <c r="U20" s="206" t="str">
        <f>IF(AND($A20&gt;=SYear85,$A20&lt;=EYear85,U$3&gt;0),U$3*Data_85_15!U21,"")</f>
        <v/>
      </c>
      <c r="V20" s="206" t="str">
        <f>IF(AND($A20&gt;=SYear85,$A20&lt;=EYear85,V$3&gt;0),V$3*Data_85_15!V21,"")</f>
        <v/>
      </c>
      <c r="W20" s="206">
        <f>IF(AND($A20&gt;=SYear85,$A20&lt;=EYear85,W$3&gt;0),W$3*Data_85_15!W21,"")</f>
        <v>0.64870259481037917</v>
      </c>
      <c r="X20" s="206" t="str">
        <f>IF(AND($A20&gt;=SYear85,$A20&lt;=EYear85,X$3&gt;0),X$3*Data_85_15!X21,"")</f>
        <v/>
      </c>
      <c r="Y20" s="206" t="str">
        <f>IF(AND($A20&gt;=SYear85,$A20&lt;=EYear85,Y$3&gt;0),Y$3*Data_85_15!Y21,"")</f>
        <v/>
      </c>
      <c r="Z20" s="206" t="str">
        <f>IF(AND($A20&gt;=SYear85,$A20&lt;=EYear85,Z$3&gt;0),Z$3*Data_85_15!Z21,"")</f>
        <v/>
      </c>
      <c r="AA20" s="206" t="str">
        <f>IF(AND($A20&gt;=SYear85,$A20&lt;=EYear85,AA$3&gt;0),AA$3*Data_85_15!AA21,"")</f>
        <v/>
      </c>
      <c r="AB20" s="206" t="str">
        <f>IF(AND($A20&gt;=SYear85,$A20&lt;=EYear85,AB$3&gt;0),AB$3*Data_85_15!AB21,"")</f>
        <v/>
      </c>
      <c r="AC20" s="206" t="str">
        <f>IF(AND($A20&gt;=SYear85,$A20&lt;=EYear85,AC$3&gt;0),AC$3*Data_85_15!AC21,"")</f>
        <v/>
      </c>
      <c r="AD20" s="206" t="str">
        <f>IF(AND($A20&gt;=SYear85,$A20&lt;=EYear85,AD$3&gt;0),AD$3*Data_85_15!AD21,"")</f>
        <v/>
      </c>
      <c r="AE20" s="206" t="str">
        <f>IF(AND($A20&gt;=SYear85,$A20&lt;=EYear85,AE$3&gt;0),AE$3*Data_85_15!AE21,"")</f>
        <v/>
      </c>
      <c r="AF20" s="206" t="str">
        <f>IF(AND($A20&gt;=SYear85,$A20&lt;=EYear85,AF$3&gt;0),AF$3*Data_85_15!AF21,"")</f>
        <v/>
      </c>
      <c r="AG20" s="206" t="str">
        <f>IF(AND($A20&gt;=SYear85,$A20&lt;=EYear85,AG$3&gt;0),AG$3*Data_85_15!AG21,"")</f>
        <v/>
      </c>
      <c r="AH20" s="206" t="str">
        <f>IF(AND($A20&gt;=SYear85,$A20&lt;=EYear85,AH$3&gt;0),AH$3*Data_85_15!AH21,"")</f>
        <v/>
      </c>
      <c r="AI20" s="206" t="str">
        <f>IF(AND($A20&gt;=SYear85,$A20&lt;=EYear85,AI$3&gt;0),AI$3*Data_85_15!AI21,"")</f>
        <v/>
      </c>
      <c r="AJ20" s="206" t="str">
        <f>IF(AND($A20&gt;=SYear85,$A20&lt;=EYear85,AJ$3&gt;0),AJ$3*Data_85_15!AJ21,"")</f>
        <v/>
      </c>
      <c r="AK20" s="206" t="str">
        <f>IF(AND($A20&gt;=SYear85,$A20&lt;=EYear85,AK$3&gt;0),AK$3*Data_85_15!AK21,"")</f>
        <v/>
      </c>
      <c r="AL20" s="206" t="str">
        <f>IF(AND($A20&gt;=SYear85,$A20&lt;=EYear85,AL$3&gt;0),AL$3*Data_85_15!AL21,"")</f>
        <v/>
      </c>
      <c r="AM20" s="206" t="str">
        <f>IF(AND($A20&gt;=SYear85,$A20&lt;=EYear85,AM$3&gt;0),AM$3*Data_85_15!AM21,"")</f>
        <v/>
      </c>
      <c r="AN20" s="206" t="str">
        <f>IF(AND($A20&gt;=SYear85,$A20&lt;=EYear85,AN$3&gt;0),AN$3*Data_85_15!AN21,"")</f>
        <v/>
      </c>
      <c r="AO20" s="206">
        <f>IF(AND($A20&gt;=SYear85,$A20&lt;=EYear85,AO$3&gt;0),AO$3*Data_85_15!AO21,"")</f>
        <v>-0.30553183544251467</v>
      </c>
      <c r="AP20" s="206" t="str">
        <f>IF(AND($A20&gt;=SYear85,$A20&lt;=EYear85,AP$3&gt;0),AP$3*Data_85_15!AP21,"")</f>
        <v/>
      </c>
      <c r="AQ20" s="206" t="str">
        <f>IF(AND($A20&gt;=SYear85,$A20&lt;=EYear85,AQ$3&gt;0),AQ$3*Data_85_15!AQ21,"")</f>
        <v/>
      </c>
      <c r="AR20" s="206" t="str">
        <f>IF(AND($A20&gt;=SYear85,$A20&lt;=EYear85,AR$3&gt;0),AR$3*Data_85_15!AR21,"")</f>
        <v/>
      </c>
      <c r="AS20" s="206" t="str">
        <f>IF(AND($A20&gt;=SYear85,$A20&lt;=EYear85,AS$3&gt;0),AS$3*Data_85_15!AS21,"")</f>
        <v/>
      </c>
      <c r="AT20" s="206" t="str">
        <f>IF(AND($A20&gt;=SYear85,$A20&lt;=EYear85,AT$3&gt;0),AT$3*Data_85_15!AT21,"")</f>
        <v/>
      </c>
      <c r="AU20" s="206" t="str">
        <f>IF(AND($A20&gt;=SYear85,$A20&lt;=EYear85,AU$3&gt;0),AU$3*Data_85_15!AU21,"")</f>
        <v/>
      </c>
      <c r="AV20" s="206" t="str">
        <f>IF(AND($A20&gt;=SYear85,$A20&lt;=EYear85,AV$3&gt;0),AV$3*Data_85_15!AV21,"")</f>
        <v/>
      </c>
      <c r="AW20" s="206" t="str">
        <f>IF(AND($A20&gt;=SYear85,$A20&lt;=EYear85,AW$3&gt;0),AW$3*Data_85_15!AW21,"")</f>
        <v/>
      </c>
      <c r="AX20" s="206" t="str">
        <f>IF(AND($A20&gt;=SYear85,$A20&lt;=EYear85,AX$3&gt;0),AX$3*Data_85_15!AX21,"")</f>
        <v/>
      </c>
      <c r="AY20" s="206" t="str">
        <f>IF(AND($A20&gt;=SYear85,$A20&lt;=EYear85,AY$3&gt;0),AY$3*Data_85_15!AY21,"")</f>
        <v/>
      </c>
      <c r="AZ20" s="206">
        <f t="shared" si="2"/>
        <v>6.0675085324896836</v>
      </c>
      <c r="BA20" s="446">
        <f t="shared" si="16"/>
        <v>35489.281570144551</v>
      </c>
      <c r="BB20" s="206">
        <f>IF(AND($A20&gt;=SYear85,$A20&lt;=EYear85),(AZ20-Data_85_15!AZ21)/(1+Data_85_15!AZ21%),"")</f>
        <v>4.3849245045185237</v>
      </c>
      <c r="BC20" s="606">
        <f t="shared" si="17"/>
        <v>22800.618360806726</v>
      </c>
      <c r="BD20" s="143">
        <f t="shared" si="3"/>
        <v>2.9799334651305016</v>
      </c>
      <c r="BE20" s="143">
        <f>IF(AND($A20&gt;=SYear85,$A20&lt;=EYear85),MAX($BD$7:BD20),"")</f>
        <v>2.9799334651305016</v>
      </c>
      <c r="BF20" s="209">
        <f t="shared" si="4"/>
        <v>0</v>
      </c>
      <c r="BI20" s="143">
        <f>IF(AND($A20&gt;=SYear85,$A20&lt;=EYear85),Data_85_15!$V21,"")</f>
        <v>5</v>
      </c>
      <c r="BJ20" s="143">
        <f>IF(AND($A20&gt;=SYear85,$A20&lt;=EYear85),Data_85_15!$AZ21,"")</f>
        <v>1.6119032858028515</v>
      </c>
      <c r="BK20" s="143">
        <f t="shared" si="5"/>
        <v>3.3343502135448446</v>
      </c>
      <c r="BN20" s="61">
        <f t="shared" si="6"/>
        <v>6.0675085324896738E-2</v>
      </c>
      <c r="BO20" s="61">
        <f t="shared" si="7"/>
        <v>6.2585875333821539E-2</v>
      </c>
      <c r="BP20" s="61">
        <f t="shared" si="8"/>
        <v>6.4882591119521438E-2</v>
      </c>
      <c r="BQ20" s="61">
        <f t="shared" si="9"/>
        <v>9.2112093386893301E-2</v>
      </c>
      <c r="BR20" s="61">
        <f t="shared" si="10"/>
        <v>9.3481166851003383E-2</v>
      </c>
      <c r="BU20" s="61">
        <f t="shared" si="11"/>
        <v>4.3849245045185281E-2</v>
      </c>
      <c r="BV20" s="61">
        <f t="shared" si="12"/>
        <v>3.607790377016018E-2</v>
      </c>
      <c r="BW20" s="61">
        <f t="shared" si="13"/>
        <v>4.0736742445758756E-2</v>
      </c>
      <c r="BX20" s="61">
        <f t="shared" si="14"/>
        <v>6.3656207791980224E-2</v>
      </c>
      <c r="BY20" s="61">
        <f>IF(AND($A20&gt;=SYear85,$A20&lt;=EYear85),IF($A20=SYear85,(($BC36/$BC$4)^(1/(1+($A36-$A20)))-1),(($BC36/$BC19)^(1/(1+($A36-$A20)))-1)),"")</f>
        <v>6.1992442655558255E-2</v>
      </c>
    </row>
    <row r="21" spans="1:77">
      <c r="A21" s="204">
        <f t="shared" si="18"/>
        <v>1999</v>
      </c>
      <c r="B21" s="206" t="str">
        <f>IF(AND($A21&gt;=SYear85,$A21&lt;=EYear85,B$3&gt;0),B$3*Data_85_15!B22,"")</f>
        <v/>
      </c>
      <c r="C21" s="206" t="str">
        <f>IF(AND($A21&gt;=SYear85,$A21&lt;=EYear85,C$3&gt;0),C$3*Data_85_15!C22,"")</f>
        <v/>
      </c>
      <c r="D21" s="206" t="str">
        <f>IF(AND($A21&gt;=SYear85,$A21&lt;=EYear85,D$3&gt;0),D$3*Data_85_15!D22,"")</f>
        <v/>
      </c>
      <c r="E21" s="206" t="str">
        <f>IF(AND($A21&gt;=SYear85,$A21&lt;=EYear85,E$3&gt;0),E$3*Data_85_15!E22,"")</f>
        <v/>
      </c>
      <c r="F21" s="206">
        <f>IF(AND($A21&gt;=SYear85,$A21&lt;=EYear85,F$3&gt;0),F$3*Data_85_15!F22,"")</f>
        <v>3.7638431607303202</v>
      </c>
      <c r="G21" s="206" t="str">
        <f>IF(AND($A21&gt;=SYear85,$A21&lt;=EYear85,G$3&gt;0),G$3*Data_85_15!G22,"")</f>
        <v/>
      </c>
      <c r="H21" s="206" t="str">
        <f>IF(AND($A21&gt;=SYear85,$A21&lt;=EYear85,H$3&gt;0),H$3*Data_85_15!H22,"")</f>
        <v/>
      </c>
      <c r="I21" s="206" t="str">
        <f>IF(AND($A21&gt;=SYear85,$A21&lt;=EYear85,I$3&gt;0),I$3*Data_85_15!I22,"")</f>
        <v/>
      </c>
      <c r="J21" s="206" t="str">
        <f>IF(AND($A21&gt;=SYear85,$A21&lt;=EYear85,J$3&gt;0),J$3*Data_85_15!J22,"")</f>
        <v/>
      </c>
      <c r="K21" s="206" t="str">
        <f>IF(AND($A21&gt;=SYear85,$A21&lt;=EYear85,K$3&gt;0),K$3*Data_85_15!K22,"")</f>
        <v/>
      </c>
      <c r="L21" s="206" t="str">
        <f>IF(AND($A21&gt;=SYear85,$A21&lt;=EYear85,L$3&gt;0),L$3*Data_85_15!L22,"")</f>
        <v/>
      </c>
      <c r="M21" s="206" t="str">
        <f>IF(AND($A21&gt;=SYear85,$A21&lt;=EYear85,M$3&gt;0),M$3*Data_85_15!M22,"")</f>
        <v/>
      </c>
      <c r="N21" s="206" t="str">
        <f>IF(AND($A21&gt;=SYear85,$A21&lt;=EYear85,N$3&gt;0),N$3*Data_85_15!N22,"")</f>
        <v/>
      </c>
      <c r="O21" s="206" t="str">
        <f>IF(AND($A21&gt;=SYear85,$A21&lt;=EYear85,O$3&gt;0),O$3*Data_85_15!O22,"")</f>
        <v/>
      </c>
      <c r="P21" s="206" t="str">
        <f>IF(AND($A21&gt;=SYear85,$A21&lt;=EYear85,P$3&gt;0),P$3*Data_85_15!P22,"")</f>
        <v/>
      </c>
      <c r="Q21" s="206" t="str">
        <f>IF(AND($A21&gt;=SYear85,$A21&lt;=EYear85,Q$3&gt;0),Q$3*Data_85_15!Q22,"")</f>
        <v/>
      </c>
      <c r="R21" s="206" t="str">
        <f>IF(AND($A21&gt;=SYear85,$A21&lt;=EYear85,R$3&gt;0),R$3*Data_85_15!R22,"")</f>
        <v/>
      </c>
      <c r="S21" s="206">
        <f>IF(AND($A21&gt;=SYear85,$A21&lt;=EYear85,S$3&gt;0),S$3*Data_85_15!S22,"")</f>
        <v>-2.165</v>
      </c>
      <c r="T21" s="206" t="str">
        <f>IF(AND($A21&gt;=SYear85,$A21&lt;=EYear85,T$3&gt;0),T$3*Data_85_15!T22,"")</f>
        <v/>
      </c>
      <c r="U21" s="206" t="str">
        <f>IF(AND($A21&gt;=SYear85,$A21&lt;=EYear85,U$3&gt;0),U$3*Data_85_15!U22,"")</f>
        <v/>
      </c>
      <c r="V21" s="206" t="str">
        <f>IF(AND($A21&gt;=SYear85,$A21&lt;=EYear85,V$3&gt;0),V$3*Data_85_15!V22,"")</f>
        <v/>
      </c>
      <c r="W21" s="206">
        <f>IF(AND($A21&gt;=SYear85,$A21&lt;=EYear85,W$3&gt;0),W$3*Data_85_15!W22,"")</f>
        <v>1.9211576846307385</v>
      </c>
      <c r="X21" s="206" t="str">
        <f>IF(AND($A21&gt;=SYear85,$A21&lt;=EYear85,X$3&gt;0),X$3*Data_85_15!X22,"")</f>
        <v/>
      </c>
      <c r="Y21" s="206" t="str">
        <f>IF(AND($A21&gt;=SYear85,$A21&lt;=EYear85,Y$3&gt;0),Y$3*Data_85_15!Y22,"")</f>
        <v/>
      </c>
      <c r="Z21" s="206" t="str">
        <f>IF(AND($A21&gt;=SYear85,$A21&lt;=EYear85,Z$3&gt;0),Z$3*Data_85_15!Z22,"")</f>
        <v/>
      </c>
      <c r="AA21" s="206" t="str">
        <f>IF(AND($A21&gt;=SYear85,$A21&lt;=EYear85,AA$3&gt;0),AA$3*Data_85_15!AA22,"")</f>
        <v/>
      </c>
      <c r="AB21" s="206" t="str">
        <f>IF(AND($A21&gt;=SYear85,$A21&lt;=EYear85,AB$3&gt;0),AB$3*Data_85_15!AB22,"")</f>
        <v/>
      </c>
      <c r="AC21" s="206" t="str">
        <f>IF(AND($A21&gt;=SYear85,$A21&lt;=EYear85,AC$3&gt;0),AC$3*Data_85_15!AC22,"")</f>
        <v/>
      </c>
      <c r="AD21" s="206" t="str">
        <f>IF(AND($A21&gt;=SYear85,$A21&lt;=EYear85,AD$3&gt;0),AD$3*Data_85_15!AD22,"")</f>
        <v/>
      </c>
      <c r="AE21" s="206" t="str">
        <f>IF(AND($A21&gt;=SYear85,$A21&lt;=EYear85,AE$3&gt;0),AE$3*Data_85_15!AE22,"")</f>
        <v/>
      </c>
      <c r="AF21" s="206" t="str">
        <f>IF(AND($A21&gt;=SYear85,$A21&lt;=EYear85,AF$3&gt;0),AF$3*Data_85_15!AF22,"")</f>
        <v/>
      </c>
      <c r="AG21" s="206" t="str">
        <f>IF(AND($A21&gt;=SYear85,$A21&lt;=EYear85,AG$3&gt;0),AG$3*Data_85_15!AG22,"")</f>
        <v/>
      </c>
      <c r="AH21" s="206" t="str">
        <f>IF(AND($A21&gt;=SYear85,$A21&lt;=EYear85,AH$3&gt;0),AH$3*Data_85_15!AH22,"")</f>
        <v/>
      </c>
      <c r="AI21" s="206" t="str">
        <f>IF(AND($A21&gt;=SYear85,$A21&lt;=EYear85,AI$3&gt;0),AI$3*Data_85_15!AI22,"")</f>
        <v/>
      </c>
      <c r="AJ21" s="206" t="str">
        <f>IF(AND($A21&gt;=SYear85,$A21&lt;=EYear85,AJ$3&gt;0),AJ$3*Data_85_15!AJ22,"")</f>
        <v/>
      </c>
      <c r="AK21" s="206" t="str">
        <f>IF(AND($A21&gt;=SYear85,$A21&lt;=EYear85,AK$3&gt;0),AK$3*Data_85_15!AK22,"")</f>
        <v/>
      </c>
      <c r="AL21" s="206" t="str">
        <f>IF(AND($A21&gt;=SYear85,$A21&lt;=EYear85,AL$3&gt;0),AL$3*Data_85_15!AL22,"")</f>
        <v/>
      </c>
      <c r="AM21" s="206" t="str">
        <f>IF(AND($A21&gt;=SYear85,$A21&lt;=EYear85,AM$3&gt;0),AM$3*Data_85_15!AM22,"")</f>
        <v/>
      </c>
      <c r="AN21" s="206" t="str">
        <f>IF(AND($A21&gt;=SYear85,$A21&lt;=EYear85,AN$3&gt;0),AN$3*Data_85_15!AN22,"")</f>
        <v/>
      </c>
      <c r="AO21" s="206">
        <f>IF(AND($A21&gt;=SYear85,$A21&lt;=EYear85,AO$3&gt;0),AO$3*Data_85_15!AO22,"")</f>
        <v>0.11237191608825196</v>
      </c>
      <c r="AP21" s="206" t="str">
        <f>IF(AND($A21&gt;=SYear85,$A21&lt;=EYear85,AP$3&gt;0),AP$3*Data_85_15!AP22,"")</f>
        <v/>
      </c>
      <c r="AQ21" s="206" t="str">
        <f>IF(AND($A21&gt;=SYear85,$A21&lt;=EYear85,AQ$3&gt;0),AQ$3*Data_85_15!AQ22,"")</f>
        <v/>
      </c>
      <c r="AR21" s="206" t="str">
        <f>IF(AND($A21&gt;=SYear85,$A21&lt;=EYear85,AR$3&gt;0),AR$3*Data_85_15!AR22,"")</f>
        <v/>
      </c>
      <c r="AS21" s="206" t="str">
        <f>IF(AND($A21&gt;=SYear85,$A21&lt;=EYear85,AS$3&gt;0),AS$3*Data_85_15!AS22,"")</f>
        <v/>
      </c>
      <c r="AT21" s="206" t="str">
        <f>IF(AND($A21&gt;=SYear85,$A21&lt;=EYear85,AT$3&gt;0),AT$3*Data_85_15!AT22,"")</f>
        <v/>
      </c>
      <c r="AU21" s="206" t="str">
        <f>IF(AND($A21&gt;=SYear85,$A21&lt;=EYear85,AU$3&gt;0),AU$3*Data_85_15!AU22,"")</f>
        <v/>
      </c>
      <c r="AV21" s="206" t="str">
        <f>IF(AND($A21&gt;=SYear85,$A21&lt;=EYear85,AV$3&gt;0),AV$3*Data_85_15!AV22,"")</f>
        <v/>
      </c>
      <c r="AW21" s="206" t="str">
        <f>IF(AND($A21&gt;=SYear85,$A21&lt;=EYear85,AW$3&gt;0),AW$3*Data_85_15!AW22,"")</f>
        <v/>
      </c>
      <c r="AX21" s="206" t="str">
        <f>IF(AND($A21&gt;=SYear85,$A21&lt;=EYear85,AX$3&gt;0),AX$3*Data_85_15!AX22,"")</f>
        <v/>
      </c>
      <c r="AY21" s="206" t="str">
        <f>IF(AND($A21&gt;=SYear85,$A21&lt;=EYear85,AY$3&gt;0),AY$3*Data_85_15!AY22,"")</f>
        <v/>
      </c>
      <c r="AZ21" s="206">
        <f t="shared" si="2"/>
        <v>3.6323727614493109</v>
      </c>
      <c r="BA21" s="446">
        <f t="shared" si="16"/>
        <v>36778.384567132533</v>
      </c>
      <c r="BB21" s="206">
        <f>IF(AND($A21&gt;=SYear85,$A21&lt;=EYear85),(AZ21-Data_85_15!AZ22)/(1+Data_85_15!AZ22%),"")</f>
        <v>0.92302968271861374</v>
      </c>
      <c r="BC21" s="606">
        <f t="shared" si="17"/>
        <v>23011.074836120366</v>
      </c>
      <c r="BD21" s="143">
        <f t="shared" si="3"/>
        <v>3.0881757566272148</v>
      </c>
      <c r="BE21" s="143">
        <f>IF(AND($A21&gt;=SYear85,$A21&lt;=EYear85),MAX($BD$7:BD21),"")</f>
        <v>3.0881757566272148</v>
      </c>
      <c r="BF21" s="209">
        <f t="shared" si="4"/>
        <v>0</v>
      </c>
      <c r="BI21" s="143">
        <f>IF(AND($A21&gt;=SYear85,$A21&lt;=EYear85),Data_85_15!$V22,"")</f>
        <v>4.55</v>
      </c>
      <c r="BJ21" s="143">
        <f>IF(AND($A21&gt;=SYear85,$A21&lt;=EYear85),Data_85_15!$AZ22,"")</f>
        <v>2.6845637583892579</v>
      </c>
      <c r="BK21" s="143">
        <f t="shared" si="5"/>
        <v>1.8166666666666704</v>
      </c>
      <c r="BN21" s="61">
        <f t="shared" si="6"/>
        <v>3.6323727614493206E-2</v>
      </c>
      <c r="BO21" s="61">
        <f t="shared" si="7"/>
        <v>5.1936774490770832E-2</v>
      </c>
      <c r="BP21" s="61">
        <f t="shared" si="8"/>
        <v>8.4092178156744968E-2</v>
      </c>
      <c r="BQ21" s="61">
        <f t="shared" si="9"/>
        <v>8.0939302177966743E-2</v>
      </c>
      <c r="BR21" s="61">
        <f t="shared" si="10"/>
        <v>8.6370926639816492E-2</v>
      </c>
      <c r="BU21" s="61">
        <f t="shared" si="11"/>
        <v>9.2302968271862351E-3</v>
      </c>
      <c r="BV21" s="61">
        <f t="shared" si="12"/>
        <v>2.5897029933513505E-2</v>
      </c>
      <c r="BW21" s="61">
        <f t="shared" si="13"/>
        <v>5.8953608553470316E-2</v>
      </c>
      <c r="BX21" s="61">
        <f t="shared" si="14"/>
        <v>5.4362976014781683E-2</v>
      </c>
      <c r="BY21" s="61">
        <f>IF(AND($A21&gt;=SYear85,$A21&lt;=EYear85),IF($A21=SYear85,(($BC37/$BC$4)^(1/(1+($A37-$A21)))-1),(($BC37/$BC20)^(1/(1+($A37-$A21)))-1)),"")</f>
        <v>5.6403345441122577E-2</v>
      </c>
    </row>
    <row r="22" spans="1:77">
      <c r="A22" s="204">
        <f t="shared" si="18"/>
        <v>2000</v>
      </c>
      <c r="B22" s="206" t="str">
        <f>IF(AND($A22&gt;=SYear85,$A22&lt;=EYear85,B$3&gt;0),B$3*Data_85_15!B23,"")</f>
        <v/>
      </c>
      <c r="C22" s="206" t="str">
        <f>IF(AND($A22&gt;=SYear85,$A22&lt;=EYear85,C$3&gt;0),C$3*Data_85_15!C23,"")</f>
        <v/>
      </c>
      <c r="D22" s="206" t="str">
        <f>IF(AND($A22&gt;=SYear85,$A22&lt;=EYear85,D$3&gt;0),D$3*Data_85_15!D23,"")</f>
        <v/>
      </c>
      <c r="E22" s="206" t="str">
        <f>IF(AND($A22&gt;=SYear85,$A22&lt;=EYear85,E$3&gt;0),E$3*Data_85_15!E23,"")</f>
        <v/>
      </c>
      <c r="F22" s="206">
        <f>IF(AND($A22&gt;=SYear85,$A22&lt;=EYear85,F$3&gt;0),F$3*Data_85_15!F23,"")</f>
        <v>4.5250000000000004</v>
      </c>
      <c r="G22" s="206" t="str">
        <f>IF(AND($A22&gt;=SYear85,$A22&lt;=EYear85,G$3&gt;0),G$3*Data_85_15!G23,"")</f>
        <v/>
      </c>
      <c r="H22" s="206" t="str">
        <f>IF(AND($A22&gt;=SYear85,$A22&lt;=EYear85,H$3&gt;0),H$3*Data_85_15!H23,"")</f>
        <v/>
      </c>
      <c r="I22" s="206" t="str">
        <f>IF(AND($A22&gt;=SYear85,$A22&lt;=EYear85,I$3&gt;0),I$3*Data_85_15!I23,"")</f>
        <v/>
      </c>
      <c r="J22" s="206" t="str">
        <f>IF(AND($A22&gt;=SYear85,$A22&lt;=EYear85,J$3&gt;0),J$3*Data_85_15!J23,"")</f>
        <v/>
      </c>
      <c r="K22" s="206" t="str">
        <f>IF(AND($A22&gt;=SYear85,$A22&lt;=EYear85,K$3&gt;0),K$3*Data_85_15!K23,"")</f>
        <v/>
      </c>
      <c r="L22" s="206" t="str">
        <f>IF(AND($A22&gt;=SYear85,$A22&lt;=EYear85,L$3&gt;0),L$3*Data_85_15!L23,"")</f>
        <v/>
      </c>
      <c r="M22" s="206" t="str">
        <f>IF(AND($A22&gt;=SYear85,$A22&lt;=EYear85,M$3&gt;0),M$3*Data_85_15!M23,"")</f>
        <v/>
      </c>
      <c r="N22" s="206" t="str">
        <f>IF(AND($A22&gt;=SYear85,$A22&lt;=EYear85,N$3&gt;0),N$3*Data_85_15!N23,"")</f>
        <v/>
      </c>
      <c r="O22" s="206" t="str">
        <f>IF(AND($A22&gt;=SYear85,$A22&lt;=EYear85,O$3&gt;0),O$3*Data_85_15!O23,"")</f>
        <v/>
      </c>
      <c r="P22" s="206" t="str">
        <f>IF(AND($A22&gt;=SYear85,$A22&lt;=EYear85,P$3&gt;0),P$3*Data_85_15!P23,"")</f>
        <v/>
      </c>
      <c r="Q22" s="206" t="str">
        <f>IF(AND($A22&gt;=SYear85,$A22&lt;=EYear85,Q$3&gt;0),Q$3*Data_85_15!Q23,"")</f>
        <v/>
      </c>
      <c r="R22" s="206" t="str">
        <f>IF(AND($A22&gt;=SYear85,$A22&lt;=EYear85,R$3&gt;0),R$3*Data_85_15!R23,"")</f>
        <v/>
      </c>
      <c r="S22" s="206">
        <f>IF(AND($A22&gt;=SYear85,$A22&lt;=EYear85,S$3&gt;0),S$3*Data_85_15!S23,"")</f>
        <v>4.93</v>
      </c>
      <c r="T22" s="206" t="str">
        <f>IF(AND($A22&gt;=SYear85,$A22&lt;=EYear85,T$3&gt;0),T$3*Data_85_15!T23,"")</f>
        <v/>
      </c>
      <c r="U22" s="206" t="str">
        <f>IF(AND($A22&gt;=SYear85,$A22&lt;=EYear85,U$3&gt;0),U$3*Data_85_15!U23,"")</f>
        <v/>
      </c>
      <c r="V22" s="206" t="str">
        <f>IF(AND($A22&gt;=SYear85,$A22&lt;=EYear85,V$3&gt;0),V$3*Data_85_15!V23,"")</f>
        <v/>
      </c>
      <c r="W22" s="206">
        <f>IF(AND($A22&gt;=SYear85,$A22&lt;=EYear85,W$3&gt;0),W$3*Data_85_15!W23,"")</f>
        <v>1.1477045908183632</v>
      </c>
      <c r="X22" s="206" t="str">
        <f>IF(AND($A22&gt;=SYear85,$A22&lt;=EYear85,X$3&gt;0),X$3*Data_85_15!X23,"")</f>
        <v/>
      </c>
      <c r="Y22" s="206" t="str">
        <f>IF(AND($A22&gt;=SYear85,$A22&lt;=EYear85,Y$3&gt;0),Y$3*Data_85_15!Y23,"")</f>
        <v/>
      </c>
      <c r="Z22" s="206" t="str">
        <f>IF(AND($A22&gt;=SYear85,$A22&lt;=EYear85,Z$3&gt;0),Z$3*Data_85_15!Z23,"")</f>
        <v/>
      </c>
      <c r="AA22" s="206" t="str">
        <f>IF(AND($A22&gt;=SYear85,$A22&lt;=EYear85,AA$3&gt;0),AA$3*Data_85_15!AA23,"")</f>
        <v/>
      </c>
      <c r="AB22" s="206" t="str">
        <f>IF(AND($A22&gt;=SYear85,$A22&lt;=EYear85,AB$3&gt;0),AB$3*Data_85_15!AB23,"")</f>
        <v/>
      </c>
      <c r="AC22" s="206" t="str">
        <f>IF(AND($A22&gt;=SYear85,$A22&lt;=EYear85,AC$3&gt;0),AC$3*Data_85_15!AC23,"")</f>
        <v/>
      </c>
      <c r="AD22" s="206" t="str">
        <f>IF(AND($A22&gt;=SYear85,$A22&lt;=EYear85,AD$3&gt;0),AD$3*Data_85_15!AD23,"")</f>
        <v/>
      </c>
      <c r="AE22" s="206" t="str">
        <f>IF(AND($A22&gt;=SYear85,$A22&lt;=EYear85,AE$3&gt;0),AE$3*Data_85_15!AE23,"")</f>
        <v/>
      </c>
      <c r="AF22" s="206" t="str">
        <f>IF(AND($A22&gt;=SYear85,$A22&lt;=EYear85,AF$3&gt;0),AF$3*Data_85_15!AF23,"")</f>
        <v/>
      </c>
      <c r="AG22" s="206" t="str">
        <f>IF(AND($A22&gt;=SYear85,$A22&lt;=EYear85,AG$3&gt;0),AG$3*Data_85_15!AG23,"")</f>
        <v/>
      </c>
      <c r="AH22" s="206" t="str">
        <f>IF(AND($A22&gt;=SYear85,$A22&lt;=EYear85,AH$3&gt;0),AH$3*Data_85_15!AH23,"")</f>
        <v/>
      </c>
      <c r="AI22" s="206" t="str">
        <f>IF(AND($A22&gt;=SYear85,$A22&lt;=EYear85,AI$3&gt;0),AI$3*Data_85_15!AI23,"")</f>
        <v/>
      </c>
      <c r="AJ22" s="206" t="str">
        <f>IF(AND($A22&gt;=SYear85,$A22&lt;=EYear85,AJ$3&gt;0),AJ$3*Data_85_15!AJ23,"")</f>
        <v/>
      </c>
      <c r="AK22" s="206" t="str">
        <f>IF(AND($A22&gt;=SYear85,$A22&lt;=EYear85,AK$3&gt;0),AK$3*Data_85_15!AK23,"")</f>
        <v/>
      </c>
      <c r="AL22" s="206" t="str">
        <f>IF(AND($A22&gt;=SYear85,$A22&lt;=EYear85,AL$3&gt;0),AL$3*Data_85_15!AL23,"")</f>
        <v/>
      </c>
      <c r="AM22" s="206" t="str">
        <f>IF(AND($A22&gt;=SYear85,$A22&lt;=EYear85,AM$3&gt;0),AM$3*Data_85_15!AM23,"")</f>
        <v/>
      </c>
      <c r="AN22" s="206" t="str">
        <f>IF(AND($A22&gt;=SYear85,$A22&lt;=EYear85,AN$3&gt;0),AN$3*Data_85_15!AN23,"")</f>
        <v/>
      </c>
      <c r="AO22" s="206">
        <f>IF(AND($A22&gt;=SYear85,$A22&lt;=EYear85,AO$3&gt;0),AO$3*Data_85_15!AO23,"")</f>
        <v>-1.4550754775900716</v>
      </c>
      <c r="AP22" s="206" t="str">
        <f>IF(AND($A22&gt;=SYear85,$A22&lt;=EYear85,AP$3&gt;0),AP$3*Data_85_15!AP23,"")</f>
        <v/>
      </c>
      <c r="AQ22" s="206" t="str">
        <f>IF(AND($A22&gt;=SYear85,$A22&lt;=EYear85,AQ$3&gt;0),AQ$3*Data_85_15!AQ23,"")</f>
        <v/>
      </c>
      <c r="AR22" s="206" t="str">
        <f>IF(AND($A22&gt;=SYear85,$A22&lt;=EYear85,AR$3&gt;0),AR$3*Data_85_15!AR23,"")</f>
        <v/>
      </c>
      <c r="AS22" s="206" t="str">
        <f>IF(AND($A22&gt;=SYear85,$A22&lt;=EYear85,AS$3&gt;0),AS$3*Data_85_15!AS23,"")</f>
        <v/>
      </c>
      <c r="AT22" s="206" t="str">
        <f>IF(AND($A22&gt;=SYear85,$A22&lt;=EYear85,AT$3&gt;0),AT$3*Data_85_15!AT23,"")</f>
        <v/>
      </c>
      <c r="AU22" s="206" t="str">
        <f>IF(AND($A22&gt;=SYear85,$A22&lt;=EYear85,AU$3&gt;0),AU$3*Data_85_15!AU23,"")</f>
        <v/>
      </c>
      <c r="AV22" s="206" t="str">
        <f>IF(AND($A22&gt;=SYear85,$A22&lt;=EYear85,AV$3&gt;0),AV$3*Data_85_15!AV23,"")</f>
        <v/>
      </c>
      <c r="AW22" s="206" t="str">
        <f>IF(AND($A22&gt;=SYear85,$A22&lt;=EYear85,AW$3&gt;0),AW$3*Data_85_15!AW23,"")</f>
        <v/>
      </c>
      <c r="AX22" s="206" t="str">
        <f>IF(AND($A22&gt;=SYear85,$A22&lt;=EYear85,AX$3&gt;0),AX$3*Data_85_15!AX23,"")</f>
        <v/>
      </c>
      <c r="AY22" s="206" t="str">
        <f>IF(AND($A22&gt;=SYear85,$A22&lt;=EYear85,AY$3&gt;0),AY$3*Data_85_15!AY23,"")</f>
        <v/>
      </c>
      <c r="AZ22" s="206">
        <f t="shared" si="2"/>
        <v>9.147629113228291</v>
      </c>
      <c r="BA22" s="446">
        <f t="shared" si="16"/>
        <v>40142.734781170606</v>
      </c>
      <c r="BB22" s="206">
        <f>IF(AND($A22&gt;=SYear85,$A22&lt;=EYear85),(AZ22-Data_85_15!AZ23)/(1+Data_85_15!AZ23%),"")</f>
        <v>5.5721033319328974</v>
      </c>
      <c r="BC22" s="606">
        <f t="shared" si="17"/>
        <v>24293.275703777403</v>
      </c>
      <c r="BD22" s="143">
        <f t="shared" si="3"/>
        <v>3.3706706212081037</v>
      </c>
      <c r="BE22" s="143">
        <f>IF(AND($A22&gt;=SYear85,$A22&lt;=EYear85),MAX($BD$7:BD22),"")</f>
        <v>3.3706706212081037</v>
      </c>
      <c r="BF22" s="209">
        <f t="shared" si="4"/>
        <v>0</v>
      </c>
      <c r="BI22" s="143">
        <f>IF(AND($A22&gt;=SYear85,$A22&lt;=EYear85),Data_85_15!$V23,"")</f>
        <v>5.8</v>
      </c>
      <c r="BJ22" s="143">
        <f>IF(AND($A22&gt;=SYear85,$A22&lt;=EYear85),Data_85_15!$AZ23,"")</f>
        <v>3.3868092691621943</v>
      </c>
      <c r="BK22" s="143">
        <f t="shared" si="5"/>
        <v>2.3341379310344985</v>
      </c>
      <c r="BN22" s="61">
        <f t="shared" si="6"/>
        <v>9.1476291132282839E-2</v>
      </c>
      <c r="BO22" s="61">
        <f t="shared" si="7"/>
        <v>7.5995055084016716E-2</v>
      </c>
      <c r="BP22" s="61">
        <f t="shared" si="8"/>
        <v>9.7209646289050822E-2</v>
      </c>
      <c r="BQ22" s="61">
        <f t="shared" si="9"/>
        <v>9.2949539391675939E-2</v>
      </c>
      <c r="BR22" s="61">
        <f t="shared" si="10"/>
        <v>9.0782488458809762E-2</v>
      </c>
      <c r="BU22" s="61">
        <f t="shared" si="11"/>
        <v>5.5721033319328983E-2</v>
      </c>
      <c r="BV22" s="61">
        <f t="shared" si="12"/>
        <v>5.0409865060969672E-2</v>
      </c>
      <c r="BW22" s="61">
        <f t="shared" si="13"/>
        <v>7.0578907436174232E-2</v>
      </c>
      <c r="BX22" s="61">
        <f t="shared" si="14"/>
        <v>6.6039761011271292E-2</v>
      </c>
      <c r="BY22" s="61"/>
    </row>
    <row r="23" spans="1:77">
      <c r="A23" s="204">
        <f t="shared" si="18"/>
        <v>2001</v>
      </c>
      <c r="B23" s="206" t="str">
        <f>IF(AND($A23&gt;=SYear85,$A23&lt;=EYear85,B$3&gt;0),B$3*Data_85_15!B24,"")</f>
        <v/>
      </c>
      <c r="C23" s="206" t="str">
        <f>IF(AND($A23&gt;=SYear85,$A23&lt;=EYear85,C$3&gt;0),C$3*Data_85_15!C24,"")</f>
        <v/>
      </c>
      <c r="D23" s="206" t="str">
        <f>IF(AND($A23&gt;=SYear85,$A23&lt;=EYear85,D$3&gt;0),D$3*Data_85_15!D24,"")</f>
        <v/>
      </c>
      <c r="E23" s="206" t="str">
        <f>IF(AND($A23&gt;=SYear85,$A23&lt;=EYear85,E$3&gt;0),E$3*Data_85_15!E24,"")</f>
        <v/>
      </c>
      <c r="F23" s="206">
        <f>IF(AND($A23&gt;=SYear85,$A23&lt;=EYear85,F$3&gt;0),F$3*Data_85_15!F24,"")</f>
        <v>-0.125</v>
      </c>
      <c r="G23" s="206" t="str">
        <f>IF(AND($A23&gt;=SYear85,$A23&lt;=EYear85,G$3&gt;0),G$3*Data_85_15!G24,"")</f>
        <v/>
      </c>
      <c r="H23" s="206" t="str">
        <f>IF(AND($A23&gt;=SYear85,$A23&lt;=EYear85,H$3&gt;0),H$3*Data_85_15!H24,"")</f>
        <v/>
      </c>
      <c r="I23" s="206" t="str">
        <f>IF(AND($A23&gt;=SYear85,$A23&lt;=EYear85,I$3&gt;0),I$3*Data_85_15!I24,"")</f>
        <v/>
      </c>
      <c r="J23" s="206" t="str">
        <f>IF(AND($A23&gt;=SYear85,$A23&lt;=EYear85,J$3&gt;0),J$3*Data_85_15!J24,"")</f>
        <v/>
      </c>
      <c r="K23" s="206" t="str">
        <f>IF(AND($A23&gt;=SYear85,$A23&lt;=EYear85,K$3&gt;0),K$3*Data_85_15!K24,"")</f>
        <v/>
      </c>
      <c r="L23" s="206" t="str">
        <f>IF(AND($A23&gt;=SYear85,$A23&lt;=EYear85,L$3&gt;0),L$3*Data_85_15!L24,"")</f>
        <v/>
      </c>
      <c r="M23" s="206" t="str">
        <f>IF(AND($A23&gt;=SYear85,$A23&lt;=EYear85,M$3&gt;0),M$3*Data_85_15!M24,"")</f>
        <v/>
      </c>
      <c r="N23" s="206" t="str">
        <f>IF(AND($A23&gt;=SYear85,$A23&lt;=EYear85,N$3&gt;0),N$3*Data_85_15!N24,"")</f>
        <v/>
      </c>
      <c r="O23" s="206" t="str">
        <f>IF(AND($A23&gt;=SYear85,$A23&lt;=EYear85,O$3&gt;0),O$3*Data_85_15!O24,"")</f>
        <v/>
      </c>
      <c r="P23" s="206" t="str">
        <f>IF(AND($A23&gt;=SYear85,$A23&lt;=EYear85,P$3&gt;0),P$3*Data_85_15!P24,"")</f>
        <v/>
      </c>
      <c r="Q23" s="206" t="str">
        <f>IF(AND($A23&gt;=SYear85,$A23&lt;=EYear85,Q$3&gt;0),Q$3*Data_85_15!Q24,"")</f>
        <v/>
      </c>
      <c r="R23" s="206" t="str">
        <f>IF(AND($A23&gt;=SYear85,$A23&lt;=EYear85,R$3&gt;0),R$3*Data_85_15!R24,"")</f>
        <v/>
      </c>
      <c r="S23" s="206">
        <f>IF(AND($A23&gt;=SYear85,$A23&lt;=EYear85,S$3&gt;0),S$3*Data_85_15!S24,"")</f>
        <v>1.0774999999999999</v>
      </c>
      <c r="T23" s="206" t="str">
        <f>IF(AND($A23&gt;=SYear85,$A23&lt;=EYear85,T$3&gt;0),T$3*Data_85_15!T24,"")</f>
        <v/>
      </c>
      <c r="U23" s="206" t="str">
        <f>IF(AND($A23&gt;=SYear85,$A23&lt;=EYear85,U$3&gt;0),U$3*Data_85_15!U24,"")</f>
        <v/>
      </c>
      <c r="V23" s="206" t="str">
        <f>IF(AND($A23&gt;=SYear85,$A23&lt;=EYear85,V$3&gt;0),V$3*Data_85_15!V24,"")</f>
        <v/>
      </c>
      <c r="W23" s="206">
        <f>IF(AND($A23&gt;=SYear85,$A23&lt;=EYear85,W$3&gt;0),W$3*Data_85_15!W24,"")</f>
        <v>1.8488023952095809</v>
      </c>
      <c r="X23" s="206" t="str">
        <f>IF(AND($A23&gt;=SYear85,$A23&lt;=EYear85,X$3&gt;0),X$3*Data_85_15!X24,"")</f>
        <v/>
      </c>
      <c r="Y23" s="206" t="str">
        <f>IF(AND($A23&gt;=SYear85,$A23&lt;=EYear85,Y$3&gt;0),Y$3*Data_85_15!Y24,"")</f>
        <v/>
      </c>
      <c r="Z23" s="206" t="str">
        <f>IF(AND($A23&gt;=SYear85,$A23&lt;=EYear85,Z$3&gt;0),Z$3*Data_85_15!Z24,"")</f>
        <v/>
      </c>
      <c r="AA23" s="206" t="str">
        <f>IF(AND($A23&gt;=SYear85,$A23&lt;=EYear85,AA$3&gt;0),AA$3*Data_85_15!AA24,"")</f>
        <v/>
      </c>
      <c r="AB23" s="206" t="str">
        <f>IF(AND($A23&gt;=SYear85,$A23&lt;=EYear85,AB$3&gt;0),AB$3*Data_85_15!AB24,"")</f>
        <v/>
      </c>
      <c r="AC23" s="206" t="str">
        <f>IF(AND($A23&gt;=SYear85,$A23&lt;=EYear85,AC$3&gt;0),AC$3*Data_85_15!AC24,"")</f>
        <v/>
      </c>
      <c r="AD23" s="206" t="str">
        <f>IF(AND($A23&gt;=SYear85,$A23&lt;=EYear85,AD$3&gt;0),AD$3*Data_85_15!AD24,"")</f>
        <v/>
      </c>
      <c r="AE23" s="206" t="str">
        <f>IF(AND($A23&gt;=SYear85,$A23&lt;=EYear85,AE$3&gt;0),AE$3*Data_85_15!AE24,"")</f>
        <v/>
      </c>
      <c r="AF23" s="206" t="str">
        <f>IF(AND($A23&gt;=SYear85,$A23&lt;=EYear85,AF$3&gt;0),AF$3*Data_85_15!AF24,"")</f>
        <v/>
      </c>
      <c r="AG23" s="206" t="str">
        <f>IF(AND($A23&gt;=SYear85,$A23&lt;=EYear85,AG$3&gt;0),AG$3*Data_85_15!AG24,"")</f>
        <v/>
      </c>
      <c r="AH23" s="206" t="str">
        <f>IF(AND($A23&gt;=SYear85,$A23&lt;=EYear85,AH$3&gt;0),AH$3*Data_85_15!AH24,"")</f>
        <v/>
      </c>
      <c r="AI23" s="206" t="str">
        <f>IF(AND($A23&gt;=SYear85,$A23&lt;=EYear85,AI$3&gt;0),AI$3*Data_85_15!AI24,"")</f>
        <v/>
      </c>
      <c r="AJ23" s="206" t="str">
        <f>IF(AND($A23&gt;=SYear85,$A23&lt;=EYear85,AJ$3&gt;0),AJ$3*Data_85_15!AJ24,"")</f>
        <v/>
      </c>
      <c r="AK23" s="206" t="str">
        <f>IF(AND($A23&gt;=SYear85,$A23&lt;=EYear85,AK$3&gt;0),AK$3*Data_85_15!AK24,"")</f>
        <v/>
      </c>
      <c r="AL23" s="206" t="str">
        <f>IF(AND($A23&gt;=SYear85,$A23&lt;=EYear85,AL$3&gt;0),AL$3*Data_85_15!AL24,"")</f>
        <v/>
      </c>
      <c r="AM23" s="206" t="str">
        <f>IF(AND($A23&gt;=SYear85,$A23&lt;=EYear85,AM$3&gt;0),AM$3*Data_85_15!AM24,"")</f>
        <v/>
      </c>
      <c r="AN23" s="206" t="str">
        <f>IF(AND($A23&gt;=SYear85,$A23&lt;=EYear85,AN$3&gt;0),AN$3*Data_85_15!AN24,"")</f>
        <v/>
      </c>
      <c r="AO23" s="206">
        <f>IF(AND($A23&gt;=SYear85,$A23&lt;=EYear85,AO$3&gt;0),AO$3*Data_85_15!AO24,"")</f>
        <v>0.10907363441116311</v>
      </c>
      <c r="AP23" s="206" t="str">
        <f>IF(AND($A23&gt;=SYear85,$A23&lt;=EYear85,AP$3&gt;0),AP$3*Data_85_15!AP24,"")</f>
        <v/>
      </c>
      <c r="AQ23" s="206" t="str">
        <f>IF(AND($A23&gt;=SYear85,$A23&lt;=EYear85,AQ$3&gt;0),AQ$3*Data_85_15!AQ24,"")</f>
        <v/>
      </c>
      <c r="AR23" s="206" t="str">
        <f>IF(AND($A23&gt;=SYear85,$A23&lt;=EYear85,AR$3&gt;0),AR$3*Data_85_15!AR24,"")</f>
        <v/>
      </c>
      <c r="AS23" s="206" t="str">
        <f>IF(AND($A23&gt;=SYear85,$A23&lt;=EYear85,AS$3&gt;0),AS$3*Data_85_15!AS24,"")</f>
        <v/>
      </c>
      <c r="AT23" s="206" t="str">
        <f>IF(AND($A23&gt;=SYear85,$A23&lt;=EYear85,AT$3&gt;0),AT$3*Data_85_15!AT24,"")</f>
        <v/>
      </c>
      <c r="AU23" s="206" t="str">
        <f>IF(AND($A23&gt;=SYear85,$A23&lt;=EYear85,AU$3&gt;0),AU$3*Data_85_15!AU24,"")</f>
        <v/>
      </c>
      <c r="AV23" s="206" t="str">
        <f>IF(AND($A23&gt;=SYear85,$A23&lt;=EYear85,AV$3&gt;0),AV$3*Data_85_15!AV24,"")</f>
        <v/>
      </c>
      <c r="AW23" s="206" t="str">
        <f>IF(AND($A23&gt;=SYear85,$A23&lt;=EYear85,AW$3&gt;0),AW$3*Data_85_15!AW24,"")</f>
        <v/>
      </c>
      <c r="AX23" s="206" t="str">
        <f>IF(AND($A23&gt;=SYear85,$A23&lt;=EYear85,AX$3&gt;0),AX$3*Data_85_15!AX24,"")</f>
        <v/>
      </c>
      <c r="AY23" s="206" t="str">
        <f>IF(AND($A23&gt;=SYear85,$A23&lt;=EYear85,AY$3&gt;0),AY$3*Data_85_15!AY24,"")</f>
        <v/>
      </c>
      <c r="AZ23" s="206">
        <f t="shared" si="2"/>
        <v>2.9103760296207439</v>
      </c>
      <c r="BA23" s="446">
        <f t="shared" si="16"/>
        <v>41311.039311876026</v>
      </c>
      <c r="BB23" s="206">
        <f>IF(AND($A23&gt;=SYear85,$A23&lt;=EYear85),(AZ23-Data_85_15!AZ24)/(1+Data_85_15!AZ24%),"")</f>
        <v>1.3378915062479337</v>
      </c>
      <c r="BC23" s="606">
        <f t="shared" si="17"/>
        <v>24618.29337600763</v>
      </c>
      <c r="BD23" s="143">
        <f t="shared" si="3"/>
        <v>3.4687698110052128</v>
      </c>
      <c r="BE23" s="143">
        <f>IF(AND($A23&gt;=SYear85,$A23&lt;=EYear85),MAX($BD$7:BD23),"")</f>
        <v>3.4687698110052128</v>
      </c>
      <c r="BF23" s="209">
        <f t="shared" si="4"/>
        <v>0</v>
      </c>
      <c r="BI23" s="143">
        <f>IF(AND($A23&gt;=SYear85,$A23&lt;=EYear85),Data_85_15!$V24,"")</f>
        <v>3.99</v>
      </c>
      <c r="BJ23" s="143">
        <f>IF(AND($A23&gt;=SYear85,$A23&lt;=EYear85),Data_85_15!$AZ24,"")</f>
        <v>1.551724137931032</v>
      </c>
      <c r="BK23" s="143">
        <f t="shared" si="5"/>
        <v>2.4010186757215646</v>
      </c>
      <c r="BN23" s="61">
        <f t="shared" si="6"/>
        <v>2.9103760296207426E-2</v>
      </c>
      <c r="BO23" s="61">
        <f t="shared" si="7"/>
        <v>9.8012039607152213E-2</v>
      </c>
      <c r="BP23" s="61">
        <f t="shared" si="8"/>
        <v>9.9501818572338196E-2</v>
      </c>
      <c r="BQ23" s="61">
        <f t="shared" si="9"/>
        <v>0.10099857286307268</v>
      </c>
      <c r="BR23" s="61">
        <f t="shared" si="10"/>
        <v>8.1582437984511591E-2</v>
      </c>
      <c r="BU23" s="61">
        <f t="shared" si="11"/>
        <v>1.3378915062479235E-2</v>
      </c>
      <c r="BV23" s="61">
        <f t="shared" si="12"/>
        <v>7.7163775398600754E-2</v>
      </c>
      <c r="BW23" s="61">
        <f t="shared" si="13"/>
        <v>7.2755581576203321E-2</v>
      </c>
      <c r="BX23" s="61">
        <f t="shared" si="14"/>
        <v>7.5874927591842445E-2</v>
      </c>
      <c r="BY23" s="61"/>
    </row>
    <row r="24" spans="1:77">
      <c r="A24" s="204">
        <f t="shared" si="18"/>
        <v>2002</v>
      </c>
      <c r="B24" s="206" t="str">
        <f>IF(AND($A24&gt;=SYear85,$A24&lt;=EYear85,B$3&gt;0),B$3*Data_85_15!B25,"")</f>
        <v/>
      </c>
      <c r="C24" s="206" t="str">
        <f>IF(AND($A24&gt;=SYear85,$A24&lt;=EYear85,C$3&gt;0),C$3*Data_85_15!C25,"")</f>
        <v/>
      </c>
      <c r="D24" s="206" t="str">
        <f>IF(AND($A24&gt;=SYear85,$A24&lt;=EYear85,D$3&gt;0),D$3*Data_85_15!D25,"")</f>
        <v/>
      </c>
      <c r="E24" s="206" t="str">
        <f>IF(AND($A24&gt;=SYear85,$A24&lt;=EYear85,E$3&gt;0),E$3*Data_85_15!E25,"")</f>
        <v/>
      </c>
      <c r="F24" s="206">
        <f>IF(AND($A24&gt;=SYear85,$A24&lt;=EYear85,F$3&gt;0),F$3*Data_85_15!F25,"")</f>
        <v>-3.6524999999999999</v>
      </c>
      <c r="G24" s="206" t="str">
        <f>IF(AND($A24&gt;=SYear85,$A24&lt;=EYear85,G$3&gt;0),G$3*Data_85_15!G25,"")</f>
        <v/>
      </c>
      <c r="H24" s="206" t="str">
        <f>IF(AND($A24&gt;=SYear85,$A24&lt;=EYear85,H$3&gt;0),H$3*Data_85_15!H25,"")</f>
        <v/>
      </c>
      <c r="I24" s="206" t="str">
        <f>IF(AND($A24&gt;=SYear85,$A24&lt;=EYear85,I$3&gt;0),I$3*Data_85_15!I25,"")</f>
        <v/>
      </c>
      <c r="J24" s="206" t="str">
        <f>IF(AND($A24&gt;=SYear85,$A24&lt;=EYear85,J$3&gt;0),J$3*Data_85_15!J25,"")</f>
        <v/>
      </c>
      <c r="K24" s="206" t="str">
        <f>IF(AND($A24&gt;=SYear85,$A24&lt;=EYear85,K$3&gt;0),K$3*Data_85_15!K25,"")</f>
        <v/>
      </c>
      <c r="L24" s="206" t="str">
        <f>IF(AND($A24&gt;=SYear85,$A24&lt;=EYear85,L$3&gt;0),L$3*Data_85_15!L25,"")</f>
        <v/>
      </c>
      <c r="M24" s="206" t="str">
        <f>IF(AND($A24&gt;=SYear85,$A24&lt;=EYear85,M$3&gt;0),M$3*Data_85_15!M25,"")</f>
        <v/>
      </c>
      <c r="N24" s="206" t="str">
        <f>IF(AND($A24&gt;=SYear85,$A24&lt;=EYear85,N$3&gt;0),N$3*Data_85_15!N25,"")</f>
        <v/>
      </c>
      <c r="O24" s="206" t="str">
        <f>IF(AND($A24&gt;=SYear85,$A24&lt;=EYear85,O$3&gt;0),O$3*Data_85_15!O25,"")</f>
        <v/>
      </c>
      <c r="P24" s="206" t="str">
        <f>IF(AND($A24&gt;=SYear85,$A24&lt;=EYear85,P$3&gt;0),P$3*Data_85_15!P25,"")</f>
        <v/>
      </c>
      <c r="Q24" s="206" t="str">
        <f>IF(AND($A24&gt;=SYear85,$A24&lt;=EYear85,Q$3&gt;0),Q$3*Data_85_15!Q25,"")</f>
        <v/>
      </c>
      <c r="R24" s="206" t="str">
        <f>IF(AND($A24&gt;=SYear85,$A24&lt;=EYear85,R$3&gt;0),R$3*Data_85_15!R25,"")</f>
        <v/>
      </c>
      <c r="S24" s="206">
        <f>IF(AND($A24&gt;=SYear85,$A24&lt;=EYear85,S$3&gt;0),S$3*Data_85_15!S25,"")</f>
        <v>4.1675000000000004</v>
      </c>
      <c r="T24" s="206" t="str">
        <f>IF(AND($A24&gt;=SYear85,$A24&lt;=EYear85,T$3&gt;0),T$3*Data_85_15!T25,"")</f>
        <v/>
      </c>
      <c r="U24" s="206" t="str">
        <f>IF(AND($A24&gt;=SYear85,$A24&lt;=EYear85,U$3&gt;0),U$3*Data_85_15!U25,"")</f>
        <v/>
      </c>
      <c r="V24" s="206" t="str">
        <f>IF(AND($A24&gt;=SYear85,$A24&lt;=EYear85,V$3&gt;0),V$3*Data_85_15!V25,"")</f>
        <v/>
      </c>
      <c r="W24" s="206">
        <f>IF(AND($A24&gt;=SYear85,$A24&lt;=EYear85,W$3&gt;0),W$3*Data_85_15!W25,"")</f>
        <v>4.1524999999999999</v>
      </c>
      <c r="X24" s="206" t="str">
        <f>IF(AND($A24&gt;=SYear85,$A24&lt;=EYear85,X$3&gt;0),X$3*Data_85_15!X25,"")</f>
        <v/>
      </c>
      <c r="Y24" s="206" t="str">
        <f>IF(AND($A24&gt;=SYear85,$A24&lt;=EYear85,Y$3&gt;0),Y$3*Data_85_15!Y25,"")</f>
        <v/>
      </c>
      <c r="Z24" s="206" t="str">
        <f>IF(AND($A24&gt;=SYear85,$A24&lt;=EYear85,Z$3&gt;0),Z$3*Data_85_15!Z25,"")</f>
        <v/>
      </c>
      <c r="AA24" s="206" t="str">
        <f>IF(AND($A24&gt;=SYear85,$A24&lt;=EYear85,AA$3&gt;0),AA$3*Data_85_15!AA25,"")</f>
        <v/>
      </c>
      <c r="AB24" s="206" t="str">
        <f>IF(AND($A24&gt;=SYear85,$A24&lt;=EYear85,AB$3&gt;0),AB$3*Data_85_15!AB25,"")</f>
        <v/>
      </c>
      <c r="AC24" s="206" t="str">
        <f>IF(AND($A24&gt;=SYear85,$A24&lt;=EYear85,AC$3&gt;0),AC$3*Data_85_15!AC25,"")</f>
        <v/>
      </c>
      <c r="AD24" s="206" t="str">
        <f>IF(AND($A24&gt;=SYear85,$A24&lt;=EYear85,AD$3&gt;0),AD$3*Data_85_15!AD25,"")</f>
        <v/>
      </c>
      <c r="AE24" s="206" t="str">
        <f>IF(AND($A24&gt;=SYear85,$A24&lt;=EYear85,AE$3&gt;0),AE$3*Data_85_15!AE25,"")</f>
        <v/>
      </c>
      <c r="AF24" s="206" t="str">
        <f>IF(AND($A24&gt;=SYear85,$A24&lt;=EYear85,AF$3&gt;0),AF$3*Data_85_15!AF25,"")</f>
        <v/>
      </c>
      <c r="AG24" s="206" t="str">
        <f>IF(AND($A24&gt;=SYear85,$A24&lt;=EYear85,AG$3&gt;0),AG$3*Data_85_15!AG25,"")</f>
        <v/>
      </c>
      <c r="AH24" s="206" t="str">
        <f>IF(AND($A24&gt;=SYear85,$A24&lt;=EYear85,AH$3&gt;0),AH$3*Data_85_15!AH25,"")</f>
        <v/>
      </c>
      <c r="AI24" s="206" t="str">
        <f>IF(AND($A24&gt;=SYear85,$A24&lt;=EYear85,AI$3&gt;0),AI$3*Data_85_15!AI25,"")</f>
        <v/>
      </c>
      <c r="AJ24" s="206" t="str">
        <f>IF(AND($A24&gt;=SYear85,$A24&lt;=EYear85,AJ$3&gt;0),AJ$3*Data_85_15!AJ25,"")</f>
        <v/>
      </c>
      <c r="AK24" s="206" t="str">
        <f>IF(AND($A24&gt;=SYear85,$A24&lt;=EYear85,AK$3&gt;0),AK$3*Data_85_15!AK25,"")</f>
        <v/>
      </c>
      <c r="AL24" s="206" t="str">
        <f>IF(AND($A24&gt;=SYear85,$A24&lt;=EYear85,AL$3&gt;0),AL$3*Data_85_15!AL25,"")</f>
        <v/>
      </c>
      <c r="AM24" s="206" t="str">
        <f>IF(AND($A24&gt;=SYear85,$A24&lt;=EYear85,AM$3&gt;0),AM$3*Data_85_15!AM25,"")</f>
        <v/>
      </c>
      <c r="AN24" s="206" t="str">
        <f>IF(AND($A24&gt;=SYear85,$A24&lt;=EYear85,AN$3&gt;0),AN$3*Data_85_15!AN25,"")</f>
        <v/>
      </c>
      <c r="AO24" s="206">
        <f>IF(AND($A24&gt;=SYear85,$A24&lt;=EYear85,AO$3&gt;0),AO$3*Data_85_15!AO25,"")</f>
        <v>6.2390906113576392</v>
      </c>
      <c r="AP24" s="206" t="str">
        <f>IF(AND($A24&gt;=SYear85,$A24&lt;=EYear85,AP$3&gt;0),AP$3*Data_85_15!AP25,"")</f>
        <v/>
      </c>
      <c r="AQ24" s="206" t="str">
        <f>IF(AND($A24&gt;=SYear85,$A24&lt;=EYear85,AQ$3&gt;0),AQ$3*Data_85_15!AQ25,"")</f>
        <v/>
      </c>
      <c r="AR24" s="206" t="str">
        <f>IF(AND($A24&gt;=SYear85,$A24&lt;=EYear85,AR$3&gt;0),AR$3*Data_85_15!AR25,"")</f>
        <v/>
      </c>
      <c r="AS24" s="206" t="str">
        <f>IF(AND($A24&gt;=SYear85,$A24&lt;=EYear85,AS$3&gt;0),AS$3*Data_85_15!AS25,"")</f>
        <v/>
      </c>
      <c r="AT24" s="206" t="str">
        <f>IF(AND($A24&gt;=SYear85,$A24&lt;=EYear85,AT$3&gt;0),AT$3*Data_85_15!AT25,"")</f>
        <v/>
      </c>
      <c r="AU24" s="206" t="str">
        <f>IF(AND($A24&gt;=SYear85,$A24&lt;=EYear85,AU$3&gt;0),AU$3*Data_85_15!AU25,"")</f>
        <v/>
      </c>
      <c r="AV24" s="206" t="str">
        <f>IF(AND($A24&gt;=SYear85,$A24&lt;=EYear85,AV$3&gt;0),AV$3*Data_85_15!AV25,"")</f>
        <v/>
      </c>
      <c r="AW24" s="206" t="str">
        <f>IF(AND($A24&gt;=SYear85,$A24&lt;=EYear85,AW$3&gt;0),AW$3*Data_85_15!AW25,"")</f>
        <v/>
      </c>
      <c r="AX24" s="206" t="str">
        <f>IF(AND($A24&gt;=SYear85,$A24&lt;=EYear85,AX$3&gt;0),AX$3*Data_85_15!AX25,"")</f>
        <v/>
      </c>
      <c r="AY24" s="206" t="str">
        <f>IF(AND($A24&gt;=SYear85,$A24&lt;=EYear85,AY$3&gt;0),AY$3*Data_85_15!AY25,"")</f>
        <v/>
      </c>
      <c r="AZ24" s="206">
        <f t="shared" si="2"/>
        <v>10.90659061135764</v>
      </c>
      <c r="BA24" s="446">
        <f t="shared" si="16"/>
        <v>45816.665246919358</v>
      </c>
      <c r="BB24" s="206">
        <f>IF(AND($A24&gt;=SYear85,$A24&lt;=EYear85),(AZ24-Data_85_15!AZ25)/(1+Data_85_15!AZ25%),"")</f>
        <v>8.3316448923543103</v>
      </c>
      <c r="BC24" s="606">
        <f t="shared" si="17"/>
        <v>26669.402158654571</v>
      </c>
      <c r="BD24" s="143">
        <f t="shared" si="3"/>
        <v>3.8470943335419152</v>
      </c>
      <c r="BE24" s="143">
        <f>IF(AND($A24&gt;=SYear85,$A24&lt;=EYear85),MAX($BD$7:BD24),"")</f>
        <v>3.8470943335419152</v>
      </c>
      <c r="BF24" s="209">
        <f t="shared" si="4"/>
        <v>0</v>
      </c>
      <c r="BI24" s="143">
        <f>IF(AND($A24&gt;=SYear85,$A24&lt;=EYear85),Data_85_15!$V25,"")</f>
        <v>1.51</v>
      </c>
      <c r="BJ24" s="143">
        <f>IF(AND($A24&gt;=SYear85,$A24&lt;=EYear85),Data_85_15!$AZ25,"")</f>
        <v>2.3769100169779289</v>
      </c>
      <c r="BK24" s="143">
        <f t="shared" si="5"/>
        <v>-0.8467827529021561</v>
      </c>
      <c r="BN24" s="61">
        <f t="shared" si="6"/>
        <v>0.10906590611357636</v>
      </c>
      <c r="BO24" s="61">
        <f t="shared" si="7"/>
        <v>0.12285808736421777</v>
      </c>
      <c r="BP24" s="61">
        <f t="shared" si="8"/>
        <v>0.11320473143736476</v>
      </c>
      <c r="BQ24" s="61">
        <f t="shared" si="9"/>
        <v>0.11084678267246484</v>
      </c>
      <c r="BR24" s="61"/>
      <c r="BU24" s="61">
        <f t="shared" si="11"/>
        <v>8.3316448923543174E-2</v>
      </c>
      <c r="BV24" s="61">
        <f t="shared" si="12"/>
        <v>9.5445540583956934E-2</v>
      </c>
      <c r="BW24" s="61">
        <f t="shared" si="13"/>
        <v>8.4022062039005307E-2</v>
      </c>
      <c r="BX24" s="61">
        <f t="shared" si="14"/>
        <v>8.4001913166535935E-2</v>
      </c>
      <c r="BY24" s="61"/>
    </row>
    <row r="25" spans="1:77">
      <c r="A25" s="204">
        <f t="shared" si="18"/>
        <v>2003</v>
      </c>
      <c r="B25" s="206" t="str">
        <f>IF(AND($A25&gt;=SYear85,$A25&lt;=EYear85,B$3&gt;0),B$3*Data_85_15!B26,"")</f>
        <v/>
      </c>
      <c r="C25" s="206" t="str">
        <f>IF(AND($A25&gt;=SYear85,$A25&lt;=EYear85,C$3&gt;0),C$3*Data_85_15!C26,"")</f>
        <v/>
      </c>
      <c r="D25" s="206" t="str">
        <f>IF(AND($A25&gt;=SYear85,$A25&lt;=EYear85,D$3&gt;0),D$3*Data_85_15!D26,"")</f>
        <v/>
      </c>
      <c r="E25" s="206" t="str">
        <f>IF(AND($A25&gt;=SYear85,$A25&lt;=EYear85,E$3&gt;0),E$3*Data_85_15!E26,"")</f>
        <v/>
      </c>
      <c r="F25" s="206">
        <f>IF(AND($A25&gt;=SYear85,$A25&lt;=EYear85,F$3&gt;0),F$3*Data_85_15!F26,"")</f>
        <v>8.5350000000000001</v>
      </c>
      <c r="G25" s="206" t="str">
        <f>IF(AND($A25&gt;=SYear85,$A25&lt;=EYear85,G$3&gt;0),G$3*Data_85_15!G26,"")</f>
        <v/>
      </c>
      <c r="H25" s="206" t="str">
        <f>IF(AND($A25&gt;=SYear85,$A25&lt;=EYear85,H$3&gt;0),H$3*Data_85_15!H26,"")</f>
        <v/>
      </c>
      <c r="I25" s="206" t="str">
        <f>IF(AND($A25&gt;=SYear85,$A25&lt;=EYear85,I$3&gt;0),I$3*Data_85_15!I26,"")</f>
        <v/>
      </c>
      <c r="J25" s="206" t="str">
        <f>IF(AND($A25&gt;=SYear85,$A25&lt;=EYear85,J$3&gt;0),J$3*Data_85_15!J26,"")</f>
        <v/>
      </c>
      <c r="K25" s="206" t="str">
        <f>IF(AND($A25&gt;=SYear85,$A25&lt;=EYear85,K$3&gt;0),K$3*Data_85_15!K26,"")</f>
        <v/>
      </c>
      <c r="L25" s="206" t="str">
        <f>IF(AND($A25&gt;=SYear85,$A25&lt;=EYear85,L$3&gt;0),L$3*Data_85_15!L26,"")</f>
        <v/>
      </c>
      <c r="M25" s="206" t="str">
        <f>IF(AND($A25&gt;=SYear85,$A25&lt;=EYear85,M$3&gt;0),M$3*Data_85_15!M26,"")</f>
        <v/>
      </c>
      <c r="N25" s="206" t="str">
        <f>IF(AND($A25&gt;=SYear85,$A25&lt;=EYear85,N$3&gt;0),N$3*Data_85_15!N26,"")</f>
        <v/>
      </c>
      <c r="O25" s="206" t="str">
        <f>IF(AND($A25&gt;=SYear85,$A25&lt;=EYear85,O$3&gt;0),O$3*Data_85_15!O26,"")</f>
        <v/>
      </c>
      <c r="P25" s="206" t="str">
        <f>IF(AND($A25&gt;=SYear85,$A25&lt;=EYear85,P$3&gt;0),P$3*Data_85_15!P26,"")</f>
        <v/>
      </c>
      <c r="Q25" s="206" t="str">
        <f>IF(AND($A25&gt;=SYear85,$A25&lt;=EYear85,Q$3&gt;0),Q$3*Data_85_15!Q26,"")</f>
        <v/>
      </c>
      <c r="R25" s="206" t="str">
        <f>IF(AND($A25&gt;=SYear85,$A25&lt;=EYear85,R$3&gt;0),R$3*Data_85_15!R26,"")</f>
        <v/>
      </c>
      <c r="S25" s="206">
        <f>IF(AND($A25&gt;=SYear85,$A25&lt;=EYear85,S$3&gt;0),S$3*Data_85_15!S26,"")</f>
        <v>0.67</v>
      </c>
      <c r="T25" s="206" t="str">
        <f>IF(AND($A25&gt;=SYear85,$A25&lt;=EYear85,T$3&gt;0),T$3*Data_85_15!T26,"")</f>
        <v/>
      </c>
      <c r="U25" s="206" t="str">
        <f>IF(AND($A25&gt;=SYear85,$A25&lt;=EYear85,U$3&gt;0),U$3*Data_85_15!U26,"")</f>
        <v/>
      </c>
      <c r="V25" s="206" t="str">
        <f>IF(AND($A25&gt;=SYear85,$A25&lt;=EYear85,V$3&gt;0),V$3*Data_85_15!V26,"")</f>
        <v/>
      </c>
      <c r="W25" s="206">
        <f>IF(AND($A25&gt;=SYear85,$A25&lt;=EYear85,W$3&gt;0),W$3*Data_85_15!W26,"")</f>
        <v>2</v>
      </c>
      <c r="X25" s="206" t="str">
        <f>IF(AND($A25&gt;=SYear85,$A25&lt;=EYear85,X$3&gt;0),X$3*Data_85_15!X26,"")</f>
        <v/>
      </c>
      <c r="Y25" s="206" t="str">
        <f>IF(AND($A25&gt;=SYear85,$A25&lt;=EYear85,Y$3&gt;0),Y$3*Data_85_15!Y26,"")</f>
        <v/>
      </c>
      <c r="Z25" s="206" t="str">
        <f>IF(AND($A25&gt;=SYear85,$A25&lt;=EYear85,Z$3&gt;0),Z$3*Data_85_15!Z26,"")</f>
        <v/>
      </c>
      <c r="AA25" s="206" t="str">
        <f>IF(AND($A25&gt;=SYear85,$A25&lt;=EYear85,AA$3&gt;0),AA$3*Data_85_15!AA26,"")</f>
        <v/>
      </c>
      <c r="AB25" s="206" t="str">
        <f>IF(AND($A25&gt;=SYear85,$A25&lt;=EYear85,AB$3&gt;0),AB$3*Data_85_15!AB26,"")</f>
        <v/>
      </c>
      <c r="AC25" s="206" t="str">
        <f>IF(AND($A25&gt;=SYear85,$A25&lt;=EYear85,AC$3&gt;0),AC$3*Data_85_15!AC26,"")</f>
        <v/>
      </c>
      <c r="AD25" s="206" t="str">
        <f>IF(AND($A25&gt;=SYear85,$A25&lt;=EYear85,AD$3&gt;0),AD$3*Data_85_15!AD26,"")</f>
        <v/>
      </c>
      <c r="AE25" s="206" t="str">
        <f>IF(AND($A25&gt;=SYear85,$A25&lt;=EYear85,AE$3&gt;0),AE$3*Data_85_15!AE26,"")</f>
        <v/>
      </c>
      <c r="AF25" s="206" t="str">
        <f>IF(AND($A25&gt;=SYear85,$A25&lt;=EYear85,AF$3&gt;0),AF$3*Data_85_15!AF26,"")</f>
        <v/>
      </c>
      <c r="AG25" s="206" t="str">
        <f>IF(AND($A25&gt;=SYear85,$A25&lt;=EYear85,AG$3&gt;0),AG$3*Data_85_15!AG26,"")</f>
        <v/>
      </c>
      <c r="AH25" s="206" t="str">
        <f>IF(AND($A25&gt;=SYear85,$A25&lt;=EYear85,AH$3&gt;0),AH$3*Data_85_15!AH26,"")</f>
        <v/>
      </c>
      <c r="AI25" s="206" t="str">
        <f>IF(AND($A25&gt;=SYear85,$A25&lt;=EYear85,AI$3&gt;0),AI$3*Data_85_15!AI26,"")</f>
        <v/>
      </c>
      <c r="AJ25" s="206" t="str">
        <f>IF(AND($A25&gt;=SYear85,$A25&lt;=EYear85,AJ$3&gt;0),AJ$3*Data_85_15!AJ26,"")</f>
        <v/>
      </c>
      <c r="AK25" s="206" t="str">
        <f>IF(AND($A25&gt;=SYear85,$A25&lt;=EYear85,AK$3&gt;0),AK$3*Data_85_15!AK26,"")</f>
        <v/>
      </c>
      <c r="AL25" s="206" t="str">
        <f>IF(AND($A25&gt;=SYear85,$A25&lt;=EYear85,AL$3&gt;0),AL$3*Data_85_15!AL26,"")</f>
        <v/>
      </c>
      <c r="AM25" s="206" t="str">
        <f>IF(AND($A25&gt;=SYear85,$A25&lt;=EYear85,AM$3&gt;0),AM$3*Data_85_15!AM26,"")</f>
        <v/>
      </c>
      <c r="AN25" s="206" t="str">
        <f>IF(AND($A25&gt;=SYear85,$A25&lt;=EYear85,AN$3&gt;0),AN$3*Data_85_15!AN26,"")</f>
        <v/>
      </c>
      <c r="AO25" s="206">
        <f>IF(AND($A25&gt;=SYear85,$A25&lt;=EYear85,AO$3&gt;0),AO$3*Data_85_15!AO26,"")</f>
        <v>4.7807904327390913</v>
      </c>
      <c r="AP25" s="206" t="str">
        <f>IF(AND($A25&gt;=SYear85,$A25&lt;=EYear85,AP$3&gt;0),AP$3*Data_85_15!AP26,"")</f>
        <v/>
      </c>
      <c r="AQ25" s="206" t="str">
        <f>IF(AND($A25&gt;=SYear85,$A25&lt;=EYear85,AQ$3&gt;0),AQ$3*Data_85_15!AQ26,"")</f>
        <v/>
      </c>
      <c r="AR25" s="206" t="str">
        <f>IF(AND($A25&gt;=SYear85,$A25&lt;=EYear85,AR$3&gt;0),AR$3*Data_85_15!AR26,"")</f>
        <v/>
      </c>
      <c r="AS25" s="206" t="str">
        <f>IF(AND($A25&gt;=SYear85,$A25&lt;=EYear85,AS$3&gt;0),AS$3*Data_85_15!AS26,"")</f>
        <v/>
      </c>
      <c r="AT25" s="206" t="str">
        <f>IF(AND($A25&gt;=SYear85,$A25&lt;=EYear85,AT$3&gt;0),AT$3*Data_85_15!AT26,"")</f>
        <v/>
      </c>
      <c r="AU25" s="206" t="str">
        <f>IF(AND($A25&gt;=SYear85,$A25&lt;=EYear85,AU$3&gt;0),AU$3*Data_85_15!AU26,"")</f>
        <v/>
      </c>
      <c r="AV25" s="206" t="str">
        <f>IF(AND($A25&gt;=SYear85,$A25&lt;=EYear85,AV$3&gt;0),AV$3*Data_85_15!AV26,"")</f>
        <v/>
      </c>
      <c r="AW25" s="206" t="str">
        <f>IF(AND($A25&gt;=SYear85,$A25&lt;=EYear85,AW$3&gt;0),AW$3*Data_85_15!AW26,"")</f>
        <v/>
      </c>
      <c r="AX25" s="206" t="str">
        <f>IF(AND($A25&gt;=SYear85,$A25&lt;=EYear85,AX$3&gt;0),AX$3*Data_85_15!AX26,"")</f>
        <v/>
      </c>
      <c r="AY25" s="206" t="str">
        <f>IF(AND($A25&gt;=SYear85,$A25&lt;=EYear85,AY$3&gt;0),AY$3*Data_85_15!AY26,"")</f>
        <v/>
      </c>
      <c r="AZ25" s="206">
        <f t="shared" si="2"/>
        <v>15.985790432739091</v>
      </c>
      <c r="BA25" s="446">
        <f t="shared" si="16"/>
        <v>53140.821336561487</v>
      </c>
      <c r="BB25" s="206">
        <f>IF(AND($A25&gt;=SYear85,$A25&lt;=EYear85),(AZ25-Data_85_15!AZ26)/(1+Data_85_15!AZ26%),"")</f>
        <v>13.84606342529842</v>
      </c>
      <c r="BC25" s="606">
        <f t="shared" si="17"/>
        <v>30362.064496689789</v>
      </c>
      <c r="BD25" s="143">
        <f t="shared" si="3"/>
        <v>4.4620827714517066</v>
      </c>
      <c r="BE25" s="143">
        <f>IF(AND($A25&gt;=SYear85,$A25&lt;=EYear85),MAX($BD$7:BD25),"")</f>
        <v>4.4620827714517066</v>
      </c>
      <c r="BF25" s="209">
        <f t="shared" si="4"/>
        <v>0</v>
      </c>
      <c r="BI25" s="143">
        <f>IF(AND($A25&gt;=SYear85,$A25&lt;=EYear85),Data_85_15!$V26,"")</f>
        <v>0.82</v>
      </c>
      <c r="BJ25" s="143">
        <f>IF(AND($A25&gt;=SYear85,$A25&lt;=EYear85),Data_85_15!$AZ26,"")</f>
        <v>1.8794914317302513</v>
      </c>
      <c r="BK25" s="143">
        <f t="shared" si="5"/>
        <v>-1.0399457406402739</v>
      </c>
      <c r="BN25" s="61">
        <f t="shared" si="6"/>
        <v>0.15985790432739089</v>
      </c>
      <c r="BO25" s="61">
        <f t="shared" si="7"/>
        <v>0.12078182603682519</v>
      </c>
      <c r="BP25" s="61">
        <f t="shared" si="8"/>
        <v>0.120037865646762</v>
      </c>
      <c r="BQ25" s="61">
        <f t="shared" si="9"/>
        <v>0.10806719551072197</v>
      </c>
      <c r="BR25" s="61"/>
      <c r="BU25" s="61">
        <f t="shared" si="11"/>
        <v>0.13846063425298416</v>
      </c>
      <c r="BV25" s="61">
        <f t="shared" si="12"/>
        <v>8.9746721161453102E-2</v>
      </c>
      <c r="BW25" s="61">
        <f t="shared" si="13"/>
        <v>8.7080413549808666E-2</v>
      </c>
      <c r="BX25" s="61">
        <f t="shared" si="14"/>
        <v>8.1963417209703682E-2</v>
      </c>
      <c r="BY25" s="61"/>
    </row>
    <row r="26" spans="1:77">
      <c r="A26" s="204">
        <f t="shared" si="18"/>
        <v>2004</v>
      </c>
      <c r="B26" s="206" t="str">
        <f>IF(AND($A26&gt;=SYear85,$A26&lt;=EYear85,B$3&gt;0),B$3*Data_85_15!B27,"")</f>
        <v/>
      </c>
      <c r="C26" s="206" t="str">
        <f>IF(AND($A26&gt;=SYear85,$A26&lt;=EYear85,C$3&gt;0),C$3*Data_85_15!C27,"")</f>
        <v/>
      </c>
      <c r="D26" s="206" t="str">
        <f>IF(AND($A26&gt;=SYear85,$A26&lt;=EYear85,D$3&gt;0),D$3*Data_85_15!D27,"")</f>
        <v/>
      </c>
      <c r="E26" s="206" t="str">
        <f>IF(AND($A26&gt;=SYear85,$A26&lt;=EYear85,E$3&gt;0),E$3*Data_85_15!E27,"")</f>
        <v/>
      </c>
      <c r="F26" s="206">
        <f>IF(AND($A26&gt;=SYear85,$A26&lt;=EYear85,F$3&gt;0),F$3*Data_85_15!F27,"")</f>
        <v>5.0875000000000004</v>
      </c>
      <c r="G26" s="206" t="str">
        <f>IF(AND($A26&gt;=SYear85,$A26&lt;=EYear85,G$3&gt;0),G$3*Data_85_15!G27,"")</f>
        <v/>
      </c>
      <c r="H26" s="206" t="str">
        <f>IF(AND($A26&gt;=SYear85,$A26&lt;=EYear85,H$3&gt;0),H$3*Data_85_15!H27,"")</f>
        <v/>
      </c>
      <c r="I26" s="206" t="str">
        <f>IF(AND($A26&gt;=SYear85,$A26&lt;=EYear85,I$3&gt;0),I$3*Data_85_15!I27,"")</f>
        <v/>
      </c>
      <c r="J26" s="206" t="str">
        <f>IF(AND($A26&gt;=SYear85,$A26&lt;=EYear85,J$3&gt;0),J$3*Data_85_15!J27,"")</f>
        <v/>
      </c>
      <c r="K26" s="206" t="str">
        <f>IF(AND($A26&gt;=SYear85,$A26&lt;=EYear85,K$3&gt;0),K$3*Data_85_15!K27,"")</f>
        <v/>
      </c>
      <c r="L26" s="206" t="str">
        <f>IF(AND($A26&gt;=SYear85,$A26&lt;=EYear85,L$3&gt;0),L$3*Data_85_15!L27,"")</f>
        <v/>
      </c>
      <c r="M26" s="206" t="str">
        <f>IF(AND($A26&gt;=SYear85,$A26&lt;=EYear85,M$3&gt;0),M$3*Data_85_15!M27,"")</f>
        <v/>
      </c>
      <c r="N26" s="206" t="str">
        <f>IF(AND($A26&gt;=SYear85,$A26&lt;=EYear85,N$3&gt;0),N$3*Data_85_15!N27,"")</f>
        <v/>
      </c>
      <c r="O26" s="206" t="str">
        <f>IF(AND($A26&gt;=SYear85,$A26&lt;=EYear85,O$3&gt;0),O$3*Data_85_15!O27,"")</f>
        <v/>
      </c>
      <c r="P26" s="206" t="str">
        <f>IF(AND($A26&gt;=SYear85,$A26&lt;=EYear85,P$3&gt;0),P$3*Data_85_15!P27,"")</f>
        <v/>
      </c>
      <c r="Q26" s="206" t="str">
        <f>IF(AND($A26&gt;=SYear85,$A26&lt;=EYear85,Q$3&gt;0),Q$3*Data_85_15!Q27,"")</f>
        <v/>
      </c>
      <c r="R26" s="206" t="str">
        <f>IF(AND($A26&gt;=SYear85,$A26&lt;=EYear85,R$3&gt;0),R$3*Data_85_15!R27,"")</f>
        <v/>
      </c>
      <c r="S26" s="206">
        <f>IF(AND($A26&gt;=SYear85,$A26&lt;=EYear85,S$3&gt;0),S$3*Data_85_15!S27,"")</f>
        <v>1.78</v>
      </c>
      <c r="T26" s="206" t="str">
        <f>IF(AND($A26&gt;=SYear85,$A26&lt;=EYear85,T$3&gt;0),T$3*Data_85_15!T27,"")</f>
        <v/>
      </c>
      <c r="U26" s="206" t="str">
        <f>IF(AND($A26&gt;=SYear85,$A26&lt;=EYear85,U$3&gt;0),U$3*Data_85_15!U27,"")</f>
        <v/>
      </c>
      <c r="V26" s="206" t="str">
        <f>IF(AND($A26&gt;=SYear85,$A26&lt;=EYear85,V$3&gt;0),V$3*Data_85_15!V27,"")</f>
        <v/>
      </c>
      <c r="W26" s="206">
        <f>IF(AND($A26&gt;=SYear85,$A26&lt;=EYear85,W$3&gt;0),W$3*Data_85_15!W27,"")</f>
        <v>2.0674999999999999</v>
      </c>
      <c r="X26" s="206" t="str">
        <f>IF(AND($A26&gt;=SYear85,$A26&lt;=EYear85,X$3&gt;0),X$3*Data_85_15!X27,"")</f>
        <v/>
      </c>
      <c r="Y26" s="206" t="str">
        <f>IF(AND($A26&gt;=SYear85,$A26&lt;=EYear85,Y$3&gt;0),Y$3*Data_85_15!Y27,"")</f>
        <v/>
      </c>
      <c r="Z26" s="206" t="str">
        <f>IF(AND($A26&gt;=SYear85,$A26&lt;=EYear85,Z$3&gt;0),Z$3*Data_85_15!Z27,"")</f>
        <v/>
      </c>
      <c r="AA26" s="206" t="str">
        <f>IF(AND($A26&gt;=SYear85,$A26&lt;=EYear85,AA$3&gt;0),AA$3*Data_85_15!AA27,"")</f>
        <v/>
      </c>
      <c r="AB26" s="206" t="str">
        <f>IF(AND($A26&gt;=SYear85,$A26&lt;=EYear85,AB$3&gt;0),AB$3*Data_85_15!AB27,"")</f>
        <v/>
      </c>
      <c r="AC26" s="206" t="str">
        <f>IF(AND($A26&gt;=SYear85,$A26&lt;=EYear85,AC$3&gt;0),AC$3*Data_85_15!AC27,"")</f>
        <v/>
      </c>
      <c r="AD26" s="206" t="str">
        <f>IF(AND($A26&gt;=SYear85,$A26&lt;=EYear85,AD$3&gt;0),AD$3*Data_85_15!AD27,"")</f>
        <v/>
      </c>
      <c r="AE26" s="206" t="str">
        <f>IF(AND($A26&gt;=SYear85,$A26&lt;=EYear85,AE$3&gt;0),AE$3*Data_85_15!AE27,"")</f>
        <v/>
      </c>
      <c r="AF26" s="206" t="str">
        <f>IF(AND($A26&gt;=SYear85,$A26&lt;=EYear85,AF$3&gt;0),AF$3*Data_85_15!AF27,"")</f>
        <v/>
      </c>
      <c r="AG26" s="206" t="str">
        <f>IF(AND($A26&gt;=SYear85,$A26&lt;=EYear85,AG$3&gt;0),AG$3*Data_85_15!AG27,"")</f>
        <v/>
      </c>
      <c r="AH26" s="206" t="str">
        <f>IF(AND($A26&gt;=SYear85,$A26&lt;=EYear85,AH$3&gt;0),AH$3*Data_85_15!AH27,"")</f>
        <v/>
      </c>
      <c r="AI26" s="206" t="str">
        <f>IF(AND($A26&gt;=SYear85,$A26&lt;=EYear85,AI$3&gt;0),AI$3*Data_85_15!AI27,"")</f>
        <v/>
      </c>
      <c r="AJ26" s="206" t="str">
        <f>IF(AND($A26&gt;=SYear85,$A26&lt;=EYear85,AJ$3&gt;0),AJ$3*Data_85_15!AJ27,"")</f>
        <v/>
      </c>
      <c r="AK26" s="206" t="str">
        <f>IF(AND($A26&gt;=SYear85,$A26&lt;=EYear85,AK$3&gt;0),AK$3*Data_85_15!AK27,"")</f>
        <v/>
      </c>
      <c r="AL26" s="206" t="str">
        <f>IF(AND($A26&gt;=SYear85,$A26&lt;=EYear85,AL$3&gt;0),AL$3*Data_85_15!AL27,"")</f>
        <v/>
      </c>
      <c r="AM26" s="206" t="str">
        <f>IF(AND($A26&gt;=SYear85,$A26&lt;=EYear85,AM$3&gt;0),AM$3*Data_85_15!AM27,"")</f>
        <v/>
      </c>
      <c r="AN26" s="206" t="str">
        <f>IF(AND($A26&gt;=SYear85,$A26&lt;=EYear85,AN$3&gt;0),AN$3*Data_85_15!AN27,"")</f>
        <v/>
      </c>
      <c r="AO26" s="206">
        <f>IF(AND($A26&gt;=SYear85,$A26&lt;=EYear85,AO$3&gt;0),AO$3*Data_85_15!AO27,"")</f>
        <v>1.1206828315875583</v>
      </c>
      <c r="AP26" s="206" t="str">
        <f>IF(AND($A26&gt;=SYear85,$A26&lt;=EYear85,AP$3&gt;0),AP$3*Data_85_15!AP27,"")</f>
        <v/>
      </c>
      <c r="AQ26" s="206" t="str">
        <f>IF(AND($A26&gt;=SYear85,$A26&lt;=EYear85,AQ$3&gt;0),AQ$3*Data_85_15!AQ27,"")</f>
        <v/>
      </c>
      <c r="AR26" s="206" t="str">
        <f>IF(AND($A26&gt;=SYear85,$A26&lt;=EYear85,AR$3&gt;0),AR$3*Data_85_15!AR27,"")</f>
        <v/>
      </c>
      <c r="AS26" s="206" t="str">
        <f>IF(AND($A26&gt;=SYear85,$A26&lt;=EYear85,AS$3&gt;0),AS$3*Data_85_15!AS27,"")</f>
        <v/>
      </c>
      <c r="AT26" s="206" t="str">
        <f>IF(AND($A26&gt;=SYear85,$A26&lt;=EYear85,AT$3&gt;0),AT$3*Data_85_15!AT27,"")</f>
        <v/>
      </c>
      <c r="AU26" s="206" t="str">
        <f>IF(AND($A26&gt;=SYear85,$A26&lt;=EYear85,AU$3&gt;0),AU$3*Data_85_15!AU27,"")</f>
        <v/>
      </c>
      <c r="AV26" s="206" t="str">
        <f>IF(AND($A26&gt;=SYear85,$A26&lt;=EYear85,AV$3&gt;0),AV$3*Data_85_15!AV27,"")</f>
        <v/>
      </c>
      <c r="AW26" s="206" t="str">
        <f>IF(AND($A26&gt;=SYear85,$A26&lt;=EYear85,AW$3&gt;0),AW$3*Data_85_15!AW27,"")</f>
        <v/>
      </c>
      <c r="AX26" s="206" t="str">
        <f>IF(AND($A26&gt;=SYear85,$A26&lt;=EYear85,AX$3&gt;0),AX$3*Data_85_15!AX27,"")</f>
        <v/>
      </c>
      <c r="AY26" s="206" t="str">
        <f>IF(AND($A26&gt;=SYear85,$A26&lt;=EYear85,AY$3&gt;0),AY$3*Data_85_15!AY27,"")</f>
        <v/>
      </c>
      <c r="AZ26" s="206">
        <f t="shared" si="2"/>
        <v>10.055682831587559</v>
      </c>
      <c r="BA26" s="446">
        <f t="shared" si="16"/>
        <v>58484.493784266713</v>
      </c>
      <c r="BB26" s="206">
        <f>IF(AND($A26&gt;=SYear85,$A26&lt;=EYear85),(AZ26-Data_85_15!AZ27)/(1+Data_85_15!AZ27%),"")</f>
        <v>6.5857191059463362</v>
      </c>
      <c r="BC26" s="606">
        <f t="shared" si="17"/>
        <v>32361.624779208039</v>
      </c>
      <c r="BD26" s="143">
        <f t="shared" si="3"/>
        <v>4.910775662631802</v>
      </c>
      <c r="BE26" s="143">
        <f>IF(AND($A26&gt;=SYear85,$A26&lt;=EYear85),MAX($BD$7:BD26),"")</f>
        <v>4.910775662631802</v>
      </c>
      <c r="BF26" s="209">
        <f t="shared" si="4"/>
        <v>0</v>
      </c>
      <c r="BI26" s="143">
        <f>IF(AND($A26&gt;=SYear85,$A26&lt;=EYear85),Data_85_15!$V27,"")</f>
        <v>1</v>
      </c>
      <c r="BJ26" s="143">
        <f>IF(AND($A26&gt;=SYear85,$A26&lt;=EYear85),Data_85_15!$AZ27,"")</f>
        <v>3.255561584373301</v>
      </c>
      <c r="BK26" s="143">
        <f t="shared" si="5"/>
        <v>-2.1844456121912739</v>
      </c>
      <c r="BN26" s="61">
        <f t="shared" si="6"/>
        <v>0.10055682831587553</v>
      </c>
      <c r="BO26" s="61">
        <f t="shared" si="7"/>
        <v>9.9438713898049924E-2</v>
      </c>
      <c r="BP26" s="61">
        <f t="shared" si="8"/>
        <v>7.7795595739507784E-2</v>
      </c>
      <c r="BQ26" s="61">
        <f t="shared" si="9"/>
        <v>8.7512096465605538E-2</v>
      </c>
      <c r="BR26" s="61"/>
      <c r="BU26" s="61">
        <f t="shared" si="11"/>
        <v>6.5857191059463416E-2</v>
      </c>
      <c r="BV26" s="61">
        <f t="shared" si="12"/>
        <v>6.6692111164820878E-2</v>
      </c>
      <c r="BW26" s="61">
        <f t="shared" si="13"/>
        <v>4.9792244165731692E-2</v>
      </c>
      <c r="BX26" s="61">
        <f t="shared" si="14"/>
        <v>6.2287094812742749E-2</v>
      </c>
      <c r="BY26" s="61"/>
    </row>
    <row r="27" spans="1:77">
      <c r="A27" s="204">
        <f t="shared" si="18"/>
        <v>2005</v>
      </c>
      <c r="B27" s="206" t="str">
        <f>IF(AND($A27&gt;=SYear85,$A27&lt;=EYear85,B$3&gt;0),B$3*Data_85_15!B28,"")</f>
        <v/>
      </c>
      <c r="C27" s="206" t="str">
        <f>IF(AND($A27&gt;=SYear85,$A27&lt;=EYear85,C$3&gt;0),C$3*Data_85_15!C28,"")</f>
        <v/>
      </c>
      <c r="D27" s="206" t="str">
        <f>IF(AND($A27&gt;=SYear85,$A27&lt;=EYear85,D$3&gt;0),D$3*Data_85_15!D28,"")</f>
        <v/>
      </c>
      <c r="E27" s="206" t="str">
        <f>IF(AND($A27&gt;=SYear85,$A27&lt;=EYear85,E$3&gt;0),E$3*Data_85_15!E28,"")</f>
        <v/>
      </c>
      <c r="F27" s="206">
        <f>IF(AND($A27&gt;=SYear85,$A27&lt;=EYear85,F$3&gt;0),F$3*Data_85_15!F28,"")</f>
        <v>3.4824999999999999</v>
      </c>
      <c r="G27" s="206" t="str">
        <f>IF(AND($A27&gt;=SYear85,$A27&lt;=EYear85,G$3&gt;0),G$3*Data_85_15!G28,"")</f>
        <v/>
      </c>
      <c r="H27" s="206" t="str">
        <f>IF(AND($A27&gt;=SYear85,$A27&lt;=EYear85,H$3&gt;0),H$3*Data_85_15!H28,"")</f>
        <v/>
      </c>
      <c r="I27" s="206" t="str">
        <f>IF(AND($A27&gt;=SYear85,$A27&lt;=EYear85,I$3&gt;0),I$3*Data_85_15!I28,"")</f>
        <v/>
      </c>
      <c r="J27" s="206" t="str">
        <f>IF(AND($A27&gt;=SYear85,$A27&lt;=EYear85,J$3&gt;0),J$3*Data_85_15!J28,"")</f>
        <v/>
      </c>
      <c r="K27" s="206" t="str">
        <f>IF(AND($A27&gt;=SYear85,$A27&lt;=EYear85,K$3&gt;0),K$3*Data_85_15!K28,"")</f>
        <v/>
      </c>
      <c r="L27" s="206" t="str">
        <f>IF(AND($A27&gt;=SYear85,$A27&lt;=EYear85,L$3&gt;0),L$3*Data_85_15!L28,"")</f>
        <v/>
      </c>
      <c r="M27" s="206" t="str">
        <f>IF(AND($A27&gt;=SYear85,$A27&lt;=EYear85,M$3&gt;0),M$3*Data_85_15!M28,"")</f>
        <v/>
      </c>
      <c r="N27" s="206" t="str">
        <f>IF(AND($A27&gt;=SYear85,$A27&lt;=EYear85,N$3&gt;0),N$3*Data_85_15!N28,"")</f>
        <v/>
      </c>
      <c r="O27" s="206" t="str">
        <f>IF(AND($A27&gt;=SYear85,$A27&lt;=EYear85,O$3&gt;0),O$3*Data_85_15!O28,"")</f>
        <v/>
      </c>
      <c r="P27" s="206" t="str">
        <f>IF(AND($A27&gt;=SYear85,$A27&lt;=EYear85,P$3&gt;0),P$3*Data_85_15!P28,"")</f>
        <v/>
      </c>
      <c r="Q27" s="206" t="str">
        <f>IF(AND($A27&gt;=SYear85,$A27&lt;=EYear85,Q$3&gt;0),Q$3*Data_85_15!Q28,"")</f>
        <v/>
      </c>
      <c r="R27" s="206" t="str">
        <f>IF(AND($A27&gt;=SYear85,$A27&lt;=EYear85,R$3&gt;0),R$3*Data_85_15!R28,"")</f>
        <v/>
      </c>
      <c r="S27" s="206">
        <f>IF(AND($A27&gt;=SYear85,$A27&lt;=EYear85,S$3&gt;0),S$3*Data_85_15!S28,"")</f>
        <v>1.6525000000000001</v>
      </c>
      <c r="T27" s="206" t="str">
        <f>IF(AND($A27&gt;=SYear85,$A27&lt;=EYear85,T$3&gt;0),T$3*Data_85_15!T28,"")</f>
        <v/>
      </c>
      <c r="U27" s="206" t="str">
        <f>IF(AND($A27&gt;=SYear85,$A27&lt;=EYear85,U$3&gt;0),U$3*Data_85_15!U28,"")</f>
        <v/>
      </c>
      <c r="V27" s="206" t="str">
        <f>IF(AND($A27&gt;=SYear85,$A27&lt;=EYear85,V$3&gt;0),V$3*Data_85_15!V28,"")</f>
        <v/>
      </c>
      <c r="W27" s="206">
        <f>IF(AND($A27&gt;=SYear85,$A27&lt;=EYear85,W$3&gt;0),W$3*Data_85_15!W28,"")</f>
        <v>0.64749999999999996</v>
      </c>
      <c r="X27" s="206" t="str">
        <f>IF(AND($A27&gt;=SYear85,$A27&lt;=EYear85,X$3&gt;0),X$3*Data_85_15!X28,"")</f>
        <v/>
      </c>
      <c r="Y27" s="206" t="str">
        <f>IF(AND($A27&gt;=SYear85,$A27&lt;=EYear85,Y$3&gt;0),Y$3*Data_85_15!Y28,"")</f>
        <v/>
      </c>
      <c r="Z27" s="206" t="str">
        <f>IF(AND($A27&gt;=SYear85,$A27&lt;=EYear85,Z$3&gt;0),Z$3*Data_85_15!Z28,"")</f>
        <v/>
      </c>
      <c r="AA27" s="206" t="str">
        <f>IF(AND($A27&gt;=SYear85,$A27&lt;=EYear85,AA$3&gt;0),AA$3*Data_85_15!AA28,"")</f>
        <v/>
      </c>
      <c r="AB27" s="206" t="str">
        <f>IF(AND($A27&gt;=SYear85,$A27&lt;=EYear85,AB$3&gt;0),AB$3*Data_85_15!AB28,"")</f>
        <v/>
      </c>
      <c r="AC27" s="206" t="str">
        <f>IF(AND($A27&gt;=SYear85,$A27&lt;=EYear85,AC$3&gt;0),AC$3*Data_85_15!AC28,"")</f>
        <v/>
      </c>
      <c r="AD27" s="206" t="str">
        <f>IF(AND($A27&gt;=SYear85,$A27&lt;=EYear85,AD$3&gt;0),AD$3*Data_85_15!AD28,"")</f>
        <v/>
      </c>
      <c r="AE27" s="206" t="str">
        <f>IF(AND($A27&gt;=SYear85,$A27&lt;=EYear85,AE$3&gt;0),AE$3*Data_85_15!AE28,"")</f>
        <v/>
      </c>
      <c r="AF27" s="206" t="str">
        <f>IF(AND($A27&gt;=SYear85,$A27&lt;=EYear85,AF$3&gt;0),AF$3*Data_85_15!AF28,"")</f>
        <v/>
      </c>
      <c r="AG27" s="206" t="str">
        <f>IF(AND($A27&gt;=SYear85,$A27&lt;=EYear85,AG$3&gt;0),AG$3*Data_85_15!AG28,"")</f>
        <v/>
      </c>
      <c r="AH27" s="206" t="str">
        <f>IF(AND($A27&gt;=SYear85,$A27&lt;=EYear85,AH$3&gt;0),AH$3*Data_85_15!AH28,"")</f>
        <v/>
      </c>
      <c r="AI27" s="206" t="str">
        <f>IF(AND($A27&gt;=SYear85,$A27&lt;=EYear85,AI$3&gt;0),AI$3*Data_85_15!AI28,"")</f>
        <v/>
      </c>
      <c r="AJ27" s="206" t="str">
        <f>IF(AND($A27&gt;=SYear85,$A27&lt;=EYear85,AJ$3&gt;0),AJ$3*Data_85_15!AJ28,"")</f>
        <v/>
      </c>
      <c r="AK27" s="206" t="str">
        <f>IF(AND($A27&gt;=SYear85,$A27&lt;=EYear85,AK$3&gt;0),AK$3*Data_85_15!AK28,"")</f>
        <v/>
      </c>
      <c r="AL27" s="206" t="str">
        <f>IF(AND($A27&gt;=SYear85,$A27&lt;=EYear85,AL$3&gt;0),AL$3*Data_85_15!AL28,"")</f>
        <v/>
      </c>
      <c r="AM27" s="206" t="str">
        <f>IF(AND($A27&gt;=SYear85,$A27&lt;=EYear85,AM$3&gt;0),AM$3*Data_85_15!AM28,"")</f>
        <v/>
      </c>
      <c r="AN27" s="206" t="str">
        <f>IF(AND($A27&gt;=SYear85,$A27&lt;=EYear85,AN$3&gt;0),AN$3*Data_85_15!AN28,"")</f>
        <v/>
      </c>
      <c r="AO27" s="206">
        <f>IF(AND($A27&gt;=SYear85,$A27&lt;=EYear85,AO$3&gt;0),AO$3*Data_85_15!AO28,"")</f>
        <v>4.51</v>
      </c>
      <c r="AP27" s="206" t="str">
        <f>IF(AND($A27&gt;=SYear85,$A27&lt;=EYear85,AP$3&gt;0),AP$3*Data_85_15!AP28,"")</f>
        <v/>
      </c>
      <c r="AQ27" s="206" t="str">
        <f>IF(AND($A27&gt;=SYear85,$A27&lt;=EYear85,AQ$3&gt;0),AQ$3*Data_85_15!AQ28,"")</f>
        <v/>
      </c>
      <c r="AR27" s="206" t="str">
        <f>IF(AND($A27&gt;=SYear85,$A27&lt;=EYear85,AR$3&gt;0),AR$3*Data_85_15!AR28,"")</f>
        <v/>
      </c>
      <c r="AS27" s="206" t="str">
        <f>IF(AND($A27&gt;=SYear85,$A27&lt;=EYear85,AS$3&gt;0),AS$3*Data_85_15!AS28,"")</f>
        <v/>
      </c>
      <c r="AT27" s="206" t="str">
        <f>IF(AND($A27&gt;=SYear85,$A27&lt;=EYear85,AT$3&gt;0),AT$3*Data_85_15!AT28,"")</f>
        <v/>
      </c>
      <c r="AU27" s="206" t="str">
        <f>IF(AND($A27&gt;=SYear85,$A27&lt;=EYear85,AU$3&gt;0),AU$3*Data_85_15!AU28,"")</f>
        <v/>
      </c>
      <c r="AV27" s="206" t="str">
        <f>IF(AND($A27&gt;=SYear85,$A27&lt;=EYear85,AV$3&gt;0),AV$3*Data_85_15!AV28,"")</f>
        <v/>
      </c>
      <c r="AW27" s="206" t="str">
        <f>IF(AND($A27&gt;=SYear85,$A27&lt;=EYear85,AW$3&gt;0),AW$3*Data_85_15!AW28,"")</f>
        <v/>
      </c>
      <c r="AX27" s="206" t="str">
        <f>IF(AND($A27&gt;=SYear85,$A27&lt;=EYear85,AX$3&gt;0),AX$3*Data_85_15!AX28,"")</f>
        <v/>
      </c>
      <c r="AY27" s="206" t="str">
        <f>IF(AND($A27&gt;=SYear85,$A27&lt;=EYear85,AY$3&gt;0),AY$3*Data_85_15!AY28,"")</f>
        <v/>
      </c>
      <c r="AZ27" s="206">
        <f t="shared" si="2"/>
        <v>10.2925</v>
      </c>
      <c r="BA27" s="446">
        <f t="shared" si="16"/>
        <v>64504.010307012359</v>
      </c>
      <c r="BB27" s="206">
        <f>IF(AND($A27&gt;=SYear85,$A27&lt;=EYear85),(AZ27-Data_85_15!AZ28)/(1+Data_85_15!AZ28%),"")</f>
        <v>6.649709095528455</v>
      </c>
      <c r="BC27" s="606">
        <f t="shared" si="17"/>
        <v>34513.578685611828</v>
      </c>
      <c r="BD27" s="143">
        <f t="shared" si="3"/>
        <v>5.4162172477081798</v>
      </c>
      <c r="BE27" s="143">
        <f>IF(AND($A27&gt;=SYear85,$A27&lt;=EYear85),MAX($BD$7:BD27),"")</f>
        <v>5.4162172477081798</v>
      </c>
      <c r="BF27" s="209">
        <f t="shared" si="4"/>
        <v>0</v>
      </c>
      <c r="BI27" s="143">
        <f>IF(AND($A27&gt;=SYear85,$A27&lt;=EYear85),Data_85_15!$V28,"")</f>
        <v>2.77</v>
      </c>
      <c r="BJ27" s="143">
        <f>IF(AND($A27&gt;=SYear85,$A27&lt;=EYear85),Data_85_15!$AZ28,"")</f>
        <v>3.4156594850236477</v>
      </c>
      <c r="BK27" s="143">
        <f t="shared" si="5"/>
        <v>-0.62433434959349665</v>
      </c>
      <c r="BN27" s="61">
        <f t="shared" si="6"/>
        <v>0.10292499999999993</v>
      </c>
      <c r="BO27" s="61">
        <f t="shared" si="7"/>
        <v>0.11356461566956777</v>
      </c>
      <c r="BP27" s="61">
        <f t="shared" si="8"/>
        <v>8.8705973098768265E-2</v>
      </c>
      <c r="BQ27" s="61">
        <f t="shared" si="9"/>
        <v>8.7583041565642894E-2</v>
      </c>
      <c r="BR27" s="61"/>
      <c r="BU27" s="61">
        <f t="shared" si="11"/>
        <v>6.6497090955284666E-2</v>
      </c>
      <c r="BV27" s="61">
        <f t="shared" si="12"/>
        <v>7.7532651198399805E-2</v>
      </c>
      <c r="BW27" s="61">
        <f t="shared" si="13"/>
        <v>6.1519860108695923E-2</v>
      </c>
      <c r="BX27" s="61">
        <f t="shared" si="14"/>
        <v>6.4962406160622876E-2</v>
      </c>
      <c r="BY27" s="61"/>
    </row>
    <row r="28" spans="1:77">
      <c r="A28" s="204">
        <f t="shared" ref="A28:A38" si="19">A27+1</f>
        <v>2006</v>
      </c>
      <c r="B28" s="206" t="str">
        <f>IF(AND($A28&gt;=SYear85,$A28&lt;=EYear85,B$3&gt;0),B$3*Data_85_15!B29,"")</f>
        <v/>
      </c>
      <c r="C28" s="206" t="str">
        <f>IF(AND($A28&gt;=SYear85,$A28&lt;=EYear85,C$3&gt;0),C$3*Data_85_15!C29,"")</f>
        <v/>
      </c>
      <c r="D28" s="206" t="str">
        <f>IF(AND($A28&gt;=SYear85,$A28&lt;=EYear85,D$3&gt;0),D$3*Data_85_15!D29,"")</f>
        <v/>
      </c>
      <c r="E28" s="206" t="str">
        <f>IF(AND($A28&gt;=SYear85,$A28&lt;=EYear85,E$3&gt;0),E$3*Data_85_15!E29,"")</f>
        <v/>
      </c>
      <c r="F28" s="206">
        <f>IF(AND($A28&gt;=SYear85,$A28&lt;=EYear85,F$3&gt;0),F$3*Data_85_15!F29,"")</f>
        <v>3.4</v>
      </c>
      <c r="G28" s="206" t="str">
        <f>IF(AND($A28&gt;=SYear85,$A28&lt;=EYear85,G$3&gt;0),G$3*Data_85_15!G29,"")</f>
        <v/>
      </c>
      <c r="H28" s="206" t="str">
        <f>IF(AND($A28&gt;=SYear85,$A28&lt;=EYear85,H$3&gt;0),H$3*Data_85_15!H29,"")</f>
        <v/>
      </c>
      <c r="I28" s="206" t="str">
        <f>IF(AND($A28&gt;=SYear85,$A28&lt;=EYear85,I$3&gt;0),I$3*Data_85_15!I29,"")</f>
        <v/>
      </c>
      <c r="J28" s="206" t="str">
        <f>IF(AND($A28&gt;=SYear85,$A28&lt;=EYear85,J$3&gt;0),J$3*Data_85_15!J29,"")</f>
        <v/>
      </c>
      <c r="K28" s="206" t="str">
        <f>IF(AND($A28&gt;=SYear85,$A28&lt;=EYear85,K$3&gt;0),K$3*Data_85_15!K29,"")</f>
        <v/>
      </c>
      <c r="L28" s="206" t="str">
        <f>IF(AND($A28&gt;=SYear85,$A28&lt;=EYear85,L$3&gt;0),L$3*Data_85_15!L29,"")</f>
        <v/>
      </c>
      <c r="M28" s="206" t="str">
        <f>IF(AND($A28&gt;=SYear85,$A28&lt;=EYear85,M$3&gt;0),M$3*Data_85_15!M29,"")</f>
        <v/>
      </c>
      <c r="N28" s="206" t="str">
        <f>IF(AND($A28&gt;=SYear85,$A28&lt;=EYear85,N$3&gt;0),N$3*Data_85_15!N29,"")</f>
        <v/>
      </c>
      <c r="O28" s="206" t="str">
        <f>IF(AND($A28&gt;=SYear85,$A28&lt;=EYear85,O$3&gt;0),O$3*Data_85_15!O29,"")</f>
        <v/>
      </c>
      <c r="P28" s="206" t="str">
        <f>IF(AND($A28&gt;=SYear85,$A28&lt;=EYear85,P$3&gt;0),P$3*Data_85_15!P29,"")</f>
        <v/>
      </c>
      <c r="Q28" s="206" t="str">
        <f>IF(AND($A28&gt;=SYear85,$A28&lt;=EYear85,Q$3&gt;0),Q$3*Data_85_15!Q29,"")</f>
        <v/>
      </c>
      <c r="R28" s="206" t="str">
        <f>IF(AND($A28&gt;=SYear85,$A28&lt;=EYear85,R$3&gt;0),R$3*Data_85_15!R29,"")</f>
        <v/>
      </c>
      <c r="S28" s="206">
        <f>IF(AND($A28&gt;=SYear85,$A28&lt;=EYear85,S$3&gt;0),S$3*Data_85_15!S29,"")</f>
        <v>0.435</v>
      </c>
      <c r="T28" s="206" t="str">
        <f>IF(AND($A28&gt;=SYear85,$A28&lt;=EYear85,T$3&gt;0),T$3*Data_85_15!T29,"")</f>
        <v/>
      </c>
      <c r="U28" s="206" t="str">
        <f>IF(AND($A28&gt;=SYear85,$A28&lt;=EYear85,U$3&gt;0),U$3*Data_85_15!U29,"")</f>
        <v/>
      </c>
      <c r="V28" s="206" t="str">
        <f>IF(AND($A28&gt;=SYear85,$A28&lt;=EYear85,V$3&gt;0),V$3*Data_85_15!V29,"")</f>
        <v/>
      </c>
      <c r="W28" s="206">
        <f>IF(AND($A28&gt;=SYear85,$A28&lt;=EYear85,W$3&gt;0),W$3*Data_85_15!W29,"")</f>
        <v>0.1075</v>
      </c>
      <c r="X28" s="206" t="str">
        <f>IF(AND($A28&gt;=SYear85,$A28&lt;=EYear85,X$3&gt;0),X$3*Data_85_15!X29,"")</f>
        <v/>
      </c>
      <c r="Y28" s="206" t="str">
        <f>IF(AND($A28&gt;=SYear85,$A28&lt;=EYear85,Y$3&gt;0),Y$3*Data_85_15!Y29,"")</f>
        <v/>
      </c>
      <c r="Z28" s="206" t="str">
        <f>IF(AND($A28&gt;=SYear85,$A28&lt;=EYear85,Z$3&gt;0),Z$3*Data_85_15!Z29,"")</f>
        <v/>
      </c>
      <c r="AA28" s="206" t="str">
        <f>IF(AND($A28&gt;=SYear85,$A28&lt;=EYear85,AA$3&gt;0),AA$3*Data_85_15!AA29,"")</f>
        <v/>
      </c>
      <c r="AB28" s="206" t="str">
        <f>IF(AND($A28&gt;=SYear85,$A28&lt;=EYear85,AB$3&gt;0),AB$3*Data_85_15!AB29,"")</f>
        <v/>
      </c>
      <c r="AC28" s="206" t="str">
        <f>IF(AND($A28&gt;=SYear85,$A28&lt;=EYear85,AC$3&gt;0),AC$3*Data_85_15!AC29,"")</f>
        <v/>
      </c>
      <c r="AD28" s="206" t="str">
        <f>IF(AND($A28&gt;=SYear85,$A28&lt;=EYear85,AD$3&gt;0),AD$3*Data_85_15!AD29,"")</f>
        <v/>
      </c>
      <c r="AE28" s="206" t="str">
        <f>IF(AND($A28&gt;=SYear85,$A28&lt;=EYear85,AE$3&gt;0),AE$3*Data_85_15!AE29,"")</f>
        <v/>
      </c>
      <c r="AF28" s="206" t="str">
        <f>IF(AND($A28&gt;=SYear85,$A28&lt;=EYear85,AF$3&gt;0),AF$3*Data_85_15!AF29,"")</f>
        <v/>
      </c>
      <c r="AG28" s="206" t="str">
        <f>IF(AND($A28&gt;=SYear85,$A28&lt;=EYear85,AG$3&gt;0),AG$3*Data_85_15!AG29,"")</f>
        <v/>
      </c>
      <c r="AH28" s="206" t="str">
        <f>IF(AND($A28&gt;=SYear85,$A28&lt;=EYear85,AH$3&gt;0),AH$3*Data_85_15!AH29,"")</f>
        <v/>
      </c>
      <c r="AI28" s="206" t="str">
        <f>IF(AND($A28&gt;=SYear85,$A28&lt;=EYear85,AI$3&gt;0),AI$3*Data_85_15!AI29,"")</f>
        <v/>
      </c>
      <c r="AJ28" s="206" t="str">
        <f>IF(AND($A28&gt;=SYear85,$A28&lt;=EYear85,AJ$3&gt;0),AJ$3*Data_85_15!AJ29,"")</f>
        <v/>
      </c>
      <c r="AK28" s="206" t="str">
        <f>IF(AND($A28&gt;=SYear85,$A28&lt;=EYear85,AK$3&gt;0),AK$3*Data_85_15!AK29,"")</f>
        <v/>
      </c>
      <c r="AL28" s="206" t="str">
        <f>IF(AND($A28&gt;=SYear85,$A28&lt;=EYear85,AL$3&gt;0),AL$3*Data_85_15!AL29,"")</f>
        <v/>
      </c>
      <c r="AM28" s="206" t="str">
        <f>IF(AND($A28&gt;=SYear85,$A28&lt;=EYear85,AM$3&gt;0),AM$3*Data_85_15!AM29,"")</f>
        <v/>
      </c>
      <c r="AN28" s="206" t="str">
        <f>IF(AND($A28&gt;=SYear85,$A28&lt;=EYear85,AN$3&gt;0),AN$3*Data_85_15!AN29,"")</f>
        <v/>
      </c>
      <c r="AO28" s="206">
        <f>IF(AND($A28&gt;=SYear85,$A28&lt;=EYear85,AO$3&gt;0),AO$3*Data_85_15!AO29,"")</f>
        <v>5.5425000000000004</v>
      </c>
      <c r="AP28" s="206" t="str">
        <f>IF(AND($A28&gt;=SYear85,$A28&lt;=EYear85,AP$3&gt;0),AP$3*Data_85_15!AP29,"")</f>
        <v/>
      </c>
      <c r="AQ28" s="206" t="str">
        <f>IF(AND($A28&gt;=SYear85,$A28&lt;=EYear85,AQ$3&gt;0),AQ$3*Data_85_15!AQ29,"")</f>
        <v/>
      </c>
      <c r="AR28" s="206" t="str">
        <f>IF(AND($A28&gt;=SYear85,$A28&lt;=EYear85,AR$3&gt;0),AR$3*Data_85_15!AR29,"")</f>
        <v/>
      </c>
      <c r="AS28" s="206" t="str">
        <f>IF(AND($A28&gt;=SYear85,$A28&lt;=EYear85,AS$3&gt;0),AS$3*Data_85_15!AS29,"")</f>
        <v/>
      </c>
      <c r="AT28" s="206" t="str">
        <f>IF(AND($A28&gt;=SYear85,$A28&lt;=EYear85,AT$3&gt;0),AT$3*Data_85_15!AT29,"")</f>
        <v/>
      </c>
      <c r="AU28" s="206" t="str">
        <f>IF(AND($A28&gt;=SYear85,$A28&lt;=EYear85,AU$3&gt;0),AU$3*Data_85_15!AU29,"")</f>
        <v/>
      </c>
      <c r="AV28" s="206" t="str">
        <f>IF(AND($A28&gt;=SYear85,$A28&lt;=EYear85,AV$3&gt;0),AV$3*Data_85_15!AV29,"")</f>
        <v/>
      </c>
      <c r="AW28" s="206" t="str">
        <f>IF(AND($A28&gt;=SYear85,$A28&lt;=EYear85,AW$3&gt;0),AW$3*Data_85_15!AW29,"")</f>
        <v/>
      </c>
      <c r="AX28" s="206" t="str">
        <f>IF(AND($A28&gt;=SYear85,$A28&lt;=EYear85,AX$3&gt;0),AX$3*Data_85_15!AX29,"")</f>
        <v/>
      </c>
      <c r="AY28" s="206" t="str">
        <f>IF(AND($A28&gt;=SYear85,$A28&lt;=EYear85,AY$3&gt;0),AY$3*Data_85_15!AY29,"")</f>
        <v/>
      </c>
      <c r="AZ28" s="206">
        <f t="shared" si="2"/>
        <v>9.4849999999999994</v>
      </c>
      <c r="BA28" s="446">
        <f t="shared" ref="BA28:BA33" si="20">IF(AND($A28&gt;=SYear85,$A28&lt;=EYear85),IF($A28=SYear85,$BA$4*(1+AZ28%),$BA27*(1+AZ28%)),"")</f>
        <v>70622.215684632494</v>
      </c>
      <c r="BB28" s="206">
        <f>IF(AND($A28&gt;=SYear85,$A28&lt;=EYear85),(AZ28-Data_85_15!AZ29)/(1+Data_85_15!AZ29%),"")</f>
        <v>6.7722893954410317</v>
      </c>
      <c r="BC28" s="606">
        <f t="shared" ref="BC28:BC33" si="21">IF(AND($A28&gt;=SYear85,$A28&lt;=EYear85),IF($A28=SYear85,$BC$4*(1+BB28%),$BC27*(1+BB28%)),"")</f>
        <v>36850.938114924713</v>
      </c>
      <c r="BD28" s="143">
        <f t="shared" ref="BD28:BD33" si="22">IF(AND($A28&gt;=SYear85,$A28&lt;=EYear85),IF($A28=SYear85,$BD$2,$BD27*(1+AZ28%)),"")</f>
        <v>5.9299454536533016</v>
      </c>
      <c r="BE28" s="143">
        <f>IF(AND($A28&gt;=SYear85,$A28&lt;=EYear85),MAX($BD$7:BD28),"")</f>
        <v>5.9299454536533016</v>
      </c>
      <c r="BF28" s="209">
        <f t="shared" ref="BF28:BF33" si="23">IF(AND($A28&gt;=SYear85,$A28&lt;=EYear85),1-(BD28/BE28),"")</f>
        <v>0</v>
      </c>
      <c r="BI28" s="143">
        <f>IF(AND($A28&gt;=SYear85,$A28&lt;=EYear85),Data_85_15!$V29,"")</f>
        <v>4.55</v>
      </c>
      <c r="BJ28" s="143">
        <f>IF(AND($A28&gt;=SYear85,$A28&lt;=EYear85),Data_85_15!$AZ29,"")</f>
        <v>2.5406504065040636</v>
      </c>
      <c r="BK28" s="143">
        <f t="shared" si="5"/>
        <v>1.9595639246779002</v>
      </c>
      <c r="BN28" s="61">
        <f t="shared" si="6"/>
        <v>9.4850000000000101E-2</v>
      </c>
      <c r="BO28" s="61">
        <f t="shared" si="7"/>
        <v>6.2122289791291196E-2</v>
      </c>
      <c r="BP28" s="61">
        <f t="shared" si="8"/>
        <v>0.10249736468877901</v>
      </c>
      <c r="BQ28" s="61">
        <f t="shared" si="9"/>
        <v>7.2732563943681106E-2</v>
      </c>
      <c r="BR28" s="61"/>
      <c r="BU28" s="61">
        <f t="shared" si="11"/>
        <v>6.7722893954410335E-2</v>
      </c>
      <c r="BV28" s="61">
        <f t="shared" si="12"/>
        <v>3.9009140533386111E-2</v>
      </c>
      <c r="BW28" s="61">
        <f t="shared" si="13"/>
        <v>7.9003344005000198E-2</v>
      </c>
      <c r="BX28" s="61">
        <f t="shared" si="14"/>
        <v>5.3188888707724979E-2</v>
      </c>
      <c r="BY28" s="61"/>
    </row>
    <row r="29" spans="1:77">
      <c r="A29" s="204">
        <f t="shared" si="19"/>
        <v>2007</v>
      </c>
      <c r="B29" s="206" t="str">
        <f>IF(AND($A29&gt;=SYear85,$A29&lt;=EYear85,B$3&gt;0),B$3*Data_85_15!B30,"")</f>
        <v/>
      </c>
      <c r="C29" s="206" t="str">
        <f>IF(AND($A29&gt;=SYear85,$A29&lt;=EYear85,C$3&gt;0),C$3*Data_85_15!C30,"")</f>
        <v/>
      </c>
      <c r="D29" s="206" t="str">
        <f>IF(AND($A29&gt;=SYear85,$A29&lt;=EYear85,D$3&gt;0),D$3*Data_85_15!D30,"")</f>
        <v/>
      </c>
      <c r="E29" s="206" t="str">
        <f>IF(AND($A29&gt;=SYear85,$A29&lt;=EYear85,E$3&gt;0),E$3*Data_85_15!E30,"")</f>
        <v/>
      </c>
      <c r="F29" s="206">
        <f>IF(AND($A29&gt;=SYear85,$A29&lt;=EYear85,F$3&gt;0),F$3*Data_85_15!F30,"")</f>
        <v>1.5049999999999999</v>
      </c>
      <c r="G29" s="206" t="str">
        <f>IF(AND($A29&gt;=SYear85,$A29&lt;=EYear85,G$3&gt;0),G$3*Data_85_15!G30,"")</f>
        <v/>
      </c>
      <c r="H29" s="206" t="str">
        <f>IF(AND($A29&gt;=SYear85,$A29&lt;=EYear85,H$3&gt;0),H$3*Data_85_15!H30,"")</f>
        <v/>
      </c>
      <c r="I29" s="206" t="str">
        <f>IF(AND($A29&gt;=SYear85,$A29&lt;=EYear85,I$3&gt;0),I$3*Data_85_15!I30,"")</f>
        <v/>
      </c>
      <c r="J29" s="206" t="str">
        <f>IF(AND($A29&gt;=SYear85,$A29&lt;=EYear85,J$3&gt;0),J$3*Data_85_15!J30,"")</f>
        <v/>
      </c>
      <c r="K29" s="206" t="str">
        <f>IF(AND($A29&gt;=SYear85,$A29&lt;=EYear85,K$3&gt;0),K$3*Data_85_15!K30,"")</f>
        <v/>
      </c>
      <c r="L29" s="206" t="str">
        <f>IF(AND($A29&gt;=SYear85,$A29&lt;=EYear85,L$3&gt;0),L$3*Data_85_15!L30,"")</f>
        <v/>
      </c>
      <c r="M29" s="206" t="str">
        <f>IF(AND($A29&gt;=SYear85,$A29&lt;=EYear85,M$3&gt;0),M$3*Data_85_15!M30,"")</f>
        <v/>
      </c>
      <c r="N29" s="206" t="str">
        <f>IF(AND($A29&gt;=SYear85,$A29&lt;=EYear85,N$3&gt;0),N$3*Data_85_15!N30,"")</f>
        <v/>
      </c>
      <c r="O29" s="206" t="str">
        <f>IF(AND($A29&gt;=SYear85,$A29&lt;=EYear85,O$3&gt;0),O$3*Data_85_15!O30,"")</f>
        <v/>
      </c>
      <c r="P29" s="206" t="str">
        <f>IF(AND($A29&gt;=SYear85,$A29&lt;=EYear85,P$3&gt;0),P$3*Data_85_15!P30,"")</f>
        <v/>
      </c>
      <c r="Q29" s="206" t="str">
        <f>IF(AND($A29&gt;=SYear85,$A29&lt;=EYear85,Q$3&gt;0),Q$3*Data_85_15!Q30,"")</f>
        <v/>
      </c>
      <c r="R29" s="206" t="str">
        <f>IF(AND($A29&gt;=SYear85,$A29&lt;=EYear85,R$3&gt;0),R$3*Data_85_15!R30,"")</f>
        <v/>
      </c>
      <c r="S29" s="206">
        <f>IF(AND($A29&gt;=SYear85,$A29&lt;=EYear85,S$3&gt;0),S$3*Data_85_15!S30,"")</f>
        <v>2.31</v>
      </c>
      <c r="T29" s="206" t="str">
        <f>IF(AND($A29&gt;=SYear85,$A29&lt;=EYear85,T$3&gt;0),T$3*Data_85_15!T30,"")</f>
        <v/>
      </c>
      <c r="U29" s="206" t="str">
        <f>IF(AND($A29&gt;=SYear85,$A29&lt;=EYear85,U$3&gt;0),U$3*Data_85_15!U30,"")</f>
        <v/>
      </c>
      <c r="V29" s="206" t="str">
        <f>IF(AND($A29&gt;=SYear85,$A29&lt;=EYear85,V$3&gt;0),V$3*Data_85_15!V30,"")</f>
        <v/>
      </c>
      <c r="W29" s="206">
        <f>IF(AND($A29&gt;=SYear85,$A29&lt;=EYear85,W$3&gt;0),W$3*Data_85_15!W30,"")</f>
        <v>2.8975</v>
      </c>
      <c r="X29" s="206" t="str">
        <f>IF(AND($A29&gt;=SYear85,$A29&lt;=EYear85,X$3&gt;0),X$3*Data_85_15!X30,"")</f>
        <v/>
      </c>
      <c r="Y29" s="206" t="str">
        <f>IF(AND($A29&gt;=SYear85,$A29&lt;=EYear85,Y$3&gt;0),Y$3*Data_85_15!Y30,"")</f>
        <v/>
      </c>
      <c r="Z29" s="206" t="str">
        <f>IF(AND($A29&gt;=SYear85,$A29&lt;=EYear85,Z$3&gt;0),Z$3*Data_85_15!Z30,"")</f>
        <v/>
      </c>
      <c r="AA29" s="206" t="str">
        <f>IF(AND($A29&gt;=SYear85,$A29&lt;=EYear85,AA$3&gt;0),AA$3*Data_85_15!AA30,"")</f>
        <v/>
      </c>
      <c r="AB29" s="206" t="str">
        <f>IF(AND($A29&gt;=SYear85,$A29&lt;=EYear85,AB$3&gt;0),AB$3*Data_85_15!AB30,"")</f>
        <v/>
      </c>
      <c r="AC29" s="206" t="str">
        <f>IF(AND($A29&gt;=SYear85,$A29&lt;=EYear85,AC$3&gt;0),AC$3*Data_85_15!AC30,"")</f>
        <v/>
      </c>
      <c r="AD29" s="206" t="str">
        <f>IF(AND($A29&gt;=SYear85,$A29&lt;=EYear85,AD$3&gt;0),AD$3*Data_85_15!AD30,"")</f>
        <v/>
      </c>
      <c r="AE29" s="206" t="str">
        <f>IF(AND($A29&gt;=SYear85,$A29&lt;=EYear85,AE$3&gt;0),AE$3*Data_85_15!AE30,"")</f>
        <v/>
      </c>
      <c r="AF29" s="206" t="str">
        <f>IF(AND($A29&gt;=SYear85,$A29&lt;=EYear85,AF$3&gt;0),AF$3*Data_85_15!AF30,"")</f>
        <v/>
      </c>
      <c r="AG29" s="206" t="str">
        <f>IF(AND($A29&gt;=SYear85,$A29&lt;=EYear85,AG$3&gt;0),AG$3*Data_85_15!AG30,"")</f>
        <v/>
      </c>
      <c r="AH29" s="206" t="str">
        <f>IF(AND($A29&gt;=SYear85,$A29&lt;=EYear85,AH$3&gt;0),AH$3*Data_85_15!AH30,"")</f>
        <v/>
      </c>
      <c r="AI29" s="206" t="str">
        <f>IF(AND($A29&gt;=SYear85,$A29&lt;=EYear85,AI$3&gt;0),AI$3*Data_85_15!AI30,"")</f>
        <v/>
      </c>
      <c r="AJ29" s="206" t="str">
        <f>IF(AND($A29&gt;=SYear85,$A29&lt;=EYear85,AJ$3&gt;0),AJ$3*Data_85_15!AJ30,"")</f>
        <v/>
      </c>
      <c r="AK29" s="206" t="str">
        <f>IF(AND($A29&gt;=SYear85,$A29&lt;=EYear85,AK$3&gt;0),AK$3*Data_85_15!AK30,"")</f>
        <v/>
      </c>
      <c r="AL29" s="206" t="str">
        <f>IF(AND($A29&gt;=SYear85,$A29&lt;=EYear85,AL$3&gt;0),AL$3*Data_85_15!AL30,"")</f>
        <v/>
      </c>
      <c r="AM29" s="206" t="str">
        <f>IF(AND($A29&gt;=SYear85,$A29&lt;=EYear85,AM$3&gt;0),AM$3*Data_85_15!AM30,"")</f>
        <v/>
      </c>
      <c r="AN29" s="206" t="str">
        <f>IF(AND($A29&gt;=SYear85,$A29&lt;=EYear85,AN$3&gt;0),AN$3*Data_85_15!AN30,"")</f>
        <v/>
      </c>
      <c r="AO29" s="206">
        <f>IF(AND($A29&gt;=SYear85,$A29&lt;=EYear85,AO$3&gt;0),AO$3*Data_85_15!AO30,"")</f>
        <v>7.64</v>
      </c>
      <c r="AP29" s="206" t="str">
        <f>IF(AND($A29&gt;=SYear85,$A29&lt;=EYear85,AP$3&gt;0),AP$3*Data_85_15!AP30,"")</f>
        <v/>
      </c>
      <c r="AQ29" s="206" t="str">
        <f>IF(AND($A29&gt;=SYear85,$A29&lt;=EYear85,AQ$3&gt;0),AQ$3*Data_85_15!AQ30,"")</f>
        <v/>
      </c>
      <c r="AR29" s="206" t="str">
        <f>IF(AND($A29&gt;=SYear85,$A29&lt;=EYear85,AR$3&gt;0),AR$3*Data_85_15!AR30,"")</f>
        <v/>
      </c>
      <c r="AS29" s="206" t="str">
        <f>IF(AND($A29&gt;=SYear85,$A29&lt;=EYear85,AS$3&gt;0),AS$3*Data_85_15!AS30,"")</f>
        <v/>
      </c>
      <c r="AT29" s="206" t="str">
        <f>IF(AND($A29&gt;=SYear85,$A29&lt;=EYear85,AT$3&gt;0),AT$3*Data_85_15!AT30,"")</f>
        <v/>
      </c>
      <c r="AU29" s="206" t="str">
        <f>IF(AND($A29&gt;=SYear85,$A29&lt;=EYear85,AU$3&gt;0),AU$3*Data_85_15!AU30,"")</f>
        <v/>
      </c>
      <c r="AV29" s="206" t="str">
        <f>IF(AND($A29&gt;=SYear85,$A29&lt;=EYear85,AV$3&gt;0),AV$3*Data_85_15!AV30,"")</f>
        <v/>
      </c>
      <c r="AW29" s="206" t="str">
        <f>IF(AND($A29&gt;=SYear85,$A29&lt;=EYear85,AW$3&gt;0),AW$3*Data_85_15!AW30,"")</f>
        <v/>
      </c>
      <c r="AX29" s="206" t="str">
        <f>IF(AND($A29&gt;=SYear85,$A29&lt;=EYear85,AX$3&gt;0),AX$3*Data_85_15!AX30,"")</f>
        <v/>
      </c>
      <c r="AY29" s="206" t="str">
        <f>IF(AND($A29&gt;=SYear85,$A29&lt;=EYear85,AY$3&gt;0),AY$3*Data_85_15!AY30,"")</f>
        <v/>
      </c>
      <c r="AZ29" s="206">
        <f t="shared" si="2"/>
        <v>14.352499999999999</v>
      </c>
      <c r="BA29" s="446">
        <f t="shared" si="20"/>
        <v>80758.269190769366</v>
      </c>
      <c r="BB29" s="206">
        <f>IF(AND($A29&gt;=SYear85,$A29&lt;=EYear85),(AZ29-Data_85_15!AZ30)/(1+Data_85_15!AZ30%),"")</f>
        <v>9.8684725475632842</v>
      </c>
      <c r="BC29" s="606">
        <f t="shared" si="21"/>
        <v>40487.562826315596</v>
      </c>
      <c r="BD29" s="143">
        <f t="shared" si="22"/>
        <v>6.7810408748888911</v>
      </c>
      <c r="BE29" s="143">
        <f>IF(AND($A29&gt;=SYear85,$A29&lt;=EYear85),MAX($BD$7:BD29),"")</f>
        <v>6.7810408748888911</v>
      </c>
      <c r="BF29" s="209">
        <f t="shared" si="23"/>
        <v>0</v>
      </c>
      <c r="BI29" s="143">
        <f>IF(AND($A29&gt;=SYear85,$A29&lt;=EYear85),Data_85_15!$V30,"")</f>
        <v>4.6500000000000004</v>
      </c>
      <c r="BJ29" s="143">
        <f>IF(AND($A29&gt;=SYear85,$A29&lt;=EYear85),Data_85_15!$AZ30,"")</f>
        <v>4.0812685827551931</v>
      </c>
      <c r="BK29" s="143">
        <f t="shared" si="5"/>
        <v>0.54643013578625621</v>
      </c>
      <c r="BN29" s="61">
        <f t="shared" si="6"/>
        <v>0.1435249999999999</v>
      </c>
      <c r="BO29" s="61">
        <f t="shared" si="7"/>
        <v>8.1975619662551846E-2</v>
      </c>
      <c r="BP29" s="61">
        <f t="shared" si="8"/>
        <v>0.10849382842674049</v>
      </c>
      <c r="BQ29" s="61"/>
      <c r="BR29" s="61"/>
      <c r="BU29" s="61">
        <f t="shared" si="11"/>
        <v>9.8684725475632895E-2</v>
      </c>
      <c r="BV29" s="61">
        <f t="shared" si="12"/>
        <v>5.7809500077107501E-2</v>
      </c>
      <c r="BW29" s="61">
        <f t="shared" si="13"/>
        <v>8.398176466857632E-2</v>
      </c>
      <c r="BX29" s="61"/>
      <c r="BY29" s="61"/>
    </row>
    <row r="30" spans="1:77">
      <c r="A30" s="204">
        <f t="shared" si="19"/>
        <v>2008</v>
      </c>
      <c r="B30" s="206" t="str">
        <f>IF(AND($A30&gt;=SYear85,$A30&lt;=EYear85,B$3&gt;0),B$3*Data_85_15!B31,"")</f>
        <v/>
      </c>
      <c r="C30" s="206" t="str">
        <f>IF(AND($A30&gt;=SYear85,$A30&lt;=EYear85,C$3&gt;0),C$3*Data_85_15!C31,"")</f>
        <v/>
      </c>
      <c r="D30" s="206" t="str">
        <f>IF(AND($A30&gt;=SYear85,$A30&lt;=EYear85,D$3&gt;0),D$3*Data_85_15!D31,"")</f>
        <v/>
      </c>
      <c r="E30" s="206" t="str">
        <f>IF(AND($A30&gt;=SYear85,$A30&lt;=EYear85,E$3&gt;0),E$3*Data_85_15!E31,"")</f>
        <v/>
      </c>
      <c r="F30" s="206">
        <f>IF(AND($A30&gt;=SYear85,$A30&lt;=EYear85,F$3&gt;0),F$3*Data_85_15!F31,"")</f>
        <v>-10.455</v>
      </c>
      <c r="G30" s="206" t="str">
        <f>IF(AND($A30&gt;=SYear85,$A30&lt;=EYear85,G$3&gt;0),G$3*Data_85_15!G31,"")</f>
        <v/>
      </c>
      <c r="H30" s="206" t="str">
        <f>IF(AND($A30&gt;=SYear85,$A30&lt;=EYear85,H$3&gt;0),H$3*Data_85_15!H31,"")</f>
        <v/>
      </c>
      <c r="I30" s="206" t="str">
        <f>IF(AND($A30&gt;=SYear85,$A30&lt;=EYear85,I$3&gt;0),I$3*Data_85_15!I31,"")</f>
        <v/>
      </c>
      <c r="J30" s="206" t="str">
        <f>IF(AND($A30&gt;=SYear85,$A30&lt;=EYear85,J$3&gt;0),J$3*Data_85_15!J31,"")</f>
        <v/>
      </c>
      <c r="K30" s="206" t="str">
        <f>IF(AND($A30&gt;=SYear85,$A30&lt;=EYear85,K$3&gt;0),K$3*Data_85_15!K31,"")</f>
        <v/>
      </c>
      <c r="L30" s="206" t="str">
        <f>IF(AND($A30&gt;=SYear85,$A30&lt;=EYear85,L$3&gt;0),L$3*Data_85_15!L31,"")</f>
        <v/>
      </c>
      <c r="M30" s="206" t="str">
        <f>IF(AND($A30&gt;=SYear85,$A30&lt;=EYear85,M$3&gt;0),M$3*Data_85_15!M31,"")</f>
        <v/>
      </c>
      <c r="N30" s="206" t="str">
        <f>IF(AND($A30&gt;=SYear85,$A30&lt;=EYear85,N$3&gt;0),N$3*Data_85_15!N31,"")</f>
        <v/>
      </c>
      <c r="O30" s="206" t="str">
        <f>IF(AND($A30&gt;=SYear85,$A30&lt;=EYear85,O$3&gt;0),O$3*Data_85_15!O31,"")</f>
        <v/>
      </c>
      <c r="P30" s="206" t="str">
        <f>IF(AND($A30&gt;=SYear85,$A30&lt;=EYear85,P$3&gt;0),P$3*Data_85_15!P31,"")</f>
        <v/>
      </c>
      <c r="Q30" s="206" t="str">
        <f>IF(AND($A30&gt;=SYear85,$A30&lt;=EYear85,Q$3&gt;0),Q$3*Data_85_15!Q31,"")</f>
        <v/>
      </c>
      <c r="R30" s="206" t="str">
        <f>IF(AND($A30&gt;=SYear85,$A30&lt;=EYear85,R$3&gt;0),R$3*Data_85_15!R31,"")</f>
        <v/>
      </c>
      <c r="S30" s="206">
        <f>IF(AND($A30&gt;=SYear85,$A30&lt;=EYear85,S$3&gt;0),S$3*Data_85_15!S31,"")</f>
        <v>5.63</v>
      </c>
      <c r="T30" s="206" t="str">
        <f>IF(AND($A30&gt;=SYear85,$A30&lt;=EYear85,T$3&gt;0),T$3*Data_85_15!T31,"")</f>
        <v/>
      </c>
      <c r="U30" s="206" t="str">
        <f>IF(AND($A30&gt;=SYear85,$A30&lt;=EYear85,U$3&gt;0),U$3*Data_85_15!U31,"")</f>
        <v/>
      </c>
      <c r="V30" s="206" t="str">
        <f>IF(AND($A30&gt;=SYear85,$A30&lt;=EYear85,V$3&gt;0),V$3*Data_85_15!V31,"")</f>
        <v/>
      </c>
      <c r="W30" s="206">
        <f>IF(AND($A30&gt;=SYear85,$A30&lt;=EYear85,W$3&gt;0),W$3*Data_85_15!W31,"")</f>
        <v>-0.71250000000000002</v>
      </c>
      <c r="X30" s="206" t="str">
        <f>IF(AND($A30&gt;=SYear85,$A30&lt;=EYear85,X$3&gt;0),X$3*Data_85_15!X31,"")</f>
        <v/>
      </c>
      <c r="Y30" s="206" t="str">
        <f>IF(AND($A30&gt;=SYear85,$A30&lt;=EYear85,Y$3&gt;0),Y$3*Data_85_15!Y31,"")</f>
        <v/>
      </c>
      <c r="Z30" s="206" t="str">
        <f>IF(AND($A30&gt;=SYear85,$A30&lt;=EYear85,Z$3&gt;0),Z$3*Data_85_15!Z31,"")</f>
        <v/>
      </c>
      <c r="AA30" s="206" t="str">
        <f>IF(AND($A30&gt;=SYear85,$A30&lt;=EYear85,AA$3&gt;0),AA$3*Data_85_15!AA31,"")</f>
        <v/>
      </c>
      <c r="AB30" s="206" t="str">
        <f>IF(AND($A30&gt;=SYear85,$A30&lt;=EYear85,AB$3&gt;0),AB$3*Data_85_15!AB31,"")</f>
        <v/>
      </c>
      <c r="AC30" s="206" t="str">
        <f>IF(AND($A30&gt;=SYear85,$A30&lt;=EYear85,AC$3&gt;0),AC$3*Data_85_15!AC31,"")</f>
        <v/>
      </c>
      <c r="AD30" s="206" t="str">
        <f>IF(AND($A30&gt;=SYear85,$A30&lt;=EYear85,AD$3&gt;0),AD$3*Data_85_15!AD31,"")</f>
        <v/>
      </c>
      <c r="AE30" s="206" t="str">
        <f>IF(AND($A30&gt;=SYear85,$A30&lt;=EYear85,AE$3&gt;0),AE$3*Data_85_15!AE31,"")</f>
        <v/>
      </c>
      <c r="AF30" s="206" t="str">
        <f>IF(AND($A30&gt;=SYear85,$A30&lt;=EYear85,AF$3&gt;0),AF$3*Data_85_15!AF31,"")</f>
        <v/>
      </c>
      <c r="AG30" s="206" t="str">
        <f>IF(AND($A30&gt;=SYear85,$A30&lt;=EYear85,AG$3&gt;0),AG$3*Data_85_15!AG31,"")</f>
        <v/>
      </c>
      <c r="AH30" s="206" t="str">
        <f>IF(AND($A30&gt;=SYear85,$A30&lt;=EYear85,AH$3&gt;0),AH$3*Data_85_15!AH31,"")</f>
        <v/>
      </c>
      <c r="AI30" s="206" t="str">
        <f>IF(AND($A30&gt;=SYear85,$A30&lt;=EYear85,AI$3&gt;0),AI$3*Data_85_15!AI31,"")</f>
        <v/>
      </c>
      <c r="AJ30" s="206" t="str">
        <f>IF(AND($A30&gt;=SYear85,$A30&lt;=EYear85,AJ$3&gt;0),AJ$3*Data_85_15!AJ31,"")</f>
        <v/>
      </c>
      <c r="AK30" s="206" t="str">
        <f>IF(AND($A30&gt;=SYear85,$A30&lt;=EYear85,AK$3&gt;0),AK$3*Data_85_15!AK31,"")</f>
        <v/>
      </c>
      <c r="AL30" s="206" t="str">
        <f>IF(AND($A30&gt;=SYear85,$A30&lt;=EYear85,AL$3&gt;0),AL$3*Data_85_15!AL31,"")</f>
        <v/>
      </c>
      <c r="AM30" s="206" t="str">
        <f>IF(AND($A30&gt;=SYear85,$A30&lt;=EYear85,AM$3&gt;0),AM$3*Data_85_15!AM31,"")</f>
        <v/>
      </c>
      <c r="AN30" s="206" t="str">
        <f>IF(AND($A30&gt;=SYear85,$A30&lt;=EYear85,AN$3&gt;0),AN$3*Data_85_15!AN31,"")</f>
        <v/>
      </c>
      <c r="AO30" s="206">
        <f>IF(AND($A30&gt;=SYear85,$A30&lt;=EYear85,AO$3&gt;0),AO$3*Data_85_15!AO31,"")</f>
        <v>1.24</v>
      </c>
      <c r="AP30" s="206" t="str">
        <f>IF(AND($A30&gt;=SYear85,$A30&lt;=EYear85,AP$3&gt;0),AP$3*Data_85_15!AP31,"")</f>
        <v/>
      </c>
      <c r="AQ30" s="206" t="str">
        <f>IF(AND($A30&gt;=SYear85,$A30&lt;=EYear85,AQ$3&gt;0),AQ$3*Data_85_15!AQ31,"")</f>
        <v/>
      </c>
      <c r="AR30" s="206" t="str">
        <f>IF(AND($A30&gt;=SYear85,$A30&lt;=EYear85,AR$3&gt;0),AR$3*Data_85_15!AR31,"")</f>
        <v/>
      </c>
      <c r="AS30" s="206" t="str">
        <f>IF(AND($A30&gt;=SYear85,$A30&lt;=EYear85,AS$3&gt;0),AS$3*Data_85_15!AS31,"")</f>
        <v/>
      </c>
      <c r="AT30" s="206" t="str">
        <f>IF(AND($A30&gt;=SYear85,$A30&lt;=EYear85,AT$3&gt;0),AT$3*Data_85_15!AT31,"")</f>
        <v/>
      </c>
      <c r="AU30" s="206" t="str">
        <f>IF(AND($A30&gt;=SYear85,$A30&lt;=EYear85,AU$3&gt;0),AU$3*Data_85_15!AU31,"")</f>
        <v/>
      </c>
      <c r="AV30" s="206" t="str">
        <f>IF(AND($A30&gt;=SYear85,$A30&lt;=EYear85,AV$3&gt;0),AV$3*Data_85_15!AV31,"")</f>
        <v/>
      </c>
      <c r="AW30" s="206" t="str">
        <f>IF(AND($A30&gt;=SYear85,$A30&lt;=EYear85,AW$3&gt;0),AW$3*Data_85_15!AW31,"")</f>
        <v/>
      </c>
      <c r="AX30" s="206" t="str">
        <f>IF(AND($A30&gt;=SYear85,$A30&lt;=EYear85,AX$3&gt;0),AX$3*Data_85_15!AX31,"")</f>
        <v/>
      </c>
      <c r="AY30" s="206" t="str">
        <f>IF(AND($A30&gt;=SYear85,$A30&lt;=EYear85,AY$3&gt;0),AY$3*Data_85_15!AY31,"")</f>
        <v/>
      </c>
      <c r="AZ30" s="206">
        <f t="shared" si="2"/>
        <v>-4.2975000000000003</v>
      </c>
      <c r="BA30" s="446">
        <f t="shared" si="20"/>
        <v>77287.682572296049</v>
      </c>
      <c r="BB30" s="206">
        <f>IF(AND($A30&gt;=SYear85,$A30&lt;=EYear85),(AZ30-Data_85_15!AZ31)/(1+Data_85_15!AZ31%),"")</f>
        <v>-4.3849045322221603</v>
      </c>
      <c r="BC30" s="606">
        <f t="shared" si="21"/>
        <v>38712.221848958194</v>
      </c>
      <c r="BD30" s="143">
        <f t="shared" si="22"/>
        <v>6.489625643290541</v>
      </c>
      <c r="BE30" s="143">
        <f>IF(AND($A30&gt;=SYear85,$A30&lt;=EYear85),MAX($BD$7:BD30),"")</f>
        <v>6.7810408748888911</v>
      </c>
      <c r="BF30" s="209">
        <f t="shared" si="23"/>
        <v>4.2974999999999985E-2</v>
      </c>
      <c r="BI30" s="143">
        <f>IF(AND($A30&gt;=SYear85,$A30&lt;=EYear85),Data_85_15!$V31,"")</f>
        <v>1.97</v>
      </c>
      <c r="BJ30" s="143">
        <f>IF(AND($A30&gt;=SYear85,$A30&lt;=EYear85),Data_85_15!$AZ31,"")</f>
        <v>9.1412900645604367E-2</v>
      </c>
      <c r="BK30" s="143">
        <f t="shared" si="5"/>
        <v>1.8768713967692212</v>
      </c>
      <c r="BN30" s="61">
        <f t="shared" si="6"/>
        <v>-4.2974999999999985E-2</v>
      </c>
      <c r="BO30" s="61">
        <f t="shared" si="7"/>
        <v>9.1681216631727791E-2</v>
      </c>
      <c r="BP30" s="61">
        <f t="shared" si="8"/>
        <v>9.6224464748787986E-2</v>
      </c>
      <c r="BQ30" s="61"/>
      <c r="BR30" s="61"/>
      <c r="BU30" s="61">
        <f t="shared" si="11"/>
        <v>-4.3849045322221447E-2</v>
      </c>
      <c r="BV30" s="61">
        <f t="shared" si="12"/>
        <v>7.6285370597603874E-2</v>
      </c>
      <c r="BW30" s="61">
        <f t="shared" si="13"/>
        <v>7.6870507083661721E-2</v>
      </c>
      <c r="BX30" s="61"/>
      <c r="BY30" s="61"/>
    </row>
    <row r="31" spans="1:77">
      <c r="A31" s="204">
        <f t="shared" si="19"/>
        <v>2009</v>
      </c>
      <c r="B31" s="206" t="str">
        <f>IF(AND($A31&gt;=SYear85,$A31&lt;=EYear85,B$3&gt;0),B$3*Data_85_15!B32,"")</f>
        <v/>
      </c>
      <c r="C31" s="206" t="str">
        <f>IF(AND($A31&gt;=SYear85,$A31&lt;=EYear85,C$3&gt;0),C$3*Data_85_15!C32,"")</f>
        <v/>
      </c>
      <c r="D31" s="206" t="str">
        <f>IF(AND($A31&gt;=SYear85,$A31&lt;=EYear85,D$3&gt;0),D$3*Data_85_15!D32,"")</f>
        <v/>
      </c>
      <c r="E31" s="206" t="str">
        <f>IF(AND($A31&gt;=SYear85,$A31&lt;=EYear85,E$3&gt;0),E$3*Data_85_15!E32,"")</f>
        <v/>
      </c>
      <c r="F31" s="206">
        <f>IF(AND($A31&gt;=SYear85,$A31&lt;=EYear85,F$3&gt;0),F$3*Data_85_15!F32,"")</f>
        <v>10.055</v>
      </c>
      <c r="G31" s="206" t="str">
        <f>IF(AND($A31&gt;=SYear85,$A31&lt;=EYear85,G$3&gt;0),G$3*Data_85_15!G32,"")</f>
        <v/>
      </c>
      <c r="H31" s="206" t="str">
        <f>IF(AND($A31&gt;=SYear85,$A31&lt;=EYear85,H$3&gt;0),H$3*Data_85_15!H32,"")</f>
        <v/>
      </c>
      <c r="I31" s="206" t="str">
        <f>IF(AND($A31&gt;=SYear85,$A31&lt;=EYear85,I$3&gt;0),I$3*Data_85_15!I32,"")</f>
        <v/>
      </c>
      <c r="J31" s="206" t="str">
        <f>IF(AND($A31&gt;=SYear85,$A31&lt;=EYear85,J$3&gt;0),J$3*Data_85_15!J32,"")</f>
        <v/>
      </c>
      <c r="K31" s="206" t="str">
        <f>IF(AND($A31&gt;=SYear85,$A31&lt;=EYear85,K$3&gt;0),K$3*Data_85_15!K32,"")</f>
        <v/>
      </c>
      <c r="L31" s="206" t="str">
        <f>IF(AND($A31&gt;=SYear85,$A31&lt;=EYear85,L$3&gt;0),L$3*Data_85_15!L32,"")</f>
        <v/>
      </c>
      <c r="M31" s="206" t="str">
        <f>IF(AND($A31&gt;=SYear85,$A31&lt;=EYear85,M$3&gt;0),M$3*Data_85_15!M32,"")</f>
        <v/>
      </c>
      <c r="N31" s="206" t="str">
        <f>IF(AND($A31&gt;=SYear85,$A31&lt;=EYear85,N$3&gt;0),N$3*Data_85_15!N32,"")</f>
        <v/>
      </c>
      <c r="O31" s="206" t="str">
        <f>IF(AND($A31&gt;=SYear85,$A31&lt;=EYear85,O$3&gt;0),O$3*Data_85_15!O32,"")</f>
        <v/>
      </c>
      <c r="P31" s="206" t="str">
        <f>IF(AND($A31&gt;=SYear85,$A31&lt;=EYear85,P$3&gt;0),P$3*Data_85_15!P32,"")</f>
        <v/>
      </c>
      <c r="Q31" s="206" t="str">
        <f>IF(AND($A31&gt;=SYear85,$A31&lt;=EYear85,Q$3&gt;0),Q$3*Data_85_15!Q32,"")</f>
        <v/>
      </c>
      <c r="R31" s="206" t="str">
        <f>IF(AND($A31&gt;=SYear85,$A31&lt;=EYear85,R$3&gt;0),R$3*Data_85_15!R32,"")</f>
        <v/>
      </c>
      <c r="S31" s="206">
        <f>IF(AND($A31&gt;=SYear85,$A31&lt;=EYear85,S$3&gt;0),S$3*Data_85_15!S32,"")</f>
        <v>-3.0125000000000002</v>
      </c>
      <c r="T31" s="206" t="str">
        <f>IF(AND($A31&gt;=SYear85,$A31&lt;=EYear85,T$3&gt;0),T$3*Data_85_15!T32,"")</f>
        <v/>
      </c>
      <c r="U31" s="206" t="str">
        <f>IF(AND($A31&gt;=SYear85,$A31&lt;=EYear85,U$3&gt;0),U$3*Data_85_15!U32,"")</f>
        <v/>
      </c>
      <c r="V31" s="206" t="str">
        <f>IF(AND($A31&gt;=SYear85,$A31&lt;=EYear85,V$3&gt;0),V$3*Data_85_15!V32,"")</f>
        <v/>
      </c>
      <c r="W31" s="206">
        <f>IF(AND($A31&gt;=SYear85,$A31&lt;=EYear85,W$3&gt;0),W$3*Data_85_15!W32,"")</f>
        <v>2.7</v>
      </c>
      <c r="X31" s="206" t="str">
        <f>IF(AND($A31&gt;=SYear85,$A31&lt;=EYear85,X$3&gt;0),X$3*Data_85_15!X32,"")</f>
        <v/>
      </c>
      <c r="Y31" s="206" t="str">
        <f>IF(AND($A31&gt;=SYear85,$A31&lt;=EYear85,Y$3&gt;0),Y$3*Data_85_15!Y32,"")</f>
        <v/>
      </c>
      <c r="Z31" s="206" t="str">
        <f>IF(AND($A31&gt;=SYear85,$A31&lt;=EYear85,Z$3&gt;0),Z$3*Data_85_15!Z32,"")</f>
        <v/>
      </c>
      <c r="AA31" s="206" t="str">
        <f>IF(AND($A31&gt;=SYear85,$A31&lt;=EYear85,AA$3&gt;0),AA$3*Data_85_15!AA32,"")</f>
        <v/>
      </c>
      <c r="AB31" s="206" t="str">
        <f>IF(AND($A31&gt;=SYear85,$A31&lt;=EYear85,AB$3&gt;0),AB$3*Data_85_15!AB32,"")</f>
        <v/>
      </c>
      <c r="AC31" s="206" t="str">
        <f>IF(AND($A31&gt;=SYear85,$A31&lt;=EYear85,AC$3&gt;0),AC$3*Data_85_15!AC32,"")</f>
        <v/>
      </c>
      <c r="AD31" s="206" t="str">
        <f>IF(AND($A31&gt;=SYear85,$A31&lt;=EYear85,AD$3&gt;0),AD$3*Data_85_15!AD32,"")</f>
        <v/>
      </c>
      <c r="AE31" s="206" t="str">
        <f>IF(AND($A31&gt;=SYear85,$A31&lt;=EYear85,AE$3&gt;0),AE$3*Data_85_15!AE32,"")</f>
        <v/>
      </c>
      <c r="AF31" s="206" t="str">
        <f>IF(AND($A31&gt;=SYear85,$A31&lt;=EYear85,AF$3&gt;0),AF$3*Data_85_15!AF32,"")</f>
        <v/>
      </c>
      <c r="AG31" s="206" t="str">
        <f>IF(AND($A31&gt;=SYear85,$A31&lt;=EYear85,AG$3&gt;0),AG$3*Data_85_15!AG32,"")</f>
        <v/>
      </c>
      <c r="AH31" s="206" t="str">
        <f>IF(AND($A31&gt;=SYear85,$A31&lt;=EYear85,AH$3&gt;0),AH$3*Data_85_15!AH32,"")</f>
        <v/>
      </c>
      <c r="AI31" s="206" t="str">
        <f>IF(AND($A31&gt;=SYear85,$A31&lt;=EYear85,AI$3&gt;0),AI$3*Data_85_15!AI32,"")</f>
        <v/>
      </c>
      <c r="AJ31" s="206" t="str">
        <f>IF(AND($A31&gt;=SYear85,$A31&lt;=EYear85,AJ$3&gt;0),AJ$3*Data_85_15!AJ32,"")</f>
        <v/>
      </c>
      <c r="AK31" s="206" t="str">
        <f>IF(AND($A31&gt;=SYear85,$A31&lt;=EYear85,AK$3&gt;0),AK$3*Data_85_15!AK32,"")</f>
        <v/>
      </c>
      <c r="AL31" s="206" t="str">
        <f>IF(AND($A31&gt;=SYear85,$A31&lt;=EYear85,AL$3&gt;0),AL$3*Data_85_15!AL32,"")</f>
        <v/>
      </c>
      <c r="AM31" s="206" t="str">
        <f>IF(AND($A31&gt;=SYear85,$A31&lt;=EYear85,AM$3&gt;0),AM$3*Data_85_15!AM32,"")</f>
        <v/>
      </c>
      <c r="AN31" s="206" t="str">
        <f>IF(AND($A31&gt;=SYear85,$A31&lt;=EYear85,AN$3&gt;0),AN$3*Data_85_15!AN32,"")</f>
        <v/>
      </c>
      <c r="AO31" s="206">
        <f>IF(AND($A31&gt;=SYear85,$A31&lt;=EYear85,AO$3&gt;0),AO$3*Data_85_15!AO32,"")</f>
        <v>5.9974999999999996</v>
      </c>
      <c r="AP31" s="206" t="str">
        <f>IF(AND($A31&gt;=SYear85,$A31&lt;=EYear85,AP$3&gt;0),AP$3*Data_85_15!AP32,"")</f>
        <v/>
      </c>
      <c r="AQ31" s="206" t="str">
        <f>IF(AND($A31&gt;=SYear85,$A31&lt;=EYear85,AQ$3&gt;0),AQ$3*Data_85_15!AQ32,"")</f>
        <v/>
      </c>
      <c r="AR31" s="206" t="str">
        <f>IF(AND($A31&gt;=SYear85,$A31&lt;=EYear85,AR$3&gt;0),AR$3*Data_85_15!AR32,"")</f>
        <v/>
      </c>
      <c r="AS31" s="206" t="str">
        <f>IF(AND($A31&gt;=SYear85,$A31&lt;=EYear85,AS$3&gt;0),AS$3*Data_85_15!AS32,"")</f>
        <v/>
      </c>
      <c r="AT31" s="206" t="str">
        <f>IF(AND($A31&gt;=SYear85,$A31&lt;=EYear85,AT$3&gt;0),AT$3*Data_85_15!AT32,"")</f>
        <v/>
      </c>
      <c r="AU31" s="206" t="str">
        <f>IF(AND($A31&gt;=SYear85,$A31&lt;=EYear85,AU$3&gt;0),AU$3*Data_85_15!AU32,"")</f>
        <v/>
      </c>
      <c r="AV31" s="206" t="str">
        <f>IF(AND($A31&gt;=SYear85,$A31&lt;=EYear85,AV$3&gt;0),AV$3*Data_85_15!AV32,"")</f>
        <v/>
      </c>
      <c r="AW31" s="206" t="str">
        <f>IF(AND($A31&gt;=SYear85,$A31&lt;=EYear85,AW$3&gt;0),AW$3*Data_85_15!AW32,"")</f>
        <v/>
      </c>
      <c r="AX31" s="206" t="str">
        <f>IF(AND($A31&gt;=SYear85,$A31&lt;=EYear85,AX$3&gt;0),AX$3*Data_85_15!AX32,"")</f>
        <v/>
      </c>
      <c r="AY31" s="206" t="str">
        <f>IF(AND($A31&gt;=SYear85,$A31&lt;=EYear85,AY$3&gt;0),AY$3*Data_85_15!AY32,"")</f>
        <v/>
      </c>
      <c r="AZ31" s="206">
        <f t="shared" si="2"/>
        <v>15.739999999999998</v>
      </c>
      <c r="BA31" s="446">
        <f t="shared" si="20"/>
        <v>89452.763809175449</v>
      </c>
      <c r="BB31" s="206">
        <f>IF(AND($A31&gt;=SYear85,$A31&lt;=EYear85),(AZ31-Data_85_15!AZ32)/(1+Data_85_15!AZ32%),"")</f>
        <v>12.67377352986122</v>
      </c>
      <c r="BC31" s="606">
        <f t="shared" si="21"/>
        <v>43618.521174472604</v>
      </c>
      <c r="BD31" s="143">
        <f t="shared" si="22"/>
        <v>7.5110927195444717</v>
      </c>
      <c r="BE31" s="143">
        <f>IF(AND($A31&gt;=SYear85,$A31&lt;=EYear85),MAX($BD$7:BD31),"")</f>
        <v>7.5110927195444717</v>
      </c>
      <c r="BF31" s="209">
        <f t="shared" si="23"/>
        <v>0</v>
      </c>
      <c r="BI31" s="143">
        <f>IF(AND($A31&gt;=SYear85,$A31&lt;=EYear85),Data_85_15!$V32,"")</f>
        <v>0.53</v>
      </c>
      <c r="BJ31" s="143">
        <f>IF(AND($A31&gt;=SYear85,$A31&lt;=EYear85),Data_85_15!$AZ32,"")</f>
        <v>2.7213311262058282</v>
      </c>
      <c r="BK31" s="143">
        <f t="shared" si="5"/>
        <v>-2.1332775794284706</v>
      </c>
      <c r="BN31" s="61">
        <f t="shared" si="6"/>
        <v>0.15739999999999998</v>
      </c>
      <c r="BO31" s="61">
        <f t="shared" si="7"/>
        <v>0.15212380579435059</v>
      </c>
      <c r="BP31" s="61">
        <f t="shared" si="8"/>
        <v>9.7316193009253205E-2</v>
      </c>
      <c r="BQ31" s="61"/>
      <c r="BR31" s="61"/>
      <c r="BU31" s="61">
        <f t="shared" si="11"/>
        <v>0.1267377352986121</v>
      </c>
      <c r="BV31" s="61">
        <f t="shared" si="12"/>
        <v>0.12521827561622234</v>
      </c>
      <c r="BW31" s="61">
        <f t="shared" si="13"/>
        <v>7.4930661830596712E-2</v>
      </c>
      <c r="BX31" s="61"/>
      <c r="BY31" s="61"/>
    </row>
    <row r="32" spans="1:77">
      <c r="A32" s="204">
        <f t="shared" si="19"/>
        <v>2010</v>
      </c>
      <c r="B32" s="206" t="str">
        <f>IF(AND($A32&gt;=SYear85,$A32&lt;=EYear85,B$3&gt;0),B$3*Data_85_15!B33,"")</f>
        <v/>
      </c>
      <c r="C32" s="206" t="str">
        <f>IF(AND($A32&gt;=SYear85,$A32&lt;=EYear85,C$3&gt;0),C$3*Data_85_15!C33,"")</f>
        <v/>
      </c>
      <c r="D32" s="206" t="str">
        <f>IF(AND($A32&gt;=SYear85,$A32&lt;=EYear85,D$3&gt;0),D$3*Data_85_15!D33,"")</f>
        <v/>
      </c>
      <c r="E32" s="206" t="str">
        <f>IF(AND($A32&gt;=SYear85,$A32&lt;=EYear85,E$3&gt;0),E$3*Data_85_15!E33,"")</f>
        <v/>
      </c>
      <c r="F32" s="206">
        <f>IF(AND($A32&gt;=SYear85,$A32&lt;=EYear85,F$3&gt;0),F$3*Data_85_15!F33,"")</f>
        <v>6.3650000000000002</v>
      </c>
      <c r="G32" s="206" t="str">
        <f>IF(AND($A32&gt;=SYear85,$A32&lt;=EYear85,G$3&gt;0),G$3*Data_85_15!G33,"")</f>
        <v/>
      </c>
      <c r="H32" s="206" t="str">
        <f>IF(AND($A32&gt;=SYear85,$A32&lt;=EYear85,H$3&gt;0),H$3*Data_85_15!H33,"")</f>
        <v/>
      </c>
      <c r="I32" s="206" t="str">
        <f>IF(AND($A32&gt;=SYear85,$A32&lt;=EYear85,I$3&gt;0),I$3*Data_85_15!I33,"")</f>
        <v/>
      </c>
      <c r="J32" s="206" t="str">
        <f>IF(AND($A32&gt;=SYear85,$A32&lt;=EYear85,J$3&gt;0),J$3*Data_85_15!J33,"")</f>
        <v/>
      </c>
      <c r="K32" s="206" t="str">
        <f>IF(AND($A32&gt;=SYear85,$A32&lt;=EYear85,K$3&gt;0),K$3*Data_85_15!K33,"")</f>
        <v/>
      </c>
      <c r="L32" s="206" t="str">
        <f>IF(AND($A32&gt;=SYear85,$A32&lt;=EYear85,L$3&gt;0),L$3*Data_85_15!L33,"")</f>
        <v/>
      </c>
      <c r="M32" s="206" t="str">
        <f>IF(AND($A32&gt;=SYear85,$A32&lt;=EYear85,M$3&gt;0),M$3*Data_85_15!M33,"")</f>
        <v/>
      </c>
      <c r="N32" s="206" t="str">
        <f>IF(AND($A32&gt;=SYear85,$A32&lt;=EYear85,N$3&gt;0),N$3*Data_85_15!N33,"")</f>
        <v/>
      </c>
      <c r="O32" s="206" t="str">
        <f>IF(AND($A32&gt;=SYear85,$A32&lt;=EYear85,O$3&gt;0),O$3*Data_85_15!O33,"")</f>
        <v/>
      </c>
      <c r="P32" s="206" t="str">
        <f>IF(AND($A32&gt;=SYear85,$A32&lt;=EYear85,P$3&gt;0),P$3*Data_85_15!P33,"")</f>
        <v/>
      </c>
      <c r="Q32" s="206" t="str">
        <f>IF(AND($A32&gt;=SYear85,$A32&lt;=EYear85,Q$3&gt;0),Q$3*Data_85_15!Q33,"")</f>
        <v/>
      </c>
      <c r="R32" s="206" t="str">
        <f>IF(AND($A32&gt;=SYear85,$A32&lt;=EYear85,R$3&gt;0),R$3*Data_85_15!R33,"")</f>
        <v/>
      </c>
      <c r="S32" s="206">
        <f>IF(AND($A32&gt;=SYear85,$A32&lt;=EYear85,S$3&gt;0),S$3*Data_85_15!S33,"")</f>
        <v>2.2324999999999999</v>
      </c>
      <c r="T32" s="206" t="str">
        <f>IF(AND($A32&gt;=SYear85,$A32&lt;=EYear85,T$3&gt;0),T$3*Data_85_15!T33,"")</f>
        <v/>
      </c>
      <c r="U32" s="206" t="str">
        <f>IF(AND($A32&gt;=SYear85,$A32&lt;=EYear85,U$3&gt;0),U$3*Data_85_15!U33,"")</f>
        <v/>
      </c>
      <c r="V32" s="206" t="str">
        <f>IF(AND($A32&gt;=SYear85,$A32&lt;=EYear85,V$3&gt;0),V$3*Data_85_15!V33,"")</f>
        <v/>
      </c>
      <c r="W32" s="206">
        <f>IF(AND($A32&gt;=SYear85,$A32&lt;=EYear85,W$3&gt;0),W$3*Data_85_15!W33,"")</f>
        <v>1.5425</v>
      </c>
      <c r="X32" s="206" t="str">
        <f>IF(AND($A32&gt;=SYear85,$A32&lt;=EYear85,X$3&gt;0),X$3*Data_85_15!X33,"")</f>
        <v/>
      </c>
      <c r="Y32" s="206" t="str">
        <f>IF(AND($A32&gt;=SYear85,$A32&lt;=EYear85,Y$3&gt;0),Y$3*Data_85_15!Y33,"")</f>
        <v/>
      </c>
      <c r="Z32" s="206" t="str">
        <f>IF(AND($A32&gt;=SYear85,$A32&lt;=EYear85,Z$3&gt;0),Z$3*Data_85_15!Z33,"")</f>
        <v/>
      </c>
      <c r="AA32" s="206" t="str">
        <f>IF(AND($A32&gt;=SYear85,$A32&lt;=EYear85,AA$3&gt;0),AA$3*Data_85_15!AA33,"")</f>
        <v/>
      </c>
      <c r="AB32" s="206" t="str">
        <f>IF(AND($A32&gt;=SYear85,$A32&lt;=EYear85,AB$3&gt;0),AB$3*Data_85_15!AB33,"")</f>
        <v/>
      </c>
      <c r="AC32" s="206" t="str">
        <f>IF(AND($A32&gt;=SYear85,$A32&lt;=EYear85,AC$3&gt;0),AC$3*Data_85_15!AC33,"")</f>
        <v/>
      </c>
      <c r="AD32" s="206" t="str">
        <f>IF(AND($A32&gt;=SYear85,$A32&lt;=EYear85,AD$3&gt;0),AD$3*Data_85_15!AD33,"")</f>
        <v/>
      </c>
      <c r="AE32" s="206" t="str">
        <f>IF(AND($A32&gt;=SYear85,$A32&lt;=EYear85,AE$3&gt;0),AE$3*Data_85_15!AE33,"")</f>
        <v/>
      </c>
      <c r="AF32" s="206" t="str">
        <f>IF(AND($A32&gt;=SYear85,$A32&lt;=EYear85,AF$3&gt;0),AF$3*Data_85_15!AF33,"")</f>
        <v/>
      </c>
      <c r="AG32" s="206" t="str">
        <f>IF(AND($A32&gt;=SYear85,$A32&lt;=EYear85,AG$3&gt;0),AG$3*Data_85_15!AG33,"")</f>
        <v/>
      </c>
      <c r="AH32" s="206" t="str">
        <f>IF(AND($A32&gt;=SYear85,$A32&lt;=EYear85,AH$3&gt;0),AH$3*Data_85_15!AH33,"")</f>
        <v/>
      </c>
      <c r="AI32" s="206" t="str">
        <f>IF(AND($A32&gt;=SYear85,$A32&lt;=EYear85,AI$3&gt;0),AI$3*Data_85_15!AI33,"")</f>
        <v/>
      </c>
      <c r="AJ32" s="206" t="str">
        <f>IF(AND($A32&gt;=SYear85,$A32&lt;=EYear85,AJ$3&gt;0),AJ$3*Data_85_15!AJ33,"")</f>
        <v/>
      </c>
      <c r="AK32" s="206" t="str">
        <f>IF(AND($A32&gt;=SYear85,$A32&lt;=EYear85,AK$3&gt;0),AK$3*Data_85_15!AK33,"")</f>
        <v/>
      </c>
      <c r="AL32" s="206" t="str">
        <f>IF(AND($A32&gt;=SYear85,$A32&lt;=EYear85,AL$3&gt;0),AL$3*Data_85_15!AL33,"")</f>
        <v/>
      </c>
      <c r="AM32" s="206" t="str">
        <f>IF(AND($A32&gt;=SYear85,$A32&lt;=EYear85,AM$3&gt;0),AM$3*Data_85_15!AM33,"")</f>
        <v/>
      </c>
      <c r="AN32" s="206" t="str">
        <f>IF(AND($A32&gt;=SYear85,$A32&lt;=EYear85,AN$3&gt;0),AN$3*Data_85_15!AN33,"")</f>
        <v/>
      </c>
      <c r="AO32" s="206">
        <f>IF(AND($A32&gt;=SYear85,$A32&lt;=EYear85,AO$3&gt;0),AO$3*Data_85_15!AO33,"")</f>
        <v>7.3174999999999999</v>
      </c>
      <c r="AP32" s="206" t="str">
        <f>IF(AND($A32&gt;=SYear85,$A32&lt;=EYear85,AP$3&gt;0),AP$3*Data_85_15!AP33,"")</f>
        <v/>
      </c>
      <c r="AQ32" s="206" t="str">
        <f>IF(AND($A32&gt;=SYear85,$A32&lt;=EYear85,AQ$3&gt;0),AQ$3*Data_85_15!AQ33,"")</f>
        <v/>
      </c>
      <c r="AR32" s="206" t="str">
        <f>IF(AND($A32&gt;=SYear85,$A32&lt;=EYear85,AR$3&gt;0),AR$3*Data_85_15!AR33,"")</f>
        <v/>
      </c>
      <c r="AS32" s="206" t="str">
        <f>IF(AND($A32&gt;=SYear85,$A32&lt;=EYear85,AS$3&gt;0),AS$3*Data_85_15!AS33,"")</f>
        <v/>
      </c>
      <c r="AT32" s="206" t="str">
        <f>IF(AND($A32&gt;=SYear85,$A32&lt;=EYear85,AT$3&gt;0),AT$3*Data_85_15!AT33,"")</f>
        <v/>
      </c>
      <c r="AU32" s="206" t="str">
        <f>IF(AND($A32&gt;=SYear85,$A32&lt;=EYear85,AU$3&gt;0),AU$3*Data_85_15!AU33,"")</f>
        <v/>
      </c>
      <c r="AV32" s="206" t="str">
        <f>IF(AND($A32&gt;=SYear85,$A32&lt;=EYear85,AV$3&gt;0),AV$3*Data_85_15!AV33,"")</f>
        <v/>
      </c>
      <c r="AW32" s="206" t="str">
        <f>IF(AND($A32&gt;=SYear85,$A32&lt;=EYear85,AW$3&gt;0),AW$3*Data_85_15!AW33,"")</f>
        <v/>
      </c>
      <c r="AX32" s="206" t="str">
        <f>IF(AND($A32&gt;=SYear85,$A32&lt;=EYear85,AX$3&gt;0),AX$3*Data_85_15!AX33,"")</f>
        <v/>
      </c>
      <c r="AY32" s="206" t="str">
        <f>IF(AND($A32&gt;=SYear85,$A32&lt;=EYear85,AY$3&gt;0),AY$3*Data_85_15!AY33,"")</f>
        <v/>
      </c>
      <c r="AZ32" s="206">
        <f t="shared" si="2"/>
        <v>17.4575</v>
      </c>
      <c r="BA32" s="446">
        <f t="shared" si="20"/>
        <v>105068.98005116225</v>
      </c>
      <c r="BB32" s="206">
        <f>IF(AND($A32&gt;=SYear85,$A32&lt;=EYear85),(AZ32-Data_85_15!AZ33)/(1+Data_85_15!AZ33%),"")</f>
        <v>15.726550753037484</v>
      </c>
      <c r="BC32" s="606">
        <f t="shared" si="21"/>
        <v>50478.210044700441</v>
      </c>
      <c r="BD32" s="143">
        <f t="shared" si="22"/>
        <v>8.8223417310589465</v>
      </c>
      <c r="BE32" s="143">
        <f>IF(AND($A32&gt;=SYear85,$A32&lt;=EYear85),MAX($BD$7:BD32),"")</f>
        <v>8.8223417310589465</v>
      </c>
      <c r="BF32" s="209">
        <f t="shared" si="23"/>
        <v>0</v>
      </c>
      <c r="BI32" s="143">
        <f>IF(AND($A32&gt;=SYear85,$A32&lt;=EYear85),Data_85_15!$V33,"")</f>
        <v>0.01</v>
      </c>
      <c r="BJ32" s="143">
        <f>IF(AND($A32&gt;=SYear85,$A32&lt;=EYear85),Data_85_15!$AZ33,"")</f>
        <v>1.4957235273143077</v>
      </c>
      <c r="BK32" s="143">
        <f t="shared" si="5"/>
        <v>-1.4638286970923193</v>
      </c>
      <c r="BN32" s="61">
        <f t="shared" si="6"/>
        <v>0.17457499999999992</v>
      </c>
      <c r="BO32" s="61">
        <f t="shared" si="7"/>
        <v>0.12641103537329301</v>
      </c>
      <c r="BP32" s="61">
        <f t="shared" si="8"/>
        <v>8.6461268265556779E-2</v>
      </c>
      <c r="BQ32" s="61"/>
      <c r="BR32" s="61"/>
      <c r="BU32" s="61">
        <f t="shared" si="11"/>
        <v>0.15726550753037483</v>
      </c>
      <c r="BV32" s="61">
        <f t="shared" si="12"/>
        <v>0.10362798359774317</v>
      </c>
      <c r="BW32" s="61">
        <f t="shared" si="13"/>
        <v>6.841611650986068E-2</v>
      </c>
      <c r="BX32" s="61"/>
      <c r="BY32" s="61"/>
    </row>
    <row r="33" spans="1:77">
      <c r="A33" s="204">
        <f t="shared" si="19"/>
        <v>2011</v>
      </c>
      <c r="B33" s="206" t="str">
        <f>IF(AND($A33&gt;=SYear85,$A33&lt;=EYear85,B$3&gt;0),B$3*Data_85_15!B34,"")</f>
        <v/>
      </c>
      <c r="C33" s="206" t="str">
        <f>IF(AND($A33&gt;=SYear85,$A33&lt;=EYear85,C$3&gt;0),C$3*Data_85_15!C34,"")</f>
        <v/>
      </c>
      <c r="D33" s="206" t="str">
        <f>IF(AND($A33&gt;=SYear85,$A33&lt;=EYear85,D$3&gt;0),D$3*Data_85_15!D34,"")</f>
        <v/>
      </c>
      <c r="E33" s="206" t="str">
        <f>IF(AND($A33&gt;=SYear85,$A33&lt;=EYear85,E$3&gt;0),E$3*Data_85_15!E34,"")</f>
        <v/>
      </c>
      <c r="F33" s="206">
        <f>IF(AND($A33&gt;=SYear85,$A33&lt;=EYear85,F$3&gt;0),F$3*Data_85_15!F34,"")</f>
        <v>-0.52749999999999997</v>
      </c>
      <c r="G33" s="206" t="str">
        <f>IF(AND($A33&gt;=SYear85,$A33&lt;=EYear85,G$3&gt;0),G$3*Data_85_15!G34,"")</f>
        <v/>
      </c>
      <c r="H33" s="206" t="str">
        <f>IF(AND($A33&gt;=SYear85,$A33&lt;=EYear85,H$3&gt;0),H$3*Data_85_15!H34,"")</f>
        <v/>
      </c>
      <c r="I33" s="206" t="str">
        <f>IF(AND($A33&gt;=SYear85,$A33&lt;=EYear85,I$3&gt;0),I$3*Data_85_15!I34,"")</f>
        <v/>
      </c>
      <c r="J33" s="206" t="str">
        <f>IF(AND($A33&gt;=SYear85,$A33&lt;=EYear85,J$3&gt;0),J$3*Data_85_15!J34,"")</f>
        <v/>
      </c>
      <c r="K33" s="206" t="str">
        <f>IF(AND($A33&gt;=SYear85,$A33&lt;=EYear85,K$3&gt;0),K$3*Data_85_15!K34,"")</f>
        <v/>
      </c>
      <c r="L33" s="206" t="str">
        <f>IF(AND($A33&gt;=SYear85,$A33&lt;=EYear85,L$3&gt;0),L$3*Data_85_15!L34,"")</f>
        <v/>
      </c>
      <c r="M33" s="206" t="str">
        <f>IF(AND($A33&gt;=SYear85,$A33&lt;=EYear85,M$3&gt;0),M$3*Data_85_15!M34,"")</f>
        <v/>
      </c>
      <c r="N33" s="206" t="str">
        <f>IF(AND($A33&gt;=SYear85,$A33&lt;=EYear85,N$3&gt;0),N$3*Data_85_15!N34,"")</f>
        <v/>
      </c>
      <c r="O33" s="206" t="str">
        <f>IF(AND($A33&gt;=SYear85,$A33&lt;=EYear85,O$3&gt;0),O$3*Data_85_15!O34,"")</f>
        <v/>
      </c>
      <c r="P33" s="206" t="str">
        <f>IF(AND($A33&gt;=SYear85,$A33&lt;=EYear85,P$3&gt;0),P$3*Data_85_15!P34,"")</f>
        <v/>
      </c>
      <c r="Q33" s="206" t="str">
        <f>IF(AND($A33&gt;=SYear85,$A33&lt;=EYear85,Q$3&gt;0),Q$3*Data_85_15!Q34,"")</f>
        <v/>
      </c>
      <c r="R33" s="206" t="str">
        <f>IF(AND($A33&gt;=SYear85,$A33&lt;=EYear85,R$3&gt;0),R$3*Data_85_15!R34,"")</f>
        <v/>
      </c>
      <c r="S33" s="206">
        <f>IF(AND($A33&gt;=SYear85,$A33&lt;=EYear85,S$3&gt;0),S$3*Data_85_15!S34,"")</f>
        <v>7.32</v>
      </c>
      <c r="T33" s="206" t="str">
        <f>IF(AND($A33&gt;=SYear85,$A33&lt;=EYear85,T$3&gt;0),T$3*Data_85_15!T34,"")</f>
        <v/>
      </c>
      <c r="U33" s="206" t="str">
        <f>IF(AND($A33&gt;=SYear85,$A33&lt;=EYear85,U$3&gt;0),U$3*Data_85_15!U34,"")</f>
        <v/>
      </c>
      <c r="V33" s="206" t="str">
        <f>IF(AND($A33&gt;=SYear85,$A33&lt;=EYear85,V$3&gt;0),V$3*Data_85_15!V34,"")</f>
        <v/>
      </c>
      <c r="W33" s="206">
        <f>IF(AND($A33&gt;=SYear85,$A33&lt;=EYear85,W$3&gt;0),W$3*Data_85_15!W34,"")</f>
        <v>3.31</v>
      </c>
      <c r="X33" s="206" t="str">
        <f>IF(AND($A33&gt;=SYear85,$A33&lt;=EYear85,X$3&gt;0),X$3*Data_85_15!X34,"")</f>
        <v/>
      </c>
      <c r="Y33" s="206" t="str">
        <f>IF(AND($A33&gt;=SYear85,$A33&lt;=EYear85,Y$3&gt;0),Y$3*Data_85_15!Y34,"")</f>
        <v/>
      </c>
      <c r="Z33" s="206" t="str">
        <f>IF(AND($A33&gt;=SYear85,$A33&lt;=EYear85,Z$3&gt;0),Z$3*Data_85_15!Z34,"")</f>
        <v/>
      </c>
      <c r="AA33" s="206" t="str">
        <f>IF(AND($A33&gt;=SYear85,$A33&lt;=EYear85,AA$3&gt;0),AA$3*Data_85_15!AA34,"")</f>
        <v/>
      </c>
      <c r="AB33" s="206" t="str">
        <f>IF(AND($A33&gt;=SYear85,$A33&lt;=EYear85,AB$3&gt;0),AB$3*Data_85_15!AB34,"")</f>
        <v/>
      </c>
      <c r="AC33" s="206" t="str">
        <f>IF(AND($A33&gt;=SYear85,$A33&lt;=EYear85,AC$3&gt;0),AC$3*Data_85_15!AC34,"")</f>
        <v/>
      </c>
      <c r="AD33" s="206" t="str">
        <f>IF(AND($A33&gt;=SYear85,$A33&lt;=EYear85,AD$3&gt;0),AD$3*Data_85_15!AD34,"")</f>
        <v/>
      </c>
      <c r="AE33" s="206" t="str">
        <f>IF(AND($A33&gt;=SYear85,$A33&lt;=EYear85,AE$3&gt;0),AE$3*Data_85_15!AE34,"")</f>
        <v/>
      </c>
      <c r="AF33" s="206" t="str">
        <f>IF(AND($A33&gt;=SYear85,$A33&lt;=EYear85,AF$3&gt;0),AF$3*Data_85_15!AF34,"")</f>
        <v/>
      </c>
      <c r="AG33" s="206" t="str">
        <f>IF(AND($A33&gt;=SYear85,$A33&lt;=EYear85,AG$3&gt;0),AG$3*Data_85_15!AG34,"")</f>
        <v/>
      </c>
      <c r="AH33" s="206" t="str">
        <f>IF(AND($A33&gt;=SYear85,$A33&lt;=EYear85,AH$3&gt;0),AH$3*Data_85_15!AH34,"")</f>
        <v/>
      </c>
      <c r="AI33" s="206" t="str">
        <f>IF(AND($A33&gt;=SYear85,$A33&lt;=EYear85,AI$3&gt;0),AI$3*Data_85_15!AI34,"")</f>
        <v/>
      </c>
      <c r="AJ33" s="206" t="str">
        <f>IF(AND($A33&gt;=SYear85,$A33&lt;=EYear85,AJ$3&gt;0),AJ$3*Data_85_15!AJ34,"")</f>
        <v/>
      </c>
      <c r="AK33" s="206" t="str">
        <f>IF(AND($A33&gt;=SYear85,$A33&lt;=EYear85,AK$3&gt;0),AK$3*Data_85_15!AK34,"")</f>
        <v/>
      </c>
      <c r="AL33" s="206" t="str">
        <f>IF(AND($A33&gt;=SYear85,$A33&lt;=EYear85,AL$3&gt;0),AL$3*Data_85_15!AL34,"")</f>
        <v/>
      </c>
      <c r="AM33" s="206" t="str">
        <f>IF(AND($A33&gt;=SYear85,$A33&lt;=EYear85,AM$3&gt;0),AM$3*Data_85_15!AM34,"")</f>
        <v/>
      </c>
      <c r="AN33" s="206" t="str">
        <f>IF(AND($A33&gt;=SYear85,$A33&lt;=EYear85,AN$3&gt;0),AN$3*Data_85_15!AN34,"")</f>
        <v/>
      </c>
      <c r="AO33" s="206">
        <f>IF(AND($A33&gt;=SYear85,$A33&lt;=EYear85,AO$3&gt;0),AO$3*Data_85_15!AO34,"")</f>
        <v>2.3925000000000001</v>
      </c>
      <c r="AP33" s="206" t="str">
        <f>IF(AND($A33&gt;=SYear85,$A33&lt;=EYear85,AP$3&gt;0),AP$3*Data_85_15!AP34,"")</f>
        <v/>
      </c>
      <c r="AQ33" s="206" t="str">
        <f>IF(AND($A33&gt;=SYear85,$A33&lt;=EYear85,AQ$3&gt;0),AQ$3*Data_85_15!AQ34,"")</f>
        <v/>
      </c>
      <c r="AR33" s="206" t="str">
        <f>IF(AND($A33&gt;=SYear85,$A33&lt;=EYear85,AR$3&gt;0),AR$3*Data_85_15!AR34,"")</f>
        <v/>
      </c>
      <c r="AS33" s="206" t="str">
        <f>IF(AND($A33&gt;=SYear85,$A33&lt;=EYear85,AS$3&gt;0),AS$3*Data_85_15!AS34,"")</f>
        <v/>
      </c>
      <c r="AT33" s="206" t="str">
        <f>IF(AND($A33&gt;=SYear85,$A33&lt;=EYear85,AT$3&gt;0),AT$3*Data_85_15!AT34,"")</f>
        <v/>
      </c>
      <c r="AU33" s="206" t="str">
        <f>IF(AND($A33&gt;=SYear85,$A33&lt;=EYear85,AU$3&gt;0),AU$3*Data_85_15!AU34,"")</f>
        <v/>
      </c>
      <c r="AV33" s="206" t="str">
        <f>IF(AND($A33&gt;=SYear85,$A33&lt;=EYear85,AV$3&gt;0),AV$3*Data_85_15!AV34,"")</f>
        <v/>
      </c>
      <c r="AW33" s="206" t="str">
        <f>IF(AND($A33&gt;=SYear85,$A33&lt;=EYear85,AW$3&gt;0),AW$3*Data_85_15!AW34,"")</f>
        <v/>
      </c>
      <c r="AX33" s="206" t="str">
        <f>IF(AND($A33&gt;=SYear85,$A33&lt;=EYear85,AX$3&gt;0),AX$3*Data_85_15!AX34,"")</f>
        <v/>
      </c>
      <c r="AY33" s="206" t="str">
        <f>IF(AND($A33&gt;=SYear85,$A33&lt;=EYear85,AY$3&gt;0),AY$3*Data_85_15!AY34,"")</f>
        <v/>
      </c>
      <c r="AZ33" s="206">
        <f t="shared" si="2"/>
        <v>12.495000000000001</v>
      </c>
      <c r="BA33" s="446">
        <f t="shared" si="20"/>
        <v>118197.34910855498</v>
      </c>
      <c r="BB33" s="206">
        <f>IF(AND($A33&gt;=SYear85,$A33&lt;=EYear85),(AZ33-Data_85_15!AZ34)/(1+Data_85_15!AZ34%),"")</f>
        <v>9.2583111994398877</v>
      </c>
      <c r="BC33" s="606">
        <f t="shared" si="21"/>
        <v>55151.639818545736</v>
      </c>
      <c r="BD33" s="143">
        <f t="shared" si="22"/>
        <v>9.9246933303547635</v>
      </c>
      <c r="BE33" s="143">
        <f>IF(AND($A33&gt;=SYear85,$A33&lt;=EYear85),MAX($BD$7:BD33),"")</f>
        <v>9.9246933303547635</v>
      </c>
      <c r="BF33" s="209">
        <f t="shared" si="23"/>
        <v>0</v>
      </c>
      <c r="BI33" s="143">
        <f>IF(AND($A33&gt;=SYear85,$A33&lt;=EYear85),Data_85_15!$V34,"")</f>
        <v>0.02</v>
      </c>
      <c r="BJ33" s="143">
        <f>IF(AND($A33&gt;=SYear85,$A33&lt;=EYear85),Data_85_15!$AZ34,"")</f>
        <v>2.9624188448710953</v>
      </c>
      <c r="BK33" s="143">
        <f t="shared" si="5"/>
        <v>-2.8577600233967959</v>
      </c>
      <c r="BN33" s="61">
        <f t="shared" si="6"/>
        <v>0.12495000000000012</v>
      </c>
      <c r="BO33" s="61">
        <f t="shared" si="7"/>
        <v>5.3816279105652454E-2</v>
      </c>
      <c r="BP33" s="61">
        <f t="shared" si="8"/>
        <v>4.3771341866225333E-2</v>
      </c>
      <c r="BQ33" s="61"/>
      <c r="BR33" s="61"/>
      <c r="BU33" s="61">
        <f t="shared" si="11"/>
        <v>9.2583111994398948E-2</v>
      </c>
      <c r="BV33" s="61">
        <f t="shared" si="12"/>
        <v>3.2481159852264074E-2</v>
      </c>
      <c r="BW33" s="61">
        <f t="shared" si="13"/>
        <v>2.7992027513375817E-2</v>
      </c>
      <c r="BX33" s="61"/>
      <c r="BY33" s="61"/>
    </row>
    <row r="34" spans="1:77">
      <c r="A34" s="204">
        <f t="shared" si="19"/>
        <v>2012</v>
      </c>
      <c r="B34" s="206" t="str">
        <f>IF(AND($A34&gt;=SYear85,$A34&lt;=EYear85,B$3&gt;0),B$3*Data_85_15!B35,"")</f>
        <v/>
      </c>
      <c r="C34" s="206" t="str">
        <f>IF(AND($A34&gt;=SYear85,$A34&lt;=EYear85,C$3&gt;0),C$3*Data_85_15!C35,"")</f>
        <v/>
      </c>
      <c r="D34" s="206" t="str">
        <f>IF(AND($A34&gt;=SYear85,$A34&lt;=EYear85,D$3&gt;0),D$3*Data_85_15!D35,"")</f>
        <v/>
      </c>
      <c r="E34" s="206" t="str">
        <f>IF(AND($A34&gt;=SYear85,$A34&lt;=EYear85,E$3&gt;0),E$3*Data_85_15!E35,"")</f>
        <v/>
      </c>
      <c r="F34" s="206">
        <f>IF(AND($A34&gt;=SYear85,$A34&lt;=EYear85,F$3&gt;0),F$3*Data_85_15!F35,"")</f>
        <v>3.95</v>
      </c>
      <c r="G34" s="206" t="str">
        <f>IF(AND($A34&gt;=SYear85,$A34&lt;=EYear85,G$3&gt;0),G$3*Data_85_15!G35,"")</f>
        <v/>
      </c>
      <c r="H34" s="206" t="str">
        <f>IF(AND($A34&gt;=SYear85,$A34&lt;=EYear85,H$3&gt;0),H$3*Data_85_15!H35,"")</f>
        <v/>
      </c>
      <c r="I34" s="206" t="str">
        <f>IF(AND($A34&gt;=SYear85,$A34&lt;=EYear85,I$3&gt;0),I$3*Data_85_15!I35,"")</f>
        <v/>
      </c>
      <c r="J34" s="206" t="str">
        <f>IF(AND($A34&gt;=SYear85,$A34&lt;=EYear85,J$3&gt;0),J$3*Data_85_15!J35,"")</f>
        <v/>
      </c>
      <c r="K34" s="206" t="str">
        <f>IF(AND($A34&gt;=SYear85,$A34&lt;=EYear85,K$3&gt;0),K$3*Data_85_15!K35,"")</f>
        <v/>
      </c>
      <c r="L34" s="206" t="str">
        <f>IF(AND($A34&gt;=SYear85,$A34&lt;=EYear85,L$3&gt;0),L$3*Data_85_15!L35,"")</f>
        <v/>
      </c>
      <c r="M34" s="206" t="str">
        <f>IF(AND($A34&gt;=SYear85,$A34&lt;=EYear85,M$3&gt;0),M$3*Data_85_15!M35,"")</f>
        <v/>
      </c>
      <c r="N34" s="206" t="str">
        <f>IF(AND($A34&gt;=SYear85,$A34&lt;=EYear85,N$3&gt;0),N$3*Data_85_15!N35,"")</f>
        <v/>
      </c>
      <c r="O34" s="206" t="str">
        <f>IF(AND($A34&gt;=SYear85,$A34&lt;=EYear85,O$3&gt;0),O$3*Data_85_15!O35,"")</f>
        <v/>
      </c>
      <c r="P34" s="206" t="str">
        <f>IF(AND($A34&gt;=SYear85,$A34&lt;=EYear85,P$3&gt;0),P$3*Data_85_15!P35,"")</f>
        <v/>
      </c>
      <c r="Q34" s="206" t="str">
        <f>IF(AND($A34&gt;=SYear85,$A34&lt;=EYear85,Q$3&gt;0),Q$3*Data_85_15!Q35,"")</f>
        <v/>
      </c>
      <c r="R34" s="206" t="str">
        <f>IF(AND($A34&gt;=SYear85,$A34&lt;=EYear85,R$3&gt;0),R$3*Data_85_15!R35,"")</f>
        <v/>
      </c>
      <c r="S34" s="206">
        <f>IF(AND($A34&gt;=SYear85,$A34&lt;=EYear85,S$3&gt;0),S$3*Data_85_15!S35,"")</f>
        <v>0.86750000000000005</v>
      </c>
      <c r="T34" s="206" t="str">
        <f>IF(AND($A34&gt;=SYear85,$A34&lt;=EYear85,T$3&gt;0),T$3*Data_85_15!T35,"")</f>
        <v/>
      </c>
      <c r="U34" s="206" t="str">
        <f>IF(AND($A34&gt;=SYear85,$A34&lt;=EYear85,U$3&gt;0),U$3*Data_85_15!U35,"")</f>
        <v/>
      </c>
      <c r="V34" s="206" t="str">
        <f>IF(AND($A34&gt;=SYear85,$A34&lt;=EYear85,V$3&gt;0),V$3*Data_85_15!V35,"")</f>
        <v/>
      </c>
      <c r="W34" s="206">
        <f>IF(AND($A34&gt;=SYear85,$A34&lt;=EYear85,W$3&gt;0),W$3*Data_85_15!W35,"")</f>
        <v>1.6950000000000001</v>
      </c>
      <c r="X34" s="206" t="str">
        <f>IF(AND($A34&gt;=SYear85,$A34&lt;=EYear85,X$3&gt;0),X$3*Data_85_15!X35,"")</f>
        <v/>
      </c>
      <c r="Y34" s="206" t="str">
        <f>IF(AND($A34&gt;=SYear85,$A34&lt;=EYear85,Y$3&gt;0),Y$3*Data_85_15!Y35,"")</f>
        <v/>
      </c>
      <c r="Z34" s="206" t="str">
        <f>IF(AND($A34&gt;=SYear85,$A34&lt;=EYear85,Z$3&gt;0),Z$3*Data_85_15!Z35,"")</f>
        <v/>
      </c>
      <c r="AA34" s="206" t="str">
        <f>IF(AND($A34&gt;=SYear85,$A34&lt;=EYear85,AA$3&gt;0),AA$3*Data_85_15!AA35,"")</f>
        <v/>
      </c>
      <c r="AB34" s="206" t="str">
        <f>IF(AND($A34&gt;=SYear85,$A34&lt;=EYear85,AB$3&gt;0),AB$3*Data_85_15!AB35,"")</f>
        <v/>
      </c>
      <c r="AC34" s="206" t="str">
        <f>IF(AND($A34&gt;=SYear85,$A34&lt;=EYear85,AC$3&gt;0),AC$3*Data_85_15!AC35,"")</f>
        <v/>
      </c>
      <c r="AD34" s="206" t="str">
        <f>IF(AND($A34&gt;=SYear85,$A34&lt;=EYear85,AD$3&gt;0),AD$3*Data_85_15!AD35,"")</f>
        <v/>
      </c>
      <c r="AE34" s="206" t="str">
        <f>IF(AND($A34&gt;=SYear85,$A34&lt;=EYear85,AE$3&gt;0),AE$3*Data_85_15!AE35,"")</f>
        <v/>
      </c>
      <c r="AF34" s="206" t="str">
        <f>IF(AND($A34&gt;=SYear85,$A34&lt;=EYear85,AF$3&gt;0),AF$3*Data_85_15!AF35,"")</f>
        <v/>
      </c>
      <c r="AG34" s="206" t="str">
        <f>IF(AND($A34&gt;=SYear85,$A34&lt;=EYear85,AG$3&gt;0),AG$3*Data_85_15!AG35,"")</f>
        <v/>
      </c>
      <c r="AH34" s="206" t="str">
        <f>IF(AND($A34&gt;=SYear85,$A34&lt;=EYear85,AH$3&gt;0),AH$3*Data_85_15!AH35,"")</f>
        <v/>
      </c>
      <c r="AI34" s="206" t="str">
        <f>IF(AND($A34&gt;=SYear85,$A34&lt;=EYear85,AI$3&gt;0),AI$3*Data_85_15!AI35,"")</f>
        <v/>
      </c>
      <c r="AJ34" s="206" t="str">
        <f>IF(AND($A34&gt;=SYear85,$A34&lt;=EYear85,AJ$3&gt;0),AJ$3*Data_85_15!AJ35,"")</f>
        <v/>
      </c>
      <c r="AK34" s="206" t="str">
        <f>IF(AND($A34&gt;=SYear85,$A34&lt;=EYear85,AK$3&gt;0),AK$3*Data_85_15!AK35,"")</f>
        <v/>
      </c>
      <c r="AL34" s="206" t="str">
        <f>IF(AND($A34&gt;=SYear85,$A34&lt;=EYear85,AL$3&gt;0),AL$3*Data_85_15!AL35,"")</f>
        <v/>
      </c>
      <c r="AM34" s="206" t="str">
        <f>IF(AND($A34&gt;=SYear85,$A34&lt;=EYear85,AM$3&gt;0),AM$3*Data_85_15!AM35,"")</f>
        <v/>
      </c>
      <c r="AN34" s="206" t="str">
        <f>IF(AND($A34&gt;=SYear85,$A34&lt;=EYear85,AN$3&gt;0),AN$3*Data_85_15!AN35,"")</f>
        <v/>
      </c>
      <c r="AO34" s="206">
        <f>IF(AND($A34&gt;=SYear85,$A34&lt;=EYear85,AO$3&gt;0),AO$3*Data_85_15!AO35,"")</f>
        <v>1.65</v>
      </c>
      <c r="AP34" s="206" t="str">
        <f>IF(AND($A34&gt;=SYear85,$A34&lt;=EYear85,AP$3&gt;0),AP$3*Data_85_15!AP35,"")</f>
        <v/>
      </c>
      <c r="AQ34" s="206" t="str">
        <f>IF(AND($A34&gt;=SYear85,$A34&lt;=EYear85,AQ$3&gt;0),AQ$3*Data_85_15!AQ35,"")</f>
        <v/>
      </c>
      <c r="AR34" s="206" t="str">
        <f>IF(AND($A34&gt;=SYear85,$A34&lt;=EYear85,AR$3&gt;0),AR$3*Data_85_15!AR35,"")</f>
        <v/>
      </c>
      <c r="AS34" s="206" t="str">
        <f>IF(AND($A34&gt;=SYear85,$A34&lt;=EYear85,AS$3&gt;0),AS$3*Data_85_15!AS35,"")</f>
        <v/>
      </c>
      <c r="AT34" s="206" t="str">
        <f>IF(AND($A34&gt;=SYear85,$A34&lt;=EYear85,AT$3&gt;0),AT$3*Data_85_15!AT35,"")</f>
        <v/>
      </c>
      <c r="AU34" s="206" t="str">
        <f>IF(AND($A34&gt;=SYear85,$A34&lt;=EYear85,AU$3&gt;0),AU$3*Data_85_15!AU35,"")</f>
        <v/>
      </c>
      <c r="AV34" s="206" t="str">
        <f>IF(AND($A34&gt;=SYear85,$A34&lt;=EYear85,AV$3&gt;0),AV$3*Data_85_15!AV35,"")</f>
        <v/>
      </c>
      <c r="AW34" s="206" t="str">
        <f>IF(AND($A34&gt;=SYear85,$A34&lt;=EYear85,AW$3&gt;0),AW$3*Data_85_15!AW35,"")</f>
        <v/>
      </c>
      <c r="AX34" s="206" t="str">
        <f>IF(AND($A34&gt;=SYear85,$A34&lt;=EYear85,AX$3&gt;0),AX$3*Data_85_15!AX35,"")</f>
        <v/>
      </c>
      <c r="AY34" s="206" t="str">
        <f>IF(AND($A34&gt;=SYear85,$A34&lt;=EYear85,AY$3&gt;0),AY$3*Data_85_15!AY35,"")</f>
        <v/>
      </c>
      <c r="AZ34" s="206">
        <f>IF(AND($A34&gt;=SYear85,$A34&lt;=EYear85),SUM(B34:AY34),"")</f>
        <v>8.1624999999999996</v>
      </c>
      <c r="BA34" s="446">
        <f>IF(AND($A34&gt;=SYear85,$A34&lt;=EYear85),IF($A34=SYear85,$BA$4*(1+AZ34%),$BA33*(1+AZ34%)),"")</f>
        <v>127845.20772954078</v>
      </c>
      <c r="BB34" s="206">
        <f>IF(AND($A34&gt;=SYear85,$A34&lt;=EYear85),(AZ34-Data_85_15!AZ35)/(1+Data_85_15!AZ35%),"")</f>
        <v>6.3115914129293911</v>
      </c>
      <c r="BC34" s="606">
        <f>IF(AND($A34&gt;=SYear85,$A34&lt;=EYear85),IF($A34=SYear85,$BC$4*(1+BB34%),$BC33*(1+BB34%)),"")</f>
        <v>58632.58598142281</v>
      </c>
      <c r="BD34" s="143">
        <f>IF(AND($A34&gt;=SYear85,$A34&lt;=EYear85),IF($A34=SYear85,$BD$2,$BD33*(1+AZ34%)),"")</f>
        <v>10.734796423444971</v>
      </c>
      <c r="BE34" s="143">
        <f>IF(AND($A34&gt;=SYear85,$A34&lt;=EYear85),MAX($BD$7:BD34),"")</f>
        <v>10.734796423444971</v>
      </c>
      <c r="BF34" s="209">
        <f>IF(AND($A34&gt;=SYear85,$A34&lt;=EYear85),1-(BD34/BE34),"")</f>
        <v>0</v>
      </c>
      <c r="BI34" s="143">
        <f>IF(AND($A34&gt;=SYear85,$A34&lt;=EYear85),Data_85_15!$V35,"")</f>
        <v>0.02</v>
      </c>
      <c r="BJ34" s="143">
        <f>IF(AND($A34&gt;=SYear85,$A34&lt;=EYear85),Data_85_15!$AZ35,"")</f>
        <v>1.7410223687475579</v>
      </c>
      <c r="BK34" s="143">
        <f>IF(AND($A34&gt;=SYear85,$A34&lt;=EYear85),(BI34-BJ34)/(1+BJ34%),"")</f>
        <v>-1.6915717266039734</v>
      </c>
      <c r="BN34" s="61">
        <f t="shared" si="6"/>
        <v>8.1625000000000059E-2</v>
      </c>
      <c r="BO34" s="61">
        <f t="shared" si="7"/>
        <v>4.6371149102274245E-2</v>
      </c>
      <c r="BP34" s="61"/>
      <c r="BQ34" s="61"/>
      <c r="BR34" s="61"/>
      <c r="BU34" s="61">
        <f t="shared" si="11"/>
        <v>6.3115914129293849E-2</v>
      </c>
      <c r="BV34" s="61">
        <f t="shared" si="12"/>
        <v>3.2614502132988443E-2</v>
      </c>
      <c r="BW34" s="61"/>
      <c r="BX34" s="61"/>
      <c r="BY34" s="61"/>
    </row>
    <row r="35" spans="1:77">
      <c r="A35" s="204">
        <f t="shared" si="19"/>
        <v>2013</v>
      </c>
      <c r="B35" s="206" t="str">
        <f>IF(AND($A35&gt;=SYear85,$A35&lt;=EYear85,B$3&gt;0),B$3*Data_85_15!B36,"")</f>
        <v/>
      </c>
      <c r="C35" s="206" t="str">
        <f>IF(AND($A35&gt;=SYear85,$A35&lt;=EYear85,C$3&gt;0),C$3*Data_85_15!C36,"")</f>
        <v/>
      </c>
      <c r="D35" s="206" t="str">
        <f>IF(AND($A35&gt;=SYear85,$A35&lt;=EYear85,D$3&gt;0),D$3*Data_85_15!D36,"")</f>
        <v/>
      </c>
      <c r="E35" s="206" t="str">
        <f>IF(AND($A35&gt;=SYear85,$A35&lt;=EYear85,E$3&gt;0),E$3*Data_85_15!E36,"")</f>
        <v/>
      </c>
      <c r="F35" s="206">
        <f>IF(AND($A35&gt;=SYear85,$A35&lt;=EYear85,F$3&gt;0),F$3*Data_85_15!F36,"")</f>
        <v>8.75</v>
      </c>
      <c r="G35" s="206" t="str">
        <f>IF(AND($A35&gt;=SYear85,$A35&lt;=EYear85,G$3&gt;0),G$3*Data_85_15!G36,"")</f>
        <v/>
      </c>
      <c r="H35" s="206" t="str">
        <f>IF(AND($A35&gt;=SYear85,$A35&lt;=EYear85,H$3&gt;0),H$3*Data_85_15!H36,"")</f>
        <v/>
      </c>
      <c r="I35" s="206" t="str">
        <f>IF(AND($A35&gt;=SYear85,$A35&lt;=EYear85,I$3&gt;0),I$3*Data_85_15!I36,"")</f>
        <v/>
      </c>
      <c r="J35" s="206" t="str">
        <f>IF(AND($A35&gt;=SYear85,$A35&lt;=EYear85,J$3&gt;0),J$3*Data_85_15!J36,"")</f>
        <v/>
      </c>
      <c r="K35" s="206" t="str">
        <f>IF(AND($A35&gt;=SYear85,$A35&lt;=EYear85,K$3&gt;0),K$3*Data_85_15!K36,"")</f>
        <v/>
      </c>
      <c r="L35" s="206" t="str">
        <f>IF(AND($A35&gt;=SYear85,$A35&lt;=EYear85,L$3&gt;0),L$3*Data_85_15!L36,"")</f>
        <v/>
      </c>
      <c r="M35" s="206" t="str">
        <f>IF(AND($A35&gt;=SYear85,$A35&lt;=EYear85,M$3&gt;0),M$3*Data_85_15!M36,"")</f>
        <v/>
      </c>
      <c r="N35" s="206" t="str">
        <f>IF(AND($A35&gt;=SYear85,$A35&lt;=EYear85,N$3&gt;0),N$3*Data_85_15!N36,"")</f>
        <v/>
      </c>
      <c r="O35" s="206" t="str">
        <f>IF(AND($A35&gt;=SYear85,$A35&lt;=EYear85,O$3&gt;0),O$3*Data_85_15!O36,"")</f>
        <v/>
      </c>
      <c r="P35" s="206" t="str">
        <f>IF(AND($A35&gt;=SYear85,$A35&lt;=EYear85,P$3&gt;0),P$3*Data_85_15!P36,"")</f>
        <v/>
      </c>
      <c r="Q35" s="206" t="str">
        <f>IF(AND($A35&gt;=SYear85,$A35&lt;=EYear85,Q$3&gt;0),Q$3*Data_85_15!Q36,"")</f>
        <v/>
      </c>
      <c r="R35" s="206" t="str">
        <f>IF(AND($A35&gt;=SYear85,$A35&lt;=EYear85,R$3&gt;0),R$3*Data_85_15!R36,"")</f>
        <v/>
      </c>
      <c r="S35" s="206">
        <f>IF(AND($A35&gt;=SYear85,$A35&lt;=EYear85,S$3&gt;0),S$3*Data_85_15!S36,"")</f>
        <v>-3.2574999999999998</v>
      </c>
      <c r="T35" s="206" t="str">
        <f>IF(AND($A35&gt;=SYear85,$A35&lt;=EYear85,T$3&gt;0),T$3*Data_85_15!T36,"")</f>
        <v/>
      </c>
      <c r="U35" s="206" t="str">
        <f>IF(AND($A35&gt;=SYear85,$A35&lt;=EYear85,U$3&gt;0),U$3*Data_85_15!U36,"")</f>
        <v/>
      </c>
      <c r="V35" s="206" t="str">
        <f>IF(AND($A35&gt;=SYear85,$A35&lt;=EYear85,V$3&gt;0),V$3*Data_85_15!V36,"")</f>
        <v/>
      </c>
      <c r="W35" s="206">
        <f>IF(AND($A35&gt;=SYear85,$A35&lt;=EYear85,W$3&gt;0),W$3*Data_85_15!W36,"")</f>
        <v>-2.23</v>
      </c>
      <c r="X35" s="206" t="str">
        <f>IF(AND($A35&gt;=SYear85,$A35&lt;=EYear85,X$3&gt;0),X$3*Data_85_15!X36,"")</f>
        <v/>
      </c>
      <c r="Y35" s="206" t="str">
        <f>IF(AND($A35&gt;=SYear85,$A35&lt;=EYear85,Y$3&gt;0),Y$3*Data_85_15!Y36,"")</f>
        <v/>
      </c>
      <c r="Z35" s="206" t="str">
        <f>IF(AND($A35&gt;=SYear85,$A35&lt;=EYear85,Z$3&gt;0),Z$3*Data_85_15!Z36,"")</f>
        <v/>
      </c>
      <c r="AA35" s="206" t="str">
        <f>IF(AND($A35&gt;=SYear85,$A35&lt;=EYear85,AA$3&gt;0),AA$3*Data_85_15!AA36,"")</f>
        <v/>
      </c>
      <c r="AB35" s="206" t="str">
        <f>IF(AND($A35&gt;=SYear85,$A35&lt;=EYear85,AB$3&gt;0),AB$3*Data_85_15!AB36,"")</f>
        <v/>
      </c>
      <c r="AC35" s="206" t="str">
        <f>IF(AND($A35&gt;=SYear85,$A35&lt;=EYear85,AC$3&gt;0),AC$3*Data_85_15!AC36,"")</f>
        <v/>
      </c>
      <c r="AD35" s="206" t="str">
        <f>IF(AND($A35&gt;=SYear85,$A35&lt;=EYear85,AD$3&gt;0),AD$3*Data_85_15!AD36,"")</f>
        <v/>
      </c>
      <c r="AE35" s="206" t="str">
        <f>IF(AND($A35&gt;=SYear85,$A35&lt;=EYear85,AE$3&gt;0),AE$3*Data_85_15!AE36,"")</f>
        <v/>
      </c>
      <c r="AF35" s="206" t="str">
        <f>IF(AND($A35&gt;=SYear85,$A35&lt;=EYear85,AF$3&gt;0),AF$3*Data_85_15!AF36,"")</f>
        <v/>
      </c>
      <c r="AG35" s="206" t="str">
        <f>IF(AND($A35&gt;=SYear85,$A35&lt;=EYear85,AG$3&gt;0),AG$3*Data_85_15!AG36,"")</f>
        <v/>
      </c>
      <c r="AH35" s="206" t="str">
        <f>IF(AND($A35&gt;=SYear85,$A35&lt;=EYear85,AH$3&gt;0),AH$3*Data_85_15!AH36,"")</f>
        <v/>
      </c>
      <c r="AI35" s="206" t="str">
        <f>IF(AND($A35&gt;=SYear85,$A35&lt;=EYear85,AI$3&gt;0),AI$3*Data_85_15!AI36,"")</f>
        <v/>
      </c>
      <c r="AJ35" s="206" t="str">
        <f>IF(AND($A35&gt;=SYear85,$A35&lt;=EYear85,AJ$3&gt;0),AJ$3*Data_85_15!AJ36,"")</f>
        <v/>
      </c>
      <c r="AK35" s="206" t="str">
        <f>IF(AND($A35&gt;=SYear85,$A35&lt;=EYear85,AK$3&gt;0),AK$3*Data_85_15!AK36,"")</f>
        <v/>
      </c>
      <c r="AL35" s="206" t="str">
        <f>IF(AND($A35&gt;=SYear85,$A35&lt;=EYear85,AL$3&gt;0),AL$3*Data_85_15!AL36,"")</f>
        <v/>
      </c>
      <c r="AM35" s="206" t="str">
        <f>IF(AND($A35&gt;=SYear85,$A35&lt;=EYear85,AM$3&gt;0),AM$3*Data_85_15!AM36,"")</f>
        <v/>
      </c>
      <c r="AN35" s="206" t="str">
        <f>IF(AND($A35&gt;=SYear85,$A35&lt;=EYear85,AN$3&gt;0),AN$3*Data_85_15!AN36,"")</f>
        <v/>
      </c>
      <c r="AO35" s="206">
        <f>IF(AND($A35&gt;=SYear85,$A35&lt;=EYear85,AO$3&gt;0),AO$3*Data_85_15!AO36,"")</f>
        <v>-7.0824999999999996</v>
      </c>
      <c r="AP35" s="206" t="str">
        <f>IF(AND($A35&gt;=SYear85,$A35&lt;=EYear85,AP$3&gt;0),AP$3*Data_85_15!AP36,"")</f>
        <v/>
      </c>
      <c r="AQ35" s="206" t="str">
        <f>IF(AND($A35&gt;=SYear85,$A35&lt;=EYear85,AQ$3&gt;0),AQ$3*Data_85_15!AQ36,"")</f>
        <v/>
      </c>
      <c r="AR35" s="206" t="str">
        <f>IF(AND($A35&gt;=SYear85,$A35&lt;=EYear85,AR$3&gt;0),AR$3*Data_85_15!AR36,"")</f>
        <v/>
      </c>
      <c r="AS35" s="206" t="str">
        <f>IF(AND($A35&gt;=SYear85,$A35&lt;=EYear85,AS$3&gt;0),AS$3*Data_85_15!AS36,"")</f>
        <v/>
      </c>
      <c r="AT35" s="206" t="str">
        <f>IF(AND($A35&gt;=SYear85,$A35&lt;=EYear85,AT$3&gt;0),AT$3*Data_85_15!AT36,"")</f>
        <v/>
      </c>
      <c r="AU35" s="206" t="str">
        <f>IF(AND($A35&gt;=SYear85,$A35&lt;=EYear85,AU$3&gt;0),AU$3*Data_85_15!AU36,"")</f>
        <v/>
      </c>
      <c r="AV35" s="206" t="str">
        <f>IF(AND($A35&gt;=SYear85,$A35&lt;=EYear85,AV$3&gt;0),AV$3*Data_85_15!AV36,"")</f>
        <v/>
      </c>
      <c r="AW35" s="206" t="str">
        <f>IF(AND($A35&gt;=SYear85,$A35&lt;=EYear85,AW$3&gt;0),AW$3*Data_85_15!AW36,"")</f>
        <v/>
      </c>
      <c r="AX35" s="206" t="str">
        <f>IF(AND($A35&gt;=SYear85,$A35&lt;=EYear85,AX$3&gt;0),AX$3*Data_85_15!AX36,"")</f>
        <v/>
      </c>
      <c r="AY35" s="206" t="str">
        <f>IF(AND($A35&gt;=SYear85,$A35&lt;=EYear85,AY$3&gt;0),AY$3*Data_85_15!AY36,"")</f>
        <v/>
      </c>
      <c r="AZ35" s="206">
        <f>IF(AND($A35&gt;=SYear85,$A35&lt;=EYear85),SUM(B35:AY35),"")</f>
        <v>-3.82</v>
      </c>
      <c r="BA35" s="446">
        <f>IF(AND($A35&gt;=SYear85,$A35&lt;=EYear85),IF($A35=SYear85,$BA$4*(1+AZ35%),$BA34*(1+AZ35%)),"")</f>
        <v>122961.52079427232</v>
      </c>
      <c r="BB35" s="206">
        <f>IF(AND($A35&gt;=SYear85,$A35&lt;=EYear85),(AZ35-Data_85_15!AZ36)/(1+Data_85_15!AZ36%),"")</f>
        <v>-5.2429996266879613</v>
      </c>
      <c r="BC35" s="606">
        <f>IF(AND($A35&gt;=SYear85,$A35&lt;=EYear85),IF($A35=SYear85,$BC$4*(1+BB35%),$BC34*(1+BB35%)),"")</f>
        <v>55558.479717299313</v>
      </c>
      <c r="BD35" s="143">
        <f>IF(AND($A35&gt;=SYear85,$A35&lt;=EYear85),IF($A35=SYear85,$BD$2,$BD34*(1+AZ35%)),"")</f>
        <v>10.324727200069374</v>
      </c>
      <c r="BE35" s="143">
        <f>IF(AND($A35&gt;=SYear85,$A35&lt;=EYear85),MAX($BD$7:BD35),"")</f>
        <v>10.734796423444971</v>
      </c>
      <c r="BF35" s="209">
        <f>IF(AND($A35&gt;=SYear85,$A35&lt;=EYear85),1-(BD35/BE35),"")</f>
        <v>3.8199999999999901E-2</v>
      </c>
      <c r="BI35" s="143">
        <f>IF(AND($A35&gt;=SYear85,$A35&lt;=EYear85),Data_85_15!$V36,"")</f>
        <v>0.01</v>
      </c>
      <c r="BJ35" s="143">
        <f>IF(AND($A35&gt;=SYear85,$A35&lt;=EYear85),Data_85_15!$AZ36,"")</f>
        <v>1.501735619618394</v>
      </c>
      <c r="BK35" s="143">
        <f>IF(AND($A35&gt;=SYear85,$A35&lt;=EYear85),(BI35-BJ35)/(1+BJ35%),"")</f>
        <v>-1.4696651347999898</v>
      </c>
      <c r="BN35" s="61">
        <f t="shared" si="6"/>
        <v>-3.8200000000000012E-2</v>
      </c>
      <c r="BO35" s="61">
        <f t="shared" si="7"/>
        <v>6.0177312927895965E-3</v>
      </c>
      <c r="BP35" s="61"/>
      <c r="BQ35" s="61"/>
      <c r="BR35" s="61"/>
      <c r="BU35" s="61">
        <f t="shared" si="11"/>
        <v>-5.2429996266879608E-2</v>
      </c>
      <c r="BV35" s="61">
        <f t="shared" si="12"/>
        <v>-3.8963227491203289E-3</v>
      </c>
      <c r="BW35" s="61"/>
      <c r="BX35" s="61"/>
      <c r="BY35" s="61"/>
    </row>
    <row r="36" spans="1:77">
      <c r="A36" s="204">
        <f t="shared" si="19"/>
        <v>2014</v>
      </c>
      <c r="B36" s="206" t="str">
        <f>IF(AND($A36&gt;=SYear85,$A36&lt;=EYear85,B$3&gt;0),B$3*Data_85_15!B37,"")</f>
        <v/>
      </c>
      <c r="C36" s="206" t="str">
        <f>IF(AND($A36&gt;=SYear85,$A36&lt;=EYear85,C$3&gt;0),C$3*Data_85_15!C37,"")</f>
        <v/>
      </c>
      <c r="D36" s="206" t="str">
        <f>IF(AND($A36&gt;=SYear85,$A36&lt;=EYear85,D$3&gt;0),D$3*Data_85_15!D37,"")</f>
        <v/>
      </c>
      <c r="E36" s="206" t="str">
        <f>IF(AND($A36&gt;=SYear85,$A36&lt;=EYear85,E$3&gt;0),E$3*Data_85_15!E37,"")</f>
        <v/>
      </c>
      <c r="F36" s="206">
        <f>IF(AND($A36&gt;=SYear85,$A36&lt;=EYear85,F$3&gt;0),F$3*Data_85_15!F37,"")</f>
        <v>3.4</v>
      </c>
      <c r="G36" s="206" t="str">
        <f>IF(AND($A36&gt;=SYear85,$A36&lt;=EYear85,G$3&gt;0),G$3*Data_85_15!G37,"")</f>
        <v/>
      </c>
      <c r="H36" s="206" t="str">
        <f>IF(AND($A36&gt;=SYear85,$A36&lt;=EYear85,H$3&gt;0),H$3*Data_85_15!H37,"")</f>
        <v/>
      </c>
      <c r="I36" s="206" t="str">
        <f>IF(AND($A36&gt;=SYear85,$A36&lt;=EYear85,I$3&gt;0),I$3*Data_85_15!I37,"")</f>
        <v/>
      </c>
      <c r="J36" s="206" t="str">
        <f>IF(AND($A36&gt;=SYear85,$A36&lt;=EYear85,J$3&gt;0),J$3*Data_85_15!J37,"")</f>
        <v/>
      </c>
      <c r="K36" s="206" t="str">
        <f>IF(AND($A36&gt;=SYear85,$A36&lt;=EYear85,K$3&gt;0),K$3*Data_85_15!K37,"")</f>
        <v/>
      </c>
      <c r="L36" s="206" t="str">
        <f>IF(AND($A36&gt;=SYear85,$A36&lt;=EYear85,L$3&gt;0),L$3*Data_85_15!L37,"")</f>
        <v/>
      </c>
      <c r="M36" s="206" t="str">
        <f>IF(AND($A36&gt;=SYear85,$A36&lt;=EYear85,M$3&gt;0),M$3*Data_85_15!M37,"")</f>
        <v/>
      </c>
      <c r="N36" s="206" t="str">
        <f>IF(AND($A36&gt;=SYear85,$A36&lt;=EYear85,N$3&gt;0),N$3*Data_85_15!N37,"")</f>
        <v/>
      </c>
      <c r="O36" s="206" t="str">
        <f>IF(AND($A36&gt;=SYear85,$A36&lt;=EYear85,O$3&gt;0),O$3*Data_85_15!O37,"")</f>
        <v/>
      </c>
      <c r="P36" s="206" t="str">
        <f>IF(AND($A36&gt;=SYear85,$A36&lt;=EYear85,P$3&gt;0),P$3*Data_85_15!P37,"")</f>
        <v/>
      </c>
      <c r="Q36" s="206" t="str">
        <f>IF(AND($A36&gt;=SYear85,$A36&lt;=EYear85,Q$3&gt;0),Q$3*Data_85_15!Q37,"")</f>
        <v/>
      </c>
      <c r="R36" s="206" t="str">
        <f>IF(AND($A36&gt;=SYear85,$A36&lt;=EYear85,R$3&gt;0),R$3*Data_85_15!R37,"")</f>
        <v/>
      </c>
      <c r="S36" s="206">
        <f>IF(AND($A36&gt;=SYear85,$A36&lt;=EYear85,S$3&gt;0),S$3*Data_85_15!S37,"")</f>
        <v>6.3174999999999999</v>
      </c>
      <c r="T36" s="206" t="str">
        <f>IF(AND($A36&gt;=SYear85,$A36&lt;=EYear85,T$3&gt;0),T$3*Data_85_15!T37,"")</f>
        <v/>
      </c>
      <c r="U36" s="206" t="str">
        <f>IF(AND($A36&gt;=SYear85,$A36&lt;=EYear85,U$3&gt;0),U$3*Data_85_15!U37,"")</f>
        <v/>
      </c>
      <c r="V36" s="206" t="str">
        <f>IF(AND($A36&gt;=SYear85,$A36&lt;=EYear85,V$3&gt;0),V$3*Data_85_15!V37,"")</f>
        <v/>
      </c>
      <c r="W36" s="206">
        <f>IF(AND($A36&gt;=SYear85,$A36&lt;=EYear85,W$3&gt;0),W$3*Data_85_15!W37,"")</f>
        <v>0.95750000000000002</v>
      </c>
      <c r="X36" s="206" t="str">
        <f>IF(AND($A36&gt;=SYear85,$A36&lt;=EYear85,X$3&gt;0),X$3*Data_85_15!X37,"")</f>
        <v/>
      </c>
      <c r="Y36" s="206" t="str">
        <f>IF(AND($A36&gt;=SYear85,$A36&lt;=EYear85,Y$3&gt;0),Y$3*Data_85_15!Y37,"")</f>
        <v/>
      </c>
      <c r="Z36" s="206" t="str">
        <f>IF(AND($A36&gt;=SYear85,$A36&lt;=EYear85,Z$3&gt;0),Z$3*Data_85_15!Z37,"")</f>
        <v/>
      </c>
      <c r="AA36" s="206" t="str">
        <f>IF(AND($A36&gt;=SYear85,$A36&lt;=EYear85,AA$3&gt;0),AA$3*Data_85_15!AA37,"")</f>
        <v/>
      </c>
      <c r="AB36" s="206" t="str">
        <f>IF(AND($A36&gt;=SYear85,$A36&lt;=EYear85,AB$3&gt;0),AB$3*Data_85_15!AB37,"")</f>
        <v/>
      </c>
      <c r="AC36" s="206" t="str">
        <f>IF(AND($A36&gt;=SYear85,$A36&lt;=EYear85,AC$3&gt;0),AC$3*Data_85_15!AC37,"")</f>
        <v/>
      </c>
      <c r="AD36" s="206" t="str">
        <f>IF(AND($A36&gt;=SYear85,$A36&lt;=EYear85,AD$3&gt;0),AD$3*Data_85_15!AD37,"")</f>
        <v/>
      </c>
      <c r="AE36" s="206" t="str">
        <f>IF(AND($A36&gt;=SYear85,$A36&lt;=EYear85,AE$3&gt;0),AE$3*Data_85_15!AE37,"")</f>
        <v/>
      </c>
      <c r="AF36" s="206" t="str">
        <f>IF(AND($A36&gt;=SYear85,$A36&lt;=EYear85,AF$3&gt;0),AF$3*Data_85_15!AF37,"")</f>
        <v/>
      </c>
      <c r="AG36" s="206" t="str">
        <f>IF(AND($A36&gt;=SYear85,$A36&lt;=EYear85,AG$3&gt;0),AG$3*Data_85_15!AG37,"")</f>
        <v/>
      </c>
      <c r="AH36" s="206" t="str">
        <f>IF(AND($A36&gt;=SYear85,$A36&lt;=EYear85,AH$3&gt;0),AH$3*Data_85_15!AH37,"")</f>
        <v/>
      </c>
      <c r="AI36" s="206" t="str">
        <f>IF(AND($A36&gt;=SYear85,$A36&lt;=EYear85,AI$3&gt;0),AI$3*Data_85_15!AI37,"")</f>
        <v/>
      </c>
      <c r="AJ36" s="206" t="str">
        <f>IF(AND($A36&gt;=SYear85,$A36&lt;=EYear85,AJ$3&gt;0),AJ$3*Data_85_15!AJ37,"")</f>
        <v/>
      </c>
      <c r="AK36" s="206" t="str">
        <f>IF(AND($A36&gt;=SYear85,$A36&lt;=EYear85,AK$3&gt;0),AK$3*Data_85_15!AK37,"")</f>
        <v/>
      </c>
      <c r="AL36" s="206" t="str">
        <f>IF(AND($A36&gt;=SYear85,$A36&lt;=EYear85,AL$3&gt;0),AL$3*Data_85_15!AL37,"")</f>
        <v/>
      </c>
      <c r="AM36" s="206" t="str">
        <f>IF(AND($A36&gt;=SYear85,$A36&lt;=EYear85,AM$3&gt;0),AM$3*Data_85_15!AM37,"")</f>
        <v/>
      </c>
      <c r="AN36" s="206" t="str">
        <f>IF(AND($A36&gt;=SYear85,$A36&lt;=EYear85,AN$3&gt;0),AN$3*Data_85_15!AN37,"")</f>
        <v/>
      </c>
      <c r="AO36" s="206">
        <f>IF(AND($A36&gt;=SYear85,$A36&lt;=EYear85,AO$3&gt;0),AO$3*Data_85_15!AO37,"")</f>
        <v>-0.54749999999999999</v>
      </c>
      <c r="AP36" s="206" t="str">
        <f>IF(AND($A36&gt;=SYear85,$A36&lt;=EYear85,AP$3&gt;0),AP$3*Data_85_15!AP37,"")</f>
        <v/>
      </c>
      <c r="AQ36" s="206" t="str">
        <f>IF(AND($A36&gt;=SYear85,$A36&lt;=EYear85,AQ$3&gt;0),AQ$3*Data_85_15!AQ37,"")</f>
        <v/>
      </c>
      <c r="AR36" s="206" t="str">
        <f>IF(AND($A36&gt;=SYear85,$A36&lt;=EYear85,AR$3&gt;0),AR$3*Data_85_15!AR37,"")</f>
        <v/>
      </c>
      <c r="AS36" s="206" t="str">
        <f>IF(AND($A36&gt;=SYear85,$A36&lt;=EYear85,AS$3&gt;0),AS$3*Data_85_15!AS37,"")</f>
        <v/>
      </c>
      <c r="AT36" s="206" t="str">
        <f>IF(AND($A36&gt;=SYear85,$A36&lt;=EYear85,AT$3&gt;0),AT$3*Data_85_15!AT37,"")</f>
        <v/>
      </c>
      <c r="AU36" s="206" t="str">
        <f>IF(AND($A36&gt;=SYear85,$A36&lt;=EYear85,AU$3&gt;0),AU$3*Data_85_15!AU37,"")</f>
        <v/>
      </c>
      <c r="AV36" s="206" t="str">
        <f>IF(AND($A36&gt;=SYear85,$A36&lt;=EYear85,AV$3&gt;0),AV$3*Data_85_15!AV37,"")</f>
        <v/>
      </c>
      <c r="AW36" s="206" t="str">
        <f>IF(AND($A36&gt;=SYear85,$A36&lt;=EYear85,AW$3&gt;0),AW$3*Data_85_15!AW37,"")</f>
        <v/>
      </c>
      <c r="AX36" s="206" t="str">
        <f>IF(AND($A36&gt;=SYear85,$A36&lt;=EYear85,AX$3&gt;0),AX$3*Data_85_15!AX37,"")</f>
        <v/>
      </c>
      <c r="AY36" s="206" t="str">
        <f>IF(AND($A36&gt;=SYear85,$A36&lt;=EYear85,AY$3&gt;0),AY$3*Data_85_15!AY37,"")</f>
        <v/>
      </c>
      <c r="AZ36" s="206">
        <f>IF(AND($A36&gt;=SYear85,$A36&lt;=EYear85),SUM(B36:AY36),"")</f>
        <v>10.1275</v>
      </c>
      <c r="BA36" s="446">
        <f>IF(AND($A36&gt;=SYear85,$A36&lt;=EYear85),IF($A36=SYear85,$BA$4*(1+AZ36%),$BA35*(1+AZ36%)),"")</f>
        <v>135414.44881271225</v>
      </c>
      <c r="BB36" s="206">
        <f>IF(AND($A36&gt;=SYear85,$A36&lt;=EYear85),(AZ36-Data_85_15!AZ37)/(1+Data_85_15!AZ37%),"")</f>
        <v>9.300647954533833</v>
      </c>
      <c r="BC36" s="606">
        <f>IF(AND($A36&gt;=SYear85,$A36&lt;=EYear85),IF($A36=SYear85,$BC$4*(1+BB36%),$BC35*(1+BB36%)),"")</f>
        <v>60725.778324696403</v>
      </c>
      <c r="BD36" s="143">
        <f>IF(AND($A36&gt;=SYear85,$A36&lt;=EYear85),IF($A36=SYear85,$BD$2,$BD35*(1+AZ36%)),"")</f>
        <v>11.370363947256399</v>
      </c>
      <c r="BE36" s="143">
        <f>IF(AND($A36&gt;=SYear85,$A36&lt;=EYear85),MAX($BD$7:BD36),"")</f>
        <v>11.370363947256399</v>
      </c>
      <c r="BF36" s="209">
        <f>IF(AND($A36&gt;=SYear85,$A36&lt;=EYear85),1-(BD36/BE36),"")</f>
        <v>0</v>
      </c>
      <c r="BI36" s="143">
        <f>IF(AND($A36&gt;=SYear85,$A36&lt;=EYear85),Data_85_15!$V37,"")</f>
        <v>0.01</v>
      </c>
      <c r="BJ36" s="143">
        <f>IF(AND($A36&gt;=SYear85,$A36&lt;=EYear85),Data_85_15!$AZ37,"")</f>
        <v>0.7564932696557447</v>
      </c>
      <c r="BK36" s="143">
        <f>IF(AND($A36&gt;=SYear85,$A36&lt;=EYear85),(BI36-BJ36)/(1+BJ36%),"")</f>
        <v>-0.74088849803247547</v>
      </c>
      <c r="BN36" s="61">
        <f t="shared" si="6"/>
        <v>0.101275</v>
      </c>
      <c r="BO36" s="61"/>
      <c r="BP36" s="61"/>
      <c r="BQ36" s="61"/>
      <c r="BR36" s="61"/>
      <c r="BU36" s="61">
        <f t="shared" si="11"/>
        <v>9.300647954533825E-2</v>
      </c>
      <c r="BV36" s="61"/>
      <c r="BW36" s="61"/>
      <c r="BX36" s="61"/>
      <c r="BY36" s="61"/>
    </row>
    <row r="37" spans="1:77">
      <c r="A37" s="204">
        <f t="shared" si="19"/>
        <v>2015</v>
      </c>
      <c r="B37" s="206" t="str">
        <f>IF(AND($A37&gt;=SYear85,$A37&lt;=EYear85,B$3&gt;0),B$3*Data_85_15!B38,"")</f>
        <v/>
      </c>
      <c r="C37" s="206" t="str">
        <f>IF(AND($A37&gt;=SYear85,$A37&lt;=EYear85,C$3&gt;0),C$3*Data_85_15!C38,"")</f>
        <v/>
      </c>
      <c r="D37" s="206" t="str">
        <f>IF(AND($A37&gt;=SYear85,$A37&lt;=EYear85,D$3&gt;0),D$3*Data_85_15!D38,"")</f>
        <v/>
      </c>
      <c r="E37" s="206" t="str">
        <f>IF(AND($A37&gt;=SYear85,$A37&lt;=EYear85,E$3&gt;0),E$3*Data_85_15!E38,"")</f>
        <v/>
      </c>
      <c r="F37" s="206">
        <f>IF(AND($A37&gt;=SYear85,$A37&lt;=EYear85,F$3&gt;0),F$3*Data_85_15!F38,"")</f>
        <v>-0.36499999999999999</v>
      </c>
      <c r="G37" s="206" t="str">
        <f>IF(AND($A37&gt;=SYear85,$A37&lt;=EYear85,G$3&gt;0),G$3*Data_85_15!G38,"")</f>
        <v/>
      </c>
      <c r="H37" s="206" t="str">
        <f>IF(AND($A37&gt;=SYear85,$A37&lt;=EYear85,H$3&gt;0),H$3*Data_85_15!H38,"")</f>
        <v/>
      </c>
      <c r="I37" s="206" t="str">
        <f>IF(AND($A37&gt;=SYear85,$A37&lt;=EYear85,I$3&gt;0),I$3*Data_85_15!I38,"")</f>
        <v/>
      </c>
      <c r="J37" s="206" t="str">
        <f>IF(AND($A37&gt;=SYear85,$A37&lt;=EYear85,J$3&gt;0),J$3*Data_85_15!J38,"")</f>
        <v/>
      </c>
      <c r="K37" s="206" t="str">
        <f>IF(AND($A37&gt;=SYear85,$A37&lt;=EYear85,K$3&gt;0),K$3*Data_85_15!K38,"")</f>
        <v/>
      </c>
      <c r="L37" s="206" t="str">
        <f>IF(AND($A37&gt;=SYear85,$A37&lt;=EYear85,L$3&gt;0),L$3*Data_85_15!L38,"")</f>
        <v/>
      </c>
      <c r="M37" s="206" t="str">
        <f>IF(AND($A37&gt;=SYear85,$A37&lt;=EYear85,M$3&gt;0),M$3*Data_85_15!M38,"")</f>
        <v/>
      </c>
      <c r="N37" s="206" t="str">
        <f>IF(AND($A37&gt;=SYear85,$A37&lt;=EYear85,N$3&gt;0),N$3*Data_85_15!N38,"")</f>
        <v/>
      </c>
      <c r="O37" s="206" t="str">
        <f>IF(AND($A37&gt;=SYear85,$A37&lt;=EYear85,O$3&gt;0),O$3*Data_85_15!O38,"")</f>
        <v/>
      </c>
      <c r="P37" s="206" t="str">
        <f>IF(AND($A37&gt;=SYear85,$A37&lt;=EYear85,P$3&gt;0),P$3*Data_85_15!P38,"")</f>
        <v/>
      </c>
      <c r="Q37" s="206" t="str">
        <f>IF(AND($A37&gt;=SYear85,$A37&lt;=EYear85,Q$3&gt;0),Q$3*Data_85_15!Q38,"")</f>
        <v/>
      </c>
      <c r="R37" s="206" t="str">
        <f>IF(AND($A37&gt;=SYear85,$A37&lt;=EYear85,R$3&gt;0),R$3*Data_85_15!R38,"")</f>
        <v/>
      </c>
      <c r="S37" s="206">
        <f>IF(AND($A37&gt;=SYear85,$A37&lt;=EYear85,S$3&gt;0),S$3*Data_85_15!S38,"")</f>
        <v>-0.38500000000000001</v>
      </c>
      <c r="T37" s="206" t="str">
        <f>IF(AND($A37&gt;=SYear85,$A37&lt;=EYear85,T$3&gt;0),T$3*Data_85_15!T38,"")</f>
        <v/>
      </c>
      <c r="U37" s="206" t="str">
        <f>IF(AND($A37&gt;=SYear85,$A37&lt;=EYear85,U$3&gt;0),U$3*Data_85_15!U38,"")</f>
        <v/>
      </c>
      <c r="V37" s="206" t="str">
        <f>IF(AND($A37&gt;=SYear85,$A37&lt;=EYear85,V$3&gt;0),V$3*Data_85_15!V38,"")</f>
        <v/>
      </c>
      <c r="W37" s="206">
        <f>IF(AND($A37&gt;=SYear85,$A37&lt;=EYear85,W$3&gt;0),W$3*Data_85_15!W38,"")</f>
        <v>-0.45750000000000002</v>
      </c>
      <c r="X37" s="206" t="str">
        <f>IF(AND($A37&gt;=SYear85,$A37&lt;=EYear85,X$3&gt;0),X$3*Data_85_15!X38,"")</f>
        <v/>
      </c>
      <c r="Y37" s="206" t="str">
        <f>IF(AND($A37&gt;=SYear85,$A37&lt;=EYear85,Y$3&gt;0),Y$3*Data_85_15!Y38,"")</f>
        <v/>
      </c>
      <c r="Z37" s="206" t="str">
        <f>IF(AND($A37&gt;=SYear85,$A37&lt;=EYear85,Z$3&gt;0),Z$3*Data_85_15!Z38,"")</f>
        <v/>
      </c>
      <c r="AA37" s="206" t="str">
        <f>IF(AND($A37&gt;=SYear85,$A37&lt;=EYear85,AA$3&gt;0),AA$3*Data_85_15!AA38,"")</f>
        <v/>
      </c>
      <c r="AB37" s="206" t="str">
        <f>IF(AND($A37&gt;=SYear85,$A37&lt;=EYear85,AB$3&gt;0),AB$3*Data_85_15!AB38,"")</f>
        <v/>
      </c>
      <c r="AC37" s="206" t="str">
        <f>IF(AND($A37&gt;=SYear85,$A37&lt;=EYear85,AC$3&gt;0),AC$3*Data_85_15!AC38,"")</f>
        <v/>
      </c>
      <c r="AD37" s="206" t="str">
        <f>IF(AND($A37&gt;=SYear85,$A37&lt;=EYear85,AD$3&gt;0),AD$3*Data_85_15!AD38,"")</f>
        <v/>
      </c>
      <c r="AE37" s="206" t="str">
        <f>IF(AND($A37&gt;=SYear85,$A37&lt;=EYear85,AE$3&gt;0),AE$3*Data_85_15!AE38,"")</f>
        <v/>
      </c>
      <c r="AF37" s="206" t="str">
        <f>IF(AND($A37&gt;=SYear85,$A37&lt;=EYear85,AF$3&gt;0),AF$3*Data_85_15!AF38,"")</f>
        <v/>
      </c>
      <c r="AG37" s="206" t="str">
        <f>IF(AND($A37&gt;=SYear85,$A37&lt;=EYear85,AG$3&gt;0),AG$3*Data_85_15!AG38,"")</f>
        <v/>
      </c>
      <c r="AH37" s="206" t="str">
        <f>IF(AND($A37&gt;=SYear85,$A37&lt;=EYear85,AH$3&gt;0),AH$3*Data_85_15!AH38,"")</f>
        <v/>
      </c>
      <c r="AI37" s="206" t="str">
        <f>IF(AND($A37&gt;=SYear85,$A37&lt;=EYear85,AI$3&gt;0),AI$3*Data_85_15!AI38,"")</f>
        <v/>
      </c>
      <c r="AJ37" s="206" t="str">
        <f>IF(AND($A37&gt;=SYear85,$A37&lt;=EYear85,AJ$3&gt;0),AJ$3*Data_85_15!AJ38,"")</f>
        <v/>
      </c>
      <c r="AK37" s="206" t="str">
        <f>IF(AND($A37&gt;=SYear85,$A37&lt;=EYear85,AK$3&gt;0),AK$3*Data_85_15!AK38,"")</f>
        <v/>
      </c>
      <c r="AL37" s="206" t="str">
        <f>IF(AND($A37&gt;=SYear85,$A37&lt;=EYear85,AL$3&gt;0),AL$3*Data_85_15!AL38,"")</f>
        <v/>
      </c>
      <c r="AM37" s="206" t="str">
        <f>IF(AND($A37&gt;=SYear85,$A37&lt;=EYear85,AM$3&gt;0),AM$3*Data_85_15!AM38,"")</f>
        <v/>
      </c>
      <c r="AN37" s="206" t="str">
        <f>IF(AND($A37&gt;=SYear85,$A37&lt;=EYear85,AN$3&gt;0),AN$3*Data_85_15!AN38,"")</f>
        <v/>
      </c>
      <c r="AO37" s="206">
        <f>IF(AND($A37&gt;=SYear85,$A37&lt;=EYear85,AO$3&gt;0),AO$3*Data_85_15!AO38,"")</f>
        <v>-2.6675</v>
      </c>
      <c r="AP37" s="206" t="str">
        <f>IF(AND($A37&gt;=SYear85,$A37&lt;=EYear85,AP$3&gt;0),AP$3*Data_85_15!AP38,"")</f>
        <v/>
      </c>
      <c r="AQ37" s="206" t="str">
        <f>IF(AND($A37&gt;=SYear85,$A37&lt;=EYear85,AQ$3&gt;0),AQ$3*Data_85_15!AQ38,"")</f>
        <v/>
      </c>
      <c r="AR37" s="206" t="str">
        <f>IF(AND($A37&gt;=SYear85,$A37&lt;=EYear85,AR$3&gt;0),AR$3*Data_85_15!AR38,"")</f>
        <v/>
      </c>
      <c r="AS37" s="206" t="str">
        <f>IF(AND($A37&gt;=SYear85,$A37&lt;=EYear85,AS$3&gt;0),AS$3*Data_85_15!AS38,"")</f>
        <v/>
      </c>
      <c r="AT37" s="206" t="str">
        <f>IF(AND($A37&gt;=SYear85,$A37&lt;=EYear85,AT$3&gt;0),AT$3*Data_85_15!AT38,"")</f>
        <v/>
      </c>
      <c r="AU37" s="206" t="str">
        <f>IF(AND($A37&gt;=SYear85,$A37&lt;=EYear85,AU$3&gt;0),AU$3*Data_85_15!AU38,"")</f>
        <v/>
      </c>
      <c r="AV37" s="206" t="str">
        <f>IF(AND($A37&gt;=SYear85,$A37&lt;=EYear85,AV$3&gt;0),AV$3*Data_85_15!AV38,"")</f>
        <v/>
      </c>
      <c r="AW37" s="206" t="str">
        <f>IF(AND($A37&gt;=SYear85,$A37&lt;=EYear85,AW$3&gt;0),AW$3*Data_85_15!AW38,"")</f>
        <v/>
      </c>
      <c r="AX37" s="206" t="str">
        <f>IF(AND($A37&gt;=SYear85,$A37&lt;=EYear85,AX$3&gt;0),AX$3*Data_85_15!AX38,"")</f>
        <v/>
      </c>
      <c r="AY37" s="206" t="str">
        <f>IF(AND($A37&gt;=SYear85,$A37&lt;=EYear85,AY$3&gt;0),AY$3*Data_85_15!AY38,"")</f>
        <v/>
      </c>
      <c r="AZ37" s="206">
        <f>IF(AND($A37&gt;=SYear85,$A37&lt;=EYear85),SUM(B37:AY37),"")</f>
        <v>-3.875</v>
      </c>
      <c r="BA37" s="446">
        <f>IF(AND($A37&gt;=SYear85,$A37&lt;=EYear85),IF($A37=SYear85,$BA$4*(1+AZ37%),$BA36*(1+AZ37%)),"")</f>
        <v>130167.13892121965</v>
      </c>
      <c r="BB37" s="206">
        <f>IF(AND($A37&gt;=SYear85,$A37&lt;=EYear85),(AZ37-Data_85_15!AZ38)/(1+Data_85_15!AZ38%),"")</f>
        <v>-4.5711721805305885</v>
      </c>
      <c r="BC37" s="606">
        <f>IF(AND($A37&gt;=SYear85,$A37&lt;=EYear85),IF($A37=SYear85,$BC$4*(1+BB37%),$BC36*(1+BB37%)),"")</f>
        <v>57949.898439507204</v>
      </c>
      <c r="BD37" s="143">
        <f>IF(AND($A37&gt;=SYear85,$A37&lt;=EYear85),IF($A37=SYear85,$BD$2,$BD36*(1+AZ37%)),"")</f>
        <v>10.929762344300213</v>
      </c>
      <c r="BE37" s="143">
        <f>IF(AND($A37&gt;=SYear85,$A37&lt;=EYear85),MAX($BD$7:BD37),"")</f>
        <v>11.370363947256399</v>
      </c>
      <c r="BF37" s="209">
        <f>IF(AND($A37&gt;=SYear85,$A37&lt;=EYear85),1-(BD37/BE37),"")</f>
        <v>3.8749999999999951E-2</v>
      </c>
      <c r="BI37" s="143">
        <f>IF(AND($A37&gt;=SYear85,$A37&lt;=EYear85),Data_85_15!$V38,"")</f>
        <v>0.02</v>
      </c>
      <c r="BJ37" s="143">
        <f>IF(AND($A37&gt;=SYear85,$A37&lt;=EYear85),Data_85_15!$AZ38,"")</f>
        <v>0.72951978604158807</v>
      </c>
      <c r="BK37" s="143">
        <f>IF(AND($A37&gt;=SYear85,$A37&lt;=EYear85),(BI37-BJ37)/(1+BJ37%),"")</f>
        <v>-0.70438118592113896</v>
      </c>
      <c r="BN37" s="61">
        <f t="shared" si="6"/>
        <v>-3.8749999999999951E-2</v>
      </c>
      <c r="BO37" s="61"/>
      <c r="BP37" s="61"/>
      <c r="BQ37" s="61"/>
      <c r="BR37" s="61"/>
      <c r="BU37" s="61">
        <f t="shared" si="11"/>
        <v>-4.5711721805305916E-2</v>
      </c>
      <c r="BV37" s="61"/>
      <c r="BW37" s="61"/>
      <c r="BX37" s="61"/>
      <c r="BY37" s="61"/>
    </row>
    <row r="38" spans="1:77">
      <c r="A38" s="204">
        <f t="shared" si="19"/>
        <v>2016</v>
      </c>
      <c r="B38" s="206" t="str">
        <f>IF(AND($A38&gt;=SYear85,$A38&lt;=EYear85,B$3&gt;0),B$3*Data_85_15!B39,"")</f>
        <v/>
      </c>
      <c r="C38" s="206" t="str">
        <f>IF(AND($A38&gt;=SYear85,$A38&lt;=EYear85,C$3&gt;0),C$3*Data_85_15!C39,"")</f>
        <v/>
      </c>
      <c r="D38" s="206" t="str">
        <f>IF(AND($A38&gt;=SYear85,$A38&lt;=EYear85,D$3&gt;0),D$3*Data_85_15!D39,"")</f>
        <v/>
      </c>
      <c r="E38" s="206" t="str">
        <f>IF(AND($A38&gt;=SYear85,$A38&lt;=EYear85,E$3&gt;0),E$3*Data_85_15!E39,"")</f>
        <v/>
      </c>
      <c r="F38" s="206" t="str">
        <f>IF(AND($A38&gt;=SYear85,$A38&lt;=EYear85,F$3&gt;0),F$3*Data_85_15!F39,"")</f>
        <v/>
      </c>
      <c r="G38" s="206" t="str">
        <f>IF(AND($A38&gt;=SYear85,$A38&lt;=EYear85,G$3&gt;0),G$3*Data_85_15!G39,"")</f>
        <v/>
      </c>
      <c r="H38" s="206" t="str">
        <f>IF(AND($A38&gt;=SYear85,$A38&lt;=EYear85,H$3&gt;0),H$3*Data_85_15!H39,"")</f>
        <v/>
      </c>
      <c r="I38" s="206" t="str">
        <f>IF(AND($A38&gt;=SYear85,$A38&lt;=EYear85,I$3&gt;0),I$3*Data_85_15!I39,"")</f>
        <v/>
      </c>
      <c r="J38" s="206" t="str">
        <f>IF(AND($A38&gt;=SYear85,$A38&lt;=EYear85,J$3&gt;0),J$3*Data_85_15!J39,"")</f>
        <v/>
      </c>
      <c r="K38" s="206" t="str">
        <f>IF(AND($A38&gt;=SYear85,$A38&lt;=EYear85,K$3&gt;0),K$3*Data_85_15!K39,"")</f>
        <v/>
      </c>
      <c r="L38" s="206" t="str">
        <f>IF(AND($A38&gt;=SYear85,$A38&lt;=EYear85,L$3&gt;0),L$3*Data_85_15!L39,"")</f>
        <v/>
      </c>
      <c r="M38" s="206" t="str">
        <f>IF(AND($A38&gt;=SYear85,$A38&lt;=EYear85,M$3&gt;0),M$3*Data_85_15!M39,"")</f>
        <v/>
      </c>
      <c r="N38" s="206" t="str">
        <f>IF(AND($A38&gt;=SYear85,$A38&lt;=EYear85,N$3&gt;0),N$3*Data_85_15!N39,"")</f>
        <v/>
      </c>
      <c r="O38" s="206" t="str">
        <f>IF(AND($A38&gt;=SYear85,$A38&lt;=EYear85,O$3&gt;0),O$3*Data_85_15!O39,"")</f>
        <v/>
      </c>
      <c r="P38" s="206" t="str">
        <f>IF(AND($A38&gt;=SYear85,$A38&lt;=EYear85,P$3&gt;0),P$3*Data_85_15!P39,"")</f>
        <v/>
      </c>
      <c r="Q38" s="206" t="str">
        <f>IF(AND($A38&gt;=SYear85,$A38&lt;=EYear85,Q$3&gt;0),Q$3*Data_85_15!Q39,"")</f>
        <v/>
      </c>
      <c r="R38" s="206" t="str">
        <f>IF(AND($A38&gt;=SYear85,$A38&lt;=EYear85,R$3&gt;0),R$3*Data_85_15!R39,"")</f>
        <v/>
      </c>
      <c r="S38" s="206" t="str">
        <f>IF(AND($A38&gt;=SYear85,$A38&lt;=EYear85,S$3&gt;0),S$3*Data_85_15!S39,"")</f>
        <v/>
      </c>
      <c r="T38" s="206" t="str">
        <f>IF(AND($A38&gt;=SYear85,$A38&lt;=EYear85,T$3&gt;0),T$3*Data_85_15!T39,"")</f>
        <v/>
      </c>
      <c r="U38" s="206" t="str">
        <f>IF(AND($A38&gt;=SYear85,$A38&lt;=EYear85,U$3&gt;0),U$3*Data_85_15!U39,"")</f>
        <v/>
      </c>
      <c r="V38" s="206" t="str">
        <f>IF(AND($A38&gt;=SYear85,$A38&lt;=EYear85,V$3&gt;0),V$3*Data_85_15!V39,"")</f>
        <v/>
      </c>
      <c r="W38" s="206" t="str">
        <f>IF(AND($A38&gt;=SYear85,$A38&lt;=EYear85,W$3&gt;0),W$3*Data_85_15!W39,"")</f>
        <v/>
      </c>
      <c r="X38" s="206" t="str">
        <f>IF(AND($A38&gt;=SYear85,$A38&lt;=EYear85,X$3&gt;0),X$3*Data_85_15!X39,"")</f>
        <v/>
      </c>
      <c r="Y38" s="206" t="str">
        <f>IF(AND($A38&gt;=SYear85,$A38&lt;=EYear85,Y$3&gt;0),Y$3*Data_85_15!Y39,"")</f>
        <v/>
      </c>
      <c r="Z38" s="206" t="str">
        <f>IF(AND($A38&gt;=SYear85,$A38&lt;=EYear85,Z$3&gt;0),Z$3*Data_85_15!Z39,"")</f>
        <v/>
      </c>
      <c r="AA38" s="206" t="str">
        <f>IF(AND($A38&gt;=SYear85,$A38&lt;=EYear85,AA$3&gt;0),AA$3*Data_85_15!AA39,"")</f>
        <v/>
      </c>
      <c r="AB38" s="206" t="str">
        <f>IF(AND($A38&gt;=SYear85,$A38&lt;=EYear85,AB$3&gt;0),AB$3*Data_85_15!AB39,"")</f>
        <v/>
      </c>
      <c r="AC38" s="206" t="str">
        <f>IF(AND($A38&gt;=SYear85,$A38&lt;=EYear85,AC$3&gt;0),AC$3*Data_85_15!AC39,"")</f>
        <v/>
      </c>
      <c r="AD38" s="206" t="str">
        <f>IF(AND($A38&gt;=SYear85,$A38&lt;=EYear85,AD$3&gt;0),AD$3*Data_85_15!AD39,"")</f>
        <v/>
      </c>
      <c r="AE38" s="206" t="str">
        <f>IF(AND($A38&gt;=SYear85,$A38&lt;=EYear85,AE$3&gt;0),AE$3*Data_85_15!AE39,"")</f>
        <v/>
      </c>
      <c r="AF38" s="206" t="str">
        <f>IF(AND($A38&gt;=SYear85,$A38&lt;=EYear85,AF$3&gt;0),AF$3*Data_85_15!AF39,"")</f>
        <v/>
      </c>
      <c r="AG38" s="206" t="str">
        <f>IF(AND($A38&gt;=SYear85,$A38&lt;=EYear85,AG$3&gt;0),AG$3*Data_85_15!AG39,"")</f>
        <v/>
      </c>
      <c r="AH38" s="206" t="str">
        <f>IF(AND($A38&gt;=SYear85,$A38&lt;=EYear85,AH$3&gt;0),AH$3*Data_85_15!AH39,"")</f>
        <v/>
      </c>
      <c r="AI38" s="206" t="str">
        <f>IF(AND($A38&gt;=SYear85,$A38&lt;=EYear85,AI$3&gt;0),AI$3*Data_85_15!AI39,"")</f>
        <v/>
      </c>
      <c r="AJ38" s="206" t="str">
        <f>IF(AND($A38&gt;=SYear85,$A38&lt;=EYear85,AJ$3&gt;0),AJ$3*Data_85_15!AJ39,"")</f>
        <v/>
      </c>
      <c r="AK38" s="206" t="str">
        <f>IF(AND($A38&gt;=SYear85,$A38&lt;=EYear85,AK$3&gt;0),AK$3*Data_85_15!AK39,"")</f>
        <v/>
      </c>
      <c r="AL38" s="206" t="str">
        <f>IF(AND($A38&gt;=SYear85,$A38&lt;=EYear85,AL$3&gt;0),AL$3*Data_85_15!AL39,"")</f>
        <v/>
      </c>
      <c r="AM38" s="206" t="str">
        <f>IF(AND($A38&gt;=SYear85,$A38&lt;=EYear85,AM$3&gt;0),AM$3*Data_85_15!AM39,"")</f>
        <v/>
      </c>
      <c r="AN38" s="206" t="str">
        <f>IF(AND($A38&gt;=SYear85,$A38&lt;=EYear85,AN$3&gt;0),AN$3*Data_85_15!AN39,"")</f>
        <v/>
      </c>
      <c r="AO38" s="206" t="str">
        <f>IF(AND($A38&gt;=SYear85,$A38&lt;=EYear85,AO$3&gt;0),AO$3*Data_85_15!AO39,"")</f>
        <v/>
      </c>
      <c r="AP38" s="206" t="str">
        <f>IF(AND($A38&gt;=SYear85,$A38&lt;=EYear85,AP$3&gt;0),AP$3*Data_85_15!AP39,"")</f>
        <v/>
      </c>
      <c r="AQ38" s="206" t="str">
        <f>IF(AND($A38&gt;=SYear85,$A38&lt;=EYear85,AQ$3&gt;0),AQ$3*Data_85_15!AQ39,"")</f>
        <v/>
      </c>
      <c r="AR38" s="206" t="str">
        <f>IF(AND($A38&gt;=SYear85,$A38&lt;=EYear85,AR$3&gt;0),AR$3*Data_85_15!AR39,"")</f>
        <v/>
      </c>
      <c r="AS38" s="206" t="str">
        <f>IF(AND($A38&gt;=SYear85,$A38&lt;=EYear85,AS$3&gt;0),AS$3*Data_85_15!AS39,"")</f>
        <v/>
      </c>
      <c r="AT38" s="206" t="str">
        <f>IF(AND($A38&gt;=SYear85,$A38&lt;=EYear85,AT$3&gt;0),AT$3*Data_85_15!AT39,"")</f>
        <v/>
      </c>
      <c r="AU38" s="206" t="str">
        <f>IF(AND($A38&gt;=SYear85,$A38&lt;=EYear85,AU$3&gt;0),AU$3*Data_85_15!AU39,"")</f>
        <v/>
      </c>
      <c r="AV38" s="206" t="str">
        <f>IF(AND($A38&gt;=SYear85,$A38&lt;=EYear85,AV$3&gt;0),AV$3*Data_85_15!AV39,"")</f>
        <v/>
      </c>
      <c r="AW38" s="206" t="str">
        <f>IF(AND($A38&gt;=SYear85,$A38&lt;=EYear85,AW$3&gt;0),AW$3*Data_85_15!AW39,"")</f>
        <v/>
      </c>
      <c r="AX38" s="206" t="str">
        <f>IF(AND($A38&gt;=SYear85,$A38&lt;=EYear85,AX$3&gt;0),AX$3*Data_85_15!AX39,"")</f>
        <v/>
      </c>
      <c r="AY38" s="206" t="str">
        <f>IF(AND($A38&gt;=SYear85,$A38&lt;=EYear85,AY$3&gt;0),AY$3*Data_85_15!AY39,"")</f>
        <v/>
      </c>
      <c r="AZ38" s="206" t="str">
        <f>IF(AND($A38&gt;=SYear85,$A38&lt;=EYear85),SUM(B38:AY38),"")</f>
        <v/>
      </c>
      <c r="BA38" s="446" t="str">
        <f>IF(AND($A38&gt;=SYear85,$A38&lt;=EYear85),IF($A38=SYear85,$BA$4*(1+AZ38%),$BA37*(1+AZ38%)),"")</f>
        <v/>
      </c>
      <c r="BB38" s="206" t="str">
        <f>IF(AND($A38&gt;=SYear85,$A38&lt;=EYear85),(AZ38-Data_85_15!AZ39)/(1+Data_85_15!AZ39%),"")</f>
        <v/>
      </c>
      <c r="BC38" s="606" t="str">
        <f>IF(AND($A38&gt;=SYear85,$A38&lt;=EYear85),IF($A38=SYear85,$BC$4*(1+BB38%),$BC37*(1+BB38%)),"")</f>
        <v/>
      </c>
      <c r="BD38" s="143" t="str">
        <f>IF(AND($A38&gt;=SYear85,$A38&lt;=EYear85),IF($A38=SYear85,$BD$2,$BD37*(1+AZ38%)),"")</f>
        <v/>
      </c>
      <c r="BE38" s="143" t="str">
        <f>IF(AND($A38&gt;=SYear85,$A38&lt;=EYear85),MAX($BD$7:BD38),"")</f>
        <v/>
      </c>
      <c r="BF38" s="209" t="str">
        <f>IF(AND($A38&gt;=SYear85,$A38&lt;=EYear85),1-(BD38/BE38),"")</f>
        <v/>
      </c>
      <c r="BI38" s="143" t="str">
        <f>IF(AND($A38&gt;=SYear85,$A38&lt;=EYear85),Data_85_15!$V39,"")</f>
        <v/>
      </c>
      <c r="BJ38" s="143" t="str">
        <f>IF(AND($A38&gt;=SYear85,$A38&lt;=EYear85),Data_85_15!$AZ39,"")</f>
        <v/>
      </c>
      <c r="BK38" s="143" t="str">
        <f>IF(AND($A38&gt;=SYear85,$A38&lt;=EYear85),(BI38-BJ38)/(1+BJ38%),"")</f>
        <v/>
      </c>
      <c r="BN38" s="61" t="str">
        <f t="shared" si="6"/>
        <v/>
      </c>
      <c r="BO38" s="61"/>
      <c r="BP38" s="61"/>
      <c r="BQ38" s="61"/>
      <c r="BR38" s="61"/>
      <c r="BU38" s="61" t="str">
        <f t="shared" si="11"/>
        <v/>
      </c>
      <c r="BV38" s="61"/>
      <c r="BW38" s="61"/>
      <c r="BX38" s="61"/>
      <c r="BY38" s="61"/>
    </row>
    <row r="39" spans="1:77" ht="13" thickBot="1">
      <c r="A39" s="210"/>
      <c r="B39" s="211"/>
      <c r="C39" s="211"/>
      <c r="D39" s="211"/>
      <c r="E39" s="211"/>
      <c r="F39" s="211"/>
      <c r="G39" s="211"/>
      <c r="H39" s="206"/>
      <c r="I39" s="206"/>
      <c r="J39" s="206"/>
      <c r="K39" s="206"/>
      <c r="L39" s="206"/>
      <c r="M39" s="206"/>
      <c r="N39" s="206"/>
      <c r="O39" s="206"/>
      <c r="P39" s="206"/>
      <c r="Q39" s="206"/>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32"/>
      <c r="BC39" s="207"/>
      <c r="BJ39" s="143"/>
      <c r="BN39" s="61"/>
    </row>
    <row r="40" spans="1:77" s="26" customFormat="1" ht="31.5" customHeight="1" thickBot="1">
      <c r="A40" s="212" t="s">
        <v>406</v>
      </c>
      <c r="B40" s="213" t="s">
        <v>175</v>
      </c>
      <c r="C40" s="213" t="s">
        <v>176</v>
      </c>
      <c r="D40" s="213" t="s">
        <v>420</v>
      </c>
      <c r="E40" s="213" t="s">
        <v>178</v>
      </c>
      <c r="F40" s="477" t="s">
        <v>179</v>
      </c>
      <c r="G40" s="477" t="s">
        <v>180</v>
      </c>
      <c r="H40" s="474" t="s">
        <v>181</v>
      </c>
      <c r="I40" s="215"/>
      <c r="J40" s="215"/>
      <c r="K40" s="215"/>
      <c r="L40" s="215"/>
      <c r="M40" s="215"/>
      <c r="N40" s="215"/>
      <c r="O40" s="215"/>
      <c r="P40" s="215"/>
      <c r="Q40" s="215"/>
      <c r="R40" s="215"/>
      <c r="S40" s="215"/>
      <c r="T40" s="215"/>
      <c r="U40" s="215"/>
      <c r="V40" s="215"/>
      <c r="W40" s="215"/>
      <c r="X40" s="215"/>
      <c r="Y40" s="215"/>
      <c r="Z40" s="215"/>
      <c r="AA40" s="215"/>
      <c r="AB40" s="215"/>
      <c r="AC40" s="215"/>
      <c r="AD40" s="215"/>
      <c r="AE40" s="215"/>
      <c r="AF40" s="215"/>
      <c r="AG40" s="215"/>
      <c r="AH40" s="215"/>
      <c r="AI40" s="215"/>
      <c r="AJ40" s="215"/>
      <c r="AK40" s="215"/>
      <c r="AL40" s="215"/>
      <c r="AM40" s="215"/>
      <c r="AN40" s="215"/>
      <c r="AO40" s="215"/>
      <c r="AP40" s="215"/>
      <c r="AQ40" s="215"/>
      <c r="AR40" s="215"/>
      <c r="AS40" s="215"/>
      <c r="AT40" s="215"/>
      <c r="AU40" s="215"/>
      <c r="AV40" s="215"/>
      <c r="AW40" s="215"/>
      <c r="AX40" s="215"/>
      <c r="AY40" s="215"/>
      <c r="AZ40" s="215"/>
      <c r="BA40" s="215"/>
      <c r="BB40" s="215"/>
      <c r="BC40" s="217"/>
    </row>
    <row r="41" spans="1:77" ht="14" thickTop="1" thickBot="1">
      <c r="A41" s="218" t="s">
        <v>407</v>
      </c>
      <c r="B41" s="441">
        <f>IF(AZ3="ERROR","ERROR",VLOOKUP(EYear85,Rebal_ReturnsTable85,COLUMN(BA29),FALSE))</f>
        <v>130167.13892121965</v>
      </c>
      <c r="C41" s="219">
        <f>RATE(Portfolio!$K$85,0,-$BA$4,B41)*100</f>
        <v>8.6304695471896142</v>
      </c>
      <c r="D41" s="219">
        <f ca="1">STDEV(Rebal_NominalReturns85)</f>
        <v>6.9801309097643509</v>
      </c>
      <c r="E41" s="219">
        <f ca="1">((AVERAGE(Rebal_NominalReturns85))-(AVERAGE(TBill85)))/STDEV(Rebal_NominalReturns85)</f>
        <v>0.74884894114458533</v>
      </c>
      <c r="F41" s="219">
        <f t="array" aca="1" ref="F41" ca="1">(AVERAGE(Rebal_NominalReturns85)-MAR85_Nominal*100)/SQRT(SUM(IF(Rebal_NominalReturns85&lt;MAR85_Nominal*100,(Rebal_NominalReturns85-MAR85_Nominal*100)^2))/COUNT(Rebal_NominalReturns85))</f>
        <v>1.1767146276847598</v>
      </c>
      <c r="G41" s="472">
        <f ca="1">(PEARSON(Rebal_NominalReturns85,OFFSET(Data_85_15!$B$8,$A$43,0,$C$43,1)))</f>
        <v>0.43377465438288293</v>
      </c>
      <c r="H41" s="475">
        <f ca="1">(PEARSON(Rebal_NominalReturns85,OFFSET(Data_85_15!$N$8,$A$43,0,$C$43,1)))</f>
        <v>0.6060421679656649</v>
      </c>
      <c r="I41" s="220"/>
      <c r="J41" s="32"/>
      <c r="K41" s="32"/>
      <c r="L41" s="32"/>
      <c r="M41" s="32"/>
      <c r="N41" s="32"/>
      <c r="O41" s="32"/>
      <c r="P41" s="221"/>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207"/>
    </row>
    <row r="42" spans="1:77" ht="13" thickBot="1">
      <c r="A42" s="223" t="s">
        <v>408</v>
      </c>
      <c r="B42" s="442">
        <f t="array" ref="B42">IF(AZ4="ERROR","ERROR",VLOOKUP(EYear85,Rebal_ReturnsTable85,COLUMN(BC1),FALSE))</f>
        <v>57949.898439507204</v>
      </c>
      <c r="C42" s="224">
        <f>RATE(Portfolio!$K$85,0,-$BC$4,B42)*100</f>
        <v>5.8314149346845667</v>
      </c>
      <c r="D42" s="224">
        <f ca="1">STDEV(Rebal_RealReturns85)</f>
        <v>6.7750897852543801</v>
      </c>
      <c r="E42" s="224">
        <f ca="1">((AVERAGE(Rebal_RealReturns85))-(AVERAGE(TBill85_Real)))/STDEV(Rebal_RealReturns85)</f>
        <v>0.75295956787687035</v>
      </c>
      <c r="F42" s="473">
        <f t="array" aca="1" ref="F42" ca="1">(AVERAGE(Rebal_RealReturns85)-MAR85_Real*100)/SQRT(SUM(IF(Rebal_RealReturns85&lt;MAR85_Real*100,(Rebal_RealReturns85-MAR85_Real*100)^2))/COUNT(Rebal_RealReturns85))</f>
        <v>1.4169243920264711</v>
      </c>
      <c r="G42" s="293">
        <f ca="1">(PEARSON(Rebal_RealReturns85,OFFSET(Data_85_15!$B$8,$A$43,0,$C$43,1)))</f>
        <v>0.41929422611288336</v>
      </c>
      <c r="H42" s="476">
        <f ca="1">(PEARSON(Rebal_RealReturns85,OFFSET(Data_85_15!$N$8,$A$43,0,$C$43,1)))</f>
        <v>0.58376738412054818</v>
      </c>
      <c r="I42" s="251"/>
      <c r="J42" s="225"/>
      <c r="K42" s="225"/>
      <c r="L42" s="225"/>
      <c r="M42" s="225"/>
      <c r="N42" s="225"/>
      <c r="O42" s="225"/>
      <c r="P42" s="226"/>
      <c r="Q42" s="225"/>
      <c r="R42" s="225"/>
      <c r="S42" s="225"/>
      <c r="T42" s="225"/>
      <c r="U42" s="225"/>
      <c r="V42" s="225"/>
      <c r="W42" s="225"/>
      <c r="X42" s="225"/>
      <c r="Y42" s="225"/>
      <c r="Z42" s="225"/>
      <c r="AA42" s="225"/>
      <c r="AB42" s="225"/>
      <c r="AC42" s="225"/>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7"/>
    </row>
    <row r="43" spans="1:77" ht="13" thickTop="1">
      <c r="A43" s="228">
        <f>MATCH(SYear85,A7:A38,0)-1</f>
        <v>0</v>
      </c>
      <c r="B43" s="258">
        <f>MATCH(EYear85,A7:A38,0)-1</f>
        <v>30</v>
      </c>
      <c r="C43" s="258">
        <f>B43-A43+1</f>
        <v>31</v>
      </c>
      <c r="E43" s="36" t="str">
        <f>"Portfolio Growth (Nominal) "&amp;TEXT(Portfolio!$K$86,"0")&amp;" - "&amp;TEXT(Portfolio!$K$87,"0")</f>
        <v>Portfolio Growth (Nominal) 1985 - 2015</v>
      </c>
      <c r="I43" s="36" t="str">
        <f>"Portfolio Growth (Real) "&amp;TEXT(Portfolio!$K$86,"0")&amp;" - "&amp;TEXT(Portfolio!$K$87,"0")</f>
        <v>Portfolio Growth (Real) 1985 - 2015</v>
      </c>
      <c r="M43" s="36" t="str">
        <f>"Portfolio Nominal (Rebalanced) = "&amp;TEXT(B41,"#,##0")</f>
        <v>Portfolio Nominal (Rebalanced) = 130,167</v>
      </c>
      <c r="Q43" s="36" t="str">
        <f>"Portfolio Real (Rebalanced) = "&amp;TEXT(B42,"#,##0")</f>
        <v>Portfolio Real (Rebalanced) = 57,950</v>
      </c>
      <c r="U43" s="36" t="str">
        <f>"Rolling Returns (Nominal) "&amp;TEXT(Portfolio!$K$86,"0")&amp;" - "&amp;TEXT(Portfolio!$K$87,"0")</f>
        <v>Rolling Returns (Nominal) 1985 - 2015</v>
      </c>
      <c r="Y43" s="36" t="str">
        <f>"Rolling Returns (Nominal) "&amp;TEXT(Portfolio!$T$86,"0")&amp;" - "&amp;TEXT(Portfolio!$T$87,"0")</f>
        <v>Rolling Returns (Nominal) 1871 - 2015</v>
      </c>
    </row>
    <row r="44" spans="1:77" ht="13" thickBot="1">
      <c r="A44" s="36" t="s">
        <v>409</v>
      </c>
    </row>
    <row r="45" spans="1:77" ht="21" thickTop="1">
      <c r="A45" s="231" t="s">
        <v>406</v>
      </c>
      <c r="B45" s="232" t="s">
        <v>370</v>
      </c>
      <c r="C45" s="232" t="s">
        <v>371</v>
      </c>
      <c r="D45" s="232" t="s">
        <v>372</v>
      </c>
      <c r="E45" s="232" t="s">
        <v>373</v>
      </c>
      <c r="F45" s="232" t="s">
        <v>374</v>
      </c>
      <c r="G45" s="232" t="s">
        <v>375</v>
      </c>
      <c r="H45" s="232" t="s">
        <v>376</v>
      </c>
      <c r="I45" s="232" t="s">
        <v>377</v>
      </c>
      <c r="J45" s="232" t="s">
        <v>378</v>
      </c>
      <c r="K45" s="232" t="s">
        <v>114</v>
      </c>
      <c r="L45" s="232" t="s">
        <v>292</v>
      </c>
      <c r="M45" s="232" t="s">
        <v>299</v>
      </c>
      <c r="N45" s="232" t="s">
        <v>410</v>
      </c>
      <c r="O45" s="232" t="s">
        <v>318</v>
      </c>
      <c r="P45" s="232" t="s">
        <v>325</v>
      </c>
      <c r="Q45" s="232" t="s">
        <v>421</v>
      </c>
      <c r="R45" s="232" t="s">
        <v>380</v>
      </c>
      <c r="S45" s="232" t="s">
        <v>381</v>
      </c>
      <c r="T45" s="232" t="s">
        <v>382</v>
      </c>
      <c r="U45" s="232" t="s">
        <v>383</v>
      </c>
      <c r="V45" s="232" t="s">
        <v>384</v>
      </c>
      <c r="W45" s="232" t="s">
        <v>385</v>
      </c>
      <c r="X45" s="232" t="s">
        <v>386</v>
      </c>
      <c r="Y45" s="232" t="s">
        <v>386</v>
      </c>
      <c r="Z45" s="232" t="s">
        <v>345</v>
      </c>
      <c r="AA45" s="232" t="s">
        <v>422</v>
      </c>
      <c r="AB45" s="232" t="s">
        <v>423</v>
      </c>
      <c r="AC45" s="232" t="s">
        <v>143</v>
      </c>
      <c r="AD45" s="232" t="s">
        <v>424</v>
      </c>
      <c r="AE45" s="232" t="s">
        <v>425</v>
      </c>
      <c r="AF45" s="232" t="s">
        <v>426</v>
      </c>
      <c r="AG45" s="232" t="s">
        <v>427</v>
      </c>
      <c r="AH45" s="232" t="s">
        <v>428</v>
      </c>
      <c r="AI45" s="232" t="s">
        <v>429</v>
      </c>
      <c r="AJ45" s="232" t="s">
        <v>430</v>
      </c>
      <c r="AK45" s="232" t="s">
        <v>431</v>
      </c>
      <c r="AL45" s="232" t="s">
        <v>432</v>
      </c>
      <c r="AM45" s="233" t="str">
        <f>IF(Data_85_15!AM$1="???","",Data_85_15!AM$1)</f>
        <v>Global Bond Fund</v>
      </c>
      <c r="AN45" s="233" t="str">
        <f>IF(Data_85_15!AN$1="???","",Data_85_15!AN$1)</f>
        <v>ST Investment Grade</v>
      </c>
      <c r="AO45" s="233" t="str">
        <f>IF(Data_85_15!AO$1="???","",Data_85_15!AO$1)</f>
        <v>GOLD</v>
      </c>
      <c r="AP45" s="233" t="str">
        <f>IF(Data_85_15!AP$1="???","",Data_85_15!AP$1)</f>
        <v>VG Intl Small</v>
      </c>
      <c r="AQ45" s="233" t="str">
        <f>IF(Data_85_15!AQ$1="","",Data_85_15!AQ$1)</f>
        <v/>
      </c>
      <c r="AR45" s="233" t="str">
        <f>IF(Data_85_15!AR$1="","",Data_85_15!AR$1)</f>
        <v/>
      </c>
      <c r="AS45" s="233" t="str">
        <f>IF(Data_85_15!AS$1="","",Data_85_15!AS$1)</f>
        <v/>
      </c>
      <c r="AT45" s="233" t="str">
        <f>IF(Data_85_15!AT$1="","",Data_85_15!AT$1)</f>
        <v/>
      </c>
      <c r="AU45" s="233" t="str">
        <f>IF(Data_85_15!AU$1="","",Data_85_15!AU$1)</f>
        <v/>
      </c>
      <c r="AV45" s="233" t="str">
        <f>IF(Data_85_15!AV$1="","",Data_85_15!AV$1)</f>
        <v/>
      </c>
      <c r="AW45" s="585" t="str">
        <f>IF(Data_85_15!AW$1="","",Data_85_15!AW$1)</f>
        <v/>
      </c>
      <c r="AX45" s="24"/>
      <c r="AY45" s="24"/>
      <c r="AZ45" s="236"/>
      <c r="BA45" s="236"/>
    </row>
    <row r="46" spans="1:77">
      <c r="A46" s="237" t="s">
        <v>411</v>
      </c>
      <c r="B46" s="165" t="s">
        <v>97</v>
      </c>
      <c r="C46" s="165" t="s">
        <v>99</v>
      </c>
      <c r="D46" s="165" t="s">
        <v>101</v>
      </c>
      <c r="E46" s="165" t="s">
        <v>103</v>
      </c>
      <c r="F46" s="165" t="s">
        <v>105</v>
      </c>
      <c r="G46" s="165" t="s">
        <v>107</v>
      </c>
      <c r="H46" s="165" t="s">
        <v>109</v>
      </c>
      <c r="I46" s="165" t="s">
        <v>111</v>
      </c>
      <c r="J46" s="165" t="s">
        <v>113</v>
      </c>
      <c r="K46" s="165" t="s">
        <v>115</v>
      </c>
      <c r="L46" s="165" t="s">
        <v>624</v>
      </c>
      <c r="M46" s="165" t="s">
        <v>118</v>
      </c>
      <c r="N46" s="165" t="s">
        <v>120</v>
      </c>
      <c r="O46" s="165" t="s">
        <v>122</v>
      </c>
      <c r="P46" s="165" t="s">
        <v>124</v>
      </c>
      <c r="Q46" s="165" t="s">
        <v>126</v>
      </c>
      <c r="R46" s="165" t="s">
        <v>128</v>
      </c>
      <c r="S46" s="165" t="s">
        <v>130</v>
      </c>
      <c r="T46" s="165" t="s">
        <v>132</v>
      </c>
      <c r="U46" s="165" t="s">
        <v>134</v>
      </c>
      <c r="V46" s="165" t="s">
        <v>194</v>
      </c>
      <c r="W46" s="165" t="s">
        <v>138</v>
      </c>
      <c r="X46" s="165" t="s">
        <v>140</v>
      </c>
      <c r="Y46" s="165" t="s">
        <v>142</v>
      </c>
      <c r="Z46" s="165" t="s">
        <v>146</v>
      </c>
      <c r="AA46" s="165" t="s">
        <v>150</v>
      </c>
      <c r="AB46" s="165" t="s">
        <v>152</v>
      </c>
      <c r="AC46" s="281" t="s">
        <v>144</v>
      </c>
      <c r="AD46" s="282" t="s">
        <v>154</v>
      </c>
      <c r="AE46" s="282" t="s">
        <v>156</v>
      </c>
      <c r="AF46" s="282" t="s">
        <v>158</v>
      </c>
      <c r="AG46" s="282" t="s">
        <v>160</v>
      </c>
      <c r="AH46" s="165" t="s">
        <v>162</v>
      </c>
      <c r="AI46" s="165" t="s">
        <v>148</v>
      </c>
      <c r="AJ46" s="165" t="s">
        <v>164</v>
      </c>
      <c r="AK46" s="165" t="s">
        <v>166</v>
      </c>
      <c r="AL46" s="165" t="s">
        <v>168</v>
      </c>
      <c r="AM46" s="165" t="str">
        <f>IF(Data_85_15!AM$2="???","",Data_85_15!AM$2)</f>
        <v>PIGLX</v>
      </c>
      <c r="AN46" s="165" t="str">
        <f>IF(Data_85_15!AN$2="???","",Data_85_15!AN$2)</f>
        <v>VFSTX</v>
      </c>
      <c r="AO46" s="165" t="str">
        <f>IF(Data_85_15!AO$2="???","",Data_85_15!AO$2)</f>
        <v>GLD</v>
      </c>
      <c r="AP46" s="165" t="str">
        <f>IF(Data_85_15!AP$2="???","",Data_85_15!AP$2)</f>
        <v>VFSVX</v>
      </c>
      <c r="AQ46" s="165" t="str">
        <f>IF(Data_85_15!AQ$2="","",Data_85_15!AQ$2)</f>
        <v/>
      </c>
      <c r="AR46" s="165" t="str">
        <f>IF(Data_85_15!AR$2="","",Data_85_15!AR$2)</f>
        <v/>
      </c>
      <c r="AS46" s="165" t="str">
        <f>IF(Data_85_15!AS$2="","",Data_85_15!AS$2)</f>
        <v/>
      </c>
      <c r="AT46" s="165" t="str">
        <f>IF(Data_85_15!AT$2="","",Data_85_15!AT$2)</f>
        <v/>
      </c>
      <c r="AU46" s="165" t="str">
        <f>IF(Data_85_15!AU$2="","",Data_85_15!AU$2)</f>
        <v/>
      </c>
      <c r="AV46" s="165" t="str">
        <f>IF(Data_85_15!AV$2="","",Data_85_15!AV$2)</f>
        <v/>
      </c>
      <c r="AW46" s="456" t="str">
        <f>IF(Data_85_15!AW$2="","",Data_85_15!AW$2)</f>
        <v/>
      </c>
      <c r="AX46" s="24"/>
      <c r="AY46" s="24"/>
      <c r="AZ46" s="48"/>
      <c r="BA46" s="48"/>
    </row>
    <row r="47" spans="1:77">
      <c r="A47" s="241"/>
      <c r="B47" s="242">
        <f ca="1">IF(ISERROR(PEARSON(OFFSET(Returns_85_15!$AZ$7,$A$43,0,$C$43,1),OFFSET(Data_85_15!B$8,$A$43,0,$C$43,1))),"",PEARSON(OFFSET(Returns_85_15!$AZ$7,$A$43,0,$C$43,1),OFFSET(Data_85_15!B$8,$A$43,0,$C$43,1)))</f>
        <v>0.43377465438288293</v>
      </c>
      <c r="C47" s="242">
        <f ca="1">IF(ISERROR(PEARSON(OFFSET(Returns_85_15!$AZ$7,$A$43,0,$C$43,1),OFFSET(Data_85_15!C$8,$A$43,0,$C$43,1))),"",PEARSON(OFFSET(Returns_85_15!$AZ$7,$A$43,0,$C$43,1),OFFSET(Data_85_15!C$8,$A$43,0,$C$43,1)))</f>
        <v>0.46912808224410124</v>
      </c>
      <c r="D47" s="242">
        <f ca="1">IF(ISERROR(PEARSON(OFFSET(Returns_85_15!$AZ$7,$A$43,0,$C$43,1),OFFSET(Data_85_15!D$8,$A$43,0,$C$43,1))),"",PEARSON(OFFSET(Returns_85_15!$AZ$7,$A$43,0,$C$43,1),OFFSET(Data_85_15!D$8,$A$43,0,$C$43,1)))</f>
        <v>0.41122133585663273</v>
      </c>
      <c r="E47" s="242">
        <f ca="1">IF(ISERROR(PEARSON(OFFSET(Returns_85_15!$AZ$7,$A$43,0,$C$43,1),OFFSET(Data_85_15!E$8,$A$43,0,$C$43,1))),"",PEARSON(OFFSET(Returns_85_15!$AZ$7,$A$43,0,$C$43,1),OFFSET(Data_85_15!E$8,$A$43,0,$C$43,1)))</f>
        <v>0.35080010341270929</v>
      </c>
      <c r="F47" s="242">
        <f ca="1">IF(ISERROR(PEARSON(OFFSET(Returns_85_15!$AZ$7,$A$43,0,$C$43,1),OFFSET(Data_85_15!F$8,$A$43,0,$C$43,1))),"",PEARSON(OFFSET(Returns_85_15!$AZ$7,$A$43,0,$C$43,1),OFFSET(Data_85_15!F$8,$A$43,0,$C$43,1)))</f>
        <v>0.54445660393380058</v>
      </c>
      <c r="G47" s="242">
        <f ca="1">IF(ISERROR(PEARSON(OFFSET(Returns_85_15!$AZ$7,$A$43,0,$C$43,1),OFFSET(Data_85_15!G$8,$A$43,0,$C$43,1))),"",PEARSON(OFFSET(Returns_85_15!$AZ$7,$A$43,0,$C$43,1),OFFSET(Data_85_15!G$8,$A$43,0,$C$43,1)))</f>
        <v>0.43006297572974084</v>
      </c>
      <c r="H47" s="242">
        <f ca="1">IF(ISERROR(PEARSON(OFFSET(Returns_85_15!$AZ$7,$A$43,0,$C$43,1),OFFSET(Data_85_15!H$8,$A$43,0,$C$43,1))),"",PEARSON(OFFSET(Returns_85_15!$AZ$7,$A$43,0,$C$43,1),OFFSET(Data_85_15!H$8,$A$43,0,$C$43,1)))</f>
        <v>0.45306912912821362</v>
      </c>
      <c r="I47" s="242">
        <f ca="1">IF(ISERROR(PEARSON(OFFSET(Returns_85_15!$AZ$7,$A$43,0,$C$43,1),OFFSET(Data_85_15!I$8,$A$43,0,$C$43,1))),"",PEARSON(OFFSET(Returns_85_15!$AZ$7,$A$43,0,$C$43,1),OFFSET(Data_85_15!I$8,$A$43,0,$C$43,1)))</f>
        <v>0.51218768085284916</v>
      </c>
      <c r="J47" s="242">
        <f ca="1">IF(ISERROR(PEARSON(OFFSET(Returns_85_15!$AZ$7,$A$43,0,$C$43,1),OFFSET(Data_85_15!J$8,$A$43,0,$C$43,1))),"",PEARSON(OFFSET(Returns_85_15!$AZ$7,$A$43,0,$C$43,1),OFFSET(Data_85_15!J$8,$A$43,0,$C$43,1)))</f>
        <v>0.34537756289348215</v>
      </c>
      <c r="K47" s="242">
        <f ca="1">IF(ISERROR(PEARSON(OFFSET(Returns_85_15!$AZ$7,$A$43,0,$C$43,1),OFFSET(Data_85_15!K$8,$A$43,0,$C$43,1))),"",PEARSON(OFFSET(Returns_85_15!$AZ$7,$A$43,0,$C$43,1),OFFSET(Data_85_15!K$8,$A$43,0,$C$43,1)))</f>
        <v>0.53827142124311345</v>
      </c>
      <c r="L47" s="242">
        <f ca="1">IF(ISERROR(PEARSON(OFFSET(Returns_85_15!$AZ$7,$A$43,0,$C$43,1),OFFSET(Data_85_15!L$8,$A$43,0,$C$43,1))),"",PEARSON(OFFSET(Returns_85_15!$AZ$7,$A$43,0,$C$43,1),OFFSET(Data_85_15!L$8,$A$43,0,$C$43,1)))</f>
        <v>0.54917715501669462</v>
      </c>
      <c r="M47" s="242">
        <f ca="1">IF(ISERROR(PEARSON(OFFSET(Returns_85_15!$AZ$7,$A$43,0,$C$43,1),OFFSET(Data_85_15!M$8,$A$43,0,$C$43,1))),"",PEARSON(OFFSET(Returns_85_15!$AZ$7,$A$43,0,$C$43,1),OFFSET(Data_85_15!M$8,$A$43,0,$C$43,1)))</f>
        <v>0.62960668365907679</v>
      </c>
      <c r="N47" s="242">
        <f ca="1">IF(ISERROR(PEARSON(OFFSET(Returns_85_15!$AZ$7,$A$43,0,$C$43,1),OFFSET(Data_85_15!N$8,$A$43,0,$C$43,1))),"",PEARSON(OFFSET(Returns_85_15!$AZ$7,$A$43,0,$C$43,1),OFFSET(Data_85_15!N$8,$A$43,0,$C$43,1)))</f>
        <v>0.6060421679656649</v>
      </c>
      <c r="O47" s="242">
        <f ca="1">IF(ISERROR(PEARSON(OFFSET(Returns_85_15!$AZ$7,$A$43,0,$C$43,1),OFFSET(Data_85_15!O$8,$A$43,0,$C$43,1))),"",PEARSON(OFFSET(Returns_85_15!$AZ$7,$A$43,0,$C$43,1),OFFSET(Data_85_15!O$8,$A$43,0,$C$43,1)))</f>
        <v>0.45792857098937234</v>
      </c>
      <c r="P47" s="242">
        <f ca="1">IF(ISERROR(PEARSON(OFFSET(Returns_85_15!$AZ$7,$A$43,0,$C$43,1),OFFSET(Data_85_15!P$8,$A$43,0,$C$43,1))),"",PEARSON(OFFSET(Returns_85_15!$AZ$7,$A$43,0,$C$43,1),OFFSET(Data_85_15!P$8,$A$43,0,$C$43,1)))</f>
        <v>0.53277207425877493</v>
      </c>
      <c r="Q47" s="242">
        <f ca="1">IF(ISERROR(PEARSON(OFFSET(Returns_85_15!$AZ$7,$A$43,0,$C$43,1),OFFSET(Data_85_15!Q$8,$A$43,0,$C$43,1))),"",PEARSON(OFFSET(Returns_85_15!$AZ$7,$A$43,0,$C$43,1),OFFSET(Data_85_15!Q$8,$A$43,0,$C$43,1)))</f>
        <v>0.54998411396272351</v>
      </c>
      <c r="R47" s="242">
        <f ca="1">IF(ISERROR(PEARSON(OFFSET(Returns_85_15!$AZ$7,$A$43,0,$C$43,1),OFFSET(Data_85_15!R$8,$A$43,0,$C$43,1))),"",PEARSON(OFFSET(Returns_85_15!$AZ$7,$A$43,0,$C$43,1),OFFSET(Data_85_15!R$8,$A$43,0,$C$43,1)))</f>
        <v>0.46008307418208444</v>
      </c>
      <c r="S47" s="242">
        <f ca="1">IF(ISERROR(PEARSON(OFFSET(Returns_85_15!$AZ$7,$A$43,0,$C$43,1),OFFSET(Data_85_15!S$8,$A$43,0,$C$43,1))),"",PEARSON(OFFSET(Returns_85_15!$AZ$7,$A$43,0,$C$43,1),OFFSET(Data_85_15!S$8,$A$43,0,$C$43,1)))</f>
        <v>0.48994049407524798</v>
      </c>
      <c r="T47" s="242">
        <f ca="1">IF(ISERROR(PEARSON(OFFSET(Returns_85_15!$AZ$7,$A$43,0,$C$43,1),OFFSET(Data_85_15!T$8,$A$43,0,$C$43,1))),"",PEARSON(OFFSET(Returns_85_15!$AZ$7,$A$43,0,$C$43,1),OFFSET(Data_85_15!T$8,$A$43,0,$C$43,1)))</f>
        <v>0.49727067880386644</v>
      </c>
      <c r="U47" s="242">
        <f ca="1">IF(ISERROR(PEARSON(OFFSET(Returns_85_15!$AZ$7,$A$43,0,$C$43,1),OFFSET(Data_85_15!U$8,$A$43,0,$C$43,1))),"",PEARSON(OFFSET(Returns_85_15!$AZ$7,$A$43,0,$C$43,1),OFFSET(Data_85_15!U$8,$A$43,0,$C$43,1)))</f>
        <v>0.63425064924476038</v>
      </c>
      <c r="V47" s="242">
        <f ca="1">IF(ISERROR(PEARSON(OFFSET(Returns_85_15!$AZ$7,$A$43,0,$C$43,1),OFFSET(Data_85_15!V$8,$A$43,0,$C$43,1))),"",PEARSON(OFFSET(Returns_85_15!$AZ$7,$A$43,0,$C$43,1),OFFSET(Data_85_15!V$8,$A$43,0,$C$43,1)))</f>
        <v>0.10465465676453083</v>
      </c>
      <c r="W47" s="242">
        <f ca="1">IF(ISERROR(PEARSON(OFFSET(Returns_85_15!$AZ$7,$A$43,0,$C$43,1),OFFSET(Data_85_15!W$8,$A$43,0,$C$43,1))),"",PEARSON(OFFSET(Returns_85_15!$AZ$7,$A$43,0,$C$43,1),OFFSET(Data_85_15!W$8,$A$43,0,$C$43,1)))</f>
        <v>0.62656312324121577</v>
      </c>
      <c r="X47" s="242">
        <f ca="1">IF(ISERROR(PEARSON(OFFSET(Returns_85_15!$AZ$7,$A$43,0,$C$43,1),OFFSET(Data_85_15!X$8,$A$43,0,$C$43,1))),"",PEARSON(OFFSET(Returns_85_15!$AZ$7,$A$43,0,$C$43,1),OFFSET(Data_85_15!X$8,$A$43,0,$C$43,1)))</f>
        <v>0.60020226933262932</v>
      </c>
      <c r="Y47" s="242">
        <f ca="1">IF(ISERROR(PEARSON(OFFSET(Returns_85_15!$AZ$7,$A$43,0,$C$43,1),OFFSET(Data_85_15!Y$8,$A$43,0,$C$43,1))),"",PEARSON(OFFSET(Returns_85_15!$AZ$7,$A$43,0,$C$43,1),OFFSET(Data_85_15!Y$8,$A$43,0,$C$43,1)))</f>
        <v>0.67725777956178534</v>
      </c>
      <c r="Z47" s="242">
        <f ca="1">IF(ISERROR(PEARSON(OFFSET(Returns_85_15!$AZ$7,$A$43,0,$C$43,1),OFFSET(Data_85_15!Z$8,$A$43,0,$C$43,1))),"",PEARSON(OFFSET(Returns_85_15!$AZ$7,$A$43,0,$C$43,1),OFFSET(Data_85_15!Z$8,$A$43,0,$C$43,1)))</f>
        <v>0.47539181581537387</v>
      </c>
      <c r="AA47" s="242">
        <f ca="1">IF(ISERROR(PEARSON(OFFSET(Returns_85_15!$AZ$7,$A$43,0,$C$43,1),OFFSET(Data_85_15!AA$8,$A$43,0,$C$43,1))),"",PEARSON(OFFSET(Returns_85_15!$AZ$7,$A$43,0,$C$43,1),OFFSET(Data_85_15!AA$8,$A$43,0,$C$43,1)))</f>
        <v>0.27962878903744082</v>
      </c>
      <c r="AB47" s="242">
        <f ca="1">IF(ISERROR(PEARSON(OFFSET(Returns_85_15!$AZ$7,$A$43,0,$C$43,1),OFFSET(Data_85_15!AB$8,$A$43,0,$C$43,1))),"",PEARSON(OFFSET(Returns_85_15!$AZ$7,$A$43,0,$C$43,1),OFFSET(Data_85_15!AB$8,$A$43,0,$C$43,1)))</f>
        <v>0.60732794836113102</v>
      </c>
      <c r="AC47" s="242">
        <f ca="1">IF(ISERROR(PEARSON(OFFSET(Returns_85_15!$AZ$7,$A$43,0,$C$43,1),OFFSET(Data_85_15!AC$8,$A$43,0,$C$43,1))),"",PEARSON(OFFSET(Returns_85_15!$AZ$7,$A$43,0,$C$43,1),OFFSET(Data_85_15!AC$8,$A$43,0,$C$43,1)))</f>
        <v>0.45207431565266909</v>
      </c>
      <c r="AD47" s="242">
        <f ca="1">IF(ISERROR(PEARSON(OFFSET(Returns_85_15!$AZ$7,$A$43,0,$C$43,1),OFFSET(Data_85_15!AD$8,$A$43,0,$C$43,1))),"",PEARSON(OFFSET(Returns_85_15!$AZ$7,$A$43,0,$C$43,1),OFFSET(Data_85_15!AD$8,$A$43,0,$C$43,1)))</f>
        <v>0.46327908926226907</v>
      </c>
      <c r="AE47" s="242">
        <f ca="1">IF(ISERROR(PEARSON(OFFSET(Returns_85_15!$AZ$7,$A$43,0,$C$43,1),OFFSET(Data_85_15!AE$8,$A$43,0,$C$43,1))),"",PEARSON(OFFSET(Returns_85_15!$AZ$7,$A$43,0,$C$43,1),OFFSET(Data_85_15!AE$8,$A$43,0,$C$43,1)))</f>
        <v>0.31504760109796998</v>
      </c>
      <c r="AF47" s="242">
        <f ca="1">IF(ISERROR(PEARSON(OFFSET(Returns_85_15!$AZ$7,$A$43,0,$C$43,1),OFFSET(Data_85_15!AF$8,$A$43,0,$C$43,1))),"",PEARSON(OFFSET(Returns_85_15!$AZ$7,$A$43,0,$C$43,1),OFFSET(Data_85_15!AF$8,$A$43,0,$C$43,1)))</f>
        <v>0.69318811616045828</v>
      </c>
      <c r="AG47" s="242">
        <f ca="1">IF(ISERROR(PEARSON(OFFSET(Returns_85_15!$AZ$7,$A$43,0,$C$43,1),OFFSET(Data_85_15!AG$8,$A$43,0,$C$43,1))),"",PEARSON(OFFSET(Returns_85_15!$AZ$7,$A$43,0,$C$43,1),OFFSET(Data_85_15!AG$8,$A$43,0,$C$43,1)))</f>
        <v>0.7025003576688319</v>
      </c>
      <c r="AH47" s="242">
        <f ca="1">IF(ISERROR(PEARSON(OFFSET(Returns_85_15!$AZ$7,$A$43,0,$C$43,1),OFFSET(Data_85_15!AH$8,$A$43,0,$C$43,1))),"",PEARSON(OFFSET(Returns_85_15!$AZ$7,$A$43,0,$C$43,1),OFFSET(Data_85_15!AH$8,$A$43,0,$C$43,1)))</f>
        <v>0.72333583549666713</v>
      </c>
      <c r="AI47" s="242">
        <f ca="1">IF(ISERROR(PEARSON(OFFSET(Returns_85_15!$AZ$7,$A$43,0,$C$43,1),OFFSET(Data_85_15!AI$8,$A$43,0,$C$43,1))),"",PEARSON(OFFSET(Returns_85_15!$AZ$7,$A$43,0,$C$43,1),OFFSET(Data_85_15!AI$8,$A$43,0,$C$43,1)))</f>
        <v>0.40401987898467945</v>
      </c>
      <c r="AJ47" s="242">
        <f ca="1">IF(ISERROR(PEARSON(OFFSET(Returns_85_15!$AZ$7,$A$43,0,$C$43,1),OFFSET(Data_85_15!AJ$8,$A$43,0,$C$43,1))),"",PEARSON(OFFSET(Returns_85_15!$AZ$7,$A$43,0,$C$43,1),OFFSET(Data_85_15!AJ$8,$A$43,0,$C$43,1)))</f>
        <v>0.41270495961682307</v>
      </c>
      <c r="AK47" s="242">
        <f ca="1">IF(ISERROR(PEARSON(OFFSET(Returns_85_15!$AZ$7,$A$43,0,$C$43,1),OFFSET(Data_85_15!AK$8,$A$43,0,$C$43,1))),"",PEARSON(OFFSET(Returns_85_15!$AZ$7,$A$43,0,$C$43,1),OFFSET(Data_85_15!AK$8,$A$43,0,$C$43,1)))</f>
        <v>0.49879492967102201</v>
      </c>
      <c r="AL47" s="242">
        <f ca="1">IF(ISERROR(PEARSON(OFFSET(Returns_85_15!$AZ$7,$A$43,0,$C$43,1),OFFSET(Data_85_15!AL$8,$A$43,0,$C$43,1))),"",PEARSON(OFFSET(Returns_85_15!$AZ$7,$A$43,0,$C$43,1),OFFSET(Data_85_15!AL$8,$A$43,0,$C$43,1)))</f>
        <v>0.45682021970584502</v>
      </c>
      <c r="AM47" s="242">
        <f ca="1">IF(ISERROR(PEARSON(OFFSET(Returns_85_15!$AZ$7,$A$43,0,$C$43,1),OFFSET(Data_85_15!AM$8,$A$43,0,$C$43,1))),"",PEARSON(OFFSET(Returns_85_15!$AZ$7,$A$43,0,$C$43,1),OFFSET(Data_85_15!AM$8,$A$43,0,$C$43,1)))</f>
        <v>0.55607811489713044</v>
      </c>
      <c r="AN47" s="242">
        <f ca="1">IF(ISERROR(PEARSON(OFFSET(Returns_85_15!$AZ$7,$A$43,0,$C$43,1),OFFSET(Data_85_15!AN$8,$A$43,0,$C$43,1))),"",PEARSON(OFFSET(Returns_85_15!$AZ$7,$A$43,0,$C$43,1),OFFSET(Data_85_15!AN$8,$A$43,0,$C$43,1)))</f>
        <v>0.63055132455475815</v>
      </c>
      <c r="AO47" s="242">
        <f ca="1">IF(ISERROR(PEARSON(OFFSET(Returns_85_15!$AZ$7,$A$43,0,$C$43,1),OFFSET(Data_85_15!AO$8,$A$43,0,$C$43,1))),"",PEARSON(OFFSET(Returns_85_15!$AZ$7,$A$43,0,$C$43,1),OFFSET(Data_85_15!AO$8,$A$43,0,$C$43,1)))</f>
        <v>0.54575945356665634</v>
      </c>
      <c r="AP47" s="242">
        <f ca="1">IF(ISERROR(PEARSON(OFFSET(Returns_85_15!$AZ$7,$A$43,0,$C$43,1),OFFSET(Data_85_15!AP$8,$A$43,0,$C$43,1))),"",PEARSON(OFFSET(Returns_85_15!$AZ$7,$A$43,0,$C$43,1),OFFSET(Data_85_15!AP$8,$A$43,0,$C$43,1)))</f>
        <v>0.42521164151250179</v>
      </c>
      <c r="AQ47" s="242" t="str">
        <f ca="1">IF(ISERROR(PEARSON(OFFSET(Returns_85_15!$AZ$7,$A$43,0,$C$43,1),OFFSET(Data_85_15!AQ$8,$A$43,0,$C$43,1))),"",PEARSON(OFFSET(Returns_85_15!$AZ$7,$A$43,0,$C$43,1),OFFSET(Data_85_15!AQ$8,$A$43,0,$C$43,1)))</f>
        <v/>
      </c>
      <c r="AR47" s="242" t="str">
        <f ca="1">IF(ISERROR(PEARSON(OFFSET(Returns_85_15!$AZ$7,$A$43,0,$C$43,1),OFFSET(Data_85_15!AR$8,$A$43,0,$C$43,1))),"",PEARSON(OFFSET(Returns_85_15!$AZ$7,$A$43,0,$C$43,1),OFFSET(Data_85_15!AR$8,$A$43,0,$C$43,1)))</f>
        <v/>
      </c>
      <c r="AS47" s="242" t="str">
        <f ca="1">IF(ISERROR(PEARSON(OFFSET(Returns_85_15!$AZ$7,$A$43,0,$C$43,1),OFFSET(Data_85_15!AS$8,$A$43,0,$C$43,1))),"",PEARSON(OFFSET(Returns_85_15!$AZ$7,$A$43,0,$C$43,1),OFFSET(Data_85_15!AS$8,$A$43,0,$C$43,1)))</f>
        <v/>
      </c>
      <c r="AT47" s="242" t="str">
        <f ca="1">IF(ISERROR(PEARSON(OFFSET(Returns_85_15!$AZ$7,$A$43,0,$C$43,1),OFFSET(Data_85_15!AT$8,$A$43,0,$C$43,1))),"",PEARSON(OFFSET(Returns_85_15!$AZ$7,$A$43,0,$C$43,1),OFFSET(Data_85_15!AT$8,$A$43,0,$C$43,1)))</f>
        <v/>
      </c>
      <c r="AU47" s="242" t="str">
        <f ca="1">IF(ISERROR(PEARSON(OFFSET(Returns_85_15!$AZ$7,$A$43,0,$C$43,1),OFFSET(Data_85_15!AU$8,$A$43,0,$C$43,1))),"",PEARSON(OFFSET(Returns_85_15!$AZ$7,$A$43,0,$C$43,1),OFFSET(Data_85_15!AU$8,$A$43,0,$C$43,1)))</f>
        <v/>
      </c>
      <c r="AV47" s="242" t="str">
        <f ca="1">IF(ISERROR(PEARSON(OFFSET(Returns_85_15!$AZ$7,$A$43,0,$C$43,1),OFFSET(Data_85_15!AV$8,$A$43,0,$C$43,1))),"",PEARSON(OFFSET(Returns_85_15!$AZ$7,$A$43,0,$C$43,1),OFFSET(Data_85_15!AV$8,$A$43,0,$C$43,1)))</f>
        <v/>
      </c>
      <c r="AW47" s="457" t="str">
        <f ca="1">IF(ISERROR(PEARSON(OFFSET(Returns_85_15!$AZ$7,$A$43,0,$C$43,1),OFFSET(Data_85_15!AW$8,$A$43,0,$C$43,1))),"",PEARSON(OFFSET(Returns_85_15!$AZ$7,$A$43,0,$C$43,1),OFFSET(Data_85_15!AW$8,$A$43,0,$C$43,1)))</f>
        <v/>
      </c>
    </row>
    <row r="52" spans="1:77" ht="15">
      <c r="A52" s="643" t="s">
        <v>412</v>
      </c>
      <c r="B52" s="643"/>
      <c r="C52" s="643"/>
      <c r="D52" s="643"/>
      <c r="E52" s="643"/>
    </row>
    <row r="53" spans="1:77" s="26" customFormat="1" ht="48">
      <c r="A53" s="246" t="s">
        <v>369</v>
      </c>
      <c r="B53" s="283" t="str">
        <f>IF(Data_85_15!B$1="","",Data_85_15!B$1)</f>
        <v>MKT-TSM</v>
      </c>
      <c r="C53" s="283" t="str">
        <f>IF(Data_85_15!C$1="","",Data_85_15!C$1)</f>
        <v>LCV</v>
      </c>
      <c r="D53" s="283" t="str">
        <f>IF(Data_85_15!D$1="","",Data_85_15!D$1)</f>
        <v>500 Idx</v>
      </c>
      <c r="E53" s="283" t="str">
        <f>IF(Data_85_15!E$1="","",Data_85_15!E$1)</f>
        <v>LCG</v>
      </c>
      <c r="F53" s="283" t="str">
        <f>IF(Data_85_15!F$1="","",Data_85_15!F$1)</f>
        <v>MCB</v>
      </c>
      <c r="G53" s="283" t="str">
        <f>IF(Data_85_15!G$1="","",Data_85_15!G$1)</f>
        <v>SCV</v>
      </c>
      <c r="H53" s="283" t="str">
        <f>IF(Data_85_15!H$1="","",Data_85_15!H$1)</f>
        <v>SCB</v>
      </c>
      <c r="I53" s="283" t="str">
        <f>IF(Data_85_15!I$1="","",Data_85_15!I$1)</f>
        <v>SCG</v>
      </c>
      <c r="J53" s="283" t="str">
        <f>IF(Data_85_15!J$1="","",Data_85_15!J$1)</f>
        <v>D10</v>
      </c>
      <c r="K53" s="283" t="str">
        <f>IF(Data_85_15!K$1="","",Data_85_15!K$1)</f>
        <v>REIT</v>
      </c>
      <c r="L53" s="283" t="str">
        <f>IF(Data_85_15!L$1="","",Data_85_15!L$1)</f>
        <v>EAFED</v>
      </c>
      <c r="M53" s="283" t="str">
        <f>IF(Data_85_15!M$1="","",Data_85_15!M$1)</f>
        <v>EM</v>
      </c>
      <c r="N53" s="283" t="str">
        <f>IF(Data_85_15!N$1="","",Data_85_15!N$1)</f>
        <v>Total Intl</v>
      </c>
      <c r="O53" s="283" t="str">
        <f>IF(Data_85_15!O$1="","",Data_85_15!O$1)</f>
        <v>Pacific</v>
      </c>
      <c r="P53" s="283" t="str">
        <f>IF(Data_85_15!P$1="","",Data_85_15!P$1)</f>
        <v>Europe</v>
      </c>
      <c r="Q53" s="283" t="str">
        <f>IF(Data_85_15!Q$1="","",Data_85_15!Q$1)</f>
        <v>Intl Value</v>
      </c>
      <c r="R53" s="283" t="str">
        <f>IF(Data_85_15!R$1="","",Data_85_15!R$1)</f>
        <v>COMM</v>
      </c>
      <c r="S53" s="283" t="str">
        <f>IF(Data_85_15!S$1="","",Data_85_15!S$1)</f>
        <v>LTGB</v>
      </c>
      <c r="T53" s="283" t="str">
        <f>IF(Data_85_15!T$1="","",Data_85_15!T$1)</f>
        <v>5 Yr T</v>
      </c>
      <c r="U53" s="283" t="str">
        <f>IF(Data_85_15!U$1="","",Data_85_15!U$1)</f>
        <v>ITB</v>
      </c>
      <c r="V53" s="283" t="str">
        <f>IF(Data_85_15!V$1="","",Data_85_15!V$1)</f>
        <v>TBILL</v>
      </c>
      <c r="W53" s="283" t="str">
        <f>IF(Data_85_15!W$1="","",Data_85_15!W$1)</f>
        <v>TIPS</v>
      </c>
      <c r="X53" s="283" t="str">
        <f>IF(Data_85_15!X$1="","",Data_85_15!X$1)</f>
        <v>Wellington</v>
      </c>
      <c r="Y53" s="283" t="str">
        <f>IF(Data_85_15!Y$1="","",Data_85_15!Y$1)</f>
        <v>Wellesley</v>
      </c>
      <c r="Z53" s="283" t="str">
        <f>IF(Data_85_15!Z$1="","",Data_85_15!Z$1)</f>
        <v>Energy</v>
      </c>
      <c r="AA53" s="283" t="str">
        <f>IF(Data_85_15!AA$1="","",Data_85_15!AA$1)</f>
        <v>Health</v>
      </c>
      <c r="AB53" s="283" t="str">
        <f>IF(Data_85_15!AB$1="","",Data_85_15!AB$1)</f>
        <v>P.Metals</v>
      </c>
      <c r="AC53" s="283" t="str">
        <f>IF(Data_85_15!AC$1="","",Data_85_15!AC$1)</f>
        <v>Windsor</v>
      </c>
      <c r="AD53" s="283" t="str">
        <f>IF(Data_85_15!AD$1="","",Data_85_15!AD$1)</f>
        <v>Windsor II</v>
      </c>
      <c r="AE53" s="283" t="str">
        <f>IF(Data_85_15!AE$1="","",Data_85_15!AE$1)</f>
        <v>V ST TE</v>
      </c>
      <c r="AF53" s="283" t="str">
        <f>IF(Data_85_15!AF$1="","",Data_85_15!AF$1)</f>
        <v>V Int TE</v>
      </c>
      <c r="AG53" s="283" t="str">
        <f>IF(Data_85_15!AG$1="","",Data_85_15!AG$1)</f>
        <v>V LT TE</v>
      </c>
      <c r="AH53" s="283" t="str">
        <f>IF(Data_85_15!AH$1="","",Data_85_15!AH$1)</f>
        <v>Hi-Yld C</v>
      </c>
      <c r="AI53" s="283" t="str">
        <f>IF(Data_85_15!AI$1="","",Data_85_15!AI$1)</f>
        <v>ST Treasury</v>
      </c>
      <c r="AJ53" s="283" t="str">
        <f>IF(Data_85_15!AJ$1="","",Data_85_15!AJ$1)</f>
        <v>MidCap Growth</v>
      </c>
      <c r="AK53" s="283" t="str">
        <f>IF(Data_85_15!AK$1="","",Data_85_15!AK$1)</f>
        <v>MidCap Val</v>
      </c>
      <c r="AL53" s="283" t="str">
        <f>IF(Data_85_15!AL$1="","",Data_85_15!AL$1)</f>
        <v>V Ext Mkt</v>
      </c>
      <c r="AM53" s="283" t="str">
        <f>IF(Data_85_15!AM$1="","",Data_85_15!AM$1)</f>
        <v>Global Bond Fund</v>
      </c>
      <c r="AN53" s="191" t="str">
        <f>IF(Data_85_15!AN$1="","",Data_85_15!AN$1)</f>
        <v>ST Investment Grade</v>
      </c>
      <c r="AO53" s="283" t="str">
        <f>IF(Data_85_15!AO$1="","",Data_85_15!AO$1)</f>
        <v>GOLD</v>
      </c>
      <c r="AP53" s="283" t="str">
        <f>IF(Data_85_15!AP$1="","",Data_85_15!AP$1)</f>
        <v>VG Intl Small</v>
      </c>
      <c r="AQ53" s="191" t="str">
        <f>IF(Data_85_15!AQ$1="","",Data_85_15!AQ$1)</f>
        <v/>
      </c>
      <c r="AR53" s="191" t="str">
        <f>IF(Data_85_15!AR$1="","",Data_85_15!AR$1)</f>
        <v/>
      </c>
      <c r="AS53" s="191" t="str">
        <f>IF(Data_85_15!AS$1="","",Data_85_15!AS$1)</f>
        <v/>
      </c>
      <c r="AT53" s="191" t="str">
        <f>IF(Data_85_15!AT$1="","",Data_85_15!AT$1)</f>
        <v/>
      </c>
      <c r="AU53" s="191" t="str">
        <f>IF(Data_85_15!AU$1="","",Data_85_15!AU$1)</f>
        <v/>
      </c>
      <c r="AV53" s="191" t="str">
        <f>IF(Data_85_15!AV$1="","",Data_85_15!AV$1)</f>
        <v/>
      </c>
      <c r="AW53" s="191" t="str">
        <f>IF(Data_85_15!AW$1="","",Data_85_15!AW$1)</f>
        <v/>
      </c>
      <c r="AX53" s="191" t="str">
        <f>IF(Data_85_15!AX$1="","",Data_85_15!AX$1)</f>
        <v/>
      </c>
      <c r="AY53" s="191" t="str">
        <f>IF(Data_85_15!AY$1="","",Data_85_15!AY$1)</f>
        <v/>
      </c>
      <c r="AZ53" s="194" t="s">
        <v>388</v>
      </c>
      <c r="BA53" s="191" t="s">
        <v>175</v>
      </c>
      <c r="BB53" s="191" t="s">
        <v>389</v>
      </c>
      <c r="BC53" s="195" t="s">
        <v>631</v>
      </c>
      <c r="BD53" s="156" t="str">
        <f>"Growth of "&amp;TEXT(BA56,"0")</f>
        <v>Growth of 10000</v>
      </c>
      <c r="BE53" s="181" t="s">
        <v>390</v>
      </c>
      <c r="BN53" s="181" t="s">
        <v>393</v>
      </c>
      <c r="BO53" s="181" t="s">
        <v>394</v>
      </c>
      <c r="BP53" s="181" t="s">
        <v>395</v>
      </c>
      <c r="BQ53" s="181" t="s">
        <v>396</v>
      </c>
      <c r="BR53" s="181" t="s">
        <v>397</v>
      </c>
      <c r="BU53" s="181" t="s">
        <v>398</v>
      </c>
      <c r="BV53" s="181" t="s">
        <v>399</v>
      </c>
      <c r="BW53" s="181" t="s">
        <v>400</v>
      </c>
      <c r="BX53" s="181" t="s">
        <v>401</v>
      </c>
      <c r="BY53" s="181" t="s">
        <v>402</v>
      </c>
    </row>
    <row r="54" spans="1:77">
      <c r="A54" s="204" t="s">
        <v>309</v>
      </c>
      <c r="B54" s="284" t="str">
        <f>IF(Data_85_15!B$2="","",Data_85_15!B$2)</f>
        <v>VTSMX</v>
      </c>
      <c r="C54" s="284" t="str">
        <f>IF(Data_85_15!C$2="","",Data_85_15!C$2)</f>
        <v>VIVAX</v>
      </c>
      <c r="D54" s="284" t="str">
        <f>IF(Data_85_15!D$2="","",Data_85_15!D$2)</f>
        <v>VFINX</v>
      </c>
      <c r="E54" s="284" t="str">
        <f>IF(Data_85_15!E$2="","",Data_85_15!E$2)</f>
        <v>VIGRX</v>
      </c>
      <c r="F54" s="284" t="str">
        <f>IF(Data_85_15!F$2="","",Data_85_15!F$2)</f>
        <v>VIMSX</v>
      </c>
      <c r="G54" s="284" t="str">
        <f>IF(Data_85_15!G$2="","",Data_85_15!G$2)</f>
        <v>VISVX</v>
      </c>
      <c r="H54" s="284" t="str">
        <f>IF(Data_85_15!H$2="","",Data_85_15!H$2)</f>
        <v>NAESX</v>
      </c>
      <c r="I54" s="284" t="str">
        <f>IF(Data_85_15!I$2="","",Data_85_15!I$2)</f>
        <v>VISGX</v>
      </c>
      <c r="J54" s="284" t="str">
        <f>IF(Data_85_15!J$2="","",Data_85_15!J$2)</f>
        <v>BRSIX</v>
      </c>
      <c r="K54" s="284" t="str">
        <f>IF(Data_85_15!K$2="","",Data_85_15!K$2)</f>
        <v>VGSIX</v>
      </c>
      <c r="L54" s="284" t="str">
        <f>IF(Data_85_15!L$2="","",Data_85_15!L$2)</f>
        <v>VTMGX</v>
      </c>
      <c r="M54" s="284" t="str">
        <f>IF(Data_85_15!M$2="","",Data_85_15!M$2)</f>
        <v>VEIEX</v>
      </c>
      <c r="N54" s="284" t="str">
        <f>IF(Data_85_15!N$2="","",Data_85_15!N$2)</f>
        <v>VGTSX</v>
      </c>
      <c r="O54" s="284" t="str">
        <f>IF(Data_85_15!O$2="","",Data_85_15!O$2)</f>
        <v>VPACX</v>
      </c>
      <c r="P54" s="284" t="str">
        <f>IF(Data_85_15!P$2="","",Data_85_15!P$2)</f>
        <v>VEURX</v>
      </c>
      <c r="Q54" s="284" t="str">
        <f>IF(Data_85_15!Q$2="","",Data_85_15!Q$2)</f>
        <v>VTRIX</v>
      </c>
      <c r="R54" s="284" t="str">
        <f>IF(Data_85_15!R$2="","",Data_85_15!R$2)</f>
        <v>PCRIX</v>
      </c>
      <c r="S54" s="284" t="str">
        <f>IF(Data_85_15!S$2="","",Data_85_15!S$2)</f>
        <v>VUSTX</v>
      </c>
      <c r="T54" s="284" t="str">
        <f>IF(Data_85_15!T$2="","",Data_85_15!T$2)</f>
        <v>VFITX</v>
      </c>
      <c r="U54" s="284" t="str">
        <f>IF(Data_85_15!U$2="","",Data_85_15!U$2)</f>
        <v>VBMFX</v>
      </c>
      <c r="V54" s="284" t="str">
        <f>IF(Data_85_15!V$2="","",Data_85_15!V$2)</f>
        <v>VUSXX</v>
      </c>
      <c r="W54" s="284" t="str">
        <f>IF(Data_85_15!W$2="","",Data_85_15!W$2)</f>
        <v>VIPSX</v>
      </c>
      <c r="X54" s="284" t="str">
        <f>IF(Data_85_15!X$2="","",Data_85_15!X$2)</f>
        <v>VWELX</v>
      </c>
      <c r="Y54" s="284" t="str">
        <f>IF(Data_85_15!Y$2="","",Data_85_15!Y$2)</f>
        <v>VWINX</v>
      </c>
      <c r="Z54" s="284" t="str">
        <f>IF(Data_85_15!Z$2="","",Data_85_15!Z$2)</f>
        <v>VGENX</v>
      </c>
      <c r="AA54" s="284" t="str">
        <f>IF(Data_85_15!AA$2="","",Data_85_15!AA$2)</f>
        <v>VGHCX</v>
      </c>
      <c r="AB54" s="284" t="str">
        <f>IF(Data_85_15!AB$2="","",Data_85_15!AB$2)</f>
        <v>VGPMX</v>
      </c>
      <c r="AC54" s="284" t="str">
        <f>IF(Data_85_15!AC$2="","",Data_85_15!AC$2)</f>
        <v>VWNDX</v>
      </c>
      <c r="AD54" s="284" t="str">
        <f>IF(Data_85_15!AD$2="","",Data_85_15!AD$2)</f>
        <v>VWNFX</v>
      </c>
      <c r="AE54" s="284" t="str">
        <f>IF(Data_85_15!AE$2="","",Data_85_15!AE$2)</f>
        <v>VWSTX</v>
      </c>
      <c r="AF54" s="284" t="str">
        <f>IF(Data_85_15!AF$2="","",Data_85_15!AF$2)</f>
        <v>VWITX</v>
      </c>
      <c r="AG54" s="284" t="str">
        <f>IF(Data_85_15!AG$2="","",Data_85_15!AG$2)</f>
        <v>VWLTX</v>
      </c>
      <c r="AH54" s="284" t="str">
        <f>IF(Data_85_15!AH$2="","",Data_85_15!AH$2)</f>
        <v>VWEHX</v>
      </c>
      <c r="AI54" s="284" t="str">
        <f>IF(Data_85_15!AI$2="","",Data_85_15!AI$2)</f>
        <v>VFISX</v>
      </c>
      <c r="AJ54" s="284" t="str">
        <f>IF(Data_85_15!AJ$2="","",Data_85_15!AJ$2)</f>
        <v>VMGIX</v>
      </c>
      <c r="AK54" s="284" t="str">
        <f>IF(Data_85_15!AK$2="","",Data_85_15!AK$2)</f>
        <v>VMVIX</v>
      </c>
      <c r="AL54" s="284" t="str">
        <f>IF(Data_85_15!AL$2="","",Data_85_15!AL$2)</f>
        <v>VEXMX</v>
      </c>
      <c r="AM54" s="284" t="str">
        <f>IF(Data_85_15!AM$2="","",Data_85_15!AM$2)</f>
        <v>PIGLX</v>
      </c>
      <c r="AN54" s="284" t="str">
        <f>IF(Data_85_15!AN$2="","",Data_85_15!AN$2)</f>
        <v>VFSTX</v>
      </c>
      <c r="AO54" s="284" t="str">
        <f>IF(Data_85_15!AO$2="","",Data_85_15!AO$2)</f>
        <v>GLD</v>
      </c>
      <c r="AP54" s="284" t="str">
        <f>IF(Data_85_15!AP$2="","",Data_85_15!AP$2)</f>
        <v>VFSVX</v>
      </c>
      <c r="AQ54" s="165" t="str">
        <f>IF(Data_85_15!AQ$2="","",Data_85_15!AQ$2)</f>
        <v/>
      </c>
      <c r="AR54" s="165" t="str">
        <f>IF(Data_85_15!AR$2="","",Data_85_15!AR$2)</f>
        <v/>
      </c>
      <c r="AS54" s="165" t="str">
        <f>IF(Data_85_15!AS$2="","",Data_85_15!AS$2)</f>
        <v/>
      </c>
      <c r="AT54" s="165" t="str">
        <f>IF(Data_85_15!AT$2="","",Data_85_15!AT$2)</f>
        <v/>
      </c>
      <c r="AU54" s="165" t="str">
        <f>IF(Data_85_15!AU$2="","",Data_85_15!AU$2)</f>
        <v/>
      </c>
      <c r="AV54" s="165" t="str">
        <f>IF(Data_85_15!AV$2="","",Data_85_15!AV$2)</f>
        <v/>
      </c>
      <c r="AW54" s="165" t="str">
        <f>IF(Data_85_15!AW$2="","",Data_85_15!AW$2)</f>
        <v/>
      </c>
      <c r="AX54" s="165" t="str">
        <f>IF(Data_85_15!AX$2="","",Data_85_15!AX$2)</f>
        <v/>
      </c>
      <c r="AY54" s="165" t="str">
        <f>IF(Data_85_15!AY$2="","",Data_85_15!AY$2)</f>
        <v/>
      </c>
      <c r="AZ54" s="197"/>
      <c r="BA54" s="197"/>
      <c r="BB54" s="32"/>
      <c r="BC54" s="207"/>
      <c r="BD54" s="36">
        <f>BA56/10000</f>
        <v>1</v>
      </c>
      <c r="BE54" s="36"/>
      <c r="BF54" s="199">
        <f>AVERAGE(BF57:BF88)</f>
        <v>9.5275323719374687E-3</v>
      </c>
    </row>
    <row r="55" spans="1:77">
      <c r="A55" s="424" t="s">
        <v>433</v>
      </c>
      <c r="B55" s="200">
        <f t="shared" ref="B55:AG55" si="24">VLOOKUP(B54,Allocation85,2,)</f>
        <v>0</v>
      </c>
      <c r="C55" s="200">
        <f t="shared" si="24"/>
        <v>0</v>
      </c>
      <c r="D55" s="200">
        <f t="shared" si="24"/>
        <v>0</v>
      </c>
      <c r="E55" s="200">
        <f t="shared" si="24"/>
        <v>0</v>
      </c>
      <c r="F55" s="200">
        <f t="shared" si="24"/>
        <v>0.25</v>
      </c>
      <c r="G55" s="200">
        <f t="shared" si="24"/>
        <v>0</v>
      </c>
      <c r="H55" s="200">
        <f t="shared" si="24"/>
        <v>0</v>
      </c>
      <c r="I55" s="200">
        <f t="shared" si="24"/>
        <v>0</v>
      </c>
      <c r="J55" s="200">
        <f t="shared" si="24"/>
        <v>0</v>
      </c>
      <c r="K55" s="200">
        <f t="shared" si="24"/>
        <v>0</v>
      </c>
      <c r="L55" s="200">
        <f t="shared" si="24"/>
        <v>0</v>
      </c>
      <c r="M55" s="200">
        <f t="shared" si="24"/>
        <v>0</v>
      </c>
      <c r="N55" s="200">
        <f t="shared" si="24"/>
        <v>0</v>
      </c>
      <c r="O55" s="200">
        <f t="shared" si="24"/>
        <v>0</v>
      </c>
      <c r="P55" s="200">
        <f t="shared" si="24"/>
        <v>0</v>
      </c>
      <c r="Q55" s="200">
        <f t="shared" si="24"/>
        <v>0</v>
      </c>
      <c r="R55" s="200">
        <f t="shared" si="24"/>
        <v>0</v>
      </c>
      <c r="S55" s="200">
        <f t="shared" si="24"/>
        <v>0.25</v>
      </c>
      <c r="T55" s="200">
        <f t="shared" si="24"/>
        <v>0</v>
      </c>
      <c r="U55" s="200">
        <f t="shared" si="24"/>
        <v>0</v>
      </c>
      <c r="V55" s="200">
        <f t="shared" si="24"/>
        <v>0</v>
      </c>
      <c r="W55" s="200">
        <f t="shared" si="24"/>
        <v>0.25</v>
      </c>
      <c r="X55" s="200">
        <f t="shared" si="24"/>
        <v>0</v>
      </c>
      <c r="Y55" s="200">
        <f t="shared" si="24"/>
        <v>0</v>
      </c>
      <c r="Z55" s="200">
        <f t="shared" si="24"/>
        <v>0</v>
      </c>
      <c r="AA55" s="200">
        <f t="shared" si="24"/>
        <v>0</v>
      </c>
      <c r="AB55" s="200">
        <f t="shared" si="24"/>
        <v>0</v>
      </c>
      <c r="AC55" s="200">
        <f t="shared" si="24"/>
        <v>0</v>
      </c>
      <c r="AD55" s="200">
        <f t="shared" si="24"/>
        <v>0</v>
      </c>
      <c r="AE55" s="200">
        <f t="shared" si="24"/>
        <v>0</v>
      </c>
      <c r="AF55" s="200">
        <f t="shared" si="24"/>
        <v>0</v>
      </c>
      <c r="AG55" s="200">
        <f t="shared" si="24"/>
        <v>0</v>
      </c>
      <c r="AH55" s="200">
        <f t="shared" ref="AH55:AY55" si="25">VLOOKUP(AH54,Allocation85,2,)</f>
        <v>0</v>
      </c>
      <c r="AI55" s="200">
        <f t="shared" si="25"/>
        <v>0</v>
      </c>
      <c r="AJ55" s="200">
        <f t="shared" si="25"/>
        <v>0</v>
      </c>
      <c r="AK55" s="200">
        <f t="shared" si="25"/>
        <v>0</v>
      </c>
      <c r="AL55" s="200">
        <f t="shared" si="25"/>
        <v>0</v>
      </c>
      <c r="AM55" s="200">
        <f t="shared" si="25"/>
        <v>0</v>
      </c>
      <c r="AN55" s="200">
        <f t="shared" si="25"/>
        <v>0</v>
      </c>
      <c r="AO55" s="200">
        <f t="shared" si="25"/>
        <v>0.25</v>
      </c>
      <c r="AP55" s="200">
        <f t="shared" si="25"/>
        <v>0</v>
      </c>
      <c r="AQ55" s="200">
        <f t="shared" si="25"/>
        <v>0</v>
      </c>
      <c r="AR55" s="200">
        <f t="shared" si="25"/>
        <v>0</v>
      </c>
      <c r="AS55" s="200">
        <f t="shared" si="25"/>
        <v>0</v>
      </c>
      <c r="AT55" s="200">
        <f t="shared" si="25"/>
        <v>0</v>
      </c>
      <c r="AU55" s="200">
        <f t="shared" si="25"/>
        <v>0</v>
      </c>
      <c r="AV55" s="200">
        <f t="shared" si="25"/>
        <v>0</v>
      </c>
      <c r="AW55" s="200">
        <f t="shared" si="25"/>
        <v>0</v>
      </c>
      <c r="AX55" s="200">
        <f t="shared" si="25"/>
        <v>0</v>
      </c>
      <c r="AY55" s="200">
        <f t="shared" si="25"/>
        <v>0</v>
      </c>
      <c r="AZ55" s="201" t="str">
        <f>IF((OR(SUM(B55:AR55)&lt;1,SUM(B55:AR55)&gt;1)),"ERROR","")</f>
        <v/>
      </c>
      <c r="BA55" s="202" t="s">
        <v>309</v>
      </c>
      <c r="BB55" s="38"/>
      <c r="BC55" s="280"/>
      <c r="BD55" s="639" t="str">
        <f>"Max. Drawdown Unbalanced = "&amp;TEXT(MAX(BF57:BF88),"0.0%")</f>
        <v>Max. Drawdown Unbalanced = 18.7%</v>
      </c>
      <c r="BE55" s="639"/>
      <c r="BF55" s="639"/>
      <c r="BG55" s="639"/>
    </row>
    <row r="56" spans="1:77">
      <c r="A56" s="204" t="s">
        <v>405</v>
      </c>
      <c r="B56" s="446" t="str">
        <f>IF(Portfolio!$K$88*B$3&gt;0,Portfolio!$K$88*B$3,"")</f>
        <v/>
      </c>
      <c r="C56" s="446" t="str">
        <f>IF(Portfolio!$K$88*C$3&gt;0,Portfolio!$K$88*C$3,"")</f>
        <v/>
      </c>
      <c r="D56" s="446" t="str">
        <f>IF(Portfolio!$K$88*D$3&gt;0,Portfolio!$K$88*D$3,"")</f>
        <v/>
      </c>
      <c r="E56" s="446" t="str">
        <f>IF(Portfolio!$K$88*E$3&gt;0,Portfolio!$K$88*E$3,"")</f>
        <v/>
      </c>
      <c r="F56" s="446">
        <f>IF(Portfolio!$K$88*F$3&gt;0,Portfolio!$K$88*F$3,"")</f>
        <v>2500</v>
      </c>
      <c r="G56" s="446" t="str">
        <f>IF(Portfolio!$K$88*G$3&gt;0,Portfolio!$K$88*G$3,"")</f>
        <v/>
      </c>
      <c r="H56" s="446" t="str">
        <f>IF(Portfolio!$K$88*H$3&gt;0,Portfolio!$K$88*H$3,"")</f>
        <v/>
      </c>
      <c r="I56" s="446" t="str">
        <f>IF(Portfolio!$K$88*I$3&gt;0,Portfolio!$K$88*I$3,"")</f>
        <v/>
      </c>
      <c r="J56" s="446" t="str">
        <f>IF(Portfolio!$K$88*J$3&gt;0,Portfolio!$K$88*J$3,"")</f>
        <v/>
      </c>
      <c r="K56" s="446" t="str">
        <f>IF(Portfolio!$K$88*K$3&gt;0,Portfolio!$K$88*K$3,"")</f>
        <v/>
      </c>
      <c r="L56" s="446" t="str">
        <f>IF(Portfolio!$K$88*L$3&gt;0,Portfolio!$K$88*L$3,"")</f>
        <v/>
      </c>
      <c r="M56" s="446" t="str">
        <f>IF(Portfolio!$K$88*M$3&gt;0,Portfolio!$K$88*M$3,"")</f>
        <v/>
      </c>
      <c r="N56" s="446" t="str">
        <f>IF(Portfolio!$K$88*N$3&gt;0,Portfolio!$K$88*N$3,"")</f>
        <v/>
      </c>
      <c r="O56" s="446" t="str">
        <f>IF(Portfolio!$K$88*O$3&gt;0,Portfolio!$K$88*O$3,"")</f>
        <v/>
      </c>
      <c r="P56" s="446" t="str">
        <f>IF(Portfolio!$K$88*P$3&gt;0,Portfolio!$K$88*P$3,"")</f>
        <v/>
      </c>
      <c r="Q56" s="446" t="str">
        <f>IF(Portfolio!$K$88*Q$3&gt;0,Portfolio!$K$88*Q$3,"")</f>
        <v/>
      </c>
      <c r="R56" s="446" t="str">
        <f>IF(Portfolio!$K$88*R$3&gt;0,Portfolio!$K$88*R$3,"")</f>
        <v/>
      </c>
      <c r="S56" s="446">
        <f>IF(Portfolio!$K$88*S$3&gt;0,Portfolio!$K$88*S$3,"")</f>
        <v>2500</v>
      </c>
      <c r="T56" s="446" t="str">
        <f>IF(Portfolio!$K$88*T$3&gt;0,Portfolio!$K$88*T$3,"")</f>
        <v/>
      </c>
      <c r="U56" s="446" t="str">
        <f>IF(Portfolio!$K$88*U$3&gt;0,Portfolio!$K$88*U$3,"")</f>
        <v/>
      </c>
      <c r="V56" s="446" t="str">
        <f>IF(Portfolio!$K$88*V$3&gt;0,Portfolio!$K$88*V$3,"")</f>
        <v/>
      </c>
      <c r="W56" s="446">
        <f>IF(Portfolio!$K$88*W$3&gt;0,Portfolio!$K$88*W$3,"")</f>
        <v>2500</v>
      </c>
      <c r="X56" s="446" t="str">
        <f>IF(Portfolio!$K$88*X$3&gt;0,Portfolio!$K$88*X$3,"")</f>
        <v/>
      </c>
      <c r="Y56" s="446" t="str">
        <f>IF(Portfolio!$K$88*Y$3&gt;0,Portfolio!$K$88*Y$3,"")</f>
        <v/>
      </c>
      <c r="Z56" s="446" t="str">
        <f>IF(Portfolio!$K$88*Z$3&gt;0,Portfolio!$K$88*Z$3,"")</f>
        <v/>
      </c>
      <c r="AA56" s="446" t="str">
        <f>IF(Portfolio!$K$88*AA$3&gt;0,Portfolio!$K$88*AA$3,"")</f>
        <v/>
      </c>
      <c r="AB56" s="446" t="str">
        <f>IF(Portfolio!$K$88*AB$3&gt;0,Portfolio!$K$88*AB$3,"")</f>
        <v/>
      </c>
      <c r="AC56" s="446" t="str">
        <f>IF(Portfolio!$K$88*AC$3&gt;0,Portfolio!$K$88*AC$3,"")</f>
        <v/>
      </c>
      <c r="AD56" s="446" t="str">
        <f>IF(Portfolio!$K$88*AD$3&gt;0,Portfolio!$K$88*AD$3,"")</f>
        <v/>
      </c>
      <c r="AE56" s="446" t="str">
        <f>IF(Portfolio!$K$88*AE$3&gt;0,Portfolio!$K$88*AE$3,"")</f>
        <v/>
      </c>
      <c r="AF56" s="446" t="str">
        <f>IF(Portfolio!$K$88*AF$3&gt;0,Portfolio!$K$88*AF$3,"")</f>
        <v/>
      </c>
      <c r="AG56" s="446" t="str">
        <f>IF(Portfolio!$K$88*AG$3&gt;0,Portfolio!$K$88*AG$3,"")</f>
        <v/>
      </c>
      <c r="AH56" s="446" t="str">
        <f>IF(Portfolio!$K$88*AH$3&gt;0,Portfolio!$K$88*AH$3,"")</f>
        <v/>
      </c>
      <c r="AI56" s="446" t="str">
        <f>IF(Portfolio!$K$88*AI$3&gt;0,Portfolio!$K$88*AI$3,"")</f>
        <v/>
      </c>
      <c r="AJ56" s="446" t="str">
        <f>IF(Portfolio!$K$88*AJ$3&gt;0,Portfolio!$K$88*AJ$3,"")</f>
        <v/>
      </c>
      <c r="AK56" s="446" t="str">
        <f>IF(Portfolio!$K$88*AK$3&gt;0,Portfolio!$K$88*AK$3,"")</f>
        <v/>
      </c>
      <c r="AL56" s="446" t="str">
        <f>IF(Portfolio!$K$88*AL$3&gt;0,Portfolio!$K$88*AL$3,"")</f>
        <v/>
      </c>
      <c r="AM56" s="446" t="str">
        <f>IF(Portfolio!$K$88*AM$3&gt;0,Portfolio!$K$88*AM$3,"")</f>
        <v/>
      </c>
      <c r="AN56" s="446" t="str">
        <f>IF(Portfolio!$K$88*AN$3&gt;0,Portfolio!$K$88*AN$3,"")</f>
        <v/>
      </c>
      <c r="AO56" s="446">
        <f>IF(Portfolio!$K$88*AO$3&gt;0,Portfolio!$K$88*AO$3,"")</f>
        <v>2500</v>
      </c>
      <c r="AP56" s="205" t="str">
        <f>IF(Portfolio!$K$88*AP$3&gt;0,Portfolio!$K$88*AP$3,"")</f>
        <v/>
      </c>
      <c r="AQ56" s="205" t="str">
        <f>IF(Portfolio!$K$88*AQ$3&gt;0,Portfolio!$K$88*AQ$3,"")</f>
        <v/>
      </c>
      <c r="AR56" s="205" t="str">
        <f>IF(Portfolio!$K$88*AR$3&gt;0,Portfolio!$K$88*AR$3,"")</f>
        <v/>
      </c>
      <c r="AS56" s="205" t="str">
        <f>IF(Portfolio!$K$88*AS$3&gt;0,Portfolio!$K$88*AS$3,"")</f>
        <v/>
      </c>
      <c r="AT56" s="205" t="str">
        <f>IF(Portfolio!$K$88*AT$3&gt;0,Portfolio!$K$88*AT$3,"")</f>
        <v/>
      </c>
      <c r="AU56" s="205" t="str">
        <f>IF(Portfolio!$K$88*AU$3&gt;0,Portfolio!$K$88*AU$3,"")</f>
        <v/>
      </c>
      <c r="AV56" s="205" t="str">
        <f>IF(Portfolio!$K$88*AV$3&gt;0,Portfolio!$K$88*AV$3,"")</f>
        <v/>
      </c>
      <c r="AW56" s="205" t="str">
        <f>IF(Portfolio!$K$88*AW$3&gt;0,Portfolio!$K$88*AW$3,"")</f>
        <v/>
      </c>
      <c r="AX56" s="205" t="str">
        <f>IF(Portfolio!$K$88*AX$3&gt;0,Portfolio!$K$88*AX$3,"")</f>
        <v/>
      </c>
      <c r="AY56" s="205" t="str">
        <f>IF(Portfolio!$K$88*AY$3&gt;0,Portfolio!$K$88*AY$3,"")</f>
        <v/>
      </c>
      <c r="AZ56" s="206"/>
      <c r="BA56" s="487">
        <f>Portfolio!$K$88</f>
        <v>10000</v>
      </c>
      <c r="BB56" s="32"/>
      <c r="BC56" s="490">
        <f>Portfolio!$K$88</f>
        <v>10000</v>
      </c>
      <c r="BD56" s="639" t="str">
        <f>"Avg. Drawdown Unbalanced = "&amp;TEXT(BF54,"0.0%")</f>
        <v>Avg. Drawdown Unbalanced = 1.0%</v>
      </c>
      <c r="BE56" s="639"/>
      <c r="BF56" s="639"/>
      <c r="BG56" s="639"/>
    </row>
    <row r="57" spans="1:77">
      <c r="A57" s="204">
        <v>1985</v>
      </c>
      <c r="B57" s="446" t="str">
        <f>IF(AND($A57&gt;=SYear85,$A57&lt;=EYear85,B$3&gt;0),IF($A57=SYear85,B$56*(1+Data_85_15!B8%),B56*(1+Data_85_15!B8%)),"")</f>
        <v/>
      </c>
      <c r="C57" s="446" t="str">
        <f>IF(AND($A57&gt;=SYear85,$A57&lt;=EYear85,C$3&gt;0),IF($A57=SYear85,C$56*(1+Data_85_15!C8%),C56*(1+Data_85_15!C8%)),"")</f>
        <v/>
      </c>
      <c r="D57" s="446" t="str">
        <f>IF(AND($A57&gt;=SYear85,$A57&lt;=EYear85,D$3&gt;0),IF($A57=SYear85,D$56*(1+Data_85_15!D8%),D56*(1+Data_85_15!D8%)),"")</f>
        <v/>
      </c>
      <c r="E57" s="446" t="str">
        <f>IF(AND($A57&gt;=SYear85,$A57&lt;=EYear85,E$3&gt;0),IF($A57=SYear85,E$56*(1+Data_85_15!E8%),E56*(1+Data_85_15!E8%)),"")</f>
        <v/>
      </c>
      <c r="F57" s="446">
        <f>IF(AND($A57&gt;=SYear85,$A57&lt;=EYear85,F$3&gt;0),IF($A57=SYear85,F$56*(1+Data_85_15!F8%),F56*(1+Data_85_15!F8%)),"")</f>
        <v>3292.4274169410355</v>
      </c>
      <c r="G57" s="446" t="str">
        <f>IF(AND($A57&gt;=SYear85,$A57&lt;=EYear85,G$3&gt;0),IF($A57=SYear85,G$56*(1+Data_85_15!G8%),G56*(1+Data_85_15!G8%)),"")</f>
        <v/>
      </c>
      <c r="H57" s="446" t="str">
        <f>IF(AND($A57&gt;=SYear85,$A57&lt;=EYear85,H$3&gt;0),IF($A57=SYear85,H$56*(1+Data_85_15!H8%),H56*(1+Data_85_15!H8%)),"")</f>
        <v/>
      </c>
      <c r="I57" s="446" t="str">
        <f>IF(AND($A57&gt;=SYear85,$A57&lt;=EYear85,I$3&gt;0),IF($A57=SYear85,I$56*(1+Data_85_15!I8%),I56*(1+Data_85_15!I8%)),"")</f>
        <v/>
      </c>
      <c r="J57" s="446" t="str">
        <f>IF(AND($A57&gt;=SYear85,$A57&lt;=EYear85,J$3&gt;0),IF($A57=SYear85,J$56*(1+Data_85_15!J8%),J56*(1+Data_85_15!J8%)),"")</f>
        <v/>
      </c>
      <c r="K57" s="446" t="str">
        <f>IF(AND($A57&gt;=SYear85,$A57&lt;=EYear85,K$3&gt;0),IF($A57=SYear85,K$56*(1+Data_85_15!K8%),K56*(1+Data_85_15!K8%)),"")</f>
        <v/>
      </c>
      <c r="L57" s="446" t="str">
        <f>IF(AND($A57&gt;=SYear85,$A57&lt;=EYear85,L$3&gt;0),IF($A57=SYear85,L$56*(1+Data_85_15!L8%),L56*(1+Data_85_15!L8%)),"")</f>
        <v/>
      </c>
      <c r="M57" s="446" t="str">
        <f>IF(AND($A57&gt;=SYear85,$A57&lt;=EYear85,M$3&gt;0),IF($A57=SYear85,M$56*(1+Data_85_15!M8%),M56*(1+Data_85_15!M8%)),"")</f>
        <v/>
      </c>
      <c r="N57" s="446" t="str">
        <f>IF(AND($A57&gt;=SYear85,$A57&lt;=EYear85,N$3&gt;0),IF($A57=SYear85,N$56*(1+Data_85_15!N8%),N56*(1+Data_85_15!N8%)),"")</f>
        <v/>
      </c>
      <c r="O57" s="446" t="str">
        <f>IF(AND($A57&gt;=SYear85,$A57&lt;=EYear85,O$3&gt;0),IF($A57=SYear85,O$56*(1+Data_85_15!O8%),O56*(1+Data_85_15!O8%)),"")</f>
        <v/>
      </c>
      <c r="P57" s="446" t="str">
        <f>IF(AND($A57&gt;=SYear85,$A57&lt;=EYear85,P$3&gt;0),IF($A57=SYear85,P$56*(1+Data_85_15!P8%),P56*(1+Data_85_15!P8%)),"")</f>
        <v/>
      </c>
      <c r="Q57" s="446" t="str">
        <f>IF(AND($A57&gt;=SYear85,$A57&lt;=EYear85,Q$3&gt;0),IF($A57=SYear85,Q$56*(1+Data_85_15!Q8%),Q56*(1+Data_85_15!Q8%)),"")</f>
        <v/>
      </c>
      <c r="R57" s="446" t="str">
        <f>IF(AND($A57&gt;=SYear85,$A57&lt;=EYear85,R$3&gt;0),IF($A57=SYear85,R$56*(1+Data_85_15!R8%),R56*(1+Data_85_15!R8%)),"")</f>
        <v/>
      </c>
      <c r="S57" s="446">
        <f>IF(AND($A57&gt;=SYear85,$A57&lt;=EYear85,S$3&gt;0),IF($A57=SYear85,S$56*(1+Data_85_15!S8%),S56*(1+Data_85_15!S8%)),"")</f>
        <v>3268.4630738522956</v>
      </c>
      <c r="T57" s="446" t="str">
        <f>IF(AND($A57&gt;=SYear85,$A57&lt;=EYear85,T$3&gt;0),IF($A57=SYear85,T$56*(1+Data_85_15!T8%),T56*(1+Data_85_15!T8%)),"")</f>
        <v/>
      </c>
      <c r="U57" s="446" t="str">
        <f>IF(AND($A57&gt;=SYear85,$A57&lt;=EYear85,U$3&gt;0),IF($A57=SYear85,U$56*(1+Data_85_15!U8%),U56*(1+Data_85_15!U8%)),"")</f>
        <v/>
      </c>
      <c r="V57" s="446" t="str">
        <f>IF(AND($A57&gt;=SYear85,$A57&lt;=EYear85,V$3&gt;0),IF($A57=SYear85,V$56*(1+Data_85_15!V8%),V56*(1+Data_85_15!V8%)),"")</f>
        <v/>
      </c>
      <c r="W57" s="446">
        <f>IF(AND($A57&gt;=SYear85,$A57&lt;=EYear85,W$3&gt;0),IF($A57=SYear85,W$56*(1+Data_85_15!W8%),W56*(1+Data_85_15!W8%)),"")</f>
        <v>2717.065868263473</v>
      </c>
      <c r="X57" s="446" t="str">
        <f>IF(AND($A57&gt;=SYear85,$A57&lt;=EYear85,X$3&gt;0),IF($A57=SYear85,X$56*(1+Data_85_15!X8%),X56*(1+Data_85_15!X8%)),"")</f>
        <v/>
      </c>
      <c r="Y57" s="446" t="str">
        <f>IF(AND($A57&gt;=SYear85,$A57&lt;=EYear85,Y$3&gt;0),IF($A57=SYear85,Y$56*(1+Data_85_15!Y8%),Y56*(1+Data_85_15!Y8%)),"")</f>
        <v/>
      </c>
      <c r="Z57" s="446" t="str">
        <f>IF(AND($A57&gt;=SYear85,$A57&lt;=EYear85,Z$3&gt;0),IF($A57=SYear85,Z$56*(1+Data_85_15!Z8%),Z56*(1+Data_85_15!Z8%)),"")</f>
        <v/>
      </c>
      <c r="AA57" s="446" t="str">
        <f>IF(AND($A57&gt;=SYear85,$A57&lt;=EYear85,AA$3&gt;0),IF($A57=SYear85,AA$56*(1+Data_85_15!AA8%),AA56*(1+Data_85_15!AA8%)),"")</f>
        <v/>
      </c>
      <c r="AB57" s="446" t="str">
        <f>IF(AND($A57&gt;=SYear85,$A57&lt;=EYear85,AB$3&gt;0),IF($A57=SYear85,AB$56*(1+Data_85_15!AB8%),AB56*(1+Data_85_15!AB8%)),"")</f>
        <v/>
      </c>
      <c r="AC57" s="446" t="str">
        <f>IF(AND($A57&gt;=SYear85,$A57&lt;=EYear85,AC$3&gt;0),IF($A57=SYear85,AC$56*(1+Data_85_15!AC8%),AC56*(1+Data_85_15!AC8%)),"")</f>
        <v/>
      </c>
      <c r="AD57" s="446" t="str">
        <f>IF(AND($A57&gt;=SYear85,$A57&lt;=EYear85,AD$3&gt;0),IF($A57=SYear85,AD$56*(1+Data_85_15!AD8%),AD56*(1+Data_85_15!AD8%)),"")</f>
        <v/>
      </c>
      <c r="AE57" s="446" t="str">
        <f>IF(AND($A57&gt;=SYear85,$A57&lt;=EYear85,AE$3&gt;0),IF($A57=SYear85,AE$56*(1+Data_85_15!AE8%),AE56*(1+Data_85_15!AE8%)),"")</f>
        <v/>
      </c>
      <c r="AF57" s="446" t="str">
        <f>IF(AND($A57&gt;=SYear85,$A57&lt;=EYear85,AF$3&gt;0),IF($A57=SYear85,AF$56*(1+Data_85_15!AF8%),AF56*(1+Data_85_15!AF8%)),"")</f>
        <v/>
      </c>
      <c r="AG57" s="446" t="str">
        <f>IF(AND($A57&gt;=SYear85,$A57&lt;=EYear85,AG$3&gt;0),IF($A57=SYear85,AG$56*(1+Data_85_15!AG8%),AG56*(1+Data_85_15!AG8%)),"")</f>
        <v/>
      </c>
      <c r="AH57" s="446" t="str">
        <f>IF(AND($A57&gt;=SYear85,$A57&lt;=EYear85,AH$3&gt;0),IF($A57=SYear85,AH$56*(1+Data_85_15!AH8%),AH56*(1+Data_85_15!AH8%)),"")</f>
        <v/>
      </c>
      <c r="AI57" s="446" t="str">
        <f>IF(AND($A57&gt;=SYear85,$A57&lt;=EYear85,AI$3&gt;0),IF($A57=SYear85,AI$56*(1+Data_85_15!AI8%),AI56*(1+Data_85_15!AI8%)),"")</f>
        <v/>
      </c>
      <c r="AJ57" s="446" t="str">
        <f>IF(AND($A57&gt;=SYear85,$A57&lt;=EYear85,AJ$3&gt;0),IF($A57=SYear85,AJ$56*(1+Data_85_15!AJ8%),AJ56*(1+Data_85_15!AJ8%)),"")</f>
        <v/>
      </c>
      <c r="AK57" s="446" t="str">
        <f>IF(AND($A57&gt;=SYear85,$A57&lt;=EYear85,AK$3&gt;0),IF($A57=SYear85,AK$56*(1+Data_85_15!AK8%),AK56*(1+Data_85_15!AK8%)),"")</f>
        <v/>
      </c>
      <c r="AL57" s="446" t="str">
        <f>IF(AND($A57&gt;=SYear85,$A57&lt;=EYear85,AL$3&gt;0),IF($A57=SYear85,AL$56*(1+Data_85_15!AL8%),AL56*(1+Data_85_15!AL8%)),"")</f>
        <v/>
      </c>
      <c r="AM57" s="446" t="str">
        <f>IF(AND($A57&gt;=SYear85,$A57&lt;=EYear85,AM$3&gt;0),IF($A57=SYear85,AM$56*(1+Data_85_15!AM8%),AM56*(1+Data_85_15!AM8%)),"")</f>
        <v/>
      </c>
      <c r="AN57" s="446" t="str">
        <f>IF(AND($A57&gt;=SYear85,$A57&lt;=EYear85,AN$3&gt;0),IF($A57=SYear85,AN$56*(1+Data_85_15!AN8%),AN56*(1+Data_85_15!AN8%)),"")</f>
        <v/>
      </c>
      <c r="AO57" s="446">
        <f>IF(AND($A57&gt;=SYear85,$A57&lt;=EYear85,AO$3&gt;0),IF($A57=SYear85,AO$56*(1+Data_85_15!AO8%),AO56*(1+Data_85_15!AO8%)),"")</f>
        <v>2631.4644335280241</v>
      </c>
      <c r="AP57" s="206" t="str">
        <f>IF(AND($A57&gt;=SYear85,$A57&lt;=EYear85,AP$3&gt;0),IF($A57=SYear85,AP$56*(1+Data_85_15!AP8%),AP56*(1+Data_85_15!AP8%)),"")</f>
        <v/>
      </c>
      <c r="AQ57" s="206" t="str">
        <f>IF(AND($A57&gt;=SYear85,$A57&lt;=EYear85,AQ$3&gt;0),IF($A57=SYear85,AQ$56*(1+Data_85_15!AQ8%),AQ56*(1+Data_85_15!AQ8%)),"")</f>
        <v/>
      </c>
      <c r="AR57" s="206" t="str">
        <f>IF(AND($A57&gt;=SYear85,$A57&lt;=EYear85,AR$3&gt;0),IF($A57=SYear85,AR$56*(1+Data_85_15!AR8%),AR56*(1+Data_85_15!AR8%)),"")</f>
        <v/>
      </c>
      <c r="AS57" s="206" t="str">
        <f>IF(AND($A57&gt;=SYear85,$A57&lt;=EYear85,AS$3&gt;0),IF($A57=SYear85,AS$56*(1+Data_85_15!AS8%),AS56*(1+Data_85_15!AS8%)),"")</f>
        <v/>
      </c>
      <c r="AT57" s="206" t="str">
        <f>IF(AND($A57&gt;=SYear85,$A57&lt;=EYear85,AT$3&gt;0),IF($A57=SYear85,AT$56*(1+Data_85_15!AT8%),AT56*(1+Data_85_15!AT8%)),"")</f>
        <v/>
      </c>
      <c r="AU57" s="206" t="str">
        <f>IF(AND($A57&gt;=SYear85,$A57&lt;=EYear85,AU$3&gt;0),IF($A57=SYear85,AU$56*(1+Data_85_15!AU8%),AU56*(1+Data_85_15!AU8%)),"")</f>
        <v/>
      </c>
      <c r="AV57" s="206" t="str">
        <f>IF(AND($A57&gt;=SYear85,$A57&lt;=EYear85,AV$3&gt;0),IF($A57=SYear85,AV$56*(1+Data_85_15!AV8%),AV56*(1+Data_85_15!AV8%)),"")</f>
        <v/>
      </c>
      <c r="AW57" s="206" t="str">
        <f>IF(AND($A57&gt;=SYear85,$A57&lt;=EYear85,AW$3&gt;0),IF($A57=SYear85,AW$56*(1+Data_85_15!AW8%),AW56*(1+Data_85_15!AW8%)),"")</f>
        <v/>
      </c>
      <c r="AX57" s="206" t="str">
        <f>IF(AND($A57&gt;=SYear85,$A57&lt;=EYear85,AX$3&gt;0),IF($A57=SYear85,AX$56*(1+Data_85_15!AX8%),AX56*(1+Data_85_15!AX8%)),"")</f>
        <v/>
      </c>
      <c r="AY57" s="206" t="str">
        <f>IF(AND($A57&gt;=SYear85,$A57&lt;=EYear85,AY$3&gt;0),IF($A57=SYear85,AY$56*(1+Data_85_15!AY8%),AY56*(1+Data_85_15!AY8%)),"")</f>
        <v/>
      </c>
      <c r="AZ57" s="206">
        <f t="shared" ref="AZ57:AZ76" si="26">IF(AND($A57&gt;=SYear85,$A57&lt;=EYear85),IF($A57=SYear85,100*(BA57-$BA$56)/$BA$56,100*(BA57-BA56)/BA56),"")</f>
        <v>19.094207925848277</v>
      </c>
      <c r="BA57" s="446">
        <f t="shared" ref="BA57:BA76" si="27">IF(AND($A57&gt;=SYear85,$A57&lt;=EYear85),SUM(B57:AR57),"")</f>
        <v>11909.420792584828</v>
      </c>
      <c r="BB57" s="206">
        <f>IF(AND($A57&gt;=SYear85,$A57&lt;=EYear85),(AZ57-Data_85_15!AZ8)/(1+Data_85_15!AZ8%),"")</f>
        <v>14.735773966988326</v>
      </c>
      <c r="BC57" s="606">
        <f t="shared" ref="BC57:BC76" si="28">IF(AND($A57&gt;=SYear85,$A57&lt;=EYear85),IF($A57=SYear85,$BC$4*(1+BB57%),$BC56*(1+BB57%)),"")</f>
        <v>11473.577396698833</v>
      </c>
      <c r="BD57" s="143">
        <f t="shared" ref="BD57:BD76" si="29">IF(AND($A57&gt;=SYear85,$A57&lt;=EYear85),IF($A57=SYear85,$BD$54,$BD56*(1+AZ57%)),"")</f>
        <v>1</v>
      </c>
      <c r="BE57" s="143">
        <f>IF(AND($A57&gt;=SYear85,$A57&lt;=EYear85),MAX($BD$57:BD57),"")</f>
        <v>1</v>
      </c>
      <c r="BF57" s="209">
        <f t="shared" ref="BF57:BF76" si="30">IF(AND($A57&gt;=SYear85,$A57&lt;=EYear85),1-(BD57/BE57),"")</f>
        <v>0</v>
      </c>
      <c r="BN57" s="61">
        <f t="shared" ref="BN57:BN87" si="31">IF(AND($A57&gt;=SYear85,$A57&lt;=EYear85),IF($A57=SYear85,($BA57/$BA$56)-1,($BA57/$BA56)-1),"")</f>
        <v>0.19094207925848283</v>
      </c>
      <c r="BO57" s="61">
        <f t="shared" ref="BO57:BO85" si="32">IF(AND($A57&gt;=SYear85,$A57&lt;=EYear85),IF($A57=SYear85,(($BA59/$BA$56)^(1/(1+($A59-$A57)))-1),(($BA59/$BA56)^(1/(1+($A59-$A57)))-1)),"")</f>
        <v>0.15155817626957768</v>
      </c>
      <c r="BP57" s="61">
        <f t="shared" ref="BP57:BP83" si="33">IF(AND($A57&gt;=SYear85,$A57&lt;=EYear85),IF($A57=SYear85,(($BA61/$BA$56)^(1/(1+($A61-$A57)))-1),(($BA61/$BA56)^(1/(1+($A61-$A57)))-1)),"")</f>
        <v>0.13185213526755679</v>
      </c>
      <c r="BQ57" s="61">
        <f t="shared" ref="BQ57:BQ78" si="34">IF(AND($A57&gt;=SYear85,$A57&lt;=EYear85),IF($A57=SYear85,(($BA66/$BA$56)^(1/(1+($A66-$A57)))-1),(($BA66/$BA56)^(1/(1+($A66-$A57)))-1)),"")</f>
        <v>0.10355323173881348</v>
      </c>
      <c r="BR57" s="61">
        <f t="shared" ref="BR57:BR69" si="35">IF(AND($A57&gt;=SYear85,$A57&lt;=EYear85),IF($A57=SYear85,(($BA71/$BA$56)^(1/(1+($A71-$A57)))-1),(($BA71/$BA56)^(1/(1+($A71-$A57)))-1)),"")</f>
        <v>0.10785512708134259</v>
      </c>
      <c r="BU57" s="61">
        <f t="shared" ref="BU57:BU88" si="36">IF(AND($A57&gt;=SYear85,$A57&lt;=EYear85),IF($A57=SYear85,($BC57/$BC$56)-1,($BC57/$BC56)-1),"")</f>
        <v>0.1473577396698833</v>
      </c>
      <c r="BV57" s="61">
        <f t="shared" ref="BV57:BV85" si="37">IF(AND($A57&gt;=SYear85,$A57&lt;=EYear85),IF($A57=SYear85,(($BC59/$BC$56)^(1/(1+($A59-$A57)))-1),(($BC59/$BC56)^(1/(1+($A59-$A57)))-1)),"")</f>
        <v>0.11693200964562811</v>
      </c>
      <c r="BW57" s="61">
        <f t="shared" ref="BW57:BW83" si="38">IF(AND($A57&gt;=SYear85,$A57&lt;=EYear85),IF($A57=SYear85,(($BC61/$BC$56)^(1/(1+($A61-$A57)))-1),(($BC61/$BC56)^(1/(1+($A61-$A57)))-1)),"")</f>
        <v>9.1773004009024772E-2</v>
      </c>
      <c r="BX57" s="61">
        <f t="shared" ref="BX57:BX78" si="39">IF(AND($A57&gt;=SYear85,$A57&lt;=EYear85),IF($A57=SYear85,(($BC66/$BC$56)^(1/(1+($A66-$A57)))-1),(($BC66/$BC56)^(1/(1+($A66-$A57)))-1)),"")</f>
        <v>6.5403070299671295E-2</v>
      </c>
      <c r="BY57" s="61">
        <f t="shared" ref="BY57:BY69" si="40">IF(AND($A57&gt;=SYear85,$A57&lt;=EYear85),IF($A57=SYear85,(($BC71/$BC$56)^(1/(1+($A71-$A57)))-1),(($BC71/$BC56)^(1/(1+($A71-$A57)))-1)),"")</f>
        <v>7.3756787830058235E-2</v>
      </c>
    </row>
    <row r="58" spans="1:77">
      <c r="A58" s="204">
        <f>A57+1</f>
        <v>1986</v>
      </c>
      <c r="B58" s="446" t="str">
        <f>IF(AND($A58&gt;=SYear85,$A58&lt;=EYear85,B$3&gt;0),IF($A58=SYear85,B$56*(1+Data_85_15!B9%),B57*(1+Data_85_15!B9%)),"")</f>
        <v/>
      </c>
      <c r="C58" s="446" t="str">
        <f>IF(AND($A58&gt;=SYear85,$A58&lt;=EYear85,C$3&gt;0),IF($A58=SYear85,C$56*(1+Data_85_15!C9%),C57*(1+Data_85_15!C9%)),"")</f>
        <v/>
      </c>
      <c r="D58" s="446" t="str">
        <f>IF(AND($A58&gt;=SYear85,$A58&lt;=EYear85,D$3&gt;0),IF($A58=SYear85,D$56*(1+Data_85_15!D9%),D57*(1+Data_85_15!D9%)),"")</f>
        <v/>
      </c>
      <c r="E58" s="446" t="str">
        <f>IF(AND($A58&gt;=SYear85,$A58&lt;=EYear85,E$3&gt;0),IF($A58=SYear85,E$56*(1+Data_85_15!E9%),E57*(1+Data_85_15!E9%)),"")</f>
        <v/>
      </c>
      <c r="F58" s="446">
        <f>IF(AND($A58&gt;=SYear85,$A58&lt;=EYear85,F$3&gt;0),IF($A58=SYear85,F$56*(1+Data_85_15!F9%),F57*(1+Data_85_15!F9%)),"")</f>
        <v>3882.7189532318707</v>
      </c>
      <c r="G58" s="446" t="str">
        <f>IF(AND($A58&gt;=SYear85,$A58&lt;=EYear85,G$3&gt;0),IF($A58=SYear85,G$56*(1+Data_85_15!G9%),G57*(1+Data_85_15!G9%)),"")</f>
        <v/>
      </c>
      <c r="H58" s="446" t="str">
        <f>IF(AND($A58&gt;=SYear85,$A58&lt;=EYear85,H$3&gt;0),IF($A58=SYear85,H$56*(1+Data_85_15!H9%),H57*(1+Data_85_15!H9%)),"")</f>
        <v/>
      </c>
      <c r="I58" s="446" t="str">
        <f>IF(AND($A58&gt;=SYear85,$A58&lt;=EYear85,I$3&gt;0),IF($A58=SYear85,I$56*(1+Data_85_15!I9%),I57*(1+Data_85_15!I9%)),"")</f>
        <v/>
      </c>
      <c r="J58" s="446" t="str">
        <f>IF(AND($A58&gt;=SYear85,$A58&lt;=EYear85,J$3&gt;0),IF($A58=SYear85,J$56*(1+Data_85_15!J9%),J57*(1+Data_85_15!J9%)),"")</f>
        <v/>
      </c>
      <c r="K58" s="446" t="str">
        <f>IF(AND($A58&gt;=SYear85,$A58&lt;=EYear85,K$3&gt;0),IF($A58=SYear85,K$56*(1+Data_85_15!K9%),K57*(1+Data_85_15!K9%)),"")</f>
        <v/>
      </c>
      <c r="L58" s="446" t="str">
        <f>IF(AND($A58&gt;=SYear85,$A58&lt;=EYear85,L$3&gt;0),IF($A58=SYear85,L$56*(1+Data_85_15!L9%),L57*(1+Data_85_15!L9%)),"")</f>
        <v/>
      </c>
      <c r="M58" s="446" t="str">
        <f>IF(AND($A58&gt;=SYear85,$A58&lt;=EYear85,M$3&gt;0),IF($A58=SYear85,M$56*(1+Data_85_15!M9%),M57*(1+Data_85_15!M9%)),"")</f>
        <v/>
      </c>
      <c r="N58" s="446" t="str">
        <f>IF(AND($A58&gt;=SYear85,$A58&lt;=EYear85,N$3&gt;0),IF($A58=SYear85,N$56*(1+Data_85_15!N9%),N57*(1+Data_85_15!N9%)),"")</f>
        <v/>
      </c>
      <c r="O58" s="446" t="str">
        <f>IF(AND($A58&gt;=SYear85,$A58&lt;=EYear85,O$3&gt;0),IF($A58=SYear85,O$56*(1+Data_85_15!O9%),O57*(1+Data_85_15!O9%)),"")</f>
        <v/>
      </c>
      <c r="P58" s="446" t="str">
        <f>IF(AND($A58&gt;=SYear85,$A58&lt;=EYear85,P$3&gt;0),IF($A58=SYear85,P$56*(1+Data_85_15!P9%),P57*(1+Data_85_15!P9%)),"")</f>
        <v/>
      </c>
      <c r="Q58" s="446" t="str">
        <f>IF(AND($A58&gt;=SYear85,$A58&lt;=EYear85,Q$3&gt;0),IF($A58=SYear85,Q$56*(1+Data_85_15!Q9%),Q57*(1+Data_85_15!Q9%)),"")</f>
        <v/>
      </c>
      <c r="R58" s="446" t="str">
        <f>IF(AND($A58&gt;=SYear85,$A58&lt;=EYear85,R$3&gt;0),IF($A58=SYear85,R$56*(1+Data_85_15!R9%),R57*(1+Data_85_15!R9%)),"")</f>
        <v/>
      </c>
      <c r="S58" s="446">
        <f>IF(AND($A58&gt;=SYear85,$A58&lt;=EYear85,S$3&gt;0),IF($A58=SYear85,S$56*(1+Data_85_15!S9%),S57*(1+Data_85_15!S9%)),"")</f>
        <v>4061.1142983494096</v>
      </c>
      <c r="T58" s="446" t="str">
        <f>IF(AND($A58&gt;=SYear85,$A58&lt;=EYear85,T$3&gt;0),IF($A58=SYear85,T$56*(1+Data_85_15!T9%),T57*(1+Data_85_15!T9%)),"")</f>
        <v/>
      </c>
      <c r="U58" s="446" t="str">
        <f>IF(AND($A58&gt;=SYear85,$A58&lt;=EYear85,U$3&gt;0),IF($A58=SYear85,U$56*(1+Data_85_15!U9%),U57*(1+Data_85_15!U9%)),"")</f>
        <v/>
      </c>
      <c r="V58" s="446" t="str">
        <f>IF(AND($A58&gt;=SYear85,$A58&lt;=EYear85,V$3&gt;0),IF($A58=SYear85,V$56*(1+Data_85_15!V9%),V57*(1+Data_85_15!V9%)),"")</f>
        <v/>
      </c>
      <c r="W58" s="446">
        <f>IF(AND($A58&gt;=SYear85,$A58&lt;=EYear85,W$3&gt;0),IF($A58=SYear85,W$56*(1+Data_85_15!W9%),W57*(1+Data_85_15!W9%)),"")</f>
        <v>3313.6272365448744</v>
      </c>
      <c r="X58" s="446" t="str">
        <f>IF(AND($A58&gt;=SYear85,$A58&lt;=EYear85,X$3&gt;0),IF($A58=SYear85,X$56*(1+Data_85_15!X9%),X57*(1+Data_85_15!X9%)),"")</f>
        <v/>
      </c>
      <c r="Y58" s="446" t="str">
        <f>IF(AND($A58&gt;=SYear85,$A58&lt;=EYear85,Y$3&gt;0),IF($A58=SYear85,Y$56*(1+Data_85_15!Y9%),Y57*(1+Data_85_15!Y9%)),"")</f>
        <v/>
      </c>
      <c r="Z58" s="446" t="str">
        <f>IF(AND($A58&gt;=SYear85,$A58&lt;=EYear85,Z$3&gt;0),IF($A58=SYear85,Z$56*(1+Data_85_15!Z9%),Z57*(1+Data_85_15!Z9%)),"")</f>
        <v/>
      </c>
      <c r="AA58" s="446" t="str">
        <f>IF(AND($A58&gt;=SYear85,$A58&lt;=EYear85,AA$3&gt;0),IF($A58=SYear85,AA$56*(1+Data_85_15!AA9%),AA57*(1+Data_85_15!AA9%)),"")</f>
        <v/>
      </c>
      <c r="AB58" s="446" t="str">
        <f>IF(AND($A58&gt;=SYear85,$A58&lt;=EYear85,AB$3&gt;0),IF($A58=SYear85,AB$56*(1+Data_85_15!AB9%),AB57*(1+Data_85_15!AB9%)),"")</f>
        <v/>
      </c>
      <c r="AC58" s="446" t="str">
        <f>IF(AND($A58&gt;=SYear85,$A58&lt;=EYear85,AC$3&gt;0),IF($A58=SYear85,AC$56*(1+Data_85_15!AC9%),AC57*(1+Data_85_15!AC9%)),"")</f>
        <v/>
      </c>
      <c r="AD58" s="446" t="str">
        <f>IF(AND($A58&gt;=SYear85,$A58&lt;=EYear85,AD$3&gt;0),IF($A58=SYear85,AD$56*(1+Data_85_15!AD9%),AD57*(1+Data_85_15!AD9%)),"")</f>
        <v/>
      </c>
      <c r="AE58" s="446" t="str">
        <f>IF(AND($A58&gt;=SYear85,$A58&lt;=EYear85,AE$3&gt;0),IF($A58=SYear85,AE$56*(1+Data_85_15!AE9%),AE57*(1+Data_85_15!AE9%)),"")</f>
        <v/>
      </c>
      <c r="AF58" s="446" t="str">
        <f>IF(AND($A58&gt;=SYear85,$A58&lt;=EYear85,AF$3&gt;0),IF($A58=SYear85,AF$56*(1+Data_85_15!AF9%),AF57*(1+Data_85_15!AF9%)),"")</f>
        <v/>
      </c>
      <c r="AG58" s="446" t="str">
        <f>IF(AND($A58&gt;=SYear85,$A58&lt;=EYear85,AG$3&gt;0),IF($A58=SYear85,AG$56*(1+Data_85_15!AG9%),AG57*(1+Data_85_15!AG9%)),"")</f>
        <v/>
      </c>
      <c r="AH58" s="446" t="str">
        <f>IF(AND($A58&gt;=SYear85,$A58&lt;=EYear85,AH$3&gt;0),IF($A58=SYear85,AH$56*(1+Data_85_15!AH9%),AH57*(1+Data_85_15!AH9%)),"")</f>
        <v/>
      </c>
      <c r="AI58" s="446" t="str">
        <f>IF(AND($A58&gt;=SYear85,$A58&lt;=EYear85,AI$3&gt;0),IF($A58=SYear85,AI$56*(1+Data_85_15!AI9%),AI57*(1+Data_85_15!AI9%)),"")</f>
        <v/>
      </c>
      <c r="AJ58" s="446" t="str">
        <f>IF(AND($A58&gt;=SYear85,$A58&lt;=EYear85,AJ$3&gt;0),IF($A58=SYear85,AJ$56*(1+Data_85_15!AJ9%),AJ57*(1+Data_85_15!AJ9%)),"")</f>
        <v/>
      </c>
      <c r="AK58" s="446" t="str">
        <f>IF(AND($A58&gt;=SYear85,$A58&lt;=EYear85,AK$3&gt;0),IF($A58=SYear85,AK$56*(1+Data_85_15!AK9%),AK57*(1+Data_85_15!AK9%)),"")</f>
        <v/>
      </c>
      <c r="AL58" s="446" t="str">
        <f>IF(AND($A58&gt;=SYear85,$A58&lt;=EYear85,AL$3&gt;0),IF($A58=SYear85,AL$56*(1+Data_85_15!AL9%),AL57*(1+Data_85_15!AL9%)),"")</f>
        <v/>
      </c>
      <c r="AM58" s="446" t="str">
        <f>IF(AND($A58&gt;=SYear85,$A58&lt;=EYear85,AM$3&gt;0),IF($A58=SYear85,AM$56*(1+Data_85_15!AM9%),AM57*(1+Data_85_15!AM9%)),"")</f>
        <v/>
      </c>
      <c r="AN58" s="446" t="str">
        <f>IF(AND($A58&gt;=SYear85,$A58&lt;=EYear85,AN$3&gt;0),IF($A58=SYear85,AN$56*(1+Data_85_15!AN9%),AN57*(1+Data_85_15!AN9%)),"")</f>
        <v/>
      </c>
      <c r="AO58" s="446">
        <f>IF(AND($A58&gt;=SYear85,$A58&lt;=EYear85,AO$3&gt;0),IF($A58=SYear85,AO$56*(1+Data_85_15!AO9%),AO57*(1+Data_85_15!AO9%)),"")</f>
        <v>3179.4488133927498</v>
      </c>
      <c r="AP58" s="206" t="str">
        <f>IF(AND($A58&gt;=SYear85,$A58&lt;=EYear85,AP$3&gt;0),IF($A58=SYear85,AP$56*(1+Data_85_15!AP9%),AP57*(1+Data_85_15!AP9%)),"")</f>
        <v/>
      </c>
      <c r="AQ58" s="206" t="str">
        <f>IF(AND($A58&gt;=SYear85,$A58&lt;=EYear85,AQ$3&gt;0),IF($A58=SYear85,AQ$56*(1+Data_85_15!AQ9%),AQ57*(1+Data_85_15!AQ9%)),"")</f>
        <v/>
      </c>
      <c r="AR58" s="206" t="str">
        <f>IF(AND($A58&gt;=SYear85,$A58&lt;=EYear85,AR$3&gt;0),IF($A58=SYear85,AR$56*(1+Data_85_15!AR9%),AR57*(1+Data_85_15!AR9%)),"")</f>
        <v/>
      </c>
      <c r="AS58" s="206" t="str">
        <f>IF(AND($A58&gt;=SYear85,$A58&lt;=EYear85,AS$3&gt;0),IF($A58=SYear85,AS$56*(1+Data_85_15!AS9%),AS57*(1+Data_85_15!AS9%)),"")</f>
        <v/>
      </c>
      <c r="AT58" s="206" t="str">
        <f>IF(AND($A58&gt;=SYear85,$A58&lt;=EYear85,AT$3&gt;0),IF($A58=SYear85,AT$56*(1+Data_85_15!AT9%),AT57*(1+Data_85_15!AT9%)),"")</f>
        <v/>
      </c>
      <c r="AU58" s="206" t="str">
        <f>IF(AND($A58&gt;=SYear85,$A58&lt;=EYear85,AU$3&gt;0),IF($A58=SYear85,AU$56*(1+Data_85_15!AU9%),AU57*(1+Data_85_15!AU9%)),"")</f>
        <v/>
      </c>
      <c r="AV58" s="206" t="str">
        <f>IF(AND($A58&gt;=SYear85,$A58&lt;=EYear85,AV$3&gt;0),IF($A58=SYear85,AV$56*(1+Data_85_15!AV9%),AV57*(1+Data_85_15!AV9%)),"")</f>
        <v/>
      </c>
      <c r="AW58" s="206" t="str">
        <f>IF(AND($A58&gt;=SYear85,$A58&lt;=EYear85,AW$3&gt;0),IF($A58=SYear85,AW$56*(1+Data_85_15!AW9%),AW57*(1+Data_85_15!AW9%)),"")</f>
        <v/>
      </c>
      <c r="AX58" s="206" t="str">
        <f>IF(AND($A58&gt;=SYear85,$A58&lt;=EYear85,AX$3&gt;0),IF($A58=SYear85,AX$56*(1+Data_85_15!AX9%),AX57*(1+Data_85_15!AX9%)),"")</f>
        <v/>
      </c>
      <c r="AY58" s="206" t="str">
        <f>IF(AND($A58&gt;=SYear85,$A58&lt;=EYear85,AY$3&gt;0),IF($A58=SYear85,AY$56*(1+Data_85_15!AY9%),AY57*(1+Data_85_15!AY9%)),"")</f>
        <v/>
      </c>
      <c r="AZ58" s="206">
        <f t="shared" si="26"/>
        <v>21.222598083928389</v>
      </c>
      <c r="BA58" s="446">
        <f t="shared" si="27"/>
        <v>14436.909301518905</v>
      </c>
      <c r="BB58" s="206">
        <f>IF(AND($A58&gt;=SYear85,$A58&lt;=EYear85),(AZ58-Data_85_15!AZ9)/(1+Data_85_15!AZ9%),"")</f>
        <v>19.906153579849537</v>
      </c>
      <c r="BC58" s="606">
        <f t="shared" si="28"/>
        <v>13757.525334388603</v>
      </c>
      <c r="BD58" s="143">
        <f t="shared" si="29"/>
        <v>1.2122259808392839</v>
      </c>
      <c r="BE58" s="143">
        <f>IF(AND($A58&gt;=SYear85,$A58&lt;=EYear85),MAX($BD$57:BD58),"")</f>
        <v>1.2122259808392839</v>
      </c>
      <c r="BF58" s="209">
        <f t="shared" si="30"/>
        <v>0</v>
      </c>
      <c r="BN58" s="61">
        <f t="shared" si="31"/>
        <v>0.2122259808392839</v>
      </c>
      <c r="BO58" s="61">
        <f t="shared" si="32"/>
        <v>0.11376718447391898</v>
      </c>
      <c r="BP58" s="61">
        <f t="shared" si="33"/>
        <v>9.0845319331514185E-2</v>
      </c>
      <c r="BQ58" s="61">
        <f t="shared" si="34"/>
        <v>0.10481631584702211</v>
      </c>
      <c r="BR58" s="61">
        <f t="shared" si="35"/>
        <v>0.10514576974261236</v>
      </c>
      <c r="BU58" s="61">
        <f t="shared" si="36"/>
        <v>0.19906153579849528</v>
      </c>
      <c r="BV58" s="61">
        <f t="shared" si="37"/>
        <v>7.8132462712134032E-2</v>
      </c>
      <c r="BW58" s="61">
        <f t="shared" si="38"/>
        <v>4.7601187819570123E-2</v>
      </c>
      <c r="BX58" s="61">
        <f t="shared" si="39"/>
        <v>6.7926239447050341E-2</v>
      </c>
      <c r="BY58" s="61">
        <f t="shared" si="40"/>
        <v>7.141476383819767E-2</v>
      </c>
    </row>
    <row r="59" spans="1:77">
      <c r="A59" s="204">
        <f t="shared" ref="A59:A76" si="41">A58+1</f>
        <v>1987</v>
      </c>
      <c r="B59" s="446" t="str">
        <f>IF(AND($A59&gt;=SYear85,$A59&lt;=EYear85,B$3&gt;0),IF($A59=SYear85,B$56*(1+Data_85_15!B10%),B58*(1+Data_85_15!B10%)),"")</f>
        <v/>
      </c>
      <c r="C59" s="446" t="str">
        <f>IF(AND($A59&gt;=SYear85,$A59&lt;=EYear85,C$3&gt;0),IF($A59=SYear85,C$56*(1+Data_85_15!C10%),C58*(1+Data_85_15!C10%)),"")</f>
        <v/>
      </c>
      <c r="D59" s="446" t="str">
        <f>IF(AND($A59&gt;=SYear85,$A59&lt;=EYear85,D$3&gt;0),IF($A59=SYear85,D$56*(1+Data_85_15!D10%),D58*(1+Data_85_15!D10%)),"")</f>
        <v/>
      </c>
      <c r="E59" s="446" t="str">
        <f>IF(AND($A59&gt;=SYear85,$A59&lt;=EYear85,E$3&gt;0),IF($A59=SYear85,E$56*(1+Data_85_15!E10%),E58*(1+Data_85_15!E10%)),"")</f>
        <v/>
      </c>
      <c r="F59" s="446">
        <f>IF(AND($A59&gt;=SYear85,$A59&lt;=EYear85,F$3&gt;0),IF($A59=SYear85,F$56*(1+Data_85_15!F10%),F58*(1+Data_85_15!F10%)),"")</f>
        <v>3881.5568104742438</v>
      </c>
      <c r="G59" s="446" t="str">
        <f>IF(AND($A59&gt;=SYear85,$A59&lt;=EYear85,G$3&gt;0),IF($A59=SYear85,G$56*(1+Data_85_15!G10%),G58*(1+Data_85_15!G10%)),"")</f>
        <v/>
      </c>
      <c r="H59" s="446" t="str">
        <f>IF(AND($A59&gt;=SYear85,$A59&lt;=EYear85,H$3&gt;0),IF($A59=SYear85,H$56*(1+Data_85_15!H10%),H58*(1+Data_85_15!H10%)),"")</f>
        <v/>
      </c>
      <c r="I59" s="446" t="str">
        <f>IF(AND($A59&gt;=SYear85,$A59&lt;=EYear85,I$3&gt;0),IF($A59=SYear85,I$56*(1+Data_85_15!I10%),I58*(1+Data_85_15!I10%)),"")</f>
        <v/>
      </c>
      <c r="J59" s="446" t="str">
        <f>IF(AND($A59&gt;=SYear85,$A59&lt;=EYear85,J$3&gt;0),IF($A59=SYear85,J$56*(1+Data_85_15!J10%),J58*(1+Data_85_15!J10%)),"")</f>
        <v/>
      </c>
      <c r="K59" s="446" t="str">
        <f>IF(AND($A59&gt;=SYear85,$A59&lt;=EYear85,K$3&gt;0),IF($A59=SYear85,K$56*(1+Data_85_15!K10%),K58*(1+Data_85_15!K10%)),"")</f>
        <v/>
      </c>
      <c r="L59" s="446" t="str">
        <f>IF(AND($A59&gt;=SYear85,$A59&lt;=EYear85,L$3&gt;0),IF($A59=SYear85,L$56*(1+Data_85_15!L10%),L58*(1+Data_85_15!L10%)),"")</f>
        <v/>
      </c>
      <c r="M59" s="446" t="str">
        <f>IF(AND($A59&gt;=SYear85,$A59&lt;=EYear85,M$3&gt;0),IF($A59=SYear85,M$56*(1+Data_85_15!M10%),M58*(1+Data_85_15!M10%)),"")</f>
        <v/>
      </c>
      <c r="N59" s="446" t="str">
        <f>IF(AND($A59&gt;=SYear85,$A59&lt;=EYear85,N$3&gt;0),IF($A59=SYear85,N$56*(1+Data_85_15!N10%),N58*(1+Data_85_15!N10%)),"")</f>
        <v/>
      </c>
      <c r="O59" s="446" t="str">
        <f>IF(AND($A59&gt;=SYear85,$A59&lt;=EYear85,O$3&gt;0),IF($A59=SYear85,O$56*(1+Data_85_15!O10%),O58*(1+Data_85_15!O10%)),"")</f>
        <v/>
      </c>
      <c r="P59" s="446" t="str">
        <f>IF(AND($A59&gt;=SYear85,$A59&lt;=EYear85,P$3&gt;0),IF($A59=SYear85,P$56*(1+Data_85_15!P10%),P58*(1+Data_85_15!P10%)),"")</f>
        <v/>
      </c>
      <c r="Q59" s="446" t="str">
        <f>IF(AND($A59&gt;=SYear85,$A59&lt;=EYear85,Q$3&gt;0),IF($A59=SYear85,Q$56*(1+Data_85_15!Q10%),Q58*(1+Data_85_15!Q10%)),"")</f>
        <v/>
      </c>
      <c r="R59" s="446" t="str">
        <f>IF(AND($A59&gt;=SYear85,$A59&lt;=EYear85,R$3&gt;0),IF($A59=SYear85,R$56*(1+Data_85_15!R10%),R58*(1+Data_85_15!R10%)),"")</f>
        <v/>
      </c>
      <c r="S59" s="446">
        <f>IF(AND($A59&gt;=SYear85,$A59&lt;=EYear85,S$3&gt;0),IF($A59=SYear85,S$56*(1+Data_85_15!S10%),S58*(1+Data_85_15!S10%)),"")</f>
        <v>3934.2551391295128</v>
      </c>
      <c r="T59" s="446" t="str">
        <f>IF(AND($A59&gt;=SYear85,$A59&lt;=EYear85,T$3&gt;0),IF($A59=SYear85,T$56*(1+Data_85_15!T10%),T58*(1+Data_85_15!T10%)),"")</f>
        <v/>
      </c>
      <c r="U59" s="446" t="str">
        <f>IF(AND($A59&gt;=SYear85,$A59&lt;=EYear85,U$3&gt;0),IF($A59=SYear85,U$56*(1+Data_85_15!U10%),U58*(1+Data_85_15!U10%)),"")</f>
        <v/>
      </c>
      <c r="V59" s="446" t="str">
        <f>IF(AND($A59&gt;=SYear85,$A59&lt;=EYear85,V$3&gt;0),IF($A59=SYear85,V$56*(1+Data_85_15!V10%),V58*(1+Data_85_15!V10%)),"")</f>
        <v/>
      </c>
      <c r="W59" s="446">
        <f>IF(AND($A59&gt;=SYear85,$A59&lt;=EYear85,W$3&gt;0),IF($A59=SYear85,W$56*(1+Data_85_15!W10%),W58*(1+Data_85_15!W10%)),"")</f>
        <v>3584.8023197750936</v>
      </c>
      <c r="X59" s="446" t="str">
        <f>IF(AND($A59&gt;=SYear85,$A59&lt;=EYear85,X$3&gt;0),IF($A59=SYear85,X$56*(1+Data_85_15!X10%),X58*(1+Data_85_15!X10%)),"")</f>
        <v/>
      </c>
      <c r="Y59" s="446" t="str">
        <f>IF(AND($A59&gt;=SYear85,$A59&lt;=EYear85,Y$3&gt;0),IF($A59=SYear85,Y$56*(1+Data_85_15!Y10%),Y58*(1+Data_85_15!Y10%)),"")</f>
        <v/>
      </c>
      <c r="Z59" s="446" t="str">
        <f>IF(AND($A59&gt;=SYear85,$A59&lt;=EYear85,Z$3&gt;0),IF($A59=SYear85,Z$56*(1+Data_85_15!Z10%),Z58*(1+Data_85_15!Z10%)),"")</f>
        <v/>
      </c>
      <c r="AA59" s="446" t="str">
        <f>IF(AND($A59&gt;=SYear85,$A59&lt;=EYear85,AA$3&gt;0),IF($A59=SYear85,AA$56*(1+Data_85_15!AA10%),AA58*(1+Data_85_15!AA10%)),"")</f>
        <v/>
      </c>
      <c r="AB59" s="446" t="str">
        <f>IF(AND($A59&gt;=SYear85,$A59&lt;=EYear85,AB$3&gt;0),IF($A59=SYear85,AB$56*(1+Data_85_15!AB10%),AB58*(1+Data_85_15!AB10%)),"")</f>
        <v/>
      </c>
      <c r="AC59" s="446" t="str">
        <f>IF(AND($A59&gt;=SYear85,$A59&lt;=EYear85,AC$3&gt;0),IF($A59=SYear85,AC$56*(1+Data_85_15!AC10%),AC58*(1+Data_85_15!AC10%)),"")</f>
        <v/>
      </c>
      <c r="AD59" s="446" t="str">
        <f>IF(AND($A59&gt;=SYear85,$A59&lt;=EYear85,AD$3&gt;0),IF($A59=SYear85,AD$56*(1+Data_85_15!AD10%),AD58*(1+Data_85_15!AD10%)),"")</f>
        <v/>
      </c>
      <c r="AE59" s="446" t="str">
        <f>IF(AND($A59&gt;=SYear85,$A59&lt;=EYear85,AE$3&gt;0),IF($A59=SYear85,AE$56*(1+Data_85_15!AE10%),AE58*(1+Data_85_15!AE10%)),"")</f>
        <v/>
      </c>
      <c r="AF59" s="446" t="str">
        <f>IF(AND($A59&gt;=SYear85,$A59&lt;=EYear85,AF$3&gt;0),IF($A59=SYear85,AF$56*(1+Data_85_15!AF10%),AF58*(1+Data_85_15!AF10%)),"")</f>
        <v/>
      </c>
      <c r="AG59" s="446" t="str">
        <f>IF(AND($A59&gt;=SYear85,$A59&lt;=EYear85,AG$3&gt;0),IF($A59=SYear85,AG$56*(1+Data_85_15!AG10%),AG58*(1+Data_85_15!AG10%)),"")</f>
        <v/>
      </c>
      <c r="AH59" s="446" t="str">
        <f>IF(AND($A59&gt;=SYear85,$A59&lt;=EYear85,AH$3&gt;0),IF($A59=SYear85,AH$56*(1+Data_85_15!AH10%),AH58*(1+Data_85_15!AH10%)),"")</f>
        <v/>
      </c>
      <c r="AI59" s="446" t="str">
        <f>IF(AND($A59&gt;=SYear85,$A59&lt;=EYear85,AI$3&gt;0),IF($A59=SYear85,AI$56*(1+Data_85_15!AI10%),AI58*(1+Data_85_15!AI10%)),"")</f>
        <v/>
      </c>
      <c r="AJ59" s="446" t="str">
        <f>IF(AND($A59&gt;=SYear85,$A59&lt;=EYear85,AJ$3&gt;0),IF($A59=SYear85,AJ$56*(1+Data_85_15!AJ10%),AJ58*(1+Data_85_15!AJ10%)),"")</f>
        <v/>
      </c>
      <c r="AK59" s="446" t="str">
        <f>IF(AND($A59&gt;=SYear85,$A59&lt;=EYear85,AK$3&gt;0),IF($A59=SYear85,AK$56*(1+Data_85_15!AK10%),AK58*(1+Data_85_15!AK10%)),"")</f>
        <v/>
      </c>
      <c r="AL59" s="446" t="str">
        <f>IF(AND($A59&gt;=SYear85,$A59&lt;=EYear85,AL$3&gt;0),IF($A59=SYear85,AL$56*(1+Data_85_15!AL10%),AL58*(1+Data_85_15!AL10%)),"")</f>
        <v/>
      </c>
      <c r="AM59" s="446" t="str">
        <f>IF(AND($A59&gt;=SYear85,$A59&lt;=EYear85,AM$3&gt;0),IF($A59=SYear85,AM$56*(1+Data_85_15!AM10%),AM58*(1+Data_85_15!AM10%)),"")</f>
        <v/>
      </c>
      <c r="AN59" s="446" t="str">
        <f>IF(AND($A59&gt;=SYear85,$A59&lt;=EYear85,AN$3&gt;0),IF($A59=SYear85,AN$56*(1+Data_85_15!AN10%),AN58*(1+Data_85_15!AN10%)),"")</f>
        <v/>
      </c>
      <c r="AO59" s="446">
        <f>IF(AND($A59&gt;=SYear85,$A59&lt;=EYear85,AO$3&gt;0),IF($A59=SYear85,AO$56*(1+Data_85_15!AO10%),AO58*(1+Data_85_15!AO10%)),"")</f>
        <v>3870.0401749562229</v>
      </c>
      <c r="AP59" s="206" t="str">
        <f>IF(AND($A59&gt;=SYear85,$A59&lt;=EYear85,AP$3&gt;0),IF($A59=SYear85,AP$56*(1+Data_85_15!AP10%),AP58*(1+Data_85_15!AP10%)),"")</f>
        <v/>
      </c>
      <c r="AQ59" s="206" t="str">
        <f>IF(AND($A59&gt;=SYear85,$A59&lt;=EYear85,AQ$3&gt;0),IF($A59=SYear85,AQ$56*(1+Data_85_15!AQ10%),AQ58*(1+Data_85_15!AQ10%)),"")</f>
        <v/>
      </c>
      <c r="AR59" s="206" t="str">
        <f>IF(AND($A59&gt;=SYear85,$A59&lt;=EYear85,AR$3&gt;0),IF($A59=SYear85,AR$56*(1+Data_85_15!AR10%),AR58*(1+Data_85_15!AR10%)),"")</f>
        <v/>
      </c>
      <c r="AS59" s="206" t="str">
        <f>IF(AND($A59&gt;=SYear85,$A59&lt;=EYear85,AS$3&gt;0),IF($A59=SYear85,AS$56*(1+Data_85_15!AS10%),AS58*(1+Data_85_15!AS10%)),"")</f>
        <v/>
      </c>
      <c r="AT59" s="206" t="str">
        <f>IF(AND($A59&gt;=SYear85,$A59&lt;=EYear85,AT$3&gt;0),IF($A59=SYear85,AT$56*(1+Data_85_15!AT10%),AT58*(1+Data_85_15!AT10%)),"")</f>
        <v/>
      </c>
      <c r="AU59" s="206" t="str">
        <f>IF(AND($A59&gt;=SYear85,$A59&lt;=EYear85,AU$3&gt;0),IF($A59=SYear85,AU$56*(1+Data_85_15!AU10%),AU58*(1+Data_85_15!AU10%)),"")</f>
        <v/>
      </c>
      <c r="AV59" s="206" t="str">
        <f>IF(AND($A59&gt;=SYear85,$A59&lt;=EYear85,AV$3&gt;0),IF($A59=SYear85,AV$56*(1+Data_85_15!AV10%),AV58*(1+Data_85_15!AV10%)),"")</f>
        <v/>
      </c>
      <c r="AW59" s="206" t="str">
        <f>IF(AND($A59&gt;=SYear85,$A59&lt;=EYear85,AW$3&gt;0),IF($A59=SYear85,AW$56*(1+Data_85_15!AW10%),AW58*(1+Data_85_15!AW10%)),"")</f>
        <v/>
      </c>
      <c r="AX59" s="206" t="str">
        <f>IF(AND($A59&gt;=SYear85,$A59&lt;=EYear85,AX$3&gt;0),IF($A59=SYear85,AX$56*(1+Data_85_15!AX10%),AX58*(1+Data_85_15!AX10%)),"")</f>
        <v/>
      </c>
      <c r="AY59" s="206" t="str">
        <f>IF(AND($A59&gt;=SYear85,$A59&lt;=EYear85,AY$3&gt;0),IF($A59=SYear85,AY$56*(1+Data_85_15!AY10%),AY58*(1+Data_85_15!AY10%)),"")</f>
        <v/>
      </c>
      <c r="AZ59" s="206">
        <f t="shared" si="26"/>
        <v>5.7750944153153982</v>
      </c>
      <c r="BA59" s="446">
        <f t="shared" si="27"/>
        <v>15270.654444335072</v>
      </c>
      <c r="BB59" s="206">
        <f>IF(AND($A59&gt;=SYear85,$A59&lt;=EYear85),(AZ59-Data_85_15!AZ10)/(1+Data_85_15!AZ10%),"")</f>
        <v>1.2837775813895216</v>
      </c>
      <c r="BC59" s="606">
        <f t="shared" si="28"/>
        <v>13934.141360385467</v>
      </c>
      <c r="BD59" s="143">
        <f t="shared" si="29"/>
        <v>1.2822331757597358</v>
      </c>
      <c r="BE59" s="143">
        <f>IF(AND($A59&gt;=SYear85,$A59&lt;=EYear85),MAX($BD$57:BD59),"")</f>
        <v>1.2822331757597358</v>
      </c>
      <c r="BF59" s="209">
        <f t="shared" si="30"/>
        <v>0</v>
      </c>
      <c r="BN59" s="61">
        <f t="shared" si="31"/>
        <v>5.7750944153154071E-2</v>
      </c>
      <c r="BO59" s="61">
        <f t="shared" si="32"/>
        <v>8.7655636466567266E-2</v>
      </c>
      <c r="BP59" s="61">
        <f t="shared" si="33"/>
        <v>8.6701972625827795E-2</v>
      </c>
      <c r="BQ59" s="61">
        <f t="shared" si="34"/>
        <v>9.1480116670718203E-2</v>
      </c>
      <c r="BR59" s="61">
        <f t="shared" si="35"/>
        <v>9.256230701722723E-2</v>
      </c>
      <c r="BU59" s="61">
        <f t="shared" si="36"/>
        <v>1.2837775813895114E-2</v>
      </c>
      <c r="BV59" s="61">
        <f t="shared" si="37"/>
        <v>4.0815645609777906E-2</v>
      </c>
      <c r="BW59" s="61">
        <f t="shared" si="38"/>
        <v>3.9609065118332953E-2</v>
      </c>
      <c r="BX59" s="61">
        <f t="shared" si="39"/>
        <v>5.2741486908223001E-2</v>
      </c>
      <c r="BY59" s="61">
        <f t="shared" si="40"/>
        <v>5.8899139408272072E-2</v>
      </c>
    </row>
    <row r="60" spans="1:77">
      <c r="A60" s="204">
        <f t="shared" si="41"/>
        <v>1988</v>
      </c>
      <c r="B60" s="446" t="str">
        <f>IF(AND($A60&gt;=SYear85,$A60&lt;=EYear85,B$3&gt;0),IF($A60=SYear85,B$56*(1+Data_85_15!B11%),B59*(1+Data_85_15!B11%)),"")</f>
        <v/>
      </c>
      <c r="C60" s="446" t="str">
        <f>IF(AND($A60&gt;=SYear85,$A60&lt;=EYear85,C$3&gt;0),IF($A60=SYear85,C$56*(1+Data_85_15!C11%),C59*(1+Data_85_15!C11%)),"")</f>
        <v/>
      </c>
      <c r="D60" s="446" t="str">
        <f>IF(AND($A60&gt;=SYear85,$A60&lt;=EYear85,D$3&gt;0),IF($A60=SYear85,D$56*(1+Data_85_15!D11%),D59*(1+Data_85_15!D11%)),"")</f>
        <v/>
      </c>
      <c r="E60" s="446" t="str">
        <f>IF(AND($A60&gt;=SYear85,$A60&lt;=EYear85,E$3&gt;0),IF($A60=SYear85,E$56*(1+Data_85_15!E11%),E59*(1+Data_85_15!E11%)),"")</f>
        <v/>
      </c>
      <c r="F60" s="446">
        <f>IF(AND($A60&gt;=SYear85,$A60&lt;=EYear85,F$3&gt;0),IF($A60=SYear85,F$56*(1+Data_85_15!F11%),F59*(1+Data_85_15!F11%)),"")</f>
        <v>4639.4343599203276</v>
      </c>
      <c r="G60" s="446" t="str">
        <f>IF(AND($A60&gt;=SYear85,$A60&lt;=EYear85,G$3&gt;0),IF($A60=SYear85,G$56*(1+Data_85_15!G11%),G59*(1+Data_85_15!G11%)),"")</f>
        <v/>
      </c>
      <c r="H60" s="446" t="str">
        <f>IF(AND($A60&gt;=SYear85,$A60&lt;=EYear85,H$3&gt;0),IF($A60=SYear85,H$56*(1+Data_85_15!H11%),H59*(1+Data_85_15!H11%)),"")</f>
        <v/>
      </c>
      <c r="I60" s="446" t="str">
        <f>IF(AND($A60&gt;=SYear85,$A60&lt;=EYear85,I$3&gt;0),IF($A60=SYear85,I$56*(1+Data_85_15!I11%),I59*(1+Data_85_15!I11%)),"")</f>
        <v/>
      </c>
      <c r="J60" s="446" t="str">
        <f>IF(AND($A60&gt;=SYear85,$A60&lt;=EYear85,J$3&gt;0),IF($A60=SYear85,J$56*(1+Data_85_15!J11%),J59*(1+Data_85_15!J11%)),"")</f>
        <v/>
      </c>
      <c r="K60" s="446" t="str">
        <f>IF(AND($A60&gt;=SYear85,$A60&lt;=EYear85,K$3&gt;0),IF($A60=SYear85,K$56*(1+Data_85_15!K11%),K59*(1+Data_85_15!K11%)),"")</f>
        <v/>
      </c>
      <c r="L60" s="446" t="str">
        <f>IF(AND($A60&gt;=SYear85,$A60&lt;=EYear85,L$3&gt;0),IF($A60=SYear85,L$56*(1+Data_85_15!L11%),L59*(1+Data_85_15!L11%)),"")</f>
        <v/>
      </c>
      <c r="M60" s="446" t="str">
        <f>IF(AND($A60&gt;=SYear85,$A60&lt;=EYear85,M$3&gt;0),IF($A60=SYear85,M$56*(1+Data_85_15!M11%),M59*(1+Data_85_15!M11%)),"")</f>
        <v/>
      </c>
      <c r="N60" s="446" t="str">
        <f>IF(AND($A60&gt;=SYear85,$A60&lt;=EYear85,N$3&gt;0),IF($A60=SYear85,N$56*(1+Data_85_15!N11%),N59*(1+Data_85_15!N11%)),"")</f>
        <v/>
      </c>
      <c r="O60" s="446" t="str">
        <f>IF(AND($A60&gt;=SYear85,$A60&lt;=EYear85,O$3&gt;0),IF($A60=SYear85,O$56*(1+Data_85_15!O11%),O59*(1+Data_85_15!O11%)),"")</f>
        <v/>
      </c>
      <c r="P60" s="446" t="str">
        <f>IF(AND($A60&gt;=SYear85,$A60&lt;=EYear85,P$3&gt;0),IF($A60=SYear85,P$56*(1+Data_85_15!P11%),P59*(1+Data_85_15!P11%)),"")</f>
        <v/>
      </c>
      <c r="Q60" s="446" t="str">
        <f>IF(AND($A60&gt;=SYear85,$A60&lt;=EYear85,Q$3&gt;0),IF($A60=SYear85,Q$56*(1+Data_85_15!Q11%),Q59*(1+Data_85_15!Q11%)),"")</f>
        <v/>
      </c>
      <c r="R60" s="446" t="str">
        <f>IF(AND($A60&gt;=SYear85,$A60&lt;=EYear85,R$3&gt;0),IF($A60=SYear85,R$56*(1+Data_85_15!R11%),R59*(1+Data_85_15!R11%)),"")</f>
        <v/>
      </c>
      <c r="S60" s="446">
        <f>IF(AND($A60&gt;=SYear85,$A60&lt;=EYear85,S$3&gt;0),IF($A60=SYear85,S$56*(1+Data_85_15!S11%),S59*(1+Data_85_15!S11%)),"")</f>
        <v>4294.2394843598631</v>
      </c>
      <c r="T60" s="446" t="str">
        <f>IF(AND($A60&gt;=SYear85,$A60&lt;=EYear85,T$3&gt;0),IF($A60=SYear85,T$56*(1+Data_85_15!T11%),T59*(1+Data_85_15!T11%)),"")</f>
        <v/>
      </c>
      <c r="U60" s="446" t="str">
        <f>IF(AND($A60&gt;=SYear85,$A60&lt;=EYear85,U$3&gt;0),IF($A60=SYear85,U$56*(1+Data_85_15!U11%),U59*(1+Data_85_15!U11%)),"")</f>
        <v/>
      </c>
      <c r="V60" s="446" t="str">
        <f>IF(AND($A60&gt;=SYear85,$A60&lt;=EYear85,V$3&gt;0),IF($A60=SYear85,V$56*(1+Data_85_15!V11%),V59*(1+Data_85_15!V11%)),"")</f>
        <v/>
      </c>
      <c r="W60" s="446">
        <f>IF(AND($A60&gt;=SYear85,$A60&lt;=EYear85,W$3&gt;0),IF($A60=SYear85,W$56*(1+Data_85_15!W11%),W59*(1+Data_85_15!W11%)),"")</f>
        <v>4253.822313585415</v>
      </c>
      <c r="X60" s="446" t="str">
        <f>IF(AND($A60&gt;=SYear85,$A60&lt;=EYear85,X$3&gt;0),IF($A60=SYear85,X$56*(1+Data_85_15!X11%),X59*(1+Data_85_15!X11%)),"")</f>
        <v/>
      </c>
      <c r="Y60" s="446" t="str">
        <f>IF(AND($A60&gt;=SYear85,$A60&lt;=EYear85,Y$3&gt;0),IF($A60=SYear85,Y$56*(1+Data_85_15!Y11%),Y59*(1+Data_85_15!Y11%)),"")</f>
        <v/>
      </c>
      <c r="Z60" s="446" t="str">
        <f>IF(AND($A60&gt;=SYear85,$A60&lt;=EYear85,Z$3&gt;0),IF($A60=SYear85,Z$56*(1+Data_85_15!Z11%),Z59*(1+Data_85_15!Z11%)),"")</f>
        <v/>
      </c>
      <c r="AA60" s="446" t="str">
        <f>IF(AND($A60&gt;=SYear85,$A60&lt;=EYear85,AA$3&gt;0),IF($A60=SYear85,AA$56*(1+Data_85_15!AA11%),AA59*(1+Data_85_15!AA11%)),"")</f>
        <v/>
      </c>
      <c r="AB60" s="446" t="str">
        <f>IF(AND($A60&gt;=SYear85,$A60&lt;=EYear85,AB$3&gt;0),IF($A60=SYear85,AB$56*(1+Data_85_15!AB11%),AB59*(1+Data_85_15!AB11%)),"")</f>
        <v/>
      </c>
      <c r="AC60" s="446" t="str">
        <f>IF(AND($A60&gt;=SYear85,$A60&lt;=EYear85,AC$3&gt;0),IF($A60=SYear85,AC$56*(1+Data_85_15!AC11%),AC59*(1+Data_85_15!AC11%)),"")</f>
        <v/>
      </c>
      <c r="AD60" s="446" t="str">
        <f>IF(AND($A60&gt;=SYear85,$A60&lt;=EYear85,AD$3&gt;0),IF($A60=SYear85,AD$56*(1+Data_85_15!AD11%),AD59*(1+Data_85_15!AD11%)),"")</f>
        <v/>
      </c>
      <c r="AE60" s="446" t="str">
        <f>IF(AND($A60&gt;=SYear85,$A60&lt;=EYear85,AE$3&gt;0),IF($A60=SYear85,AE$56*(1+Data_85_15!AE11%),AE59*(1+Data_85_15!AE11%)),"")</f>
        <v/>
      </c>
      <c r="AF60" s="446" t="str">
        <f>IF(AND($A60&gt;=SYear85,$A60&lt;=EYear85,AF$3&gt;0),IF($A60=SYear85,AF$56*(1+Data_85_15!AF11%),AF59*(1+Data_85_15!AF11%)),"")</f>
        <v/>
      </c>
      <c r="AG60" s="446" t="str">
        <f>IF(AND($A60&gt;=SYear85,$A60&lt;=EYear85,AG$3&gt;0),IF($A60=SYear85,AG$56*(1+Data_85_15!AG11%),AG59*(1+Data_85_15!AG11%)),"")</f>
        <v/>
      </c>
      <c r="AH60" s="446" t="str">
        <f>IF(AND($A60&gt;=SYear85,$A60&lt;=EYear85,AH$3&gt;0),IF($A60=SYear85,AH$56*(1+Data_85_15!AH11%),AH59*(1+Data_85_15!AH11%)),"")</f>
        <v/>
      </c>
      <c r="AI60" s="446" t="str">
        <f>IF(AND($A60&gt;=SYear85,$A60&lt;=EYear85,AI$3&gt;0),IF($A60=SYear85,AI$56*(1+Data_85_15!AI11%),AI59*(1+Data_85_15!AI11%)),"")</f>
        <v/>
      </c>
      <c r="AJ60" s="446" t="str">
        <f>IF(AND($A60&gt;=SYear85,$A60&lt;=EYear85,AJ$3&gt;0),IF($A60=SYear85,AJ$56*(1+Data_85_15!AJ11%),AJ59*(1+Data_85_15!AJ11%)),"")</f>
        <v/>
      </c>
      <c r="AK60" s="446" t="str">
        <f>IF(AND($A60&gt;=SYear85,$A60&lt;=EYear85,AK$3&gt;0),IF($A60=SYear85,AK$56*(1+Data_85_15!AK11%),AK59*(1+Data_85_15!AK11%)),"")</f>
        <v/>
      </c>
      <c r="AL60" s="446" t="str">
        <f>IF(AND($A60&gt;=SYear85,$A60&lt;=EYear85,AL$3&gt;0),IF($A60=SYear85,AL$56*(1+Data_85_15!AL11%),AL59*(1+Data_85_15!AL11%)),"")</f>
        <v/>
      </c>
      <c r="AM60" s="446" t="str">
        <f>IF(AND($A60&gt;=SYear85,$A60&lt;=EYear85,AM$3&gt;0),IF($A60=SYear85,AM$56*(1+Data_85_15!AM11%),AM59*(1+Data_85_15!AM11%)),"")</f>
        <v/>
      </c>
      <c r="AN60" s="446" t="str">
        <f>IF(AND($A60&gt;=SYear85,$A60&lt;=EYear85,AN$3&gt;0),IF($A60=SYear85,AN$56*(1+Data_85_15!AN11%),AN59*(1+Data_85_15!AN11%)),"")</f>
        <v/>
      </c>
      <c r="AO60" s="446">
        <f>IF(AND($A60&gt;=SYear85,$A60&lt;=EYear85,AO$3&gt;0),IF($A60=SYear85,AO$56*(1+Data_85_15!AO11%),AO59*(1+Data_85_15!AO11%)),"")</f>
        <v>3266.5948101331305</v>
      </c>
      <c r="AP60" s="206" t="str">
        <f>IF(AND($A60&gt;=SYear85,$A60&lt;=EYear85,AP$3&gt;0),IF($A60=SYear85,AP$56*(1+Data_85_15!AP11%),AP59*(1+Data_85_15!AP11%)),"")</f>
        <v/>
      </c>
      <c r="AQ60" s="206" t="str">
        <f>IF(AND($A60&gt;=SYear85,$A60&lt;=EYear85,AQ$3&gt;0),IF($A60=SYear85,AQ$56*(1+Data_85_15!AQ11%),AQ59*(1+Data_85_15!AQ11%)),"")</f>
        <v/>
      </c>
      <c r="AR60" s="206" t="str">
        <f>IF(AND($A60&gt;=SYear85,$A60&lt;=EYear85,AR$3&gt;0),IF($A60=SYear85,AR$56*(1+Data_85_15!AR11%),AR59*(1+Data_85_15!AR11%)),"")</f>
        <v/>
      </c>
      <c r="AS60" s="206" t="str">
        <f>IF(AND($A60&gt;=SYear85,$A60&lt;=EYear85,AS$3&gt;0),IF($A60=SYear85,AS$56*(1+Data_85_15!AS11%),AS59*(1+Data_85_15!AS11%)),"")</f>
        <v/>
      </c>
      <c r="AT60" s="206" t="str">
        <f>IF(AND($A60&gt;=SYear85,$A60&lt;=EYear85,AT$3&gt;0),IF($A60=SYear85,AT$56*(1+Data_85_15!AT11%),AT59*(1+Data_85_15!AT11%)),"")</f>
        <v/>
      </c>
      <c r="AU60" s="206" t="str">
        <f>IF(AND($A60&gt;=SYear85,$A60&lt;=EYear85,AU$3&gt;0),IF($A60=SYear85,AU$56*(1+Data_85_15!AU11%),AU59*(1+Data_85_15!AU11%)),"")</f>
        <v/>
      </c>
      <c r="AV60" s="206" t="str">
        <f>IF(AND($A60&gt;=SYear85,$A60&lt;=EYear85,AV$3&gt;0),IF($A60=SYear85,AV$56*(1+Data_85_15!AV11%),AV59*(1+Data_85_15!AV11%)),"")</f>
        <v/>
      </c>
      <c r="AW60" s="206" t="str">
        <f>IF(AND($A60&gt;=SYear85,$A60&lt;=EYear85,AW$3&gt;0),IF($A60=SYear85,AW$56*(1+Data_85_15!AW11%),AW59*(1+Data_85_15!AW11%)),"")</f>
        <v/>
      </c>
      <c r="AX60" s="206" t="str">
        <f>IF(AND($A60&gt;=SYear85,$A60&lt;=EYear85,AX$3&gt;0),IF($A60=SYear85,AX$56*(1+Data_85_15!AX11%),AX59*(1+Data_85_15!AX11%)),"")</f>
        <v/>
      </c>
      <c r="AY60" s="206" t="str">
        <f>IF(AND($A60&gt;=SYear85,$A60&lt;=EYear85,AY$3&gt;0),IF($A60=SYear85,AY$56*(1+Data_85_15!AY11%),AY59*(1+Data_85_15!AY11%)),"")</f>
        <v/>
      </c>
      <c r="AZ60" s="206">
        <f t="shared" si="26"/>
        <v>7.7497433261786837</v>
      </c>
      <c r="BA60" s="446">
        <f t="shared" si="27"/>
        <v>16454.090967998738</v>
      </c>
      <c r="BB60" s="206">
        <f>IF(AND($A60&gt;=SYear85,$A60&lt;=EYear85),(AZ60-Data_85_15!AZ11)/(1+Data_85_15!AZ11%),"")</f>
        <v>3.1893807455686463</v>
      </c>
      <c r="BC60" s="606">
        <f t="shared" si="28"/>
        <v>14378.554181993919</v>
      </c>
      <c r="BD60" s="143">
        <f t="shared" si="29"/>
        <v>1.3816029557242249</v>
      </c>
      <c r="BE60" s="143">
        <f>IF(AND($A60&gt;=SYear85,$A60&lt;=EYear85),MAX($BD$57:BD60),"")</f>
        <v>1.3816029557242249</v>
      </c>
      <c r="BF60" s="209">
        <f t="shared" si="30"/>
        <v>0</v>
      </c>
      <c r="BN60" s="61">
        <f t="shared" si="31"/>
        <v>7.7497433261786819E-2</v>
      </c>
      <c r="BO60" s="61">
        <f t="shared" si="32"/>
        <v>6.401957456025209E-2</v>
      </c>
      <c r="BP60" s="61">
        <f t="shared" si="33"/>
        <v>9.2369484106575861E-2</v>
      </c>
      <c r="BQ60" s="61">
        <f t="shared" si="34"/>
        <v>0.10167915342540823</v>
      </c>
      <c r="BR60" s="61">
        <f t="shared" si="35"/>
        <v>8.8845604439894643E-2</v>
      </c>
      <c r="BU60" s="61">
        <f t="shared" si="36"/>
        <v>3.1893807455686485E-2</v>
      </c>
      <c r="BV60" s="61">
        <f t="shared" si="37"/>
        <v>1.2821354382726247E-2</v>
      </c>
      <c r="BW60" s="61">
        <f t="shared" si="38"/>
        <v>4.8127804669540808E-2</v>
      </c>
      <c r="BX60" s="61">
        <f t="shared" si="39"/>
        <v>6.5398977632328492E-2</v>
      </c>
      <c r="BY60" s="61">
        <f t="shared" si="40"/>
        <v>5.6697755753648327E-2</v>
      </c>
    </row>
    <row r="61" spans="1:77">
      <c r="A61" s="204">
        <f t="shared" si="41"/>
        <v>1989</v>
      </c>
      <c r="B61" s="446" t="str">
        <f>IF(AND($A61&gt;=SYear85,$A61&lt;=EYear85,B$3&gt;0),IF($A61=SYear85,B$56*(1+Data_85_15!B12%),B60*(1+Data_85_15!B12%)),"")</f>
        <v/>
      </c>
      <c r="C61" s="446" t="str">
        <f>IF(AND($A61&gt;=SYear85,$A61&lt;=EYear85,C$3&gt;0),IF($A61=SYear85,C$56*(1+Data_85_15!C12%),C60*(1+Data_85_15!C12%)),"")</f>
        <v/>
      </c>
      <c r="D61" s="446" t="str">
        <f>IF(AND($A61&gt;=SYear85,$A61&lt;=EYear85,D$3&gt;0),IF($A61=SYear85,D$56*(1+Data_85_15!D12%),D60*(1+Data_85_15!D12%)),"")</f>
        <v/>
      </c>
      <c r="E61" s="446" t="str">
        <f>IF(AND($A61&gt;=SYear85,$A61&lt;=EYear85,E$3&gt;0),IF($A61=SYear85,E$56*(1+Data_85_15!E12%),E60*(1+Data_85_15!E12%)),"")</f>
        <v/>
      </c>
      <c r="F61" s="446">
        <f>IF(AND($A61&gt;=SYear85,$A61&lt;=EYear85,F$3&gt;0),IF($A61=SYear85,F$56*(1+Data_85_15!F12%),F60*(1+Data_85_15!F12%)),"")</f>
        <v>5846.1594298906248</v>
      </c>
      <c r="G61" s="446" t="str">
        <f>IF(AND($A61&gt;=SYear85,$A61&lt;=EYear85,G$3&gt;0),IF($A61=SYear85,G$56*(1+Data_85_15!G12%),G60*(1+Data_85_15!G12%)),"")</f>
        <v/>
      </c>
      <c r="H61" s="446" t="str">
        <f>IF(AND($A61&gt;=SYear85,$A61&lt;=EYear85,H$3&gt;0),IF($A61=SYear85,H$56*(1+Data_85_15!H12%),H60*(1+Data_85_15!H12%)),"")</f>
        <v/>
      </c>
      <c r="I61" s="446" t="str">
        <f>IF(AND($A61&gt;=SYear85,$A61&lt;=EYear85,I$3&gt;0),IF($A61=SYear85,I$56*(1+Data_85_15!I12%),I60*(1+Data_85_15!I12%)),"")</f>
        <v/>
      </c>
      <c r="J61" s="446" t="str">
        <f>IF(AND($A61&gt;=SYear85,$A61&lt;=EYear85,J$3&gt;0),IF($A61=SYear85,J$56*(1+Data_85_15!J12%),J60*(1+Data_85_15!J12%)),"")</f>
        <v/>
      </c>
      <c r="K61" s="446" t="str">
        <f>IF(AND($A61&gt;=SYear85,$A61&lt;=EYear85,K$3&gt;0),IF($A61=SYear85,K$56*(1+Data_85_15!K12%),K60*(1+Data_85_15!K12%)),"")</f>
        <v/>
      </c>
      <c r="L61" s="446" t="str">
        <f>IF(AND($A61&gt;=SYear85,$A61&lt;=EYear85,L$3&gt;0),IF($A61=SYear85,L$56*(1+Data_85_15!L12%),L60*(1+Data_85_15!L12%)),"")</f>
        <v/>
      </c>
      <c r="M61" s="446" t="str">
        <f>IF(AND($A61&gt;=SYear85,$A61&lt;=EYear85,M$3&gt;0),IF($A61=SYear85,M$56*(1+Data_85_15!M12%),M60*(1+Data_85_15!M12%)),"")</f>
        <v/>
      </c>
      <c r="N61" s="446" t="str">
        <f>IF(AND($A61&gt;=SYear85,$A61&lt;=EYear85,N$3&gt;0),IF($A61=SYear85,N$56*(1+Data_85_15!N12%),N60*(1+Data_85_15!N12%)),"")</f>
        <v/>
      </c>
      <c r="O61" s="446" t="str">
        <f>IF(AND($A61&gt;=SYear85,$A61&lt;=EYear85,O$3&gt;0),IF($A61=SYear85,O$56*(1+Data_85_15!O12%),O60*(1+Data_85_15!O12%)),"")</f>
        <v/>
      </c>
      <c r="P61" s="446" t="str">
        <f>IF(AND($A61&gt;=SYear85,$A61&lt;=EYear85,P$3&gt;0),IF($A61=SYear85,P$56*(1+Data_85_15!P12%),P60*(1+Data_85_15!P12%)),"")</f>
        <v/>
      </c>
      <c r="Q61" s="446" t="str">
        <f>IF(AND($A61&gt;=SYear85,$A61&lt;=EYear85,Q$3&gt;0),IF($A61=SYear85,Q$56*(1+Data_85_15!Q12%),Q60*(1+Data_85_15!Q12%)),"")</f>
        <v/>
      </c>
      <c r="R61" s="446" t="str">
        <f>IF(AND($A61&gt;=SYear85,$A61&lt;=EYear85,R$3&gt;0),IF($A61=SYear85,R$56*(1+Data_85_15!R12%),R60*(1+Data_85_15!R12%)),"")</f>
        <v/>
      </c>
      <c r="S61" s="446">
        <f>IF(AND($A61&gt;=SYear85,$A61&lt;=EYear85,S$3&gt;0),IF($A61=SYear85,S$56*(1+Data_85_15!S12%),S60*(1+Data_85_15!S12%)),"")</f>
        <v>5064.1966239055864</v>
      </c>
      <c r="T61" s="446" t="str">
        <f>IF(AND($A61&gt;=SYear85,$A61&lt;=EYear85,T$3&gt;0),IF($A61=SYear85,T$56*(1+Data_85_15!T12%),T60*(1+Data_85_15!T12%)),"")</f>
        <v/>
      </c>
      <c r="U61" s="446" t="str">
        <f>IF(AND($A61&gt;=SYear85,$A61&lt;=EYear85,U$3&gt;0),IF($A61=SYear85,U$56*(1+Data_85_15!U12%),U60*(1+Data_85_15!U12%)),"")</f>
        <v/>
      </c>
      <c r="V61" s="446" t="str">
        <f>IF(AND($A61&gt;=SYear85,$A61&lt;=EYear85,V$3&gt;0),IF($A61=SYear85,V$56*(1+Data_85_15!V12%),V60*(1+Data_85_15!V12%)),"")</f>
        <v/>
      </c>
      <c r="W61" s="446">
        <f>IF(AND($A61&gt;=SYear85,$A61&lt;=EYear85,W$3&gt;0),IF($A61=SYear85,W$56*(1+Data_85_15!W12%),W60*(1+Data_85_15!W12%)),"")</f>
        <v>4504.2968809522208</v>
      </c>
      <c r="X61" s="446" t="str">
        <f>IF(AND($A61&gt;=SYear85,$A61&lt;=EYear85,X$3&gt;0),IF($A61=SYear85,X$56*(1+Data_85_15!X12%),X60*(1+Data_85_15!X12%)),"")</f>
        <v/>
      </c>
      <c r="Y61" s="446" t="str">
        <f>IF(AND($A61&gt;=SYear85,$A61&lt;=EYear85,Y$3&gt;0),IF($A61=SYear85,Y$56*(1+Data_85_15!Y12%),Y60*(1+Data_85_15!Y12%)),"")</f>
        <v/>
      </c>
      <c r="Z61" s="446" t="str">
        <f>IF(AND($A61&gt;=SYear85,$A61&lt;=EYear85,Z$3&gt;0),IF($A61=SYear85,Z$56*(1+Data_85_15!Z12%),Z60*(1+Data_85_15!Z12%)),"")</f>
        <v/>
      </c>
      <c r="AA61" s="446" t="str">
        <f>IF(AND($A61&gt;=SYear85,$A61&lt;=EYear85,AA$3&gt;0),IF($A61=SYear85,AA$56*(1+Data_85_15!AA12%),AA60*(1+Data_85_15!AA12%)),"")</f>
        <v/>
      </c>
      <c r="AB61" s="446" t="str">
        <f>IF(AND($A61&gt;=SYear85,$A61&lt;=EYear85,AB$3&gt;0),IF($A61=SYear85,AB$56*(1+Data_85_15!AB12%),AB60*(1+Data_85_15!AB12%)),"")</f>
        <v/>
      </c>
      <c r="AC61" s="446" t="str">
        <f>IF(AND($A61&gt;=SYear85,$A61&lt;=EYear85,AC$3&gt;0),IF($A61=SYear85,AC$56*(1+Data_85_15!AC12%),AC60*(1+Data_85_15!AC12%)),"")</f>
        <v/>
      </c>
      <c r="AD61" s="446" t="str">
        <f>IF(AND($A61&gt;=SYear85,$A61&lt;=EYear85,AD$3&gt;0),IF($A61=SYear85,AD$56*(1+Data_85_15!AD12%),AD60*(1+Data_85_15!AD12%)),"")</f>
        <v/>
      </c>
      <c r="AE61" s="446" t="str">
        <f>IF(AND($A61&gt;=SYear85,$A61&lt;=EYear85,AE$3&gt;0),IF($A61=SYear85,AE$56*(1+Data_85_15!AE12%),AE60*(1+Data_85_15!AE12%)),"")</f>
        <v/>
      </c>
      <c r="AF61" s="446" t="str">
        <f>IF(AND($A61&gt;=SYear85,$A61&lt;=EYear85,AF$3&gt;0),IF($A61=SYear85,AF$56*(1+Data_85_15!AF12%),AF60*(1+Data_85_15!AF12%)),"")</f>
        <v/>
      </c>
      <c r="AG61" s="446" t="str">
        <f>IF(AND($A61&gt;=SYear85,$A61&lt;=EYear85,AG$3&gt;0),IF($A61=SYear85,AG$56*(1+Data_85_15!AG12%),AG60*(1+Data_85_15!AG12%)),"")</f>
        <v/>
      </c>
      <c r="AH61" s="446" t="str">
        <f>IF(AND($A61&gt;=SYear85,$A61&lt;=EYear85,AH$3&gt;0),IF($A61=SYear85,AH$56*(1+Data_85_15!AH12%),AH60*(1+Data_85_15!AH12%)),"")</f>
        <v/>
      </c>
      <c r="AI61" s="446" t="str">
        <f>IF(AND($A61&gt;=SYear85,$A61&lt;=EYear85,AI$3&gt;0),IF($A61=SYear85,AI$56*(1+Data_85_15!AI12%),AI60*(1+Data_85_15!AI12%)),"")</f>
        <v/>
      </c>
      <c r="AJ61" s="446" t="str">
        <f>IF(AND($A61&gt;=SYear85,$A61&lt;=EYear85,AJ$3&gt;0),IF($A61=SYear85,AJ$56*(1+Data_85_15!AJ12%),AJ60*(1+Data_85_15!AJ12%)),"")</f>
        <v/>
      </c>
      <c r="AK61" s="446" t="str">
        <f>IF(AND($A61&gt;=SYear85,$A61&lt;=EYear85,AK$3&gt;0),IF($A61=SYear85,AK$56*(1+Data_85_15!AK12%),AK60*(1+Data_85_15!AK12%)),"")</f>
        <v/>
      </c>
      <c r="AL61" s="446" t="str">
        <f>IF(AND($A61&gt;=SYear85,$A61&lt;=EYear85,AL$3&gt;0),IF($A61=SYear85,AL$56*(1+Data_85_15!AL12%),AL60*(1+Data_85_15!AL12%)),"")</f>
        <v/>
      </c>
      <c r="AM61" s="446" t="str">
        <f>IF(AND($A61&gt;=SYear85,$A61&lt;=EYear85,AM$3&gt;0),IF($A61=SYear85,AM$56*(1+Data_85_15!AM12%),AM60*(1+Data_85_15!AM12%)),"")</f>
        <v/>
      </c>
      <c r="AN61" s="446" t="str">
        <f>IF(AND($A61&gt;=SYear85,$A61&lt;=EYear85,AN$3&gt;0),IF($A61=SYear85,AN$56*(1+Data_85_15!AN12%),AN60*(1+Data_85_15!AN12%)),"")</f>
        <v/>
      </c>
      <c r="AO61" s="446">
        <f>IF(AND($A61&gt;=SYear85,$A61&lt;=EYear85,AO$3&gt;0),IF($A61=SYear85,AO$56*(1+Data_85_15!AO12%),AO60*(1+Data_85_15!AO12%)),"")</f>
        <v>3161.187526115079</v>
      </c>
      <c r="AP61" s="206" t="str">
        <f>IF(AND($A61&gt;=SYear85,$A61&lt;=EYear85,AP$3&gt;0),IF($A61=SYear85,AP$56*(1+Data_85_15!AP12%),AP60*(1+Data_85_15!AP12%)),"")</f>
        <v/>
      </c>
      <c r="AQ61" s="206" t="str">
        <f>IF(AND($A61&gt;=SYear85,$A61&lt;=EYear85,AQ$3&gt;0),IF($A61=SYear85,AQ$56*(1+Data_85_15!AQ12%),AQ60*(1+Data_85_15!AQ12%)),"")</f>
        <v/>
      </c>
      <c r="AR61" s="206" t="str">
        <f>IF(AND($A61&gt;=SYear85,$A61&lt;=EYear85,AR$3&gt;0),IF($A61=SYear85,AR$56*(1+Data_85_15!AR12%),AR60*(1+Data_85_15!AR12%)),"")</f>
        <v/>
      </c>
      <c r="AS61" s="206" t="str">
        <f>IF(AND($A61&gt;=SYear85,$A61&lt;=EYear85,AS$3&gt;0),IF($A61=SYear85,AS$56*(1+Data_85_15!AS12%),AS60*(1+Data_85_15!AS12%)),"")</f>
        <v/>
      </c>
      <c r="AT61" s="206" t="str">
        <f>IF(AND($A61&gt;=SYear85,$A61&lt;=EYear85,AT$3&gt;0),IF($A61=SYear85,AT$56*(1+Data_85_15!AT12%),AT60*(1+Data_85_15!AT12%)),"")</f>
        <v/>
      </c>
      <c r="AU61" s="206" t="str">
        <f>IF(AND($A61&gt;=SYear85,$A61&lt;=EYear85,AU$3&gt;0),IF($A61=SYear85,AU$56*(1+Data_85_15!AU12%),AU60*(1+Data_85_15!AU12%)),"")</f>
        <v/>
      </c>
      <c r="AV61" s="206" t="str">
        <f>IF(AND($A61&gt;=SYear85,$A61&lt;=EYear85,AV$3&gt;0),IF($A61=SYear85,AV$56*(1+Data_85_15!AV12%),AV60*(1+Data_85_15!AV12%)),"")</f>
        <v/>
      </c>
      <c r="AW61" s="206" t="str">
        <f>IF(AND($A61&gt;=SYear85,$A61&lt;=EYear85,AW$3&gt;0),IF($A61=SYear85,AW$56*(1+Data_85_15!AW12%),AW60*(1+Data_85_15!AW12%)),"")</f>
        <v/>
      </c>
      <c r="AX61" s="206" t="str">
        <f>IF(AND($A61&gt;=SYear85,$A61&lt;=EYear85,AX$3&gt;0),IF($A61=SYear85,AX$56*(1+Data_85_15!AX12%),AX60*(1+Data_85_15!AX12%)),"")</f>
        <v/>
      </c>
      <c r="AY61" s="206" t="str">
        <f>IF(AND($A61&gt;=SYear85,$A61&lt;=EYear85,AY$3&gt;0),IF($A61=SYear85,AY$56*(1+Data_85_15!AY12%),AY60*(1+Data_85_15!AY12%)),"")</f>
        <v/>
      </c>
      <c r="AZ61" s="206">
        <f t="shared" si="26"/>
        <v>12.894966346006742</v>
      </c>
      <c r="BA61" s="446">
        <f t="shared" si="27"/>
        <v>18575.84046086351</v>
      </c>
      <c r="BB61" s="206">
        <f>IF(AND($A61&gt;=SYear85,$A61&lt;=EYear85),(AZ61-Data_85_15!AZ12)/(1+Data_85_15!AZ12%),"")</f>
        <v>7.881391313987403</v>
      </c>
      <c r="BC61" s="606">
        <f t="shared" si="28"/>
        <v>15511.784302370559</v>
      </c>
      <c r="BD61" s="143">
        <f t="shared" si="29"/>
        <v>1.5597601919002979</v>
      </c>
      <c r="BE61" s="143">
        <f>IF(AND($A61&gt;=SYear85,$A61&lt;=EYear85),MAX($BD$57:BD61),"")</f>
        <v>1.5597601919002979</v>
      </c>
      <c r="BF61" s="209">
        <f t="shared" si="30"/>
        <v>0</v>
      </c>
      <c r="BN61" s="61">
        <f t="shared" si="31"/>
        <v>0.12894966346006731</v>
      </c>
      <c r="BO61" s="61">
        <f t="shared" si="32"/>
        <v>9.9640863957732417E-2</v>
      </c>
      <c r="BP61" s="61">
        <f t="shared" si="33"/>
        <v>0.10770007579178476</v>
      </c>
      <c r="BQ61" s="61">
        <f t="shared" si="34"/>
        <v>0.10260367343621124</v>
      </c>
      <c r="BR61" s="61">
        <f t="shared" si="35"/>
        <v>9.5868052781816759E-2</v>
      </c>
      <c r="BU61" s="61">
        <f t="shared" si="36"/>
        <v>7.8813913139873959E-2</v>
      </c>
      <c r="BV61" s="61">
        <f t="shared" si="37"/>
        <v>5.129628712553469E-2</v>
      </c>
      <c r="BW61" s="61">
        <f t="shared" si="38"/>
        <v>6.6272208950903799E-2</v>
      </c>
      <c r="BX61" s="61">
        <f t="shared" si="39"/>
        <v>6.9203186451808341E-2</v>
      </c>
      <c r="BY61" s="61">
        <f t="shared" si="40"/>
        <v>6.526023067450093E-2</v>
      </c>
    </row>
    <row r="62" spans="1:77">
      <c r="A62" s="204">
        <f t="shared" si="41"/>
        <v>1990</v>
      </c>
      <c r="B62" s="446" t="str">
        <f>IF(AND($A62&gt;=SYear85,$A62&lt;=EYear85,B$3&gt;0),IF($A62=SYear85,B$56*(1+Data_85_15!B13%),B61*(1+Data_85_15!B13%)),"")</f>
        <v/>
      </c>
      <c r="C62" s="446" t="str">
        <f>IF(AND($A62&gt;=SYear85,$A62&lt;=EYear85,C$3&gt;0),IF($A62=SYear85,C$56*(1+Data_85_15!C13%),C61*(1+Data_85_15!C13%)),"")</f>
        <v/>
      </c>
      <c r="D62" s="446" t="str">
        <f>IF(AND($A62&gt;=SYear85,$A62&lt;=EYear85,D$3&gt;0),IF($A62=SYear85,D$56*(1+Data_85_15!D13%),D61*(1+Data_85_15!D13%)),"")</f>
        <v/>
      </c>
      <c r="E62" s="446" t="str">
        <f>IF(AND($A62&gt;=SYear85,$A62&lt;=EYear85,E$3&gt;0),IF($A62=SYear85,E$56*(1+Data_85_15!E13%),E61*(1+Data_85_15!E13%)),"")</f>
        <v/>
      </c>
      <c r="F62" s="446">
        <f>IF(AND($A62&gt;=SYear85,$A62&lt;=EYear85,F$3&gt;0),IF($A62=SYear85,F$56*(1+Data_85_15!F13%),F61*(1+Data_85_15!F13%)),"")</f>
        <v>5161.9785448001621</v>
      </c>
      <c r="G62" s="446" t="str">
        <f>IF(AND($A62&gt;=SYear85,$A62&lt;=EYear85,G$3&gt;0),IF($A62=SYear85,G$56*(1+Data_85_15!G13%),G61*(1+Data_85_15!G13%)),"")</f>
        <v/>
      </c>
      <c r="H62" s="446" t="str">
        <f>IF(AND($A62&gt;=SYear85,$A62&lt;=EYear85,H$3&gt;0),IF($A62=SYear85,H$56*(1+Data_85_15!H13%),H61*(1+Data_85_15!H13%)),"")</f>
        <v/>
      </c>
      <c r="I62" s="446" t="str">
        <f>IF(AND($A62&gt;=SYear85,$A62&lt;=EYear85,I$3&gt;0),IF($A62=SYear85,I$56*(1+Data_85_15!I13%),I61*(1+Data_85_15!I13%)),"")</f>
        <v/>
      </c>
      <c r="J62" s="446" t="str">
        <f>IF(AND($A62&gt;=SYear85,$A62&lt;=EYear85,J$3&gt;0),IF($A62=SYear85,J$56*(1+Data_85_15!J13%),J61*(1+Data_85_15!J13%)),"")</f>
        <v/>
      </c>
      <c r="K62" s="446" t="str">
        <f>IF(AND($A62&gt;=SYear85,$A62&lt;=EYear85,K$3&gt;0),IF($A62=SYear85,K$56*(1+Data_85_15!K13%),K61*(1+Data_85_15!K13%)),"")</f>
        <v/>
      </c>
      <c r="L62" s="446" t="str">
        <f>IF(AND($A62&gt;=SYear85,$A62&lt;=EYear85,L$3&gt;0),IF($A62=SYear85,L$56*(1+Data_85_15!L13%),L61*(1+Data_85_15!L13%)),"")</f>
        <v/>
      </c>
      <c r="M62" s="446" t="str">
        <f>IF(AND($A62&gt;=SYear85,$A62&lt;=EYear85,M$3&gt;0),IF($A62=SYear85,M$56*(1+Data_85_15!M13%),M61*(1+Data_85_15!M13%)),"")</f>
        <v/>
      </c>
      <c r="N62" s="446" t="str">
        <f>IF(AND($A62&gt;=SYear85,$A62&lt;=EYear85,N$3&gt;0),IF($A62=SYear85,N$56*(1+Data_85_15!N13%),N61*(1+Data_85_15!N13%)),"")</f>
        <v/>
      </c>
      <c r="O62" s="446" t="str">
        <f>IF(AND($A62&gt;=SYear85,$A62&lt;=EYear85,O$3&gt;0),IF($A62=SYear85,O$56*(1+Data_85_15!O13%),O61*(1+Data_85_15!O13%)),"")</f>
        <v/>
      </c>
      <c r="P62" s="446" t="str">
        <f>IF(AND($A62&gt;=SYear85,$A62&lt;=EYear85,P$3&gt;0),IF($A62=SYear85,P$56*(1+Data_85_15!P13%),P61*(1+Data_85_15!P13%)),"")</f>
        <v/>
      </c>
      <c r="Q62" s="446" t="str">
        <f>IF(AND($A62&gt;=SYear85,$A62&lt;=EYear85,Q$3&gt;0),IF($A62=SYear85,Q$56*(1+Data_85_15!Q13%),Q61*(1+Data_85_15!Q13%)),"")</f>
        <v/>
      </c>
      <c r="R62" s="446" t="str">
        <f>IF(AND($A62&gt;=SYear85,$A62&lt;=EYear85,R$3&gt;0),IF($A62=SYear85,R$56*(1+Data_85_15!R13%),R61*(1+Data_85_15!R13%)),"")</f>
        <v/>
      </c>
      <c r="S62" s="446">
        <f>IF(AND($A62&gt;=SYear85,$A62&lt;=EYear85,S$3&gt;0),IF($A62=SYear85,S$56*(1+Data_85_15!S13%),S61*(1+Data_85_15!S13%)),"")</f>
        <v>5356.9071887673299</v>
      </c>
      <c r="T62" s="446" t="str">
        <f>IF(AND($A62&gt;=SYear85,$A62&lt;=EYear85,T$3&gt;0),IF($A62=SYear85,T$56*(1+Data_85_15!T13%),T61*(1+Data_85_15!T13%)),"")</f>
        <v/>
      </c>
      <c r="U62" s="446" t="str">
        <f>IF(AND($A62&gt;=SYear85,$A62&lt;=EYear85,U$3&gt;0),IF($A62=SYear85,U$56*(1+Data_85_15!U13%),U61*(1+Data_85_15!U13%)),"")</f>
        <v/>
      </c>
      <c r="V62" s="446" t="str">
        <f>IF(AND($A62&gt;=SYear85,$A62&lt;=EYear85,V$3&gt;0),IF($A62=SYear85,V$56*(1+Data_85_15!V13%),V61*(1+Data_85_15!V13%)),"")</f>
        <v/>
      </c>
      <c r="W62" s="446">
        <f>IF(AND($A62&gt;=SYear85,$A62&lt;=EYear85,W$3&gt;0),IF($A62=SYear85,W$56*(1+Data_85_15!W13%),W61*(1+Data_85_15!W13%)),"")</f>
        <v>4774.0152570571445</v>
      </c>
      <c r="X62" s="446" t="str">
        <f>IF(AND($A62&gt;=SYear85,$A62&lt;=EYear85,X$3&gt;0),IF($A62=SYear85,X$56*(1+Data_85_15!X13%),X61*(1+Data_85_15!X13%)),"")</f>
        <v/>
      </c>
      <c r="Y62" s="446" t="str">
        <f>IF(AND($A62&gt;=SYear85,$A62&lt;=EYear85,Y$3&gt;0),IF($A62=SYear85,Y$56*(1+Data_85_15!Y13%),Y61*(1+Data_85_15!Y13%)),"")</f>
        <v/>
      </c>
      <c r="Z62" s="446" t="str">
        <f>IF(AND($A62&gt;=SYear85,$A62&lt;=EYear85,Z$3&gt;0),IF($A62=SYear85,Z$56*(1+Data_85_15!Z13%),Z61*(1+Data_85_15!Z13%)),"")</f>
        <v/>
      </c>
      <c r="AA62" s="446" t="str">
        <f>IF(AND($A62&gt;=SYear85,$A62&lt;=EYear85,AA$3&gt;0),IF($A62=SYear85,AA$56*(1+Data_85_15!AA13%),AA61*(1+Data_85_15!AA13%)),"")</f>
        <v/>
      </c>
      <c r="AB62" s="446" t="str">
        <f>IF(AND($A62&gt;=SYear85,$A62&lt;=EYear85,AB$3&gt;0),IF($A62=SYear85,AB$56*(1+Data_85_15!AB13%),AB61*(1+Data_85_15!AB13%)),"")</f>
        <v/>
      </c>
      <c r="AC62" s="446" t="str">
        <f>IF(AND($A62&gt;=SYear85,$A62&lt;=EYear85,AC$3&gt;0),IF($A62=SYear85,AC$56*(1+Data_85_15!AC13%),AC61*(1+Data_85_15!AC13%)),"")</f>
        <v/>
      </c>
      <c r="AD62" s="446" t="str">
        <f>IF(AND($A62&gt;=SYear85,$A62&lt;=EYear85,AD$3&gt;0),IF($A62=SYear85,AD$56*(1+Data_85_15!AD13%),AD61*(1+Data_85_15!AD13%)),"")</f>
        <v/>
      </c>
      <c r="AE62" s="446" t="str">
        <f>IF(AND($A62&gt;=SYear85,$A62&lt;=EYear85,AE$3&gt;0),IF($A62=SYear85,AE$56*(1+Data_85_15!AE13%),AE61*(1+Data_85_15!AE13%)),"")</f>
        <v/>
      </c>
      <c r="AF62" s="446" t="str">
        <f>IF(AND($A62&gt;=SYear85,$A62&lt;=EYear85,AF$3&gt;0),IF($A62=SYear85,AF$56*(1+Data_85_15!AF13%),AF61*(1+Data_85_15!AF13%)),"")</f>
        <v/>
      </c>
      <c r="AG62" s="446" t="str">
        <f>IF(AND($A62&gt;=SYear85,$A62&lt;=EYear85,AG$3&gt;0),IF($A62=SYear85,AG$56*(1+Data_85_15!AG13%),AG61*(1+Data_85_15!AG13%)),"")</f>
        <v/>
      </c>
      <c r="AH62" s="446" t="str">
        <f>IF(AND($A62&gt;=SYear85,$A62&lt;=EYear85,AH$3&gt;0),IF($A62=SYear85,AH$56*(1+Data_85_15!AH13%),AH61*(1+Data_85_15!AH13%)),"")</f>
        <v/>
      </c>
      <c r="AI62" s="446" t="str">
        <f>IF(AND($A62&gt;=SYear85,$A62&lt;=EYear85,AI$3&gt;0),IF($A62=SYear85,AI$56*(1+Data_85_15!AI13%),AI61*(1+Data_85_15!AI13%)),"")</f>
        <v/>
      </c>
      <c r="AJ62" s="446" t="str">
        <f>IF(AND($A62&gt;=SYear85,$A62&lt;=EYear85,AJ$3&gt;0),IF($A62=SYear85,AJ$56*(1+Data_85_15!AJ13%),AJ61*(1+Data_85_15!AJ13%)),"")</f>
        <v/>
      </c>
      <c r="AK62" s="446" t="str">
        <f>IF(AND($A62&gt;=SYear85,$A62&lt;=EYear85,AK$3&gt;0),IF($A62=SYear85,AK$56*(1+Data_85_15!AK13%),AK61*(1+Data_85_15!AK13%)),"")</f>
        <v/>
      </c>
      <c r="AL62" s="446" t="str">
        <f>IF(AND($A62&gt;=SYear85,$A62&lt;=EYear85,AL$3&gt;0),IF($A62=SYear85,AL$56*(1+Data_85_15!AL13%),AL61*(1+Data_85_15!AL13%)),"")</f>
        <v/>
      </c>
      <c r="AM62" s="446" t="str">
        <f>IF(AND($A62&gt;=SYear85,$A62&lt;=EYear85,AM$3&gt;0),IF($A62=SYear85,AM$56*(1+Data_85_15!AM13%),AM61*(1+Data_85_15!AM13%)),"")</f>
        <v/>
      </c>
      <c r="AN62" s="446" t="str">
        <f>IF(AND($A62&gt;=SYear85,$A62&lt;=EYear85,AN$3&gt;0),IF($A62=SYear85,AN$56*(1+Data_85_15!AN13%),AN61*(1+Data_85_15!AN13%)),"")</f>
        <v/>
      </c>
      <c r="AO62" s="446">
        <f>IF(AND($A62&gt;=SYear85,$A62&lt;=EYear85,AO$3&gt;0),IF($A62=SYear85,AO$56*(1+Data_85_15!AO13%),AO61*(1+Data_85_15!AO13%)),"")</f>
        <v>3102.3832439476846</v>
      </c>
      <c r="AP62" s="206" t="str">
        <f>IF(AND($A62&gt;=SYear85,$A62&lt;=EYear85,AP$3&gt;0),IF($A62=SYear85,AP$56*(1+Data_85_15!AP13%),AP61*(1+Data_85_15!AP13%)),"")</f>
        <v/>
      </c>
      <c r="AQ62" s="206" t="str">
        <f>IF(AND($A62&gt;=SYear85,$A62&lt;=EYear85,AQ$3&gt;0),IF($A62=SYear85,AQ$56*(1+Data_85_15!AQ13%),AQ61*(1+Data_85_15!AQ13%)),"")</f>
        <v/>
      </c>
      <c r="AR62" s="206" t="str">
        <f>IF(AND($A62&gt;=SYear85,$A62&lt;=EYear85,AR$3&gt;0),IF($A62=SYear85,AR$56*(1+Data_85_15!AR13%),AR61*(1+Data_85_15!AR13%)),"")</f>
        <v/>
      </c>
      <c r="AS62" s="206" t="str">
        <f>IF(AND($A62&gt;=SYear85,$A62&lt;=EYear85,AS$3&gt;0),IF($A62=SYear85,AS$56*(1+Data_85_15!AS13%),AS61*(1+Data_85_15!AS13%)),"")</f>
        <v/>
      </c>
      <c r="AT62" s="206" t="str">
        <f>IF(AND($A62&gt;=SYear85,$A62&lt;=EYear85,AT$3&gt;0),IF($A62=SYear85,AT$56*(1+Data_85_15!AT13%),AT61*(1+Data_85_15!AT13%)),"")</f>
        <v/>
      </c>
      <c r="AU62" s="206" t="str">
        <f>IF(AND($A62&gt;=SYear85,$A62&lt;=EYear85,AU$3&gt;0),IF($A62=SYear85,AU$56*(1+Data_85_15!AU13%),AU61*(1+Data_85_15!AU13%)),"")</f>
        <v/>
      </c>
      <c r="AV62" s="206" t="str">
        <f>IF(AND($A62&gt;=SYear85,$A62&lt;=EYear85,AV$3&gt;0),IF($A62=SYear85,AV$56*(1+Data_85_15!AV13%),AV61*(1+Data_85_15!AV13%)),"")</f>
        <v/>
      </c>
      <c r="AW62" s="206" t="str">
        <f>IF(AND($A62&gt;=SYear85,$A62&lt;=EYear85,AW$3&gt;0),IF($A62=SYear85,AW$56*(1+Data_85_15!AW13%),AW61*(1+Data_85_15!AW13%)),"")</f>
        <v/>
      </c>
      <c r="AX62" s="206" t="str">
        <f>IF(AND($A62&gt;=SYear85,$A62&lt;=EYear85,AX$3&gt;0),IF($A62=SYear85,AX$56*(1+Data_85_15!AX13%),AX61*(1+Data_85_15!AX13%)),"")</f>
        <v/>
      </c>
      <c r="AY62" s="206" t="str">
        <f>IF(AND($A62&gt;=SYear85,$A62&lt;=EYear85,AY$3&gt;0),IF($A62=SYear85,AY$56*(1+Data_85_15!AY13%),AY61*(1+Data_85_15!AY13%)),"")</f>
        <v/>
      </c>
      <c r="AZ62" s="206">
        <f t="shared" si="26"/>
        <v>-0.97199492357611705</v>
      </c>
      <c r="BA62" s="446">
        <f t="shared" si="27"/>
        <v>18395.284234572318</v>
      </c>
      <c r="BB62" s="206">
        <f>IF(AND($A62&gt;=SYear85,$A62&lt;=EYear85),(AZ62-Data_85_15!AZ13)/(1+Data_85_15!AZ13%),"")</f>
        <v>-6.6709159929966448</v>
      </c>
      <c r="BC62" s="606">
        <f t="shared" si="28"/>
        <v>14477.006202544577</v>
      </c>
      <c r="BD62" s="143">
        <f t="shared" si="29"/>
        <v>1.544599402015066</v>
      </c>
      <c r="BE62" s="143">
        <f>IF(AND($A62&gt;=SYear85,$A62&lt;=EYear85),MAX($BD$57:BD62),"")</f>
        <v>1.5597601919002979</v>
      </c>
      <c r="BF62" s="209">
        <f t="shared" si="30"/>
        <v>9.7199492357611383E-3</v>
      </c>
      <c r="BN62" s="61">
        <f t="shared" si="31"/>
        <v>-9.7199492357611383E-3</v>
      </c>
      <c r="BO62" s="61">
        <f t="shared" si="32"/>
        <v>8.5389605388848766E-2</v>
      </c>
      <c r="BP62" s="61">
        <f t="shared" si="33"/>
        <v>7.5961865807938178E-2</v>
      </c>
      <c r="BQ62" s="61">
        <f t="shared" si="34"/>
        <v>9.6048092652017525E-2</v>
      </c>
      <c r="BR62" s="61">
        <f t="shared" si="35"/>
        <v>9.6519038695258796E-2</v>
      </c>
      <c r="BU62" s="61">
        <f t="shared" si="36"/>
        <v>-6.6709159929966511E-2</v>
      </c>
      <c r="BV62" s="61">
        <f t="shared" si="37"/>
        <v>4.3509855464006542E-2</v>
      </c>
      <c r="BW62" s="61">
        <f t="shared" si="38"/>
        <v>3.9670057819622961E-2</v>
      </c>
      <c r="BX62" s="61">
        <f t="shared" si="39"/>
        <v>6.4860475754178859E-2</v>
      </c>
      <c r="BY62" s="61">
        <f t="shared" si="40"/>
        <v>6.6844845439979261E-2</v>
      </c>
    </row>
    <row r="63" spans="1:77">
      <c r="A63" s="204">
        <f t="shared" si="41"/>
        <v>1991</v>
      </c>
      <c r="B63" s="446" t="str">
        <f>IF(AND($A63&gt;=SYear85,$A63&lt;=EYear85,B$3&gt;0),IF($A63=SYear85,B$56*(1+Data_85_15!B14%),B62*(1+Data_85_15!B14%)),"")</f>
        <v/>
      </c>
      <c r="C63" s="446" t="str">
        <f>IF(AND($A63&gt;=SYear85,$A63&lt;=EYear85,C$3&gt;0),IF($A63=SYear85,C$56*(1+Data_85_15!C14%),C62*(1+Data_85_15!C14%)),"")</f>
        <v/>
      </c>
      <c r="D63" s="446" t="str">
        <f>IF(AND($A63&gt;=SYear85,$A63&lt;=EYear85,D$3&gt;0),IF($A63=SYear85,D$56*(1+Data_85_15!D14%),D62*(1+Data_85_15!D14%)),"")</f>
        <v/>
      </c>
      <c r="E63" s="446" t="str">
        <f>IF(AND($A63&gt;=SYear85,$A63&lt;=EYear85,E$3&gt;0),IF($A63=SYear85,E$56*(1+Data_85_15!E14%),E62*(1+Data_85_15!E14%)),"")</f>
        <v/>
      </c>
      <c r="F63" s="446">
        <f>IF(AND($A63&gt;=SYear85,$A63&lt;=EYear85,F$3&gt;0),IF($A63=SYear85,F$56*(1+Data_85_15!F14%),F62*(1+Data_85_15!F14%)),"")</f>
        <v>7287.4385322680137</v>
      </c>
      <c r="G63" s="446" t="str">
        <f>IF(AND($A63&gt;=SYear85,$A63&lt;=EYear85,G$3&gt;0),IF($A63=SYear85,G$56*(1+Data_85_15!G14%),G62*(1+Data_85_15!G14%)),"")</f>
        <v/>
      </c>
      <c r="H63" s="446" t="str">
        <f>IF(AND($A63&gt;=SYear85,$A63&lt;=EYear85,H$3&gt;0),IF($A63=SYear85,H$56*(1+Data_85_15!H14%),H62*(1+Data_85_15!H14%)),"")</f>
        <v/>
      </c>
      <c r="I63" s="446" t="str">
        <f>IF(AND($A63&gt;=SYear85,$A63&lt;=EYear85,I$3&gt;0),IF($A63=SYear85,I$56*(1+Data_85_15!I14%),I62*(1+Data_85_15!I14%)),"")</f>
        <v/>
      </c>
      <c r="J63" s="446" t="str">
        <f>IF(AND($A63&gt;=SYear85,$A63&lt;=EYear85,J$3&gt;0),IF($A63=SYear85,J$56*(1+Data_85_15!J14%),J62*(1+Data_85_15!J14%)),"")</f>
        <v/>
      </c>
      <c r="K63" s="446" t="str">
        <f>IF(AND($A63&gt;=SYear85,$A63&lt;=EYear85,K$3&gt;0),IF($A63=SYear85,K$56*(1+Data_85_15!K14%),K62*(1+Data_85_15!K14%)),"")</f>
        <v/>
      </c>
      <c r="L63" s="446" t="str">
        <f>IF(AND($A63&gt;=SYear85,$A63&lt;=EYear85,L$3&gt;0),IF($A63=SYear85,L$56*(1+Data_85_15!L14%),L62*(1+Data_85_15!L14%)),"")</f>
        <v/>
      </c>
      <c r="M63" s="446" t="str">
        <f>IF(AND($A63&gt;=SYear85,$A63&lt;=EYear85,M$3&gt;0),IF($A63=SYear85,M$56*(1+Data_85_15!M14%),M62*(1+Data_85_15!M14%)),"")</f>
        <v/>
      </c>
      <c r="N63" s="446" t="str">
        <f>IF(AND($A63&gt;=SYear85,$A63&lt;=EYear85,N$3&gt;0),IF($A63=SYear85,N$56*(1+Data_85_15!N14%),N62*(1+Data_85_15!N14%)),"")</f>
        <v/>
      </c>
      <c r="O63" s="446" t="str">
        <f>IF(AND($A63&gt;=SYear85,$A63&lt;=EYear85,O$3&gt;0),IF($A63=SYear85,O$56*(1+Data_85_15!O14%),O62*(1+Data_85_15!O14%)),"")</f>
        <v/>
      </c>
      <c r="P63" s="446" t="str">
        <f>IF(AND($A63&gt;=SYear85,$A63&lt;=EYear85,P$3&gt;0),IF($A63=SYear85,P$56*(1+Data_85_15!P14%),P62*(1+Data_85_15!P14%)),"")</f>
        <v/>
      </c>
      <c r="Q63" s="446" t="str">
        <f>IF(AND($A63&gt;=SYear85,$A63&lt;=EYear85,Q$3&gt;0),IF($A63=SYear85,Q$56*(1+Data_85_15!Q14%),Q62*(1+Data_85_15!Q14%)),"")</f>
        <v/>
      </c>
      <c r="R63" s="446" t="str">
        <f>IF(AND($A63&gt;=SYear85,$A63&lt;=EYear85,R$3&gt;0),IF($A63=SYear85,R$56*(1+Data_85_15!R14%),R62*(1+Data_85_15!R14%)),"")</f>
        <v/>
      </c>
      <c r="S63" s="446">
        <f>IF(AND($A63&gt;=SYear85,$A63&lt;=EYear85,S$3&gt;0),IF($A63=SYear85,S$56*(1+Data_85_15!S14%),S62*(1+Data_85_15!S14%)),"")</f>
        <v>6290.6161117694764</v>
      </c>
      <c r="T63" s="446" t="str">
        <f>IF(AND($A63&gt;=SYear85,$A63&lt;=EYear85,T$3&gt;0),IF($A63=SYear85,T$56*(1+Data_85_15!T14%),T62*(1+Data_85_15!T14%)),"")</f>
        <v/>
      </c>
      <c r="U63" s="446" t="str">
        <f>IF(AND($A63&gt;=SYear85,$A63&lt;=EYear85,U$3&gt;0),IF($A63=SYear85,U$56*(1+Data_85_15!U14%),U62*(1+Data_85_15!U14%)),"")</f>
        <v/>
      </c>
      <c r="V63" s="446" t="str">
        <f>IF(AND($A63&gt;=SYear85,$A63&lt;=EYear85,V$3&gt;0),IF($A63=SYear85,V$56*(1+Data_85_15!V14%),V62*(1+Data_85_15!V14%)),"")</f>
        <v/>
      </c>
      <c r="W63" s="446">
        <f>IF(AND($A63&gt;=SYear85,$A63&lt;=EYear85,W$3&gt;0),IF($A63=SYear85,W$56*(1+Data_85_15!W14%),W62*(1+Data_85_15!W14%)),"")</f>
        <v>5522.039603721787</v>
      </c>
      <c r="X63" s="446" t="str">
        <f>IF(AND($A63&gt;=SYear85,$A63&lt;=EYear85,X$3&gt;0),IF($A63=SYear85,X$56*(1+Data_85_15!X14%),X62*(1+Data_85_15!X14%)),"")</f>
        <v/>
      </c>
      <c r="Y63" s="446" t="str">
        <f>IF(AND($A63&gt;=SYear85,$A63&lt;=EYear85,Y$3&gt;0),IF($A63=SYear85,Y$56*(1+Data_85_15!Y14%),Y62*(1+Data_85_15!Y14%)),"")</f>
        <v/>
      </c>
      <c r="Z63" s="446" t="str">
        <f>IF(AND($A63&gt;=SYear85,$A63&lt;=EYear85,Z$3&gt;0),IF($A63=SYear85,Z$56*(1+Data_85_15!Z14%),Z62*(1+Data_85_15!Z14%)),"")</f>
        <v/>
      </c>
      <c r="AA63" s="446" t="str">
        <f>IF(AND($A63&gt;=SYear85,$A63&lt;=EYear85,AA$3&gt;0),IF($A63=SYear85,AA$56*(1+Data_85_15!AA14%),AA62*(1+Data_85_15!AA14%)),"")</f>
        <v/>
      </c>
      <c r="AB63" s="446" t="str">
        <f>IF(AND($A63&gt;=SYear85,$A63&lt;=EYear85,AB$3&gt;0),IF($A63=SYear85,AB$56*(1+Data_85_15!AB14%),AB62*(1+Data_85_15!AB14%)),"")</f>
        <v/>
      </c>
      <c r="AC63" s="446" t="str">
        <f>IF(AND($A63&gt;=SYear85,$A63&lt;=EYear85,AC$3&gt;0),IF($A63=SYear85,AC$56*(1+Data_85_15!AC14%),AC62*(1+Data_85_15!AC14%)),"")</f>
        <v/>
      </c>
      <c r="AD63" s="446" t="str">
        <f>IF(AND($A63&gt;=SYear85,$A63&lt;=EYear85,AD$3&gt;0),IF($A63=SYear85,AD$56*(1+Data_85_15!AD14%),AD62*(1+Data_85_15!AD14%)),"")</f>
        <v/>
      </c>
      <c r="AE63" s="446" t="str">
        <f>IF(AND($A63&gt;=SYear85,$A63&lt;=EYear85,AE$3&gt;0),IF($A63=SYear85,AE$56*(1+Data_85_15!AE14%),AE62*(1+Data_85_15!AE14%)),"")</f>
        <v/>
      </c>
      <c r="AF63" s="446" t="str">
        <f>IF(AND($A63&gt;=SYear85,$A63&lt;=EYear85,AF$3&gt;0),IF($A63=SYear85,AF$56*(1+Data_85_15!AF14%),AF62*(1+Data_85_15!AF14%)),"")</f>
        <v/>
      </c>
      <c r="AG63" s="446" t="str">
        <f>IF(AND($A63&gt;=SYear85,$A63&lt;=EYear85,AG$3&gt;0),IF($A63=SYear85,AG$56*(1+Data_85_15!AG14%),AG62*(1+Data_85_15!AG14%)),"")</f>
        <v/>
      </c>
      <c r="AH63" s="446" t="str">
        <f>IF(AND($A63&gt;=SYear85,$A63&lt;=EYear85,AH$3&gt;0),IF($A63=SYear85,AH$56*(1+Data_85_15!AH14%),AH62*(1+Data_85_15!AH14%)),"")</f>
        <v/>
      </c>
      <c r="AI63" s="446" t="str">
        <f>IF(AND($A63&gt;=SYear85,$A63&lt;=EYear85,AI$3&gt;0),IF($A63=SYear85,AI$56*(1+Data_85_15!AI14%),AI62*(1+Data_85_15!AI14%)),"")</f>
        <v/>
      </c>
      <c r="AJ63" s="446" t="str">
        <f>IF(AND($A63&gt;=SYear85,$A63&lt;=EYear85,AJ$3&gt;0),IF($A63=SYear85,AJ$56*(1+Data_85_15!AJ14%),AJ62*(1+Data_85_15!AJ14%)),"")</f>
        <v/>
      </c>
      <c r="AK63" s="446" t="str">
        <f>IF(AND($A63&gt;=SYear85,$A63&lt;=EYear85,AK$3&gt;0),IF($A63=SYear85,AK$56*(1+Data_85_15!AK14%),AK62*(1+Data_85_15!AK14%)),"")</f>
        <v/>
      </c>
      <c r="AL63" s="446" t="str">
        <f>IF(AND($A63&gt;=SYear85,$A63&lt;=EYear85,AL$3&gt;0),IF($A63=SYear85,AL$56*(1+Data_85_15!AL14%),AL62*(1+Data_85_15!AL14%)),"")</f>
        <v/>
      </c>
      <c r="AM63" s="446" t="str">
        <f>IF(AND($A63&gt;=SYear85,$A63&lt;=EYear85,AM$3&gt;0),IF($A63=SYear85,AM$56*(1+Data_85_15!AM14%),AM62*(1+Data_85_15!AM14%)),"")</f>
        <v/>
      </c>
      <c r="AN63" s="446" t="str">
        <f>IF(AND($A63&gt;=SYear85,$A63&lt;=EYear85,AN$3&gt;0),IF($A63=SYear85,AN$56*(1+Data_85_15!AN14%),AN62*(1+Data_85_15!AN14%)),"")</f>
        <v/>
      </c>
      <c r="AO63" s="446">
        <f>IF(AND($A63&gt;=SYear85,$A63&lt;=EYear85,AO$3&gt;0),IF($A63=SYear85,AO$56*(1+Data_85_15!AO14%),AO62*(1+Data_85_15!AO14%)),"")</f>
        <v>2778.8572299277039</v>
      </c>
      <c r="AP63" s="206" t="str">
        <f>IF(AND($A63&gt;=SYear85,$A63&lt;=EYear85,AP$3&gt;0),IF($A63=SYear85,AP$56*(1+Data_85_15!AP14%),AP62*(1+Data_85_15!AP14%)),"")</f>
        <v/>
      </c>
      <c r="AQ63" s="206" t="str">
        <f>IF(AND($A63&gt;=SYear85,$A63&lt;=EYear85,AQ$3&gt;0),IF($A63=SYear85,AQ$56*(1+Data_85_15!AQ14%),AQ62*(1+Data_85_15!AQ14%)),"")</f>
        <v/>
      </c>
      <c r="AR63" s="206" t="str">
        <f>IF(AND($A63&gt;=SYear85,$A63&lt;=EYear85,AR$3&gt;0),IF($A63=SYear85,AR$56*(1+Data_85_15!AR14%),AR62*(1+Data_85_15!AR14%)),"")</f>
        <v/>
      </c>
      <c r="AS63" s="206" t="str">
        <f>IF(AND($A63&gt;=SYear85,$A63&lt;=EYear85,AS$3&gt;0),IF($A63=SYear85,AS$56*(1+Data_85_15!AS14%),AS62*(1+Data_85_15!AS14%)),"")</f>
        <v/>
      </c>
      <c r="AT63" s="206" t="str">
        <f>IF(AND($A63&gt;=SYear85,$A63&lt;=EYear85,AT$3&gt;0),IF($A63=SYear85,AT$56*(1+Data_85_15!AT14%),AT62*(1+Data_85_15!AT14%)),"")</f>
        <v/>
      </c>
      <c r="AU63" s="206" t="str">
        <f>IF(AND($A63&gt;=SYear85,$A63&lt;=EYear85,AU$3&gt;0),IF($A63=SYear85,AU$56*(1+Data_85_15!AU14%),AU62*(1+Data_85_15!AU14%)),"")</f>
        <v/>
      </c>
      <c r="AV63" s="206" t="str">
        <f>IF(AND($A63&gt;=SYear85,$A63&lt;=EYear85,AV$3&gt;0),IF($A63=SYear85,AV$56*(1+Data_85_15!AV14%),AV62*(1+Data_85_15!AV14%)),"")</f>
        <v/>
      </c>
      <c r="AW63" s="206" t="str">
        <f>IF(AND($A63&gt;=SYear85,$A63&lt;=EYear85,AW$3&gt;0),IF($A63=SYear85,AW$56*(1+Data_85_15!AW14%),AW62*(1+Data_85_15!AW14%)),"")</f>
        <v/>
      </c>
      <c r="AX63" s="206" t="str">
        <f>IF(AND($A63&gt;=SYear85,$A63&lt;=EYear85,AX$3&gt;0),IF($A63=SYear85,AX$56*(1+Data_85_15!AX14%),AX62*(1+Data_85_15!AX14%)),"")</f>
        <v/>
      </c>
      <c r="AY63" s="206" t="str">
        <f>IF(AND($A63&gt;=SYear85,$A63&lt;=EYear85,AY$3&gt;0),IF($A63=SYear85,AY$56*(1+Data_85_15!AY14%),AY62*(1+Data_85_15!AY14%)),"")</f>
        <v/>
      </c>
      <c r="AZ63" s="206">
        <f t="shared" si="26"/>
        <v>18.937827753525088</v>
      </c>
      <c r="BA63" s="446">
        <f t="shared" si="27"/>
        <v>21878.95147768698</v>
      </c>
      <c r="BB63" s="206">
        <f>IF(AND($A63&gt;=SYear85,$A63&lt;=EYear85),(AZ63-Data_85_15!AZ14)/(1+Data_85_15!AZ14%),"")</f>
        <v>15.401605173471037</v>
      </c>
      <c r="BC63" s="606">
        <f t="shared" si="28"/>
        <v>16706.697538799406</v>
      </c>
      <c r="BD63" s="143">
        <f t="shared" si="29"/>
        <v>1.8371129762506575</v>
      </c>
      <c r="BE63" s="143">
        <f>IF(AND($A63&gt;=SYear85,$A63&lt;=EYear85),MAX($BD$57:BD63),"")</f>
        <v>1.8371129762506575</v>
      </c>
      <c r="BF63" s="209">
        <f t="shared" si="30"/>
        <v>0</v>
      </c>
      <c r="BN63" s="61">
        <f t="shared" si="31"/>
        <v>0.18937827753525083</v>
      </c>
      <c r="BO63" s="61">
        <f t="shared" si="32"/>
        <v>0.14259619327513051</v>
      </c>
      <c r="BP63" s="61">
        <f t="shared" si="33"/>
        <v>0.11896624583749427</v>
      </c>
      <c r="BQ63" s="61">
        <f t="shared" si="34"/>
        <v>0.11236614406960865</v>
      </c>
      <c r="BR63" s="61">
        <f t="shared" si="35"/>
        <v>0.10442453696615051</v>
      </c>
      <c r="BU63" s="61">
        <f t="shared" si="36"/>
        <v>0.15401605173471045</v>
      </c>
      <c r="BV63" s="61">
        <f t="shared" si="37"/>
        <v>0.1103476284102487</v>
      </c>
      <c r="BW63" s="61">
        <f t="shared" si="38"/>
        <v>8.8645627897037782E-2</v>
      </c>
      <c r="BX63" s="61">
        <f t="shared" si="39"/>
        <v>8.3523783882935687E-2</v>
      </c>
      <c r="BY63" s="61">
        <f t="shared" si="40"/>
        <v>7.6377922499448303E-2</v>
      </c>
    </row>
    <row r="64" spans="1:77">
      <c r="A64" s="204">
        <f t="shared" si="41"/>
        <v>1992</v>
      </c>
      <c r="B64" s="446" t="str">
        <f>IF(AND($A64&gt;=SYear85,$A64&lt;=EYear85,B$3&gt;0),IF($A64=SYear85,B$56*(1+Data_85_15!B15%),B63*(1+Data_85_15!B15%)),"")</f>
        <v/>
      </c>
      <c r="C64" s="446" t="str">
        <f>IF(AND($A64&gt;=SYear85,$A64&lt;=EYear85,C$3&gt;0),IF($A64=SYear85,C$56*(1+Data_85_15!C15%),C63*(1+Data_85_15!C15%)),"")</f>
        <v/>
      </c>
      <c r="D64" s="446" t="str">
        <f>IF(AND($A64&gt;=SYear85,$A64&lt;=EYear85,D$3&gt;0),IF($A64=SYear85,D$56*(1+Data_85_15!D15%),D63*(1+Data_85_15!D15%)),"")</f>
        <v/>
      </c>
      <c r="E64" s="446" t="str">
        <f>IF(AND($A64&gt;=SYear85,$A64&lt;=EYear85,E$3&gt;0),IF($A64=SYear85,E$56*(1+Data_85_15!E15%),E63*(1+Data_85_15!E15%)),"")</f>
        <v/>
      </c>
      <c r="F64" s="446">
        <f>IF(AND($A64&gt;=SYear85,$A64&lt;=EYear85,F$3&gt;0),IF($A64=SYear85,F$56*(1+Data_85_15!F15%),F63*(1+Data_85_15!F15%)),"")</f>
        <v>8463.1132909906883</v>
      </c>
      <c r="G64" s="446" t="str">
        <f>IF(AND($A64&gt;=SYear85,$A64&lt;=EYear85,G$3&gt;0),IF($A64=SYear85,G$56*(1+Data_85_15!G15%),G63*(1+Data_85_15!G15%)),"")</f>
        <v/>
      </c>
      <c r="H64" s="446" t="str">
        <f>IF(AND($A64&gt;=SYear85,$A64&lt;=EYear85,H$3&gt;0),IF($A64=SYear85,H$56*(1+Data_85_15!H15%),H63*(1+Data_85_15!H15%)),"")</f>
        <v/>
      </c>
      <c r="I64" s="446" t="str">
        <f>IF(AND($A64&gt;=SYear85,$A64&lt;=EYear85,I$3&gt;0),IF($A64=SYear85,I$56*(1+Data_85_15!I15%),I63*(1+Data_85_15!I15%)),"")</f>
        <v/>
      </c>
      <c r="J64" s="446" t="str">
        <f>IF(AND($A64&gt;=SYear85,$A64&lt;=EYear85,J$3&gt;0),IF($A64=SYear85,J$56*(1+Data_85_15!J15%),J63*(1+Data_85_15!J15%)),"")</f>
        <v/>
      </c>
      <c r="K64" s="446" t="str">
        <f>IF(AND($A64&gt;=SYear85,$A64&lt;=EYear85,K$3&gt;0),IF($A64=SYear85,K$56*(1+Data_85_15!K15%),K63*(1+Data_85_15!K15%)),"")</f>
        <v/>
      </c>
      <c r="L64" s="446" t="str">
        <f>IF(AND($A64&gt;=SYear85,$A64&lt;=EYear85,L$3&gt;0),IF($A64=SYear85,L$56*(1+Data_85_15!L15%),L63*(1+Data_85_15!L15%)),"")</f>
        <v/>
      </c>
      <c r="M64" s="446" t="str">
        <f>IF(AND($A64&gt;=SYear85,$A64&lt;=EYear85,M$3&gt;0),IF($A64=SYear85,M$56*(1+Data_85_15!M15%),M63*(1+Data_85_15!M15%)),"")</f>
        <v/>
      </c>
      <c r="N64" s="446" t="str">
        <f>IF(AND($A64&gt;=SYear85,$A64&lt;=EYear85,N$3&gt;0),IF($A64=SYear85,N$56*(1+Data_85_15!N15%),N63*(1+Data_85_15!N15%)),"")</f>
        <v/>
      </c>
      <c r="O64" s="446" t="str">
        <f>IF(AND($A64&gt;=SYear85,$A64&lt;=EYear85,O$3&gt;0),IF($A64=SYear85,O$56*(1+Data_85_15!O15%),O63*(1+Data_85_15!O15%)),"")</f>
        <v/>
      </c>
      <c r="P64" s="446" t="str">
        <f>IF(AND($A64&gt;=SYear85,$A64&lt;=EYear85,P$3&gt;0),IF($A64=SYear85,P$56*(1+Data_85_15!P15%),P63*(1+Data_85_15!P15%)),"")</f>
        <v/>
      </c>
      <c r="Q64" s="446" t="str">
        <f>IF(AND($A64&gt;=SYear85,$A64&lt;=EYear85,Q$3&gt;0),IF($A64=SYear85,Q$56*(1+Data_85_15!Q15%),Q63*(1+Data_85_15!Q15%)),"")</f>
        <v/>
      </c>
      <c r="R64" s="446" t="str">
        <f>IF(AND($A64&gt;=SYear85,$A64&lt;=EYear85,R$3&gt;0),IF($A64=SYear85,R$56*(1+Data_85_15!R15%),R63*(1+Data_85_15!R15%)),"")</f>
        <v/>
      </c>
      <c r="S64" s="446">
        <f>IF(AND($A64&gt;=SYear85,$A64&lt;=EYear85,S$3&gt;0),IF($A64=SYear85,S$56*(1+Data_85_15!S15%),S63*(1+Data_85_15!S15%)),"")</f>
        <v>6756.1217040404181</v>
      </c>
      <c r="T64" s="446" t="str">
        <f>IF(AND($A64&gt;=SYear85,$A64&lt;=EYear85,T$3&gt;0),IF($A64=SYear85,T$56*(1+Data_85_15!T15%),T63*(1+Data_85_15!T15%)),"")</f>
        <v/>
      </c>
      <c r="U64" s="446" t="str">
        <f>IF(AND($A64&gt;=SYear85,$A64&lt;=EYear85,U$3&gt;0),IF($A64=SYear85,U$56*(1+Data_85_15!U15%),U63*(1+Data_85_15!U15%)),"")</f>
        <v/>
      </c>
      <c r="V64" s="446" t="str">
        <f>IF(AND($A64&gt;=SYear85,$A64&lt;=EYear85,V$3&gt;0),IF($A64=SYear85,V$56*(1+Data_85_15!V15%),V63*(1+Data_85_15!V15%)),"")</f>
        <v/>
      </c>
      <c r="W64" s="446">
        <f>IF(AND($A64&gt;=SYear85,$A64&lt;=EYear85,W$3&gt;0),IF($A64=SYear85,W$56*(1+Data_85_15!W15%),W63*(1+Data_85_15!W15%)),"")</f>
        <v>5924.3438862284647</v>
      </c>
      <c r="X64" s="446" t="str">
        <f>IF(AND($A64&gt;=SYear85,$A64&lt;=EYear85,X$3&gt;0),IF($A64=SYear85,X$56*(1+Data_85_15!X15%),X63*(1+Data_85_15!X15%)),"")</f>
        <v/>
      </c>
      <c r="Y64" s="446" t="str">
        <f>IF(AND($A64&gt;=SYear85,$A64&lt;=EYear85,Y$3&gt;0),IF($A64=SYear85,Y$56*(1+Data_85_15!Y15%),Y63*(1+Data_85_15!Y15%)),"")</f>
        <v/>
      </c>
      <c r="Z64" s="446" t="str">
        <f>IF(AND($A64&gt;=SYear85,$A64&lt;=EYear85,Z$3&gt;0),IF($A64=SYear85,Z$56*(1+Data_85_15!Z15%),Z63*(1+Data_85_15!Z15%)),"")</f>
        <v/>
      </c>
      <c r="AA64" s="446" t="str">
        <f>IF(AND($A64&gt;=SYear85,$A64&lt;=EYear85,AA$3&gt;0),IF($A64=SYear85,AA$56*(1+Data_85_15!AA15%),AA63*(1+Data_85_15!AA15%)),"")</f>
        <v/>
      </c>
      <c r="AB64" s="446" t="str">
        <f>IF(AND($A64&gt;=SYear85,$A64&lt;=EYear85,AB$3&gt;0),IF($A64=SYear85,AB$56*(1+Data_85_15!AB15%),AB63*(1+Data_85_15!AB15%)),"")</f>
        <v/>
      </c>
      <c r="AC64" s="446" t="str">
        <f>IF(AND($A64&gt;=SYear85,$A64&lt;=EYear85,AC$3&gt;0),IF($A64=SYear85,AC$56*(1+Data_85_15!AC15%),AC63*(1+Data_85_15!AC15%)),"")</f>
        <v/>
      </c>
      <c r="AD64" s="446" t="str">
        <f>IF(AND($A64&gt;=SYear85,$A64&lt;=EYear85,AD$3&gt;0),IF($A64=SYear85,AD$56*(1+Data_85_15!AD15%),AD63*(1+Data_85_15!AD15%)),"")</f>
        <v/>
      </c>
      <c r="AE64" s="446" t="str">
        <f>IF(AND($A64&gt;=SYear85,$A64&lt;=EYear85,AE$3&gt;0),IF($A64=SYear85,AE$56*(1+Data_85_15!AE15%),AE63*(1+Data_85_15!AE15%)),"")</f>
        <v/>
      </c>
      <c r="AF64" s="446" t="str">
        <f>IF(AND($A64&gt;=SYear85,$A64&lt;=EYear85,AF$3&gt;0),IF($A64=SYear85,AF$56*(1+Data_85_15!AF15%),AF63*(1+Data_85_15!AF15%)),"")</f>
        <v/>
      </c>
      <c r="AG64" s="446" t="str">
        <f>IF(AND($A64&gt;=SYear85,$A64&lt;=EYear85,AG$3&gt;0),IF($A64=SYear85,AG$56*(1+Data_85_15!AG15%),AG63*(1+Data_85_15!AG15%)),"")</f>
        <v/>
      </c>
      <c r="AH64" s="446" t="str">
        <f>IF(AND($A64&gt;=SYear85,$A64&lt;=EYear85,AH$3&gt;0),IF($A64=SYear85,AH$56*(1+Data_85_15!AH15%),AH63*(1+Data_85_15!AH15%)),"")</f>
        <v/>
      </c>
      <c r="AI64" s="446" t="str">
        <f>IF(AND($A64&gt;=SYear85,$A64&lt;=EYear85,AI$3&gt;0),IF($A64=SYear85,AI$56*(1+Data_85_15!AI15%),AI63*(1+Data_85_15!AI15%)),"")</f>
        <v/>
      </c>
      <c r="AJ64" s="446" t="str">
        <f>IF(AND($A64&gt;=SYear85,$A64&lt;=EYear85,AJ$3&gt;0),IF($A64=SYear85,AJ$56*(1+Data_85_15!AJ15%),AJ63*(1+Data_85_15!AJ15%)),"")</f>
        <v/>
      </c>
      <c r="AK64" s="446" t="str">
        <f>IF(AND($A64&gt;=SYear85,$A64&lt;=EYear85,AK$3&gt;0),IF($A64=SYear85,AK$56*(1+Data_85_15!AK15%),AK63*(1+Data_85_15!AK15%)),"")</f>
        <v/>
      </c>
      <c r="AL64" s="446" t="str">
        <f>IF(AND($A64&gt;=SYear85,$A64&lt;=EYear85,AL$3&gt;0),IF($A64=SYear85,AL$56*(1+Data_85_15!AL15%),AL63*(1+Data_85_15!AL15%)),"")</f>
        <v/>
      </c>
      <c r="AM64" s="446" t="str">
        <f>IF(AND($A64&gt;=SYear85,$A64&lt;=EYear85,AM$3&gt;0),IF($A64=SYear85,AM$56*(1+Data_85_15!AM15%),AM63*(1+Data_85_15!AM15%)),"")</f>
        <v/>
      </c>
      <c r="AN64" s="446" t="str">
        <f>IF(AND($A64&gt;=SYear85,$A64&lt;=EYear85,AN$3&gt;0),IF($A64=SYear85,AN$56*(1+Data_85_15!AN15%),AN63*(1+Data_85_15!AN15%)),"")</f>
        <v/>
      </c>
      <c r="AO64" s="446">
        <f>IF(AND($A64&gt;=SYear85,$A64&lt;=EYear85,AO$3&gt;0),IF($A64=SYear85,AO$56*(1+Data_85_15!AO15%),AO63*(1+Data_85_15!AO15%)),"")</f>
        <v>2608.7089124897143</v>
      </c>
      <c r="AP64" s="206" t="str">
        <f>IF(AND($A64&gt;=SYear85,$A64&lt;=EYear85,AP$3&gt;0),IF($A64=SYear85,AP$56*(1+Data_85_15!AP15%),AP63*(1+Data_85_15!AP15%)),"")</f>
        <v/>
      </c>
      <c r="AQ64" s="206" t="str">
        <f>IF(AND($A64&gt;=SYear85,$A64&lt;=EYear85,AQ$3&gt;0),IF($A64=SYear85,AQ$56*(1+Data_85_15!AQ15%),AQ63*(1+Data_85_15!AQ15%)),"")</f>
        <v/>
      </c>
      <c r="AR64" s="206" t="str">
        <f>IF(AND($A64&gt;=SYear85,$A64&lt;=EYear85,AR$3&gt;0),IF($A64=SYear85,AR$56*(1+Data_85_15!AR15%),AR63*(1+Data_85_15!AR15%)),"")</f>
        <v/>
      </c>
      <c r="AS64" s="206" t="str">
        <f>IF(AND($A64&gt;=SYear85,$A64&lt;=EYear85,AS$3&gt;0),IF($A64=SYear85,AS$56*(1+Data_85_15!AS15%),AS63*(1+Data_85_15!AS15%)),"")</f>
        <v/>
      </c>
      <c r="AT64" s="206" t="str">
        <f>IF(AND($A64&gt;=SYear85,$A64&lt;=EYear85,AT$3&gt;0),IF($A64=SYear85,AT$56*(1+Data_85_15!AT15%),AT63*(1+Data_85_15!AT15%)),"")</f>
        <v/>
      </c>
      <c r="AU64" s="206" t="str">
        <f>IF(AND($A64&gt;=SYear85,$A64&lt;=EYear85,AU$3&gt;0),IF($A64=SYear85,AU$56*(1+Data_85_15!AU15%),AU63*(1+Data_85_15!AU15%)),"")</f>
        <v/>
      </c>
      <c r="AV64" s="206" t="str">
        <f>IF(AND($A64&gt;=SYear85,$A64&lt;=EYear85,AV$3&gt;0),IF($A64=SYear85,AV$56*(1+Data_85_15!AV15%),AV63*(1+Data_85_15!AV15%)),"")</f>
        <v/>
      </c>
      <c r="AW64" s="206" t="str">
        <f>IF(AND($A64&gt;=SYear85,$A64&lt;=EYear85,AW$3&gt;0),IF($A64=SYear85,AW$56*(1+Data_85_15!AW15%),AW63*(1+Data_85_15!AW15%)),"")</f>
        <v/>
      </c>
      <c r="AX64" s="206" t="str">
        <f>IF(AND($A64&gt;=SYear85,$A64&lt;=EYear85,AX$3&gt;0),IF($A64=SYear85,AX$56*(1+Data_85_15!AX15%),AX63*(1+Data_85_15!AX15%)),"")</f>
        <v/>
      </c>
      <c r="AY64" s="206" t="str">
        <f>IF(AND($A64&gt;=SYear85,$A64&lt;=EYear85,AY$3&gt;0),IF($A64=SYear85,AY$56*(1+Data_85_15!AY15%),AY63*(1+Data_85_15!AY15%)),"")</f>
        <v/>
      </c>
      <c r="AZ64" s="206">
        <f t="shared" si="26"/>
        <v>8.5622764782526595</v>
      </c>
      <c r="BA64" s="446">
        <f t="shared" si="27"/>
        <v>23752.287793749285</v>
      </c>
      <c r="BB64" s="206">
        <f>IF(AND($A64&gt;=SYear85,$A64&lt;=EYear85),(AZ64-Data_85_15!AZ15)/(1+Data_85_15!AZ15%),"")</f>
        <v>5.5020290792885298</v>
      </c>
      <c r="BC64" s="606">
        <f t="shared" si="28"/>
        <v>17625.904895572934</v>
      </c>
      <c r="BD64" s="143">
        <f t="shared" si="29"/>
        <v>1.9944116684950948</v>
      </c>
      <c r="BE64" s="143">
        <f>IF(AND($A64&gt;=SYear85,$A64&lt;=EYear85),MAX($BD$57:BD64),"")</f>
        <v>1.9944116684950948</v>
      </c>
      <c r="BF64" s="209">
        <f t="shared" si="30"/>
        <v>0</v>
      </c>
      <c r="BN64" s="61">
        <f t="shared" si="31"/>
        <v>8.5622764782526506E-2</v>
      </c>
      <c r="BO64" s="61">
        <f t="shared" si="32"/>
        <v>6.9798836868242953E-2</v>
      </c>
      <c r="BP64" s="61">
        <f t="shared" si="33"/>
        <v>9.627926984330748E-2</v>
      </c>
      <c r="BQ64" s="61">
        <f t="shared" si="34"/>
        <v>9.5504314872042473E-2</v>
      </c>
      <c r="BR64" s="61">
        <f t="shared" si="35"/>
        <v>9.8037454973339155E-2</v>
      </c>
      <c r="BU64" s="61">
        <f t="shared" si="36"/>
        <v>5.5020290792885396E-2</v>
      </c>
      <c r="BV64" s="61">
        <f t="shared" si="37"/>
        <v>4.0917420083421474E-2</v>
      </c>
      <c r="BW64" s="61">
        <f t="shared" si="38"/>
        <v>6.6039798461731358E-2</v>
      </c>
      <c r="BX64" s="61">
        <f t="shared" si="39"/>
        <v>6.8677987965051646E-2</v>
      </c>
      <c r="BY64" s="61">
        <f t="shared" si="40"/>
        <v>7.0516490017117572E-2</v>
      </c>
    </row>
    <row r="65" spans="1:77">
      <c r="A65" s="204">
        <f t="shared" si="41"/>
        <v>1993</v>
      </c>
      <c r="B65" s="446" t="str">
        <f>IF(AND($A65&gt;=SYear85,$A65&lt;=EYear85,B$3&gt;0),IF($A65=SYear85,B$56*(1+Data_85_15!B16%),B64*(1+Data_85_15!B16%)),"")</f>
        <v/>
      </c>
      <c r="C65" s="446" t="str">
        <f>IF(AND($A65&gt;=SYear85,$A65&lt;=EYear85,C$3&gt;0),IF($A65=SYear85,C$56*(1+Data_85_15!C16%),C64*(1+Data_85_15!C16%)),"")</f>
        <v/>
      </c>
      <c r="D65" s="446" t="str">
        <f>IF(AND($A65&gt;=SYear85,$A65&lt;=EYear85,D$3&gt;0),IF($A65=SYear85,D$56*(1+Data_85_15!D16%),D64*(1+Data_85_15!D16%)),"")</f>
        <v/>
      </c>
      <c r="E65" s="446" t="str">
        <f>IF(AND($A65&gt;=SYear85,$A65&lt;=EYear85,E$3&gt;0),IF($A65=SYear85,E$56*(1+Data_85_15!E16%),E64*(1+Data_85_15!E16%)),"")</f>
        <v/>
      </c>
      <c r="F65" s="446">
        <f>IF(AND($A65&gt;=SYear85,$A65&lt;=EYear85,F$3&gt;0),IF($A65=SYear85,F$56*(1+Data_85_15!F16%),F64*(1+Data_85_15!F16%)),"")</f>
        <v>9651.1408676068604</v>
      </c>
      <c r="G65" s="446" t="str">
        <f>IF(AND($A65&gt;=SYear85,$A65&lt;=EYear85,G$3&gt;0),IF($A65=SYear85,G$56*(1+Data_85_15!G16%),G64*(1+Data_85_15!G16%)),"")</f>
        <v/>
      </c>
      <c r="H65" s="446" t="str">
        <f>IF(AND($A65&gt;=SYear85,$A65&lt;=EYear85,H$3&gt;0),IF($A65=SYear85,H$56*(1+Data_85_15!H16%),H64*(1+Data_85_15!H16%)),"")</f>
        <v/>
      </c>
      <c r="I65" s="446" t="str">
        <f>IF(AND($A65&gt;=SYear85,$A65&lt;=EYear85,I$3&gt;0),IF($A65=SYear85,I$56*(1+Data_85_15!I16%),I64*(1+Data_85_15!I16%)),"")</f>
        <v/>
      </c>
      <c r="J65" s="446" t="str">
        <f>IF(AND($A65&gt;=SYear85,$A65&lt;=EYear85,J$3&gt;0),IF($A65=SYear85,J$56*(1+Data_85_15!J16%),J64*(1+Data_85_15!J16%)),"")</f>
        <v/>
      </c>
      <c r="K65" s="446" t="str">
        <f>IF(AND($A65&gt;=SYear85,$A65&lt;=EYear85,K$3&gt;0),IF($A65=SYear85,K$56*(1+Data_85_15!K16%),K64*(1+Data_85_15!K16%)),"")</f>
        <v/>
      </c>
      <c r="L65" s="446" t="str">
        <f>IF(AND($A65&gt;=SYear85,$A65&lt;=EYear85,L$3&gt;0),IF($A65=SYear85,L$56*(1+Data_85_15!L16%),L64*(1+Data_85_15!L16%)),"")</f>
        <v/>
      </c>
      <c r="M65" s="446" t="str">
        <f>IF(AND($A65&gt;=SYear85,$A65&lt;=EYear85,M$3&gt;0),IF($A65=SYear85,M$56*(1+Data_85_15!M16%),M64*(1+Data_85_15!M16%)),"")</f>
        <v/>
      </c>
      <c r="N65" s="446" t="str">
        <f>IF(AND($A65&gt;=SYear85,$A65&lt;=EYear85,N$3&gt;0),IF($A65=SYear85,N$56*(1+Data_85_15!N16%),N64*(1+Data_85_15!N16%)),"")</f>
        <v/>
      </c>
      <c r="O65" s="446" t="str">
        <f>IF(AND($A65&gt;=SYear85,$A65&lt;=EYear85,O$3&gt;0),IF($A65=SYear85,O$56*(1+Data_85_15!O16%),O64*(1+Data_85_15!O16%)),"")</f>
        <v/>
      </c>
      <c r="P65" s="446" t="str">
        <f>IF(AND($A65&gt;=SYear85,$A65&lt;=EYear85,P$3&gt;0),IF($A65=SYear85,P$56*(1+Data_85_15!P16%),P64*(1+Data_85_15!P16%)),"")</f>
        <v/>
      </c>
      <c r="Q65" s="446" t="str">
        <f>IF(AND($A65&gt;=SYear85,$A65&lt;=EYear85,Q$3&gt;0),IF($A65=SYear85,Q$56*(1+Data_85_15!Q16%),Q64*(1+Data_85_15!Q16%)),"")</f>
        <v/>
      </c>
      <c r="R65" s="446" t="str">
        <f>IF(AND($A65&gt;=SYear85,$A65&lt;=EYear85,R$3&gt;0),IF($A65=SYear85,R$56*(1+Data_85_15!R16%),R64*(1+Data_85_15!R16%)),"")</f>
        <v/>
      </c>
      <c r="S65" s="446">
        <f>IF(AND($A65&gt;=SYear85,$A65&lt;=EYear85,S$3&gt;0),IF($A65=SYear85,S$56*(1+Data_85_15!S16%),S64*(1+Data_85_15!S16%)),"")</f>
        <v>7890.4745381488037</v>
      </c>
      <c r="T65" s="446" t="str">
        <f>IF(AND($A65&gt;=SYear85,$A65&lt;=EYear85,T$3&gt;0),IF($A65=SYear85,T$56*(1+Data_85_15!T16%),T64*(1+Data_85_15!T16%)),"")</f>
        <v/>
      </c>
      <c r="U65" s="446" t="str">
        <f>IF(AND($A65&gt;=SYear85,$A65&lt;=EYear85,U$3&gt;0),IF($A65=SYear85,U$56*(1+Data_85_15!U16%),U64*(1+Data_85_15!U16%)),"")</f>
        <v/>
      </c>
      <c r="V65" s="446" t="str">
        <f>IF(AND($A65&gt;=SYear85,$A65&lt;=EYear85,V$3&gt;0),IF($A65=SYear85,V$56*(1+Data_85_15!V16%),V64*(1+Data_85_15!V16%)),"")</f>
        <v/>
      </c>
      <c r="W65" s="446">
        <f>IF(AND($A65&gt;=SYear85,$A65&lt;=EYear85,W$3&gt;0),IF($A65=SYear85,W$56*(1+Data_85_15!W16%),W64*(1+Data_85_15!W16%)),"")</f>
        <v>6840.7843077508323</v>
      </c>
      <c r="X65" s="446" t="str">
        <f>IF(AND($A65&gt;=SYear85,$A65&lt;=EYear85,X$3&gt;0),IF($A65=SYear85,X$56*(1+Data_85_15!X16%),X64*(1+Data_85_15!X16%)),"")</f>
        <v/>
      </c>
      <c r="Y65" s="446" t="str">
        <f>IF(AND($A65&gt;=SYear85,$A65&lt;=EYear85,Y$3&gt;0),IF($A65=SYear85,Y$56*(1+Data_85_15!Y16%),Y64*(1+Data_85_15!Y16%)),"")</f>
        <v/>
      </c>
      <c r="Z65" s="446" t="str">
        <f>IF(AND($A65&gt;=SYear85,$A65&lt;=EYear85,Z$3&gt;0),IF($A65=SYear85,Z$56*(1+Data_85_15!Z16%),Z64*(1+Data_85_15!Z16%)),"")</f>
        <v/>
      </c>
      <c r="AA65" s="446" t="str">
        <f>IF(AND($A65&gt;=SYear85,$A65&lt;=EYear85,AA$3&gt;0),IF($A65=SYear85,AA$56*(1+Data_85_15!AA16%),AA64*(1+Data_85_15!AA16%)),"")</f>
        <v/>
      </c>
      <c r="AB65" s="446" t="str">
        <f>IF(AND($A65&gt;=SYear85,$A65&lt;=EYear85,AB$3&gt;0),IF($A65=SYear85,AB$56*(1+Data_85_15!AB16%),AB64*(1+Data_85_15!AB16%)),"")</f>
        <v/>
      </c>
      <c r="AC65" s="446" t="str">
        <f>IF(AND($A65&gt;=SYear85,$A65&lt;=EYear85,AC$3&gt;0),IF($A65=SYear85,AC$56*(1+Data_85_15!AC16%),AC64*(1+Data_85_15!AC16%)),"")</f>
        <v/>
      </c>
      <c r="AD65" s="446" t="str">
        <f>IF(AND($A65&gt;=SYear85,$A65&lt;=EYear85,AD$3&gt;0),IF($A65=SYear85,AD$56*(1+Data_85_15!AD16%),AD64*(1+Data_85_15!AD16%)),"")</f>
        <v/>
      </c>
      <c r="AE65" s="446" t="str">
        <f>IF(AND($A65&gt;=SYear85,$A65&lt;=EYear85,AE$3&gt;0),IF($A65=SYear85,AE$56*(1+Data_85_15!AE16%),AE64*(1+Data_85_15!AE16%)),"")</f>
        <v/>
      </c>
      <c r="AF65" s="446" t="str">
        <f>IF(AND($A65&gt;=SYear85,$A65&lt;=EYear85,AF$3&gt;0),IF($A65=SYear85,AF$56*(1+Data_85_15!AF16%),AF64*(1+Data_85_15!AF16%)),"")</f>
        <v/>
      </c>
      <c r="AG65" s="446" t="str">
        <f>IF(AND($A65&gt;=SYear85,$A65&lt;=EYear85,AG$3&gt;0),IF($A65=SYear85,AG$56*(1+Data_85_15!AG16%),AG64*(1+Data_85_15!AG16%)),"")</f>
        <v/>
      </c>
      <c r="AH65" s="446" t="str">
        <f>IF(AND($A65&gt;=SYear85,$A65&lt;=EYear85,AH$3&gt;0),IF($A65=SYear85,AH$56*(1+Data_85_15!AH16%),AH64*(1+Data_85_15!AH16%)),"")</f>
        <v/>
      </c>
      <c r="AI65" s="446" t="str">
        <f>IF(AND($A65&gt;=SYear85,$A65&lt;=EYear85,AI$3&gt;0),IF($A65=SYear85,AI$56*(1+Data_85_15!AI16%),AI64*(1+Data_85_15!AI16%)),"")</f>
        <v/>
      </c>
      <c r="AJ65" s="446" t="str">
        <f>IF(AND($A65&gt;=SYear85,$A65&lt;=EYear85,AJ$3&gt;0),IF($A65=SYear85,AJ$56*(1+Data_85_15!AJ16%),AJ64*(1+Data_85_15!AJ16%)),"")</f>
        <v/>
      </c>
      <c r="AK65" s="446" t="str">
        <f>IF(AND($A65&gt;=SYear85,$A65&lt;=EYear85,AK$3&gt;0),IF($A65=SYear85,AK$56*(1+Data_85_15!AK16%),AK64*(1+Data_85_15!AK16%)),"")</f>
        <v/>
      </c>
      <c r="AL65" s="446" t="str">
        <f>IF(AND($A65&gt;=SYear85,$A65&lt;=EYear85,AL$3&gt;0),IF($A65=SYear85,AL$56*(1+Data_85_15!AL16%),AL64*(1+Data_85_15!AL16%)),"")</f>
        <v/>
      </c>
      <c r="AM65" s="446" t="str">
        <f>IF(AND($A65&gt;=SYear85,$A65&lt;=EYear85,AM$3&gt;0),IF($A65=SYear85,AM$56*(1+Data_85_15!AM16%),AM64*(1+Data_85_15!AM16%)),"")</f>
        <v/>
      </c>
      <c r="AN65" s="446" t="str">
        <f>IF(AND($A65&gt;=SYear85,$A65&lt;=EYear85,AN$3&gt;0),IF($A65=SYear85,AN$56*(1+Data_85_15!AN16%),AN64*(1+Data_85_15!AN16%)),"")</f>
        <v/>
      </c>
      <c r="AO65" s="446">
        <f>IF(AND($A65&gt;=SYear85,$A65&lt;=EYear85,AO$3&gt;0),IF($A65=SYear85,AO$56*(1+Data_85_15!AO16%),AO64*(1+Data_85_15!AO16%)),"")</f>
        <v>3057.6454065619337</v>
      </c>
      <c r="AP65" s="206" t="str">
        <f>IF(AND($A65&gt;=SYear85,$A65&lt;=EYear85,AP$3&gt;0),IF($A65=SYear85,AP$56*(1+Data_85_15!AP16%),AP64*(1+Data_85_15!AP16%)),"")</f>
        <v/>
      </c>
      <c r="AQ65" s="206" t="str">
        <f>IF(AND($A65&gt;=SYear85,$A65&lt;=EYear85,AQ$3&gt;0),IF($A65=SYear85,AQ$56*(1+Data_85_15!AQ16%),AQ64*(1+Data_85_15!AQ16%)),"")</f>
        <v/>
      </c>
      <c r="AR65" s="206" t="str">
        <f>IF(AND($A65&gt;=SYear85,$A65&lt;=EYear85,AR$3&gt;0),IF($A65=SYear85,AR$56*(1+Data_85_15!AR16%),AR64*(1+Data_85_15!AR16%)),"")</f>
        <v/>
      </c>
      <c r="AS65" s="206" t="str">
        <f>IF(AND($A65&gt;=SYear85,$A65&lt;=EYear85,AS$3&gt;0),IF($A65=SYear85,AS$56*(1+Data_85_15!AS16%),AS64*(1+Data_85_15!AS16%)),"")</f>
        <v/>
      </c>
      <c r="AT65" s="206" t="str">
        <f>IF(AND($A65&gt;=SYear85,$A65&lt;=EYear85,AT$3&gt;0),IF($A65=SYear85,AT$56*(1+Data_85_15!AT16%),AT64*(1+Data_85_15!AT16%)),"")</f>
        <v/>
      </c>
      <c r="AU65" s="206" t="str">
        <f>IF(AND($A65&gt;=SYear85,$A65&lt;=EYear85,AU$3&gt;0),IF($A65=SYear85,AU$56*(1+Data_85_15!AU16%),AU64*(1+Data_85_15!AU16%)),"")</f>
        <v/>
      </c>
      <c r="AV65" s="206" t="str">
        <f>IF(AND($A65&gt;=SYear85,$A65&lt;=EYear85,AV$3&gt;0),IF($A65=SYear85,AV$56*(1+Data_85_15!AV16%),AV64*(1+Data_85_15!AV16%)),"")</f>
        <v/>
      </c>
      <c r="AW65" s="206" t="str">
        <f>IF(AND($A65&gt;=SYear85,$A65&lt;=EYear85,AW$3&gt;0),IF($A65=SYear85,AW$56*(1+Data_85_15!AW16%),AW64*(1+Data_85_15!AW16%)),"")</f>
        <v/>
      </c>
      <c r="AX65" s="206" t="str">
        <f>IF(AND($A65&gt;=SYear85,$A65&lt;=EYear85,AX$3&gt;0),IF($A65=SYear85,AX$56*(1+Data_85_15!AX16%),AX64*(1+Data_85_15!AX16%)),"")</f>
        <v/>
      </c>
      <c r="AY65" s="206" t="str">
        <f>IF(AND($A65&gt;=SYear85,$A65&lt;=EYear85,AY$3&gt;0),IF($A65=SYear85,AY$56*(1+Data_85_15!AY16%),AY64*(1+Data_85_15!AY16%)),"")</f>
        <v/>
      </c>
      <c r="AZ65" s="206">
        <f t="shared" si="26"/>
        <v>15.525903687010834</v>
      </c>
      <c r="BA65" s="446">
        <f t="shared" si="27"/>
        <v>27440.045120068429</v>
      </c>
      <c r="BB65" s="206">
        <f>IF(AND($A65&gt;=SYear85,$A65&lt;=EYear85),(AZ65-Data_85_15!AZ16)/(1+Data_85_15!AZ16%),"")</f>
        <v>12.435704617193661</v>
      </c>
      <c r="BC65" s="606">
        <f t="shared" si="28"/>
        <v>19817.81036449386</v>
      </c>
      <c r="BD65" s="143">
        <f t="shared" si="29"/>
        <v>2.3040621032681488</v>
      </c>
      <c r="BE65" s="143">
        <f>IF(AND($A65&gt;=SYear85,$A65&lt;=EYear85),MAX($BD$57:BD65),"")</f>
        <v>2.3040621032681488</v>
      </c>
      <c r="BF65" s="209">
        <f t="shared" si="30"/>
        <v>0</v>
      </c>
      <c r="BN65" s="61">
        <f t="shared" si="31"/>
        <v>0.15525903687010834</v>
      </c>
      <c r="BO65" s="61">
        <f t="shared" si="32"/>
        <v>0.10754656723480749</v>
      </c>
      <c r="BP65" s="61">
        <f t="shared" si="33"/>
        <v>0.11106816397821584</v>
      </c>
      <c r="BQ65" s="61">
        <f t="shared" si="34"/>
        <v>8.7087929788542517E-2</v>
      </c>
      <c r="BR65" s="61">
        <f t="shared" si="35"/>
        <v>9.8249805481290142E-2</v>
      </c>
      <c r="BU65" s="61">
        <f t="shared" si="36"/>
        <v>0.12435704617193655</v>
      </c>
      <c r="BV65" s="61">
        <f t="shared" si="37"/>
        <v>7.8913599284560432E-2</v>
      </c>
      <c r="BW65" s="61">
        <f t="shared" si="38"/>
        <v>8.2954747009963414E-2</v>
      </c>
      <c r="BX65" s="61">
        <f t="shared" si="39"/>
        <v>6.1008972471310985E-2</v>
      </c>
      <c r="BY65" s="61">
        <f t="shared" si="40"/>
        <v>6.9909504212449347E-2</v>
      </c>
    </row>
    <row r="66" spans="1:77">
      <c r="A66" s="204">
        <f t="shared" si="41"/>
        <v>1994</v>
      </c>
      <c r="B66" s="446" t="str">
        <f>IF(AND($A66&gt;=SYear85,$A66&lt;=EYear85,B$3&gt;0),IF($A66=SYear85,B$56*(1+Data_85_15!B17%),B65*(1+Data_85_15!B17%)),"")</f>
        <v/>
      </c>
      <c r="C66" s="446" t="str">
        <f>IF(AND($A66&gt;=SYear85,$A66&lt;=EYear85,C$3&gt;0),IF($A66=SYear85,C$56*(1+Data_85_15!C17%),C65*(1+Data_85_15!C17%)),"")</f>
        <v/>
      </c>
      <c r="D66" s="446" t="str">
        <f>IF(AND($A66&gt;=SYear85,$A66&lt;=EYear85,D$3&gt;0),IF($A66=SYear85,D$56*(1+Data_85_15!D17%),D65*(1+Data_85_15!D17%)),"")</f>
        <v/>
      </c>
      <c r="E66" s="446" t="str">
        <f>IF(AND($A66&gt;=SYear85,$A66&lt;=EYear85,E$3&gt;0),IF($A66=SYear85,E$56*(1+Data_85_15!E17%),E65*(1+Data_85_15!E17%)),"")</f>
        <v/>
      </c>
      <c r="F66" s="446">
        <f>IF(AND($A66&gt;=SYear85,$A66&lt;=EYear85,F$3&gt;0),IF($A66=SYear85,F$56*(1+Data_85_15!F17%),F65*(1+Data_85_15!F17%)),"")</f>
        <v>9426.7853031897794</v>
      </c>
      <c r="G66" s="446" t="str">
        <f>IF(AND($A66&gt;=SYear85,$A66&lt;=EYear85,G$3&gt;0),IF($A66=SYear85,G$56*(1+Data_85_15!G17%),G65*(1+Data_85_15!G17%)),"")</f>
        <v/>
      </c>
      <c r="H66" s="446" t="str">
        <f>IF(AND($A66&gt;=SYear85,$A66&lt;=EYear85,H$3&gt;0),IF($A66=SYear85,H$56*(1+Data_85_15!H17%),H65*(1+Data_85_15!H17%)),"")</f>
        <v/>
      </c>
      <c r="I66" s="446" t="str">
        <f>IF(AND($A66&gt;=SYear85,$A66&lt;=EYear85,I$3&gt;0),IF($A66=SYear85,I$56*(1+Data_85_15!I17%),I65*(1+Data_85_15!I17%)),"")</f>
        <v/>
      </c>
      <c r="J66" s="446" t="str">
        <f>IF(AND($A66&gt;=SYear85,$A66&lt;=EYear85,J$3&gt;0),IF($A66=SYear85,J$56*(1+Data_85_15!J17%),J65*(1+Data_85_15!J17%)),"")</f>
        <v/>
      </c>
      <c r="K66" s="446" t="str">
        <f>IF(AND($A66&gt;=SYear85,$A66&lt;=EYear85,K$3&gt;0),IF($A66=SYear85,K$56*(1+Data_85_15!K17%),K65*(1+Data_85_15!K17%)),"")</f>
        <v/>
      </c>
      <c r="L66" s="446" t="str">
        <f>IF(AND($A66&gt;=SYear85,$A66&lt;=EYear85,L$3&gt;0),IF($A66=SYear85,L$56*(1+Data_85_15!L17%),L65*(1+Data_85_15!L17%)),"")</f>
        <v/>
      </c>
      <c r="M66" s="446" t="str">
        <f>IF(AND($A66&gt;=SYear85,$A66&lt;=EYear85,M$3&gt;0),IF($A66=SYear85,M$56*(1+Data_85_15!M17%),M65*(1+Data_85_15!M17%)),"")</f>
        <v/>
      </c>
      <c r="N66" s="446" t="str">
        <f>IF(AND($A66&gt;=SYear85,$A66&lt;=EYear85,N$3&gt;0),IF($A66=SYear85,N$56*(1+Data_85_15!N17%),N65*(1+Data_85_15!N17%)),"")</f>
        <v/>
      </c>
      <c r="O66" s="446" t="str">
        <f>IF(AND($A66&gt;=SYear85,$A66&lt;=EYear85,O$3&gt;0),IF($A66=SYear85,O$56*(1+Data_85_15!O17%),O65*(1+Data_85_15!O17%)),"")</f>
        <v/>
      </c>
      <c r="P66" s="446" t="str">
        <f>IF(AND($A66&gt;=SYear85,$A66&lt;=EYear85,P$3&gt;0),IF($A66=SYear85,P$56*(1+Data_85_15!P17%),P65*(1+Data_85_15!P17%)),"")</f>
        <v/>
      </c>
      <c r="Q66" s="446" t="str">
        <f>IF(AND($A66&gt;=SYear85,$A66&lt;=EYear85,Q$3&gt;0),IF($A66=SYear85,Q$56*(1+Data_85_15!Q17%),Q65*(1+Data_85_15!Q17%)),"")</f>
        <v/>
      </c>
      <c r="R66" s="446" t="str">
        <f>IF(AND($A66&gt;=SYear85,$A66&lt;=EYear85,R$3&gt;0),IF($A66=SYear85,R$56*(1+Data_85_15!R17%),R65*(1+Data_85_15!R17%)),"")</f>
        <v/>
      </c>
      <c r="S66" s="446">
        <f>IF(AND($A66&gt;=SYear85,$A66&lt;=EYear85,S$3&gt;0),IF($A66=SYear85,S$56*(1+Data_85_15!S17%),S65*(1+Data_85_15!S17%)),"")</f>
        <v>7335.7741781169425</v>
      </c>
      <c r="T66" s="446" t="str">
        <f>IF(AND($A66&gt;=SYear85,$A66&lt;=EYear85,T$3&gt;0),IF($A66=SYear85,T$56*(1+Data_85_15!T17%),T65*(1+Data_85_15!T17%)),"")</f>
        <v/>
      </c>
      <c r="U66" s="446" t="str">
        <f>IF(AND($A66&gt;=SYear85,$A66&lt;=EYear85,U$3&gt;0),IF($A66=SYear85,U$56*(1+Data_85_15!U17%),U65*(1+Data_85_15!U17%)),"")</f>
        <v/>
      </c>
      <c r="V66" s="446" t="str">
        <f>IF(AND($A66&gt;=SYear85,$A66&lt;=EYear85,V$3&gt;0),IF($A66=SYear85,V$56*(1+Data_85_15!V17%),V65*(1+Data_85_15!V17%)),"")</f>
        <v/>
      </c>
      <c r="W66" s="446">
        <f>IF(AND($A66&gt;=SYear85,$A66&lt;=EYear85,W$3&gt;0),IF($A66=SYear85,W$56*(1+Data_85_15!W17%),W65*(1+Data_85_15!W17%)),"")</f>
        <v>7045.5982091804972</v>
      </c>
      <c r="X66" s="446" t="str">
        <f>IF(AND($A66&gt;=SYear85,$A66&lt;=EYear85,X$3&gt;0),IF($A66=SYear85,X$56*(1+Data_85_15!X17%),X65*(1+Data_85_15!X17%)),"")</f>
        <v/>
      </c>
      <c r="Y66" s="446" t="str">
        <f>IF(AND($A66&gt;=SYear85,$A66&lt;=EYear85,Y$3&gt;0),IF($A66=SYear85,Y$56*(1+Data_85_15!Y17%),Y65*(1+Data_85_15!Y17%)),"")</f>
        <v/>
      </c>
      <c r="Z66" s="446" t="str">
        <f>IF(AND($A66&gt;=SYear85,$A66&lt;=EYear85,Z$3&gt;0),IF($A66=SYear85,Z$56*(1+Data_85_15!Z17%),Z65*(1+Data_85_15!Z17%)),"")</f>
        <v/>
      </c>
      <c r="AA66" s="446" t="str">
        <f>IF(AND($A66&gt;=SYear85,$A66&lt;=EYear85,AA$3&gt;0),IF($A66=SYear85,AA$56*(1+Data_85_15!AA17%),AA65*(1+Data_85_15!AA17%)),"")</f>
        <v/>
      </c>
      <c r="AB66" s="446" t="str">
        <f>IF(AND($A66&gt;=SYear85,$A66&lt;=EYear85,AB$3&gt;0),IF($A66=SYear85,AB$56*(1+Data_85_15!AB17%),AB65*(1+Data_85_15!AB17%)),"")</f>
        <v/>
      </c>
      <c r="AC66" s="446" t="str">
        <f>IF(AND($A66&gt;=SYear85,$A66&lt;=EYear85,AC$3&gt;0),IF($A66=SYear85,AC$56*(1+Data_85_15!AC17%),AC65*(1+Data_85_15!AC17%)),"")</f>
        <v/>
      </c>
      <c r="AD66" s="446" t="str">
        <f>IF(AND($A66&gt;=SYear85,$A66&lt;=EYear85,AD$3&gt;0),IF($A66=SYear85,AD$56*(1+Data_85_15!AD17%),AD65*(1+Data_85_15!AD17%)),"")</f>
        <v/>
      </c>
      <c r="AE66" s="446" t="str">
        <f>IF(AND($A66&gt;=SYear85,$A66&lt;=EYear85,AE$3&gt;0),IF($A66=SYear85,AE$56*(1+Data_85_15!AE17%),AE65*(1+Data_85_15!AE17%)),"")</f>
        <v/>
      </c>
      <c r="AF66" s="446" t="str">
        <f>IF(AND($A66&gt;=SYear85,$A66&lt;=EYear85,AF$3&gt;0),IF($A66=SYear85,AF$56*(1+Data_85_15!AF17%),AF65*(1+Data_85_15!AF17%)),"")</f>
        <v/>
      </c>
      <c r="AG66" s="446" t="str">
        <f>IF(AND($A66&gt;=SYear85,$A66&lt;=EYear85,AG$3&gt;0),IF($A66=SYear85,AG$56*(1+Data_85_15!AG17%),AG65*(1+Data_85_15!AG17%)),"")</f>
        <v/>
      </c>
      <c r="AH66" s="446" t="str">
        <f>IF(AND($A66&gt;=SYear85,$A66&lt;=EYear85,AH$3&gt;0),IF($A66=SYear85,AH$56*(1+Data_85_15!AH17%),AH65*(1+Data_85_15!AH17%)),"")</f>
        <v/>
      </c>
      <c r="AI66" s="446" t="str">
        <f>IF(AND($A66&gt;=SYear85,$A66&lt;=EYear85,AI$3&gt;0),IF($A66=SYear85,AI$56*(1+Data_85_15!AI17%),AI65*(1+Data_85_15!AI17%)),"")</f>
        <v/>
      </c>
      <c r="AJ66" s="446" t="str">
        <f>IF(AND($A66&gt;=SYear85,$A66&lt;=EYear85,AJ$3&gt;0),IF($A66=SYear85,AJ$56*(1+Data_85_15!AJ17%),AJ65*(1+Data_85_15!AJ17%)),"")</f>
        <v/>
      </c>
      <c r="AK66" s="446" t="str">
        <f>IF(AND($A66&gt;=SYear85,$A66&lt;=EYear85,AK$3&gt;0),IF($A66=SYear85,AK$56*(1+Data_85_15!AK17%),AK65*(1+Data_85_15!AK17%)),"")</f>
        <v/>
      </c>
      <c r="AL66" s="446" t="str">
        <f>IF(AND($A66&gt;=SYear85,$A66&lt;=EYear85,AL$3&gt;0),IF($A66=SYear85,AL$56*(1+Data_85_15!AL17%),AL65*(1+Data_85_15!AL17%)),"")</f>
        <v/>
      </c>
      <c r="AM66" s="446" t="str">
        <f>IF(AND($A66&gt;=SYear85,$A66&lt;=EYear85,AM$3&gt;0),IF($A66=SYear85,AM$56*(1+Data_85_15!AM17%),AM65*(1+Data_85_15!AM17%)),"")</f>
        <v/>
      </c>
      <c r="AN66" s="446" t="str">
        <f>IF(AND($A66&gt;=SYear85,$A66&lt;=EYear85,AN$3&gt;0),IF($A66=SYear85,AN$56*(1+Data_85_15!AN17%),AN65*(1+Data_85_15!AN17%)),"")</f>
        <v/>
      </c>
      <c r="AO66" s="446">
        <f>IF(AND($A66&gt;=SYear85,$A66&lt;=EYear85,AO$3&gt;0),IF($A66=SYear85,AO$56*(1+Data_85_15!AO17%),AO65*(1+Data_85_15!AO17%)),"")</f>
        <v>2979.3845729141153</v>
      </c>
      <c r="AP66" s="206" t="str">
        <f>IF(AND($A66&gt;=SYear85,$A66&lt;=EYear85,AP$3&gt;0),IF($A66=SYear85,AP$56*(1+Data_85_15!AP17%),AP65*(1+Data_85_15!AP17%)),"")</f>
        <v/>
      </c>
      <c r="AQ66" s="206" t="str">
        <f>IF(AND($A66&gt;=SYear85,$A66&lt;=EYear85,AQ$3&gt;0),IF($A66=SYear85,AQ$56*(1+Data_85_15!AQ17%),AQ65*(1+Data_85_15!AQ17%)),"")</f>
        <v/>
      </c>
      <c r="AR66" s="206" t="str">
        <f>IF(AND($A66&gt;=SYear85,$A66&lt;=EYear85,AR$3&gt;0),IF($A66=SYear85,AR$56*(1+Data_85_15!AR17%),AR65*(1+Data_85_15!AR17%)),"")</f>
        <v/>
      </c>
      <c r="AS66" s="206" t="str">
        <f>IF(AND($A66&gt;=SYear85,$A66&lt;=EYear85,AS$3&gt;0),IF($A66=SYear85,AS$56*(1+Data_85_15!AS17%),AS65*(1+Data_85_15!AS17%)),"")</f>
        <v/>
      </c>
      <c r="AT66" s="206" t="str">
        <f>IF(AND($A66&gt;=SYear85,$A66&lt;=EYear85,AT$3&gt;0),IF($A66=SYear85,AT$56*(1+Data_85_15!AT17%),AT65*(1+Data_85_15!AT17%)),"")</f>
        <v/>
      </c>
      <c r="AU66" s="206" t="str">
        <f>IF(AND($A66&gt;=SYear85,$A66&lt;=EYear85,AU$3&gt;0),IF($A66=SYear85,AU$56*(1+Data_85_15!AU17%),AU65*(1+Data_85_15!AU17%)),"")</f>
        <v/>
      </c>
      <c r="AV66" s="206" t="str">
        <f>IF(AND($A66&gt;=SYear85,$A66&lt;=EYear85,AV$3&gt;0),IF($A66=SYear85,AV$56*(1+Data_85_15!AV17%),AV65*(1+Data_85_15!AV17%)),"")</f>
        <v/>
      </c>
      <c r="AW66" s="206" t="str">
        <f>IF(AND($A66&gt;=SYear85,$A66&lt;=EYear85,AW$3&gt;0),IF($A66=SYear85,AW$56*(1+Data_85_15!AW17%),AW65*(1+Data_85_15!AW17%)),"")</f>
        <v/>
      </c>
      <c r="AX66" s="206" t="str">
        <f>IF(AND($A66&gt;=SYear85,$A66&lt;=EYear85,AX$3&gt;0),IF($A66=SYear85,AX$56*(1+Data_85_15!AX17%),AX65*(1+Data_85_15!AX17%)),"")</f>
        <v/>
      </c>
      <c r="AY66" s="206" t="str">
        <f>IF(AND($A66&gt;=SYear85,$A66&lt;=EYear85,AY$3&gt;0),IF($A66=SYear85,AY$56*(1+Data_85_15!AY17%),AY65*(1+Data_85_15!AY17%)),"")</f>
        <v/>
      </c>
      <c r="AZ66" s="206">
        <f t="shared" si="26"/>
        <v>-2.3779219524310613</v>
      </c>
      <c r="BA66" s="446">
        <f t="shared" si="27"/>
        <v>26787.542263401334</v>
      </c>
      <c r="BB66" s="206">
        <f>IF(AND($A66&gt;=SYear85,$A66&lt;=EYear85),(AZ66-Data_85_15!AZ17)/(1+Data_85_15!AZ17%),"")</f>
        <v>-4.9211825027685121</v>
      </c>
      <c r="BC66" s="606">
        <f t="shared" si="28"/>
        <v>18842.539748404542</v>
      </c>
      <c r="BD66" s="143">
        <f t="shared" si="29"/>
        <v>2.2492733047168905</v>
      </c>
      <c r="BE66" s="143">
        <f>IF(AND($A66&gt;=SYear85,$A66&lt;=EYear85),MAX($BD$57:BD66),"")</f>
        <v>2.3040621032681488</v>
      </c>
      <c r="BF66" s="209">
        <f t="shared" si="30"/>
        <v>2.3779219524310724E-2</v>
      </c>
      <c r="BN66" s="61">
        <f t="shared" si="31"/>
        <v>-2.3779219524310613E-2</v>
      </c>
      <c r="BO66" s="61">
        <f t="shared" si="32"/>
        <v>8.080969350078071E-2</v>
      </c>
      <c r="BP66" s="61">
        <f t="shared" si="33"/>
        <v>9.7530719049575998E-2</v>
      </c>
      <c r="BQ66" s="61">
        <f t="shared" si="34"/>
        <v>8.9999520398371224E-2</v>
      </c>
      <c r="BR66" s="61">
        <f t="shared" si="35"/>
        <v>7.284952930475308E-2</v>
      </c>
      <c r="BU66" s="61">
        <f t="shared" si="36"/>
        <v>-4.9211825027685174E-2</v>
      </c>
      <c r="BV66" s="61">
        <f t="shared" si="37"/>
        <v>5.0914404447613526E-2</v>
      </c>
      <c r="BW66" s="61">
        <f t="shared" si="38"/>
        <v>7.2142220646903121E-2</v>
      </c>
      <c r="BX66" s="61">
        <f t="shared" si="39"/>
        <v>6.4754601761650488E-2</v>
      </c>
      <c r="BY66" s="61">
        <f t="shared" si="40"/>
        <v>4.6991797683156422E-2</v>
      </c>
    </row>
    <row r="67" spans="1:77">
      <c r="A67" s="204">
        <f t="shared" si="41"/>
        <v>1995</v>
      </c>
      <c r="B67" s="446" t="str">
        <f>IF(AND($A67&gt;=SYear85,$A67&lt;=EYear85,B$3&gt;0),IF($A67=SYear85,B$56*(1+Data_85_15!B18%),B66*(1+Data_85_15!B18%)),"")</f>
        <v/>
      </c>
      <c r="C67" s="446" t="str">
        <f>IF(AND($A67&gt;=SYear85,$A67&lt;=EYear85,C$3&gt;0),IF($A67=SYear85,C$56*(1+Data_85_15!C18%),C66*(1+Data_85_15!C18%)),"")</f>
        <v/>
      </c>
      <c r="D67" s="446" t="str">
        <f>IF(AND($A67&gt;=SYear85,$A67&lt;=EYear85,D$3&gt;0),IF($A67=SYear85,D$56*(1+Data_85_15!D18%),D66*(1+Data_85_15!D18%)),"")</f>
        <v/>
      </c>
      <c r="E67" s="446" t="str">
        <f>IF(AND($A67&gt;=SYear85,$A67&lt;=EYear85,E$3&gt;0),IF($A67=SYear85,E$56*(1+Data_85_15!E18%),E66*(1+Data_85_15!E18%)),"")</f>
        <v/>
      </c>
      <c r="F67" s="446">
        <f>IF(AND($A67&gt;=SYear85,$A67&lt;=EYear85,F$3&gt;0),IF($A67=SYear85,F$56*(1+Data_85_15!F18%),F66*(1+Data_85_15!F18%)),"")</f>
        <v>12640.526237141639</v>
      </c>
      <c r="G67" s="446" t="str">
        <f>IF(AND($A67&gt;=SYear85,$A67&lt;=EYear85,G$3&gt;0),IF($A67=SYear85,G$56*(1+Data_85_15!G18%),G66*(1+Data_85_15!G18%)),"")</f>
        <v/>
      </c>
      <c r="H67" s="446" t="str">
        <f>IF(AND($A67&gt;=SYear85,$A67&lt;=EYear85,H$3&gt;0),IF($A67=SYear85,H$56*(1+Data_85_15!H18%),H66*(1+Data_85_15!H18%)),"")</f>
        <v/>
      </c>
      <c r="I67" s="446" t="str">
        <f>IF(AND($A67&gt;=SYear85,$A67&lt;=EYear85,I$3&gt;0),IF($A67=SYear85,I$56*(1+Data_85_15!I18%),I66*(1+Data_85_15!I18%)),"")</f>
        <v/>
      </c>
      <c r="J67" s="446" t="str">
        <f>IF(AND($A67&gt;=SYear85,$A67&lt;=EYear85,J$3&gt;0),IF($A67=SYear85,J$56*(1+Data_85_15!J18%),J66*(1+Data_85_15!J18%)),"")</f>
        <v/>
      </c>
      <c r="K67" s="446" t="str">
        <f>IF(AND($A67&gt;=SYear85,$A67&lt;=EYear85,K$3&gt;0),IF($A67=SYear85,K$56*(1+Data_85_15!K18%),K66*(1+Data_85_15!K18%)),"")</f>
        <v/>
      </c>
      <c r="L67" s="446" t="str">
        <f>IF(AND($A67&gt;=SYear85,$A67&lt;=EYear85,L$3&gt;0),IF($A67=SYear85,L$56*(1+Data_85_15!L18%),L66*(1+Data_85_15!L18%)),"")</f>
        <v/>
      </c>
      <c r="M67" s="446" t="str">
        <f>IF(AND($A67&gt;=SYear85,$A67&lt;=EYear85,M$3&gt;0),IF($A67=SYear85,M$56*(1+Data_85_15!M18%),M66*(1+Data_85_15!M18%)),"")</f>
        <v/>
      </c>
      <c r="N67" s="446" t="str">
        <f>IF(AND($A67&gt;=SYear85,$A67&lt;=EYear85,N$3&gt;0),IF($A67=SYear85,N$56*(1+Data_85_15!N18%),N66*(1+Data_85_15!N18%)),"")</f>
        <v/>
      </c>
      <c r="O67" s="446" t="str">
        <f>IF(AND($A67&gt;=SYear85,$A67&lt;=EYear85,O$3&gt;0),IF($A67=SYear85,O$56*(1+Data_85_15!O18%),O66*(1+Data_85_15!O18%)),"")</f>
        <v/>
      </c>
      <c r="P67" s="446" t="str">
        <f>IF(AND($A67&gt;=SYear85,$A67&lt;=EYear85,P$3&gt;0),IF($A67=SYear85,P$56*(1+Data_85_15!P18%),P66*(1+Data_85_15!P18%)),"")</f>
        <v/>
      </c>
      <c r="Q67" s="446" t="str">
        <f>IF(AND($A67&gt;=SYear85,$A67&lt;=EYear85,Q$3&gt;0),IF($A67=SYear85,Q$56*(1+Data_85_15!Q18%),Q66*(1+Data_85_15!Q18%)),"")</f>
        <v/>
      </c>
      <c r="R67" s="446" t="str">
        <f>IF(AND($A67&gt;=SYear85,$A67&lt;=EYear85,R$3&gt;0),IF($A67=SYear85,R$56*(1+Data_85_15!R18%),R66*(1+Data_85_15!R18%)),"")</f>
        <v/>
      </c>
      <c r="S67" s="446">
        <f>IF(AND($A67&gt;=SYear85,$A67&lt;=EYear85,S$3&gt;0),IF($A67=SYear85,S$56*(1+Data_85_15!S18%),S66*(1+Data_85_15!S18%)),"")</f>
        <v>9544.5757831479532</v>
      </c>
      <c r="T67" s="446" t="str">
        <f>IF(AND($A67&gt;=SYear85,$A67&lt;=EYear85,T$3&gt;0),IF($A67=SYear85,T$56*(1+Data_85_15!T18%),T66*(1+Data_85_15!T18%)),"")</f>
        <v/>
      </c>
      <c r="U67" s="446" t="str">
        <f>IF(AND($A67&gt;=SYear85,$A67&lt;=EYear85,U$3&gt;0),IF($A67=SYear85,U$56*(1+Data_85_15!U18%),U66*(1+Data_85_15!U18%)),"")</f>
        <v/>
      </c>
      <c r="V67" s="446" t="str">
        <f>IF(AND($A67&gt;=SYear85,$A67&lt;=EYear85,V$3&gt;0),IF($A67=SYear85,V$56*(1+Data_85_15!V18%),V66*(1+Data_85_15!V18%)),"")</f>
        <v/>
      </c>
      <c r="W67" s="446">
        <f>IF(AND($A67&gt;=SYear85,$A67&lt;=EYear85,W$3&gt;0),IF($A67=SYear85,W$56*(1+Data_85_15!W18%),W66*(1+Data_85_15!W18%)),"")</f>
        <v>7087.7874200139131</v>
      </c>
      <c r="X67" s="446" t="str">
        <f>IF(AND($A67&gt;=SYear85,$A67&lt;=EYear85,X$3&gt;0),IF($A67=SYear85,X$56*(1+Data_85_15!X18%),X66*(1+Data_85_15!X18%)),"")</f>
        <v/>
      </c>
      <c r="Y67" s="446" t="str">
        <f>IF(AND($A67&gt;=SYear85,$A67&lt;=EYear85,Y$3&gt;0),IF($A67=SYear85,Y$56*(1+Data_85_15!Y18%),Y66*(1+Data_85_15!Y18%)),"")</f>
        <v/>
      </c>
      <c r="Z67" s="446" t="str">
        <f>IF(AND($A67&gt;=SYear85,$A67&lt;=EYear85,Z$3&gt;0),IF($A67=SYear85,Z$56*(1+Data_85_15!Z18%),Z66*(1+Data_85_15!Z18%)),"")</f>
        <v/>
      </c>
      <c r="AA67" s="446" t="str">
        <f>IF(AND($A67&gt;=SYear85,$A67&lt;=EYear85,AA$3&gt;0),IF($A67=SYear85,AA$56*(1+Data_85_15!AA18%),AA66*(1+Data_85_15!AA18%)),"")</f>
        <v/>
      </c>
      <c r="AB67" s="446" t="str">
        <f>IF(AND($A67&gt;=SYear85,$A67&lt;=EYear85,AB$3&gt;0),IF($A67=SYear85,AB$56*(1+Data_85_15!AB18%),AB66*(1+Data_85_15!AB18%)),"")</f>
        <v/>
      </c>
      <c r="AC67" s="446" t="str">
        <f>IF(AND($A67&gt;=SYear85,$A67&lt;=EYear85,AC$3&gt;0),IF($A67=SYear85,AC$56*(1+Data_85_15!AC18%),AC66*(1+Data_85_15!AC18%)),"")</f>
        <v/>
      </c>
      <c r="AD67" s="446" t="str">
        <f>IF(AND($A67&gt;=SYear85,$A67&lt;=EYear85,AD$3&gt;0),IF($A67=SYear85,AD$56*(1+Data_85_15!AD18%),AD66*(1+Data_85_15!AD18%)),"")</f>
        <v/>
      </c>
      <c r="AE67" s="446" t="str">
        <f>IF(AND($A67&gt;=SYear85,$A67&lt;=EYear85,AE$3&gt;0),IF($A67=SYear85,AE$56*(1+Data_85_15!AE18%),AE66*(1+Data_85_15!AE18%)),"")</f>
        <v/>
      </c>
      <c r="AF67" s="446" t="str">
        <f>IF(AND($A67&gt;=SYear85,$A67&lt;=EYear85,AF$3&gt;0),IF($A67=SYear85,AF$56*(1+Data_85_15!AF18%),AF66*(1+Data_85_15!AF18%)),"")</f>
        <v/>
      </c>
      <c r="AG67" s="446" t="str">
        <f>IF(AND($A67&gt;=SYear85,$A67&lt;=EYear85,AG$3&gt;0),IF($A67=SYear85,AG$56*(1+Data_85_15!AG18%),AG66*(1+Data_85_15!AG18%)),"")</f>
        <v/>
      </c>
      <c r="AH67" s="446" t="str">
        <f>IF(AND($A67&gt;=SYear85,$A67&lt;=EYear85,AH$3&gt;0),IF($A67=SYear85,AH$56*(1+Data_85_15!AH18%),AH66*(1+Data_85_15!AH18%)),"")</f>
        <v/>
      </c>
      <c r="AI67" s="446" t="str">
        <f>IF(AND($A67&gt;=SYear85,$A67&lt;=EYear85,AI$3&gt;0),IF($A67=SYear85,AI$56*(1+Data_85_15!AI18%),AI66*(1+Data_85_15!AI18%)),"")</f>
        <v/>
      </c>
      <c r="AJ67" s="446" t="str">
        <f>IF(AND($A67&gt;=SYear85,$A67&lt;=EYear85,AJ$3&gt;0),IF($A67=SYear85,AJ$56*(1+Data_85_15!AJ18%),AJ66*(1+Data_85_15!AJ18%)),"")</f>
        <v/>
      </c>
      <c r="AK67" s="446" t="str">
        <f>IF(AND($A67&gt;=SYear85,$A67&lt;=EYear85,AK$3&gt;0),IF($A67=SYear85,AK$56*(1+Data_85_15!AK18%),AK66*(1+Data_85_15!AK18%)),"")</f>
        <v/>
      </c>
      <c r="AL67" s="446" t="str">
        <f>IF(AND($A67&gt;=SYear85,$A67&lt;=EYear85,AL$3&gt;0),IF($A67=SYear85,AL$56*(1+Data_85_15!AL18%),AL66*(1+Data_85_15!AL18%)),"")</f>
        <v/>
      </c>
      <c r="AM67" s="446" t="str">
        <f>IF(AND($A67&gt;=SYear85,$A67&lt;=EYear85,AM$3&gt;0),IF($A67=SYear85,AM$56*(1+Data_85_15!AM18%),AM66*(1+Data_85_15!AM18%)),"")</f>
        <v/>
      </c>
      <c r="AN67" s="446" t="str">
        <f>IF(AND($A67&gt;=SYear85,$A67&lt;=EYear85,AN$3&gt;0),IF($A67=SYear85,AN$56*(1+Data_85_15!AN18%),AN66*(1+Data_85_15!AN18%)),"")</f>
        <v/>
      </c>
      <c r="AO67" s="446">
        <f>IF(AND($A67&gt;=SYear85,$A67&lt;=EYear85,AO$3&gt;0),IF($A67=SYear85,AO$56*(1+Data_85_15!AO18%),AO66*(1+Data_85_15!AO18%)),"")</f>
        <v>2996.5508604012198</v>
      </c>
      <c r="AP67" s="206" t="str">
        <f>IF(AND($A67&gt;=SYear85,$A67&lt;=EYear85,AP$3&gt;0),IF($A67=SYear85,AP$56*(1+Data_85_15!AP18%),AP66*(1+Data_85_15!AP18%)),"")</f>
        <v/>
      </c>
      <c r="AQ67" s="206" t="str">
        <f>IF(AND($A67&gt;=SYear85,$A67&lt;=EYear85,AQ$3&gt;0),IF($A67=SYear85,AQ$56*(1+Data_85_15!AQ18%),AQ66*(1+Data_85_15!AQ18%)),"")</f>
        <v/>
      </c>
      <c r="AR67" s="206" t="str">
        <f>IF(AND($A67&gt;=SYear85,$A67&lt;=EYear85,AR$3&gt;0),IF($A67=SYear85,AR$56*(1+Data_85_15!AR18%),AR66*(1+Data_85_15!AR18%)),"")</f>
        <v/>
      </c>
      <c r="AS67" s="206" t="str">
        <f>IF(AND($A67&gt;=SYear85,$A67&lt;=EYear85,AS$3&gt;0),IF($A67=SYear85,AS$56*(1+Data_85_15!AS18%),AS66*(1+Data_85_15!AS18%)),"")</f>
        <v/>
      </c>
      <c r="AT67" s="206" t="str">
        <f>IF(AND($A67&gt;=SYear85,$A67&lt;=EYear85,AT$3&gt;0),IF($A67=SYear85,AT$56*(1+Data_85_15!AT18%),AT66*(1+Data_85_15!AT18%)),"")</f>
        <v/>
      </c>
      <c r="AU67" s="206" t="str">
        <f>IF(AND($A67&gt;=SYear85,$A67&lt;=EYear85,AU$3&gt;0),IF($A67=SYear85,AU$56*(1+Data_85_15!AU18%),AU66*(1+Data_85_15!AU18%)),"")</f>
        <v/>
      </c>
      <c r="AV67" s="206" t="str">
        <f>IF(AND($A67&gt;=SYear85,$A67&lt;=EYear85,AV$3&gt;0),IF($A67=SYear85,AV$56*(1+Data_85_15!AV18%),AV66*(1+Data_85_15!AV18%)),"")</f>
        <v/>
      </c>
      <c r="AW67" s="206" t="str">
        <f>IF(AND($A67&gt;=SYear85,$A67&lt;=EYear85,AW$3&gt;0),IF($A67=SYear85,AW$56*(1+Data_85_15!AW18%),AW66*(1+Data_85_15!AW18%)),"")</f>
        <v/>
      </c>
      <c r="AX67" s="206" t="str">
        <f>IF(AND($A67&gt;=SYear85,$A67&lt;=EYear85,AX$3&gt;0),IF($A67=SYear85,AX$56*(1+Data_85_15!AX18%),AX66*(1+Data_85_15!AX18%)),"")</f>
        <v/>
      </c>
      <c r="AY67" s="206" t="str">
        <f>IF(AND($A67&gt;=SYear85,$A67&lt;=EYear85,AY$3&gt;0),IF($A67=SYear85,AY$56*(1+Data_85_15!AY18%),AY66*(1+Data_85_15!AY18%)),"")</f>
        <v/>
      </c>
      <c r="AZ67" s="206">
        <f t="shared" si="26"/>
        <v>20.464356092843474</v>
      </c>
      <c r="BA67" s="446">
        <f t="shared" si="27"/>
        <v>32269.440300704726</v>
      </c>
      <c r="BB67" s="206">
        <f>IF(AND($A67&gt;=SYear85,$A67&lt;=EYear85),(AZ67-Data_85_15!AZ18)/(1+Data_85_15!AZ18%),"")</f>
        <v>17.482176593476652</v>
      </c>
      <c r="BC67" s="606">
        <f t="shared" si="28"/>
        <v>22136.625821916652</v>
      </c>
      <c r="BD67" s="143">
        <f t="shared" si="29"/>
        <v>2.709572603295423</v>
      </c>
      <c r="BE67" s="143">
        <f>IF(AND($A67&gt;=SYear85,$A67&lt;=EYear85),MAX($BD$57:BD67),"")</f>
        <v>2.709572603295423</v>
      </c>
      <c r="BF67" s="209">
        <f t="shared" si="30"/>
        <v>0</v>
      </c>
      <c r="BN67" s="61">
        <f t="shared" si="31"/>
        <v>0.20464356092843472</v>
      </c>
      <c r="BO67" s="61">
        <f t="shared" si="32"/>
        <v>0.1450524104866715</v>
      </c>
      <c r="BP67" s="61">
        <f t="shared" si="33"/>
        <v>0.11650929236609597</v>
      </c>
      <c r="BQ67" s="61">
        <f t="shared" si="34"/>
        <v>0.10694444536092473</v>
      </c>
      <c r="BR67" s="61">
        <f t="shared" si="35"/>
        <v>8.5373020072944117E-2</v>
      </c>
      <c r="BU67" s="61">
        <f t="shared" si="36"/>
        <v>0.17482176593476639</v>
      </c>
      <c r="BV67" s="61">
        <f t="shared" si="37"/>
        <v>0.11691770766984488</v>
      </c>
      <c r="BW67" s="61">
        <f t="shared" si="38"/>
        <v>9.0661238433151548E-2</v>
      </c>
      <c r="BX67" s="61">
        <f t="shared" si="39"/>
        <v>8.0697449543894351E-2</v>
      </c>
      <c r="BY67" s="61">
        <f t="shared" si="40"/>
        <v>5.9181521207650523E-2</v>
      </c>
    </row>
    <row r="68" spans="1:77">
      <c r="A68" s="204">
        <f t="shared" si="41"/>
        <v>1996</v>
      </c>
      <c r="B68" s="446" t="str">
        <f>IF(AND($A68&gt;=SYear85,$A68&lt;=EYear85,B$3&gt;0),IF($A68=SYear85,B$56*(1+Data_85_15!B19%),B67*(1+Data_85_15!B19%)),"")</f>
        <v/>
      </c>
      <c r="C68" s="446" t="str">
        <f>IF(AND($A68&gt;=SYear85,$A68&lt;=EYear85,C$3&gt;0),IF($A68=SYear85,C$56*(1+Data_85_15!C19%),C67*(1+Data_85_15!C19%)),"")</f>
        <v/>
      </c>
      <c r="D68" s="446" t="str">
        <f>IF(AND($A68&gt;=SYear85,$A68&lt;=EYear85,D$3&gt;0),IF($A68=SYear85,D$56*(1+Data_85_15!D19%),D67*(1+Data_85_15!D19%)),"")</f>
        <v/>
      </c>
      <c r="E68" s="446" t="str">
        <f>IF(AND($A68&gt;=SYear85,$A68&lt;=EYear85,E$3&gt;0),IF($A68=SYear85,E$56*(1+Data_85_15!E19%),E67*(1+Data_85_15!E19%)),"")</f>
        <v/>
      </c>
      <c r="F68" s="446">
        <f>IF(AND($A68&gt;=SYear85,$A68&lt;=EYear85,F$3&gt;0),IF($A68=SYear85,F$56*(1+Data_85_15!F19%),F67*(1+Data_85_15!F19%)),"")</f>
        <v>15007.708492665421</v>
      </c>
      <c r="G68" s="446" t="str">
        <f>IF(AND($A68&gt;=SYear85,$A68&lt;=EYear85,G$3&gt;0),IF($A68=SYear85,G$56*(1+Data_85_15!G19%),G67*(1+Data_85_15!G19%)),"")</f>
        <v/>
      </c>
      <c r="H68" s="446" t="str">
        <f>IF(AND($A68&gt;=SYear85,$A68&lt;=EYear85,H$3&gt;0),IF($A68=SYear85,H$56*(1+Data_85_15!H19%),H67*(1+Data_85_15!H19%)),"")</f>
        <v/>
      </c>
      <c r="I68" s="446" t="str">
        <f>IF(AND($A68&gt;=SYear85,$A68&lt;=EYear85,I$3&gt;0),IF($A68=SYear85,I$56*(1+Data_85_15!I19%),I67*(1+Data_85_15!I19%)),"")</f>
        <v/>
      </c>
      <c r="J68" s="446" t="str">
        <f>IF(AND($A68&gt;=SYear85,$A68&lt;=EYear85,J$3&gt;0),IF($A68=SYear85,J$56*(1+Data_85_15!J19%),J67*(1+Data_85_15!J19%)),"")</f>
        <v/>
      </c>
      <c r="K68" s="446" t="str">
        <f>IF(AND($A68&gt;=SYear85,$A68&lt;=EYear85,K$3&gt;0),IF($A68=SYear85,K$56*(1+Data_85_15!K19%),K67*(1+Data_85_15!K19%)),"")</f>
        <v/>
      </c>
      <c r="L68" s="446" t="str">
        <f>IF(AND($A68&gt;=SYear85,$A68&lt;=EYear85,L$3&gt;0),IF($A68=SYear85,L$56*(1+Data_85_15!L19%),L67*(1+Data_85_15!L19%)),"")</f>
        <v/>
      </c>
      <c r="M68" s="446" t="str">
        <f>IF(AND($A68&gt;=SYear85,$A68&lt;=EYear85,M$3&gt;0),IF($A68=SYear85,M$56*(1+Data_85_15!M19%),M67*(1+Data_85_15!M19%)),"")</f>
        <v/>
      </c>
      <c r="N68" s="446" t="str">
        <f>IF(AND($A68&gt;=SYear85,$A68&lt;=EYear85,N$3&gt;0),IF($A68=SYear85,N$56*(1+Data_85_15!N19%),N67*(1+Data_85_15!N19%)),"")</f>
        <v/>
      </c>
      <c r="O68" s="446" t="str">
        <f>IF(AND($A68&gt;=SYear85,$A68&lt;=EYear85,O$3&gt;0),IF($A68=SYear85,O$56*(1+Data_85_15!O19%),O67*(1+Data_85_15!O19%)),"")</f>
        <v/>
      </c>
      <c r="P68" s="446" t="str">
        <f>IF(AND($A68&gt;=SYear85,$A68&lt;=EYear85,P$3&gt;0),IF($A68=SYear85,P$56*(1+Data_85_15!P19%),P67*(1+Data_85_15!P19%)),"")</f>
        <v/>
      </c>
      <c r="Q68" s="446" t="str">
        <f>IF(AND($A68&gt;=SYear85,$A68&lt;=EYear85,Q$3&gt;0),IF($A68=SYear85,Q$56*(1+Data_85_15!Q19%),Q67*(1+Data_85_15!Q19%)),"")</f>
        <v/>
      </c>
      <c r="R68" s="446" t="str">
        <f>IF(AND($A68&gt;=SYear85,$A68&lt;=EYear85,R$3&gt;0),IF($A68=SYear85,R$56*(1+Data_85_15!R19%),R67*(1+Data_85_15!R19%)),"")</f>
        <v/>
      </c>
      <c r="S68" s="446">
        <f>IF(AND($A68&gt;=SYear85,$A68&lt;=EYear85,S$3&gt;0),IF($A68=SYear85,S$56*(1+Data_85_15!S19%),S67*(1+Data_85_15!S19%)),"")</f>
        <v>9425.2685858586046</v>
      </c>
      <c r="T68" s="446" t="str">
        <f>IF(AND($A68&gt;=SYear85,$A68&lt;=EYear85,T$3&gt;0),IF($A68=SYear85,T$56*(1+Data_85_15!T19%),T67*(1+Data_85_15!T19%)),"")</f>
        <v/>
      </c>
      <c r="U68" s="446" t="str">
        <f>IF(AND($A68&gt;=SYear85,$A68&lt;=EYear85,U$3&gt;0),IF($A68=SYear85,U$56*(1+Data_85_15!U19%),U67*(1+Data_85_15!U19%)),"")</f>
        <v/>
      </c>
      <c r="V68" s="446" t="str">
        <f>IF(AND($A68&gt;=SYear85,$A68&lt;=EYear85,V$3&gt;0),IF($A68=SYear85,V$56*(1+Data_85_15!V19%),V67*(1+Data_85_15!V19%)),"")</f>
        <v/>
      </c>
      <c r="W68" s="446">
        <f>IF(AND($A68&gt;=SYear85,$A68&lt;=EYear85,W$3&gt;0),IF($A68=SYear85,W$56*(1+Data_85_15!W19%),W67*(1+Data_85_15!W19%)),"")</f>
        <v>7363.6593854635566</v>
      </c>
      <c r="X68" s="446" t="str">
        <f>IF(AND($A68&gt;=SYear85,$A68&lt;=EYear85,X$3&gt;0),IF($A68=SYear85,X$56*(1+Data_85_15!X19%),X67*(1+Data_85_15!X19%)),"")</f>
        <v/>
      </c>
      <c r="Y68" s="446" t="str">
        <f>IF(AND($A68&gt;=SYear85,$A68&lt;=EYear85,Y$3&gt;0),IF($A68=SYear85,Y$56*(1+Data_85_15!Y19%),Y67*(1+Data_85_15!Y19%)),"")</f>
        <v/>
      </c>
      <c r="Z68" s="446" t="str">
        <f>IF(AND($A68&gt;=SYear85,$A68&lt;=EYear85,Z$3&gt;0),IF($A68=SYear85,Z$56*(1+Data_85_15!Z19%),Z67*(1+Data_85_15!Z19%)),"")</f>
        <v/>
      </c>
      <c r="AA68" s="446" t="str">
        <f>IF(AND($A68&gt;=SYear85,$A68&lt;=EYear85,AA$3&gt;0),IF($A68=SYear85,AA$56*(1+Data_85_15!AA19%),AA67*(1+Data_85_15!AA19%)),"")</f>
        <v/>
      </c>
      <c r="AB68" s="446" t="str">
        <f>IF(AND($A68&gt;=SYear85,$A68&lt;=EYear85,AB$3&gt;0),IF($A68=SYear85,AB$56*(1+Data_85_15!AB19%),AB67*(1+Data_85_15!AB19%)),"")</f>
        <v/>
      </c>
      <c r="AC68" s="446" t="str">
        <f>IF(AND($A68&gt;=SYear85,$A68&lt;=EYear85,AC$3&gt;0),IF($A68=SYear85,AC$56*(1+Data_85_15!AC19%),AC67*(1+Data_85_15!AC19%)),"")</f>
        <v/>
      </c>
      <c r="AD68" s="446" t="str">
        <f>IF(AND($A68&gt;=SYear85,$A68&lt;=EYear85,AD$3&gt;0),IF($A68=SYear85,AD$56*(1+Data_85_15!AD19%),AD67*(1+Data_85_15!AD19%)),"")</f>
        <v/>
      </c>
      <c r="AE68" s="446" t="str">
        <f>IF(AND($A68&gt;=SYear85,$A68&lt;=EYear85,AE$3&gt;0),IF($A68=SYear85,AE$56*(1+Data_85_15!AE19%),AE67*(1+Data_85_15!AE19%)),"")</f>
        <v/>
      </c>
      <c r="AF68" s="446" t="str">
        <f>IF(AND($A68&gt;=SYear85,$A68&lt;=EYear85,AF$3&gt;0),IF($A68=SYear85,AF$56*(1+Data_85_15!AF19%),AF67*(1+Data_85_15!AF19%)),"")</f>
        <v/>
      </c>
      <c r="AG68" s="446" t="str">
        <f>IF(AND($A68&gt;=SYear85,$A68&lt;=EYear85,AG$3&gt;0),IF($A68=SYear85,AG$56*(1+Data_85_15!AG19%),AG67*(1+Data_85_15!AG19%)),"")</f>
        <v/>
      </c>
      <c r="AH68" s="446" t="str">
        <f>IF(AND($A68&gt;=SYear85,$A68&lt;=EYear85,AH$3&gt;0),IF($A68=SYear85,AH$56*(1+Data_85_15!AH19%),AH67*(1+Data_85_15!AH19%)),"")</f>
        <v/>
      </c>
      <c r="AI68" s="446" t="str">
        <f>IF(AND($A68&gt;=SYear85,$A68&lt;=EYear85,AI$3&gt;0),IF($A68=SYear85,AI$56*(1+Data_85_15!AI19%),AI67*(1+Data_85_15!AI19%)),"")</f>
        <v/>
      </c>
      <c r="AJ68" s="446" t="str">
        <f>IF(AND($A68&gt;=SYear85,$A68&lt;=EYear85,AJ$3&gt;0),IF($A68=SYear85,AJ$56*(1+Data_85_15!AJ19%),AJ67*(1+Data_85_15!AJ19%)),"")</f>
        <v/>
      </c>
      <c r="AK68" s="446" t="str">
        <f>IF(AND($A68&gt;=SYear85,$A68&lt;=EYear85,AK$3&gt;0),IF($A68=SYear85,AK$56*(1+Data_85_15!AK19%),AK67*(1+Data_85_15!AK19%)),"")</f>
        <v/>
      </c>
      <c r="AL68" s="446" t="str">
        <f>IF(AND($A68&gt;=SYear85,$A68&lt;=EYear85,AL$3&gt;0),IF($A68=SYear85,AL$56*(1+Data_85_15!AL19%),AL67*(1+Data_85_15!AL19%)),"")</f>
        <v/>
      </c>
      <c r="AM68" s="446" t="str">
        <f>IF(AND($A68&gt;=SYear85,$A68&lt;=EYear85,AM$3&gt;0),IF($A68=SYear85,AM$56*(1+Data_85_15!AM19%),AM67*(1+Data_85_15!AM19%)),"")</f>
        <v/>
      </c>
      <c r="AN68" s="446" t="str">
        <f>IF(AND($A68&gt;=SYear85,$A68&lt;=EYear85,AN$3&gt;0),IF($A68=SYear85,AN$56*(1+Data_85_15!AN19%),AN67*(1+Data_85_15!AN19%)),"")</f>
        <v/>
      </c>
      <c r="AO68" s="446">
        <f>IF(AND($A68&gt;=SYear85,$A68&lt;=EYear85,AO$3&gt;0),IF($A68=SYear85,AO$56*(1+Data_85_15!AO19%),AO67*(1+Data_85_15!AO19%)),"")</f>
        <v>2847.7212730554538</v>
      </c>
      <c r="AP68" s="206" t="str">
        <f>IF(AND($A68&gt;=SYear85,$A68&lt;=EYear85,AP$3&gt;0),IF($A68=SYear85,AP$56*(1+Data_85_15!AP19%),AP67*(1+Data_85_15!AP19%)),"")</f>
        <v/>
      </c>
      <c r="AQ68" s="206" t="str">
        <f>IF(AND($A68&gt;=SYear85,$A68&lt;=EYear85,AQ$3&gt;0),IF($A68=SYear85,AQ$56*(1+Data_85_15!AQ19%),AQ67*(1+Data_85_15!AQ19%)),"")</f>
        <v/>
      </c>
      <c r="AR68" s="206" t="str">
        <f>IF(AND($A68&gt;=SYear85,$A68&lt;=EYear85,AR$3&gt;0),IF($A68=SYear85,AR$56*(1+Data_85_15!AR19%),AR67*(1+Data_85_15!AR19%)),"")</f>
        <v/>
      </c>
      <c r="AS68" s="206" t="str">
        <f>IF(AND($A68&gt;=SYear85,$A68&lt;=EYear85,AS$3&gt;0),IF($A68=SYear85,AS$56*(1+Data_85_15!AS19%),AS67*(1+Data_85_15!AS19%)),"")</f>
        <v/>
      </c>
      <c r="AT68" s="206" t="str">
        <f>IF(AND($A68&gt;=SYear85,$A68&lt;=EYear85,AT$3&gt;0),IF($A68=SYear85,AT$56*(1+Data_85_15!AT19%),AT67*(1+Data_85_15!AT19%)),"")</f>
        <v/>
      </c>
      <c r="AU68" s="206" t="str">
        <f>IF(AND($A68&gt;=SYear85,$A68&lt;=EYear85,AU$3&gt;0),IF($A68=SYear85,AU$56*(1+Data_85_15!AU19%),AU67*(1+Data_85_15!AU19%)),"")</f>
        <v/>
      </c>
      <c r="AV68" s="206" t="str">
        <f>IF(AND($A68&gt;=SYear85,$A68&lt;=EYear85,AV$3&gt;0),IF($A68=SYear85,AV$56*(1+Data_85_15!AV19%),AV67*(1+Data_85_15!AV19%)),"")</f>
        <v/>
      </c>
      <c r="AW68" s="206" t="str">
        <f>IF(AND($A68&gt;=SYear85,$A68&lt;=EYear85,AW$3&gt;0),IF($A68=SYear85,AW$56*(1+Data_85_15!AW19%),AW67*(1+Data_85_15!AW19%)),"")</f>
        <v/>
      </c>
      <c r="AX68" s="206" t="str">
        <f>IF(AND($A68&gt;=SYear85,$A68&lt;=EYear85,AX$3&gt;0),IF($A68=SYear85,AX$56*(1+Data_85_15!AX19%),AX67*(1+Data_85_15!AX19%)),"")</f>
        <v/>
      </c>
      <c r="AY68" s="206" t="str">
        <f>IF(AND($A68&gt;=SYear85,$A68&lt;=EYear85,AY$3&gt;0),IF($A68=SYear85,AY$56*(1+Data_85_15!AY19%),AY67*(1+Data_85_15!AY19%)),"")</f>
        <v/>
      </c>
      <c r="AZ68" s="206">
        <f t="shared" si="26"/>
        <v>7.3596486775335999</v>
      </c>
      <c r="BA68" s="446">
        <f t="shared" si="27"/>
        <v>34644.357737043036</v>
      </c>
      <c r="BB68" s="206">
        <f>IF(AND($A68&gt;=SYear85,$A68&lt;=EYear85),(AZ68-Data_85_15!AZ19)/(1+Data_85_15!AZ19%),"")</f>
        <v>3.9073522824804958</v>
      </c>
      <c r="BC68" s="606">
        <f t="shared" si="28"/>
        <v>23001.581776233477</v>
      </c>
      <c r="BD68" s="143">
        <f t="shared" si="29"/>
        <v>2.9089876275606676</v>
      </c>
      <c r="BE68" s="143">
        <f>IF(AND($A68&gt;=SYear85,$A68&lt;=EYear85),MAX($BD$57:BD68),"")</f>
        <v>2.9089876275606676</v>
      </c>
      <c r="BF68" s="209">
        <f t="shared" si="30"/>
        <v>0</v>
      </c>
      <c r="BN68" s="61">
        <f t="shared" si="31"/>
        <v>7.3596486775336034E-2</v>
      </c>
      <c r="BO68" s="61">
        <f t="shared" si="32"/>
        <v>0.10634931306969242</v>
      </c>
      <c r="BP68" s="61">
        <f t="shared" si="33"/>
        <v>0.10580497229045904</v>
      </c>
      <c r="BQ68" s="61">
        <f t="shared" si="34"/>
        <v>9.7224703961314107E-2</v>
      </c>
      <c r="BR68" s="61">
        <f t="shared" si="35"/>
        <v>8.3997013158664258E-2</v>
      </c>
      <c r="BU68" s="61">
        <f t="shared" si="36"/>
        <v>3.9073522824804918E-2</v>
      </c>
      <c r="BV68" s="61">
        <f t="shared" si="37"/>
        <v>8.2435630006566729E-2</v>
      </c>
      <c r="BW68" s="61">
        <f t="shared" si="38"/>
        <v>7.8426037045575603E-2</v>
      </c>
      <c r="BX68" s="61">
        <f t="shared" si="39"/>
        <v>7.0296008344233885E-2</v>
      </c>
      <c r="BY68" s="61">
        <f t="shared" si="40"/>
        <v>5.8559761770454966E-2</v>
      </c>
    </row>
    <row r="69" spans="1:77">
      <c r="A69" s="204">
        <f t="shared" si="41"/>
        <v>1997</v>
      </c>
      <c r="B69" s="446" t="str">
        <f>IF(AND($A69&gt;=SYear85,$A69&lt;=EYear85,B$3&gt;0),IF($A69=SYear85,B$56*(1+Data_85_15!B20%),B68*(1+Data_85_15!B20%)),"")</f>
        <v/>
      </c>
      <c r="C69" s="446" t="str">
        <f>IF(AND($A69&gt;=SYear85,$A69&lt;=EYear85,C$3&gt;0),IF($A69=SYear85,C$56*(1+Data_85_15!C20%),C68*(1+Data_85_15!C20%)),"")</f>
        <v/>
      </c>
      <c r="D69" s="446" t="str">
        <f>IF(AND($A69&gt;=SYear85,$A69&lt;=EYear85,D$3&gt;0),IF($A69=SYear85,D$56*(1+Data_85_15!D20%),D68*(1+Data_85_15!D20%)),"")</f>
        <v/>
      </c>
      <c r="E69" s="446" t="str">
        <f>IF(AND($A69&gt;=SYear85,$A69&lt;=EYear85,E$3&gt;0),IF($A69=SYear85,E$56*(1+Data_85_15!E20%),E68*(1+Data_85_15!E20%)),"")</f>
        <v/>
      </c>
      <c r="F69" s="446">
        <f>IF(AND($A69&gt;=SYear85,$A69&lt;=EYear85,F$3&gt;0),IF($A69=SYear85,F$56*(1+Data_85_15!F20%),F68*(1+Data_85_15!F20%)),"")</f>
        <v>19315.518263532271</v>
      </c>
      <c r="G69" s="446" t="str">
        <f>IF(AND($A69&gt;=SYear85,$A69&lt;=EYear85,G$3&gt;0),IF($A69=SYear85,G$56*(1+Data_85_15!G20%),G68*(1+Data_85_15!G20%)),"")</f>
        <v/>
      </c>
      <c r="H69" s="446" t="str">
        <f>IF(AND($A69&gt;=SYear85,$A69&lt;=EYear85,H$3&gt;0),IF($A69=SYear85,H$56*(1+Data_85_15!H20%),H68*(1+Data_85_15!H20%)),"")</f>
        <v/>
      </c>
      <c r="I69" s="446" t="str">
        <f>IF(AND($A69&gt;=SYear85,$A69&lt;=EYear85,I$3&gt;0),IF($A69=SYear85,I$56*(1+Data_85_15!I20%),I68*(1+Data_85_15!I20%)),"")</f>
        <v/>
      </c>
      <c r="J69" s="446" t="str">
        <f>IF(AND($A69&gt;=SYear85,$A69&lt;=EYear85,J$3&gt;0),IF($A69=SYear85,J$56*(1+Data_85_15!J20%),J68*(1+Data_85_15!J20%)),"")</f>
        <v/>
      </c>
      <c r="K69" s="446" t="str">
        <f>IF(AND($A69&gt;=SYear85,$A69&lt;=EYear85,K$3&gt;0),IF($A69=SYear85,K$56*(1+Data_85_15!K20%),K68*(1+Data_85_15!K20%)),"")</f>
        <v/>
      </c>
      <c r="L69" s="446" t="str">
        <f>IF(AND($A69&gt;=SYear85,$A69&lt;=EYear85,L$3&gt;0),IF($A69=SYear85,L$56*(1+Data_85_15!L20%),L68*(1+Data_85_15!L20%)),"")</f>
        <v/>
      </c>
      <c r="M69" s="446" t="str">
        <f>IF(AND($A69&gt;=SYear85,$A69&lt;=EYear85,M$3&gt;0),IF($A69=SYear85,M$56*(1+Data_85_15!M20%),M68*(1+Data_85_15!M20%)),"")</f>
        <v/>
      </c>
      <c r="N69" s="446" t="str">
        <f>IF(AND($A69&gt;=SYear85,$A69&lt;=EYear85,N$3&gt;0),IF($A69=SYear85,N$56*(1+Data_85_15!N20%),N68*(1+Data_85_15!N20%)),"")</f>
        <v/>
      </c>
      <c r="O69" s="446" t="str">
        <f>IF(AND($A69&gt;=SYear85,$A69&lt;=EYear85,O$3&gt;0),IF($A69=SYear85,O$56*(1+Data_85_15!O20%),O68*(1+Data_85_15!O20%)),"")</f>
        <v/>
      </c>
      <c r="P69" s="446" t="str">
        <f>IF(AND($A69&gt;=SYear85,$A69&lt;=EYear85,P$3&gt;0),IF($A69=SYear85,P$56*(1+Data_85_15!P20%),P68*(1+Data_85_15!P20%)),"")</f>
        <v/>
      </c>
      <c r="Q69" s="446" t="str">
        <f>IF(AND($A69&gt;=SYear85,$A69&lt;=EYear85,Q$3&gt;0),IF($A69=SYear85,Q$56*(1+Data_85_15!Q20%),Q68*(1+Data_85_15!Q20%)),"")</f>
        <v/>
      </c>
      <c r="R69" s="446" t="str">
        <f>IF(AND($A69&gt;=SYear85,$A69&lt;=EYear85,R$3&gt;0),IF($A69=SYear85,R$56*(1+Data_85_15!R20%),R68*(1+Data_85_15!R20%)),"")</f>
        <v/>
      </c>
      <c r="S69" s="446">
        <f>IF(AND($A69&gt;=SYear85,$A69&lt;=EYear85,S$3&gt;0),IF($A69=SYear85,S$56*(1+Data_85_15!S20%),S68*(1+Data_85_15!S20%)),"")</f>
        <v>10735.380919292951</v>
      </c>
      <c r="T69" s="446" t="str">
        <f>IF(AND($A69&gt;=SYear85,$A69&lt;=EYear85,T$3&gt;0),IF($A69=SYear85,T$56*(1+Data_85_15!T20%),T68*(1+Data_85_15!T20%)),"")</f>
        <v/>
      </c>
      <c r="U69" s="446" t="str">
        <f>IF(AND($A69&gt;=SYear85,$A69&lt;=EYear85,U$3&gt;0),IF($A69=SYear85,U$56*(1+Data_85_15!U20%),U68*(1+Data_85_15!U20%)),"")</f>
        <v/>
      </c>
      <c r="V69" s="446" t="str">
        <f>IF(AND($A69&gt;=SYear85,$A69&lt;=EYear85,V$3&gt;0),IF($A69=SYear85,V$56*(1+Data_85_15!V20%),V68*(1+Data_85_15!V20%)),"")</f>
        <v/>
      </c>
      <c r="W69" s="446">
        <f>IF(AND($A69&gt;=SYear85,$A69&lt;=EYear85,W$3&gt;0),IF($A69=SYear85,W$56*(1+Data_85_15!W20%),W68*(1+Data_85_15!W20%)),"")</f>
        <v>7936.8783795415584</v>
      </c>
      <c r="X69" s="446" t="str">
        <f>IF(AND($A69&gt;=SYear85,$A69&lt;=EYear85,X$3&gt;0),IF($A69=SYear85,X$56*(1+Data_85_15!X20%),X68*(1+Data_85_15!X20%)),"")</f>
        <v/>
      </c>
      <c r="Y69" s="446" t="str">
        <f>IF(AND($A69&gt;=SYear85,$A69&lt;=EYear85,Y$3&gt;0),IF($A69=SYear85,Y$56*(1+Data_85_15!Y20%),Y68*(1+Data_85_15!Y20%)),"")</f>
        <v/>
      </c>
      <c r="Z69" s="446" t="str">
        <f>IF(AND($A69&gt;=SYear85,$A69&lt;=EYear85,Z$3&gt;0),IF($A69=SYear85,Z$56*(1+Data_85_15!Z20%),Z68*(1+Data_85_15!Z20%)),"")</f>
        <v/>
      </c>
      <c r="AA69" s="446" t="str">
        <f>IF(AND($A69&gt;=SYear85,$A69&lt;=EYear85,AA$3&gt;0),IF($A69=SYear85,AA$56*(1+Data_85_15!AA20%),AA68*(1+Data_85_15!AA20%)),"")</f>
        <v/>
      </c>
      <c r="AB69" s="446" t="str">
        <f>IF(AND($A69&gt;=SYear85,$A69&lt;=EYear85,AB$3&gt;0),IF($A69=SYear85,AB$56*(1+Data_85_15!AB20%),AB68*(1+Data_85_15!AB20%)),"")</f>
        <v/>
      </c>
      <c r="AC69" s="446" t="str">
        <f>IF(AND($A69&gt;=SYear85,$A69&lt;=EYear85,AC$3&gt;0),IF($A69=SYear85,AC$56*(1+Data_85_15!AC20%),AC68*(1+Data_85_15!AC20%)),"")</f>
        <v/>
      </c>
      <c r="AD69" s="446" t="str">
        <f>IF(AND($A69&gt;=SYear85,$A69&lt;=EYear85,AD$3&gt;0),IF($A69=SYear85,AD$56*(1+Data_85_15!AD20%),AD68*(1+Data_85_15!AD20%)),"")</f>
        <v/>
      </c>
      <c r="AE69" s="446" t="str">
        <f>IF(AND($A69&gt;=SYear85,$A69&lt;=EYear85,AE$3&gt;0),IF($A69=SYear85,AE$56*(1+Data_85_15!AE20%),AE68*(1+Data_85_15!AE20%)),"")</f>
        <v/>
      </c>
      <c r="AF69" s="446" t="str">
        <f>IF(AND($A69&gt;=SYear85,$A69&lt;=EYear85,AF$3&gt;0),IF($A69=SYear85,AF$56*(1+Data_85_15!AF20%),AF68*(1+Data_85_15!AF20%)),"")</f>
        <v/>
      </c>
      <c r="AG69" s="446" t="str">
        <f>IF(AND($A69&gt;=SYear85,$A69&lt;=EYear85,AG$3&gt;0),IF($A69=SYear85,AG$56*(1+Data_85_15!AG20%),AG68*(1+Data_85_15!AG20%)),"")</f>
        <v/>
      </c>
      <c r="AH69" s="446" t="str">
        <f>IF(AND($A69&gt;=SYear85,$A69&lt;=EYear85,AH$3&gt;0),IF($A69=SYear85,AH$56*(1+Data_85_15!AH20%),AH68*(1+Data_85_15!AH20%)),"")</f>
        <v/>
      </c>
      <c r="AI69" s="446" t="str">
        <f>IF(AND($A69&gt;=SYear85,$A69&lt;=EYear85,AI$3&gt;0),IF($A69=SYear85,AI$56*(1+Data_85_15!AI20%),AI68*(1+Data_85_15!AI20%)),"")</f>
        <v/>
      </c>
      <c r="AJ69" s="446" t="str">
        <f>IF(AND($A69&gt;=SYear85,$A69&lt;=EYear85,AJ$3&gt;0),IF($A69=SYear85,AJ$56*(1+Data_85_15!AJ20%),AJ68*(1+Data_85_15!AJ20%)),"")</f>
        <v/>
      </c>
      <c r="AK69" s="446" t="str">
        <f>IF(AND($A69&gt;=SYear85,$A69&lt;=EYear85,AK$3&gt;0),IF($A69=SYear85,AK$56*(1+Data_85_15!AK20%),AK68*(1+Data_85_15!AK20%)),"")</f>
        <v/>
      </c>
      <c r="AL69" s="446" t="str">
        <f>IF(AND($A69&gt;=SYear85,$A69&lt;=EYear85,AL$3&gt;0),IF($A69=SYear85,AL$56*(1+Data_85_15!AL20%),AL68*(1+Data_85_15!AL20%)),"")</f>
        <v/>
      </c>
      <c r="AM69" s="446" t="str">
        <f>IF(AND($A69&gt;=SYear85,$A69&lt;=EYear85,AM$3&gt;0),IF($A69=SYear85,AM$56*(1+Data_85_15!AM20%),AM68*(1+Data_85_15!AM20%)),"")</f>
        <v/>
      </c>
      <c r="AN69" s="446" t="str">
        <f>IF(AND($A69&gt;=SYear85,$A69&lt;=EYear85,AN$3&gt;0),IF($A69=SYear85,AN$56*(1+Data_85_15!AN20%),AN68*(1+Data_85_15!AN20%)),"")</f>
        <v/>
      </c>
      <c r="AO69" s="446">
        <f>IF(AND($A69&gt;=SYear85,$A69&lt;=EYear85,AO$3&gt;0),IF($A69=SYear85,AO$56*(1+Data_85_15!AO20%),AO68*(1+Data_85_15!AO20%)),"")</f>
        <v>2229.1570709462562</v>
      </c>
      <c r="AP69" s="206" t="str">
        <f>IF(AND($A69&gt;=SYear85,$A69&lt;=EYear85,AP$3&gt;0),IF($A69=SYear85,AP$56*(1+Data_85_15!AP20%),AP68*(1+Data_85_15!AP20%)),"")</f>
        <v/>
      </c>
      <c r="AQ69" s="206" t="str">
        <f>IF(AND($A69&gt;=SYear85,$A69&lt;=EYear85,AQ$3&gt;0),IF($A69=SYear85,AQ$56*(1+Data_85_15!AQ20%),AQ68*(1+Data_85_15!AQ20%)),"")</f>
        <v/>
      </c>
      <c r="AR69" s="206" t="str">
        <f>IF(AND($A69&gt;=SYear85,$A69&lt;=EYear85,AR$3&gt;0),IF($A69=SYear85,AR$56*(1+Data_85_15!AR20%),AR68*(1+Data_85_15!AR20%)),"")</f>
        <v/>
      </c>
      <c r="AS69" s="206" t="str">
        <f>IF(AND($A69&gt;=SYear85,$A69&lt;=EYear85,AS$3&gt;0),IF($A69=SYear85,AS$56*(1+Data_85_15!AS20%),AS68*(1+Data_85_15!AS20%)),"")</f>
        <v/>
      </c>
      <c r="AT69" s="206" t="str">
        <f>IF(AND($A69&gt;=SYear85,$A69&lt;=EYear85,AT$3&gt;0),IF($A69=SYear85,AT$56*(1+Data_85_15!AT20%),AT68*(1+Data_85_15!AT20%)),"")</f>
        <v/>
      </c>
      <c r="AU69" s="206" t="str">
        <f>IF(AND($A69&gt;=SYear85,$A69&lt;=EYear85,AU$3&gt;0),IF($A69=SYear85,AU$56*(1+Data_85_15!AU20%),AU68*(1+Data_85_15!AU20%)),"")</f>
        <v/>
      </c>
      <c r="AV69" s="206" t="str">
        <f>IF(AND($A69&gt;=SYear85,$A69&lt;=EYear85,AV$3&gt;0),IF($A69=SYear85,AV$56*(1+Data_85_15!AV20%),AV68*(1+Data_85_15!AV20%)),"")</f>
        <v/>
      </c>
      <c r="AW69" s="206" t="str">
        <f>IF(AND($A69&gt;=SYear85,$A69&lt;=EYear85,AW$3&gt;0),IF($A69=SYear85,AW$56*(1+Data_85_15!AW20%),AW68*(1+Data_85_15!AW20%)),"")</f>
        <v/>
      </c>
      <c r="AX69" s="206" t="str">
        <f>IF(AND($A69&gt;=SYear85,$A69&lt;=EYear85,AX$3&gt;0),IF($A69=SYear85,AX$56*(1+Data_85_15!AX20%),AX68*(1+Data_85_15!AX20%)),"")</f>
        <v/>
      </c>
      <c r="AY69" s="206" t="str">
        <f>IF(AND($A69&gt;=SYear85,$A69&lt;=EYear85,AY$3&gt;0),IF($A69=SYear85,AY$56*(1+Data_85_15!AY20%),AY68*(1+Data_85_15!AY20%)),"")</f>
        <v/>
      </c>
      <c r="AZ69" s="206">
        <f t="shared" si="26"/>
        <v>16.0850922351249</v>
      </c>
      <c r="BA69" s="446">
        <f t="shared" si="27"/>
        <v>40216.934633313038</v>
      </c>
      <c r="BB69" s="206">
        <f>IF(AND($A69&gt;=SYear85,$A69&lt;=EYear85),(AZ69-Data_85_15!AZ20)/(1+Data_85_15!AZ20%),"")</f>
        <v>14.141944379980202</v>
      </c>
      <c r="BC69" s="606">
        <f t="shared" si="28"/>
        <v>26254.452677544075</v>
      </c>
      <c r="BD69" s="143">
        <f t="shared" si="29"/>
        <v>3.3769009705621729</v>
      </c>
      <c r="BE69" s="143">
        <f>IF(AND($A69&gt;=SYear85,$A69&lt;=EYear85),MAX($BD$57:BD69),"")</f>
        <v>3.3769009705621729</v>
      </c>
      <c r="BF69" s="209">
        <f t="shared" si="30"/>
        <v>0</v>
      </c>
      <c r="BN69" s="61">
        <f t="shared" si="31"/>
        <v>0.16085092235124909</v>
      </c>
      <c r="BO69" s="61">
        <f t="shared" si="32"/>
        <v>0.10290309333359149</v>
      </c>
      <c r="BP69" s="61">
        <f t="shared" si="33"/>
        <v>9.4729907713021921E-2</v>
      </c>
      <c r="BQ69" s="61">
        <f t="shared" si="34"/>
        <v>9.891760465580135E-2</v>
      </c>
      <c r="BR69" s="61">
        <f t="shared" si="35"/>
        <v>8.4876785109451403E-2</v>
      </c>
      <c r="BU69" s="61">
        <f t="shared" si="36"/>
        <v>0.14141944379980198</v>
      </c>
      <c r="BV69" s="61">
        <f t="shared" si="37"/>
        <v>8.1293794168771027E-2</v>
      </c>
      <c r="BW69" s="61">
        <f t="shared" si="38"/>
        <v>7.1322706346435671E-2</v>
      </c>
      <c r="BX69" s="61">
        <f t="shared" si="39"/>
        <v>7.2761880593794626E-2</v>
      </c>
      <c r="BY69" s="61">
        <f t="shared" si="40"/>
        <v>5.9665470596095282E-2</v>
      </c>
    </row>
    <row r="70" spans="1:77">
      <c r="A70" s="204">
        <f t="shared" si="41"/>
        <v>1998</v>
      </c>
      <c r="B70" s="446" t="str">
        <f>IF(AND($A70&gt;=SYear85,$A70&lt;=EYear85,B$3&gt;0),IF($A70=SYear85,B$56*(1+Data_85_15!B21%),B69*(1+Data_85_15!B21%)),"")</f>
        <v/>
      </c>
      <c r="C70" s="446" t="str">
        <f>IF(AND($A70&gt;=SYear85,$A70&lt;=EYear85,C$3&gt;0),IF($A70=SYear85,C$56*(1+Data_85_15!C21%),C69*(1+Data_85_15!C21%)),"")</f>
        <v/>
      </c>
      <c r="D70" s="446" t="str">
        <f>IF(AND($A70&gt;=SYear85,$A70&lt;=EYear85,D$3&gt;0),IF($A70=SYear85,D$56*(1+Data_85_15!D21%),D69*(1+Data_85_15!D21%)),"")</f>
        <v/>
      </c>
      <c r="E70" s="446" t="str">
        <f>IF(AND($A70&gt;=SYear85,$A70&lt;=EYear85,E$3&gt;0),IF($A70=SYear85,E$56*(1+Data_85_15!E21%),E69*(1+Data_85_15!E21%)),"")</f>
        <v/>
      </c>
      <c r="F70" s="446">
        <f>IF(AND($A70&gt;=SYear85,$A70&lt;=EYear85,F$3&gt;0),IF($A70=SYear85,F$56*(1+Data_85_15!F21%),F69*(1+Data_85_15!F21%)),"")</f>
        <v>21217.585162275798</v>
      </c>
      <c r="G70" s="446" t="str">
        <f>IF(AND($A70&gt;=SYear85,$A70&lt;=EYear85,G$3&gt;0),IF($A70=SYear85,G$56*(1+Data_85_15!G21%),G69*(1+Data_85_15!G21%)),"")</f>
        <v/>
      </c>
      <c r="H70" s="446" t="str">
        <f>IF(AND($A70&gt;=SYear85,$A70&lt;=EYear85,H$3&gt;0),IF($A70=SYear85,H$56*(1+Data_85_15!H21%),H69*(1+Data_85_15!H21%)),"")</f>
        <v/>
      </c>
      <c r="I70" s="446" t="str">
        <f>IF(AND($A70&gt;=SYear85,$A70&lt;=EYear85,I$3&gt;0),IF($A70=SYear85,I$56*(1+Data_85_15!I21%),I69*(1+Data_85_15!I21%)),"")</f>
        <v/>
      </c>
      <c r="J70" s="446" t="str">
        <f>IF(AND($A70&gt;=SYear85,$A70&lt;=EYear85,J$3&gt;0),IF($A70=SYear85,J$56*(1+Data_85_15!J21%),J69*(1+Data_85_15!J21%)),"")</f>
        <v/>
      </c>
      <c r="K70" s="446" t="str">
        <f>IF(AND($A70&gt;=SYear85,$A70&lt;=EYear85,K$3&gt;0),IF($A70=SYear85,K$56*(1+Data_85_15!K21%),K69*(1+Data_85_15!K21%)),"")</f>
        <v/>
      </c>
      <c r="L70" s="446" t="str">
        <f>IF(AND($A70&gt;=SYear85,$A70&lt;=EYear85,L$3&gt;0),IF($A70=SYear85,L$56*(1+Data_85_15!L21%),L69*(1+Data_85_15!L21%)),"")</f>
        <v/>
      </c>
      <c r="M70" s="446" t="str">
        <f>IF(AND($A70&gt;=SYear85,$A70&lt;=EYear85,M$3&gt;0),IF($A70=SYear85,M$56*(1+Data_85_15!M21%),M69*(1+Data_85_15!M21%)),"")</f>
        <v/>
      </c>
      <c r="N70" s="446" t="str">
        <f>IF(AND($A70&gt;=SYear85,$A70&lt;=EYear85,N$3&gt;0),IF($A70=SYear85,N$56*(1+Data_85_15!N21%),N69*(1+Data_85_15!N21%)),"")</f>
        <v/>
      </c>
      <c r="O70" s="446" t="str">
        <f>IF(AND($A70&gt;=SYear85,$A70&lt;=EYear85,O$3&gt;0),IF($A70=SYear85,O$56*(1+Data_85_15!O21%),O69*(1+Data_85_15!O21%)),"")</f>
        <v/>
      </c>
      <c r="P70" s="446" t="str">
        <f>IF(AND($A70&gt;=SYear85,$A70&lt;=EYear85,P$3&gt;0),IF($A70=SYear85,P$56*(1+Data_85_15!P21%),P69*(1+Data_85_15!P21%)),"")</f>
        <v/>
      </c>
      <c r="Q70" s="446" t="str">
        <f>IF(AND($A70&gt;=SYear85,$A70&lt;=EYear85,Q$3&gt;0),IF($A70=SYear85,Q$56*(1+Data_85_15!Q21%),Q69*(1+Data_85_15!Q21%)),"")</f>
        <v/>
      </c>
      <c r="R70" s="446" t="str">
        <f>IF(AND($A70&gt;=SYear85,$A70&lt;=EYear85,R$3&gt;0),IF($A70=SYear85,R$56*(1+Data_85_15!R21%),R69*(1+Data_85_15!R21%)),"")</f>
        <v/>
      </c>
      <c r="S70" s="446">
        <f>IF(AND($A70&gt;=SYear85,$A70&lt;=EYear85,S$3&gt;0),IF($A70=SYear85,S$56*(1+Data_85_15!S21%),S69*(1+Data_85_15!S21%)),"")</f>
        <v>12136.348129260681</v>
      </c>
      <c r="T70" s="446" t="str">
        <f>IF(AND($A70&gt;=SYear85,$A70&lt;=EYear85,T$3&gt;0),IF($A70=SYear85,T$56*(1+Data_85_15!T21%),T69*(1+Data_85_15!T21%)),"")</f>
        <v/>
      </c>
      <c r="U70" s="446" t="str">
        <f>IF(AND($A70&gt;=SYear85,$A70&lt;=EYear85,U$3&gt;0),IF($A70=SYear85,U$56*(1+Data_85_15!U21%),U69*(1+Data_85_15!U21%)),"")</f>
        <v/>
      </c>
      <c r="V70" s="446" t="str">
        <f>IF(AND($A70&gt;=SYear85,$A70&lt;=EYear85,V$3&gt;0),IF($A70=SYear85,V$56*(1+Data_85_15!V21%),V69*(1+Data_85_15!V21%)),"")</f>
        <v/>
      </c>
      <c r="W70" s="446">
        <f>IF(AND($A70&gt;=SYear85,$A70&lt;=EYear85,W$3&gt;0),IF($A70=SYear85,W$56*(1+Data_85_15!W21%),W69*(1+Data_85_15!W21%)),"")</f>
        <v>8142.8253235216789</v>
      </c>
      <c r="X70" s="446" t="str">
        <f>IF(AND($A70&gt;=SYear85,$A70&lt;=EYear85,X$3&gt;0),IF($A70=SYear85,X$56*(1+Data_85_15!X21%),X69*(1+Data_85_15!X21%)),"")</f>
        <v/>
      </c>
      <c r="Y70" s="446" t="str">
        <f>IF(AND($A70&gt;=SYear85,$A70&lt;=EYear85,Y$3&gt;0),IF($A70=SYear85,Y$56*(1+Data_85_15!Y21%),Y69*(1+Data_85_15!Y21%)),"")</f>
        <v/>
      </c>
      <c r="Z70" s="446" t="str">
        <f>IF(AND($A70&gt;=SYear85,$A70&lt;=EYear85,Z$3&gt;0),IF($A70=SYear85,Z$56*(1+Data_85_15!Z21%),Z69*(1+Data_85_15!Z21%)),"")</f>
        <v/>
      </c>
      <c r="AA70" s="446" t="str">
        <f>IF(AND($A70&gt;=SYear85,$A70&lt;=EYear85,AA$3&gt;0),IF($A70=SYear85,AA$56*(1+Data_85_15!AA21%),AA69*(1+Data_85_15!AA21%)),"")</f>
        <v/>
      </c>
      <c r="AB70" s="446" t="str">
        <f>IF(AND($A70&gt;=SYear85,$A70&lt;=EYear85,AB$3&gt;0),IF($A70=SYear85,AB$56*(1+Data_85_15!AB21%),AB69*(1+Data_85_15!AB21%)),"")</f>
        <v/>
      </c>
      <c r="AC70" s="446" t="str">
        <f>IF(AND($A70&gt;=SYear85,$A70&lt;=EYear85,AC$3&gt;0),IF($A70=SYear85,AC$56*(1+Data_85_15!AC21%),AC69*(1+Data_85_15!AC21%)),"")</f>
        <v/>
      </c>
      <c r="AD70" s="446" t="str">
        <f>IF(AND($A70&gt;=SYear85,$A70&lt;=EYear85,AD$3&gt;0),IF($A70=SYear85,AD$56*(1+Data_85_15!AD21%),AD69*(1+Data_85_15!AD21%)),"")</f>
        <v/>
      </c>
      <c r="AE70" s="446" t="str">
        <f>IF(AND($A70&gt;=SYear85,$A70&lt;=EYear85,AE$3&gt;0),IF($A70=SYear85,AE$56*(1+Data_85_15!AE21%),AE69*(1+Data_85_15!AE21%)),"")</f>
        <v/>
      </c>
      <c r="AF70" s="446" t="str">
        <f>IF(AND($A70&gt;=SYear85,$A70&lt;=EYear85,AF$3&gt;0),IF($A70=SYear85,AF$56*(1+Data_85_15!AF21%),AF69*(1+Data_85_15!AF21%)),"")</f>
        <v/>
      </c>
      <c r="AG70" s="446" t="str">
        <f>IF(AND($A70&gt;=SYear85,$A70&lt;=EYear85,AG$3&gt;0),IF($A70=SYear85,AG$56*(1+Data_85_15!AG21%),AG69*(1+Data_85_15!AG21%)),"")</f>
        <v/>
      </c>
      <c r="AH70" s="446" t="str">
        <f>IF(AND($A70&gt;=SYear85,$A70&lt;=EYear85,AH$3&gt;0),IF($A70=SYear85,AH$56*(1+Data_85_15!AH21%),AH69*(1+Data_85_15!AH21%)),"")</f>
        <v/>
      </c>
      <c r="AI70" s="446" t="str">
        <f>IF(AND($A70&gt;=SYear85,$A70&lt;=EYear85,AI$3&gt;0),IF($A70=SYear85,AI$56*(1+Data_85_15!AI21%),AI69*(1+Data_85_15!AI21%)),"")</f>
        <v/>
      </c>
      <c r="AJ70" s="446" t="str">
        <f>IF(AND($A70&gt;=SYear85,$A70&lt;=EYear85,AJ$3&gt;0),IF($A70=SYear85,AJ$56*(1+Data_85_15!AJ21%),AJ69*(1+Data_85_15!AJ21%)),"")</f>
        <v/>
      </c>
      <c r="AK70" s="446" t="str">
        <f>IF(AND($A70&gt;=SYear85,$A70&lt;=EYear85,AK$3&gt;0),IF($A70=SYear85,AK$56*(1+Data_85_15!AK21%),AK69*(1+Data_85_15!AK21%)),"")</f>
        <v/>
      </c>
      <c r="AL70" s="446" t="str">
        <f>IF(AND($A70&gt;=SYear85,$A70&lt;=EYear85,AL$3&gt;0),IF($A70=SYear85,AL$56*(1+Data_85_15!AL21%),AL69*(1+Data_85_15!AL21%)),"")</f>
        <v/>
      </c>
      <c r="AM70" s="446" t="str">
        <f>IF(AND($A70&gt;=SYear85,$A70&lt;=EYear85,AM$3&gt;0),IF($A70=SYear85,AM$56*(1+Data_85_15!AM21%),AM69*(1+Data_85_15!AM21%)),"")</f>
        <v/>
      </c>
      <c r="AN70" s="446" t="str">
        <f>IF(AND($A70&gt;=SYear85,$A70&lt;=EYear85,AN$3&gt;0),IF($A70=SYear85,AN$56*(1+Data_85_15!AN21%),AN69*(1+Data_85_15!AN21%)),"")</f>
        <v/>
      </c>
      <c r="AO70" s="446">
        <f>IF(AND($A70&gt;=SYear85,$A70&lt;=EYear85,AO$3&gt;0),IF($A70=SYear85,AO$56*(1+Data_85_15!AO21%),AO69*(1+Data_85_15!AO21%)),"")</f>
        <v>2201.9139328912215</v>
      </c>
      <c r="AP70" s="206" t="str">
        <f>IF(AND($A70&gt;=SYear85,$A70&lt;=EYear85,AP$3&gt;0),IF($A70=SYear85,AP$56*(1+Data_85_15!AP21%),AP69*(1+Data_85_15!AP21%)),"")</f>
        <v/>
      </c>
      <c r="AQ70" s="206" t="str">
        <f>IF(AND($A70&gt;=SYear85,$A70&lt;=EYear85,AQ$3&gt;0),IF($A70=SYear85,AQ$56*(1+Data_85_15!AQ21%),AQ69*(1+Data_85_15!AQ21%)),"")</f>
        <v/>
      </c>
      <c r="AR70" s="206" t="str">
        <f>IF(AND($A70&gt;=SYear85,$A70&lt;=EYear85,AR$3&gt;0),IF($A70=SYear85,AR$56*(1+Data_85_15!AR21%),AR69*(1+Data_85_15!AR21%)),"")</f>
        <v/>
      </c>
      <c r="AS70" s="206" t="str">
        <f>IF(AND($A70&gt;=SYear85,$A70&lt;=EYear85,AS$3&gt;0),IF($A70=SYear85,AS$56*(1+Data_85_15!AS21%),AS69*(1+Data_85_15!AS21%)),"")</f>
        <v/>
      </c>
      <c r="AT70" s="206" t="str">
        <f>IF(AND($A70&gt;=SYear85,$A70&lt;=EYear85,AT$3&gt;0),IF($A70=SYear85,AT$56*(1+Data_85_15!AT21%),AT69*(1+Data_85_15!AT21%)),"")</f>
        <v/>
      </c>
      <c r="AU70" s="206" t="str">
        <f>IF(AND($A70&gt;=SYear85,$A70&lt;=EYear85,AU$3&gt;0),IF($A70=SYear85,AU$56*(1+Data_85_15!AU21%),AU69*(1+Data_85_15!AU21%)),"")</f>
        <v/>
      </c>
      <c r="AV70" s="206" t="str">
        <f>IF(AND($A70&gt;=SYear85,$A70&lt;=EYear85,AV$3&gt;0),IF($A70=SYear85,AV$56*(1+Data_85_15!AV21%),AV69*(1+Data_85_15!AV21%)),"")</f>
        <v/>
      </c>
      <c r="AW70" s="206" t="str">
        <f>IF(AND($A70&gt;=SYear85,$A70&lt;=EYear85,AW$3&gt;0),IF($A70=SYear85,AW$56*(1+Data_85_15!AW21%),AW69*(1+Data_85_15!AW21%)),"")</f>
        <v/>
      </c>
      <c r="AX70" s="206" t="str">
        <f>IF(AND($A70&gt;=SYear85,$A70&lt;=EYear85,AX$3&gt;0),IF($A70=SYear85,AX$56*(1+Data_85_15!AX21%),AX69*(1+Data_85_15!AX21%)),"")</f>
        <v/>
      </c>
      <c r="AY70" s="206" t="str">
        <f>IF(AND($A70&gt;=SYear85,$A70&lt;=EYear85,AY$3&gt;0),IF($A70=SYear85,AY$56*(1+Data_85_15!AY21%),AY69*(1+Data_85_15!AY21%)),"")</f>
        <v/>
      </c>
      <c r="AZ70" s="206">
        <f t="shared" si="26"/>
        <v>8.6573925794739655</v>
      </c>
      <c r="BA70" s="446">
        <f t="shared" si="27"/>
        <v>43698.672547949376</v>
      </c>
      <c r="BB70" s="206">
        <f>IF(AND($A70&gt;=SYear85,$A70&lt;=EYear85),(AZ70-Data_85_15!AZ21)/(1+Data_85_15!AZ21%),"")</f>
        <v>6.9337243628380154</v>
      </c>
      <c r="BC70" s="606">
        <f t="shared" si="28"/>
        <v>28074.864059176725</v>
      </c>
      <c r="BD70" s="143">
        <f t="shared" si="29"/>
        <v>3.6692525446038062</v>
      </c>
      <c r="BE70" s="143">
        <f>IF(AND($A70&gt;=SYear85,$A70&lt;=EYear85),MAX($BD$57:BD70),"")</f>
        <v>3.6692525446038062</v>
      </c>
      <c r="BF70" s="209">
        <f t="shared" si="30"/>
        <v>0</v>
      </c>
      <c r="BN70" s="61">
        <f t="shared" si="31"/>
        <v>8.6573925794739548E-2</v>
      </c>
      <c r="BO70" s="61">
        <f t="shared" si="32"/>
        <v>9.881619892683613E-2</v>
      </c>
      <c r="BP70" s="61">
        <f t="shared" si="33"/>
        <v>6.3625262072678046E-2</v>
      </c>
      <c r="BQ70" s="61">
        <f t="shared" si="34"/>
        <v>9.1896190205585926E-2</v>
      </c>
      <c r="BR70" s="61">
        <f>IF(AND($A70&gt;=SYear85,$A70&lt;=EYear85),IF($A70=SYear85,(($BA86/$BA$56)^(1/(1+($A86-$A70)))-1),(($BA86/$BA69)^(1/(1+($A86-$A70)))-1)),"")</f>
        <v>8.5084081339636297E-2</v>
      </c>
      <c r="BU70" s="61">
        <f t="shared" si="36"/>
        <v>6.9337243628380119E-2</v>
      </c>
      <c r="BV70" s="61">
        <f t="shared" si="37"/>
        <v>7.1404401696148589E-2</v>
      </c>
      <c r="BW70" s="61">
        <f t="shared" si="38"/>
        <v>3.9507922905175796E-2</v>
      </c>
      <c r="BX70" s="61">
        <f t="shared" si="39"/>
        <v>6.3445930146974305E-2</v>
      </c>
      <c r="BY70" s="61">
        <f>IF(AND($A70&gt;=SYear85,$A70&lt;=EYear85),IF($A70=SYear85,(($BC86/$BC$56)^(1/(1+($A86-$A70)))-1),(($BC86/$BC69)^(1/(1+($A86-$A70)))-1)),"")</f>
        <v>6.1378052252202053E-2</v>
      </c>
    </row>
    <row r="71" spans="1:77">
      <c r="A71" s="204">
        <f t="shared" si="41"/>
        <v>1999</v>
      </c>
      <c r="B71" s="446" t="str">
        <f>IF(AND($A71&gt;=SYear85,$A71&lt;=EYear85,B$3&gt;0),IF($A71=SYear85,B$56*(1+Data_85_15!B22%),B70*(1+Data_85_15!B22%)),"")</f>
        <v/>
      </c>
      <c r="C71" s="446" t="str">
        <f>IF(AND($A71&gt;=SYear85,$A71&lt;=EYear85,C$3&gt;0),IF($A71=SYear85,C$56*(1+Data_85_15!C22%),C70*(1+Data_85_15!C22%)),"")</f>
        <v/>
      </c>
      <c r="D71" s="446" t="str">
        <f>IF(AND($A71&gt;=SYear85,$A71&lt;=EYear85,D$3&gt;0),IF($A71=SYear85,D$56*(1+Data_85_15!D22%),D70*(1+Data_85_15!D22%)),"")</f>
        <v/>
      </c>
      <c r="E71" s="446" t="str">
        <f>IF(AND($A71&gt;=SYear85,$A71&lt;=EYear85,E$3&gt;0),IF($A71=SYear85,E$56*(1+Data_85_15!E22%),E70*(1+Data_85_15!E22%)),"")</f>
        <v/>
      </c>
      <c r="F71" s="446">
        <f>IF(AND($A71&gt;=SYear85,$A71&lt;=EYear85,F$3&gt;0),IF($A71=SYear85,F$56*(1+Data_85_15!F22%),F70*(1+Data_85_15!F22%)),"")</f>
        <v>24411.971674285593</v>
      </c>
      <c r="G71" s="446" t="str">
        <f>IF(AND($A71&gt;=SYear85,$A71&lt;=EYear85,G$3&gt;0),IF($A71=SYear85,G$56*(1+Data_85_15!G22%),G70*(1+Data_85_15!G22%)),"")</f>
        <v/>
      </c>
      <c r="H71" s="446" t="str">
        <f>IF(AND($A71&gt;=SYear85,$A71&lt;=EYear85,H$3&gt;0),IF($A71=SYear85,H$56*(1+Data_85_15!H22%),H70*(1+Data_85_15!H22%)),"")</f>
        <v/>
      </c>
      <c r="I71" s="446" t="str">
        <f>IF(AND($A71&gt;=SYear85,$A71&lt;=EYear85,I$3&gt;0),IF($A71=SYear85,I$56*(1+Data_85_15!I22%),I70*(1+Data_85_15!I22%)),"")</f>
        <v/>
      </c>
      <c r="J71" s="446" t="str">
        <f>IF(AND($A71&gt;=SYear85,$A71&lt;=EYear85,J$3&gt;0),IF($A71=SYear85,J$56*(1+Data_85_15!J22%),J70*(1+Data_85_15!J22%)),"")</f>
        <v/>
      </c>
      <c r="K71" s="446" t="str">
        <f>IF(AND($A71&gt;=SYear85,$A71&lt;=EYear85,K$3&gt;0),IF($A71=SYear85,K$56*(1+Data_85_15!K22%),K70*(1+Data_85_15!K22%)),"")</f>
        <v/>
      </c>
      <c r="L71" s="446" t="str">
        <f>IF(AND($A71&gt;=SYear85,$A71&lt;=EYear85,L$3&gt;0),IF($A71=SYear85,L$56*(1+Data_85_15!L22%),L70*(1+Data_85_15!L22%)),"")</f>
        <v/>
      </c>
      <c r="M71" s="446" t="str">
        <f>IF(AND($A71&gt;=SYear85,$A71&lt;=EYear85,M$3&gt;0),IF($A71=SYear85,M$56*(1+Data_85_15!M22%),M70*(1+Data_85_15!M22%)),"")</f>
        <v/>
      </c>
      <c r="N71" s="446" t="str">
        <f>IF(AND($A71&gt;=SYear85,$A71&lt;=EYear85,N$3&gt;0),IF($A71=SYear85,N$56*(1+Data_85_15!N22%),N70*(1+Data_85_15!N22%)),"")</f>
        <v/>
      </c>
      <c r="O71" s="446" t="str">
        <f>IF(AND($A71&gt;=SYear85,$A71&lt;=EYear85,O$3&gt;0),IF($A71=SYear85,O$56*(1+Data_85_15!O22%),O70*(1+Data_85_15!O22%)),"")</f>
        <v/>
      </c>
      <c r="P71" s="446" t="str">
        <f>IF(AND($A71&gt;=SYear85,$A71&lt;=EYear85,P$3&gt;0),IF($A71=SYear85,P$56*(1+Data_85_15!P22%),P70*(1+Data_85_15!P22%)),"")</f>
        <v/>
      </c>
      <c r="Q71" s="446" t="str">
        <f>IF(AND($A71&gt;=SYear85,$A71&lt;=EYear85,Q$3&gt;0),IF($A71=SYear85,Q$56*(1+Data_85_15!Q22%),Q70*(1+Data_85_15!Q22%)),"")</f>
        <v/>
      </c>
      <c r="R71" s="446" t="str">
        <f>IF(AND($A71&gt;=SYear85,$A71&lt;=EYear85,R$3&gt;0),IF($A71=SYear85,R$56*(1+Data_85_15!R22%),R70*(1+Data_85_15!R22%)),"")</f>
        <v/>
      </c>
      <c r="S71" s="446">
        <f>IF(AND($A71&gt;=SYear85,$A71&lt;=EYear85,S$3&gt;0),IF($A71=SYear85,S$56*(1+Data_85_15!S22%),S70*(1+Data_85_15!S22%)),"")</f>
        <v>11085.340381266706</v>
      </c>
      <c r="T71" s="446" t="str">
        <f>IF(AND($A71&gt;=SYear85,$A71&lt;=EYear85,T$3&gt;0),IF($A71=SYear85,T$56*(1+Data_85_15!T22%),T70*(1+Data_85_15!T22%)),"")</f>
        <v/>
      </c>
      <c r="U71" s="446" t="str">
        <f>IF(AND($A71&gt;=SYear85,$A71&lt;=EYear85,U$3&gt;0),IF($A71=SYear85,U$56*(1+Data_85_15!U22%),U70*(1+Data_85_15!U22%)),"")</f>
        <v/>
      </c>
      <c r="V71" s="446" t="str">
        <f>IF(AND($A71&gt;=SYear85,$A71&lt;=EYear85,V$3&gt;0),IF($A71=SYear85,V$56*(1+Data_85_15!V22%),V70*(1+Data_85_15!V22%)),"")</f>
        <v/>
      </c>
      <c r="W71" s="446">
        <f>IF(AND($A71&gt;=SYear85,$A71&lt;=EYear85,W$3&gt;0),IF($A71=SYear85,W$56*(1+Data_85_15!W22%),W70*(1+Data_85_15!W22%)),"")</f>
        <v>8768.571381317257</v>
      </c>
      <c r="X71" s="446" t="str">
        <f>IF(AND($A71&gt;=SYear85,$A71&lt;=EYear85,X$3&gt;0),IF($A71=SYear85,X$56*(1+Data_85_15!X22%),X70*(1+Data_85_15!X22%)),"")</f>
        <v/>
      </c>
      <c r="Y71" s="446" t="str">
        <f>IF(AND($A71&gt;=SYear85,$A71&lt;=EYear85,Y$3&gt;0),IF($A71=SYear85,Y$56*(1+Data_85_15!Y22%),Y70*(1+Data_85_15!Y22%)),"")</f>
        <v/>
      </c>
      <c r="Z71" s="446" t="str">
        <f>IF(AND($A71&gt;=SYear85,$A71&lt;=EYear85,Z$3&gt;0),IF($A71=SYear85,Z$56*(1+Data_85_15!Z22%),Z70*(1+Data_85_15!Z22%)),"")</f>
        <v/>
      </c>
      <c r="AA71" s="446" t="str">
        <f>IF(AND($A71&gt;=SYear85,$A71&lt;=EYear85,AA$3&gt;0),IF($A71=SYear85,AA$56*(1+Data_85_15!AA22%),AA70*(1+Data_85_15!AA22%)),"")</f>
        <v/>
      </c>
      <c r="AB71" s="446" t="str">
        <f>IF(AND($A71&gt;=SYear85,$A71&lt;=EYear85,AB$3&gt;0),IF($A71=SYear85,AB$56*(1+Data_85_15!AB22%),AB70*(1+Data_85_15!AB22%)),"")</f>
        <v/>
      </c>
      <c r="AC71" s="446" t="str">
        <f>IF(AND($A71&gt;=SYear85,$A71&lt;=EYear85,AC$3&gt;0),IF($A71=SYear85,AC$56*(1+Data_85_15!AC22%),AC70*(1+Data_85_15!AC22%)),"")</f>
        <v/>
      </c>
      <c r="AD71" s="446" t="str">
        <f>IF(AND($A71&gt;=SYear85,$A71&lt;=EYear85,AD$3&gt;0),IF($A71=SYear85,AD$56*(1+Data_85_15!AD22%),AD70*(1+Data_85_15!AD22%)),"")</f>
        <v/>
      </c>
      <c r="AE71" s="446" t="str">
        <f>IF(AND($A71&gt;=SYear85,$A71&lt;=EYear85,AE$3&gt;0),IF($A71=SYear85,AE$56*(1+Data_85_15!AE22%),AE70*(1+Data_85_15!AE22%)),"")</f>
        <v/>
      </c>
      <c r="AF71" s="446" t="str">
        <f>IF(AND($A71&gt;=SYear85,$A71&lt;=EYear85,AF$3&gt;0),IF($A71=SYear85,AF$56*(1+Data_85_15!AF22%),AF70*(1+Data_85_15!AF22%)),"")</f>
        <v/>
      </c>
      <c r="AG71" s="446" t="str">
        <f>IF(AND($A71&gt;=SYear85,$A71&lt;=EYear85,AG$3&gt;0),IF($A71=SYear85,AG$56*(1+Data_85_15!AG22%),AG70*(1+Data_85_15!AG22%)),"")</f>
        <v/>
      </c>
      <c r="AH71" s="446" t="str">
        <f>IF(AND($A71&gt;=SYear85,$A71&lt;=EYear85,AH$3&gt;0),IF($A71=SYear85,AH$56*(1+Data_85_15!AH22%),AH70*(1+Data_85_15!AH22%)),"")</f>
        <v/>
      </c>
      <c r="AI71" s="446" t="str">
        <f>IF(AND($A71&gt;=SYear85,$A71&lt;=EYear85,AI$3&gt;0),IF($A71=SYear85,AI$56*(1+Data_85_15!AI22%),AI70*(1+Data_85_15!AI22%)),"")</f>
        <v/>
      </c>
      <c r="AJ71" s="446" t="str">
        <f>IF(AND($A71&gt;=SYear85,$A71&lt;=EYear85,AJ$3&gt;0),IF($A71=SYear85,AJ$56*(1+Data_85_15!AJ22%),AJ70*(1+Data_85_15!AJ22%)),"")</f>
        <v/>
      </c>
      <c r="AK71" s="446" t="str">
        <f>IF(AND($A71&gt;=SYear85,$A71&lt;=EYear85,AK$3&gt;0),IF($A71=SYear85,AK$56*(1+Data_85_15!AK22%),AK70*(1+Data_85_15!AK22%)),"")</f>
        <v/>
      </c>
      <c r="AL71" s="446" t="str">
        <f>IF(AND($A71&gt;=SYear85,$A71&lt;=EYear85,AL$3&gt;0),IF($A71=SYear85,AL$56*(1+Data_85_15!AL22%),AL70*(1+Data_85_15!AL22%)),"")</f>
        <v/>
      </c>
      <c r="AM71" s="446" t="str">
        <f>IF(AND($A71&gt;=SYear85,$A71&lt;=EYear85,AM$3&gt;0),IF($A71=SYear85,AM$56*(1+Data_85_15!AM22%),AM70*(1+Data_85_15!AM22%)),"")</f>
        <v/>
      </c>
      <c r="AN71" s="446" t="str">
        <f>IF(AND($A71&gt;=SYear85,$A71&lt;=EYear85,AN$3&gt;0),IF($A71=SYear85,AN$56*(1+Data_85_15!AN22%),AN70*(1+Data_85_15!AN22%)),"")</f>
        <v/>
      </c>
      <c r="AO71" s="446">
        <f>IF(AND($A71&gt;=SYear85,$A71&lt;=EYear85,AO$3&gt;0),IF($A71=SYear85,AO$56*(1+Data_85_15!AO22%),AO70*(1+Data_85_15!AO22%)),"")</f>
        <v>2211.8112643992376</v>
      </c>
      <c r="AP71" s="206" t="str">
        <f>IF(AND($A71&gt;=SYear85,$A71&lt;=EYear85,AP$3&gt;0),IF($A71=SYear85,AP$56*(1+Data_85_15!AP22%),AP70*(1+Data_85_15!AP22%)),"")</f>
        <v/>
      </c>
      <c r="AQ71" s="206" t="str">
        <f>IF(AND($A71&gt;=SYear85,$A71&lt;=EYear85,AQ$3&gt;0),IF($A71=SYear85,AQ$56*(1+Data_85_15!AQ22%),AQ70*(1+Data_85_15!AQ22%)),"")</f>
        <v/>
      </c>
      <c r="AR71" s="206" t="str">
        <f>IF(AND($A71&gt;=SYear85,$A71&lt;=EYear85,AR$3&gt;0),IF($A71=SYear85,AR$56*(1+Data_85_15!AR22%),AR70*(1+Data_85_15!AR22%)),"")</f>
        <v/>
      </c>
      <c r="AS71" s="206" t="str">
        <f>IF(AND($A71&gt;=SYear85,$A71&lt;=EYear85,AS$3&gt;0),IF($A71=SYear85,AS$56*(1+Data_85_15!AS22%),AS70*(1+Data_85_15!AS22%)),"")</f>
        <v/>
      </c>
      <c r="AT71" s="206" t="str">
        <f>IF(AND($A71&gt;=SYear85,$A71&lt;=EYear85,AT$3&gt;0),IF($A71=SYear85,AT$56*(1+Data_85_15!AT22%),AT70*(1+Data_85_15!AT22%)),"")</f>
        <v/>
      </c>
      <c r="AU71" s="206" t="str">
        <f>IF(AND($A71&gt;=SYear85,$A71&lt;=EYear85,AU$3&gt;0),IF($A71=SYear85,AU$56*(1+Data_85_15!AU22%),AU70*(1+Data_85_15!AU22%)),"")</f>
        <v/>
      </c>
      <c r="AV71" s="206" t="str">
        <f>IF(AND($A71&gt;=SYear85,$A71&lt;=EYear85,AV$3&gt;0),IF($A71=SYear85,AV$56*(1+Data_85_15!AV22%),AV70*(1+Data_85_15!AV22%)),"")</f>
        <v/>
      </c>
      <c r="AW71" s="206" t="str">
        <f>IF(AND($A71&gt;=SYear85,$A71&lt;=EYear85,AW$3&gt;0),IF($A71=SYear85,AW$56*(1+Data_85_15!AW22%),AW70*(1+Data_85_15!AW22%)),"")</f>
        <v/>
      </c>
      <c r="AX71" s="206" t="str">
        <f>IF(AND($A71&gt;=SYear85,$A71&lt;=EYear85,AX$3&gt;0),IF($A71=SYear85,AX$56*(1+Data_85_15!AX22%),AX70*(1+Data_85_15!AX22%)),"")</f>
        <v/>
      </c>
      <c r="AY71" s="206" t="str">
        <f>IF(AND($A71&gt;=SYear85,$A71&lt;=EYear85,AY$3&gt;0),IF($A71=SYear85,AY$56*(1+Data_85_15!AY22%),AY70*(1+Data_85_15!AY22%)),"")</f>
        <v/>
      </c>
      <c r="AZ71" s="206">
        <f t="shared" si="26"/>
        <v>6.3595116082074723</v>
      </c>
      <c r="BA71" s="446">
        <f t="shared" si="27"/>
        <v>46477.694701268789</v>
      </c>
      <c r="BB71" s="206">
        <f>IF(AND($A71&gt;=SYear85,$A71&lt;=EYear85),(AZ71-Data_85_15!AZ22)/(1+Data_85_15!AZ22%),"")</f>
        <v>3.578870781849111</v>
      </c>
      <c r="BC71" s="606">
        <f t="shared" si="28"/>
        <v>29079.627166034457</v>
      </c>
      <c r="BD71" s="143">
        <f t="shared" si="29"/>
        <v>3.9025990861123332</v>
      </c>
      <c r="BE71" s="143">
        <f>IF(AND($A71&gt;=SYear85,$A71&lt;=EYear85),MAX($BD$57:BD71),"")</f>
        <v>3.9025990861123332</v>
      </c>
      <c r="BF71" s="209">
        <f t="shared" si="30"/>
        <v>0</v>
      </c>
      <c r="BN71" s="61">
        <f t="shared" si="31"/>
        <v>6.3595116082074687E-2</v>
      </c>
      <c r="BO71" s="61">
        <f t="shared" si="32"/>
        <v>7.6216703909892436E-2</v>
      </c>
      <c r="BP71" s="61">
        <f t="shared" si="33"/>
        <v>8.2520000440199137E-2</v>
      </c>
      <c r="BQ71" s="61">
        <f t="shared" si="34"/>
        <v>6.0717856965649686E-2</v>
      </c>
      <c r="BR71" s="61">
        <f>IF(AND($A71&gt;=SYear85,$A71&lt;=EYear85),IF($A71=SYear85,(($BA87/$BA$56)^(1/(1+($A87-$A71)))-1),(($BA87/$BA70)^(1/(1+($A87-$A71)))-1)),"")</f>
        <v>7.8510731936306755E-2</v>
      </c>
      <c r="BU71" s="61">
        <f t="shared" si="36"/>
        <v>3.5788707818491083E-2</v>
      </c>
      <c r="BV71" s="61">
        <f t="shared" si="37"/>
        <v>4.9575931633789372E-2</v>
      </c>
      <c r="BW71" s="61">
        <f t="shared" si="38"/>
        <v>5.7417887422215097E-2</v>
      </c>
      <c r="BX71" s="61">
        <f t="shared" si="39"/>
        <v>3.4638701848397346E-2</v>
      </c>
      <c r="BY71" s="61">
        <f>IF(AND($A71&gt;=SYear85,$A71&lt;=EYear85),IF($A71=SYear85,(($BC87/$BC$56)^(1/(1+($A87-$A71)))-1),(($BC87/$BC70)^(1/(1+($A87-$A71)))-1)),"")</f>
        <v>5.5489688007120064E-2</v>
      </c>
    </row>
    <row r="72" spans="1:77">
      <c r="A72" s="204">
        <f t="shared" si="41"/>
        <v>2000</v>
      </c>
      <c r="B72" s="446" t="str">
        <f>IF(AND($A72&gt;=SYear85,$A72&lt;=EYear85,B$3&gt;0),IF($A72=SYear85,B$56*(1+Data_85_15!B23%),B71*(1+Data_85_15!B23%)),"")</f>
        <v/>
      </c>
      <c r="C72" s="446" t="str">
        <f>IF(AND($A72&gt;=SYear85,$A72&lt;=EYear85,C$3&gt;0),IF($A72=SYear85,C$56*(1+Data_85_15!C23%),C71*(1+Data_85_15!C23%)),"")</f>
        <v/>
      </c>
      <c r="D72" s="446" t="str">
        <f>IF(AND($A72&gt;=SYear85,$A72&lt;=EYear85,D$3&gt;0),IF($A72=SYear85,D$56*(1+Data_85_15!D23%),D71*(1+Data_85_15!D23%)),"")</f>
        <v/>
      </c>
      <c r="E72" s="446" t="str">
        <f>IF(AND($A72&gt;=SYear85,$A72&lt;=EYear85,E$3&gt;0),IF($A72=SYear85,E$56*(1+Data_85_15!E23%),E71*(1+Data_85_15!E23%)),"")</f>
        <v/>
      </c>
      <c r="F72" s="446">
        <f>IF(AND($A72&gt;=SYear85,$A72&lt;=EYear85,F$3&gt;0),IF($A72=SYear85,F$56*(1+Data_85_15!F23%),F71*(1+Data_85_15!F23%)),"")</f>
        <v>28830.538547331285</v>
      </c>
      <c r="G72" s="446" t="str">
        <f>IF(AND($A72&gt;=SYear85,$A72&lt;=EYear85,G$3&gt;0),IF($A72=SYear85,G$56*(1+Data_85_15!G23%),G71*(1+Data_85_15!G23%)),"")</f>
        <v/>
      </c>
      <c r="H72" s="446" t="str">
        <f>IF(AND($A72&gt;=SYear85,$A72&lt;=EYear85,H$3&gt;0),IF($A72=SYear85,H$56*(1+Data_85_15!H23%),H71*(1+Data_85_15!H23%)),"")</f>
        <v/>
      </c>
      <c r="I72" s="446" t="str">
        <f>IF(AND($A72&gt;=SYear85,$A72&lt;=EYear85,I$3&gt;0),IF($A72=SYear85,I$56*(1+Data_85_15!I23%),I71*(1+Data_85_15!I23%)),"")</f>
        <v/>
      </c>
      <c r="J72" s="446" t="str">
        <f>IF(AND($A72&gt;=SYear85,$A72&lt;=EYear85,J$3&gt;0),IF($A72=SYear85,J$56*(1+Data_85_15!J23%),J71*(1+Data_85_15!J23%)),"")</f>
        <v/>
      </c>
      <c r="K72" s="446" t="str">
        <f>IF(AND($A72&gt;=SYear85,$A72&lt;=EYear85,K$3&gt;0),IF($A72=SYear85,K$56*(1+Data_85_15!K23%),K71*(1+Data_85_15!K23%)),"")</f>
        <v/>
      </c>
      <c r="L72" s="446" t="str">
        <f>IF(AND($A72&gt;=SYear85,$A72&lt;=EYear85,L$3&gt;0),IF($A72=SYear85,L$56*(1+Data_85_15!L23%),L71*(1+Data_85_15!L23%)),"")</f>
        <v/>
      </c>
      <c r="M72" s="446" t="str">
        <f>IF(AND($A72&gt;=SYear85,$A72&lt;=EYear85,M$3&gt;0),IF($A72=SYear85,M$56*(1+Data_85_15!M23%),M71*(1+Data_85_15!M23%)),"")</f>
        <v/>
      </c>
      <c r="N72" s="446" t="str">
        <f>IF(AND($A72&gt;=SYear85,$A72&lt;=EYear85,N$3&gt;0),IF($A72=SYear85,N$56*(1+Data_85_15!N23%),N71*(1+Data_85_15!N23%)),"")</f>
        <v/>
      </c>
      <c r="O72" s="446" t="str">
        <f>IF(AND($A72&gt;=SYear85,$A72&lt;=EYear85,O$3&gt;0),IF($A72=SYear85,O$56*(1+Data_85_15!O23%),O71*(1+Data_85_15!O23%)),"")</f>
        <v/>
      </c>
      <c r="P72" s="446" t="str">
        <f>IF(AND($A72&gt;=SYear85,$A72&lt;=EYear85,P$3&gt;0),IF($A72=SYear85,P$56*(1+Data_85_15!P23%),P71*(1+Data_85_15!P23%)),"")</f>
        <v/>
      </c>
      <c r="Q72" s="446" t="str">
        <f>IF(AND($A72&gt;=SYear85,$A72&lt;=EYear85,Q$3&gt;0),IF($A72=SYear85,Q$56*(1+Data_85_15!Q23%),Q71*(1+Data_85_15!Q23%)),"")</f>
        <v/>
      </c>
      <c r="R72" s="446" t="str">
        <f>IF(AND($A72&gt;=SYear85,$A72&lt;=EYear85,R$3&gt;0),IF($A72=SYear85,R$56*(1+Data_85_15!R23%),R71*(1+Data_85_15!R23%)),"")</f>
        <v/>
      </c>
      <c r="S72" s="446">
        <f>IF(AND($A72&gt;=SYear85,$A72&lt;=EYear85,S$3&gt;0),IF($A72=SYear85,S$56*(1+Data_85_15!S23%),S71*(1+Data_85_15!S23%)),"")</f>
        <v>13271.369504452501</v>
      </c>
      <c r="T72" s="446" t="str">
        <f>IF(AND($A72&gt;=SYear85,$A72&lt;=EYear85,T$3&gt;0),IF($A72=SYear85,T$56*(1+Data_85_15!T23%),T71*(1+Data_85_15!T23%)),"")</f>
        <v/>
      </c>
      <c r="U72" s="446" t="str">
        <f>IF(AND($A72&gt;=SYear85,$A72&lt;=EYear85,U$3&gt;0),IF($A72=SYear85,U$56*(1+Data_85_15!U23%),U71*(1+Data_85_15!U23%)),"")</f>
        <v/>
      </c>
      <c r="V72" s="446" t="str">
        <f>IF(AND($A72&gt;=SYear85,$A72&lt;=EYear85,V$3&gt;0),IF($A72=SYear85,V$56*(1+Data_85_15!V23%),V71*(1+Data_85_15!V23%)),"")</f>
        <v/>
      </c>
      <c r="W72" s="446">
        <f>IF(AND($A72&gt;=SYear85,$A72&lt;=EYear85,W$3&gt;0),IF($A72=SYear85,W$56*(1+Data_85_15!W23%),W71*(1+Data_85_15!W23%)),"")</f>
        <v>9171.1205664875106</v>
      </c>
      <c r="X72" s="446" t="str">
        <f>IF(AND($A72&gt;=SYear85,$A72&lt;=EYear85,X$3&gt;0),IF($A72=SYear85,X$56*(1+Data_85_15!X23%),X71*(1+Data_85_15!X23%)),"")</f>
        <v/>
      </c>
      <c r="Y72" s="446" t="str">
        <f>IF(AND($A72&gt;=SYear85,$A72&lt;=EYear85,Y$3&gt;0),IF($A72=SYear85,Y$56*(1+Data_85_15!Y23%),Y71*(1+Data_85_15!Y23%)),"")</f>
        <v/>
      </c>
      <c r="Z72" s="446" t="str">
        <f>IF(AND($A72&gt;=SYear85,$A72&lt;=EYear85,Z$3&gt;0),IF($A72=SYear85,Z$56*(1+Data_85_15!Z23%),Z71*(1+Data_85_15!Z23%)),"")</f>
        <v/>
      </c>
      <c r="AA72" s="446" t="str">
        <f>IF(AND($A72&gt;=SYear85,$A72&lt;=EYear85,AA$3&gt;0),IF($A72=SYear85,AA$56*(1+Data_85_15!AA23%),AA71*(1+Data_85_15!AA23%)),"")</f>
        <v/>
      </c>
      <c r="AB72" s="446" t="str">
        <f>IF(AND($A72&gt;=SYear85,$A72&lt;=EYear85,AB$3&gt;0),IF($A72=SYear85,AB$56*(1+Data_85_15!AB23%),AB71*(1+Data_85_15!AB23%)),"")</f>
        <v/>
      </c>
      <c r="AC72" s="446" t="str">
        <f>IF(AND($A72&gt;=SYear85,$A72&lt;=EYear85,AC$3&gt;0),IF($A72=SYear85,AC$56*(1+Data_85_15!AC23%),AC71*(1+Data_85_15!AC23%)),"")</f>
        <v/>
      </c>
      <c r="AD72" s="446" t="str">
        <f>IF(AND($A72&gt;=SYear85,$A72&lt;=EYear85,AD$3&gt;0),IF($A72=SYear85,AD$56*(1+Data_85_15!AD23%),AD71*(1+Data_85_15!AD23%)),"")</f>
        <v/>
      </c>
      <c r="AE72" s="446" t="str">
        <f>IF(AND($A72&gt;=SYear85,$A72&lt;=EYear85,AE$3&gt;0),IF($A72=SYear85,AE$56*(1+Data_85_15!AE23%),AE71*(1+Data_85_15!AE23%)),"")</f>
        <v/>
      </c>
      <c r="AF72" s="446" t="str">
        <f>IF(AND($A72&gt;=SYear85,$A72&lt;=EYear85,AF$3&gt;0),IF($A72=SYear85,AF$56*(1+Data_85_15!AF23%),AF71*(1+Data_85_15!AF23%)),"")</f>
        <v/>
      </c>
      <c r="AG72" s="446" t="str">
        <f>IF(AND($A72&gt;=SYear85,$A72&lt;=EYear85,AG$3&gt;0),IF($A72=SYear85,AG$56*(1+Data_85_15!AG23%),AG71*(1+Data_85_15!AG23%)),"")</f>
        <v/>
      </c>
      <c r="AH72" s="446" t="str">
        <f>IF(AND($A72&gt;=SYear85,$A72&lt;=EYear85,AH$3&gt;0),IF($A72=SYear85,AH$56*(1+Data_85_15!AH23%),AH71*(1+Data_85_15!AH23%)),"")</f>
        <v/>
      </c>
      <c r="AI72" s="446" t="str">
        <f>IF(AND($A72&gt;=SYear85,$A72&lt;=EYear85,AI$3&gt;0),IF($A72=SYear85,AI$56*(1+Data_85_15!AI23%),AI71*(1+Data_85_15!AI23%)),"")</f>
        <v/>
      </c>
      <c r="AJ72" s="446" t="str">
        <f>IF(AND($A72&gt;=SYear85,$A72&lt;=EYear85,AJ$3&gt;0),IF($A72=SYear85,AJ$56*(1+Data_85_15!AJ23%),AJ71*(1+Data_85_15!AJ23%)),"")</f>
        <v/>
      </c>
      <c r="AK72" s="446" t="str">
        <f>IF(AND($A72&gt;=SYear85,$A72&lt;=EYear85,AK$3&gt;0),IF($A72=SYear85,AK$56*(1+Data_85_15!AK23%),AK71*(1+Data_85_15!AK23%)),"")</f>
        <v/>
      </c>
      <c r="AL72" s="446" t="str">
        <f>IF(AND($A72&gt;=SYear85,$A72&lt;=EYear85,AL$3&gt;0),IF($A72=SYear85,AL$56*(1+Data_85_15!AL23%),AL71*(1+Data_85_15!AL23%)),"")</f>
        <v/>
      </c>
      <c r="AM72" s="446" t="str">
        <f>IF(AND($A72&gt;=SYear85,$A72&lt;=EYear85,AM$3&gt;0),IF($A72=SYear85,AM$56*(1+Data_85_15!AM23%),AM71*(1+Data_85_15!AM23%)),"")</f>
        <v/>
      </c>
      <c r="AN72" s="446" t="str">
        <f>IF(AND($A72&gt;=SYear85,$A72&lt;=EYear85,AN$3&gt;0),IF($A72=SYear85,AN$56*(1+Data_85_15!AN23%),AN71*(1+Data_85_15!AN23%)),"")</f>
        <v/>
      </c>
      <c r="AO72" s="446">
        <f>IF(AND($A72&gt;=SYear85,$A72&lt;=EYear85,AO$3&gt;0),IF($A72=SYear85,AO$56*(1+Data_85_15!AO23%),AO71*(1+Data_85_15!AO23%)),"")</f>
        <v>2083.0771711238449</v>
      </c>
      <c r="AP72" s="206" t="str">
        <f>IF(AND($A72&gt;=SYear85,$A72&lt;=EYear85,AP$3&gt;0),IF($A72=SYear85,AP$56*(1+Data_85_15!AP23%),AP71*(1+Data_85_15!AP23%)),"")</f>
        <v/>
      </c>
      <c r="AQ72" s="206" t="str">
        <f>IF(AND($A72&gt;=SYear85,$A72&lt;=EYear85,AQ$3&gt;0),IF($A72=SYear85,AQ$56*(1+Data_85_15!AQ23%),AQ71*(1+Data_85_15!AQ23%)),"")</f>
        <v/>
      </c>
      <c r="AR72" s="206" t="str">
        <f>IF(AND($A72&gt;=SYear85,$A72&lt;=EYear85,AR$3&gt;0),IF($A72=SYear85,AR$56*(1+Data_85_15!AR23%),AR71*(1+Data_85_15!AR23%)),"")</f>
        <v/>
      </c>
      <c r="AS72" s="206" t="str">
        <f>IF(AND($A72&gt;=SYear85,$A72&lt;=EYear85,AS$3&gt;0),IF($A72=SYear85,AS$56*(1+Data_85_15!AS23%),AS71*(1+Data_85_15!AS23%)),"")</f>
        <v/>
      </c>
      <c r="AT72" s="206" t="str">
        <f>IF(AND($A72&gt;=SYear85,$A72&lt;=EYear85,AT$3&gt;0),IF($A72=SYear85,AT$56*(1+Data_85_15!AT23%),AT71*(1+Data_85_15!AT23%)),"")</f>
        <v/>
      </c>
      <c r="AU72" s="206" t="str">
        <f>IF(AND($A72&gt;=SYear85,$A72&lt;=EYear85,AU$3&gt;0),IF($A72=SYear85,AU$56*(1+Data_85_15!AU23%),AU71*(1+Data_85_15!AU23%)),"")</f>
        <v/>
      </c>
      <c r="AV72" s="206" t="str">
        <f>IF(AND($A72&gt;=SYear85,$A72&lt;=EYear85,AV$3&gt;0),IF($A72=SYear85,AV$56*(1+Data_85_15!AV23%),AV71*(1+Data_85_15!AV23%)),"")</f>
        <v/>
      </c>
      <c r="AW72" s="206" t="str">
        <f>IF(AND($A72&gt;=SYear85,$A72&lt;=EYear85,AW$3&gt;0),IF($A72=SYear85,AW$56*(1+Data_85_15!AW23%),AW71*(1+Data_85_15!AW23%)),"")</f>
        <v/>
      </c>
      <c r="AX72" s="206" t="str">
        <f>IF(AND($A72&gt;=SYear85,$A72&lt;=EYear85,AX$3&gt;0),IF($A72=SYear85,AX$56*(1+Data_85_15!AX23%),AX71*(1+Data_85_15!AX23%)),"")</f>
        <v/>
      </c>
      <c r="AY72" s="206" t="str">
        <f>IF(AND($A72&gt;=SYear85,$A72&lt;=EYear85,AY$3&gt;0),IF($A72=SYear85,AY$56*(1+Data_85_15!AY23%),AY71*(1+Data_85_15!AY23%)),"")</f>
        <v/>
      </c>
      <c r="AZ72" s="206">
        <f t="shared" si="26"/>
        <v>14.799380933879613</v>
      </c>
      <c r="BA72" s="446">
        <f t="shared" si="27"/>
        <v>53356.105789395137</v>
      </c>
      <c r="BB72" s="206">
        <f>IF(AND($A72&gt;=SYear85,$A72&lt;=EYear85),(AZ72-Data_85_15!AZ23)/(1+Data_85_15!AZ23%),"")</f>
        <v>11.038711558459436</v>
      </c>
      <c r="BC72" s="606">
        <f t="shared" si="28"/>
        <v>32289.643331168412</v>
      </c>
      <c r="BD72" s="143">
        <f t="shared" si="29"/>
        <v>4.4801595911882011</v>
      </c>
      <c r="BE72" s="143">
        <f>IF(AND($A72&gt;=SYear85,$A72&lt;=EYear85),MAX($BD$57:BD72),"")</f>
        <v>4.4801595911882011</v>
      </c>
      <c r="BF72" s="209">
        <f t="shared" si="30"/>
        <v>0</v>
      </c>
      <c r="BN72" s="61">
        <f t="shared" si="31"/>
        <v>0.14799380933879602</v>
      </c>
      <c r="BO72" s="61">
        <f t="shared" si="32"/>
        <v>5.6093901883699893E-2</v>
      </c>
      <c r="BP72" s="61">
        <f t="shared" si="33"/>
        <v>9.7461537931947007E-2</v>
      </c>
      <c r="BQ72" s="61">
        <f t="shared" si="34"/>
        <v>7.0132026699903482E-2</v>
      </c>
      <c r="BR72" s="61"/>
      <c r="BU72" s="61">
        <f t="shared" si="36"/>
        <v>0.11038711558459435</v>
      </c>
      <c r="BV72" s="61">
        <f t="shared" si="37"/>
        <v>3.098192480331674E-2</v>
      </c>
      <c r="BW72" s="61">
        <f t="shared" si="38"/>
        <v>7.0824685333548798E-2</v>
      </c>
      <c r="BX72" s="61">
        <f t="shared" si="39"/>
        <v>4.378404388974011E-2</v>
      </c>
      <c r="BY72" s="61"/>
    </row>
    <row r="73" spans="1:77">
      <c r="A73" s="204">
        <f t="shared" si="41"/>
        <v>2001</v>
      </c>
      <c r="B73" s="446" t="str">
        <f>IF(AND($A73&gt;=SYear85,$A73&lt;=EYear85,B$3&gt;0),IF($A73=SYear85,B$56*(1+Data_85_15!B24%),B72*(1+Data_85_15!B24%)),"")</f>
        <v/>
      </c>
      <c r="C73" s="446" t="str">
        <f>IF(AND($A73&gt;=SYear85,$A73&lt;=EYear85,C$3&gt;0),IF($A73=SYear85,C$56*(1+Data_85_15!C24%),C72*(1+Data_85_15!C24%)),"")</f>
        <v/>
      </c>
      <c r="D73" s="446" t="str">
        <f>IF(AND($A73&gt;=SYear85,$A73&lt;=EYear85,D$3&gt;0),IF($A73=SYear85,D$56*(1+Data_85_15!D24%),D72*(1+Data_85_15!D24%)),"")</f>
        <v/>
      </c>
      <c r="E73" s="446" t="str">
        <f>IF(AND($A73&gt;=SYear85,$A73&lt;=EYear85,E$3&gt;0),IF($A73=SYear85,E$56*(1+Data_85_15!E24%),E72*(1+Data_85_15!E24%)),"")</f>
        <v/>
      </c>
      <c r="F73" s="446">
        <f>IF(AND($A73&gt;=SYear85,$A73&lt;=EYear85,F$3&gt;0),IF($A73=SYear85,F$56*(1+Data_85_15!F24%),F72*(1+Data_85_15!F24%)),"")</f>
        <v>28686.385854594628</v>
      </c>
      <c r="G73" s="446" t="str">
        <f>IF(AND($A73&gt;=SYear85,$A73&lt;=EYear85,G$3&gt;0),IF($A73=SYear85,G$56*(1+Data_85_15!G24%),G72*(1+Data_85_15!G24%)),"")</f>
        <v/>
      </c>
      <c r="H73" s="446" t="str">
        <f>IF(AND($A73&gt;=SYear85,$A73&lt;=EYear85,H$3&gt;0),IF($A73=SYear85,H$56*(1+Data_85_15!H24%),H72*(1+Data_85_15!H24%)),"")</f>
        <v/>
      </c>
      <c r="I73" s="446" t="str">
        <f>IF(AND($A73&gt;=SYear85,$A73&lt;=EYear85,I$3&gt;0),IF($A73=SYear85,I$56*(1+Data_85_15!I24%),I72*(1+Data_85_15!I24%)),"")</f>
        <v/>
      </c>
      <c r="J73" s="446" t="str">
        <f>IF(AND($A73&gt;=SYear85,$A73&lt;=EYear85,J$3&gt;0),IF($A73=SYear85,J$56*(1+Data_85_15!J24%),J72*(1+Data_85_15!J24%)),"")</f>
        <v/>
      </c>
      <c r="K73" s="446" t="str">
        <f>IF(AND($A73&gt;=SYear85,$A73&lt;=EYear85,K$3&gt;0),IF($A73=SYear85,K$56*(1+Data_85_15!K24%),K72*(1+Data_85_15!K24%)),"")</f>
        <v/>
      </c>
      <c r="L73" s="446" t="str">
        <f>IF(AND($A73&gt;=SYear85,$A73&lt;=EYear85,L$3&gt;0),IF($A73=SYear85,L$56*(1+Data_85_15!L24%),L72*(1+Data_85_15!L24%)),"")</f>
        <v/>
      </c>
      <c r="M73" s="446" t="str">
        <f>IF(AND($A73&gt;=SYear85,$A73&lt;=EYear85,M$3&gt;0),IF($A73=SYear85,M$56*(1+Data_85_15!M24%),M72*(1+Data_85_15!M24%)),"")</f>
        <v/>
      </c>
      <c r="N73" s="446" t="str">
        <f>IF(AND($A73&gt;=SYear85,$A73&lt;=EYear85,N$3&gt;0),IF($A73=SYear85,N$56*(1+Data_85_15!N24%),N72*(1+Data_85_15!N24%)),"")</f>
        <v/>
      </c>
      <c r="O73" s="446" t="str">
        <f>IF(AND($A73&gt;=SYear85,$A73&lt;=EYear85,O$3&gt;0),IF($A73=SYear85,O$56*(1+Data_85_15!O24%),O72*(1+Data_85_15!O24%)),"")</f>
        <v/>
      </c>
      <c r="P73" s="446" t="str">
        <f>IF(AND($A73&gt;=SYear85,$A73&lt;=EYear85,P$3&gt;0),IF($A73=SYear85,P$56*(1+Data_85_15!P24%),P72*(1+Data_85_15!P24%)),"")</f>
        <v/>
      </c>
      <c r="Q73" s="446" t="str">
        <f>IF(AND($A73&gt;=SYear85,$A73&lt;=EYear85,Q$3&gt;0),IF($A73=SYear85,Q$56*(1+Data_85_15!Q24%),Q72*(1+Data_85_15!Q24%)),"")</f>
        <v/>
      </c>
      <c r="R73" s="446" t="str">
        <f>IF(AND($A73&gt;=SYear85,$A73&lt;=EYear85,R$3&gt;0),IF($A73=SYear85,R$56*(1+Data_85_15!R24%),R72*(1+Data_85_15!R24%)),"")</f>
        <v/>
      </c>
      <c r="S73" s="446">
        <f>IF(AND($A73&gt;=SYear85,$A73&lt;=EYear85,S$3&gt;0),IF($A73=SYear85,S$56*(1+Data_85_15!S24%),S72*(1+Data_85_15!S24%)),"")</f>
        <v>13843.365530094403</v>
      </c>
      <c r="T73" s="446" t="str">
        <f>IF(AND($A73&gt;=SYear85,$A73&lt;=EYear85,T$3&gt;0),IF($A73=SYear85,T$56*(1+Data_85_15!T24%),T72*(1+Data_85_15!T24%)),"")</f>
        <v/>
      </c>
      <c r="U73" s="446" t="str">
        <f>IF(AND($A73&gt;=SYear85,$A73&lt;=EYear85,U$3&gt;0),IF($A73=SYear85,U$56*(1+Data_85_15!U24%),U72*(1+Data_85_15!U24%)),"")</f>
        <v/>
      </c>
      <c r="V73" s="446" t="str">
        <f>IF(AND($A73&gt;=SYear85,$A73&lt;=EYear85,V$3&gt;0),IF($A73=SYear85,V$56*(1+Data_85_15!V24%),V72*(1+Data_85_15!V24%)),"")</f>
        <v/>
      </c>
      <c r="W73" s="446">
        <f>IF(AND($A73&gt;=SYear85,$A73&lt;=EYear85,W$3&gt;0),IF($A73=SYear85,W$56*(1+Data_85_15!W24%),W72*(1+Data_85_15!W24%)),"")</f>
        <v>9849.344153290629</v>
      </c>
      <c r="X73" s="446" t="str">
        <f>IF(AND($A73&gt;=SYear85,$A73&lt;=EYear85,X$3&gt;0),IF($A73=SYear85,X$56*(1+Data_85_15!X24%),X72*(1+Data_85_15!X24%)),"")</f>
        <v/>
      </c>
      <c r="Y73" s="446" t="str">
        <f>IF(AND($A73&gt;=SYear85,$A73&lt;=EYear85,Y$3&gt;0),IF($A73=SYear85,Y$56*(1+Data_85_15!Y24%),Y72*(1+Data_85_15!Y24%)),"")</f>
        <v/>
      </c>
      <c r="Z73" s="446" t="str">
        <f>IF(AND($A73&gt;=SYear85,$A73&lt;=EYear85,Z$3&gt;0),IF($A73=SYear85,Z$56*(1+Data_85_15!Z24%),Z72*(1+Data_85_15!Z24%)),"")</f>
        <v/>
      </c>
      <c r="AA73" s="446" t="str">
        <f>IF(AND($A73&gt;=SYear85,$A73&lt;=EYear85,AA$3&gt;0),IF($A73=SYear85,AA$56*(1+Data_85_15!AA24%),AA72*(1+Data_85_15!AA24%)),"")</f>
        <v/>
      </c>
      <c r="AB73" s="446" t="str">
        <f>IF(AND($A73&gt;=SYear85,$A73&lt;=EYear85,AB$3&gt;0),IF($A73=SYear85,AB$56*(1+Data_85_15!AB24%),AB72*(1+Data_85_15!AB24%)),"")</f>
        <v/>
      </c>
      <c r="AC73" s="446" t="str">
        <f>IF(AND($A73&gt;=SYear85,$A73&lt;=EYear85,AC$3&gt;0),IF($A73=SYear85,AC$56*(1+Data_85_15!AC24%),AC72*(1+Data_85_15!AC24%)),"")</f>
        <v/>
      </c>
      <c r="AD73" s="446" t="str">
        <f>IF(AND($A73&gt;=SYear85,$A73&lt;=EYear85,AD$3&gt;0),IF($A73=SYear85,AD$56*(1+Data_85_15!AD24%),AD72*(1+Data_85_15!AD24%)),"")</f>
        <v/>
      </c>
      <c r="AE73" s="446" t="str">
        <f>IF(AND($A73&gt;=SYear85,$A73&lt;=EYear85,AE$3&gt;0),IF($A73=SYear85,AE$56*(1+Data_85_15!AE24%),AE72*(1+Data_85_15!AE24%)),"")</f>
        <v/>
      </c>
      <c r="AF73" s="446" t="str">
        <f>IF(AND($A73&gt;=SYear85,$A73&lt;=EYear85,AF$3&gt;0),IF($A73=SYear85,AF$56*(1+Data_85_15!AF24%),AF72*(1+Data_85_15!AF24%)),"")</f>
        <v/>
      </c>
      <c r="AG73" s="446" t="str">
        <f>IF(AND($A73&gt;=SYear85,$A73&lt;=EYear85,AG$3&gt;0),IF($A73=SYear85,AG$56*(1+Data_85_15!AG24%),AG72*(1+Data_85_15!AG24%)),"")</f>
        <v/>
      </c>
      <c r="AH73" s="446" t="str">
        <f>IF(AND($A73&gt;=SYear85,$A73&lt;=EYear85,AH$3&gt;0),IF($A73=SYear85,AH$56*(1+Data_85_15!AH24%),AH72*(1+Data_85_15!AH24%)),"")</f>
        <v/>
      </c>
      <c r="AI73" s="446" t="str">
        <f>IF(AND($A73&gt;=SYear85,$A73&lt;=EYear85,AI$3&gt;0),IF($A73=SYear85,AI$56*(1+Data_85_15!AI24%),AI72*(1+Data_85_15!AI24%)),"")</f>
        <v/>
      </c>
      <c r="AJ73" s="446" t="str">
        <f>IF(AND($A73&gt;=SYear85,$A73&lt;=EYear85,AJ$3&gt;0),IF($A73=SYear85,AJ$56*(1+Data_85_15!AJ24%),AJ72*(1+Data_85_15!AJ24%)),"")</f>
        <v/>
      </c>
      <c r="AK73" s="446" t="str">
        <f>IF(AND($A73&gt;=SYear85,$A73&lt;=EYear85,AK$3&gt;0),IF($A73=SYear85,AK$56*(1+Data_85_15!AK24%),AK72*(1+Data_85_15!AK24%)),"")</f>
        <v/>
      </c>
      <c r="AL73" s="446" t="str">
        <f>IF(AND($A73&gt;=SYear85,$A73&lt;=EYear85,AL$3&gt;0),IF($A73=SYear85,AL$56*(1+Data_85_15!AL24%),AL72*(1+Data_85_15!AL24%)),"")</f>
        <v/>
      </c>
      <c r="AM73" s="446" t="str">
        <f>IF(AND($A73&gt;=SYear85,$A73&lt;=EYear85,AM$3&gt;0),IF($A73=SYear85,AM$56*(1+Data_85_15!AM24%),AM72*(1+Data_85_15!AM24%)),"")</f>
        <v/>
      </c>
      <c r="AN73" s="446" t="str">
        <f>IF(AND($A73&gt;=SYear85,$A73&lt;=EYear85,AN$3&gt;0),IF($A73=SYear85,AN$56*(1+Data_85_15!AN24%),AN72*(1+Data_85_15!AN24%)),"")</f>
        <v/>
      </c>
      <c r="AO73" s="446">
        <f>IF(AND($A73&gt;=SYear85,$A73&lt;=EYear85,AO$3&gt;0),IF($A73=SYear85,AO$56*(1+Data_85_15!AO24%),AO72*(1+Data_85_15!AO24%)),"")</f>
        <v>2092.1655230363808</v>
      </c>
      <c r="AP73" s="206" t="str">
        <f>IF(AND($A73&gt;=SYear85,$A73&lt;=EYear85,AP$3&gt;0),IF($A73=SYear85,AP$56*(1+Data_85_15!AP24%),AP72*(1+Data_85_15!AP24%)),"")</f>
        <v/>
      </c>
      <c r="AQ73" s="206" t="str">
        <f>IF(AND($A73&gt;=SYear85,$A73&lt;=EYear85,AQ$3&gt;0),IF($A73=SYear85,AQ$56*(1+Data_85_15!AQ24%),AQ72*(1+Data_85_15!AQ24%)),"")</f>
        <v/>
      </c>
      <c r="AR73" s="206" t="str">
        <f>IF(AND($A73&gt;=SYear85,$A73&lt;=EYear85,AR$3&gt;0),IF($A73=SYear85,AR$56*(1+Data_85_15!AR24%),AR72*(1+Data_85_15!AR24%)),"")</f>
        <v/>
      </c>
      <c r="AS73" s="206" t="str">
        <f>IF(AND($A73&gt;=SYear85,$A73&lt;=EYear85,AS$3&gt;0),IF($A73=SYear85,AS$56*(1+Data_85_15!AS24%),AS72*(1+Data_85_15!AS24%)),"")</f>
        <v/>
      </c>
      <c r="AT73" s="206" t="str">
        <f>IF(AND($A73&gt;=SYear85,$A73&lt;=EYear85,AT$3&gt;0),IF($A73=SYear85,AT$56*(1+Data_85_15!AT24%),AT72*(1+Data_85_15!AT24%)),"")</f>
        <v/>
      </c>
      <c r="AU73" s="206" t="str">
        <f>IF(AND($A73&gt;=SYear85,$A73&lt;=EYear85,AU$3&gt;0),IF($A73=SYear85,AU$56*(1+Data_85_15!AU24%),AU72*(1+Data_85_15!AU24%)),"")</f>
        <v/>
      </c>
      <c r="AV73" s="206" t="str">
        <f>IF(AND($A73&gt;=SYear85,$A73&lt;=EYear85,AV$3&gt;0),IF($A73=SYear85,AV$56*(1+Data_85_15!AV24%),AV72*(1+Data_85_15!AV24%)),"")</f>
        <v/>
      </c>
      <c r="AW73" s="206" t="str">
        <f>IF(AND($A73&gt;=SYear85,$A73&lt;=EYear85,AW$3&gt;0),IF($A73=SYear85,AW$56*(1+Data_85_15!AW24%),AW72*(1+Data_85_15!AW24%)),"")</f>
        <v/>
      </c>
      <c r="AX73" s="206" t="str">
        <f>IF(AND($A73&gt;=SYear85,$A73&lt;=EYear85,AX$3&gt;0),IF($A73=SYear85,AX$56*(1+Data_85_15!AX24%),AX72*(1+Data_85_15!AX24%)),"")</f>
        <v/>
      </c>
      <c r="AY73" s="206" t="str">
        <f>IF(AND($A73&gt;=SYear85,$A73&lt;=EYear85,AY$3&gt;0),IF($A73=SYear85,AY$56*(1+Data_85_15!AY24%),AY72*(1+Data_85_15!AY24%)),"")</f>
        <v/>
      </c>
      <c r="AZ73" s="206">
        <f t="shared" si="26"/>
        <v>2.0900237285355794</v>
      </c>
      <c r="BA73" s="446">
        <f t="shared" si="27"/>
        <v>54471.261061016041</v>
      </c>
      <c r="BB73" s="206">
        <f>IF(AND($A73&gt;=SYear85,$A73&lt;=EYear85),(AZ73-Data_85_15!AZ24)/(1+Data_85_15!AZ24%),"")</f>
        <v>0.5300742997464134</v>
      </c>
      <c r="BC73" s="606">
        <f t="shared" si="28"/>
        <v>32460.802431946715</v>
      </c>
      <c r="BD73" s="143">
        <f t="shared" si="29"/>
        <v>4.5737959897202964</v>
      </c>
      <c r="BE73" s="143">
        <f>IF(AND($A73&gt;=SYear85,$A73&lt;=EYear85),MAX($BD$57:BD73),"")</f>
        <v>4.5737959897202964</v>
      </c>
      <c r="BF73" s="209">
        <f t="shared" si="30"/>
        <v>0</v>
      </c>
      <c r="BN73" s="61">
        <f t="shared" si="31"/>
        <v>2.0900237285355727E-2</v>
      </c>
      <c r="BO73" s="61">
        <f t="shared" si="32"/>
        <v>6.7795095011855988E-2</v>
      </c>
      <c r="BP73" s="61">
        <f t="shared" si="33"/>
        <v>8.871101247568558E-2</v>
      </c>
      <c r="BQ73" s="61">
        <f t="shared" si="34"/>
        <v>7.3254848505467818E-2</v>
      </c>
      <c r="BR73" s="61"/>
      <c r="BU73" s="61">
        <f t="shared" si="36"/>
        <v>5.3007429974640807E-3</v>
      </c>
      <c r="BV73" s="61">
        <f t="shared" si="37"/>
        <v>4.7520568450774237E-2</v>
      </c>
      <c r="BW73" s="61">
        <f t="shared" si="38"/>
        <v>6.2227270231596687E-2</v>
      </c>
      <c r="BX73" s="61">
        <f t="shared" si="39"/>
        <v>4.8764286243101473E-2</v>
      </c>
      <c r="BY73" s="61"/>
    </row>
    <row r="74" spans="1:77">
      <c r="A74" s="204">
        <f t="shared" si="41"/>
        <v>2002</v>
      </c>
      <c r="B74" s="446" t="str">
        <f>IF(AND($A74&gt;=SYear85,$A74&lt;=EYear85,B$3&gt;0),IF($A74=SYear85,B$56*(1+Data_85_15!B25%),B73*(1+Data_85_15!B25%)),"")</f>
        <v/>
      </c>
      <c r="C74" s="446" t="str">
        <f>IF(AND($A74&gt;=SYear85,$A74&lt;=EYear85,C$3&gt;0),IF($A74=SYear85,C$56*(1+Data_85_15!C25%),C73*(1+Data_85_15!C25%)),"")</f>
        <v/>
      </c>
      <c r="D74" s="446" t="str">
        <f>IF(AND($A74&gt;=SYear85,$A74&lt;=EYear85,D$3&gt;0),IF($A74=SYear85,D$56*(1+Data_85_15!D25%),D73*(1+Data_85_15!D25%)),"")</f>
        <v/>
      </c>
      <c r="E74" s="446" t="str">
        <f>IF(AND($A74&gt;=SYear85,$A74&lt;=EYear85,E$3&gt;0),IF($A74=SYear85,E$56*(1+Data_85_15!E25%),E73*(1+Data_85_15!E25%)),"")</f>
        <v/>
      </c>
      <c r="F74" s="446">
        <f>IF(AND($A74&gt;=SYear85,$A74&lt;=EYear85,F$3&gt;0),IF($A74=SYear85,F$56*(1+Data_85_15!F25%),F73*(1+Data_85_15!F25%)),"")</f>
        <v>24495.304881238353</v>
      </c>
      <c r="G74" s="446" t="str">
        <f>IF(AND($A74&gt;=SYear85,$A74&lt;=EYear85,G$3&gt;0),IF($A74=SYear85,G$56*(1+Data_85_15!G25%),G73*(1+Data_85_15!G25%)),"")</f>
        <v/>
      </c>
      <c r="H74" s="446" t="str">
        <f>IF(AND($A74&gt;=SYear85,$A74&lt;=EYear85,H$3&gt;0),IF($A74=SYear85,H$56*(1+Data_85_15!H25%),H73*(1+Data_85_15!H25%)),"")</f>
        <v/>
      </c>
      <c r="I74" s="446" t="str">
        <f>IF(AND($A74&gt;=SYear85,$A74&lt;=EYear85,I$3&gt;0),IF($A74=SYear85,I$56*(1+Data_85_15!I25%),I73*(1+Data_85_15!I25%)),"")</f>
        <v/>
      </c>
      <c r="J74" s="446" t="str">
        <f>IF(AND($A74&gt;=SYear85,$A74&lt;=EYear85,J$3&gt;0),IF($A74=SYear85,J$56*(1+Data_85_15!J25%),J73*(1+Data_85_15!J25%)),"")</f>
        <v/>
      </c>
      <c r="K74" s="446" t="str">
        <f>IF(AND($A74&gt;=SYear85,$A74&lt;=EYear85,K$3&gt;0),IF($A74=SYear85,K$56*(1+Data_85_15!K25%),K73*(1+Data_85_15!K25%)),"")</f>
        <v/>
      </c>
      <c r="L74" s="446" t="str">
        <f>IF(AND($A74&gt;=SYear85,$A74&lt;=EYear85,L$3&gt;0),IF($A74=SYear85,L$56*(1+Data_85_15!L25%),L73*(1+Data_85_15!L25%)),"")</f>
        <v/>
      </c>
      <c r="M74" s="446" t="str">
        <f>IF(AND($A74&gt;=SYear85,$A74&lt;=EYear85,M$3&gt;0),IF($A74=SYear85,M$56*(1+Data_85_15!M25%),M73*(1+Data_85_15!M25%)),"")</f>
        <v/>
      </c>
      <c r="N74" s="446" t="str">
        <f>IF(AND($A74&gt;=SYear85,$A74&lt;=EYear85,N$3&gt;0),IF($A74=SYear85,N$56*(1+Data_85_15!N25%),N73*(1+Data_85_15!N25%)),"")</f>
        <v/>
      </c>
      <c r="O74" s="446" t="str">
        <f>IF(AND($A74&gt;=SYear85,$A74&lt;=EYear85,O$3&gt;0),IF($A74=SYear85,O$56*(1+Data_85_15!O25%),O73*(1+Data_85_15!O25%)),"")</f>
        <v/>
      </c>
      <c r="P74" s="446" t="str">
        <f>IF(AND($A74&gt;=SYear85,$A74&lt;=EYear85,P$3&gt;0),IF($A74=SYear85,P$56*(1+Data_85_15!P25%),P73*(1+Data_85_15!P25%)),"")</f>
        <v/>
      </c>
      <c r="Q74" s="446" t="str">
        <f>IF(AND($A74&gt;=SYear85,$A74&lt;=EYear85,Q$3&gt;0),IF($A74=SYear85,Q$56*(1+Data_85_15!Q25%),Q73*(1+Data_85_15!Q25%)),"")</f>
        <v/>
      </c>
      <c r="R74" s="446" t="str">
        <f>IF(AND($A74&gt;=SYear85,$A74&lt;=EYear85,R$3&gt;0),IF($A74=SYear85,R$56*(1+Data_85_15!R25%),R73*(1+Data_85_15!R25%)),"")</f>
        <v/>
      </c>
      <c r="S74" s="446">
        <f>IF(AND($A74&gt;=SYear85,$A74&lt;=EYear85,S$3&gt;0),IF($A74=SYear85,S$56*(1+Data_85_15!S25%),S73*(1+Data_85_15!S25%)),"")</f>
        <v>16151.054563961141</v>
      </c>
      <c r="T74" s="446" t="str">
        <f>IF(AND($A74&gt;=SYear85,$A74&lt;=EYear85,T$3&gt;0),IF($A74=SYear85,T$56*(1+Data_85_15!T25%),T73*(1+Data_85_15!T25%)),"")</f>
        <v/>
      </c>
      <c r="U74" s="446" t="str">
        <f>IF(AND($A74&gt;=SYear85,$A74&lt;=EYear85,U$3&gt;0),IF($A74=SYear85,U$56*(1+Data_85_15!U25%),U73*(1+Data_85_15!U25%)),"")</f>
        <v/>
      </c>
      <c r="V74" s="446" t="str">
        <f>IF(AND($A74&gt;=SYear85,$A74&lt;=EYear85,V$3&gt;0),IF($A74=SYear85,V$56*(1+Data_85_15!V25%),V73*(1+Data_85_15!V25%)),"")</f>
        <v/>
      </c>
      <c r="W74" s="446">
        <f>IF(AND($A74&gt;=SYear85,$A74&lt;=EYear85,W$3&gt;0),IF($A74=SYear85,W$56*(1+Data_85_15!W25%),W73*(1+Data_85_15!W25%)),"")</f>
        <v>11485.320217152203</v>
      </c>
      <c r="X74" s="446" t="str">
        <f>IF(AND($A74&gt;=SYear85,$A74&lt;=EYear85,X$3&gt;0),IF($A74=SYear85,X$56*(1+Data_85_15!X25%),X73*(1+Data_85_15!X25%)),"")</f>
        <v/>
      </c>
      <c r="Y74" s="446" t="str">
        <f>IF(AND($A74&gt;=SYear85,$A74&lt;=EYear85,Y$3&gt;0),IF($A74=SYear85,Y$56*(1+Data_85_15!Y25%),Y73*(1+Data_85_15!Y25%)),"")</f>
        <v/>
      </c>
      <c r="Z74" s="446" t="str">
        <f>IF(AND($A74&gt;=SYear85,$A74&lt;=EYear85,Z$3&gt;0),IF($A74=SYear85,Z$56*(1+Data_85_15!Z25%),Z73*(1+Data_85_15!Z25%)),"")</f>
        <v/>
      </c>
      <c r="AA74" s="446" t="str">
        <f>IF(AND($A74&gt;=SYear85,$A74&lt;=EYear85,AA$3&gt;0),IF($A74=SYear85,AA$56*(1+Data_85_15!AA25%),AA73*(1+Data_85_15!AA25%)),"")</f>
        <v/>
      </c>
      <c r="AB74" s="446" t="str">
        <f>IF(AND($A74&gt;=SYear85,$A74&lt;=EYear85,AB$3&gt;0),IF($A74=SYear85,AB$56*(1+Data_85_15!AB25%),AB73*(1+Data_85_15!AB25%)),"")</f>
        <v/>
      </c>
      <c r="AC74" s="446" t="str">
        <f>IF(AND($A74&gt;=SYear85,$A74&lt;=EYear85,AC$3&gt;0),IF($A74=SYear85,AC$56*(1+Data_85_15!AC25%),AC73*(1+Data_85_15!AC25%)),"")</f>
        <v/>
      </c>
      <c r="AD74" s="446" t="str">
        <f>IF(AND($A74&gt;=SYear85,$A74&lt;=EYear85,AD$3&gt;0),IF($A74=SYear85,AD$56*(1+Data_85_15!AD25%),AD73*(1+Data_85_15!AD25%)),"")</f>
        <v/>
      </c>
      <c r="AE74" s="446" t="str">
        <f>IF(AND($A74&gt;=SYear85,$A74&lt;=EYear85,AE$3&gt;0),IF($A74=SYear85,AE$56*(1+Data_85_15!AE25%),AE73*(1+Data_85_15!AE25%)),"")</f>
        <v/>
      </c>
      <c r="AF74" s="446" t="str">
        <f>IF(AND($A74&gt;=SYear85,$A74&lt;=EYear85,AF$3&gt;0),IF($A74=SYear85,AF$56*(1+Data_85_15!AF25%),AF73*(1+Data_85_15!AF25%)),"")</f>
        <v/>
      </c>
      <c r="AG74" s="446" t="str">
        <f>IF(AND($A74&gt;=SYear85,$A74&lt;=EYear85,AG$3&gt;0),IF($A74=SYear85,AG$56*(1+Data_85_15!AG25%),AG73*(1+Data_85_15!AG25%)),"")</f>
        <v/>
      </c>
      <c r="AH74" s="446" t="str">
        <f>IF(AND($A74&gt;=SYear85,$A74&lt;=EYear85,AH$3&gt;0),IF($A74=SYear85,AH$56*(1+Data_85_15!AH25%),AH73*(1+Data_85_15!AH25%)),"")</f>
        <v/>
      </c>
      <c r="AI74" s="446" t="str">
        <f>IF(AND($A74&gt;=SYear85,$A74&lt;=EYear85,AI$3&gt;0),IF($A74=SYear85,AI$56*(1+Data_85_15!AI25%),AI73*(1+Data_85_15!AI25%)),"")</f>
        <v/>
      </c>
      <c r="AJ74" s="446" t="str">
        <f>IF(AND($A74&gt;=SYear85,$A74&lt;=EYear85,AJ$3&gt;0),IF($A74=SYear85,AJ$56*(1+Data_85_15!AJ25%),AJ73*(1+Data_85_15!AJ25%)),"")</f>
        <v/>
      </c>
      <c r="AK74" s="446" t="str">
        <f>IF(AND($A74&gt;=SYear85,$A74&lt;=EYear85,AK$3&gt;0),IF($A74=SYear85,AK$56*(1+Data_85_15!AK25%),AK73*(1+Data_85_15!AK25%)),"")</f>
        <v/>
      </c>
      <c r="AL74" s="446" t="str">
        <f>IF(AND($A74&gt;=SYear85,$A74&lt;=EYear85,AL$3&gt;0),IF($A74=SYear85,AL$56*(1+Data_85_15!AL25%),AL73*(1+Data_85_15!AL25%)),"")</f>
        <v/>
      </c>
      <c r="AM74" s="446" t="str">
        <f>IF(AND($A74&gt;=SYear85,$A74&lt;=EYear85,AM$3&gt;0),IF($A74=SYear85,AM$56*(1+Data_85_15!AM25%),AM73*(1+Data_85_15!AM25%)),"")</f>
        <v/>
      </c>
      <c r="AN74" s="446" t="str">
        <f>IF(AND($A74&gt;=SYear85,$A74&lt;=EYear85,AN$3&gt;0),IF($A74=SYear85,AN$56*(1+Data_85_15!AN25%),AN73*(1+Data_85_15!AN25%)),"")</f>
        <v/>
      </c>
      <c r="AO74" s="446">
        <f>IF(AND($A74&gt;=SYear85,$A74&lt;=EYear85,AO$3&gt;0),IF($A74=SYear85,AO$56*(1+Data_85_15!AO25%),AO73*(1+Data_85_15!AO25%)),"")</f>
        <v>2614.2939339236777</v>
      </c>
      <c r="AP74" s="206" t="str">
        <f>IF(AND($A74&gt;=SYear85,$A74&lt;=EYear85,AP$3&gt;0),IF($A74=SYear85,AP$56*(1+Data_85_15!AP25%),AP73*(1+Data_85_15!AP25%)),"")</f>
        <v/>
      </c>
      <c r="AQ74" s="206" t="str">
        <f>IF(AND($A74&gt;=SYear85,$A74&lt;=EYear85,AQ$3&gt;0),IF($A74=SYear85,AQ$56*(1+Data_85_15!AQ25%),AQ73*(1+Data_85_15!AQ25%)),"")</f>
        <v/>
      </c>
      <c r="AR74" s="206" t="str">
        <f>IF(AND($A74&gt;=SYear85,$A74&lt;=EYear85,AR$3&gt;0),IF($A74=SYear85,AR$56*(1+Data_85_15!AR25%),AR73*(1+Data_85_15!AR25%)),"")</f>
        <v/>
      </c>
      <c r="AS74" s="206" t="str">
        <f>IF(AND($A74&gt;=SYear85,$A74&lt;=EYear85,AS$3&gt;0),IF($A74=SYear85,AS$56*(1+Data_85_15!AS25%),AS73*(1+Data_85_15!AS25%)),"")</f>
        <v/>
      </c>
      <c r="AT74" s="206" t="str">
        <f>IF(AND($A74&gt;=SYear85,$A74&lt;=EYear85,AT$3&gt;0),IF($A74=SYear85,AT$56*(1+Data_85_15!AT25%),AT73*(1+Data_85_15!AT25%)),"")</f>
        <v/>
      </c>
      <c r="AU74" s="206" t="str">
        <f>IF(AND($A74&gt;=SYear85,$A74&lt;=EYear85,AU$3&gt;0),IF($A74=SYear85,AU$56*(1+Data_85_15!AU25%),AU73*(1+Data_85_15!AU25%)),"")</f>
        <v/>
      </c>
      <c r="AV74" s="206" t="str">
        <f>IF(AND($A74&gt;=SYear85,$A74&lt;=EYear85,AV$3&gt;0),IF($A74=SYear85,AV$56*(1+Data_85_15!AV25%),AV73*(1+Data_85_15!AV25%)),"")</f>
        <v/>
      </c>
      <c r="AW74" s="206" t="str">
        <f>IF(AND($A74&gt;=SYear85,$A74&lt;=EYear85,AW$3&gt;0),IF($A74=SYear85,AW$56*(1+Data_85_15!AW25%),AW73*(1+Data_85_15!AW25%)),"")</f>
        <v/>
      </c>
      <c r="AX74" s="206" t="str">
        <f>IF(AND($A74&gt;=SYear85,$A74&lt;=EYear85,AX$3&gt;0),IF($A74=SYear85,AX$56*(1+Data_85_15!AX25%),AX73*(1+Data_85_15!AX25%)),"")</f>
        <v/>
      </c>
      <c r="AY74" s="206" t="str">
        <f>IF(AND($A74&gt;=SYear85,$A74&lt;=EYear85,AY$3&gt;0),IF($A74=SYear85,AY$56*(1+Data_85_15!AY25%),AY73*(1+Data_85_15!AY25%)),"")</f>
        <v/>
      </c>
      <c r="AZ74" s="206">
        <f t="shared" si="26"/>
        <v>0.50432563870995417</v>
      </c>
      <c r="BA74" s="446">
        <f t="shared" si="27"/>
        <v>54745.973596275377</v>
      </c>
      <c r="BB74" s="206">
        <f>IF(AND($A74&gt;=SYear85,$A74&lt;=EYear85),(AZ74-Data_85_15!AZ25)/(1+Data_85_15!AZ25%),"")</f>
        <v>-1.8291081240461644</v>
      </c>
      <c r="BC74" s="606">
        <f t="shared" si="28"/>
        <v>31867.059257533401</v>
      </c>
      <c r="BD74" s="143">
        <f t="shared" si="29"/>
        <v>4.596862815558743</v>
      </c>
      <c r="BE74" s="143">
        <f>IF(AND($A74&gt;=SYear85,$A74&lt;=EYear85),MAX($BD$57:BD74),"")</f>
        <v>4.596862815558743</v>
      </c>
      <c r="BF74" s="209">
        <f t="shared" si="30"/>
        <v>0</v>
      </c>
      <c r="BN74" s="61">
        <f t="shared" si="31"/>
        <v>5.0432563870994596E-3</v>
      </c>
      <c r="BO74" s="61">
        <f t="shared" si="32"/>
        <v>0.10749361461279205</v>
      </c>
      <c r="BP74" s="61">
        <f t="shared" si="33"/>
        <v>0.1031213208975521</v>
      </c>
      <c r="BQ74" s="61">
        <f t="shared" si="34"/>
        <v>7.9983530020575566E-2</v>
      </c>
      <c r="BR74" s="61"/>
      <c r="BU74" s="61">
        <f t="shared" si="36"/>
        <v>-1.8291081240461637E-2</v>
      </c>
      <c r="BV74" s="61">
        <f t="shared" si="37"/>
        <v>8.0456163610699516E-2</v>
      </c>
      <c r="BW74" s="61">
        <f t="shared" si="38"/>
        <v>7.4202988173194262E-2</v>
      </c>
      <c r="BX74" s="61">
        <f t="shared" si="39"/>
        <v>5.3884505938958993E-2</v>
      </c>
      <c r="BY74" s="61"/>
    </row>
    <row r="75" spans="1:77">
      <c r="A75" s="204">
        <f t="shared" si="41"/>
        <v>2003</v>
      </c>
      <c r="B75" s="446" t="str">
        <f>IF(AND($A75&gt;=SYear85,$A75&lt;=EYear85,B$3&gt;0),IF($A75=SYear85,B$56*(1+Data_85_15!B26%),B74*(1+Data_85_15!B26%)),"")</f>
        <v/>
      </c>
      <c r="C75" s="446" t="str">
        <f>IF(AND($A75&gt;=SYear85,$A75&lt;=EYear85,C$3&gt;0),IF($A75=SYear85,C$56*(1+Data_85_15!C26%),C74*(1+Data_85_15!C26%)),"")</f>
        <v/>
      </c>
      <c r="D75" s="446" t="str">
        <f>IF(AND($A75&gt;=SYear85,$A75&lt;=EYear85,D$3&gt;0),IF($A75=SYear85,D$56*(1+Data_85_15!D26%),D74*(1+Data_85_15!D26%)),"")</f>
        <v/>
      </c>
      <c r="E75" s="446" t="str">
        <f>IF(AND($A75&gt;=SYear85,$A75&lt;=EYear85,E$3&gt;0),IF($A75=SYear85,E$56*(1+Data_85_15!E26%),E74*(1+Data_85_15!E26%)),"")</f>
        <v/>
      </c>
      <c r="F75" s="446">
        <f>IF(AND($A75&gt;=SYear85,$A75&lt;=EYear85,F$3&gt;0),IF($A75=SYear85,F$56*(1+Data_85_15!F26%),F74*(1+Data_85_15!F26%)),"")</f>
        <v>32858.001967693126</v>
      </c>
      <c r="G75" s="446" t="str">
        <f>IF(AND($A75&gt;=SYear85,$A75&lt;=EYear85,G$3&gt;0),IF($A75=SYear85,G$56*(1+Data_85_15!G26%),G74*(1+Data_85_15!G26%)),"")</f>
        <v/>
      </c>
      <c r="H75" s="446" t="str">
        <f>IF(AND($A75&gt;=SYear85,$A75&lt;=EYear85,H$3&gt;0),IF($A75=SYear85,H$56*(1+Data_85_15!H26%),H74*(1+Data_85_15!H26%)),"")</f>
        <v/>
      </c>
      <c r="I75" s="446" t="str">
        <f>IF(AND($A75&gt;=SYear85,$A75&lt;=EYear85,I$3&gt;0),IF($A75=SYear85,I$56*(1+Data_85_15!I26%),I74*(1+Data_85_15!I26%)),"")</f>
        <v/>
      </c>
      <c r="J75" s="446" t="str">
        <f>IF(AND($A75&gt;=SYear85,$A75&lt;=EYear85,J$3&gt;0),IF($A75=SYear85,J$56*(1+Data_85_15!J26%),J74*(1+Data_85_15!J26%)),"")</f>
        <v/>
      </c>
      <c r="K75" s="446" t="str">
        <f>IF(AND($A75&gt;=SYear85,$A75&lt;=EYear85,K$3&gt;0),IF($A75=SYear85,K$56*(1+Data_85_15!K26%),K74*(1+Data_85_15!K26%)),"")</f>
        <v/>
      </c>
      <c r="L75" s="446" t="str">
        <f>IF(AND($A75&gt;=SYear85,$A75&lt;=EYear85,L$3&gt;0),IF($A75=SYear85,L$56*(1+Data_85_15!L26%),L74*(1+Data_85_15!L26%)),"")</f>
        <v/>
      </c>
      <c r="M75" s="446" t="str">
        <f>IF(AND($A75&gt;=SYear85,$A75&lt;=EYear85,M$3&gt;0),IF($A75=SYear85,M$56*(1+Data_85_15!M26%),M74*(1+Data_85_15!M26%)),"")</f>
        <v/>
      </c>
      <c r="N75" s="446" t="str">
        <f>IF(AND($A75&gt;=SYear85,$A75&lt;=EYear85,N$3&gt;0),IF($A75=SYear85,N$56*(1+Data_85_15!N26%),N74*(1+Data_85_15!N26%)),"")</f>
        <v/>
      </c>
      <c r="O75" s="446" t="str">
        <f>IF(AND($A75&gt;=SYear85,$A75&lt;=EYear85,O$3&gt;0),IF($A75=SYear85,O$56*(1+Data_85_15!O26%),O74*(1+Data_85_15!O26%)),"")</f>
        <v/>
      </c>
      <c r="P75" s="446" t="str">
        <f>IF(AND($A75&gt;=SYear85,$A75&lt;=EYear85,P$3&gt;0),IF($A75=SYear85,P$56*(1+Data_85_15!P26%),P74*(1+Data_85_15!P26%)),"")</f>
        <v/>
      </c>
      <c r="Q75" s="446" t="str">
        <f>IF(AND($A75&gt;=SYear85,$A75&lt;=EYear85,Q$3&gt;0),IF($A75=SYear85,Q$56*(1+Data_85_15!Q26%),Q74*(1+Data_85_15!Q26%)),"")</f>
        <v/>
      </c>
      <c r="R75" s="446" t="str">
        <f>IF(AND($A75&gt;=SYear85,$A75&lt;=EYear85,R$3&gt;0),IF($A75=SYear85,R$56*(1+Data_85_15!R26%),R74*(1+Data_85_15!R26%)),"")</f>
        <v/>
      </c>
      <c r="S75" s="446">
        <f>IF(AND($A75&gt;=SYear85,$A75&lt;=EYear85,S$3&gt;0),IF($A75=SYear85,S$56*(1+Data_85_15!S26%),S74*(1+Data_85_15!S26%)),"")</f>
        <v>16583.902826275298</v>
      </c>
      <c r="T75" s="446" t="str">
        <f>IF(AND($A75&gt;=SYear85,$A75&lt;=EYear85,T$3&gt;0),IF($A75=SYear85,T$56*(1+Data_85_15!T26%),T74*(1+Data_85_15!T26%)),"")</f>
        <v/>
      </c>
      <c r="U75" s="446" t="str">
        <f>IF(AND($A75&gt;=SYear85,$A75&lt;=EYear85,U$3&gt;0),IF($A75=SYear85,U$56*(1+Data_85_15!U26%),U74*(1+Data_85_15!U26%)),"")</f>
        <v/>
      </c>
      <c r="V75" s="446" t="str">
        <f>IF(AND($A75&gt;=SYear85,$A75&lt;=EYear85,V$3&gt;0),IF($A75=SYear85,V$56*(1+Data_85_15!V26%),V74*(1+Data_85_15!V26%)),"")</f>
        <v/>
      </c>
      <c r="W75" s="446">
        <f>IF(AND($A75&gt;=SYear85,$A75&lt;=EYear85,W$3&gt;0),IF($A75=SYear85,W$56*(1+Data_85_15!W26%),W74*(1+Data_85_15!W26%)),"")</f>
        <v>12404.145834524379</v>
      </c>
      <c r="X75" s="446" t="str">
        <f>IF(AND($A75&gt;=SYear85,$A75&lt;=EYear85,X$3&gt;0),IF($A75=SYear85,X$56*(1+Data_85_15!X26%),X74*(1+Data_85_15!X26%)),"")</f>
        <v/>
      </c>
      <c r="Y75" s="446" t="str">
        <f>IF(AND($A75&gt;=SYear85,$A75&lt;=EYear85,Y$3&gt;0),IF($A75=SYear85,Y$56*(1+Data_85_15!Y26%),Y74*(1+Data_85_15!Y26%)),"")</f>
        <v/>
      </c>
      <c r="Z75" s="446" t="str">
        <f>IF(AND($A75&gt;=SYear85,$A75&lt;=EYear85,Z$3&gt;0),IF($A75=SYear85,Z$56*(1+Data_85_15!Z26%),Z74*(1+Data_85_15!Z26%)),"")</f>
        <v/>
      </c>
      <c r="AA75" s="446" t="str">
        <f>IF(AND($A75&gt;=SYear85,$A75&lt;=EYear85,AA$3&gt;0),IF($A75=SYear85,AA$56*(1+Data_85_15!AA26%),AA74*(1+Data_85_15!AA26%)),"")</f>
        <v/>
      </c>
      <c r="AB75" s="446" t="str">
        <f>IF(AND($A75&gt;=SYear85,$A75&lt;=EYear85,AB$3&gt;0),IF($A75=SYear85,AB$56*(1+Data_85_15!AB26%),AB74*(1+Data_85_15!AB26%)),"")</f>
        <v/>
      </c>
      <c r="AC75" s="446" t="str">
        <f>IF(AND($A75&gt;=SYear85,$A75&lt;=EYear85,AC$3&gt;0),IF($A75=SYear85,AC$56*(1+Data_85_15!AC26%),AC74*(1+Data_85_15!AC26%)),"")</f>
        <v/>
      </c>
      <c r="AD75" s="446" t="str">
        <f>IF(AND($A75&gt;=SYear85,$A75&lt;=EYear85,AD$3&gt;0),IF($A75=SYear85,AD$56*(1+Data_85_15!AD26%),AD74*(1+Data_85_15!AD26%)),"")</f>
        <v/>
      </c>
      <c r="AE75" s="446" t="str">
        <f>IF(AND($A75&gt;=SYear85,$A75&lt;=EYear85,AE$3&gt;0),IF($A75=SYear85,AE$56*(1+Data_85_15!AE26%),AE74*(1+Data_85_15!AE26%)),"")</f>
        <v/>
      </c>
      <c r="AF75" s="446" t="str">
        <f>IF(AND($A75&gt;=SYear85,$A75&lt;=EYear85,AF$3&gt;0),IF($A75=SYear85,AF$56*(1+Data_85_15!AF26%),AF74*(1+Data_85_15!AF26%)),"")</f>
        <v/>
      </c>
      <c r="AG75" s="446" t="str">
        <f>IF(AND($A75&gt;=SYear85,$A75&lt;=EYear85,AG$3&gt;0),IF($A75=SYear85,AG$56*(1+Data_85_15!AG26%),AG74*(1+Data_85_15!AG26%)),"")</f>
        <v/>
      </c>
      <c r="AH75" s="446" t="str">
        <f>IF(AND($A75&gt;=SYear85,$A75&lt;=EYear85,AH$3&gt;0),IF($A75=SYear85,AH$56*(1+Data_85_15!AH26%),AH74*(1+Data_85_15!AH26%)),"")</f>
        <v/>
      </c>
      <c r="AI75" s="446" t="str">
        <f>IF(AND($A75&gt;=SYear85,$A75&lt;=EYear85,AI$3&gt;0),IF($A75=SYear85,AI$56*(1+Data_85_15!AI26%),AI74*(1+Data_85_15!AI26%)),"")</f>
        <v/>
      </c>
      <c r="AJ75" s="446" t="str">
        <f>IF(AND($A75&gt;=SYear85,$A75&lt;=EYear85,AJ$3&gt;0),IF($A75=SYear85,AJ$56*(1+Data_85_15!AJ26%),AJ74*(1+Data_85_15!AJ26%)),"")</f>
        <v/>
      </c>
      <c r="AK75" s="446" t="str">
        <f>IF(AND($A75&gt;=SYear85,$A75&lt;=EYear85,AK$3&gt;0),IF($A75=SYear85,AK$56*(1+Data_85_15!AK26%),AK74*(1+Data_85_15!AK26%)),"")</f>
        <v/>
      </c>
      <c r="AL75" s="446" t="str">
        <f>IF(AND($A75&gt;=SYear85,$A75&lt;=EYear85,AL$3&gt;0),IF($A75=SYear85,AL$56*(1+Data_85_15!AL26%),AL74*(1+Data_85_15!AL26%)),"")</f>
        <v/>
      </c>
      <c r="AM75" s="446" t="str">
        <f>IF(AND($A75&gt;=SYear85,$A75&lt;=EYear85,AM$3&gt;0),IF($A75=SYear85,AM$56*(1+Data_85_15!AM26%),AM74*(1+Data_85_15!AM26%)),"")</f>
        <v/>
      </c>
      <c r="AN75" s="446" t="str">
        <f>IF(AND($A75&gt;=SYear85,$A75&lt;=EYear85,AN$3&gt;0),IF($A75=SYear85,AN$56*(1+Data_85_15!AN26%),AN74*(1+Data_85_15!AN26%)),"")</f>
        <v/>
      </c>
      <c r="AO75" s="446">
        <f>IF(AND($A75&gt;=SYear85,$A75&lt;=EYear85,AO$3&gt;0),IF($A75=SYear85,AO$56*(1+Data_85_15!AO26%),AO74*(1+Data_85_15!AO26%)),"")</f>
        <v>3114.2295910304842</v>
      </c>
      <c r="AP75" s="206" t="str">
        <f>IF(AND($A75&gt;=SYear85,$A75&lt;=EYear85,AP$3&gt;0),IF($A75=SYear85,AP$56*(1+Data_85_15!AP26%),AP74*(1+Data_85_15!AP26%)),"")</f>
        <v/>
      </c>
      <c r="AQ75" s="206" t="str">
        <f>IF(AND($A75&gt;=SYear85,$A75&lt;=EYear85,AQ$3&gt;0),IF($A75=SYear85,AQ$56*(1+Data_85_15!AQ26%),AQ74*(1+Data_85_15!AQ26%)),"")</f>
        <v/>
      </c>
      <c r="AR75" s="206" t="str">
        <f>IF(AND($A75&gt;=SYear85,$A75&lt;=EYear85,AR$3&gt;0),IF($A75=SYear85,AR$56*(1+Data_85_15!AR26%),AR74*(1+Data_85_15!AR26%)),"")</f>
        <v/>
      </c>
      <c r="AS75" s="206" t="str">
        <f>IF(AND($A75&gt;=SYear85,$A75&lt;=EYear85,AS$3&gt;0),IF($A75=SYear85,AS$56*(1+Data_85_15!AS26%),AS74*(1+Data_85_15!AS26%)),"")</f>
        <v/>
      </c>
      <c r="AT75" s="206" t="str">
        <f>IF(AND($A75&gt;=SYear85,$A75&lt;=EYear85,AT$3&gt;0),IF($A75=SYear85,AT$56*(1+Data_85_15!AT26%),AT74*(1+Data_85_15!AT26%)),"")</f>
        <v/>
      </c>
      <c r="AU75" s="206" t="str">
        <f>IF(AND($A75&gt;=SYear85,$A75&lt;=EYear85,AU$3&gt;0),IF($A75=SYear85,AU$56*(1+Data_85_15!AU26%),AU74*(1+Data_85_15!AU26%)),"")</f>
        <v/>
      </c>
      <c r="AV75" s="206" t="str">
        <f>IF(AND($A75&gt;=SYear85,$A75&lt;=EYear85,AV$3&gt;0),IF($A75=SYear85,AV$56*(1+Data_85_15!AV26%),AV74*(1+Data_85_15!AV26%)),"")</f>
        <v/>
      </c>
      <c r="AW75" s="206" t="str">
        <f>IF(AND($A75&gt;=SYear85,$A75&lt;=EYear85,AW$3&gt;0),IF($A75=SYear85,AW$56*(1+Data_85_15!AW26%),AW74*(1+Data_85_15!AW26%)),"")</f>
        <v/>
      </c>
      <c r="AX75" s="206" t="str">
        <f>IF(AND($A75&gt;=SYear85,$A75&lt;=EYear85,AX$3&gt;0),IF($A75=SYear85,AX$56*(1+Data_85_15!AX26%),AX74*(1+Data_85_15!AX26%)),"")</f>
        <v/>
      </c>
      <c r="AY75" s="206" t="str">
        <f>IF(AND($A75&gt;=SYear85,$A75&lt;=EYear85,AY$3&gt;0),IF($A75=SYear85,AY$56*(1+Data_85_15!AY26%),AY74*(1+Data_85_15!AY26%)),"")</f>
        <v/>
      </c>
      <c r="AZ75" s="206">
        <f t="shared" si="26"/>
        <v>18.657639918094063</v>
      </c>
      <c r="BA75" s="446">
        <f t="shared" si="27"/>
        <v>64960.280219523287</v>
      </c>
      <c r="BB75" s="206">
        <f>IF(AND($A75&gt;=SYear85,$A75&lt;=EYear85),(AZ75-Data_85_15!AZ26)/(1+Data_85_15!AZ26%),"")</f>
        <v>16.468622144238811</v>
      </c>
      <c r="BC75" s="606">
        <f t="shared" si="28"/>
        <v>37115.124835137249</v>
      </c>
      <c r="BD75" s="143">
        <f t="shared" si="29"/>
        <v>5.4545289272144535</v>
      </c>
      <c r="BE75" s="143">
        <f>IF(AND($A75&gt;=SYear85,$A75&lt;=EYear85),MAX($BD$57:BD75),"")</f>
        <v>5.4545289272144535</v>
      </c>
      <c r="BF75" s="209">
        <f t="shared" si="30"/>
        <v>0</v>
      </c>
      <c r="BN75" s="61">
        <f t="shared" si="31"/>
        <v>0.1865763991809406</v>
      </c>
      <c r="BO75" s="61">
        <f t="shared" si="32"/>
        <v>0.1423477753637088</v>
      </c>
      <c r="BP75" s="61">
        <f t="shared" si="33"/>
        <v>0.12091855345948588</v>
      </c>
      <c r="BQ75" s="61">
        <f t="shared" si="34"/>
        <v>8.9811433157555021E-2</v>
      </c>
      <c r="BR75" s="61"/>
      <c r="BU75" s="61">
        <f t="shared" si="36"/>
        <v>0.16468622144238809</v>
      </c>
      <c r="BV75" s="61">
        <f t="shared" si="37"/>
        <v>0.11071549672663905</v>
      </c>
      <c r="BW75" s="61">
        <f t="shared" si="38"/>
        <v>8.7935186857951653E-2</v>
      </c>
      <c r="BX75" s="61">
        <f t="shared" si="39"/>
        <v>6.4137722974349165E-2</v>
      </c>
      <c r="BY75" s="61"/>
    </row>
    <row r="76" spans="1:77">
      <c r="A76" s="204">
        <f t="shared" si="41"/>
        <v>2004</v>
      </c>
      <c r="B76" s="446" t="str">
        <f>IF(AND($A76&gt;=SYear85,$A76&lt;=EYear85,B$3&gt;0),IF($A76=SYear85,B$56*(1+Data_85_15!B27%),B75*(1+Data_85_15!B27%)),"")</f>
        <v/>
      </c>
      <c r="C76" s="446" t="str">
        <f>IF(AND($A76&gt;=SYear85,$A76&lt;=EYear85,C$3&gt;0),IF($A76=SYear85,C$56*(1+Data_85_15!C27%),C75*(1+Data_85_15!C27%)),"")</f>
        <v/>
      </c>
      <c r="D76" s="446" t="str">
        <f>IF(AND($A76&gt;=SYear85,$A76&lt;=EYear85,D$3&gt;0),IF($A76=SYear85,D$56*(1+Data_85_15!D27%),D75*(1+Data_85_15!D27%)),"")</f>
        <v/>
      </c>
      <c r="E76" s="446" t="str">
        <f>IF(AND($A76&gt;=SYear85,$A76&lt;=EYear85,E$3&gt;0),IF($A76=SYear85,E$56*(1+Data_85_15!E27%),E75*(1+Data_85_15!E27%)),"")</f>
        <v/>
      </c>
      <c r="F76" s="446">
        <f>IF(AND($A76&gt;=SYear85,$A76&lt;=EYear85,F$3&gt;0),IF($A76=SYear85,F$56*(1+Data_85_15!F27%),F75*(1+Data_85_15!F27%)),"")</f>
        <v>39544.605368118675</v>
      </c>
      <c r="G76" s="446" t="str">
        <f>IF(AND($A76&gt;=SYear85,$A76&lt;=EYear85,G$3&gt;0),IF($A76=SYear85,G$56*(1+Data_85_15!G27%),G75*(1+Data_85_15!G27%)),"")</f>
        <v/>
      </c>
      <c r="H76" s="446" t="str">
        <f>IF(AND($A76&gt;=SYear85,$A76&lt;=EYear85,H$3&gt;0),IF($A76=SYear85,H$56*(1+Data_85_15!H27%),H75*(1+Data_85_15!H27%)),"")</f>
        <v/>
      </c>
      <c r="I76" s="446" t="str">
        <f>IF(AND($A76&gt;=SYear85,$A76&lt;=EYear85,I$3&gt;0),IF($A76=SYear85,I$56*(1+Data_85_15!I27%),I75*(1+Data_85_15!I27%)),"")</f>
        <v/>
      </c>
      <c r="J76" s="446" t="str">
        <f>IF(AND($A76&gt;=SYear85,$A76&lt;=EYear85,J$3&gt;0),IF($A76=SYear85,J$56*(1+Data_85_15!J27%),J75*(1+Data_85_15!J27%)),"")</f>
        <v/>
      </c>
      <c r="K76" s="446" t="str">
        <f>IF(AND($A76&gt;=SYear85,$A76&lt;=EYear85,K$3&gt;0),IF($A76=SYear85,K$56*(1+Data_85_15!K27%),K75*(1+Data_85_15!K27%)),"")</f>
        <v/>
      </c>
      <c r="L76" s="446" t="str">
        <f>IF(AND($A76&gt;=SYear85,$A76&lt;=EYear85,L$3&gt;0),IF($A76=SYear85,L$56*(1+Data_85_15!L27%),L75*(1+Data_85_15!L27%)),"")</f>
        <v/>
      </c>
      <c r="M76" s="446" t="str">
        <f>IF(AND($A76&gt;=SYear85,$A76&lt;=EYear85,M$3&gt;0),IF($A76=SYear85,M$56*(1+Data_85_15!M27%),M75*(1+Data_85_15!M27%)),"")</f>
        <v/>
      </c>
      <c r="N76" s="446" t="str">
        <f>IF(AND($A76&gt;=SYear85,$A76&lt;=EYear85,N$3&gt;0),IF($A76=SYear85,N$56*(1+Data_85_15!N27%),N75*(1+Data_85_15!N27%)),"")</f>
        <v/>
      </c>
      <c r="O76" s="446" t="str">
        <f>IF(AND($A76&gt;=SYear85,$A76&lt;=EYear85,O$3&gt;0),IF($A76=SYear85,O$56*(1+Data_85_15!O27%),O75*(1+Data_85_15!O27%)),"")</f>
        <v/>
      </c>
      <c r="P76" s="446" t="str">
        <f>IF(AND($A76&gt;=SYear85,$A76&lt;=EYear85,P$3&gt;0),IF($A76=SYear85,P$56*(1+Data_85_15!P27%),P75*(1+Data_85_15!P27%)),"")</f>
        <v/>
      </c>
      <c r="Q76" s="446" t="str">
        <f>IF(AND($A76&gt;=SYear85,$A76&lt;=EYear85,Q$3&gt;0),IF($A76=SYear85,Q$56*(1+Data_85_15!Q27%),Q75*(1+Data_85_15!Q27%)),"")</f>
        <v/>
      </c>
      <c r="R76" s="446" t="str">
        <f>IF(AND($A76&gt;=SYear85,$A76&lt;=EYear85,R$3&gt;0),IF($A76=SYear85,R$56*(1+Data_85_15!R27%),R75*(1+Data_85_15!R27%)),"")</f>
        <v/>
      </c>
      <c r="S76" s="446">
        <f>IF(AND($A76&gt;=SYear85,$A76&lt;=EYear85,S$3&gt;0),IF($A76=SYear85,S$56*(1+Data_85_15!S27%),S75*(1+Data_85_15!S27%)),"")</f>
        <v>17764.6767075061</v>
      </c>
      <c r="T76" s="446" t="str">
        <f>IF(AND($A76&gt;=SYear85,$A76&lt;=EYear85,T$3&gt;0),IF($A76=SYear85,T$56*(1+Data_85_15!T27%),T75*(1+Data_85_15!T27%)),"")</f>
        <v/>
      </c>
      <c r="U76" s="446" t="str">
        <f>IF(AND($A76&gt;=SYear85,$A76&lt;=EYear85,U$3&gt;0),IF($A76=SYear85,U$56*(1+Data_85_15!U27%),U75*(1+Data_85_15!U27%)),"")</f>
        <v/>
      </c>
      <c r="V76" s="446" t="str">
        <f>IF(AND($A76&gt;=SYear85,$A76&lt;=EYear85,V$3&gt;0),IF($A76=SYear85,V$56*(1+Data_85_15!V27%),V75*(1+Data_85_15!V27%)),"")</f>
        <v/>
      </c>
      <c r="W76" s="446">
        <f>IF(AND($A76&gt;=SYear85,$A76&lt;=EYear85,W$3&gt;0),IF($A76=SYear85,W$56*(1+Data_85_15!W27%),W75*(1+Data_85_15!W27%)),"")</f>
        <v>13429.968695039544</v>
      </c>
      <c r="X76" s="446" t="str">
        <f>IF(AND($A76&gt;=SYear85,$A76&lt;=EYear85,X$3&gt;0),IF($A76=SYear85,X$56*(1+Data_85_15!X27%),X75*(1+Data_85_15!X27%)),"")</f>
        <v/>
      </c>
      <c r="Y76" s="446" t="str">
        <f>IF(AND($A76&gt;=SYear85,$A76&lt;=EYear85,Y$3&gt;0),IF($A76=SYear85,Y$56*(1+Data_85_15!Y27%),Y75*(1+Data_85_15!Y27%)),"")</f>
        <v/>
      </c>
      <c r="Z76" s="446" t="str">
        <f>IF(AND($A76&gt;=SYear85,$A76&lt;=EYear85,Z$3&gt;0),IF($A76=SYear85,Z$56*(1+Data_85_15!Z27%),Z75*(1+Data_85_15!Z27%)),"")</f>
        <v/>
      </c>
      <c r="AA76" s="446" t="str">
        <f>IF(AND($A76&gt;=SYear85,$A76&lt;=EYear85,AA$3&gt;0),IF($A76=SYear85,AA$56*(1+Data_85_15!AA27%),AA75*(1+Data_85_15!AA27%)),"")</f>
        <v/>
      </c>
      <c r="AB76" s="446" t="str">
        <f>IF(AND($A76&gt;=SYear85,$A76&lt;=EYear85,AB$3&gt;0),IF($A76=SYear85,AB$56*(1+Data_85_15!AB27%),AB75*(1+Data_85_15!AB27%)),"")</f>
        <v/>
      </c>
      <c r="AC76" s="446" t="str">
        <f>IF(AND($A76&gt;=SYear85,$A76&lt;=EYear85,AC$3&gt;0),IF($A76=SYear85,AC$56*(1+Data_85_15!AC27%),AC75*(1+Data_85_15!AC27%)),"")</f>
        <v/>
      </c>
      <c r="AD76" s="446" t="str">
        <f>IF(AND($A76&gt;=SYear85,$A76&lt;=EYear85,AD$3&gt;0),IF($A76=SYear85,AD$56*(1+Data_85_15!AD27%),AD75*(1+Data_85_15!AD27%)),"")</f>
        <v/>
      </c>
      <c r="AE76" s="446" t="str">
        <f>IF(AND($A76&gt;=SYear85,$A76&lt;=EYear85,AE$3&gt;0),IF($A76=SYear85,AE$56*(1+Data_85_15!AE27%),AE75*(1+Data_85_15!AE27%)),"")</f>
        <v/>
      </c>
      <c r="AF76" s="446" t="str">
        <f>IF(AND($A76&gt;=SYear85,$A76&lt;=EYear85,AF$3&gt;0),IF($A76=SYear85,AF$56*(1+Data_85_15!AF27%),AF75*(1+Data_85_15!AF27%)),"")</f>
        <v/>
      </c>
      <c r="AG76" s="446" t="str">
        <f>IF(AND($A76&gt;=SYear85,$A76&lt;=EYear85,AG$3&gt;0),IF($A76=SYear85,AG$56*(1+Data_85_15!AG27%),AG75*(1+Data_85_15!AG27%)),"")</f>
        <v/>
      </c>
      <c r="AH76" s="446" t="str">
        <f>IF(AND($A76&gt;=SYear85,$A76&lt;=EYear85,AH$3&gt;0),IF($A76=SYear85,AH$56*(1+Data_85_15!AH27%),AH75*(1+Data_85_15!AH27%)),"")</f>
        <v/>
      </c>
      <c r="AI76" s="446" t="str">
        <f>IF(AND($A76&gt;=SYear85,$A76&lt;=EYear85,AI$3&gt;0),IF($A76=SYear85,AI$56*(1+Data_85_15!AI27%),AI75*(1+Data_85_15!AI27%)),"")</f>
        <v/>
      </c>
      <c r="AJ76" s="446" t="str">
        <f>IF(AND($A76&gt;=SYear85,$A76&lt;=EYear85,AJ$3&gt;0),IF($A76=SYear85,AJ$56*(1+Data_85_15!AJ27%),AJ75*(1+Data_85_15!AJ27%)),"")</f>
        <v/>
      </c>
      <c r="AK76" s="446" t="str">
        <f>IF(AND($A76&gt;=SYear85,$A76&lt;=EYear85,AK$3&gt;0),IF($A76=SYear85,AK$56*(1+Data_85_15!AK27%),AK75*(1+Data_85_15!AK27%)),"")</f>
        <v/>
      </c>
      <c r="AL76" s="446" t="str">
        <f>IF(AND($A76&gt;=SYear85,$A76&lt;=EYear85,AL$3&gt;0),IF($A76=SYear85,AL$56*(1+Data_85_15!AL27%),AL75*(1+Data_85_15!AL27%)),"")</f>
        <v/>
      </c>
      <c r="AM76" s="446" t="str">
        <f>IF(AND($A76&gt;=SYear85,$A76&lt;=EYear85,AM$3&gt;0),IF($A76=SYear85,AM$56*(1+Data_85_15!AM27%),AM75*(1+Data_85_15!AM27%)),"")</f>
        <v/>
      </c>
      <c r="AN76" s="446" t="str">
        <f>IF(AND($A76&gt;=SYear85,$A76&lt;=EYear85,AN$3&gt;0),IF($A76=SYear85,AN$56*(1+Data_85_15!AN27%),AN75*(1+Data_85_15!AN27%)),"")</f>
        <v/>
      </c>
      <c r="AO76" s="446">
        <f>IF(AND($A76&gt;=SYear85,$A76&lt;=EYear85,AO$3&gt;0),IF($A76=SYear85,AO$56*(1+Data_85_15!AO27%),AO75*(1+Data_85_15!AO27%)),"")</f>
        <v>3253.8321364820767</v>
      </c>
      <c r="AP76" s="206" t="str">
        <f>IF(AND($A76&gt;=SYear85,$A76&lt;=EYear85,AP$3&gt;0),IF($A76=SYear85,AP$56*(1+Data_85_15!AP27%),AP75*(1+Data_85_15!AP27%)),"")</f>
        <v/>
      </c>
      <c r="AQ76" s="206" t="str">
        <f>IF(AND($A76&gt;=SYear85,$A76&lt;=EYear85,AQ$3&gt;0),IF($A76=SYear85,AQ$56*(1+Data_85_15!AQ27%),AQ75*(1+Data_85_15!AQ27%)),"")</f>
        <v/>
      </c>
      <c r="AR76" s="206" t="str">
        <f>IF(AND($A76&gt;=SYear85,$A76&lt;=EYear85,AR$3&gt;0),IF($A76=SYear85,AR$56*(1+Data_85_15!AR27%),AR75*(1+Data_85_15!AR27%)),"")</f>
        <v/>
      </c>
      <c r="AS76" s="206" t="str">
        <f>IF(AND($A76&gt;=SYear85,$A76&lt;=EYear85,AS$3&gt;0),IF($A76=SYear85,AS$56*(1+Data_85_15!AS27%),AS75*(1+Data_85_15!AS27%)),"")</f>
        <v/>
      </c>
      <c r="AT76" s="206" t="str">
        <f>IF(AND($A76&gt;=SYear85,$A76&lt;=EYear85,AT$3&gt;0),IF($A76=SYear85,AT$56*(1+Data_85_15!AT27%),AT75*(1+Data_85_15!AT27%)),"")</f>
        <v/>
      </c>
      <c r="AU76" s="206" t="str">
        <f>IF(AND($A76&gt;=SYear85,$A76&lt;=EYear85,AU$3&gt;0),IF($A76=SYear85,AU$56*(1+Data_85_15!AU27%),AU75*(1+Data_85_15!AU27%)),"")</f>
        <v/>
      </c>
      <c r="AV76" s="206" t="str">
        <f>IF(AND($A76&gt;=SYear85,$A76&lt;=EYear85,AV$3&gt;0),IF($A76=SYear85,AV$56*(1+Data_85_15!AV27%),AV75*(1+Data_85_15!AV27%)),"")</f>
        <v/>
      </c>
      <c r="AW76" s="206" t="str">
        <f>IF(AND($A76&gt;=SYear85,$A76&lt;=EYear85,AW$3&gt;0),IF($A76=SYear85,AW$56*(1+Data_85_15!AW27%),AW75*(1+Data_85_15!AW27%)),"")</f>
        <v/>
      </c>
      <c r="AX76" s="206" t="str">
        <f>IF(AND($A76&gt;=SYear85,$A76&lt;=EYear85,AX$3&gt;0),IF($A76=SYear85,AX$56*(1+Data_85_15!AX27%),AX75*(1+Data_85_15!AX27%)),"")</f>
        <v/>
      </c>
      <c r="AY76" s="206" t="str">
        <f>IF(AND($A76&gt;=SYear85,$A76&lt;=EYear85,AY$3&gt;0),IF($A76=SYear85,AY$56*(1+Data_85_15!AY27%),AY75*(1+Data_85_15!AY27%)),"")</f>
        <v/>
      </c>
      <c r="AZ76" s="206">
        <f t="shared" si="26"/>
        <v>13.905116568306262</v>
      </c>
      <c r="BA76" s="446">
        <f t="shared" si="27"/>
        <v>73993.082907146396</v>
      </c>
      <c r="BB76" s="206">
        <f>IF(AND($A76&gt;=SYear85,$A76&lt;=EYear85),(AZ76-Data_85_15!AZ27)/(1+Data_85_15!AZ27%),"")</f>
        <v>10.31378341323618</v>
      </c>
      <c r="BC76" s="606">
        <f t="shared" si="28"/>
        <v>40943.09842418554</v>
      </c>
      <c r="BD76" s="143">
        <f t="shared" si="29"/>
        <v>6.2129875327956086</v>
      </c>
      <c r="BE76" s="143">
        <f>IF(AND($A76&gt;=SYear85,$A76&lt;=EYear85),MAX($BD$57:BD76),"")</f>
        <v>6.2129875327956086</v>
      </c>
      <c r="BF76" s="209">
        <f t="shared" si="30"/>
        <v>0</v>
      </c>
      <c r="BN76" s="61">
        <f t="shared" si="31"/>
        <v>0.13905116568306264</v>
      </c>
      <c r="BO76" s="61">
        <f t="shared" si="32"/>
        <v>0.11056839773901372</v>
      </c>
      <c r="BP76" s="61">
        <f t="shared" si="33"/>
        <v>3.935481250071815E-2</v>
      </c>
      <c r="BQ76" s="61">
        <f t="shared" si="34"/>
        <v>8.1187195735095807E-2</v>
      </c>
      <c r="BR76" s="61"/>
      <c r="BU76" s="61">
        <f t="shared" si="36"/>
        <v>0.10313783413236188</v>
      </c>
      <c r="BV76" s="61">
        <f t="shared" si="37"/>
        <v>7.7490299188255563E-2</v>
      </c>
      <c r="BW76" s="61">
        <f t="shared" si="38"/>
        <v>1.2350231725470229E-2</v>
      </c>
      <c r="BX76" s="61">
        <f t="shared" si="39"/>
        <v>5.6108901076941109E-2</v>
      </c>
      <c r="BY76" s="61"/>
    </row>
    <row r="77" spans="1:77">
      <c r="A77" s="204">
        <f t="shared" ref="A77:A88" si="42">A76+1</f>
        <v>2005</v>
      </c>
      <c r="B77" s="446" t="str">
        <f>IF(AND($A77&gt;=SYear85,$A77&lt;=EYear85,B$3&gt;0),IF($A77=SYear85,B$56*(1+Data_85_15!B28%),B76*(1+Data_85_15!B28%)),"")</f>
        <v/>
      </c>
      <c r="C77" s="446" t="str">
        <f>IF(AND($A77&gt;=SYear85,$A77&lt;=EYear85,C$3&gt;0),IF($A77=SYear85,C$56*(1+Data_85_15!C28%),C76*(1+Data_85_15!C28%)),"")</f>
        <v/>
      </c>
      <c r="D77" s="446" t="str">
        <f>IF(AND($A77&gt;=SYear85,$A77&lt;=EYear85,D$3&gt;0),IF($A77=SYear85,D$56*(1+Data_85_15!D28%),D76*(1+Data_85_15!D28%)),"")</f>
        <v/>
      </c>
      <c r="E77" s="446" t="str">
        <f>IF(AND($A77&gt;=SYear85,$A77&lt;=EYear85,E$3&gt;0),IF($A77=SYear85,E$56*(1+Data_85_15!E28%),E76*(1+Data_85_15!E28%)),"")</f>
        <v/>
      </c>
      <c r="F77" s="446">
        <f>IF(AND($A77&gt;=SYear85,$A77&lt;=EYear85,F$3&gt;0),IF($A77=SYear85,F$56*(1+Data_85_15!F28%),F76*(1+Data_85_15!F28%)),"")</f>
        <v>45053.168895897608</v>
      </c>
      <c r="G77" s="446" t="str">
        <f>IF(AND($A77&gt;=SYear85,$A77&lt;=EYear85,G$3&gt;0),IF($A77=SYear85,G$56*(1+Data_85_15!G28%),G76*(1+Data_85_15!G28%)),"")</f>
        <v/>
      </c>
      <c r="H77" s="446" t="str">
        <f>IF(AND($A77&gt;=SYear85,$A77&lt;=EYear85,H$3&gt;0),IF($A77=SYear85,H$56*(1+Data_85_15!H28%),H76*(1+Data_85_15!H28%)),"")</f>
        <v/>
      </c>
      <c r="I77" s="446" t="str">
        <f>IF(AND($A77&gt;=SYear85,$A77&lt;=EYear85,I$3&gt;0),IF($A77=SYear85,I$56*(1+Data_85_15!I28%),I76*(1+Data_85_15!I28%)),"")</f>
        <v/>
      </c>
      <c r="J77" s="446" t="str">
        <f>IF(AND($A77&gt;=SYear85,$A77&lt;=EYear85,J$3&gt;0),IF($A77=SYear85,J$56*(1+Data_85_15!J28%),J76*(1+Data_85_15!J28%)),"")</f>
        <v/>
      </c>
      <c r="K77" s="446" t="str">
        <f>IF(AND($A77&gt;=SYear85,$A77&lt;=EYear85,K$3&gt;0),IF($A77=SYear85,K$56*(1+Data_85_15!K28%),K76*(1+Data_85_15!K28%)),"")</f>
        <v/>
      </c>
      <c r="L77" s="446" t="str">
        <f>IF(AND($A77&gt;=SYear85,$A77&lt;=EYear85,L$3&gt;0),IF($A77=SYear85,L$56*(1+Data_85_15!L28%),L76*(1+Data_85_15!L28%)),"")</f>
        <v/>
      </c>
      <c r="M77" s="446" t="str">
        <f>IF(AND($A77&gt;=SYear85,$A77&lt;=EYear85,M$3&gt;0),IF($A77=SYear85,M$56*(1+Data_85_15!M28%),M76*(1+Data_85_15!M28%)),"")</f>
        <v/>
      </c>
      <c r="N77" s="446" t="str">
        <f>IF(AND($A77&gt;=SYear85,$A77&lt;=EYear85,N$3&gt;0),IF($A77=SYear85,N$56*(1+Data_85_15!N28%),N76*(1+Data_85_15!N28%)),"")</f>
        <v/>
      </c>
      <c r="O77" s="446" t="str">
        <f>IF(AND($A77&gt;=SYear85,$A77&lt;=EYear85,O$3&gt;0),IF($A77=SYear85,O$56*(1+Data_85_15!O28%),O76*(1+Data_85_15!O28%)),"")</f>
        <v/>
      </c>
      <c r="P77" s="446" t="str">
        <f>IF(AND($A77&gt;=SYear85,$A77&lt;=EYear85,P$3&gt;0),IF($A77=SYear85,P$56*(1+Data_85_15!P28%),P76*(1+Data_85_15!P28%)),"")</f>
        <v/>
      </c>
      <c r="Q77" s="446" t="str">
        <f>IF(AND($A77&gt;=SYear85,$A77&lt;=EYear85,Q$3&gt;0),IF($A77=SYear85,Q$56*(1+Data_85_15!Q28%),Q76*(1+Data_85_15!Q28%)),"")</f>
        <v/>
      </c>
      <c r="R77" s="446" t="str">
        <f>IF(AND($A77&gt;=SYear85,$A77&lt;=EYear85,R$3&gt;0),IF($A77=SYear85,R$56*(1+Data_85_15!R28%),R76*(1+Data_85_15!R28%)),"")</f>
        <v/>
      </c>
      <c r="S77" s="446">
        <f>IF(AND($A77&gt;=SYear85,$A77&lt;=EYear85,S$3&gt;0),IF($A77=SYear85,S$56*(1+Data_85_15!S28%),S76*(1+Data_85_15!S28%)),"")</f>
        <v>18938.921837872254</v>
      </c>
      <c r="T77" s="446" t="str">
        <f>IF(AND($A77&gt;=SYear85,$A77&lt;=EYear85,T$3&gt;0),IF($A77=SYear85,T$56*(1+Data_85_15!T28%),T76*(1+Data_85_15!T28%)),"")</f>
        <v/>
      </c>
      <c r="U77" s="446" t="str">
        <f>IF(AND($A77&gt;=SYear85,$A77&lt;=EYear85,U$3&gt;0),IF($A77=SYear85,U$56*(1+Data_85_15!U28%),U76*(1+Data_85_15!U28%)),"")</f>
        <v/>
      </c>
      <c r="V77" s="446" t="str">
        <f>IF(AND($A77&gt;=SYear85,$A77&lt;=EYear85,V$3&gt;0),IF($A77=SYear85,V$56*(1+Data_85_15!V28%),V76*(1+Data_85_15!V28%)),"")</f>
        <v/>
      </c>
      <c r="W77" s="446">
        <f>IF(AND($A77&gt;=SYear85,$A77&lt;=EYear85,W$3&gt;0),IF($A77=SYear85,W$56*(1+Data_85_15!W28%),W76*(1+Data_85_15!W28%)),"")</f>
        <v>13777.80488424107</v>
      </c>
      <c r="X77" s="446" t="str">
        <f>IF(AND($A77&gt;=SYear85,$A77&lt;=EYear85,X$3&gt;0),IF($A77=SYear85,X$56*(1+Data_85_15!X28%),X76*(1+Data_85_15!X28%)),"")</f>
        <v/>
      </c>
      <c r="Y77" s="446" t="str">
        <f>IF(AND($A77&gt;=SYear85,$A77&lt;=EYear85,Y$3&gt;0),IF($A77=SYear85,Y$56*(1+Data_85_15!Y28%),Y76*(1+Data_85_15!Y28%)),"")</f>
        <v/>
      </c>
      <c r="Z77" s="446" t="str">
        <f>IF(AND($A77&gt;=SYear85,$A77&lt;=EYear85,Z$3&gt;0),IF($A77=SYear85,Z$56*(1+Data_85_15!Z28%),Z76*(1+Data_85_15!Z28%)),"")</f>
        <v/>
      </c>
      <c r="AA77" s="446" t="str">
        <f>IF(AND($A77&gt;=SYear85,$A77&lt;=EYear85,AA$3&gt;0),IF($A77=SYear85,AA$56*(1+Data_85_15!AA28%),AA76*(1+Data_85_15!AA28%)),"")</f>
        <v/>
      </c>
      <c r="AB77" s="446" t="str">
        <f>IF(AND($A77&gt;=SYear85,$A77&lt;=EYear85,AB$3&gt;0),IF($A77=SYear85,AB$56*(1+Data_85_15!AB28%),AB76*(1+Data_85_15!AB28%)),"")</f>
        <v/>
      </c>
      <c r="AC77" s="446" t="str">
        <f>IF(AND($A77&gt;=SYear85,$A77&lt;=EYear85,AC$3&gt;0),IF($A77=SYear85,AC$56*(1+Data_85_15!AC28%),AC76*(1+Data_85_15!AC28%)),"")</f>
        <v/>
      </c>
      <c r="AD77" s="446" t="str">
        <f>IF(AND($A77&gt;=SYear85,$A77&lt;=EYear85,AD$3&gt;0),IF($A77=SYear85,AD$56*(1+Data_85_15!AD28%),AD76*(1+Data_85_15!AD28%)),"")</f>
        <v/>
      </c>
      <c r="AE77" s="446" t="str">
        <f>IF(AND($A77&gt;=SYear85,$A77&lt;=EYear85,AE$3&gt;0),IF($A77=SYear85,AE$56*(1+Data_85_15!AE28%),AE76*(1+Data_85_15!AE28%)),"")</f>
        <v/>
      </c>
      <c r="AF77" s="446" t="str">
        <f>IF(AND($A77&gt;=SYear85,$A77&lt;=EYear85,AF$3&gt;0),IF($A77=SYear85,AF$56*(1+Data_85_15!AF28%),AF76*(1+Data_85_15!AF28%)),"")</f>
        <v/>
      </c>
      <c r="AG77" s="446" t="str">
        <f>IF(AND($A77&gt;=SYear85,$A77&lt;=EYear85,AG$3&gt;0),IF($A77=SYear85,AG$56*(1+Data_85_15!AG28%),AG76*(1+Data_85_15!AG28%)),"")</f>
        <v/>
      </c>
      <c r="AH77" s="446" t="str">
        <f>IF(AND($A77&gt;=SYear85,$A77&lt;=EYear85,AH$3&gt;0),IF($A77=SYear85,AH$56*(1+Data_85_15!AH28%),AH76*(1+Data_85_15!AH28%)),"")</f>
        <v/>
      </c>
      <c r="AI77" s="446" t="str">
        <f>IF(AND($A77&gt;=SYear85,$A77&lt;=EYear85,AI$3&gt;0),IF($A77=SYear85,AI$56*(1+Data_85_15!AI28%),AI76*(1+Data_85_15!AI28%)),"")</f>
        <v/>
      </c>
      <c r="AJ77" s="446" t="str">
        <f>IF(AND($A77&gt;=SYear85,$A77&lt;=EYear85,AJ$3&gt;0),IF($A77=SYear85,AJ$56*(1+Data_85_15!AJ28%),AJ76*(1+Data_85_15!AJ28%)),"")</f>
        <v/>
      </c>
      <c r="AK77" s="446" t="str">
        <f>IF(AND($A77&gt;=SYear85,$A77&lt;=EYear85,AK$3&gt;0),IF($A77=SYear85,AK$56*(1+Data_85_15!AK28%),AK76*(1+Data_85_15!AK28%)),"")</f>
        <v/>
      </c>
      <c r="AL77" s="446" t="str">
        <f>IF(AND($A77&gt;=SYear85,$A77&lt;=EYear85,AL$3&gt;0),IF($A77=SYear85,AL$56*(1+Data_85_15!AL28%),AL76*(1+Data_85_15!AL28%)),"")</f>
        <v/>
      </c>
      <c r="AM77" s="446" t="str">
        <f>IF(AND($A77&gt;=SYear85,$A77&lt;=EYear85,AM$3&gt;0),IF($A77=SYear85,AM$56*(1+Data_85_15!AM28%),AM76*(1+Data_85_15!AM28%)),"")</f>
        <v/>
      </c>
      <c r="AN77" s="446" t="str">
        <f>IF(AND($A77&gt;=SYear85,$A77&lt;=EYear85,AN$3&gt;0),IF($A77=SYear85,AN$56*(1+Data_85_15!AN28%),AN76*(1+Data_85_15!AN28%)),"")</f>
        <v/>
      </c>
      <c r="AO77" s="446">
        <f>IF(AND($A77&gt;=SYear85,$A77&lt;=EYear85,AO$3&gt;0),IF($A77=SYear85,AO$56*(1+Data_85_15!AO28%),AO76*(1+Data_85_15!AO28%)),"")</f>
        <v>3840.8234539034438</v>
      </c>
      <c r="AP77" s="206" t="str">
        <f>IF(AND($A77&gt;=SYear85,$A77&lt;=EYear85,AP$3&gt;0),IF($A77=SYear85,AP$56*(1+Data_85_15!AP28%),AP76*(1+Data_85_15!AP28%)),"")</f>
        <v/>
      </c>
      <c r="AQ77" s="206" t="str">
        <f>IF(AND($A77&gt;=SYear85,$A77&lt;=EYear85,AQ$3&gt;0),IF($A77=SYear85,AQ$56*(1+Data_85_15!AQ28%),AQ76*(1+Data_85_15!AQ28%)),"")</f>
        <v/>
      </c>
      <c r="AR77" s="206" t="str">
        <f>IF(AND($A77&gt;=SYear85,$A77&lt;=EYear85,AR$3&gt;0),IF($A77=SYear85,AR$56*(1+Data_85_15!AR28%),AR76*(1+Data_85_15!AR28%)),"")</f>
        <v/>
      </c>
      <c r="AS77" s="206" t="str">
        <f>IF(AND($A77&gt;=SYear85,$A77&lt;=EYear85,AS$3&gt;0),IF($A77=SYear85,AS$56*(1+Data_85_15!AS28%),AS76*(1+Data_85_15!AS28%)),"")</f>
        <v/>
      </c>
      <c r="AT77" s="206" t="str">
        <f>IF(AND($A77&gt;=SYear85,$A77&lt;=EYear85,AT$3&gt;0),IF($A77=SYear85,AT$56*(1+Data_85_15!AT28%),AT76*(1+Data_85_15!AT28%)),"")</f>
        <v/>
      </c>
      <c r="AU77" s="206" t="str">
        <f>IF(AND($A77&gt;=SYear85,$A77&lt;=EYear85,AU$3&gt;0),IF($A77=SYear85,AU$56*(1+Data_85_15!AU28%),AU76*(1+Data_85_15!AU28%)),"")</f>
        <v/>
      </c>
      <c r="AV77" s="206" t="str">
        <f>IF(AND($A77&gt;=SYear85,$A77&lt;=EYear85,AV$3&gt;0),IF($A77=SYear85,AV$56*(1+Data_85_15!AV28%),AV76*(1+Data_85_15!AV28%)),"")</f>
        <v/>
      </c>
      <c r="AW77" s="206" t="str">
        <f>IF(AND($A77&gt;=SYear85,$A77&lt;=EYear85,AW$3&gt;0),IF($A77=SYear85,AW$56*(1+Data_85_15!AW28%),AW76*(1+Data_85_15!AW28%)),"")</f>
        <v/>
      </c>
      <c r="AX77" s="206" t="str">
        <f>IF(AND($A77&gt;=SYear85,$A77&lt;=EYear85,AX$3&gt;0),IF($A77=SYear85,AX$56*(1+Data_85_15!AX28%),AX76*(1+Data_85_15!AX28%)),"")</f>
        <v/>
      </c>
      <c r="AY77" s="206" t="str">
        <f>IF(AND($A77&gt;=SYear85,$A77&lt;=EYear85,AY$3&gt;0),IF($A77=SYear85,AY$56*(1+Data_85_15!AY28%),AY76*(1+Data_85_15!AY28%)),"")</f>
        <v/>
      </c>
      <c r="AZ77" s="206">
        <f t="shared" ref="AZ77:AZ83" si="43">IF(AND($A77&gt;=SYear85,$A77&lt;=EYear85),IF($A77=SYear85,100*(BA77-$BA$56)/$BA$56,100*(BA77-BA76)/BA76),"")</f>
        <v>10.295065248635892</v>
      </c>
      <c r="BA77" s="446">
        <f t="shared" ref="BA77:BA83" si="44">IF(AND($A77&gt;=SYear85,$A77&lt;=EYear85),SUM(B77:AR77),"")</f>
        <v>81610.719071914369</v>
      </c>
      <c r="BB77" s="206">
        <f>IF(AND($A77&gt;=SYear85,$A77&lt;=EYear85),(AZ77-Data_85_15!AZ28)/(1+Data_85_15!AZ28%),"")</f>
        <v>6.6521896179644813</v>
      </c>
      <c r="BC77" s="606">
        <f t="shared" ref="BC77:BC83" si="45">IF(AND($A77&gt;=SYear85,$A77&lt;=EYear85),IF($A77=SYear85,$BC$4*(1+BB77%),$BC76*(1+BB77%)),"")</f>
        <v>43666.710966832186</v>
      </c>
      <c r="BD77" s="143">
        <f t="shared" ref="BD77:BD83" si="46">IF(AND($A77&gt;=SYear85,$A77&lt;=EYear85),IF($A77=SYear85,$BD$54,$BD76*(1+AZ77%)),"")</f>
        <v>6.8526186531865294</v>
      </c>
      <c r="BE77" s="143">
        <f>IF(AND($A77&gt;=SYear85,$A77&lt;=EYear85),MAX($BD$57:BD77),"")</f>
        <v>6.8526186531865294</v>
      </c>
      <c r="BF77" s="209">
        <f t="shared" ref="BF77:BF83" si="47">IF(AND($A77&gt;=SYear85,$A77&lt;=EYear85),1-(BD77/BE77),"")</f>
        <v>0</v>
      </c>
      <c r="BN77" s="61">
        <f t="shared" si="31"/>
        <v>0.10295065248635882</v>
      </c>
      <c r="BO77" s="61">
        <f t="shared" si="32"/>
        <v>9.3982688952269022E-2</v>
      </c>
      <c r="BP77" s="61">
        <f t="shared" si="33"/>
        <v>4.3483088005818571E-2</v>
      </c>
      <c r="BQ77" s="61">
        <f t="shared" si="34"/>
        <v>8.0959819607435035E-2</v>
      </c>
      <c r="BR77" s="61"/>
      <c r="BU77" s="61">
        <f t="shared" si="36"/>
        <v>6.6521896179644768E-2</v>
      </c>
      <c r="BV77" s="61">
        <f t="shared" si="37"/>
        <v>5.8584343112499715E-2</v>
      </c>
      <c r="BW77" s="61">
        <f t="shared" si="38"/>
        <v>1.7426237180419246E-2</v>
      </c>
      <c r="BX77" s="61">
        <f t="shared" si="39"/>
        <v>5.8476940569880398E-2</v>
      </c>
      <c r="BY77" s="61"/>
    </row>
    <row r="78" spans="1:77">
      <c r="A78" s="204">
        <f t="shared" si="42"/>
        <v>2006</v>
      </c>
      <c r="B78" s="446" t="str">
        <f>IF(AND($A78&gt;=SYear85,$A78&lt;=EYear85,B$3&gt;0),IF($A78=SYear85,B$56*(1+Data_85_15!B29%),B77*(1+Data_85_15!B29%)),"")</f>
        <v/>
      </c>
      <c r="C78" s="446" t="str">
        <f>IF(AND($A78&gt;=SYear85,$A78&lt;=EYear85,C$3&gt;0),IF($A78=SYear85,C$56*(1+Data_85_15!C29%),C77*(1+Data_85_15!C29%)),"")</f>
        <v/>
      </c>
      <c r="D78" s="446" t="str">
        <f>IF(AND($A78&gt;=SYear85,$A78&lt;=EYear85,D$3&gt;0),IF($A78=SYear85,D$56*(1+Data_85_15!D29%),D77*(1+Data_85_15!D29%)),"")</f>
        <v/>
      </c>
      <c r="E78" s="446" t="str">
        <f>IF(AND($A78&gt;=SYear85,$A78&lt;=EYear85,E$3&gt;0),IF($A78=SYear85,E$56*(1+Data_85_15!E29%),E77*(1+Data_85_15!E29%)),"")</f>
        <v/>
      </c>
      <c r="F78" s="446">
        <f>IF(AND($A78&gt;=SYear85,$A78&lt;=EYear85,F$3&gt;0),IF($A78=SYear85,F$56*(1+Data_85_15!F29%),F77*(1+Data_85_15!F29%)),"")</f>
        <v>51180.399865739688</v>
      </c>
      <c r="G78" s="446" t="str">
        <f>IF(AND($A78&gt;=SYear85,$A78&lt;=EYear85,G$3&gt;0),IF($A78=SYear85,G$56*(1+Data_85_15!G29%),G77*(1+Data_85_15!G29%)),"")</f>
        <v/>
      </c>
      <c r="H78" s="446" t="str">
        <f>IF(AND($A78&gt;=SYear85,$A78&lt;=EYear85,H$3&gt;0),IF($A78=SYear85,H$56*(1+Data_85_15!H29%),H77*(1+Data_85_15!H29%)),"")</f>
        <v/>
      </c>
      <c r="I78" s="446" t="str">
        <f>IF(AND($A78&gt;=SYear85,$A78&lt;=EYear85,I$3&gt;0),IF($A78=SYear85,I$56*(1+Data_85_15!I29%),I77*(1+Data_85_15!I29%)),"")</f>
        <v/>
      </c>
      <c r="J78" s="446" t="str">
        <f>IF(AND($A78&gt;=SYear85,$A78&lt;=EYear85,J$3&gt;0),IF($A78=SYear85,J$56*(1+Data_85_15!J29%),J77*(1+Data_85_15!J29%)),"")</f>
        <v/>
      </c>
      <c r="K78" s="446" t="str">
        <f>IF(AND($A78&gt;=SYear85,$A78&lt;=EYear85,K$3&gt;0),IF($A78=SYear85,K$56*(1+Data_85_15!K29%),K77*(1+Data_85_15!K29%)),"")</f>
        <v/>
      </c>
      <c r="L78" s="446" t="str">
        <f>IF(AND($A78&gt;=SYear85,$A78&lt;=EYear85,L$3&gt;0),IF($A78=SYear85,L$56*(1+Data_85_15!L29%),L77*(1+Data_85_15!L29%)),"")</f>
        <v/>
      </c>
      <c r="M78" s="446" t="str">
        <f>IF(AND($A78&gt;=SYear85,$A78&lt;=EYear85,M$3&gt;0),IF($A78=SYear85,M$56*(1+Data_85_15!M29%),M77*(1+Data_85_15!M29%)),"")</f>
        <v/>
      </c>
      <c r="N78" s="446" t="str">
        <f>IF(AND($A78&gt;=SYear85,$A78&lt;=EYear85,N$3&gt;0),IF($A78=SYear85,N$56*(1+Data_85_15!N29%),N77*(1+Data_85_15!N29%)),"")</f>
        <v/>
      </c>
      <c r="O78" s="446" t="str">
        <f>IF(AND($A78&gt;=SYear85,$A78&lt;=EYear85,O$3&gt;0),IF($A78=SYear85,O$56*(1+Data_85_15!O29%),O77*(1+Data_85_15!O29%)),"")</f>
        <v/>
      </c>
      <c r="P78" s="446" t="str">
        <f>IF(AND($A78&gt;=SYear85,$A78&lt;=EYear85,P$3&gt;0),IF($A78=SYear85,P$56*(1+Data_85_15!P29%),P77*(1+Data_85_15!P29%)),"")</f>
        <v/>
      </c>
      <c r="Q78" s="446" t="str">
        <f>IF(AND($A78&gt;=SYear85,$A78&lt;=EYear85,Q$3&gt;0),IF($A78=SYear85,Q$56*(1+Data_85_15!Q29%),Q77*(1+Data_85_15!Q29%)),"")</f>
        <v/>
      </c>
      <c r="R78" s="446" t="str">
        <f>IF(AND($A78&gt;=SYear85,$A78&lt;=EYear85,R$3&gt;0),IF($A78=SYear85,R$56*(1+Data_85_15!R29%),R77*(1+Data_85_15!R29%)),"")</f>
        <v/>
      </c>
      <c r="S78" s="446">
        <f>IF(AND($A78&gt;=SYear85,$A78&lt;=EYear85,S$3&gt;0),IF($A78=SYear85,S$56*(1+Data_85_15!S29%),S77*(1+Data_85_15!S29%)),"")</f>
        <v>19268.459077851232</v>
      </c>
      <c r="T78" s="446" t="str">
        <f>IF(AND($A78&gt;=SYear85,$A78&lt;=EYear85,T$3&gt;0),IF($A78=SYear85,T$56*(1+Data_85_15!T29%),T77*(1+Data_85_15!T29%)),"")</f>
        <v/>
      </c>
      <c r="U78" s="446" t="str">
        <f>IF(AND($A78&gt;=SYear85,$A78&lt;=EYear85,U$3&gt;0),IF($A78=SYear85,U$56*(1+Data_85_15!U29%),U77*(1+Data_85_15!U29%)),"")</f>
        <v/>
      </c>
      <c r="V78" s="446" t="str">
        <f>IF(AND($A78&gt;=SYear85,$A78&lt;=EYear85,V$3&gt;0),IF($A78=SYear85,V$56*(1+Data_85_15!V29%),V77*(1+Data_85_15!V29%)),"")</f>
        <v/>
      </c>
      <c r="W78" s="446">
        <f>IF(AND($A78&gt;=SYear85,$A78&lt;=EYear85,W$3&gt;0),IF($A78=SYear85,W$56*(1+Data_85_15!W29%),W77*(1+Data_85_15!W29%)),"")</f>
        <v>13837.049445243307</v>
      </c>
      <c r="X78" s="446" t="str">
        <f>IF(AND($A78&gt;=SYear85,$A78&lt;=EYear85,X$3&gt;0),IF($A78=SYear85,X$56*(1+Data_85_15!X29%),X77*(1+Data_85_15!X29%)),"")</f>
        <v/>
      </c>
      <c r="Y78" s="446" t="str">
        <f>IF(AND($A78&gt;=SYear85,$A78&lt;=EYear85,Y$3&gt;0),IF($A78=SYear85,Y$56*(1+Data_85_15!Y29%),Y77*(1+Data_85_15!Y29%)),"")</f>
        <v/>
      </c>
      <c r="Z78" s="446" t="str">
        <f>IF(AND($A78&gt;=SYear85,$A78&lt;=EYear85,Z$3&gt;0),IF($A78=SYear85,Z$56*(1+Data_85_15!Z29%),Z77*(1+Data_85_15!Z29%)),"")</f>
        <v/>
      </c>
      <c r="AA78" s="446" t="str">
        <f>IF(AND($A78&gt;=SYear85,$A78&lt;=EYear85,AA$3&gt;0),IF($A78=SYear85,AA$56*(1+Data_85_15!AA29%),AA77*(1+Data_85_15!AA29%)),"")</f>
        <v/>
      </c>
      <c r="AB78" s="446" t="str">
        <f>IF(AND($A78&gt;=SYear85,$A78&lt;=EYear85,AB$3&gt;0),IF($A78=SYear85,AB$56*(1+Data_85_15!AB29%),AB77*(1+Data_85_15!AB29%)),"")</f>
        <v/>
      </c>
      <c r="AC78" s="446" t="str">
        <f>IF(AND($A78&gt;=SYear85,$A78&lt;=EYear85,AC$3&gt;0),IF($A78=SYear85,AC$56*(1+Data_85_15!AC29%),AC77*(1+Data_85_15!AC29%)),"")</f>
        <v/>
      </c>
      <c r="AD78" s="446" t="str">
        <f>IF(AND($A78&gt;=SYear85,$A78&lt;=EYear85,AD$3&gt;0),IF($A78=SYear85,AD$56*(1+Data_85_15!AD29%),AD77*(1+Data_85_15!AD29%)),"")</f>
        <v/>
      </c>
      <c r="AE78" s="446" t="str">
        <f>IF(AND($A78&gt;=SYear85,$A78&lt;=EYear85,AE$3&gt;0),IF($A78=SYear85,AE$56*(1+Data_85_15!AE29%),AE77*(1+Data_85_15!AE29%)),"")</f>
        <v/>
      </c>
      <c r="AF78" s="446" t="str">
        <f>IF(AND($A78&gt;=SYear85,$A78&lt;=EYear85,AF$3&gt;0),IF($A78=SYear85,AF$56*(1+Data_85_15!AF29%),AF77*(1+Data_85_15!AF29%)),"")</f>
        <v/>
      </c>
      <c r="AG78" s="446" t="str">
        <f>IF(AND($A78&gt;=SYear85,$A78&lt;=EYear85,AG$3&gt;0),IF($A78=SYear85,AG$56*(1+Data_85_15!AG29%),AG77*(1+Data_85_15!AG29%)),"")</f>
        <v/>
      </c>
      <c r="AH78" s="446" t="str">
        <f>IF(AND($A78&gt;=SYear85,$A78&lt;=EYear85,AH$3&gt;0),IF($A78=SYear85,AH$56*(1+Data_85_15!AH29%),AH77*(1+Data_85_15!AH29%)),"")</f>
        <v/>
      </c>
      <c r="AI78" s="446" t="str">
        <f>IF(AND($A78&gt;=SYear85,$A78&lt;=EYear85,AI$3&gt;0),IF($A78=SYear85,AI$56*(1+Data_85_15!AI29%),AI77*(1+Data_85_15!AI29%)),"")</f>
        <v/>
      </c>
      <c r="AJ78" s="446" t="str">
        <f>IF(AND($A78&gt;=SYear85,$A78&lt;=EYear85,AJ$3&gt;0),IF($A78=SYear85,AJ$56*(1+Data_85_15!AJ29%),AJ77*(1+Data_85_15!AJ29%)),"")</f>
        <v/>
      </c>
      <c r="AK78" s="446" t="str">
        <f>IF(AND($A78&gt;=SYear85,$A78&lt;=EYear85,AK$3&gt;0),IF($A78=SYear85,AK$56*(1+Data_85_15!AK29%),AK77*(1+Data_85_15!AK29%)),"")</f>
        <v/>
      </c>
      <c r="AL78" s="446" t="str">
        <f>IF(AND($A78&gt;=SYear85,$A78&lt;=EYear85,AL$3&gt;0),IF($A78=SYear85,AL$56*(1+Data_85_15!AL29%),AL77*(1+Data_85_15!AL29%)),"")</f>
        <v/>
      </c>
      <c r="AM78" s="446" t="str">
        <f>IF(AND($A78&gt;=SYear85,$A78&lt;=EYear85,AM$3&gt;0),IF($A78=SYear85,AM$56*(1+Data_85_15!AM29%),AM77*(1+Data_85_15!AM29%)),"")</f>
        <v/>
      </c>
      <c r="AN78" s="446" t="str">
        <f>IF(AND($A78&gt;=SYear85,$A78&lt;=EYear85,AN$3&gt;0),IF($A78=SYear85,AN$56*(1+Data_85_15!AN29%),AN77*(1+Data_85_15!AN29%)),"")</f>
        <v/>
      </c>
      <c r="AO78" s="446">
        <f>IF(AND($A78&gt;=SYear85,$A78&lt;=EYear85,AO$3&gt;0),IF($A78=SYear85,AO$56*(1+Data_85_15!AO29%),AO77*(1+Data_85_15!AO29%)),"")</f>
        <v>4692.3340136338375</v>
      </c>
      <c r="AP78" s="206" t="str">
        <f>IF(AND($A78&gt;=SYear85,$A78&lt;=EYear85,AP$3&gt;0),IF($A78=SYear85,AP$56*(1+Data_85_15!AP29%),AP77*(1+Data_85_15!AP29%)),"")</f>
        <v/>
      </c>
      <c r="AQ78" s="206" t="str">
        <f>IF(AND($A78&gt;=SYear85,$A78&lt;=EYear85,AQ$3&gt;0),IF($A78=SYear85,AQ$56*(1+Data_85_15!AQ29%),AQ77*(1+Data_85_15!AQ29%)),"")</f>
        <v/>
      </c>
      <c r="AR78" s="206" t="str">
        <f>IF(AND($A78&gt;=SYear85,$A78&lt;=EYear85,AR$3&gt;0),IF($A78=SYear85,AR$56*(1+Data_85_15!AR29%),AR77*(1+Data_85_15!AR29%)),"")</f>
        <v/>
      </c>
      <c r="AS78" s="206" t="str">
        <f>IF(AND($A78&gt;=SYear85,$A78&lt;=EYear85,AS$3&gt;0),IF($A78=SYear85,AS$56*(1+Data_85_15!AS29%),AS77*(1+Data_85_15!AS29%)),"")</f>
        <v/>
      </c>
      <c r="AT78" s="206" t="str">
        <f>IF(AND($A78&gt;=SYear85,$A78&lt;=EYear85,AT$3&gt;0),IF($A78=SYear85,AT$56*(1+Data_85_15!AT29%),AT77*(1+Data_85_15!AT29%)),"")</f>
        <v/>
      </c>
      <c r="AU78" s="206" t="str">
        <f>IF(AND($A78&gt;=SYear85,$A78&lt;=EYear85,AU$3&gt;0),IF($A78=SYear85,AU$56*(1+Data_85_15!AU29%),AU77*(1+Data_85_15!AU29%)),"")</f>
        <v/>
      </c>
      <c r="AV78" s="206" t="str">
        <f>IF(AND($A78&gt;=SYear85,$A78&lt;=EYear85,AV$3&gt;0),IF($A78=SYear85,AV$56*(1+Data_85_15!AV29%),AV77*(1+Data_85_15!AV29%)),"")</f>
        <v/>
      </c>
      <c r="AW78" s="206" t="str">
        <f>IF(AND($A78&gt;=SYear85,$A78&lt;=EYear85,AW$3&gt;0),IF($A78=SYear85,AW$56*(1+Data_85_15!AW29%),AW77*(1+Data_85_15!AW29%)),"")</f>
        <v/>
      </c>
      <c r="AX78" s="206" t="str">
        <f>IF(AND($A78&gt;=SYear85,$A78&lt;=EYear85,AX$3&gt;0),IF($A78=SYear85,AX$56*(1+Data_85_15!AX29%),AX77*(1+Data_85_15!AX29%)),"")</f>
        <v/>
      </c>
      <c r="AY78" s="206" t="str">
        <f>IF(AND($A78&gt;=SYear85,$A78&lt;=EYear85,AY$3&gt;0),IF($A78=SYear85,AY$56*(1+Data_85_15!AY29%),AY77*(1+Data_85_15!AY29%)),"")</f>
        <v/>
      </c>
      <c r="AZ78" s="206">
        <f t="shared" si="43"/>
        <v>9.02764172934382</v>
      </c>
      <c r="BA78" s="446">
        <f t="shared" si="44"/>
        <v>88978.242402468066</v>
      </c>
      <c r="BB78" s="206">
        <f>IF(AND($A78&gt;=SYear85,$A78&lt;=EYear85),(AZ78-Data_85_15!AZ29)/(1+Data_85_15!AZ29%),"")</f>
        <v>6.3262630938298514</v>
      </c>
      <c r="BC78" s="606">
        <f t="shared" si="45"/>
        <v>46429.181987016236</v>
      </c>
      <c r="BD78" s="143">
        <f t="shared" si="46"/>
        <v>7.4712485142743956</v>
      </c>
      <c r="BE78" s="143">
        <f>IF(AND($A78&gt;=SYear85,$A78&lt;=EYear85),MAX($BD$57:BD78),"")</f>
        <v>7.4712485142743956</v>
      </c>
      <c r="BF78" s="209">
        <f t="shared" si="47"/>
        <v>0</v>
      </c>
      <c r="BN78" s="61">
        <f t="shared" si="31"/>
        <v>9.0276417293438271E-2</v>
      </c>
      <c r="BO78" s="61">
        <f t="shared" si="32"/>
        <v>-1.1659450508717417E-2</v>
      </c>
      <c r="BP78" s="61">
        <f t="shared" si="33"/>
        <v>5.8018111914909909E-2</v>
      </c>
      <c r="BQ78" s="61">
        <f t="shared" si="34"/>
        <v>6.8251975661810071E-2</v>
      </c>
      <c r="BR78" s="61"/>
      <c r="BU78" s="61">
        <f t="shared" si="36"/>
        <v>6.3262630938298425E-2</v>
      </c>
      <c r="BV78" s="61">
        <f t="shared" si="37"/>
        <v>-3.3167014051631916E-2</v>
      </c>
      <c r="BW78" s="61">
        <f t="shared" si="38"/>
        <v>3.5471936113248503E-2</v>
      </c>
      <c r="BX78" s="61">
        <f t="shared" si="39"/>
        <v>4.8789930428699169E-2</v>
      </c>
      <c r="BY78" s="61"/>
    </row>
    <row r="79" spans="1:77">
      <c r="A79" s="204">
        <f t="shared" si="42"/>
        <v>2007</v>
      </c>
      <c r="B79" s="446" t="str">
        <f>IF(AND($A79&gt;=SYear85,$A79&lt;=EYear85,B$3&gt;0),IF($A79=SYear85,B$56*(1+Data_85_15!B30%),B78*(1+Data_85_15!B30%)),"")</f>
        <v/>
      </c>
      <c r="C79" s="446" t="str">
        <f>IF(AND($A79&gt;=SYear85,$A79&lt;=EYear85,C$3&gt;0),IF($A79=SYear85,C$56*(1+Data_85_15!C30%),C78*(1+Data_85_15!C30%)),"")</f>
        <v/>
      </c>
      <c r="D79" s="446" t="str">
        <f>IF(AND($A79&gt;=SYear85,$A79&lt;=EYear85,D$3&gt;0),IF($A79=SYear85,D$56*(1+Data_85_15!D30%),D78*(1+Data_85_15!D30%)),"")</f>
        <v/>
      </c>
      <c r="E79" s="446" t="str">
        <f>IF(AND($A79&gt;=SYear85,$A79&lt;=EYear85,E$3&gt;0),IF($A79=SYear85,E$56*(1+Data_85_15!E30%),E78*(1+Data_85_15!E30%)),"")</f>
        <v/>
      </c>
      <c r="F79" s="446">
        <f>IF(AND($A79&gt;=SYear85,$A79&lt;=EYear85,F$3&gt;0),IF($A79=SYear85,F$56*(1+Data_85_15!F30%),F78*(1+Data_85_15!F30%)),"")</f>
        <v>54261.459937657215</v>
      </c>
      <c r="G79" s="446" t="str">
        <f>IF(AND($A79&gt;=SYear85,$A79&lt;=EYear85,G$3&gt;0),IF($A79=SYear85,G$56*(1+Data_85_15!G30%),G78*(1+Data_85_15!G30%)),"")</f>
        <v/>
      </c>
      <c r="H79" s="446" t="str">
        <f>IF(AND($A79&gt;=SYear85,$A79&lt;=EYear85,H$3&gt;0),IF($A79=SYear85,H$56*(1+Data_85_15!H30%),H78*(1+Data_85_15!H30%)),"")</f>
        <v/>
      </c>
      <c r="I79" s="446" t="str">
        <f>IF(AND($A79&gt;=SYear85,$A79&lt;=EYear85,I$3&gt;0),IF($A79=SYear85,I$56*(1+Data_85_15!I30%),I78*(1+Data_85_15!I30%)),"")</f>
        <v/>
      </c>
      <c r="J79" s="446" t="str">
        <f>IF(AND($A79&gt;=SYear85,$A79&lt;=EYear85,J$3&gt;0),IF($A79=SYear85,J$56*(1+Data_85_15!J30%),J78*(1+Data_85_15!J30%)),"")</f>
        <v/>
      </c>
      <c r="K79" s="446" t="str">
        <f>IF(AND($A79&gt;=SYear85,$A79&lt;=EYear85,K$3&gt;0),IF($A79=SYear85,K$56*(1+Data_85_15!K30%),K78*(1+Data_85_15!K30%)),"")</f>
        <v/>
      </c>
      <c r="L79" s="446" t="str">
        <f>IF(AND($A79&gt;=SYear85,$A79&lt;=EYear85,L$3&gt;0),IF($A79=SYear85,L$56*(1+Data_85_15!L30%),L78*(1+Data_85_15!L30%)),"")</f>
        <v/>
      </c>
      <c r="M79" s="446" t="str">
        <f>IF(AND($A79&gt;=SYear85,$A79&lt;=EYear85,M$3&gt;0),IF($A79=SYear85,M$56*(1+Data_85_15!M30%),M78*(1+Data_85_15!M30%)),"")</f>
        <v/>
      </c>
      <c r="N79" s="446" t="str">
        <f>IF(AND($A79&gt;=SYear85,$A79&lt;=EYear85,N$3&gt;0),IF($A79=SYear85,N$56*(1+Data_85_15!N30%),N78*(1+Data_85_15!N30%)),"")</f>
        <v/>
      </c>
      <c r="O79" s="446" t="str">
        <f>IF(AND($A79&gt;=SYear85,$A79&lt;=EYear85,O$3&gt;0),IF($A79=SYear85,O$56*(1+Data_85_15!O30%),O78*(1+Data_85_15!O30%)),"")</f>
        <v/>
      </c>
      <c r="P79" s="446" t="str">
        <f>IF(AND($A79&gt;=SYear85,$A79&lt;=EYear85,P$3&gt;0),IF($A79=SYear85,P$56*(1+Data_85_15!P30%),P78*(1+Data_85_15!P30%)),"")</f>
        <v/>
      </c>
      <c r="Q79" s="446" t="str">
        <f>IF(AND($A79&gt;=SYear85,$A79&lt;=EYear85,Q$3&gt;0),IF($A79=SYear85,Q$56*(1+Data_85_15!Q30%),Q78*(1+Data_85_15!Q30%)),"")</f>
        <v/>
      </c>
      <c r="R79" s="446" t="str">
        <f>IF(AND($A79&gt;=SYear85,$A79&lt;=EYear85,R$3&gt;0),IF($A79=SYear85,R$56*(1+Data_85_15!R30%),R78*(1+Data_85_15!R30%)),"")</f>
        <v/>
      </c>
      <c r="S79" s="446">
        <f>IF(AND($A79&gt;=SYear85,$A79&lt;=EYear85,S$3&gt;0),IF($A79=SYear85,S$56*(1+Data_85_15!S30%),S78*(1+Data_85_15!S30%)),"")</f>
        <v>21048.864696644687</v>
      </c>
      <c r="T79" s="446" t="str">
        <f>IF(AND($A79&gt;=SYear85,$A79&lt;=EYear85,T$3&gt;0),IF($A79=SYear85,T$56*(1+Data_85_15!T30%),T78*(1+Data_85_15!T30%)),"")</f>
        <v/>
      </c>
      <c r="U79" s="446" t="str">
        <f>IF(AND($A79&gt;=SYear85,$A79&lt;=EYear85,U$3&gt;0),IF($A79=SYear85,U$56*(1+Data_85_15!U30%),U78*(1+Data_85_15!U30%)),"")</f>
        <v/>
      </c>
      <c r="V79" s="446" t="str">
        <f>IF(AND($A79&gt;=SYear85,$A79&lt;=EYear85,V$3&gt;0),IF($A79=SYear85,V$56*(1+Data_85_15!V30%),V78*(1+Data_85_15!V30%)),"")</f>
        <v/>
      </c>
      <c r="W79" s="446">
        <f>IF(AND($A79&gt;=SYear85,$A79&lt;=EYear85,W$3&gt;0),IF($A79=SYear85,W$56*(1+Data_85_15!W30%),W78*(1+Data_85_15!W30%)),"")</f>
        <v>15440.763475947004</v>
      </c>
      <c r="X79" s="446" t="str">
        <f>IF(AND($A79&gt;=SYear85,$A79&lt;=EYear85,X$3&gt;0),IF($A79=SYear85,X$56*(1+Data_85_15!X30%),X78*(1+Data_85_15!X30%)),"")</f>
        <v/>
      </c>
      <c r="Y79" s="446" t="str">
        <f>IF(AND($A79&gt;=SYear85,$A79&lt;=EYear85,Y$3&gt;0),IF($A79=SYear85,Y$56*(1+Data_85_15!Y30%),Y78*(1+Data_85_15!Y30%)),"")</f>
        <v/>
      </c>
      <c r="Z79" s="446" t="str">
        <f>IF(AND($A79&gt;=SYear85,$A79&lt;=EYear85,Z$3&gt;0),IF($A79=SYear85,Z$56*(1+Data_85_15!Z30%),Z78*(1+Data_85_15!Z30%)),"")</f>
        <v/>
      </c>
      <c r="AA79" s="446" t="str">
        <f>IF(AND($A79&gt;=SYear85,$A79&lt;=EYear85,AA$3&gt;0),IF($A79=SYear85,AA$56*(1+Data_85_15!AA30%),AA78*(1+Data_85_15!AA30%)),"")</f>
        <v/>
      </c>
      <c r="AB79" s="446" t="str">
        <f>IF(AND($A79&gt;=SYear85,$A79&lt;=EYear85,AB$3&gt;0),IF($A79=SYear85,AB$56*(1+Data_85_15!AB30%),AB78*(1+Data_85_15!AB30%)),"")</f>
        <v/>
      </c>
      <c r="AC79" s="446" t="str">
        <f>IF(AND($A79&gt;=SYear85,$A79&lt;=EYear85,AC$3&gt;0),IF($A79=SYear85,AC$56*(1+Data_85_15!AC30%),AC78*(1+Data_85_15!AC30%)),"")</f>
        <v/>
      </c>
      <c r="AD79" s="446" t="str">
        <f>IF(AND($A79&gt;=SYear85,$A79&lt;=EYear85,AD$3&gt;0),IF($A79=SYear85,AD$56*(1+Data_85_15!AD30%),AD78*(1+Data_85_15!AD30%)),"")</f>
        <v/>
      </c>
      <c r="AE79" s="446" t="str">
        <f>IF(AND($A79&gt;=SYear85,$A79&lt;=EYear85,AE$3&gt;0),IF($A79=SYear85,AE$56*(1+Data_85_15!AE30%),AE78*(1+Data_85_15!AE30%)),"")</f>
        <v/>
      </c>
      <c r="AF79" s="446" t="str">
        <f>IF(AND($A79&gt;=SYear85,$A79&lt;=EYear85,AF$3&gt;0),IF($A79=SYear85,AF$56*(1+Data_85_15!AF30%),AF78*(1+Data_85_15!AF30%)),"")</f>
        <v/>
      </c>
      <c r="AG79" s="446" t="str">
        <f>IF(AND($A79&gt;=SYear85,$A79&lt;=EYear85,AG$3&gt;0),IF($A79=SYear85,AG$56*(1+Data_85_15!AG30%),AG78*(1+Data_85_15!AG30%)),"")</f>
        <v/>
      </c>
      <c r="AH79" s="446" t="str">
        <f>IF(AND($A79&gt;=SYear85,$A79&lt;=EYear85,AH$3&gt;0),IF($A79=SYear85,AH$56*(1+Data_85_15!AH30%),AH78*(1+Data_85_15!AH30%)),"")</f>
        <v/>
      </c>
      <c r="AI79" s="446" t="str">
        <f>IF(AND($A79&gt;=SYear85,$A79&lt;=EYear85,AI$3&gt;0),IF($A79=SYear85,AI$56*(1+Data_85_15!AI30%),AI78*(1+Data_85_15!AI30%)),"")</f>
        <v/>
      </c>
      <c r="AJ79" s="446" t="str">
        <f>IF(AND($A79&gt;=SYear85,$A79&lt;=EYear85,AJ$3&gt;0),IF($A79=SYear85,AJ$56*(1+Data_85_15!AJ30%),AJ78*(1+Data_85_15!AJ30%)),"")</f>
        <v/>
      </c>
      <c r="AK79" s="446" t="str">
        <f>IF(AND($A79&gt;=SYear85,$A79&lt;=EYear85,AK$3&gt;0),IF($A79=SYear85,AK$56*(1+Data_85_15!AK30%),AK78*(1+Data_85_15!AK30%)),"")</f>
        <v/>
      </c>
      <c r="AL79" s="446" t="str">
        <f>IF(AND($A79&gt;=SYear85,$A79&lt;=EYear85,AL$3&gt;0),IF($A79=SYear85,AL$56*(1+Data_85_15!AL30%),AL78*(1+Data_85_15!AL30%)),"")</f>
        <v/>
      </c>
      <c r="AM79" s="446" t="str">
        <f>IF(AND($A79&gt;=SYear85,$A79&lt;=EYear85,AM$3&gt;0),IF($A79=SYear85,AM$56*(1+Data_85_15!AM30%),AM78*(1+Data_85_15!AM30%)),"")</f>
        <v/>
      </c>
      <c r="AN79" s="446" t="str">
        <f>IF(AND($A79&gt;=SYear85,$A79&lt;=EYear85,AN$3&gt;0),IF($A79=SYear85,AN$56*(1+Data_85_15!AN30%),AN78*(1+Data_85_15!AN30%)),"")</f>
        <v/>
      </c>
      <c r="AO79" s="446">
        <f>IF(AND($A79&gt;=SYear85,$A79&lt;=EYear85,AO$3&gt;0),IF($A79=SYear85,AO$56*(1+Data_85_15!AO30%),AO78*(1+Data_85_15!AO30%)),"")</f>
        <v>6126.3112882003388</v>
      </c>
      <c r="AP79" s="206" t="str">
        <f>IF(AND($A79&gt;=SYear85,$A79&lt;=EYear85,AP$3&gt;0),IF($A79=SYear85,AP$56*(1+Data_85_15!AP30%),AP78*(1+Data_85_15!AP30%)),"")</f>
        <v/>
      </c>
      <c r="AQ79" s="206" t="str">
        <f>IF(AND($A79&gt;=SYear85,$A79&lt;=EYear85,AQ$3&gt;0),IF($A79=SYear85,AQ$56*(1+Data_85_15!AQ30%),AQ78*(1+Data_85_15!AQ30%)),"")</f>
        <v/>
      </c>
      <c r="AR79" s="206" t="str">
        <f>IF(AND($A79&gt;=SYear85,$A79&lt;=EYear85,AR$3&gt;0),IF($A79=SYear85,AR$56*(1+Data_85_15!AR30%),AR78*(1+Data_85_15!AR30%)),"")</f>
        <v/>
      </c>
      <c r="AS79" s="206" t="str">
        <f>IF(AND($A79&gt;=SYear85,$A79&lt;=EYear85,AS$3&gt;0),IF($A79=SYear85,AS$56*(1+Data_85_15!AS30%),AS78*(1+Data_85_15!AS30%)),"")</f>
        <v/>
      </c>
      <c r="AT79" s="206" t="str">
        <f>IF(AND($A79&gt;=SYear85,$A79&lt;=EYear85,AT$3&gt;0),IF($A79=SYear85,AT$56*(1+Data_85_15!AT30%),AT78*(1+Data_85_15!AT30%)),"")</f>
        <v/>
      </c>
      <c r="AU79" s="206" t="str">
        <f>IF(AND($A79&gt;=SYear85,$A79&lt;=EYear85,AU$3&gt;0),IF($A79=SYear85,AU$56*(1+Data_85_15!AU30%),AU78*(1+Data_85_15!AU30%)),"")</f>
        <v/>
      </c>
      <c r="AV79" s="206" t="str">
        <f>IF(AND($A79&gt;=SYear85,$A79&lt;=EYear85,AV$3&gt;0),IF($A79=SYear85,AV$56*(1+Data_85_15!AV30%),AV78*(1+Data_85_15!AV30%)),"")</f>
        <v/>
      </c>
      <c r="AW79" s="206" t="str">
        <f>IF(AND($A79&gt;=SYear85,$A79&lt;=EYear85,AW$3&gt;0),IF($A79=SYear85,AW$56*(1+Data_85_15!AW30%),AW78*(1+Data_85_15!AW30%)),"")</f>
        <v/>
      </c>
      <c r="AX79" s="206" t="str">
        <f>IF(AND($A79&gt;=SYear85,$A79&lt;=EYear85,AX$3&gt;0),IF($A79=SYear85,AX$56*(1+Data_85_15!AX30%),AX78*(1+Data_85_15!AX30%)),"")</f>
        <v/>
      </c>
      <c r="AY79" s="206" t="str">
        <f>IF(AND($A79&gt;=SYear85,$A79&lt;=EYear85,AY$3&gt;0),IF($A79=SYear85,AY$56*(1+Data_85_15!AY30%),AY78*(1+Data_85_15!AY30%)),"")</f>
        <v/>
      </c>
      <c r="AZ79" s="206">
        <f t="shared" si="43"/>
        <v>8.8776275892836356</v>
      </c>
      <c r="BA79" s="446">
        <f t="shared" si="44"/>
        <v>96877.399398449241</v>
      </c>
      <c r="BB79" s="206">
        <f>IF(AND($A79&gt;=SYear85,$A79&lt;=EYear85),(AZ79-Data_85_15!AZ30)/(1+Data_85_15!AZ30%),"")</f>
        <v>4.6082826159203174</v>
      </c>
      <c r="BC79" s="606">
        <f t="shared" si="45"/>
        <v>48568.769909237919</v>
      </c>
      <c r="BD79" s="143">
        <f t="shared" si="46"/>
        <v>8.1345181336415635</v>
      </c>
      <c r="BE79" s="143">
        <f>IF(AND($A79&gt;=SYear85,$A79&lt;=EYear85),MAX($BD$57:BD79),"")</f>
        <v>8.1345181336415635</v>
      </c>
      <c r="BF79" s="209">
        <f t="shared" si="47"/>
        <v>0</v>
      </c>
      <c r="BN79" s="61">
        <f t="shared" si="31"/>
        <v>8.877627589283632E-2</v>
      </c>
      <c r="BO79" s="61">
        <f t="shared" si="32"/>
        <v>9.5119350210579601E-3</v>
      </c>
      <c r="BP79" s="61">
        <f t="shared" si="33"/>
        <v>5.733105055633736E-2</v>
      </c>
      <c r="BQ79" s="61"/>
      <c r="BR79" s="61"/>
      <c r="BU79" s="61">
        <f t="shared" si="36"/>
        <v>4.6082826159203227E-2</v>
      </c>
      <c r="BV79" s="61">
        <f t="shared" si="37"/>
        <v>-1.3035695167005867E-2</v>
      </c>
      <c r="BW79" s="61">
        <f t="shared" si="38"/>
        <v>3.3950346523453856E-2</v>
      </c>
      <c r="BX79" s="61"/>
      <c r="BY79" s="61"/>
    </row>
    <row r="80" spans="1:77">
      <c r="A80" s="204">
        <f t="shared" si="42"/>
        <v>2008</v>
      </c>
      <c r="B80" s="446" t="str">
        <f>IF(AND($A80&gt;=SYear85,$A80&lt;=EYear85,B$3&gt;0),IF($A80=SYear85,B$56*(1+Data_85_15!B31%),B79*(1+Data_85_15!B31%)),"")</f>
        <v/>
      </c>
      <c r="C80" s="446" t="str">
        <f>IF(AND($A80&gt;=SYear85,$A80&lt;=EYear85,C$3&gt;0),IF($A80=SYear85,C$56*(1+Data_85_15!C31%),C79*(1+Data_85_15!C31%)),"")</f>
        <v/>
      </c>
      <c r="D80" s="446" t="str">
        <f>IF(AND($A80&gt;=SYear85,$A80&lt;=EYear85,D$3&gt;0),IF($A80=SYear85,D$56*(1+Data_85_15!D31%),D79*(1+Data_85_15!D31%)),"")</f>
        <v/>
      </c>
      <c r="E80" s="446" t="str">
        <f>IF(AND($A80&gt;=SYear85,$A80&lt;=EYear85,E$3&gt;0),IF($A80=SYear85,E$56*(1+Data_85_15!E31%),E79*(1+Data_85_15!E31%)),"")</f>
        <v/>
      </c>
      <c r="F80" s="446">
        <f>IF(AND($A80&gt;=SYear85,$A80&lt;=EYear85,F$3&gt;0),IF($A80=SYear85,F$56*(1+Data_85_15!F31%),F79*(1+Data_85_15!F31%)),"")</f>
        <v>31569.317391728968</v>
      </c>
      <c r="G80" s="446" t="str">
        <f>IF(AND($A80&gt;=SYear85,$A80&lt;=EYear85,G$3&gt;0),IF($A80=SYear85,G$56*(1+Data_85_15!G31%),G79*(1+Data_85_15!G31%)),"")</f>
        <v/>
      </c>
      <c r="H80" s="446" t="str">
        <f>IF(AND($A80&gt;=SYear85,$A80&lt;=EYear85,H$3&gt;0),IF($A80=SYear85,H$56*(1+Data_85_15!H31%),H79*(1+Data_85_15!H31%)),"")</f>
        <v/>
      </c>
      <c r="I80" s="446" t="str">
        <f>IF(AND($A80&gt;=SYear85,$A80&lt;=EYear85,I$3&gt;0),IF($A80=SYear85,I$56*(1+Data_85_15!I31%),I79*(1+Data_85_15!I31%)),"")</f>
        <v/>
      </c>
      <c r="J80" s="446" t="str">
        <f>IF(AND($A80&gt;=SYear85,$A80&lt;=EYear85,J$3&gt;0),IF($A80=SYear85,J$56*(1+Data_85_15!J31%),J79*(1+Data_85_15!J31%)),"")</f>
        <v/>
      </c>
      <c r="K80" s="446" t="str">
        <f>IF(AND($A80&gt;=SYear85,$A80&lt;=EYear85,K$3&gt;0),IF($A80=SYear85,K$56*(1+Data_85_15!K31%),K79*(1+Data_85_15!K31%)),"")</f>
        <v/>
      </c>
      <c r="L80" s="446" t="str">
        <f>IF(AND($A80&gt;=SYear85,$A80&lt;=EYear85,L$3&gt;0),IF($A80=SYear85,L$56*(1+Data_85_15!L31%),L79*(1+Data_85_15!L31%)),"")</f>
        <v/>
      </c>
      <c r="M80" s="446" t="str">
        <f>IF(AND($A80&gt;=SYear85,$A80&lt;=EYear85,M$3&gt;0),IF($A80=SYear85,M$56*(1+Data_85_15!M31%),M79*(1+Data_85_15!M31%)),"")</f>
        <v/>
      </c>
      <c r="N80" s="446" t="str">
        <f>IF(AND($A80&gt;=SYear85,$A80&lt;=EYear85,N$3&gt;0),IF($A80=SYear85,N$56*(1+Data_85_15!N31%),N79*(1+Data_85_15!N31%)),"")</f>
        <v/>
      </c>
      <c r="O80" s="446" t="str">
        <f>IF(AND($A80&gt;=SYear85,$A80&lt;=EYear85,O$3&gt;0),IF($A80=SYear85,O$56*(1+Data_85_15!O31%),O79*(1+Data_85_15!O31%)),"")</f>
        <v/>
      </c>
      <c r="P80" s="446" t="str">
        <f>IF(AND($A80&gt;=SYear85,$A80&lt;=EYear85,P$3&gt;0),IF($A80=SYear85,P$56*(1+Data_85_15!P31%),P79*(1+Data_85_15!P31%)),"")</f>
        <v/>
      </c>
      <c r="Q80" s="446" t="str">
        <f>IF(AND($A80&gt;=SYear85,$A80&lt;=EYear85,Q$3&gt;0),IF($A80=SYear85,Q$56*(1+Data_85_15!Q31%),Q79*(1+Data_85_15!Q31%)),"")</f>
        <v/>
      </c>
      <c r="R80" s="446" t="str">
        <f>IF(AND($A80&gt;=SYear85,$A80&lt;=EYear85,R$3&gt;0),IF($A80=SYear85,R$56*(1+Data_85_15!R31%),R79*(1+Data_85_15!R31%)),"")</f>
        <v/>
      </c>
      <c r="S80" s="446">
        <f>IF(AND($A80&gt;=SYear85,$A80&lt;=EYear85,S$3&gt;0),IF($A80=SYear85,S$56*(1+Data_85_15!S31%),S79*(1+Data_85_15!S31%)),"")</f>
        <v>25789.069026329071</v>
      </c>
      <c r="T80" s="446" t="str">
        <f>IF(AND($A80&gt;=SYear85,$A80&lt;=EYear85,T$3&gt;0),IF($A80=SYear85,T$56*(1+Data_85_15!T31%),T79*(1+Data_85_15!T31%)),"")</f>
        <v/>
      </c>
      <c r="U80" s="446" t="str">
        <f>IF(AND($A80&gt;=SYear85,$A80&lt;=EYear85,U$3&gt;0),IF($A80=SYear85,U$56*(1+Data_85_15!U31%),U79*(1+Data_85_15!U31%)),"")</f>
        <v/>
      </c>
      <c r="V80" s="446" t="str">
        <f>IF(AND($A80&gt;=SYear85,$A80&lt;=EYear85,V$3&gt;0),IF($A80=SYear85,V$56*(1+Data_85_15!V31%),V79*(1+Data_85_15!V31%)),"")</f>
        <v/>
      </c>
      <c r="W80" s="446">
        <f>IF(AND($A80&gt;=SYear85,$A80&lt;=EYear85,W$3&gt;0),IF($A80=SYear85,W$56*(1+Data_85_15!W31%),W79*(1+Data_85_15!W31%)),"")</f>
        <v>15000.701716882515</v>
      </c>
      <c r="X80" s="446" t="str">
        <f>IF(AND($A80&gt;=SYear85,$A80&lt;=EYear85,X$3&gt;0),IF($A80=SYear85,X$56*(1+Data_85_15!X31%),X79*(1+Data_85_15!X31%)),"")</f>
        <v/>
      </c>
      <c r="Y80" s="446" t="str">
        <f>IF(AND($A80&gt;=SYear85,$A80&lt;=EYear85,Y$3&gt;0),IF($A80=SYear85,Y$56*(1+Data_85_15!Y31%),Y79*(1+Data_85_15!Y31%)),"")</f>
        <v/>
      </c>
      <c r="Z80" s="446" t="str">
        <f>IF(AND($A80&gt;=SYear85,$A80&lt;=EYear85,Z$3&gt;0),IF($A80=SYear85,Z$56*(1+Data_85_15!Z31%),Z79*(1+Data_85_15!Z31%)),"")</f>
        <v/>
      </c>
      <c r="AA80" s="446" t="str">
        <f>IF(AND($A80&gt;=SYear85,$A80&lt;=EYear85,AA$3&gt;0),IF($A80=SYear85,AA$56*(1+Data_85_15!AA31%),AA79*(1+Data_85_15!AA31%)),"")</f>
        <v/>
      </c>
      <c r="AB80" s="446" t="str">
        <f>IF(AND($A80&gt;=SYear85,$A80&lt;=EYear85,AB$3&gt;0),IF($A80=SYear85,AB$56*(1+Data_85_15!AB31%),AB79*(1+Data_85_15!AB31%)),"")</f>
        <v/>
      </c>
      <c r="AC80" s="446" t="str">
        <f>IF(AND($A80&gt;=SYear85,$A80&lt;=EYear85,AC$3&gt;0),IF($A80=SYear85,AC$56*(1+Data_85_15!AC31%),AC79*(1+Data_85_15!AC31%)),"")</f>
        <v/>
      </c>
      <c r="AD80" s="446" t="str">
        <f>IF(AND($A80&gt;=SYear85,$A80&lt;=EYear85,AD$3&gt;0),IF($A80=SYear85,AD$56*(1+Data_85_15!AD31%),AD79*(1+Data_85_15!AD31%)),"")</f>
        <v/>
      </c>
      <c r="AE80" s="446" t="str">
        <f>IF(AND($A80&gt;=SYear85,$A80&lt;=EYear85,AE$3&gt;0),IF($A80=SYear85,AE$56*(1+Data_85_15!AE31%),AE79*(1+Data_85_15!AE31%)),"")</f>
        <v/>
      </c>
      <c r="AF80" s="446" t="str">
        <f>IF(AND($A80&gt;=SYear85,$A80&lt;=EYear85,AF$3&gt;0),IF($A80=SYear85,AF$56*(1+Data_85_15!AF31%),AF79*(1+Data_85_15!AF31%)),"")</f>
        <v/>
      </c>
      <c r="AG80" s="446" t="str">
        <f>IF(AND($A80&gt;=SYear85,$A80&lt;=EYear85,AG$3&gt;0),IF($A80=SYear85,AG$56*(1+Data_85_15!AG31%),AG79*(1+Data_85_15!AG31%)),"")</f>
        <v/>
      </c>
      <c r="AH80" s="446" t="str">
        <f>IF(AND($A80&gt;=SYear85,$A80&lt;=EYear85,AH$3&gt;0),IF($A80=SYear85,AH$56*(1+Data_85_15!AH31%),AH79*(1+Data_85_15!AH31%)),"")</f>
        <v/>
      </c>
      <c r="AI80" s="446" t="str">
        <f>IF(AND($A80&gt;=SYear85,$A80&lt;=EYear85,AI$3&gt;0),IF($A80=SYear85,AI$56*(1+Data_85_15!AI31%),AI79*(1+Data_85_15!AI31%)),"")</f>
        <v/>
      </c>
      <c r="AJ80" s="446" t="str">
        <f>IF(AND($A80&gt;=SYear85,$A80&lt;=EYear85,AJ$3&gt;0),IF($A80=SYear85,AJ$56*(1+Data_85_15!AJ31%),AJ79*(1+Data_85_15!AJ31%)),"")</f>
        <v/>
      </c>
      <c r="AK80" s="446" t="str">
        <f>IF(AND($A80&gt;=SYear85,$A80&lt;=EYear85,AK$3&gt;0),IF($A80=SYear85,AK$56*(1+Data_85_15!AK31%),AK79*(1+Data_85_15!AK31%)),"")</f>
        <v/>
      </c>
      <c r="AL80" s="446" t="str">
        <f>IF(AND($A80&gt;=SYear85,$A80&lt;=EYear85,AL$3&gt;0),IF($A80=SYear85,AL$56*(1+Data_85_15!AL31%),AL79*(1+Data_85_15!AL31%)),"")</f>
        <v/>
      </c>
      <c r="AM80" s="446" t="str">
        <f>IF(AND($A80&gt;=SYear85,$A80&lt;=EYear85,AM$3&gt;0),IF($A80=SYear85,AM$56*(1+Data_85_15!AM31%),AM79*(1+Data_85_15!AM31%)),"")</f>
        <v/>
      </c>
      <c r="AN80" s="446" t="str">
        <f>IF(AND($A80&gt;=SYear85,$A80&lt;=EYear85,AN$3&gt;0),IF($A80=SYear85,AN$56*(1+Data_85_15!AN31%),AN79*(1+Data_85_15!AN31%)),"")</f>
        <v/>
      </c>
      <c r="AO80" s="446">
        <f>IF(AND($A80&gt;=SYear85,$A80&lt;=EYear85,AO$3&gt;0),IF($A80=SYear85,AO$56*(1+Data_85_15!AO31%),AO79*(1+Data_85_15!AO31%)),"")</f>
        <v>6430.1763280950763</v>
      </c>
      <c r="AP80" s="206" t="str">
        <f>IF(AND($A80&gt;=SYear85,$A80&lt;=EYear85,AP$3&gt;0),IF($A80=SYear85,AP$56*(1+Data_85_15!AP31%),AP79*(1+Data_85_15!AP31%)),"")</f>
        <v/>
      </c>
      <c r="AQ80" s="206" t="str">
        <f>IF(AND($A80&gt;=SYear85,$A80&lt;=EYear85,AQ$3&gt;0),IF($A80=SYear85,AQ$56*(1+Data_85_15!AQ31%),AQ79*(1+Data_85_15!AQ31%)),"")</f>
        <v/>
      </c>
      <c r="AR80" s="206" t="str">
        <f>IF(AND($A80&gt;=SYear85,$A80&lt;=EYear85,AR$3&gt;0),IF($A80=SYear85,AR$56*(1+Data_85_15!AR31%),AR79*(1+Data_85_15!AR31%)),"")</f>
        <v/>
      </c>
      <c r="AS80" s="206" t="str">
        <f>IF(AND($A80&gt;=SYear85,$A80&lt;=EYear85,AS$3&gt;0),IF($A80=SYear85,AS$56*(1+Data_85_15!AS31%),AS79*(1+Data_85_15!AS31%)),"")</f>
        <v/>
      </c>
      <c r="AT80" s="206" t="str">
        <f>IF(AND($A80&gt;=SYear85,$A80&lt;=EYear85,AT$3&gt;0),IF($A80=SYear85,AT$56*(1+Data_85_15!AT31%),AT79*(1+Data_85_15!AT31%)),"")</f>
        <v/>
      </c>
      <c r="AU80" s="206" t="str">
        <f>IF(AND($A80&gt;=SYear85,$A80&lt;=EYear85,AU$3&gt;0),IF($A80=SYear85,AU$56*(1+Data_85_15!AU31%),AU79*(1+Data_85_15!AU31%)),"")</f>
        <v/>
      </c>
      <c r="AV80" s="206" t="str">
        <f>IF(AND($A80&gt;=SYear85,$A80&lt;=EYear85,AV$3&gt;0),IF($A80=SYear85,AV$56*(1+Data_85_15!AV31%),AV79*(1+Data_85_15!AV31%)),"")</f>
        <v/>
      </c>
      <c r="AW80" s="206" t="str">
        <f>IF(AND($A80&gt;=SYear85,$A80&lt;=EYear85,AW$3&gt;0),IF($A80=SYear85,AW$56*(1+Data_85_15!AW31%),AW79*(1+Data_85_15!AW31%)),"")</f>
        <v/>
      </c>
      <c r="AX80" s="206" t="str">
        <f>IF(AND($A80&gt;=SYear85,$A80&lt;=EYear85,AX$3&gt;0),IF($A80=SYear85,AX$56*(1+Data_85_15!AX31%),AX79*(1+Data_85_15!AX31%)),"")</f>
        <v/>
      </c>
      <c r="AY80" s="206" t="str">
        <f>IF(AND($A80&gt;=SYear85,$A80&lt;=EYear85,AY$3&gt;0),IF($A80=SYear85,AY$56*(1+Data_85_15!AY31%),AY79*(1+Data_85_15!AY31%)),"")</f>
        <v/>
      </c>
      <c r="AZ80" s="206">
        <f t="shared" si="43"/>
        <v>-18.671160712127005</v>
      </c>
      <c r="BA80" s="446">
        <f t="shared" si="44"/>
        <v>78789.264463035623</v>
      </c>
      <c r="BB80" s="206">
        <f>IF(AND($A80&gt;=SYear85,$A80&lt;=EYear85),(AZ80-Data_85_15!AZ31)/(1+Data_85_15!AZ31%),"")</f>
        <v>-18.745437864282149</v>
      </c>
      <c r="BC80" s="606">
        <f t="shared" si="45"/>
        <v>39464.341324455556</v>
      </c>
      <c r="BD80" s="143">
        <f t="shared" si="46"/>
        <v>6.6157091797522334</v>
      </c>
      <c r="BE80" s="143">
        <f>IF(AND($A80&gt;=SYear85,$A80&lt;=EYear85),MAX($BD$57:BD80),"")</f>
        <v>8.1345181336415635</v>
      </c>
      <c r="BF80" s="209">
        <f t="shared" si="47"/>
        <v>0.18671160712127</v>
      </c>
      <c r="BN80" s="61">
        <f t="shared" si="31"/>
        <v>-0.18671160712127</v>
      </c>
      <c r="BO80" s="61">
        <f t="shared" si="32"/>
        <v>3.752064690790613E-2</v>
      </c>
      <c r="BP80" s="61">
        <f t="shared" si="33"/>
        <v>5.9567580691179289E-2</v>
      </c>
      <c r="BQ80" s="61"/>
      <c r="BR80" s="61"/>
      <c r="BU80" s="61">
        <f t="shared" si="36"/>
        <v>-0.18745437864282155</v>
      </c>
      <c r="BV80" s="61">
        <f t="shared" si="37"/>
        <v>2.2888620732441023E-2</v>
      </c>
      <c r="BW80" s="61">
        <f t="shared" si="38"/>
        <v>4.0860804150905095E-2</v>
      </c>
      <c r="BX80" s="61"/>
      <c r="BY80" s="61"/>
    </row>
    <row r="81" spans="1:77">
      <c r="A81" s="204">
        <f t="shared" si="42"/>
        <v>2009</v>
      </c>
      <c r="B81" s="446" t="str">
        <f>IF(AND($A81&gt;=SYear85,$A81&lt;=EYear85,B$3&gt;0),IF($A81=SYear85,B$56*(1+Data_85_15!B32%),B80*(1+Data_85_15!B32%)),"")</f>
        <v/>
      </c>
      <c r="C81" s="446" t="str">
        <f>IF(AND($A81&gt;=SYear85,$A81&lt;=EYear85,C$3&gt;0),IF($A81=SYear85,C$56*(1+Data_85_15!C32%),C80*(1+Data_85_15!C32%)),"")</f>
        <v/>
      </c>
      <c r="D81" s="446" t="str">
        <f>IF(AND($A81&gt;=SYear85,$A81&lt;=EYear85,D$3&gt;0),IF($A81=SYear85,D$56*(1+Data_85_15!D32%),D80*(1+Data_85_15!D32%)),"")</f>
        <v/>
      </c>
      <c r="E81" s="446" t="str">
        <f>IF(AND($A81&gt;=SYear85,$A81&lt;=EYear85,E$3&gt;0),IF($A81=SYear85,E$56*(1+Data_85_15!E32%),E80*(1+Data_85_15!E32%)),"")</f>
        <v/>
      </c>
      <c r="F81" s="446">
        <f>IF(AND($A81&gt;=SYear85,$A81&lt;=EYear85,F$3&gt;0),IF($A81=SYear85,F$56*(1+Data_85_15!F32%),F80*(1+Data_85_15!F32%)),"")</f>
        <v>44266.496846682363</v>
      </c>
      <c r="G81" s="446" t="str">
        <f>IF(AND($A81&gt;=SYear85,$A81&lt;=EYear85,G$3&gt;0),IF($A81=SYear85,G$56*(1+Data_85_15!G32%),G80*(1+Data_85_15!G32%)),"")</f>
        <v/>
      </c>
      <c r="H81" s="446" t="str">
        <f>IF(AND($A81&gt;=SYear85,$A81&lt;=EYear85,H$3&gt;0),IF($A81=SYear85,H$56*(1+Data_85_15!H32%),H80*(1+Data_85_15!H32%)),"")</f>
        <v/>
      </c>
      <c r="I81" s="446" t="str">
        <f>IF(AND($A81&gt;=SYear85,$A81&lt;=EYear85,I$3&gt;0),IF($A81=SYear85,I$56*(1+Data_85_15!I32%),I80*(1+Data_85_15!I32%)),"")</f>
        <v/>
      </c>
      <c r="J81" s="446" t="str">
        <f>IF(AND($A81&gt;=SYear85,$A81&lt;=EYear85,J$3&gt;0),IF($A81=SYear85,J$56*(1+Data_85_15!J32%),J80*(1+Data_85_15!J32%)),"")</f>
        <v/>
      </c>
      <c r="K81" s="446" t="str">
        <f>IF(AND($A81&gt;=SYear85,$A81&lt;=EYear85,K$3&gt;0),IF($A81=SYear85,K$56*(1+Data_85_15!K32%),K80*(1+Data_85_15!K32%)),"")</f>
        <v/>
      </c>
      <c r="L81" s="446" t="str">
        <f>IF(AND($A81&gt;=SYear85,$A81&lt;=EYear85,L$3&gt;0),IF($A81=SYear85,L$56*(1+Data_85_15!L32%),L80*(1+Data_85_15!L32%)),"")</f>
        <v/>
      </c>
      <c r="M81" s="446" t="str">
        <f>IF(AND($A81&gt;=SYear85,$A81&lt;=EYear85,M$3&gt;0),IF($A81=SYear85,M$56*(1+Data_85_15!M32%),M80*(1+Data_85_15!M32%)),"")</f>
        <v/>
      </c>
      <c r="N81" s="446" t="str">
        <f>IF(AND($A81&gt;=SYear85,$A81&lt;=EYear85,N$3&gt;0),IF($A81=SYear85,N$56*(1+Data_85_15!N32%),N80*(1+Data_85_15!N32%)),"")</f>
        <v/>
      </c>
      <c r="O81" s="446" t="str">
        <f>IF(AND($A81&gt;=SYear85,$A81&lt;=EYear85,O$3&gt;0),IF($A81=SYear85,O$56*(1+Data_85_15!O32%),O80*(1+Data_85_15!O32%)),"")</f>
        <v/>
      </c>
      <c r="P81" s="446" t="str">
        <f>IF(AND($A81&gt;=SYear85,$A81&lt;=EYear85,P$3&gt;0),IF($A81=SYear85,P$56*(1+Data_85_15!P32%),P80*(1+Data_85_15!P32%)),"")</f>
        <v/>
      </c>
      <c r="Q81" s="446" t="str">
        <f>IF(AND($A81&gt;=SYear85,$A81&lt;=EYear85,Q$3&gt;0),IF($A81=SYear85,Q$56*(1+Data_85_15!Q32%),Q80*(1+Data_85_15!Q32%)),"")</f>
        <v/>
      </c>
      <c r="R81" s="446" t="str">
        <f>IF(AND($A81&gt;=SYear85,$A81&lt;=EYear85,R$3&gt;0),IF($A81=SYear85,R$56*(1+Data_85_15!R32%),R80*(1+Data_85_15!R32%)),"")</f>
        <v/>
      </c>
      <c r="S81" s="446">
        <f>IF(AND($A81&gt;=SYear85,$A81&lt;=EYear85,S$3&gt;0),IF($A81=SYear85,S$56*(1+Data_85_15!S32%),S80*(1+Data_85_15!S32%)),"")</f>
        <v>22681.486208656417</v>
      </c>
      <c r="T81" s="446" t="str">
        <f>IF(AND($A81&gt;=SYear85,$A81&lt;=EYear85,T$3&gt;0),IF($A81=SYear85,T$56*(1+Data_85_15!T32%),T80*(1+Data_85_15!T32%)),"")</f>
        <v/>
      </c>
      <c r="U81" s="446" t="str">
        <f>IF(AND($A81&gt;=SYear85,$A81&lt;=EYear85,U$3&gt;0),IF($A81=SYear85,U$56*(1+Data_85_15!U32%),U80*(1+Data_85_15!U32%)),"")</f>
        <v/>
      </c>
      <c r="V81" s="446" t="str">
        <f>IF(AND($A81&gt;=SYear85,$A81&lt;=EYear85,V$3&gt;0),IF($A81=SYear85,V$56*(1+Data_85_15!V32%),V80*(1+Data_85_15!V32%)),"")</f>
        <v/>
      </c>
      <c r="W81" s="446">
        <f>IF(AND($A81&gt;=SYear85,$A81&lt;=EYear85,W$3&gt;0),IF($A81=SYear85,W$56*(1+Data_85_15!W32%),W80*(1+Data_85_15!W32%)),"")</f>
        <v>16620.777502305828</v>
      </c>
      <c r="X81" s="446" t="str">
        <f>IF(AND($A81&gt;=SYear85,$A81&lt;=EYear85,X$3&gt;0),IF($A81=SYear85,X$56*(1+Data_85_15!X32%),X80*(1+Data_85_15!X32%)),"")</f>
        <v/>
      </c>
      <c r="Y81" s="446" t="str">
        <f>IF(AND($A81&gt;=SYear85,$A81&lt;=EYear85,Y$3&gt;0),IF($A81=SYear85,Y$56*(1+Data_85_15!Y32%),Y80*(1+Data_85_15!Y32%)),"")</f>
        <v/>
      </c>
      <c r="Z81" s="446" t="str">
        <f>IF(AND($A81&gt;=SYear85,$A81&lt;=EYear85,Z$3&gt;0),IF($A81=SYear85,Z$56*(1+Data_85_15!Z32%),Z80*(1+Data_85_15!Z32%)),"")</f>
        <v/>
      </c>
      <c r="AA81" s="446" t="str">
        <f>IF(AND($A81&gt;=SYear85,$A81&lt;=EYear85,AA$3&gt;0),IF($A81=SYear85,AA$56*(1+Data_85_15!AA32%),AA80*(1+Data_85_15!AA32%)),"")</f>
        <v/>
      </c>
      <c r="AB81" s="446" t="str">
        <f>IF(AND($A81&gt;=SYear85,$A81&lt;=EYear85,AB$3&gt;0),IF($A81=SYear85,AB$56*(1+Data_85_15!AB32%),AB80*(1+Data_85_15!AB32%)),"")</f>
        <v/>
      </c>
      <c r="AC81" s="446" t="str">
        <f>IF(AND($A81&gt;=SYear85,$A81&lt;=EYear85,AC$3&gt;0),IF($A81=SYear85,AC$56*(1+Data_85_15!AC32%),AC80*(1+Data_85_15!AC32%)),"")</f>
        <v/>
      </c>
      <c r="AD81" s="446" t="str">
        <f>IF(AND($A81&gt;=SYear85,$A81&lt;=EYear85,AD$3&gt;0),IF($A81=SYear85,AD$56*(1+Data_85_15!AD32%),AD80*(1+Data_85_15!AD32%)),"")</f>
        <v/>
      </c>
      <c r="AE81" s="446" t="str">
        <f>IF(AND($A81&gt;=SYear85,$A81&lt;=EYear85,AE$3&gt;0),IF($A81=SYear85,AE$56*(1+Data_85_15!AE32%),AE80*(1+Data_85_15!AE32%)),"")</f>
        <v/>
      </c>
      <c r="AF81" s="446" t="str">
        <f>IF(AND($A81&gt;=SYear85,$A81&lt;=EYear85,AF$3&gt;0),IF($A81=SYear85,AF$56*(1+Data_85_15!AF32%),AF80*(1+Data_85_15!AF32%)),"")</f>
        <v/>
      </c>
      <c r="AG81" s="446" t="str">
        <f>IF(AND($A81&gt;=SYear85,$A81&lt;=EYear85,AG$3&gt;0),IF($A81=SYear85,AG$56*(1+Data_85_15!AG32%),AG80*(1+Data_85_15!AG32%)),"")</f>
        <v/>
      </c>
      <c r="AH81" s="446" t="str">
        <f>IF(AND($A81&gt;=SYear85,$A81&lt;=EYear85,AH$3&gt;0),IF($A81=SYear85,AH$56*(1+Data_85_15!AH32%),AH80*(1+Data_85_15!AH32%)),"")</f>
        <v/>
      </c>
      <c r="AI81" s="446" t="str">
        <f>IF(AND($A81&gt;=SYear85,$A81&lt;=EYear85,AI$3&gt;0),IF($A81=SYear85,AI$56*(1+Data_85_15!AI32%),AI80*(1+Data_85_15!AI32%)),"")</f>
        <v/>
      </c>
      <c r="AJ81" s="446" t="str">
        <f>IF(AND($A81&gt;=SYear85,$A81&lt;=EYear85,AJ$3&gt;0),IF($A81=SYear85,AJ$56*(1+Data_85_15!AJ32%),AJ80*(1+Data_85_15!AJ32%)),"")</f>
        <v/>
      </c>
      <c r="AK81" s="446" t="str">
        <f>IF(AND($A81&gt;=SYear85,$A81&lt;=EYear85,AK$3&gt;0),IF($A81=SYear85,AK$56*(1+Data_85_15!AK32%),AK80*(1+Data_85_15!AK32%)),"")</f>
        <v/>
      </c>
      <c r="AL81" s="446" t="str">
        <f>IF(AND($A81&gt;=SYear85,$A81&lt;=EYear85,AL$3&gt;0),IF($A81=SYear85,AL$56*(1+Data_85_15!AL32%),AL80*(1+Data_85_15!AL32%)),"")</f>
        <v/>
      </c>
      <c r="AM81" s="446" t="str">
        <f>IF(AND($A81&gt;=SYear85,$A81&lt;=EYear85,AM$3&gt;0),IF($A81=SYear85,AM$56*(1+Data_85_15!AM32%),AM80*(1+Data_85_15!AM32%)),"")</f>
        <v/>
      </c>
      <c r="AN81" s="446" t="str">
        <f>IF(AND($A81&gt;=SYear85,$A81&lt;=EYear85,AN$3&gt;0),IF($A81=SYear85,AN$56*(1+Data_85_15!AN32%),AN80*(1+Data_85_15!AN32%)),"")</f>
        <v/>
      </c>
      <c r="AO81" s="446">
        <f>IF(AND($A81&gt;=SYear85,$A81&lt;=EYear85,AO$3&gt;0),IF($A81=SYear85,AO$56*(1+Data_85_15!AO32%),AO80*(1+Data_85_15!AO32%)),"")</f>
        <v>7972.7756292050854</v>
      </c>
      <c r="AP81" s="206" t="str">
        <f>IF(AND($A81&gt;=SYear85,$A81&lt;=EYear85,AP$3&gt;0),IF($A81=SYear85,AP$56*(1+Data_85_15!AP32%),AP80*(1+Data_85_15!AP32%)),"")</f>
        <v/>
      </c>
      <c r="AQ81" s="206" t="str">
        <f>IF(AND($A81&gt;=SYear85,$A81&lt;=EYear85,AQ$3&gt;0),IF($A81=SYear85,AQ$56*(1+Data_85_15!AQ32%),AQ80*(1+Data_85_15!AQ32%)),"")</f>
        <v/>
      </c>
      <c r="AR81" s="206" t="str">
        <f>IF(AND($A81&gt;=SYear85,$A81&lt;=EYear85,AR$3&gt;0),IF($A81=SYear85,AR$56*(1+Data_85_15!AR32%),AR80*(1+Data_85_15!AR32%)),"")</f>
        <v/>
      </c>
      <c r="AS81" s="206" t="str">
        <f>IF(AND($A81&gt;=SYear85,$A81&lt;=EYear85,AS$3&gt;0),IF($A81=SYear85,AS$56*(1+Data_85_15!AS32%),AS80*(1+Data_85_15!AS32%)),"")</f>
        <v/>
      </c>
      <c r="AT81" s="206" t="str">
        <f>IF(AND($A81&gt;=SYear85,$A81&lt;=EYear85,AT$3&gt;0),IF($A81=SYear85,AT$56*(1+Data_85_15!AT32%),AT80*(1+Data_85_15!AT32%)),"")</f>
        <v/>
      </c>
      <c r="AU81" s="206" t="str">
        <f>IF(AND($A81&gt;=SYear85,$A81&lt;=EYear85,AU$3&gt;0),IF($A81=SYear85,AU$56*(1+Data_85_15!AU32%),AU80*(1+Data_85_15!AU32%)),"")</f>
        <v/>
      </c>
      <c r="AV81" s="206" t="str">
        <f>IF(AND($A81&gt;=SYear85,$A81&lt;=EYear85,AV$3&gt;0),IF($A81=SYear85,AV$56*(1+Data_85_15!AV32%),AV80*(1+Data_85_15!AV32%)),"")</f>
        <v/>
      </c>
      <c r="AW81" s="206" t="str">
        <f>IF(AND($A81&gt;=SYear85,$A81&lt;=EYear85,AW$3&gt;0),IF($A81=SYear85,AW$56*(1+Data_85_15!AW32%),AW80*(1+Data_85_15!AW32%)),"")</f>
        <v/>
      </c>
      <c r="AX81" s="206" t="str">
        <f>IF(AND($A81&gt;=SYear85,$A81&lt;=EYear85,AX$3&gt;0),IF($A81=SYear85,AX$56*(1+Data_85_15!AX32%),AX80*(1+Data_85_15!AX32%)),"")</f>
        <v/>
      </c>
      <c r="AY81" s="206" t="str">
        <f>IF(AND($A81&gt;=SYear85,$A81&lt;=EYear85,AY$3&gt;0),IF($A81=SYear85,AY$56*(1+Data_85_15!AY32%),AY80*(1+Data_85_15!AY32%)),"")</f>
        <v/>
      </c>
      <c r="AZ81" s="206">
        <f t="shared" si="43"/>
        <v>16.185290992019453</v>
      </c>
      <c r="BA81" s="446">
        <f t="shared" si="44"/>
        <v>91541.536186849713</v>
      </c>
      <c r="BB81" s="206">
        <f>IF(AND($A81&gt;=SYear85,$A81&lt;=EYear85),(AZ81-Data_85_15!AZ32)/(1+Data_85_15!AZ32%),"")</f>
        <v>13.107267709830872</v>
      </c>
      <c r="BC81" s="606">
        <f t="shared" si="45"/>
        <v>44637.038191773354</v>
      </c>
      <c r="BD81" s="143">
        <f t="shared" si="46"/>
        <v>7.6864809616808749</v>
      </c>
      <c r="BE81" s="143">
        <f>IF(AND($A81&gt;=SYear85,$A81&lt;=EYear85),MAX($BD$57:BD81),"")</f>
        <v>8.1345181336415635</v>
      </c>
      <c r="BF81" s="209">
        <f t="shared" si="47"/>
        <v>5.5078514129529244E-2</v>
      </c>
      <c r="BN81" s="61">
        <f t="shared" si="31"/>
        <v>0.16185290992019463</v>
      </c>
      <c r="BO81" s="61">
        <f t="shared" si="32"/>
        <v>0.14276580377105175</v>
      </c>
      <c r="BP81" s="61">
        <f t="shared" si="33"/>
        <v>0.12470326606652682</v>
      </c>
      <c r="BQ81" s="61"/>
      <c r="BR81" s="61"/>
      <c r="BU81" s="61">
        <f t="shared" si="36"/>
        <v>0.13107267709830861</v>
      </c>
      <c r="BV81" s="61">
        <f t="shared" si="37"/>
        <v>0.11607881087561722</v>
      </c>
      <c r="BW81" s="61">
        <f t="shared" si="38"/>
        <v>0.10175903158820021</v>
      </c>
      <c r="BX81" s="61"/>
      <c r="BY81" s="61"/>
    </row>
    <row r="82" spans="1:77">
      <c r="A82" s="204">
        <f t="shared" si="42"/>
        <v>2010</v>
      </c>
      <c r="B82" s="446" t="str">
        <f>IF(AND($A82&gt;=SYear85,$A82&lt;=EYear85,B$3&gt;0),IF($A82=SYear85,B$56*(1+Data_85_15!B33%),B81*(1+Data_85_15!B33%)),"")</f>
        <v/>
      </c>
      <c r="C82" s="446" t="str">
        <f>IF(AND($A82&gt;=SYear85,$A82&lt;=EYear85,C$3&gt;0),IF($A82=SYear85,C$56*(1+Data_85_15!C33%),C81*(1+Data_85_15!C33%)),"")</f>
        <v/>
      </c>
      <c r="D82" s="446" t="str">
        <f>IF(AND($A82&gt;=SYear85,$A82&lt;=EYear85,D$3&gt;0),IF($A82=SYear85,D$56*(1+Data_85_15!D33%),D81*(1+Data_85_15!D33%)),"")</f>
        <v/>
      </c>
      <c r="E82" s="446" t="str">
        <f>IF(AND($A82&gt;=SYear85,$A82&lt;=EYear85,E$3&gt;0),IF($A82=SYear85,E$56*(1+Data_85_15!E33%),E81*(1+Data_85_15!E33%)),"")</f>
        <v/>
      </c>
      <c r="F82" s="446">
        <f>IF(AND($A82&gt;=SYear85,$A82&lt;=EYear85,F$3&gt;0),IF($A82=SYear85,F$56*(1+Data_85_15!F33%),F81*(1+Data_85_15!F33%)),"")</f>
        <v>55536.746943847691</v>
      </c>
      <c r="G82" s="446" t="str">
        <f>IF(AND($A82&gt;=SYear85,$A82&lt;=EYear85,G$3&gt;0),IF($A82=SYear85,G$56*(1+Data_85_15!G33%),G81*(1+Data_85_15!G33%)),"")</f>
        <v/>
      </c>
      <c r="H82" s="446" t="str">
        <f>IF(AND($A82&gt;=SYear85,$A82&lt;=EYear85,H$3&gt;0),IF($A82=SYear85,H$56*(1+Data_85_15!H33%),H81*(1+Data_85_15!H33%)),"")</f>
        <v/>
      </c>
      <c r="I82" s="446" t="str">
        <f>IF(AND($A82&gt;=SYear85,$A82&lt;=EYear85,I$3&gt;0),IF($A82=SYear85,I$56*(1+Data_85_15!I33%),I81*(1+Data_85_15!I33%)),"")</f>
        <v/>
      </c>
      <c r="J82" s="446" t="str">
        <f>IF(AND($A82&gt;=SYear85,$A82&lt;=EYear85,J$3&gt;0),IF($A82=SYear85,J$56*(1+Data_85_15!J33%),J81*(1+Data_85_15!J33%)),"")</f>
        <v/>
      </c>
      <c r="K82" s="446" t="str">
        <f>IF(AND($A82&gt;=SYear85,$A82&lt;=EYear85,K$3&gt;0),IF($A82=SYear85,K$56*(1+Data_85_15!K33%),K81*(1+Data_85_15!K33%)),"")</f>
        <v/>
      </c>
      <c r="L82" s="446" t="str">
        <f>IF(AND($A82&gt;=SYear85,$A82&lt;=EYear85,L$3&gt;0),IF($A82=SYear85,L$56*(1+Data_85_15!L33%),L81*(1+Data_85_15!L33%)),"")</f>
        <v/>
      </c>
      <c r="M82" s="446" t="str">
        <f>IF(AND($A82&gt;=SYear85,$A82&lt;=EYear85,M$3&gt;0),IF($A82=SYear85,M$56*(1+Data_85_15!M33%),M81*(1+Data_85_15!M33%)),"")</f>
        <v/>
      </c>
      <c r="N82" s="446" t="str">
        <f>IF(AND($A82&gt;=SYear85,$A82&lt;=EYear85,N$3&gt;0),IF($A82=SYear85,N$56*(1+Data_85_15!N33%),N81*(1+Data_85_15!N33%)),"")</f>
        <v/>
      </c>
      <c r="O82" s="446" t="str">
        <f>IF(AND($A82&gt;=SYear85,$A82&lt;=EYear85,O$3&gt;0),IF($A82=SYear85,O$56*(1+Data_85_15!O33%),O81*(1+Data_85_15!O33%)),"")</f>
        <v/>
      </c>
      <c r="P82" s="446" t="str">
        <f>IF(AND($A82&gt;=SYear85,$A82&lt;=EYear85,P$3&gt;0),IF($A82=SYear85,P$56*(1+Data_85_15!P33%),P81*(1+Data_85_15!P33%)),"")</f>
        <v/>
      </c>
      <c r="Q82" s="446" t="str">
        <f>IF(AND($A82&gt;=SYear85,$A82&lt;=EYear85,Q$3&gt;0),IF($A82=SYear85,Q$56*(1+Data_85_15!Q33%),Q81*(1+Data_85_15!Q33%)),"")</f>
        <v/>
      </c>
      <c r="R82" s="446" t="str">
        <f>IF(AND($A82&gt;=SYear85,$A82&lt;=EYear85,R$3&gt;0),IF($A82=SYear85,R$56*(1+Data_85_15!R33%),R81*(1+Data_85_15!R33%)),"")</f>
        <v/>
      </c>
      <c r="S82" s="446">
        <f>IF(AND($A82&gt;=SYear85,$A82&lt;=EYear85,S$3&gt;0),IF($A82=SYear85,S$56*(1+Data_85_15!S33%),S81*(1+Data_85_15!S33%)),"")</f>
        <v>24706.942927089432</v>
      </c>
      <c r="T82" s="446" t="str">
        <f>IF(AND($A82&gt;=SYear85,$A82&lt;=EYear85,T$3&gt;0),IF($A82=SYear85,T$56*(1+Data_85_15!T33%),T81*(1+Data_85_15!T33%)),"")</f>
        <v/>
      </c>
      <c r="U82" s="446" t="str">
        <f>IF(AND($A82&gt;=SYear85,$A82&lt;=EYear85,U$3&gt;0),IF($A82=SYear85,U$56*(1+Data_85_15!U33%),U81*(1+Data_85_15!U33%)),"")</f>
        <v/>
      </c>
      <c r="V82" s="446" t="str">
        <f>IF(AND($A82&gt;=SYear85,$A82&lt;=EYear85,V$3&gt;0),IF($A82=SYear85,V$56*(1+Data_85_15!V33%),V81*(1+Data_85_15!V33%)),"")</f>
        <v/>
      </c>
      <c r="W82" s="446">
        <f>IF(AND($A82&gt;=SYear85,$A82&lt;=EYear85,W$3&gt;0),IF($A82=SYear85,W$56*(1+Data_85_15!W33%),W81*(1+Data_85_15!W33%)),"")</f>
        <v>17646.279474198098</v>
      </c>
      <c r="X82" s="446" t="str">
        <f>IF(AND($A82&gt;=SYear85,$A82&lt;=EYear85,X$3&gt;0),IF($A82=SYear85,X$56*(1+Data_85_15!X33%),X81*(1+Data_85_15!X33%)),"")</f>
        <v/>
      </c>
      <c r="Y82" s="446" t="str">
        <f>IF(AND($A82&gt;=SYear85,$A82&lt;=EYear85,Y$3&gt;0),IF($A82=SYear85,Y$56*(1+Data_85_15!Y33%),Y81*(1+Data_85_15!Y33%)),"")</f>
        <v/>
      </c>
      <c r="Z82" s="446" t="str">
        <f>IF(AND($A82&gt;=SYear85,$A82&lt;=EYear85,Z$3&gt;0),IF($A82=SYear85,Z$56*(1+Data_85_15!Z33%),Z81*(1+Data_85_15!Z33%)),"")</f>
        <v/>
      </c>
      <c r="AA82" s="446" t="str">
        <f>IF(AND($A82&gt;=SYear85,$A82&lt;=EYear85,AA$3&gt;0),IF($A82=SYear85,AA$56*(1+Data_85_15!AA33%),AA81*(1+Data_85_15!AA33%)),"")</f>
        <v/>
      </c>
      <c r="AB82" s="446" t="str">
        <f>IF(AND($A82&gt;=SYear85,$A82&lt;=EYear85,AB$3&gt;0),IF($A82=SYear85,AB$56*(1+Data_85_15!AB33%),AB81*(1+Data_85_15!AB33%)),"")</f>
        <v/>
      </c>
      <c r="AC82" s="446" t="str">
        <f>IF(AND($A82&gt;=SYear85,$A82&lt;=EYear85,AC$3&gt;0),IF($A82=SYear85,AC$56*(1+Data_85_15!AC33%),AC81*(1+Data_85_15!AC33%)),"")</f>
        <v/>
      </c>
      <c r="AD82" s="446" t="str">
        <f>IF(AND($A82&gt;=SYear85,$A82&lt;=EYear85,AD$3&gt;0),IF($A82=SYear85,AD$56*(1+Data_85_15!AD33%),AD81*(1+Data_85_15!AD33%)),"")</f>
        <v/>
      </c>
      <c r="AE82" s="446" t="str">
        <f>IF(AND($A82&gt;=SYear85,$A82&lt;=EYear85,AE$3&gt;0),IF($A82=SYear85,AE$56*(1+Data_85_15!AE33%),AE81*(1+Data_85_15!AE33%)),"")</f>
        <v/>
      </c>
      <c r="AF82" s="446" t="str">
        <f>IF(AND($A82&gt;=SYear85,$A82&lt;=EYear85,AF$3&gt;0),IF($A82=SYear85,AF$56*(1+Data_85_15!AF33%),AF81*(1+Data_85_15!AF33%)),"")</f>
        <v/>
      </c>
      <c r="AG82" s="446" t="str">
        <f>IF(AND($A82&gt;=SYear85,$A82&lt;=EYear85,AG$3&gt;0),IF($A82=SYear85,AG$56*(1+Data_85_15!AG33%),AG81*(1+Data_85_15!AG33%)),"")</f>
        <v/>
      </c>
      <c r="AH82" s="446" t="str">
        <f>IF(AND($A82&gt;=SYear85,$A82&lt;=EYear85,AH$3&gt;0),IF($A82=SYear85,AH$56*(1+Data_85_15!AH33%),AH81*(1+Data_85_15!AH33%)),"")</f>
        <v/>
      </c>
      <c r="AI82" s="446" t="str">
        <f>IF(AND($A82&gt;=SYear85,$A82&lt;=EYear85,AI$3&gt;0),IF($A82=SYear85,AI$56*(1+Data_85_15!AI33%),AI81*(1+Data_85_15!AI33%)),"")</f>
        <v/>
      </c>
      <c r="AJ82" s="446" t="str">
        <f>IF(AND($A82&gt;=SYear85,$A82&lt;=EYear85,AJ$3&gt;0),IF($A82=SYear85,AJ$56*(1+Data_85_15!AJ33%),AJ81*(1+Data_85_15!AJ33%)),"")</f>
        <v/>
      </c>
      <c r="AK82" s="446" t="str">
        <f>IF(AND($A82&gt;=SYear85,$A82&lt;=EYear85,AK$3&gt;0),IF($A82=SYear85,AK$56*(1+Data_85_15!AK33%),AK81*(1+Data_85_15!AK33%)),"")</f>
        <v/>
      </c>
      <c r="AL82" s="446" t="str">
        <f>IF(AND($A82&gt;=SYear85,$A82&lt;=EYear85,AL$3&gt;0),IF($A82=SYear85,AL$56*(1+Data_85_15!AL33%),AL81*(1+Data_85_15!AL33%)),"")</f>
        <v/>
      </c>
      <c r="AM82" s="446" t="str">
        <f>IF(AND($A82&gt;=SYear85,$A82&lt;=EYear85,AM$3&gt;0),IF($A82=SYear85,AM$56*(1+Data_85_15!AM33%),AM81*(1+Data_85_15!AM33%)),"")</f>
        <v/>
      </c>
      <c r="AN82" s="446" t="str">
        <f>IF(AND($A82&gt;=SYear85,$A82&lt;=EYear85,AN$3&gt;0),IF($A82=SYear85,AN$56*(1+Data_85_15!AN33%),AN81*(1+Data_85_15!AN33%)),"")</f>
        <v/>
      </c>
      <c r="AO82" s="446">
        <f>IF(AND($A82&gt;=SYear85,$A82&lt;=EYear85,AO$3&gt;0),IF($A82=SYear85,AO$56*(1+Data_85_15!AO33%),AO81*(1+Data_85_15!AO33%)),"")</f>
        <v>10306.407055873413</v>
      </c>
      <c r="AP82" s="206" t="str">
        <f>IF(AND($A82&gt;=SYear85,$A82&lt;=EYear85,AP$3&gt;0),IF($A82=SYear85,AP$56*(1+Data_85_15!AP33%),AP81*(1+Data_85_15!AP33%)),"")</f>
        <v/>
      </c>
      <c r="AQ82" s="206" t="str">
        <f>IF(AND($A82&gt;=SYear85,$A82&lt;=EYear85,AQ$3&gt;0),IF($A82=SYear85,AQ$56*(1+Data_85_15!AQ33%),AQ81*(1+Data_85_15!AQ33%)),"")</f>
        <v/>
      </c>
      <c r="AR82" s="206" t="str">
        <f>IF(AND($A82&gt;=SYear85,$A82&lt;=EYear85,AR$3&gt;0),IF($A82=SYear85,AR$56*(1+Data_85_15!AR33%),AR81*(1+Data_85_15!AR33%)),"")</f>
        <v/>
      </c>
      <c r="AS82" s="206" t="str">
        <f>IF(AND($A82&gt;=SYear85,$A82&lt;=EYear85,AS$3&gt;0),IF($A82=SYear85,AS$56*(1+Data_85_15!AS33%),AS81*(1+Data_85_15!AS33%)),"")</f>
        <v/>
      </c>
      <c r="AT82" s="206" t="str">
        <f>IF(AND($A82&gt;=SYear85,$A82&lt;=EYear85,AT$3&gt;0),IF($A82=SYear85,AT$56*(1+Data_85_15!AT33%),AT81*(1+Data_85_15!AT33%)),"")</f>
        <v/>
      </c>
      <c r="AU82" s="206" t="str">
        <f>IF(AND($A82&gt;=SYear85,$A82&lt;=EYear85,AU$3&gt;0),IF($A82=SYear85,AU$56*(1+Data_85_15!AU33%),AU81*(1+Data_85_15!AU33%)),"")</f>
        <v/>
      </c>
      <c r="AV82" s="206" t="str">
        <f>IF(AND($A82&gt;=SYear85,$A82&lt;=EYear85,AV$3&gt;0),IF($A82=SYear85,AV$56*(1+Data_85_15!AV33%),AV81*(1+Data_85_15!AV33%)),"")</f>
        <v/>
      </c>
      <c r="AW82" s="206" t="str">
        <f>IF(AND($A82&gt;=SYear85,$A82&lt;=EYear85,AW$3&gt;0),IF($A82=SYear85,AW$56*(1+Data_85_15!AW33%),AW81*(1+Data_85_15!AW33%)),"")</f>
        <v/>
      </c>
      <c r="AX82" s="206" t="str">
        <f>IF(AND($A82&gt;=SYear85,$A82&lt;=EYear85,AX$3&gt;0),IF($A82=SYear85,AX$56*(1+Data_85_15!AX33%),AX81*(1+Data_85_15!AX33%)),"")</f>
        <v/>
      </c>
      <c r="AY82" s="206" t="str">
        <f>IF(AND($A82&gt;=SYear85,$A82&lt;=EYear85,AY$3&gt;0),IF($A82=SYear85,AY$56*(1+Data_85_15!AY33%),AY81*(1+Data_85_15!AY33%)),"")</f>
        <v/>
      </c>
      <c r="AZ82" s="206">
        <f t="shared" si="43"/>
        <v>18.193752156577236</v>
      </c>
      <c r="BA82" s="446">
        <f t="shared" si="44"/>
        <v>108196.37640100862</v>
      </c>
      <c r="BB82" s="206">
        <f>IF(AND($A82&gt;=SYear85,$A82&lt;=EYear85),(AZ82-Data_85_15!AZ33)/(1+Data_85_15!AZ33%),"")</f>
        <v>16.451952899049182</v>
      </c>
      <c r="BC82" s="606">
        <f t="shared" si="45"/>
        <v>51980.702690614497</v>
      </c>
      <c r="BD82" s="143">
        <f t="shared" si="46"/>
        <v>9.0849402574115885</v>
      </c>
      <c r="BE82" s="143">
        <f>IF(AND($A82&gt;=SYear85,$A82&lt;=EYear85),MAX($BD$57:BD82),"")</f>
        <v>9.0849402574115885</v>
      </c>
      <c r="BF82" s="209">
        <f t="shared" si="47"/>
        <v>0</v>
      </c>
      <c r="BN82" s="61">
        <f t="shared" si="31"/>
        <v>0.18193752156577236</v>
      </c>
      <c r="BO82" s="61">
        <f t="shared" si="32"/>
        <v>0.12223169003382406</v>
      </c>
      <c r="BP82" s="61">
        <f t="shared" si="33"/>
        <v>0.11978252933527456</v>
      </c>
      <c r="BQ82" s="61"/>
      <c r="BR82" s="61"/>
      <c r="BU82" s="61">
        <f t="shared" si="36"/>
        <v>0.16451952899049171</v>
      </c>
      <c r="BV82" s="61">
        <f t="shared" si="37"/>
        <v>9.9533170669859894E-2</v>
      </c>
      <c r="BW82" s="61">
        <f t="shared" si="38"/>
        <v>0.10118394117990426</v>
      </c>
      <c r="BX82" s="61"/>
      <c r="BY82" s="61"/>
    </row>
    <row r="83" spans="1:77">
      <c r="A83" s="204">
        <f t="shared" si="42"/>
        <v>2011</v>
      </c>
      <c r="B83" s="446" t="str">
        <f>IF(AND($A83&gt;=SYear85,$A83&lt;=EYear85,B$3&gt;0),IF($A83=SYear85,B$56*(1+Data_85_15!B34%),B82*(1+Data_85_15!B34%)),"")</f>
        <v/>
      </c>
      <c r="C83" s="446" t="str">
        <f>IF(AND($A83&gt;=SYear85,$A83&lt;=EYear85,C$3&gt;0),IF($A83=SYear85,C$56*(1+Data_85_15!C34%),C82*(1+Data_85_15!C34%)),"")</f>
        <v/>
      </c>
      <c r="D83" s="446" t="str">
        <f>IF(AND($A83&gt;=SYear85,$A83&lt;=EYear85,D$3&gt;0),IF($A83=SYear85,D$56*(1+Data_85_15!D34%),D82*(1+Data_85_15!D34%)),"")</f>
        <v/>
      </c>
      <c r="E83" s="446" t="str">
        <f>IF(AND($A83&gt;=SYear85,$A83&lt;=EYear85,E$3&gt;0),IF($A83=SYear85,E$56*(1+Data_85_15!E34%),E82*(1+Data_85_15!E34%)),"")</f>
        <v/>
      </c>
      <c r="F83" s="446">
        <f>IF(AND($A83&gt;=SYear85,$A83&lt;=EYear85,F$3&gt;0),IF($A83=SYear85,F$56*(1+Data_85_15!F34%),F82*(1+Data_85_15!F34%)),"")</f>
        <v>54364.921583332507</v>
      </c>
      <c r="G83" s="446" t="str">
        <f>IF(AND($A83&gt;=SYear85,$A83&lt;=EYear85,G$3&gt;0),IF($A83=SYear85,G$56*(1+Data_85_15!G34%),G82*(1+Data_85_15!G34%)),"")</f>
        <v/>
      </c>
      <c r="H83" s="446" t="str">
        <f>IF(AND($A83&gt;=SYear85,$A83&lt;=EYear85,H$3&gt;0),IF($A83=SYear85,H$56*(1+Data_85_15!H34%),H82*(1+Data_85_15!H34%)),"")</f>
        <v/>
      </c>
      <c r="I83" s="446" t="str">
        <f>IF(AND($A83&gt;=SYear85,$A83&lt;=EYear85,I$3&gt;0),IF($A83=SYear85,I$56*(1+Data_85_15!I34%),I82*(1+Data_85_15!I34%)),"")</f>
        <v/>
      </c>
      <c r="J83" s="446" t="str">
        <f>IF(AND($A83&gt;=SYear85,$A83&lt;=EYear85,J$3&gt;0),IF($A83=SYear85,J$56*(1+Data_85_15!J34%),J82*(1+Data_85_15!J34%)),"")</f>
        <v/>
      </c>
      <c r="K83" s="446" t="str">
        <f>IF(AND($A83&gt;=SYear85,$A83&lt;=EYear85,K$3&gt;0),IF($A83=SYear85,K$56*(1+Data_85_15!K34%),K82*(1+Data_85_15!K34%)),"")</f>
        <v/>
      </c>
      <c r="L83" s="446" t="str">
        <f>IF(AND($A83&gt;=SYear85,$A83&lt;=EYear85,L$3&gt;0),IF($A83=SYear85,L$56*(1+Data_85_15!L34%),L82*(1+Data_85_15!L34%)),"")</f>
        <v/>
      </c>
      <c r="M83" s="446" t="str">
        <f>IF(AND($A83&gt;=SYear85,$A83&lt;=EYear85,M$3&gt;0),IF($A83=SYear85,M$56*(1+Data_85_15!M34%),M82*(1+Data_85_15!M34%)),"")</f>
        <v/>
      </c>
      <c r="N83" s="446" t="str">
        <f>IF(AND($A83&gt;=SYear85,$A83&lt;=EYear85,N$3&gt;0),IF($A83=SYear85,N$56*(1+Data_85_15!N34%),N82*(1+Data_85_15!N34%)),"")</f>
        <v/>
      </c>
      <c r="O83" s="446" t="str">
        <f>IF(AND($A83&gt;=SYear85,$A83&lt;=EYear85,O$3&gt;0),IF($A83=SYear85,O$56*(1+Data_85_15!O34%),O82*(1+Data_85_15!O34%)),"")</f>
        <v/>
      </c>
      <c r="P83" s="446" t="str">
        <f>IF(AND($A83&gt;=SYear85,$A83&lt;=EYear85,P$3&gt;0),IF($A83=SYear85,P$56*(1+Data_85_15!P34%),P82*(1+Data_85_15!P34%)),"")</f>
        <v/>
      </c>
      <c r="Q83" s="446" t="str">
        <f>IF(AND($A83&gt;=SYear85,$A83&lt;=EYear85,Q$3&gt;0),IF($A83=SYear85,Q$56*(1+Data_85_15!Q34%),Q82*(1+Data_85_15!Q34%)),"")</f>
        <v/>
      </c>
      <c r="R83" s="446" t="str">
        <f>IF(AND($A83&gt;=SYear85,$A83&lt;=EYear85,R$3&gt;0),IF($A83=SYear85,R$56*(1+Data_85_15!R34%),R82*(1+Data_85_15!R34%)),"")</f>
        <v/>
      </c>
      <c r="S83" s="446">
        <f>IF(AND($A83&gt;=SYear85,$A83&lt;=EYear85,S$3&gt;0),IF($A83=SYear85,S$56*(1+Data_85_15!S34%),S82*(1+Data_85_15!S34%)),"")</f>
        <v>31941.135816141217</v>
      </c>
      <c r="T83" s="446" t="str">
        <f>IF(AND($A83&gt;=SYear85,$A83&lt;=EYear85,T$3&gt;0),IF($A83=SYear85,T$56*(1+Data_85_15!T34%),T82*(1+Data_85_15!T34%)),"")</f>
        <v/>
      </c>
      <c r="U83" s="446" t="str">
        <f>IF(AND($A83&gt;=SYear85,$A83&lt;=EYear85,U$3&gt;0),IF($A83=SYear85,U$56*(1+Data_85_15!U34%),U82*(1+Data_85_15!U34%)),"")</f>
        <v/>
      </c>
      <c r="V83" s="446" t="str">
        <f>IF(AND($A83&gt;=SYear85,$A83&lt;=EYear85,V$3&gt;0),IF($A83=SYear85,V$56*(1+Data_85_15!V34%),V82*(1+Data_85_15!V34%)),"")</f>
        <v/>
      </c>
      <c r="W83" s="446">
        <f>IF(AND($A83&gt;=SYear85,$A83&lt;=EYear85,W$3&gt;0),IF($A83=SYear85,W$56*(1+Data_85_15!W34%),W82*(1+Data_85_15!W34%)),"")</f>
        <v>19982.646876581926</v>
      </c>
      <c r="X83" s="446" t="str">
        <f>IF(AND($A83&gt;=SYear85,$A83&lt;=EYear85,X$3&gt;0),IF($A83=SYear85,X$56*(1+Data_85_15!X34%),X82*(1+Data_85_15!X34%)),"")</f>
        <v/>
      </c>
      <c r="Y83" s="446" t="str">
        <f>IF(AND($A83&gt;=SYear85,$A83&lt;=EYear85,Y$3&gt;0),IF($A83=SYear85,Y$56*(1+Data_85_15!Y34%),Y82*(1+Data_85_15!Y34%)),"")</f>
        <v/>
      </c>
      <c r="Z83" s="446" t="str">
        <f>IF(AND($A83&gt;=SYear85,$A83&lt;=EYear85,Z$3&gt;0),IF($A83=SYear85,Z$56*(1+Data_85_15!Z34%),Z82*(1+Data_85_15!Z34%)),"")</f>
        <v/>
      </c>
      <c r="AA83" s="446" t="str">
        <f>IF(AND($A83&gt;=SYear85,$A83&lt;=EYear85,AA$3&gt;0),IF($A83=SYear85,AA$56*(1+Data_85_15!AA34%),AA82*(1+Data_85_15!AA34%)),"")</f>
        <v/>
      </c>
      <c r="AB83" s="446" t="str">
        <f>IF(AND($A83&gt;=SYear85,$A83&lt;=EYear85,AB$3&gt;0),IF($A83=SYear85,AB$56*(1+Data_85_15!AB34%),AB82*(1+Data_85_15!AB34%)),"")</f>
        <v/>
      </c>
      <c r="AC83" s="446" t="str">
        <f>IF(AND($A83&gt;=SYear85,$A83&lt;=EYear85,AC$3&gt;0),IF($A83=SYear85,AC$56*(1+Data_85_15!AC34%),AC82*(1+Data_85_15!AC34%)),"")</f>
        <v/>
      </c>
      <c r="AD83" s="446" t="str">
        <f>IF(AND($A83&gt;=SYear85,$A83&lt;=EYear85,AD$3&gt;0),IF($A83=SYear85,AD$56*(1+Data_85_15!AD34%),AD82*(1+Data_85_15!AD34%)),"")</f>
        <v/>
      </c>
      <c r="AE83" s="446" t="str">
        <f>IF(AND($A83&gt;=SYear85,$A83&lt;=EYear85,AE$3&gt;0),IF($A83=SYear85,AE$56*(1+Data_85_15!AE34%),AE82*(1+Data_85_15!AE34%)),"")</f>
        <v/>
      </c>
      <c r="AF83" s="446" t="str">
        <f>IF(AND($A83&gt;=SYear85,$A83&lt;=EYear85,AF$3&gt;0),IF($A83=SYear85,AF$56*(1+Data_85_15!AF34%),AF82*(1+Data_85_15!AF34%)),"")</f>
        <v/>
      </c>
      <c r="AG83" s="446" t="str">
        <f>IF(AND($A83&gt;=SYear85,$A83&lt;=EYear85,AG$3&gt;0),IF($A83=SYear85,AG$56*(1+Data_85_15!AG34%),AG82*(1+Data_85_15!AG34%)),"")</f>
        <v/>
      </c>
      <c r="AH83" s="446" t="str">
        <f>IF(AND($A83&gt;=SYear85,$A83&lt;=EYear85,AH$3&gt;0),IF($A83=SYear85,AH$56*(1+Data_85_15!AH34%),AH82*(1+Data_85_15!AH34%)),"")</f>
        <v/>
      </c>
      <c r="AI83" s="446" t="str">
        <f>IF(AND($A83&gt;=SYear85,$A83&lt;=EYear85,AI$3&gt;0),IF($A83=SYear85,AI$56*(1+Data_85_15!AI34%),AI82*(1+Data_85_15!AI34%)),"")</f>
        <v/>
      </c>
      <c r="AJ83" s="446" t="str">
        <f>IF(AND($A83&gt;=SYear85,$A83&lt;=EYear85,AJ$3&gt;0),IF($A83=SYear85,AJ$56*(1+Data_85_15!AJ34%),AJ82*(1+Data_85_15!AJ34%)),"")</f>
        <v/>
      </c>
      <c r="AK83" s="446" t="str">
        <f>IF(AND($A83&gt;=SYear85,$A83&lt;=EYear85,AK$3&gt;0),IF($A83=SYear85,AK$56*(1+Data_85_15!AK34%),AK82*(1+Data_85_15!AK34%)),"")</f>
        <v/>
      </c>
      <c r="AL83" s="446" t="str">
        <f>IF(AND($A83&gt;=SYear85,$A83&lt;=EYear85,AL$3&gt;0),IF($A83=SYear85,AL$56*(1+Data_85_15!AL34%),AL82*(1+Data_85_15!AL34%)),"")</f>
        <v/>
      </c>
      <c r="AM83" s="446" t="str">
        <f>IF(AND($A83&gt;=SYear85,$A83&lt;=EYear85,AM$3&gt;0),IF($A83=SYear85,AM$56*(1+Data_85_15!AM34%),AM82*(1+Data_85_15!AM34%)),"")</f>
        <v/>
      </c>
      <c r="AN83" s="446" t="str">
        <f>IF(AND($A83&gt;=SYear85,$A83&lt;=EYear85,AN$3&gt;0),IF($A83=SYear85,AN$56*(1+Data_85_15!AN34%),AN82*(1+Data_85_15!AN34%)),"")</f>
        <v/>
      </c>
      <c r="AO83" s="446">
        <f>IF(AND($A83&gt;=SYear85,$A83&lt;=EYear85,AO$3&gt;0),IF($A83=SYear85,AO$56*(1+Data_85_15!AO34%),AO82*(1+Data_85_15!AO34%)),"")</f>
        <v>11292.730211120497</v>
      </c>
      <c r="AP83" s="206" t="str">
        <f>IF(AND($A83&gt;=SYear85,$A83&lt;=EYear85,AP$3&gt;0),IF($A83=SYear85,AP$56*(1+Data_85_15!AP34%),AP82*(1+Data_85_15!AP34%)),"")</f>
        <v/>
      </c>
      <c r="AQ83" s="206" t="str">
        <f>IF(AND($A83&gt;=SYear85,$A83&lt;=EYear85,AQ$3&gt;0),IF($A83=SYear85,AQ$56*(1+Data_85_15!AQ34%),AQ82*(1+Data_85_15!AQ34%)),"")</f>
        <v/>
      </c>
      <c r="AR83" s="206" t="str">
        <f>IF(AND($A83&gt;=SYear85,$A83&lt;=EYear85,AR$3&gt;0),IF($A83=SYear85,AR$56*(1+Data_85_15!AR34%),AR82*(1+Data_85_15!AR34%)),"")</f>
        <v/>
      </c>
      <c r="AS83" s="206" t="str">
        <f>IF(AND($A83&gt;=SYear85,$A83&lt;=EYear85,AS$3&gt;0),IF($A83=SYear85,AS$56*(1+Data_85_15!AS34%),AS82*(1+Data_85_15!AS34%)),"")</f>
        <v/>
      </c>
      <c r="AT83" s="206" t="str">
        <f>IF(AND($A83&gt;=SYear85,$A83&lt;=EYear85,AT$3&gt;0),IF($A83=SYear85,AT$56*(1+Data_85_15!AT34%),AT82*(1+Data_85_15!AT34%)),"")</f>
        <v/>
      </c>
      <c r="AU83" s="206" t="str">
        <f>IF(AND($A83&gt;=SYear85,$A83&lt;=EYear85,AU$3&gt;0),IF($A83=SYear85,AU$56*(1+Data_85_15!AU34%),AU82*(1+Data_85_15!AU34%)),"")</f>
        <v/>
      </c>
      <c r="AV83" s="206" t="str">
        <f>IF(AND($A83&gt;=SYear85,$A83&lt;=EYear85,AV$3&gt;0),IF($A83=SYear85,AV$56*(1+Data_85_15!AV34%),AV82*(1+Data_85_15!AV34%)),"")</f>
        <v/>
      </c>
      <c r="AW83" s="206" t="str">
        <f>IF(AND($A83&gt;=SYear85,$A83&lt;=EYear85,AW$3&gt;0),IF($A83=SYear85,AW$56*(1+Data_85_15!AW34%),AW82*(1+Data_85_15!AW34%)),"")</f>
        <v/>
      </c>
      <c r="AX83" s="206" t="str">
        <f>IF(AND($A83&gt;=SYear85,$A83&lt;=EYear85,AX$3&gt;0),IF($A83=SYear85,AX$56*(1+Data_85_15!AX34%),AX82*(1+Data_85_15!AX34%)),"")</f>
        <v/>
      </c>
      <c r="AY83" s="206" t="str">
        <f>IF(AND($A83&gt;=SYear85,$A83&lt;=EYear85,AY$3&gt;0),IF($A83=SYear85,AY$56*(1+Data_85_15!AY34%),AY82*(1+Data_85_15!AY34%)),"")</f>
        <v/>
      </c>
      <c r="AZ83" s="206">
        <f t="shared" si="43"/>
        <v>8.6740964885770779</v>
      </c>
      <c r="BA83" s="446">
        <f t="shared" si="44"/>
        <v>117581.43448717614</v>
      </c>
      <c r="BB83" s="206">
        <f>IF(AND($A83&gt;=SYear85,$A83&lt;=EYear85),(AZ83-Data_85_15!AZ34)/(1+Data_85_15!AZ34%),"")</f>
        <v>5.5473421349118786</v>
      </c>
      <c r="BC83" s="606">
        <f t="shared" si="45"/>
        <v>54864.250112994232</v>
      </c>
      <c r="BD83" s="143">
        <f t="shared" si="46"/>
        <v>9.8729767412690528</v>
      </c>
      <c r="BE83" s="143">
        <f>IF(AND($A83&gt;=SYear85,$A83&lt;=EYear85),MAX($BD$57:BD83),"")</f>
        <v>9.8729767412690528</v>
      </c>
      <c r="BF83" s="209">
        <f t="shared" si="47"/>
        <v>0</v>
      </c>
      <c r="BN83" s="61">
        <f t="shared" si="31"/>
        <v>8.6740964885770877E-2</v>
      </c>
      <c r="BO83" s="61">
        <f t="shared" si="32"/>
        <v>9.4329324820967564E-2</v>
      </c>
      <c r="BP83" s="61">
        <f t="shared" si="33"/>
        <v>7.8584828231312409E-2</v>
      </c>
      <c r="BQ83" s="61"/>
      <c r="BR83" s="61"/>
      <c r="BU83" s="61">
        <f t="shared" si="36"/>
        <v>5.5473421349118812E-2</v>
      </c>
      <c r="BV83" s="61">
        <f t="shared" si="37"/>
        <v>7.2173995556791049E-2</v>
      </c>
      <c r="BW83" s="61">
        <f t="shared" si="38"/>
        <v>6.2279217626554972E-2</v>
      </c>
      <c r="BX83" s="61"/>
      <c r="BY83" s="61"/>
    </row>
    <row r="84" spans="1:77">
      <c r="A84" s="204">
        <f t="shared" si="42"/>
        <v>2012</v>
      </c>
      <c r="B84" s="446" t="str">
        <f>IF(AND($A84&gt;=SYear85,$A84&lt;=EYear85,B$3&gt;0),IF($A84=SYear85,B$56*(1+Data_85_15!B35%),B83*(1+Data_85_15!B35%)),"")</f>
        <v/>
      </c>
      <c r="C84" s="446" t="str">
        <f>IF(AND($A84&gt;=SYear85,$A84&lt;=EYear85,C$3&gt;0),IF($A84=SYear85,C$56*(1+Data_85_15!C35%),C83*(1+Data_85_15!C35%)),"")</f>
        <v/>
      </c>
      <c r="D84" s="446" t="str">
        <f>IF(AND($A84&gt;=SYear85,$A84&lt;=EYear85,D$3&gt;0),IF($A84=SYear85,D$56*(1+Data_85_15!D35%),D83*(1+Data_85_15!D35%)),"")</f>
        <v/>
      </c>
      <c r="E84" s="446" t="str">
        <f>IF(AND($A84&gt;=SYear85,$A84&lt;=EYear85,E$3&gt;0),IF($A84=SYear85,E$56*(1+Data_85_15!E35%),E83*(1+Data_85_15!E35%)),"")</f>
        <v/>
      </c>
      <c r="F84" s="446">
        <f>IF(AND($A84&gt;=SYear85,$A84&lt;=EYear85,F$3&gt;0),IF($A84=SYear85,F$56*(1+Data_85_15!F35%),F83*(1+Data_85_15!F35%)),"")</f>
        <v>62954.579193499041</v>
      </c>
      <c r="G84" s="446" t="str">
        <f>IF(AND($A84&gt;=SYear85,$A84&lt;=EYear85,G$3&gt;0),IF($A84=SYear85,G$56*(1+Data_85_15!G35%),G83*(1+Data_85_15!G35%)),"")</f>
        <v/>
      </c>
      <c r="H84" s="446" t="str">
        <f>IF(AND($A84&gt;=SYear85,$A84&lt;=EYear85,H$3&gt;0),IF($A84=SYear85,H$56*(1+Data_85_15!H35%),H83*(1+Data_85_15!H35%)),"")</f>
        <v/>
      </c>
      <c r="I84" s="446" t="str">
        <f>IF(AND($A84&gt;=SYear85,$A84&lt;=EYear85,I$3&gt;0),IF($A84=SYear85,I$56*(1+Data_85_15!I35%),I83*(1+Data_85_15!I35%)),"")</f>
        <v/>
      </c>
      <c r="J84" s="446" t="str">
        <f>IF(AND($A84&gt;=SYear85,$A84&lt;=EYear85,J$3&gt;0),IF($A84=SYear85,J$56*(1+Data_85_15!J35%),J83*(1+Data_85_15!J35%)),"")</f>
        <v/>
      </c>
      <c r="K84" s="446" t="str">
        <f>IF(AND($A84&gt;=SYear85,$A84&lt;=EYear85,K$3&gt;0),IF($A84=SYear85,K$56*(1+Data_85_15!K35%),K83*(1+Data_85_15!K35%)),"")</f>
        <v/>
      </c>
      <c r="L84" s="446" t="str">
        <f>IF(AND($A84&gt;=SYear85,$A84&lt;=EYear85,L$3&gt;0),IF($A84=SYear85,L$56*(1+Data_85_15!L35%),L83*(1+Data_85_15!L35%)),"")</f>
        <v/>
      </c>
      <c r="M84" s="446" t="str">
        <f>IF(AND($A84&gt;=SYear85,$A84&lt;=EYear85,M$3&gt;0),IF($A84=SYear85,M$56*(1+Data_85_15!M35%),M83*(1+Data_85_15!M35%)),"")</f>
        <v/>
      </c>
      <c r="N84" s="446" t="str">
        <f>IF(AND($A84&gt;=SYear85,$A84&lt;=EYear85,N$3&gt;0),IF($A84=SYear85,N$56*(1+Data_85_15!N35%),N83*(1+Data_85_15!N35%)),"")</f>
        <v/>
      </c>
      <c r="O84" s="446" t="str">
        <f>IF(AND($A84&gt;=SYear85,$A84&lt;=EYear85,O$3&gt;0),IF($A84=SYear85,O$56*(1+Data_85_15!O35%),O83*(1+Data_85_15!O35%)),"")</f>
        <v/>
      </c>
      <c r="P84" s="446" t="str">
        <f>IF(AND($A84&gt;=SYear85,$A84&lt;=EYear85,P$3&gt;0),IF($A84=SYear85,P$56*(1+Data_85_15!P35%),P83*(1+Data_85_15!P35%)),"")</f>
        <v/>
      </c>
      <c r="Q84" s="446" t="str">
        <f>IF(AND($A84&gt;=SYear85,$A84&lt;=EYear85,Q$3&gt;0),IF($A84=SYear85,Q$56*(1+Data_85_15!Q35%),Q83*(1+Data_85_15!Q35%)),"")</f>
        <v/>
      </c>
      <c r="R84" s="446" t="str">
        <f>IF(AND($A84&gt;=SYear85,$A84&lt;=EYear85,R$3&gt;0),IF($A84=SYear85,R$56*(1+Data_85_15!R35%),R83*(1+Data_85_15!R35%)),"")</f>
        <v/>
      </c>
      <c r="S84" s="446">
        <f>IF(AND($A84&gt;=SYear85,$A84&lt;=EYear85,S$3&gt;0),IF($A84=SYear85,S$56*(1+Data_85_15!S35%),S83*(1+Data_85_15!S35%)),"")</f>
        <v>33049.493228961313</v>
      </c>
      <c r="T84" s="446" t="str">
        <f>IF(AND($A84&gt;=SYear85,$A84&lt;=EYear85,T$3&gt;0),IF($A84=SYear85,T$56*(1+Data_85_15!T35%),T83*(1+Data_85_15!T35%)),"")</f>
        <v/>
      </c>
      <c r="U84" s="446" t="str">
        <f>IF(AND($A84&gt;=SYear85,$A84&lt;=EYear85,U$3&gt;0),IF($A84=SYear85,U$56*(1+Data_85_15!U35%),U83*(1+Data_85_15!U35%)),"")</f>
        <v/>
      </c>
      <c r="V84" s="446" t="str">
        <f>IF(AND($A84&gt;=SYear85,$A84&lt;=EYear85,V$3&gt;0),IF($A84=SYear85,V$56*(1+Data_85_15!V35%),V83*(1+Data_85_15!V35%)),"")</f>
        <v/>
      </c>
      <c r="W84" s="446">
        <f>IF(AND($A84&gt;=SYear85,$A84&lt;=EYear85,W$3&gt;0),IF($A84=SYear85,W$56*(1+Data_85_15!W35%),W83*(1+Data_85_15!W35%)),"")</f>
        <v>21337.470334814181</v>
      </c>
      <c r="X84" s="446" t="str">
        <f>IF(AND($A84&gt;=SYear85,$A84&lt;=EYear85,X$3&gt;0),IF($A84=SYear85,X$56*(1+Data_85_15!X35%),X83*(1+Data_85_15!X35%)),"")</f>
        <v/>
      </c>
      <c r="Y84" s="446" t="str">
        <f>IF(AND($A84&gt;=SYear85,$A84&lt;=EYear85,Y$3&gt;0),IF($A84=SYear85,Y$56*(1+Data_85_15!Y35%),Y83*(1+Data_85_15!Y35%)),"")</f>
        <v/>
      </c>
      <c r="Z84" s="446" t="str">
        <f>IF(AND($A84&gt;=SYear85,$A84&lt;=EYear85,Z$3&gt;0),IF($A84=SYear85,Z$56*(1+Data_85_15!Z35%),Z83*(1+Data_85_15!Z35%)),"")</f>
        <v/>
      </c>
      <c r="AA84" s="446" t="str">
        <f>IF(AND($A84&gt;=SYear85,$A84&lt;=EYear85,AA$3&gt;0),IF($A84=SYear85,AA$56*(1+Data_85_15!AA35%),AA83*(1+Data_85_15!AA35%)),"")</f>
        <v/>
      </c>
      <c r="AB84" s="446" t="str">
        <f>IF(AND($A84&gt;=SYear85,$A84&lt;=EYear85,AB$3&gt;0),IF($A84=SYear85,AB$56*(1+Data_85_15!AB35%),AB83*(1+Data_85_15!AB35%)),"")</f>
        <v/>
      </c>
      <c r="AC84" s="446" t="str">
        <f>IF(AND($A84&gt;=SYear85,$A84&lt;=EYear85,AC$3&gt;0),IF($A84=SYear85,AC$56*(1+Data_85_15!AC35%),AC83*(1+Data_85_15!AC35%)),"")</f>
        <v/>
      </c>
      <c r="AD84" s="446" t="str">
        <f>IF(AND($A84&gt;=SYear85,$A84&lt;=EYear85,AD$3&gt;0),IF($A84=SYear85,AD$56*(1+Data_85_15!AD35%),AD83*(1+Data_85_15!AD35%)),"")</f>
        <v/>
      </c>
      <c r="AE84" s="446" t="str">
        <f>IF(AND($A84&gt;=SYear85,$A84&lt;=EYear85,AE$3&gt;0),IF($A84=SYear85,AE$56*(1+Data_85_15!AE35%),AE83*(1+Data_85_15!AE35%)),"")</f>
        <v/>
      </c>
      <c r="AF84" s="446" t="str">
        <f>IF(AND($A84&gt;=SYear85,$A84&lt;=EYear85,AF$3&gt;0),IF($A84=SYear85,AF$56*(1+Data_85_15!AF35%),AF83*(1+Data_85_15!AF35%)),"")</f>
        <v/>
      </c>
      <c r="AG84" s="446" t="str">
        <f>IF(AND($A84&gt;=SYear85,$A84&lt;=EYear85,AG$3&gt;0),IF($A84=SYear85,AG$56*(1+Data_85_15!AG35%),AG83*(1+Data_85_15!AG35%)),"")</f>
        <v/>
      </c>
      <c r="AH84" s="446" t="str">
        <f>IF(AND($A84&gt;=SYear85,$A84&lt;=EYear85,AH$3&gt;0),IF($A84=SYear85,AH$56*(1+Data_85_15!AH35%),AH83*(1+Data_85_15!AH35%)),"")</f>
        <v/>
      </c>
      <c r="AI84" s="446" t="str">
        <f>IF(AND($A84&gt;=SYear85,$A84&lt;=EYear85,AI$3&gt;0),IF($A84=SYear85,AI$56*(1+Data_85_15!AI35%),AI83*(1+Data_85_15!AI35%)),"")</f>
        <v/>
      </c>
      <c r="AJ84" s="446" t="str">
        <f>IF(AND($A84&gt;=SYear85,$A84&lt;=EYear85,AJ$3&gt;0),IF($A84=SYear85,AJ$56*(1+Data_85_15!AJ35%),AJ83*(1+Data_85_15!AJ35%)),"")</f>
        <v/>
      </c>
      <c r="AK84" s="446" t="str">
        <f>IF(AND($A84&gt;=SYear85,$A84&lt;=EYear85,AK$3&gt;0),IF($A84=SYear85,AK$56*(1+Data_85_15!AK35%),AK83*(1+Data_85_15!AK35%)),"")</f>
        <v/>
      </c>
      <c r="AL84" s="446" t="str">
        <f>IF(AND($A84&gt;=SYear85,$A84&lt;=EYear85,AL$3&gt;0),IF($A84=SYear85,AL$56*(1+Data_85_15!AL35%),AL83*(1+Data_85_15!AL35%)),"")</f>
        <v/>
      </c>
      <c r="AM84" s="446" t="str">
        <f>IF(AND($A84&gt;=SYear85,$A84&lt;=EYear85,AM$3&gt;0),IF($A84=SYear85,AM$56*(1+Data_85_15!AM35%),AM83*(1+Data_85_15!AM35%)),"")</f>
        <v/>
      </c>
      <c r="AN84" s="446" t="str">
        <f>IF(AND($A84&gt;=SYear85,$A84&lt;=EYear85,AN$3&gt;0),IF($A84=SYear85,AN$56*(1+Data_85_15!AN35%),AN83*(1+Data_85_15!AN35%)),"")</f>
        <v/>
      </c>
      <c r="AO84" s="446">
        <f>IF(AND($A84&gt;=SYear85,$A84&lt;=EYear85,AO$3&gt;0),IF($A84=SYear85,AO$56*(1+Data_85_15!AO35%),AO83*(1+Data_85_15!AO35%)),"")</f>
        <v>12038.050405054451</v>
      </c>
      <c r="AP84" s="206" t="str">
        <f>IF(AND($A84&gt;=SYear85,$A84&lt;=EYear85,AP$3&gt;0),IF($A84=SYear85,AP$56*(1+Data_85_15!AP35%),AP83*(1+Data_85_15!AP35%)),"")</f>
        <v/>
      </c>
      <c r="AQ84" s="206" t="str">
        <f>IF(AND($A84&gt;=SYear85,$A84&lt;=EYear85,AQ$3&gt;0),IF($A84=SYear85,AQ$56*(1+Data_85_15!AQ35%),AQ83*(1+Data_85_15!AQ35%)),"")</f>
        <v/>
      </c>
      <c r="AR84" s="206" t="str">
        <f>IF(AND($A84&gt;=SYear85,$A84&lt;=EYear85,AR$3&gt;0),IF($A84=SYear85,AR$56*(1+Data_85_15!AR35%),AR83*(1+Data_85_15!AR35%)),"")</f>
        <v/>
      </c>
      <c r="AS84" s="206" t="str">
        <f>IF(AND($A84&gt;=SYear85,$A84&lt;=EYear85,AS$3&gt;0),IF($A84=SYear85,AS$56*(1+Data_85_15!AS35%),AS83*(1+Data_85_15!AS35%)),"")</f>
        <v/>
      </c>
      <c r="AT84" s="206" t="str">
        <f>IF(AND($A84&gt;=SYear85,$A84&lt;=EYear85,AT$3&gt;0),IF($A84=SYear85,AT$56*(1+Data_85_15!AT35%),AT83*(1+Data_85_15!AT35%)),"")</f>
        <v/>
      </c>
      <c r="AU84" s="206" t="str">
        <f>IF(AND($A84&gt;=SYear85,$A84&lt;=EYear85,AU$3&gt;0),IF($A84=SYear85,AU$56*(1+Data_85_15!AU35%),AU83*(1+Data_85_15!AU35%)),"")</f>
        <v/>
      </c>
      <c r="AV84" s="206" t="str">
        <f>IF(AND($A84&gt;=SYear85,$A84&lt;=EYear85,AV$3&gt;0),IF($A84=SYear85,AV$56*(1+Data_85_15!AV35%),AV83*(1+Data_85_15!AV35%)),"")</f>
        <v/>
      </c>
      <c r="AW84" s="206" t="str">
        <f>IF(AND($A84&gt;=SYear85,$A84&lt;=EYear85,AW$3&gt;0),IF($A84=SYear85,AW$56*(1+Data_85_15!AW35%),AW83*(1+Data_85_15!AW35%)),"")</f>
        <v/>
      </c>
      <c r="AX84" s="206" t="str">
        <f>IF(AND($A84&gt;=SYear85,$A84&lt;=EYear85,AX$3&gt;0),IF($A84=SYear85,AX$56*(1+Data_85_15!AX35%),AX83*(1+Data_85_15!AX35%)),"")</f>
        <v/>
      </c>
      <c r="AY84" s="206" t="str">
        <f>IF(AND($A84&gt;=SYear85,$A84&lt;=EYear85,AY$3&gt;0),IF($A84=SYear85,AY$56*(1+Data_85_15!AY35%),AY83*(1+Data_85_15!AY35%)),"")</f>
        <v/>
      </c>
      <c r="AZ84" s="206">
        <f>IF(AND($A84&gt;=SYear85,$A84&lt;=EYear85),IF($A84=SYear85,100*(BA84-$BA$56)/$BA$56,100*(BA84-BA83)/BA83),"")</f>
        <v>10.03403192571154</v>
      </c>
      <c r="BA84" s="446">
        <f>IF(AND($A84&gt;=SYear85,$A84&lt;=EYear85),SUM(B84:AR84),"")</f>
        <v>129379.59316232899</v>
      </c>
      <c r="BB84" s="206">
        <f>IF(AND($A84&gt;=SYear85,$A84&lt;=EYear85),(AZ84-Data_85_15!AZ35)/(1+Data_85_15!AZ35%),"")</f>
        <v>8.1510971325872958</v>
      </c>
      <c r="BC84" s="606">
        <f>IF(AND($A84&gt;=SYear85,$A84&lt;=EYear85),IF($A84=SYear85,$BC$4*(1+BB84%),$BC83*(1+BB84%)),"")</f>
        <v>59336.28843077003</v>
      </c>
      <c r="BD84" s="143">
        <f>IF(AND($A84&gt;=SYear85,$A84&lt;=EYear85),IF($A84=SYear85,$BD$54,$BD83*(1+AZ84%)),"")</f>
        <v>10.863634379506065</v>
      </c>
      <c r="BE84" s="143">
        <f>IF(AND($A84&gt;=SYear85,$A84&lt;=EYear85),MAX($BD$57:BD84),"")</f>
        <v>10.863634379506065</v>
      </c>
      <c r="BF84" s="209">
        <f>IF(AND($A84&gt;=SYear85,$A84&lt;=EYear85),1-(BD84/BE84),"")</f>
        <v>0</v>
      </c>
      <c r="BN84" s="61">
        <f t="shared" si="31"/>
        <v>0.10034031925711528</v>
      </c>
      <c r="BO84" s="61">
        <f t="shared" si="32"/>
        <v>0.11083432995826636</v>
      </c>
      <c r="BP84" s="61"/>
      <c r="BQ84" s="61"/>
      <c r="BR84" s="61"/>
      <c r="BU84" s="61">
        <f t="shared" si="36"/>
        <v>8.1510971325873038E-2</v>
      </c>
      <c r="BV84" s="61">
        <f t="shared" si="37"/>
        <v>9.6230185213154185E-2</v>
      </c>
      <c r="BW84" s="61"/>
      <c r="BX84" s="61"/>
      <c r="BY84" s="61"/>
    </row>
    <row r="85" spans="1:77">
      <c r="A85" s="204">
        <f t="shared" si="42"/>
        <v>2013</v>
      </c>
      <c r="B85" s="446" t="str">
        <f>IF(AND($A85&gt;=SYear85,$A85&lt;=EYear85,B$3&gt;0),IF($A85=SYear85,B$56*(1+Data_85_15!B36%),B84*(1+Data_85_15!B36%)),"")</f>
        <v/>
      </c>
      <c r="C85" s="446" t="str">
        <f>IF(AND($A85&gt;=SYear85,$A85&lt;=EYear85,C$3&gt;0),IF($A85=SYear85,C$56*(1+Data_85_15!C36%),C84*(1+Data_85_15!C36%)),"")</f>
        <v/>
      </c>
      <c r="D85" s="446" t="str">
        <f>IF(AND($A85&gt;=SYear85,$A85&lt;=EYear85,D$3&gt;0),IF($A85=SYear85,D$56*(1+Data_85_15!D36%),D84*(1+Data_85_15!D36%)),"")</f>
        <v/>
      </c>
      <c r="E85" s="446" t="str">
        <f>IF(AND($A85&gt;=SYear85,$A85&lt;=EYear85,E$3&gt;0),IF($A85=SYear85,E$56*(1+Data_85_15!E36%),E84*(1+Data_85_15!E36%)),"")</f>
        <v/>
      </c>
      <c r="F85" s="446">
        <f>IF(AND($A85&gt;=SYear85,$A85&lt;=EYear85,F$3&gt;0),IF($A85=SYear85,F$56*(1+Data_85_15!F36%),F84*(1+Data_85_15!F36%)),"")</f>
        <v>84988.681911223714</v>
      </c>
      <c r="G85" s="446" t="str">
        <f>IF(AND($A85&gt;=SYear85,$A85&lt;=EYear85,G$3&gt;0),IF($A85=SYear85,G$56*(1+Data_85_15!G36%),G84*(1+Data_85_15!G36%)),"")</f>
        <v/>
      </c>
      <c r="H85" s="446" t="str">
        <f>IF(AND($A85&gt;=SYear85,$A85&lt;=EYear85,H$3&gt;0),IF($A85=SYear85,H$56*(1+Data_85_15!H36%),H84*(1+Data_85_15!H36%)),"")</f>
        <v/>
      </c>
      <c r="I85" s="446" t="str">
        <f>IF(AND($A85&gt;=SYear85,$A85&lt;=EYear85,I$3&gt;0),IF($A85=SYear85,I$56*(1+Data_85_15!I36%),I84*(1+Data_85_15!I36%)),"")</f>
        <v/>
      </c>
      <c r="J85" s="446" t="str">
        <f>IF(AND($A85&gt;=SYear85,$A85&lt;=EYear85,J$3&gt;0),IF($A85=SYear85,J$56*(1+Data_85_15!J36%),J84*(1+Data_85_15!J36%)),"")</f>
        <v/>
      </c>
      <c r="K85" s="446" t="str">
        <f>IF(AND($A85&gt;=SYear85,$A85&lt;=EYear85,K$3&gt;0),IF($A85=SYear85,K$56*(1+Data_85_15!K36%),K84*(1+Data_85_15!K36%)),"")</f>
        <v/>
      </c>
      <c r="L85" s="446" t="str">
        <f>IF(AND($A85&gt;=SYear85,$A85&lt;=EYear85,L$3&gt;0),IF($A85=SYear85,L$56*(1+Data_85_15!L36%),L84*(1+Data_85_15!L36%)),"")</f>
        <v/>
      </c>
      <c r="M85" s="446" t="str">
        <f>IF(AND($A85&gt;=SYear85,$A85&lt;=EYear85,M$3&gt;0),IF($A85=SYear85,M$56*(1+Data_85_15!M36%),M84*(1+Data_85_15!M36%)),"")</f>
        <v/>
      </c>
      <c r="N85" s="446" t="str">
        <f>IF(AND($A85&gt;=SYear85,$A85&lt;=EYear85,N$3&gt;0),IF($A85=SYear85,N$56*(1+Data_85_15!N36%),N84*(1+Data_85_15!N36%)),"")</f>
        <v/>
      </c>
      <c r="O85" s="446" t="str">
        <f>IF(AND($A85&gt;=SYear85,$A85&lt;=EYear85,O$3&gt;0),IF($A85=SYear85,O$56*(1+Data_85_15!O36%),O84*(1+Data_85_15!O36%)),"")</f>
        <v/>
      </c>
      <c r="P85" s="446" t="str">
        <f>IF(AND($A85&gt;=SYear85,$A85&lt;=EYear85,P$3&gt;0),IF($A85=SYear85,P$56*(1+Data_85_15!P36%),P84*(1+Data_85_15!P36%)),"")</f>
        <v/>
      </c>
      <c r="Q85" s="446" t="str">
        <f>IF(AND($A85&gt;=SYear85,$A85&lt;=EYear85,Q$3&gt;0),IF($A85=SYear85,Q$56*(1+Data_85_15!Q36%),Q84*(1+Data_85_15!Q36%)),"")</f>
        <v/>
      </c>
      <c r="R85" s="446" t="str">
        <f>IF(AND($A85&gt;=SYear85,$A85&lt;=EYear85,R$3&gt;0),IF($A85=SYear85,R$56*(1+Data_85_15!R36%),R84*(1+Data_85_15!R36%)),"")</f>
        <v/>
      </c>
      <c r="S85" s="446">
        <f>IF(AND($A85&gt;=SYear85,$A85&lt;=EYear85,S$3&gt;0),IF($A85=SYear85,S$56*(1+Data_85_15!S36%),S84*(1+Data_85_15!S36%)),"")</f>
        <v>28743.144261227655</v>
      </c>
      <c r="T85" s="446" t="str">
        <f>IF(AND($A85&gt;=SYear85,$A85&lt;=EYear85,T$3&gt;0),IF($A85=SYear85,T$56*(1+Data_85_15!T36%),T84*(1+Data_85_15!T36%)),"")</f>
        <v/>
      </c>
      <c r="U85" s="446" t="str">
        <f>IF(AND($A85&gt;=SYear85,$A85&lt;=EYear85,U$3&gt;0),IF($A85=SYear85,U$56*(1+Data_85_15!U36%),U84*(1+Data_85_15!U36%)),"")</f>
        <v/>
      </c>
      <c r="V85" s="446" t="str">
        <f>IF(AND($A85&gt;=SYear85,$A85&lt;=EYear85,V$3&gt;0),IF($A85=SYear85,V$56*(1+Data_85_15!V36%),V84*(1+Data_85_15!V36%)),"")</f>
        <v/>
      </c>
      <c r="W85" s="446">
        <f>IF(AND($A85&gt;=SYear85,$A85&lt;=EYear85,W$3&gt;0),IF($A85=SYear85,W$56*(1+Data_85_15!W36%),W84*(1+Data_85_15!W36%)),"")</f>
        <v>19434.167980948758</v>
      </c>
      <c r="X85" s="446" t="str">
        <f>IF(AND($A85&gt;=SYear85,$A85&lt;=EYear85,X$3&gt;0),IF($A85=SYear85,X$56*(1+Data_85_15!X36%),X84*(1+Data_85_15!X36%)),"")</f>
        <v/>
      </c>
      <c r="Y85" s="446" t="str">
        <f>IF(AND($A85&gt;=SYear85,$A85&lt;=EYear85,Y$3&gt;0),IF($A85=SYear85,Y$56*(1+Data_85_15!Y36%),Y84*(1+Data_85_15!Y36%)),"")</f>
        <v/>
      </c>
      <c r="Z85" s="446" t="str">
        <f>IF(AND($A85&gt;=SYear85,$A85&lt;=EYear85,Z$3&gt;0),IF($A85=SYear85,Z$56*(1+Data_85_15!Z36%),Z84*(1+Data_85_15!Z36%)),"")</f>
        <v/>
      </c>
      <c r="AA85" s="446" t="str">
        <f>IF(AND($A85&gt;=SYear85,$A85&lt;=EYear85,AA$3&gt;0),IF($A85=SYear85,AA$56*(1+Data_85_15!AA36%),AA84*(1+Data_85_15!AA36%)),"")</f>
        <v/>
      </c>
      <c r="AB85" s="446" t="str">
        <f>IF(AND($A85&gt;=SYear85,$A85&lt;=EYear85,AB$3&gt;0),IF($A85=SYear85,AB$56*(1+Data_85_15!AB36%),AB84*(1+Data_85_15!AB36%)),"")</f>
        <v/>
      </c>
      <c r="AC85" s="446" t="str">
        <f>IF(AND($A85&gt;=SYear85,$A85&lt;=EYear85,AC$3&gt;0),IF($A85=SYear85,AC$56*(1+Data_85_15!AC36%),AC84*(1+Data_85_15!AC36%)),"")</f>
        <v/>
      </c>
      <c r="AD85" s="446" t="str">
        <f>IF(AND($A85&gt;=SYear85,$A85&lt;=EYear85,AD$3&gt;0),IF($A85=SYear85,AD$56*(1+Data_85_15!AD36%),AD84*(1+Data_85_15!AD36%)),"")</f>
        <v/>
      </c>
      <c r="AE85" s="446" t="str">
        <f>IF(AND($A85&gt;=SYear85,$A85&lt;=EYear85,AE$3&gt;0),IF($A85=SYear85,AE$56*(1+Data_85_15!AE36%),AE84*(1+Data_85_15!AE36%)),"")</f>
        <v/>
      </c>
      <c r="AF85" s="446" t="str">
        <f>IF(AND($A85&gt;=SYear85,$A85&lt;=EYear85,AF$3&gt;0),IF($A85=SYear85,AF$56*(1+Data_85_15!AF36%),AF84*(1+Data_85_15!AF36%)),"")</f>
        <v/>
      </c>
      <c r="AG85" s="446" t="str">
        <f>IF(AND($A85&gt;=SYear85,$A85&lt;=EYear85,AG$3&gt;0),IF($A85=SYear85,AG$56*(1+Data_85_15!AG36%),AG84*(1+Data_85_15!AG36%)),"")</f>
        <v/>
      </c>
      <c r="AH85" s="446" t="str">
        <f>IF(AND($A85&gt;=SYear85,$A85&lt;=EYear85,AH$3&gt;0),IF($A85=SYear85,AH$56*(1+Data_85_15!AH36%),AH84*(1+Data_85_15!AH36%)),"")</f>
        <v/>
      </c>
      <c r="AI85" s="446" t="str">
        <f>IF(AND($A85&gt;=SYear85,$A85&lt;=EYear85,AI$3&gt;0),IF($A85=SYear85,AI$56*(1+Data_85_15!AI36%),AI84*(1+Data_85_15!AI36%)),"")</f>
        <v/>
      </c>
      <c r="AJ85" s="446" t="str">
        <f>IF(AND($A85&gt;=SYear85,$A85&lt;=EYear85,AJ$3&gt;0),IF($A85=SYear85,AJ$56*(1+Data_85_15!AJ36%),AJ84*(1+Data_85_15!AJ36%)),"")</f>
        <v/>
      </c>
      <c r="AK85" s="446" t="str">
        <f>IF(AND($A85&gt;=SYear85,$A85&lt;=EYear85,AK$3&gt;0),IF($A85=SYear85,AK$56*(1+Data_85_15!AK36%),AK84*(1+Data_85_15!AK36%)),"")</f>
        <v/>
      </c>
      <c r="AL85" s="446" t="str">
        <f>IF(AND($A85&gt;=SYear85,$A85&lt;=EYear85,AL$3&gt;0),IF($A85=SYear85,AL$56*(1+Data_85_15!AL36%),AL84*(1+Data_85_15!AL36%)),"")</f>
        <v/>
      </c>
      <c r="AM85" s="446" t="str">
        <f>IF(AND($A85&gt;=SYear85,$A85&lt;=EYear85,AM$3&gt;0),IF($A85=SYear85,AM$56*(1+Data_85_15!AM36%),AM84*(1+Data_85_15!AM36%)),"")</f>
        <v/>
      </c>
      <c r="AN85" s="446" t="str">
        <f>IF(AND($A85&gt;=SYear85,$A85&lt;=EYear85,AN$3&gt;0),IF($A85=SYear85,AN$56*(1+Data_85_15!AN36%),AN84*(1+Data_85_15!AN36%)),"")</f>
        <v/>
      </c>
      <c r="AO85" s="446">
        <f>IF(AND($A85&gt;=SYear85,$A85&lt;=EYear85,AO$3&gt;0),IF($A85=SYear85,AO$56*(1+Data_85_15!AO36%),AO84*(1+Data_85_15!AO36%)),"")</f>
        <v>8627.6707253025252</v>
      </c>
      <c r="AP85" s="206" t="str">
        <f>IF(AND($A85&gt;=SYear85,$A85&lt;=EYear85,AP$3&gt;0),IF($A85=SYear85,AP$56*(1+Data_85_15!AP36%),AP84*(1+Data_85_15!AP36%)),"")</f>
        <v/>
      </c>
      <c r="AQ85" s="206" t="str">
        <f>IF(AND($A85&gt;=SYear85,$A85&lt;=EYear85,AQ$3&gt;0),IF($A85=SYear85,AQ$56*(1+Data_85_15!AQ36%),AQ84*(1+Data_85_15!AQ36%)),"")</f>
        <v/>
      </c>
      <c r="AR85" s="206" t="str">
        <f>IF(AND($A85&gt;=SYear85,$A85&lt;=EYear85,AR$3&gt;0),IF($A85=SYear85,AR$56*(1+Data_85_15!AR36%),AR84*(1+Data_85_15!AR36%)),"")</f>
        <v/>
      </c>
      <c r="AS85" s="206" t="str">
        <f>IF(AND($A85&gt;=SYear85,$A85&lt;=EYear85,AS$3&gt;0),IF($A85=SYear85,AS$56*(1+Data_85_15!AS36%),AS84*(1+Data_85_15!AS36%)),"")</f>
        <v/>
      </c>
      <c r="AT85" s="206" t="str">
        <f>IF(AND($A85&gt;=SYear85,$A85&lt;=EYear85,AT$3&gt;0),IF($A85=SYear85,AT$56*(1+Data_85_15!AT36%),AT84*(1+Data_85_15!AT36%)),"")</f>
        <v/>
      </c>
      <c r="AU85" s="206" t="str">
        <f>IF(AND($A85&gt;=SYear85,$A85&lt;=EYear85,AU$3&gt;0),IF($A85=SYear85,AU$56*(1+Data_85_15!AU36%),AU84*(1+Data_85_15!AU36%)),"")</f>
        <v/>
      </c>
      <c r="AV85" s="206" t="str">
        <f>IF(AND($A85&gt;=SYear85,$A85&lt;=EYear85,AV$3&gt;0),IF($A85=SYear85,AV$56*(1+Data_85_15!AV36%),AV84*(1+Data_85_15!AV36%)),"")</f>
        <v/>
      </c>
      <c r="AW85" s="206" t="str">
        <f>IF(AND($A85&gt;=SYear85,$A85&lt;=EYear85,AW$3&gt;0),IF($A85=SYear85,AW$56*(1+Data_85_15!AW36%),AW84*(1+Data_85_15!AW36%)),"")</f>
        <v/>
      </c>
      <c r="AX85" s="206" t="str">
        <f>IF(AND($A85&gt;=SYear85,$A85&lt;=EYear85,AX$3&gt;0),IF($A85=SYear85,AX$56*(1+Data_85_15!AX36%),AX84*(1+Data_85_15!AX36%)),"")</f>
        <v/>
      </c>
      <c r="AY85" s="206" t="str">
        <f>IF(AND($A85&gt;=SYear85,$A85&lt;=EYear85,AY$3&gt;0),IF($A85=SYear85,AY$56*(1+Data_85_15!AY36%),AY84*(1+Data_85_15!AY36%)),"")</f>
        <v/>
      </c>
      <c r="AZ85" s="206">
        <f>IF(AND($A85&gt;=SYear85,$A85&lt;=EYear85),IF($A85=SYear85,100*(BA85-$BA$56)/$BA$56,100*(BA85-BA84)/BA84),"")</f>
        <v>9.5950771006043265</v>
      </c>
      <c r="BA85" s="446">
        <f>IF(AND($A85&gt;=SYear85,$A85&lt;=EYear85),SUM(B85:AR85),"")</f>
        <v>141793.66487870266</v>
      </c>
      <c r="BB85" s="206">
        <f>IF(AND($A85&gt;=SYear85,$A85&lt;=EYear85),(AZ85-Data_85_15!AZ36)/(1+Data_85_15!AZ36%),"")</f>
        <v>7.9735991030892679</v>
      </c>
      <c r="BC85" s="606">
        <f>IF(AND($A85&gt;=SYear85,$A85&lt;=EYear85),IF($A85=SYear85,$BC$4*(1+BB85%),$BC84*(1+BB85%)),"")</f>
        <v>64067.526192892379</v>
      </c>
      <c r="BD85" s="143">
        <f>IF(AND($A85&gt;=SYear85,$A85&lt;=EYear85),IF($A85=SYear85,$BD$54,$BD84*(1+AZ85%)),"")</f>
        <v>11.906008474147431</v>
      </c>
      <c r="BE85" s="143">
        <f>IF(AND($A85&gt;=SYear85,$A85&lt;=EYear85),MAX($BD$57:BD85),"")</f>
        <v>11.906008474147431</v>
      </c>
      <c r="BF85" s="209">
        <f>IF(AND($A85&gt;=SYear85,$A85&lt;=EYear85),1-(BD85/BE85),"")</f>
        <v>0</v>
      </c>
      <c r="BN85" s="61">
        <f t="shared" si="31"/>
        <v>9.5950771006043212E-2</v>
      </c>
      <c r="BO85" s="61">
        <f t="shared" si="32"/>
        <v>6.8741868410289841E-2</v>
      </c>
      <c r="BP85" s="61"/>
      <c r="BQ85" s="61"/>
      <c r="BR85" s="61"/>
      <c r="BU85" s="61">
        <f t="shared" si="36"/>
        <v>7.9735991030892794E-2</v>
      </c>
      <c r="BV85" s="61">
        <f t="shared" si="37"/>
        <v>5.8209683627964637E-2</v>
      </c>
      <c r="BW85" s="61"/>
      <c r="BX85" s="61"/>
      <c r="BY85" s="61"/>
    </row>
    <row r="86" spans="1:77">
      <c r="A86" s="204">
        <f t="shared" si="42"/>
        <v>2014</v>
      </c>
      <c r="B86" s="446" t="str">
        <f>IF(AND($A86&gt;=SYear85,$A86&lt;=EYear85,B$3&gt;0),IF($A86=SYear85,B$56*(1+Data_85_15!B37%),B85*(1+Data_85_15!B37%)),"")</f>
        <v/>
      </c>
      <c r="C86" s="446" t="str">
        <f>IF(AND($A86&gt;=SYear85,$A86&lt;=EYear85,C$3&gt;0),IF($A86=SYear85,C$56*(1+Data_85_15!C37%),C85*(1+Data_85_15!C37%)),"")</f>
        <v/>
      </c>
      <c r="D86" s="446" t="str">
        <f>IF(AND($A86&gt;=SYear85,$A86&lt;=EYear85,D$3&gt;0),IF($A86=SYear85,D$56*(1+Data_85_15!D37%),D85*(1+Data_85_15!D37%)),"")</f>
        <v/>
      </c>
      <c r="E86" s="446" t="str">
        <f>IF(AND($A86&gt;=SYear85,$A86&lt;=EYear85,E$3&gt;0),IF($A86=SYear85,E$56*(1+Data_85_15!E37%),E85*(1+Data_85_15!E37%)),"")</f>
        <v/>
      </c>
      <c r="F86" s="446">
        <f>IF(AND($A86&gt;=SYear85,$A86&lt;=EYear85,F$3&gt;0),IF($A86=SYear85,F$56*(1+Data_85_15!F37%),F85*(1+Data_85_15!F37%)),"")</f>
        <v>96547.142651150149</v>
      </c>
      <c r="G86" s="446" t="str">
        <f>IF(AND($A86&gt;=SYear85,$A86&lt;=EYear85,G$3&gt;0),IF($A86=SYear85,G$56*(1+Data_85_15!G37%),G85*(1+Data_85_15!G37%)),"")</f>
        <v/>
      </c>
      <c r="H86" s="446" t="str">
        <f>IF(AND($A86&gt;=SYear85,$A86&lt;=EYear85,H$3&gt;0),IF($A86=SYear85,H$56*(1+Data_85_15!H37%),H85*(1+Data_85_15!H37%)),"")</f>
        <v/>
      </c>
      <c r="I86" s="446" t="str">
        <f>IF(AND($A86&gt;=SYear85,$A86&lt;=EYear85,I$3&gt;0),IF($A86=SYear85,I$56*(1+Data_85_15!I37%),I85*(1+Data_85_15!I37%)),"")</f>
        <v/>
      </c>
      <c r="J86" s="446" t="str">
        <f>IF(AND($A86&gt;=SYear85,$A86&lt;=EYear85,J$3&gt;0),IF($A86=SYear85,J$56*(1+Data_85_15!J37%),J85*(1+Data_85_15!J37%)),"")</f>
        <v/>
      </c>
      <c r="K86" s="446" t="str">
        <f>IF(AND($A86&gt;=SYear85,$A86&lt;=EYear85,K$3&gt;0),IF($A86=SYear85,K$56*(1+Data_85_15!K37%),K85*(1+Data_85_15!K37%)),"")</f>
        <v/>
      </c>
      <c r="L86" s="446" t="str">
        <f>IF(AND($A86&gt;=SYear85,$A86&lt;=EYear85,L$3&gt;0),IF($A86=SYear85,L$56*(1+Data_85_15!L37%),L85*(1+Data_85_15!L37%)),"")</f>
        <v/>
      </c>
      <c r="M86" s="446" t="str">
        <f>IF(AND($A86&gt;=SYear85,$A86&lt;=EYear85,M$3&gt;0),IF($A86=SYear85,M$56*(1+Data_85_15!M37%),M85*(1+Data_85_15!M37%)),"")</f>
        <v/>
      </c>
      <c r="N86" s="446" t="str">
        <f>IF(AND($A86&gt;=SYear85,$A86&lt;=EYear85,N$3&gt;0),IF($A86=SYear85,N$56*(1+Data_85_15!N37%),N85*(1+Data_85_15!N37%)),"")</f>
        <v/>
      </c>
      <c r="O86" s="446" t="str">
        <f>IF(AND($A86&gt;=SYear85,$A86&lt;=EYear85,O$3&gt;0),IF($A86=SYear85,O$56*(1+Data_85_15!O37%),O85*(1+Data_85_15!O37%)),"")</f>
        <v/>
      </c>
      <c r="P86" s="446" t="str">
        <f>IF(AND($A86&gt;=SYear85,$A86&lt;=EYear85,P$3&gt;0),IF($A86=SYear85,P$56*(1+Data_85_15!P37%),P85*(1+Data_85_15!P37%)),"")</f>
        <v/>
      </c>
      <c r="Q86" s="446" t="str">
        <f>IF(AND($A86&gt;=SYear85,$A86&lt;=EYear85,Q$3&gt;0),IF($A86=SYear85,Q$56*(1+Data_85_15!Q37%),Q85*(1+Data_85_15!Q37%)),"")</f>
        <v/>
      </c>
      <c r="R86" s="446" t="str">
        <f>IF(AND($A86&gt;=SYear85,$A86&lt;=EYear85,R$3&gt;0),IF($A86=SYear85,R$56*(1+Data_85_15!R37%),R85*(1+Data_85_15!R37%)),"")</f>
        <v/>
      </c>
      <c r="S86" s="446">
        <f>IF(AND($A86&gt;=SYear85,$A86&lt;=EYear85,S$3&gt;0),IF($A86=SYear85,S$56*(1+Data_85_15!S37%),S85*(1+Data_85_15!S37%)),"")</f>
        <v>36006.536816039879</v>
      </c>
      <c r="T86" s="446" t="str">
        <f>IF(AND($A86&gt;=SYear85,$A86&lt;=EYear85,T$3&gt;0),IF($A86=SYear85,T$56*(1+Data_85_15!T37%),T85*(1+Data_85_15!T37%)),"")</f>
        <v/>
      </c>
      <c r="U86" s="446" t="str">
        <f>IF(AND($A86&gt;=SYear85,$A86&lt;=EYear85,U$3&gt;0),IF($A86=SYear85,U$56*(1+Data_85_15!U37%),U85*(1+Data_85_15!U37%)),"")</f>
        <v/>
      </c>
      <c r="V86" s="446" t="str">
        <f>IF(AND($A86&gt;=SYear85,$A86&lt;=EYear85,V$3&gt;0),IF($A86=SYear85,V$56*(1+Data_85_15!V37%),V85*(1+Data_85_15!V37%)),"")</f>
        <v/>
      </c>
      <c r="W86" s="446">
        <f>IF(AND($A86&gt;=SYear85,$A86&lt;=EYear85,W$3&gt;0),IF($A86=SYear85,W$56*(1+Data_85_15!W37%),W85*(1+Data_85_15!W37%)),"")</f>
        <v>20178.496614619096</v>
      </c>
      <c r="X86" s="446" t="str">
        <f>IF(AND($A86&gt;=SYear85,$A86&lt;=EYear85,X$3&gt;0),IF($A86=SYear85,X$56*(1+Data_85_15!X37%),X85*(1+Data_85_15!X37%)),"")</f>
        <v/>
      </c>
      <c r="Y86" s="446" t="str">
        <f>IF(AND($A86&gt;=SYear85,$A86&lt;=EYear85,Y$3&gt;0),IF($A86=SYear85,Y$56*(1+Data_85_15!Y37%),Y85*(1+Data_85_15!Y37%)),"")</f>
        <v/>
      </c>
      <c r="Z86" s="446" t="str">
        <f>IF(AND($A86&gt;=SYear85,$A86&lt;=EYear85,Z$3&gt;0),IF($A86=SYear85,Z$56*(1+Data_85_15!Z37%),Z85*(1+Data_85_15!Z37%)),"")</f>
        <v/>
      </c>
      <c r="AA86" s="446" t="str">
        <f>IF(AND($A86&gt;=SYear85,$A86&lt;=EYear85,AA$3&gt;0),IF($A86=SYear85,AA$56*(1+Data_85_15!AA37%),AA85*(1+Data_85_15!AA37%)),"")</f>
        <v/>
      </c>
      <c r="AB86" s="446" t="str">
        <f>IF(AND($A86&gt;=SYear85,$A86&lt;=EYear85,AB$3&gt;0),IF($A86=SYear85,AB$56*(1+Data_85_15!AB37%),AB85*(1+Data_85_15!AB37%)),"")</f>
        <v/>
      </c>
      <c r="AC86" s="446" t="str">
        <f>IF(AND($A86&gt;=SYear85,$A86&lt;=EYear85,AC$3&gt;0),IF($A86=SYear85,AC$56*(1+Data_85_15!AC37%),AC85*(1+Data_85_15!AC37%)),"")</f>
        <v/>
      </c>
      <c r="AD86" s="446" t="str">
        <f>IF(AND($A86&gt;=SYear85,$A86&lt;=EYear85,AD$3&gt;0),IF($A86=SYear85,AD$56*(1+Data_85_15!AD37%),AD85*(1+Data_85_15!AD37%)),"")</f>
        <v/>
      </c>
      <c r="AE86" s="446" t="str">
        <f>IF(AND($A86&gt;=SYear85,$A86&lt;=EYear85,AE$3&gt;0),IF($A86=SYear85,AE$56*(1+Data_85_15!AE37%),AE85*(1+Data_85_15!AE37%)),"")</f>
        <v/>
      </c>
      <c r="AF86" s="446" t="str">
        <f>IF(AND($A86&gt;=SYear85,$A86&lt;=EYear85,AF$3&gt;0),IF($A86=SYear85,AF$56*(1+Data_85_15!AF37%),AF85*(1+Data_85_15!AF37%)),"")</f>
        <v/>
      </c>
      <c r="AG86" s="446" t="str">
        <f>IF(AND($A86&gt;=SYear85,$A86&lt;=EYear85,AG$3&gt;0),IF($A86=SYear85,AG$56*(1+Data_85_15!AG37%),AG85*(1+Data_85_15!AG37%)),"")</f>
        <v/>
      </c>
      <c r="AH86" s="446" t="str">
        <f>IF(AND($A86&gt;=SYear85,$A86&lt;=EYear85,AH$3&gt;0),IF($A86=SYear85,AH$56*(1+Data_85_15!AH37%),AH85*(1+Data_85_15!AH37%)),"")</f>
        <v/>
      </c>
      <c r="AI86" s="446" t="str">
        <f>IF(AND($A86&gt;=SYear85,$A86&lt;=EYear85,AI$3&gt;0),IF($A86=SYear85,AI$56*(1+Data_85_15!AI37%),AI85*(1+Data_85_15!AI37%)),"")</f>
        <v/>
      </c>
      <c r="AJ86" s="446" t="str">
        <f>IF(AND($A86&gt;=SYear85,$A86&lt;=EYear85,AJ$3&gt;0),IF($A86=SYear85,AJ$56*(1+Data_85_15!AJ37%),AJ85*(1+Data_85_15!AJ37%)),"")</f>
        <v/>
      </c>
      <c r="AK86" s="446" t="str">
        <f>IF(AND($A86&gt;=SYear85,$A86&lt;=EYear85,AK$3&gt;0),IF($A86=SYear85,AK$56*(1+Data_85_15!AK37%),AK85*(1+Data_85_15!AK37%)),"")</f>
        <v/>
      </c>
      <c r="AL86" s="446" t="str">
        <f>IF(AND($A86&gt;=SYear85,$A86&lt;=EYear85,AL$3&gt;0),IF($A86=SYear85,AL$56*(1+Data_85_15!AL37%),AL85*(1+Data_85_15!AL37%)),"")</f>
        <v/>
      </c>
      <c r="AM86" s="446" t="str">
        <f>IF(AND($A86&gt;=SYear85,$A86&lt;=EYear85,AM$3&gt;0),IF($A86=SYear85,AM$56*(1+Data_85_15!AM37%),AM85*(1+Data_85_15!AM37%)),"")</f>
        <v/>
      </c>
      <c r="AN86" s="446" t="str">
        <f>IF(AND($A86&gt;=SYear85,$A86&lt;=EYear85,AN$3&gt;0),IF($A86=SYear85,AN$56*(1+Data_85_15!AN37%),AN85*(1+Data_85_15!AN37%)),"")</f>
        <v/>
      </c>
      <c r="AO86" s="446">
        <f>IF(AND($A86&gt;=SYear85,$A86&lt;=EYear85,AO$3&gt;0),IF($A86=SYear85,AO$56*(1+Data_85_15!AO37%),AO85*(1+Data_85_15!AO37%)),"")</f>
        <v>8438.7247364184004</v>
      </c>
      <c r="AP86" s="206" t="str">
        <f>IF(AND($A86&gt;=SYear85,$A86&lt;=EYear85,AP$3&gt;0),IF($A86=SYear85,AP$56*(1+Data_85_15!AP37%),AP85*(1+Data_85_15!AP37%)),"")</f>
        <v/>
      </c>
      <c r="AQ86" s="206" t="str">
        <f>IF(AND($A86&gt;=SYear85,$A86&lt;=EYear85,AQ$3&gt;0),IF($A86=SYear85,AQ$56*(1+Data_85_15!AQ37%),AQ85*(1+Data_85_15!AQ37%)),"")</f>
        <v/>
      </c>
      <c r="AR86" s="206" t="str">
        <f>IF(AND($A86&gt;=SYear85,$A86&lt;=EYear85,AR$3&gt;0),IF($A86=SYear85,AR$56*(1+Data_85_15!AR37%),AR85*(1+Data_85_15!AR37%)),"")</f>
        <v/>
      </c>
      <c r="AS86" s="206" t="str">
        <f>IF(AND($A86&gt;=SYear85,$A86&lt;=EYear85,AS$3&gt;0),IF($A86=SYear85,AS$56*(1+Data_85_15!AS37%),AS85*(1+Data_85_15!AS37%)),"")</f>
        <v/>
      </c>
      <c r="AT86" s="206" t="str">
        <f>IF(AND($A86&gt;=SYear85,$A86&lt;=EYear85,AT$3&gt;0),IF($A86=SYear85,AT$56*(1+Data_85_15!AT37%),AT85*(1+Data_85_15!AT37%)),"")</f>
        <v/>
      </c>
      <c r="AU86" s="206" t="str">
        <f>IF(AND($A86&gt;=SYear85,$A86&lt;=EYear85,AU$3&gt;0),IF($A86=SYear85,AU$56*(1+Data_85_15!AU37%),AU85*(1+Data_85_15!AU37%)),"")</f>
        <v/>
      </c>
      <c r="AV86" s="206" t="str">
        <f>IF(AND($A86&gt;=SYear85,$A86&lt;=EYear85,AV$3&gt;0),IF($A86=SYear85,AV$56*(1+Data_85_15!AV37%),AV85*(1+Data_85_15!AV37%)),"")</f>
        <v/>
      </c>
      <c r="AW86" s="206" t="str">
        <f>IF(AND($A86&gt;=SYear85,$A86&lt;=EYear85,AW$3&gt;0),IF($A86=SYear85,AW$56*(1+Data_85_15!AW37%),AW85*(1+Data_85_15!AW37%)),"")</f>
        <v/>
      </c>
      <c r="AX86" s="206" t="str">
        <f>IF(AND($A86&gt;=SYear85,$A86&lt;=EYear85,AX$3&gt;0),IF($A86=SYear85,AX$56*(1+Data_85_15!AX37%),AX85*(1+Data_85_15!AX37%)),"")</f>
        <v/>
      </c>
      <c r="AY86" s="206" t="str">
        <f>IF(AND($A86&gt;=SYear85,$A86&lt;=EYear85,AY$3&gt;0),IF($A86=SYear85,AY$56*(1+Data_85_15!AY37%),AY85*(1+Data_85_15!AY37%)),"")</f>
        <v/>
      </c>
      <c r="AZ86" s="206">
        <f>IF(AND($A86&gt;=SYear85,$A86&lt;=EYear85),IF($A86=SYear85,100*(BA86-$BA$56)/$BA$56,100*(BA86-BA85)/BA85),"")</f>
        <v>13.665798084915227</v>
      </c>
      <c r="BA86" s="446">
        <f>IF(AND($A86&gt;=SYear85,$A86&lt;=EYear85),SUM(B86:AR86),"")</f>
        <v>161170.90081822753</v>
      </c>
      <c r="BB86" s="206">
        <f>IF(AND($A86&gt;=SYear85,$A86&lt;=EYear85),(AZ86-Data_85_15!AZ37)/(1+Data_85_15!AZ37%),"")</f>
        <v>12.812380022705002</v>
      </c>
      <c r="BC86" s="606">
        <f>IF(AND($A86&gt;=SYear85,$A86&lt;=EYear85),IF($A86=SYear85,$BC$4*(1+BB86%),$BC85*(1+BB86%)),"")</f>
        <v>72276.101119871819</v>
      </c>
      <c r="BD86" s="143">
        <f>IF(AND($A86&gt;=SYear85,$A86&lt;=EYear85),IF($A86=SYear85,$BD$54,$BD85*(1+AZ86%)),"")</f>
        <v>13.533059552197313</v>
      </c>
      <c r="BE86" s="143">
        <f>IF(AND($A86&gt;=SYear85,$A86&lt;=EYear85),MAX($BD$57:BD86),"")</f>
        <v>13.533059552197313</v>
      </c>
      <c r="BF86" s="209">
        <f>IF(AND($A86&gt;=SYear85,$A86&lt;=EYear85),1-(BD86/BE86),"")</f>
        <v>0</v>
      </c>
      <c r="BN86" s="61">
        <f t="shared" si="31"/>
        <v>0.13665798084915237</v>
      </c>
      <c r="BO86" s="61"/>
      <c r="BP86" s="61"/>
      <c r="BQ86" s="61"/>
      <c r="BR86" s="61"/>
      <c r="BU86" s="61">
        <f t="shared" si="36"/>
        <v>0.12812380022704994</v>
      </c>
      <c r="BV86" s="61"/>
      <c r="BW86" s="61"/>
      <c r="BX86" s="61"/>
      <c r="BY86" s="61"/>
    </row>
    <row r="87" spans="1:77">
      <c r="A87" s="204">
        <f t="shared" si="42"/>
        <v>2015</v>
      </c>
      <c r="B87" s="446" t="str">
        <f>IF(AND($A87&gt;=SYear85,$A87&lt;=EYear85,B$3&gt;0),IF($A87=SYear85,B$56*(1+Data_85_15!B38%),B86*(1+Data_85_15!B38%)),"")</f>
        <v/>
      </c>
      <c r="C87" s="446" t="str">
        <f>IF(AND($A87&gt;=SYear85,$A87&lt;=EYear85,C$3&gt;0),IF($A87=SYear85,C$56*(1+Data_85_15!C38%),C86*(1+Data_85_15!C38%)),"")</f>
        <v/>
      </c>
      <c r="D87" s="446" t="str">
        <f>IF(AND($A87&gt;=SYear85,$A87&lt;=EYear85,D$3&gt;0),IF($A87=SYear85,D$56*(1+Data_85_15!D38%),D86*(1+Data_85_15!D38%)),"")</f>
        <v/>
      </c>
      <c r="E87" s="446" t="str">
        <f>IF(AND($A87&gt;=SYear85,$A87&lt;=EYear85,E$3&gt;0),IF($A87=SYear85,E$56*(1+Data_85_15!E38%),E86*(1+Data_85_15!E38%)),"")</f>
        <v/>
      </c>
      <c r="F87" s="446">
        <f>IF(AND($A87&gt;=SYear85,$A87&lt;=EYear85,F$3&gt;0),IF($A87=SYear85,F$56*(1+Data_85_15!F38%),F86*(1+Data_85_15!F38%)),"")</f>
        <v>95137.554368443365</v>
      </c>
      <c r="G87" s="446" t="str">
        <f>IF(AND($A87&gt;=SYear85,$A87&lt;=EYear85,G$3&gt;0),IF($A87=SYear85,G$56*(1+Data_85_15!G38%),G86*(1+Data_85_15!G38%)),"")</f>
        <v/>
      </c>
      <c r="H87" s="446" t="str">
        <f>IF(AND($A87&gt;=SYear85,$A87&lt;=EYear85,H$3&gt;0),IF($A87=SYear85,H$56*(1+Data_85_15!H38%),H86*(1+Data_85_15!H38%)),"")</f>
        <v/>
      </c>
      <c r="I87" s="446" t="str">
        <f>IF(AND($A87&gt;=SYear85,$A87&lt;=EYear85,I$3&gt;0),IF($A87=SYear85,I$56*(1+Data_85_15!I38%),I86*(1+Data_85_15!I38%)),"")</f>
        <v/>
      </c>
      <c r="J87" s="446" t="str">
        <f>IF(AND($A87&gt;=SYear85,$A87&lt;=EYear85,J$3&gt;0),IF($A87=SYear85,J$56*(1+Data_85_15!J38%),J86*(1+Data_85_15!J38%)),"")</f>
        <v/>
      </c>
      <c r="K87" s="446" t="str">
        <f>IF(AND($A87&gt;=SYear85,$A87&lt;=EYear85,K$3&gt;0),IF($A87=SYear85,K$56*(1+Data_85_15!K38%),K86*(1+Data_85_15!K38%)),"")</f>
        <v/>
      </c>
      <c r="L87" s="446" t="str">
        <f>IF(AND($A87&gt;=SYear85,$A87&lt;=EYear85,L$3&gt;0),IF($A87=SYear85,L$56*(1+Data_85_15!L38%),L86*(1+Data_85_15!L38%)),"")</f>
        <v/>
      </c>
      <c r="M87" s="446" t="str">
        <f>IF(AND($A87&gt;=SYear85,$A87&lt;=EYear85,M$3&gt;0),IF($A87=SYear85,M$56*(1+Data_85_15!M38%),M86*(1+Data_85_15!M38%)),"")</f>
        <v/>
      </c>
      <c r="N87" s="446" t="str">
        <f>IF(AND($A87&gt;=SYear85,$A87&lt;=EYear85,N$3&gt;0),IF($A87=SYear85,N$56*(1+Data_85_15!N38%),N86*(1+Data_85_15!N38%)),"")</f>
        <v/>
      </c>
      <c r="O87" s="446" t="str">
        <f>IF(AND($A87&gt;=SYear85,$A87&lt;=EYear85,O$3&gt;0),IF($A87=SYear85,O$56*(1+Data_85_15!O38%),O86*(1+Data_85_15!O38%)),"")</f>
        <v/>
      </c>
      <c r="P87" s="446" t="str">
        <f>IF(AND($A87&gt;=SYear85,$A87&lt;=EYear85,P$3&gt;0),IF($A87=SYear85,P$56*(1+Data_85_15!P38%),P86*(1+Data_85_15!P38%)),"")</f>
        <v/>
      </c>
      <c r="Q87" s="446" t="str">
        <f>IF(AND($A87&gt;=SYear85,$A87&lt;=EYear85,Q$3&gt;0),IF($A87=SYear85,Q$56*(1+Data_85_15!Q38%),Q86*(1+Data_85_15!Q38%)),"")</f>
        <v/>
      </c>
      <c r="R87" s="446" t="str">
        <f>IF(AND($A87&gt;=SYear85,$A87&lt;=EYear85,R$3&gt;0),IF($A87=SYear85,R$56*(1+Data_85_15!R38%),R86*(1+Data_85_15!R38%)),"")</f>
        <v/>
      </c>
      <c r="S87" s="446">
        <f>IF(AND($A87&gt;=SYear85,$A87&lt;=EYear85,S$3&gt;0),IF($A87=SYear85,S$56*(1+Data_85_15!S38%),S86*(1+Data_85_15!S38%)),"")</f>
        <v>35452.036149072868</v>
      </c>
      <c r="T87" s="446" t="str">
        <f>IF(AND($A87&gt;=SYear85,$A87&lt;=EYear85,T$3&gt;0),IF($A87=SYear85,T$56*(1+Data_85_15!T38%),T86*(1+Data_85_15!T38%)),"")</f>
        <v/>
      </c>
      <c r="U87" s="446" t="str">
        <f>IF(AND($A87&gt;=SYear85,$A87&lt;=EYear85,U$3&gt;0),IF($A87=SYear85,U$56*(1+Data_85_15!U38%),U86*(1+Data_85_15!U38%)),"")</f>
        <v/>
      </c>
      <c r="V87" s="446" t="str">
        <f>IF(AND($A87&gt;=SYear85,$A87&lt;=EYear85,V$3&gt;0),IF($A87=SYear85,V$56*(1+Data_85_15!V38%),V86*(1+Data_85_15!V38%)),"")</f>
        <v/>
      </c>
      <c r="W87" s="446">
        <f>IF(AND($A87&gt;=SYear85,$A87&lt;=EYear85,W$3&gt;0),IF($A87=SYear85,W$56*(1+Data_85_15!W38%),W86*(1+Data_85_15!W38%)),"")</f>
        <v>19809.230126571569</v>
      </c>
      <c r="X87" s="446" t="str">
        <f>IF(AND($A87&gt;=SYear85,$A87&lt;=EYear85,X$3&gt;0),IF($A87=SYear85,X$56*(1+Data_85_15!X38%),X86*(1+Data_85_15!X38%)),"")</f>
        <v/>
      </c>
      <c r="Y87" s="446" t="str">
        <f>IF(AND($A87&gt;=SYear85,$A87&lt;=EYear85,Y$3&gt;0),IF($A87=SYear85,Y$56*(1+Data_85_15!Y38%),Y86*(1+Data_85_15!Y38%)),"")</f>
        <v/>
      </c>
      <c r="Z87" s="446" t="str">
        <f>IF(AND($A87&gt;=SYear85,$A87&lt;=EYear85,Z$3&gt;0),IF($A87=SYear85,Z$56*(1+Data_85_15!Z38%),Z86*(1+Data_85_15!Z38%)),"")</f>
        <v/>
      </c>
      <c r="AA87" s="446" t="str">
        <f>IF(AND($A87&gt;=SYear85,$A87&lt;=EYear85,AA$3&gt;0),IF($A87=SYear85,AA$56*(1+Data_85_15!AA38%),AA86*(1+Data_85_15!AA38%)),"")</f>
        <v/>
      </c>
      <c r="AB87" s="446" t="str">
        <f>IF(AND($A87&gt;=SYear85,$A87&lt;=EYear85,AB$3&gt;0),IF($A87=SYear85,AB$56*(1+Data_85_15!AB38%),AB86*(1+Data_85_15!AB38%)),"")</f>
        <v/>
      </c>
      <c r="AC87" s="446" t="str">
        <f>IF(AND($A87&gt;=SYear85,$A87&lt;=EYear85,AC$3&gt;0),IF($A87=SYear85,AC$56*(1+Data_85_15!AC38%),AC86*(1+Data_85_15!AC38%)),"")</f>
        <v/>
      </c>
      <c r="AD87" s="446" t="str">
        <f>IF(AND($A87&gt;=SYear85,$A87&lt;=EYear85,AD$3&gt;0),IF($A87=SYear85,AD$56*(1+Data_85_15!AD38%),AD86*(1+Data_85_15!AD38%)),"")</f>
        <v/>
      </c>
      <c r="AE87" s="446" t="str">
        <f>IF(AND($A87&gt;=SYear85,$A87&lt;=EYear85,AE$3&gt;0),IF($A87=SYear85,AE$56*(1+Data_85_15!AE38%),AE86*(1+Data_85_15!AE38%)),"")</f>
        <v/>
      </c>
      <c r="AF87" s="446" t="str">
        <f>IF(AND($A87&gt;=SYear85,$A87&lt;=EYear85,AF$3&gt;0),IF($A87=SYear85,AF$56*(1+Data_85_15!AF38%),AF86*(1+Data_85_15!AF38%)),"")</f>
        <v/>
      </c>
      <c r="AG87" s="446" t="str">
        <f>IF(AND($A87&gt;=SYear85,$A87&lt;=EYear85,AG$3&gt;0),IF($A87=SYear85,AG$56*(1+Data_85_15!AG38%),AG86*(1+Data_85_15!AG38%)),"")</f>
        <v/>
      </c>
      <c r="AH87" s="446" t="str">
        <f>IF(AND($A87&gt;=SYear85,$A87&lt;=EYear85,AH$3&gt;0),IF($A87=SYear85,AH$56*(1+Data_85_15!AH38%),AH86*(1+Data_85_15!AH38%)),"")</f>
        <v/>
      </c>
      <c r="AI87" s="446" t="str">
        <f>IF(AND($A87&gt;=SYear85,$A87&lt;=EYear85,AI$3&gt;0),IF($A87=SYear85,AI$56*(1+Data_85_15!AI38%),AI86*(1+Data_85_15!AI38%)),"")</f>
        <v/>
      </c>
      <c r="AJ87" s="446" t="str">
        <f>IF(AND($A87&gt;=SYear85,$A87&lt;=EYear85,AJ$3&gt;0),IF($A87=SYear85,AJ$56*(1+Data_85_15!AJ38%),AJ86*(1+Data_85_15!AJ38%)),"")</f>
        <v/>
      </c>
      <c r="AK87" s="446" t="str">
        <f>IF(AND($A87&gt;=SYear85,$A87&lt;=EYear85,AK$3&gt;0),IF($A87=SYear85,AK$56*(1+Data_85_15!AK38%),AK86*(1+Data_85_15!AK38%)),"")</f>
        <v/>
      </c>
      <c r="AL87" s="446" t="str">
        <f>IF(AND($A87&gt;=SYear85,$A87&lt;=EYear85,AL$3&gt;0),IF($A87=SYear85,AL$56*(1+Data_85_15!AL38%),AL86*(1+Data_85_15!AL38%)),"")</f>
        <v/>
      </c>
      <c r="AM87" s="446" t="str">
        <f>IF(AND($A87&gt;=SYear85,$A87&lt;=EYear85,AM$3&gt;0),IF($A87=SYear85,AM$56*(1+Data_85_15!AM38%),AM86*(1+Data_85_15!AM38%)),"")</f>
        <v/>
      </c>
      <c r="AN87" s="446" t="str">
        <f>IF(AND($A87&gt;=SYear85,$A87&lt;=EYear85,AN$3&gt;0),IF($A87=SYear85,AN$56*(1+Data_85_15!AN38%),AN86*(1+Data_85_15!AN38%)),"")</f>
        <v/>
      </c>
      <c r="AO87" s="446">
        <f>IF(AND($A87&gt;=SYear85,$A87&lt;=EYear85,AO$3&gt;0),IF($A87=SYear85,AO$56*(1+Data_85_15!AO38%),AO86*(1+Data_85_15!AO38%)),"")</f>
        <v>7538.3128070425573</v>
      </c>
      <c r="AP87" s="206" t="str">
        <f>IF(AND($A87&gt;=SYear85,$A87&lt;=EYear85,AP$3&gt;0),IF($A87=SYear85,AP$56*(1+Data_85_15!AP38%),AP86*(1+Data_85_15!AP38%)),"")</f>
        <v/>
      </c>
      <c r="AQ87" s="206" t="str">
        <f>IF(AND($A87&gt;=SYear85,$A87&lt;=EYear85,AQ$3&gt;0),IF($A87=SYear85,AQ$56*(1+Data_85_15!AQ38%),AQ86*(1+Data_85_15!AQ38%)),"")</f>
        <v/>
      </c>
      <c r="AR87" s="206" t="str">
        <f>IF(AND($A87&gt;=SYear85,$A87&lt;=EYear85,AR$3&gt;0),IF($A87=SYear85,AR$56*(1+Data_85_15!AR38%),AR86*(1+Data_85_15!AR38%)),"")</f>
        <v/>
      </c>
      <c r="AS87" s="206" t="str">
        <f>IF(AND($A87&gt;=SYear85,$A87&lt;=EYear85,AS$3&gt;0),IF($A87=SYear85,AS$56*(1+Data_85_15!AS38%),AS86*(1+Data_85_15!AS38%)),"")</f>
        <v/>
      </c>
      <c r="AT87" s="206" t="str">
        <f>IF(AND($A87&gt;=SYear85,$A87&lt;=EYear85,AT$3&gt;0),IF($A87=SYear85,AT$56*(1+Data_85_15!AT38%),AT86*(1+Data_85_15!AT38%)),"")</f>
        <v/>
      </c>
      <c r="AU87" s="206" t="str">
        <f>IF(AND($A87&gt;=SYear85,$A87&lt;=EYear85,AU$3&gt;0),IF($A87=SYear85,AU$56*(1+Data_85_15!AU38%),AU86*(1+Data_85_15!AU38%)),"")</f>
        <v/>
      </c>
      <c r="AV87" s="206" t="str">
        <f>IF(AND($A87&gt;=SYear85,$A87&lt;=EYear85,AV$3&gt;0),IF($A87=SYear85,AV$56*(1+Data_85_15!AV38%),AV86*(1+Data_85_15!AV38%)),"")</f>
        <v/>
      </c>
      <c r="AW87" s="206" t="str">
        <f>IF(AND($A87&gt;=SYear85,$A87&lt;=EYear85,AW$3&gt;0),IF($A87=SYear85,AW$56*(1+Data_85_15!AW38%),AW86*(1+Data_85_15!AW38%)),"")</f>
        <v/>
      </c>
      <c r="AX87" s="206" t="str">
        <f>IF(AND($A87&gt;=SYear85,$A87&lt;=EYear85,AX$3&gt;0),IF($A87=SYear85,AX$56*(1+Data_85_15!AX38%),AX86*(1+Data_85_15!AX38%)),"")</f>
        <v/>
      </c>
      <c r="AY87" s="206" t="str">
        <f>IF(AND($A87&gt;=SYear85,$A87&lt;=EYear85,AY$3&gt;0),IF($A87=SYear85,AY$56*(1+Data_85_15!AY38%),AY86*(1+Data_85_15!AY38%)),"")</f>
        <v/>
      </c>
      <c r="AZ87" s="206">
        <f>IF(AND($A87&gt;=SYear85,$A87&lt;=EYear85),IF($A87=SYear85,100*(BA87-$BA$56)/$BA$56,100*(BA87-BA86)/BA86),"")</f>
        <v>-2.006421351919037</v>
      </c>
      <c r="BA87" s="446">
        <f>IF(AND($A87&gt;=SYear85,$A87&lt;=EYear85),SUM(B87:AR87),"")</f>
        <v>157937.13345113036</v>
      </c>
      <c r="BB87" s="206">
        <f>IF(AND($A87&gt;=SYear85,$A87&lt;=EYear85),(AZ87-Data_85_15!AZ38)/(1+Data_85_15!AZ38%),"")</f>
        <v>-2.7161264580353466</v>
      </c>
      <c r="BC87" s="606">
        <f>IF(AND($A87&gt;=SYear85,$A87&lt;=EYear85),IF($A87=SYear85,$BC$4*(1+BB87%),$BC86*(1+BB87%)),"")</f>
        <v>70312.990814518591</v>
      </c>
      <c r="BD87" s="143">
        <f>IF(AND($A87&gt;=SYear85,$A87&lt;=EYear85),IF($A87=SYear85,$BD$54,$BD86*(1+AZ87%)),"")</f>
        <v>13.261529355774107</v>
      </c>
      <c r="BE87" s="143">
        <f>IF(AND($A87&gt;=SYear85,$A87&lt;=EYear85),MAX($BD$57:BD87),"")</f>
        <v>13.533059552197313</v>
      </c>
      <c r="BF87" s="209">
        <f>IF(AND($A87&gt;=SYear85,$A87&lt;=EYear85),1-(BD87/BE87),"")</f>
        <v>2.006421351919041E-2</v>
      </c>
      <c r="BN87" s="61">
        <f t="shared" si="31"/>
        <v>-2.006421351919041E-2</v>
      </c>
      <c r="BO87" s="61"/>
      <c r="BP87" s="61"/>
      <c r="BQ87" s="61"/>
      <c r="BR87" s="61"/>
      <c r="BU87" s="61">
        <f t="shared" si="36"/>
        <v>-2.7161264580353617E-2</v>
      </c>
      <c r="BV87" s="61"/>
      <c r="BW87" s="61"/>
      <c r="BX87" s="61"/>
      <c r="BY87" s="61"/>
    </row>
    <row r="88" spans="1:77">
      <c r="A88" s="204">
        <f t="shared" si="42"/>
        <v>2016</v>
      </c>
      <c r="B88" s="446" t="str">
        <f>IF(AND($A88&gt;=SYear85,$A88&lt;=EYear85,B$3&gt;0),IF($A88=SYear85,B$56*(1+Data_85_15!B39%),B87*(1+Data_85_15!B39%)),"")</f>
        <v/>
      </c>
      <c r="C88" s="446" t="str">
        <f>IF(AND($A88&gt;=SYear85,$A88&lt;=EYear85,C$3&gt;0),IF($A88=SYear85,C$56*(1+Data_85_15!C39%),C87*(1+Data_85_15!C39%)),"")</f>
        <v/>
      </c>
      <c r="D88" s="446" t="str">
        <f>IF(AND($A88&gt;=SYear85,$A88&lt;=EYear85,D$3&gt;0),IF($A88=SYear85,D$56*(1+Data_85_15!D39%),D87*(1+Data_85_15!D39%)),"")</f>
        <v/>
      </c>
      <c r="E88" s="446" t="str">
        <f>IF(AND($A88&gt;=SYear85,$A88&lt;=EYear85,E$3&gt;0),IF($A88=SYear85,E$56*(1+Data_85_15!E39%),E87*(1+Data_85_15!E39%)),"")</f>
        <v/>
      </c>
      <c r="F88" s="446" t="str">
        <f>IF(AND($A88&gt;=SYear85,$A88&lt;=EYear85,F$3&gt;0),IF($A88=SYear85,F$56*(1+Data_85_15!F39%),F87*(1+Data_85_15!F39%)),"")</f>
        <v/>
      </c>
      <c r="G88" s="446" t="str">
        <f>IF(AND($A88&gt;=SYear85,$A88&lt;=EYear85,G$3&gt;0),IF($A88=SYear85,G$56*(1+Data_85_15!G39%),G87*(1+Data_85_15!G39%)),"")</f>
        <v/>
      </c>
      <c r="H88" s="446" t="str">
        <f>IF(AND($A88&gt;=SYear85,$A88&lt;=EYear85,H$3&gt;0),IF($A88=SYear85,H$56*(1+Data_85_15!H39%),H87*(1+Data_85_15!H39%)),"")</f>
        <v/>
      </c>
      <c r="I88" s="446" t="str">
        <f>IF(AND($A88&gt;=SYear85,$A88&lt;=EYear85,I$3&gt;0),IF($A88=SYear85,I$56*(1+Data_85_15!I39%),I87*(1+Data_85_15!I39%)),"")</f>
        <v/>
      </c>
      <c r="J88" s="446" t="str">
        <f>IF(AND($A88&gt;=SYear85,$A88&lt;=EYear85,J$3&gt;0),IF($A88=SYear85,J$56*(1+Data_85_15!J39%),J87*(1+Data_85_15!J39%)),"")</f>
        <v/>
      </c>
      <c r="K88" s="446" t="str">
        <f>IF(AND($A88&gt;=SYear85,$A88&lt;=EYear85,K$3&gt;0),IF($A88=SYear85,K$56*(1+Data_85_15!K39%),K87*(1+Data_85_15!K39%)),"")</f>
        <v/>
      </c>
      <c r="L88" s="446" t="str">
        <f>IF(AND($A88&gt;=SYear85,$A88&lt;=EYear85,L$3&gt;0),IF($A88=SYear85,L$56*(1+Data_85_15!L39%),L87*(1+Data_85_15!L39%)),"")</f>
        <v/>
      </c>
      <c r="M88" s="446" t="str">
        <f>IF(AND($A88&gt;=SYear85,$A88&lt;=EYear85,M$3&gt;0),IF($A88=SYear85,M$56*(1+Data_85_15!M39%),M87*(1+Data_85_15!M39%)),"")</f>
        <v/>
      </c>
      <c r="N88" s="446" t="str">
        <f>IF(AND($A88&gt;=SYear85,$A88&lt;=EYear85,N$3&gt;0),IF($A88=SYear85,N$56*(1+Data_85_15!N39%),N87*(1+Data_85_15!N39%)),"")</f>
        <v/>
      </c>
      <c r="O88" s="446" t="str">
        <f>IF(AND($A88&gt;=SYear85,$A88&lt;=EYear85,O$3&gt;0),IF($A88=SYear85,O$56*(1+Data_85_15!O39%),O87*(1+Data_85_15!O39%)),"")</f>
        <v/>
      </c>
      <c r="P88" s="446" t="str">
        <f>IF(AND($A88&gt;=SYear85,$A88&lt;=EYear85,P$3&gt;0),IF($A88=SYear85,P$56*(1+Data_85_15!P39%),P87*(1+Data_85_15!P39%)),"")</f>
        <v/>
      </c>
      <c r="Q88" s="446" t="str">
        <f>IF(AND($A88&gt;=SYear85,$A88&lt;=EYear85,Q$3&gt;0),IF($A88=SYear85,Q$56*(1+Data_85_15!Q39%),Q87*(1+Data_85_15!Q39%)),"")</f>
        <v/>
      </c>
      <c r="R88" s="446" t="str">
        <f>IF(AND($A88&gt;=SYear85,$A88&lt;=EYear85,R$3&gt;0),IF($A88=SYear85,R$56*(1+Data_85_15!R39%),R87*(1+Data_85_15!R39%)),"")</f>
        <v/>
      </c>
      <c r="S88" s="446" t="str">
        <f>IF(AND($A88&gt;=SYear85,$A88&lt;=EYear85,S$3&gt;0),IF($A88=SYear85,S$56*(1+Data_85_15!S39%),S87*(1+Data_85_15!S39%)),"")</f>
        <v/>
      </c>
      <c r="T88" s="446" t="str">
        <f>IF(AND($A88&gt;=SYear85,$A88&lt;=EYear85,T$3&gt;0),IF($A88=SYear85,T$56*(1+Data_85_15!T39%),T87*(1+Data_85_15!T39%)),"")</f>
        <v/>
      </c>
      <c r="U88" s="446" t="str">
        <f>IF(AND($A88&gt;=SYear85,$A88&lt;=EYear85,U$3&gt;0),IF($A88=SYear85,U$56*(1+Data_85_15!U39%),U87*(1+Data_85_15!U39%)),"")</f>
        <v/>
      </c>
      <c r="V88" s="446" t="str">
        <f>IF(AND($A88&gt;=SYear85,$A88&lt;=EYear85,V$3&gt;0),IF($A88=SYear85,V$56*(1+Data_85_15!V39%),V87*(1+Data_85_15!V39%)),"")</f>
        <v/>
      </c>
      <c r="W88" s="446" t="str">
        <f>IF(AND($A88&gt;=SYear85,$A88&lt;=EYear85,W$3&gt;0),IF($A88=SYear85,W$56*(1+Data_85_15!W39%),W87*(1+Data_85_15!W39%)),"")</f>
        <v/>
      </c>
      <c r="X88" s="446" t="str">
        <f>IF(AND($A88&gt;=SYear85,$A88&lt;=EYear85,X$3&gt;0),IF($A88=SYear85,X$56*(1+Data_85_15!X39%),X87*(1+Data_85_15!X39%)),"")</f>
        <v/>
      </c>
      <c r="Y88" s="446" t="str">
        <f>IF(AND($A88&gt;=SYear85,$A88&lt;=EYear85,Y$3&gt;0),IF($A88=SYear85,Y$56*(1+Data_85_15!Y39%),Y87*(1+Data_85_15!Y39%)),"")</f>
        <v/>
      </c>
      <c r="Z88" s="446" t="str">
        <f>IF(AND($A88&gt;=SYear85,$A88&lt;=EYear85,Z$3&gt;0),IF($A88=SYear85,Z$56*(1+Data_85_15!Z39%),Z87*(1+Data_85_15!Z39%)),"")</f>
        <v/>
      </c>
      <c r="AA88" s="446" t="str">
        <f>IF(AND($A88&gt;=SYear85,$A88&lt;=EYear85,AA$3&gt;0),IF($A88=SYear85,AA$56*(1+Data_85_15!AA39%),AA87*(1+Data_85_15!AA39%)),"")</f>
        <v/>
      </c>
      <c r="AB88" s="446" t="str">
        <f>IF(AND($A88&gt;=SYear85,$A88&lt;=EYear85,AB$3&gt;0),IF($A88=SYear85,AB$56*(1+Data_85_15!AB39%),AB87*(1+Data_85_15!AB39%)),"")</f>
        <v/>
      </c>
      <c r="AC88" s="446" t="str">
        <f>IF(AND($A88&gt;=SYear85,$A88&lt;=EYear85,AC$3&gt;0),IF($A88=SYear85,AC$56*(1+Data_85_15!AC39%),AC87*(1+Data_85_15!AC39%)),"")</f>
        <v/>
      </c>
      <c r="AD88" s="446" t="str">
        <f>IF(AND($A88&gt;=SYear85,$A88&lt;=EYear85,AD$3&gt;0),IF($A88=SYear85,AD$56*(1+Data_85_15!AD39%),AD87*(1+Data_85_15!AD39%)),"")</f>
        <v/>
      </c>
      <c r="AE88" s="446" t="str">
        <f>IF(AND($A88&gt;=SYear85,$A88&lt;=EYear85,AE$3&gt;0),IF($A88=SYear85,AE$56*(1+Data_85_15!AE39%),AE87*(1+Data_85_15!AE39%)),"")</f>
        <v/>
      </c>
      <c r="AF88" s="446" t="str">
        <f>IF(AND($A88&gt;=SYear85,$A88&lt;=EYear85,AF$3&gt;0),IF($A88=SYear85,AF$56*(1+Data_85_15!AF39%),AF87*(1+Data_85_15!AF39%)),"")</f>
        <v/>
      </c>
      <c r="AG88" s="446" t="str">
        <f>IF(AND($A88&gt;=SYear85,$A88&lt;=EYear85,AG$3&gt;0),IF($A88=SYear85,AG$56*(1+Data_85_15!AG39%),AG87*(1+Data_85_15!AG39%)),"")</f>
        <v/>
      </c>
      <c r="AH88" s="446" t="str">
        <f>IF(AND($A88&gt;=SYear85,$A88&lt;=EYear85,AH$3&gt;0),IF($A88=SYear85,AH$56*(1+Data_85_15!AH39%),AH87*(1+Data_85_15!AH39%)),"")</f>
        <v/>
      </c>
      <c r="AI88" s="446" t="str">
        <f>IF(AND($A88&gt;=SYear85,$A88&lt;=EYear85,AI$3&gt;0),IF($A88=SYear85,AI$56*(1+Data_85_15!AI39%),AI87*(1+Data_85_15!AI39%)),"")</f>
        <v/>
      </c>
      <c r="AJ88" s="446" t="str">
        <f>IF(AND($A88&gt;=SYear85,$A88&lt;=EYear85,AJ$3&gt;0),IF($A88=SYear85,AJ$56*(1+Data_85_15!AJ39%),AJ87*(1+Data_85_15!AJ39%)),"")</f>
        <v/>
      </c>
      <c r="AK88" s="446" t="str">
        <f>IF(AND($A88&gt;=SYear85,$A88&lt;=EYear85,AK$3&gt;0),IF($A88=SYear85,AK$56*(1+Data_85_15!AK39%),AK87*(1+Data_85_15!AK39%)),"")</f>
        <v/>
      </c>
      <c r="AL88" s="446" t="str">
        <f>IF(AND($A88&gt;=SYear85,$A88&lt;=EYear85,AL$3&gt;0),IF($A88=SYear85,AL$56*(1+Data_85_15!AL39%),AL87*(1+Data_85_15!AL39%)),"")</f>
        <v/>
      </c>
      <c r="AM88" s="446" t="str">
        <f>IF(AND($A88&gt;=SYear85,$A88&lt;=EYear85,AM$3&gt;0),IF($A88=SYear85,AM$56*(1+Data_85_15!AM39%),AM87*(1+Data_85_15!AM39%)),"")</f>
        <v/>
      </c>
      <c r="AN88" s="446" t="str">
        <f>IF(AND($A88&gt;=SYear85,$A88&lt;=EYear85,AN$3&gt;0),IF($A88=SYear85,AN$56*(1+Data_85_15!AN39%),AN87*(1+Data_85_15!AN39%)),"")</f>
        <v/>
      </c>
      <c r="AO88" s="446" t="str">
        <f>IF(AND($A88&gt;=SYear85,$A88&lt;=EYear85,AO$3&gt;0),IF($A88=SYear85,AO$56*(1+Data_85_15!AO39%),AO87*(1+Data_85_15!AO39%)),"")</f>
        <v/>
      </c>
      <c r="AP88" s="206" t="str">
        <f>IF(AND($A88&gt;=SYear85,$A88&lt;=EYear85,AP$3&gt;0),IF($A88=SYear85,AP$56*(1+Data_85_15!AP39%),AP87*(1+Data_85_15!AP39%)),"")</f>
        <v/>
      </c>
      <c r="AQ88" s="206" t="str">
        <f>IF(AND($A88&gt;=SYear85,$A88&lt;=EYear85,AQ$3&gt;0),IF($A88=SYear85,AQ$56*(1+Data_85_15!AQ39%),AQ87*(1+Data_85_15!AQ39%)),"")</f>
        <v/>
      </c>
      <c r="AR88" s="206" t="str">
        <f>IF(AND($A88&gt;=SYear85,$A88&lt;=EYear85,AR$3&gt;0),IF($A88=SYear85,AR$56*(1+Data_85_15!AR39%),AR87*(1+Data_85_15!AR39%)),"")</f>
        <v/>
      </c>
      <c r="AS88" s="206" t="str">
        <f>IF(AND($A88&gt;=SYear85,$A88&lt;=EYear85,AS$3&gt;0),IF($A88=SYear85,AS$56*(1+Data_85_15!AS39%),AS87*(1+Data_85_15!AS39%)),"")</f>
        <v/>
      </c>
      <c r="AT88" s="206" t="str">
        <f>IF(AND($A88&gt;=SYear85,$A88&lt;=EYear85,AT$3&gt;0),IF($A88=SYear85,AT$56*(1+Data_85_15!AT39%),AT87*(1+Data_85_15!AT39%)),"")</f>
        <v/>
      </c>
      <c r="AU88" s="206" t="str">
        <f>IF(AND($A88&gt;=SYear85,$A88&lt;=EYear85,AU$3&gt;0),IF($A88=SYear85,AU$56*(1+Data_85_15!AU39%),AU87*(1+Data_85_15!AU39%)),"")</f>
        <v/>
      </c>
      <c r="AV88" s="206" t="str">
        <f>IF(AND($A88&gt;=SYear85,$A88&lt;=EYear85,AV$3&gt;0),IF($A88=SYear85,AV$56*(1+Data_85_15!AV39%),AV87*(1+Data_85_15!AV39%)),"")</f>
        <v/>
      </c>
      <c r="AW88" s="206" t="str">
        <f>IF(AND($A88&gt;=SYear85,$A88&lt;=EYear85,AW$3&gt;0),IF($A88=SYear85,AW$56*(1+Data_85_15!AW39%),AW87*(1+Data_85_15!AW39%)),"")</f>
        <v/>
      </c>
      <c r="AX88" s="206" t="str">
        <f>IF(AND($A88&gt;=SYear85,$A88&lt;=EYear85,AX$3&gt;0),IF($A88=SYear85,AX$56*(1+Data_85_15!AX39%),AX87*(1+Data_85_15!AX39%)),"")</f>
        <v/>
      </c>
      <c r="AY88" s="206" t="str">
        <f>IF(AND($A88&gt;=SYear85,$A88&lt;=EYear85,AY$3&gt;0),IF($A88=SYear85,AY$56*(1+Data_85_15!AY39%),AY87*(1+Data_85_15!AY39%)),"")</f>
        <v/>
      </c>
      <c r="AZ88" s="206" t="str">
        <f>IF(AND($A88&gt;=SYear85,$A88&lt;=EYear85),IF($A88=SYear85,100*(BA88-$BA$56)/$BA$56,100*(BA88-BA87)/BA87),"")</f>
        <v/>
      </c>
      <c r="BA88" s="446" t="str">
        <f>IF(AND($A88&gt;=SYear85,$A88&lt;=EYear85),SUM(B88:AR88),"")</f>
        <v/>
      </c>
      <c r="BB88" s="206" t="str">
        <f>IF(AND($A88&gt;=SYear85,$A88&lt;=EYear85),(AZ88-Data_85_15!AZ39)/(1+Data_85_15!AZ39%),"")</f>
        <v/>
      </c>
      <c r="BC88" s="606" t="str">
        <f>IF(AND($A88&gt;=SYear85,$A88&lt;=EYear85),IF($A88=SYear85,$BC$4*(1+BB88%),$BC87*(1+BB88%)),"")</f>
        <v/>
      </c>
      <c r="BD88" s="143" t="str">
        <f>IF(AND($A88&gt;=SYear85,$A88&lt;=EYear85),IF($A88=SYear85,$BD$54,$BD87*(1+AZ88%)),"")</f>
        <v/>
      </c>
      <c r="BE88" s="143" t="str">
        <f>IF(AND($A88&gt;=SYear85,$A88&lt;=EYear85),MAX($BD$57:BD88),"")</f>
        <v/>
      </c>
      <c r="BF88" s="209" t="str">
        <f>IF(AND($A88&gt;=SYear85,$A88&lt;=EYear85),1-(BD88/BE88),"")</f>
        <v/>
      </c>
      <c r="BN88" s="61"/>
      <c r="BO88" s="61"/>
      <c r="BP88" s="61"/>
      <c r="BQ88" s="61"/>
      <c r="BR88" s="61"/>
      <c r="BU88" s="61" t="str">
        <f t="shared" si="36"/>
        <v/>
      </c>
      <c r="BV88" s="61"/>
      <c r="BW88" s="61"/>
      <c r="BX88" s="61"/>
      <c r="BY88" s="61"/>
    </row>
    <row r="89" spans="1:77">
      <c r="A89" s="248"/>
      <c r="B89" s="488"/>
      <c r="C89" s="488"/>
      <c r="D89" s="488"/>
      <c r="E89" s="488"/>
      <c r="F89" s="488"/>
      <c r="G89" s="488"/>
      <c r="H89" s="446"/>
      <c r="I89" s="446"/>
      <c r="J89" s="446"/>
      <c r="K89" s="446"/>
      <c r="L89" s="446"/>
      <c r="M89" s="446"/>
      <c r="N89" s="446"/>
      <c r="O89" s="446"/>
      <c r="P89" s="446"/>
      <c r="Q89" s="446"/>
      <c r="R89" s="446"/>
      <c r="S89" s="446"/>
      <c r="T89" s="446"/>
      <c r="U89" s="446"/>
      <c r="V89" s="446"/>
      <c r="W89" s="446"/>
      <c r="X89" s="446"/>
      <c r="Y89" s="446"/>
      <c r="Z89" s="446"/>
      <c r="AA89" s="446"/>
      <c r="AB89" s="446"/>
      <c r="AC89" s="446"/>
      <c r="AD89" s="446"/>
      <c r="AE89" s="446"/>
      <c r="AF89" s="446"/>
      <c r="AG89" s="446"/>
      <c r="AH89" s="446"/>
      <c r="AI89" s="446"/>
      <c r="AJ89" s="446"/>
      <c r="AK89" s="446"/>
      <c r="AL89" s="446"/>
      <c r="AM89" s="446"/>
      <c r="AN89" s="446"/>
      <c r="AO89" s="446"/>
      <c r="AP89" s="206"/>
      <c r="AQ89" s="206"/>
      <c r="AR89" s="206"/>
      <c r="AS89" s="206"/>
      <c r="AT89" s="206"/>
      <c r="AU89" s="206"/>
      <c r="AV89" s="206"/>
      <c r="AW89" s="206"/>
      <c r="AX89" s="206"/>
      <c r="AY89" s="206"/>
      <c r="AZ89" s="206"/>
      <c r="BA89" s="206"/>
      <c r="BB89" s="206"/>
      <c r="BC89" s="208"/>
      <c r="BD89" s="143"/>
      <c r="BE89" s="143"/>
      <c r="BF89" s="209"/>
      <c r="BN89" s="61"/>
      <c r="BO89" s="61"/>
      <c r="BP89" s="61"/>
      <c r="BQ89" s="61"/>
      <c r="BR89" s="61"/>
      <c r="BU89" s="61"/>
      <c r="BV89" s="61"/>
      <c r="BW89" s="61"/>
      <c r="BX89" s="61"/>
      <c r="BY89" s="61"/>
    </row>
    <row r="90" spans="1:77">
      <c r="A90" s="248" t="s">
        <v>433</v>
      </c>
      <c r="B90" s="285" t="str">
        <f>IF(B$3&gt;0,VLOOKUP(EYear85,$A$57:$BA88,COLUMN(B2))/VLOOKUP(EYear85,$A68:$BA88,COLUMN($BA$2)),"")</f>
        <v/>
      </c>
      <c r="C90" s="285" t="str">
        <f>IF(C$3&gt;0,VLOOKUP(EYear85,$A$57:$BA88,COLUMN(C2))/VLOOKUP(EYear85,$A68:$BA88,COLUMN($BA$2)),"")</f>
        <v/>
      </c>
      <c r="D90" s="285" t="str">
        <f>IF(D$3&gt;0,VLOOKUP(EYear85,$A$57:$BA88,COLUMN(D2))/VLOOKUP(EYear85,$A68:$BA88,COLUMN($BA$2)),"")</f>
        <v/>
      </c>
      <c r="E90" s="285" t="str">
        <f>IF(E$3&gt;0,VLOOKUP(EYear85,$A$57:$BA88,COLUMN(E2))/VLOOKUP(EYear85,$A68:$BA88,COLUMN($BA$2)),"")</f>
        <v/>
      </c>
      <c r="F90" s="285">
        <f>IF(F$3&gt;0,VLOOKUP(EYear85,$A$57:$BA88,COLUMN(F2))/VLOOKUP(EYear85,$A68:$BA88,COLUMN($BA$2)),"")</f>
        <v>0.6023760992083681</v>
      </c>
      <c r="G90" s="285" t="str">
        <f>IF(G$3&gt;0,VLOOKUP(EYear85,$A$57:$BA88,COLUMN(G2))/VLOOKUP(EYear85,$A68:$BA88,COLUMN($BA$2)),"")</f>
        <v/>
      </c>
      <c r="H90" s="285" t="str">
        <f>IF(H$3&gt;0,VLOOKUP(EYear85,$A$57:$BA88,COLUMN(H2))/VLOOKUP(EYear85,$A68:$BA88,COLUMN($BA$2)),"")</f>
        <v/>
      </c>
      <c r="I90" s="285" t="str">
        <f>IF(I$3&gt;0,VLOOKUP(EYear85,$A$57:$BA88,COLUMN(I2))/VLOOKUP(EYear85,$A68:$BA88,COLUMN($BA$2)),"")</f>
        <v/>
      </c>
      <c r="J90" s="285" t="str">
        <f>IF(J$3&gt;0,VLOOKUP(EYear85,$A$57:$BA88,COLUMN(J2))/VLOOKUP(EYear85,$A68:$BA88,COLUMN($BA$2)),"")</f>
        <v/>
      </c>
      <c r="K90" s="285" t="str">
        <f>IF(K$3&gt;0,VLOOKUP(EYear85,$A$57:$BA88,COLUMN(K2))/VLOOKUP(EYear85,$A68:$BA88,COLUMN($BA$2)),"")</f>
        <v/>
      </c>
      <c r="L90" s="285" t="str">
        <f>IF(L$3&gt;0,VLOOKUP(EYear85,$A$57:$BA88,COLUMN(L2))/VLOOKUP(EYear85,$A68:$BA88,COLUMN($BA$2)),"")</f>
        <v/>
      </c>
      <c r="M90" s="285" t="str">
        <f>IF(M$3&gt;0,VLOOKUP(EYear85,$A$57:$BA88,COLUMN(M2))/VLOOKUP(EYear85,$A68:$BA88,COLUMN($BA$2)),"")</f>
        <v/>
      </c>
      <c r="N90" s="285" t="str">
        <f>IF(N$3&gt;0,VLOOKUP(EYear85,$A$57:$BA88,COLUMN(N2))/VLOOKUP(EYear85,$A68:$BA88,COLUMN($BA$2)),"")</f>
        <v/>
      </c>
      <c r="O90" s="285" t="str">
        <f>IF(O$3&gt;0,VLOOKUP(EYear85,$A$57:$BA88,COLUMN(O2))/VLOOKUP(EYear85,$A68:$BA88,COLUMN($BA$2)),"")</f>
        <v/>
      </c>
      <c r="P90" s="285" t="str">
        <f>IF(P$3&gt;0,VLOOKUP(EYear85,$A$57:$BA88,COLUMN(P2))/VLOOKUP(EYear85,$A68:$BA88,COLUMN($BA$2)),"")</f>
        <v/>
      </c>
      <c r="Q90" s="285" t="str">
        <f>IF(Q$3&gt;0,VLOOKUP(EYear85,$A$57:$BA88,COLUMN(Q2))/VLOOKUP(EYear85,$A68:$BA88,COLUMN($BA$2)),"")</f>
        <v/>
      </c>
      <c r="R90" s="285" t="str">
        <f>IF(R$3&gt;0,VLOOKUP(EYear85,$A$57:$BA88,COLUMN(R2))/VLOOKUP(EYear85,$A68:$BA88,COLUMN($BA$2)),"")</f>
        <v/>
      </c>
      <c r="S90" s="285">
        <f>IF(S$3&gt;0,VLOOKUP(EYear85,$A$57:$BA88,COLUMN(S2))/VLOOKUP(EYear85,$A68:$BA88,COLUMN($BA$2)),"")</f>
        <v>0.22446928961163273</v>
      </c>
      <c r="T90" s="285" t="str">
        <f>IF(T$3&gt;0,VLOOKUP(EYear85,$A$57:$BA88,COLUMN(T2))/VLOOKUP(EYear85,$A68:$BA88,COLUMN($BA$2)),"")</f>
        <v/>
      </c>
      <c r="U90" s="285" t="str">
        <f>IF(U$3&gt;0,VLOOKUP(EYear85,$A$57:$BA88,COLUMN(U2))/VLOOKUP(EYear85,$A68:$BA88,COLUMN($BA$2)),"")</f>
        <v/>
      </c>
      <c r="V90" s="285" t="str">
        <f>IF(V$3&gt;0,VLOOKUP(EYear85,$A$57:$BA88,COLUMN(V2))/VLOOKUP(EYear85,$A68:$BA88,COLUMN($BA$2)),"")</f>
        <v/>
      </c>
      <c r="W90" s="285">
        <f>IF(W$3&gt;0,VLOOKUP(EYear85,$A$57:$BA88,COLUMN(W2))/VLOOKUP(EYear85,$A68:$BA88,COLUMN($BA$2)),"")</f>
        <v>0.12542477942782868</v>
      </c>
      <c r="X90" s="285" t="str">
        <f>IF(X$3&gt;0,VLOOKUP(EYear85,$A$57:$BA88,COLUMN(X2))/VLOOKUP(EYear85,$A68:$BA88,COLUMN($BA$2)),"")</f>
        <v/>
      </c>
      <c r="Y90" s="285" t="str">
        <f>IF(Y$3&gt;0,VLOOKUP(EYear85,$A$57:$BA88,COLUMN(Y2))/VLOOKUP(EYear85,$A68:$BA88,COLUMN($BA$2)),"")</f>
        <v/>
      </c>
      <c r="Z90" s="285" t="str">
        <f>IF(Z$3&gt;0,VLOOKUP(EYear85,$A$57:$BA88,COLUMN(Z2))/VLOOKUP(EYear85,$A68:$BA88,COLUMN($BA$2)),"")</f>
        <v/>
      </c>
      <c r="AA90" s="285" t="str">
        <f>IF(AA$3&gt;0,VLOOKUP(EYear85,$A$57:$BA88,COLUMN(AA2))/VLOOKUP(EYear85,$A68:$BA88,COLUMN($BA$2)),"")</f>
        <v/>
      </c>
      <c r="AB90" s="285" t="str">
        <f>IF(AB$3&gt;0,VLOOKUP(EYear85,$A$57:$BA88,COLUMN(AB2))/VLOOKUP(EYear85,$A68:$BA88,COLUMN($BA$2)),"")</f>
        <v/>
      </c>
      <c r="AC90" s="285" t="str">
        <f>IF(AC$3&gt;0,VLOOKUP(EYear85,$A$57:$BA88,COLUMN(AC2))/VLOOKUP(EYear85,$A68:$BA88,COLUMN($BA$2)),"")</f>
        <v/>
      </c>
      <c r="AD90" s="285" t="str">
        <f>IF(AD$3&gt;0,VLOOKUP(EYear85,$A$57:$BA88,COLUMN(AD2))/VLOOKUP(EYear85,$A68:$BA88,COLUMN($BA$2)),"")</f>
        <v/>
      </c>
      <c r="AE90" s="285" t="str">
        <f>IF(AE$3&gt;0,VLOOKUP(EYear85,$A$57:$BA88,COLUMN(AE2))/VLOOKUP(EYear85,$A68:$BA88,COLUMN($BA$2)),"")</f>
        <v/>
      </c>
      <c r="AF90" s="285" t="str">
        <f>IF(AF$3&gt;0,VLOOKUP(EYear85,$A$57:$BA88,COLUMN(AF2))/VLOOKUP(EYear85,$A68:$BA88,COLUMN($BA$2)),"")</f>
        <v/>
      </c>
      <c r="AG90" s="285" t="str">
        <f>IF(AG$3&gt;0,VLOOKUP(EYear85,$A$57:$BA88,COLUMN(AG2))/VLOOKUP(EYear85,$A68:$BA88,COLUMN($BA$2)),"")</f>
        <v/>
      </c>
      <c r="AH90" s="285" t="str">
        <f>IF(AH$3&gt;0,VLOOKUP(EYear85,$A$57:$BA88,COLUMN(AH2))/VLOOKUP(EYear85,$A68:$BA88,COLUMN($BA$2)),"")</f>
        <v/>
      </c>
      <c r="AI90" s="285" t="str">
        <f>IF(AI$3&gt;0,VLOOKUP(EYear85,$A$57:$BA88,COLUMN(AI2))/VLOOKUP(EYear85,$A68:$BA88,COLUMN($BA$2)),"")</f>
        <v/>
      </c>
      <c r="AJ90" s="285" t="str">
        <f>IF(AJ$3&gt;0,VLOOKUP(EYear85,$A$57:$BA88,COLUMN(AJ2))/VLOOKUP(EYear85,$A68:$BA88,COLUMN($BA$2)),"")</f>
        <v/>
      </c>
      <c r="AK90" s="285" t="str">
        <f>IF(AK$3&gt;0,VLOOKUP(EYear85,$A$57:$BA88,COLUMN(AK2))/VLOOKUP(EYear85,$A68:$BA88,COLUMN($BA$2)),"")</f>
        <v/>
      </c>
      <c r="AL90" s="285" t="str">
        <f>IF(AL$3&gt;0,VLOOKUP(EYear85,$A$57:$BA88,COLUMN(AL2))/VLOOKUP(EYear85,$A68:$BA88,COLUMN($BA$2)),"")</f>
        <v/>
      </c>
      <c r="AM90" s="285" t="str">
        <f>IF(AM$3&gt;0,VLOOKUP(EYear85,$A$57:$BA88,COLUMN(AM2))/VLOOKUP(EYear85,$A68:$BA88,COLUMN($BA$2)),"")</f>
        <v/>
      </c>
      <c r="AN90" s="285" t="str">
        <f>IF(AN$3&gt;0,VLOOKUP(EYear85,$A$57:$BA88,COLUMN(AN2))/VLOOKUP(EYear85,$A68:$BA88,COLUMN($BA$2)),"")</f>
        <v/>
      </c>
      <c r="AO90" s="285">
        <f>IF(AO$3&gt;0,VLOOKUP(EYear85,$A$57:$BA88,COLUMN(AO2))/VLOOKUP(EYear85,$A68:$BA88,COLUMN($BA$2)),"")</f>
        <v>4.7729831752170535E-2</v>
      </c>
      <c r="AP90" s="285" t="str">
        <f>IF(AP$3&gt;0,VLOOKUP(EYear85,$A$57:$BA88,COLUMN(AP2))/VLOOKUP(EYear85,$A68:$BA88,COLUMN($BA$2)),"")</f>
        <v/>
      </c>
      <c r="AQ90" s="285" t="str">
        <f>IF(AQ$3&gt;0,VLOOKUP(EYear85,$A$57:$BA88,COLUMN(AQ2))/VLOOKUP(EYear85,$A68:$BA88,COLUMN($BA$2)),"")</f>
        <v/>
      </c>
      <c r="AR90" s="285" t="str">
        <f>IF(AR$3&gt;0,VLOOKUP(EYear85,$A$57:$BA88,COLUMN(AR2))/VLOOKUP(EYear85,$A68:$BA88,COLUMN($BA$2)),"")</f>
        <v/>
      </c>
      <c r="AS90" s="285" t="str">
        <f>IF(AS$3&gt;0,VLOOKUP(EYear85,$A$57:$BA88,COLUMN(AS2))/VLOOKUP(EYear85,$A68:$BA88,COLUMN($BA$2)),"")</f>
        <v/>
      </c>
      <c r="AT90" s="285" t="str">
        <f>IF(AT$3&gt;0,VLOOKUP(EYear85,$A$57:$BA88,COLUMN(AT2))/VLOOKUP(EYear85,$A68:$BA88,COLUMN($BA$2)),"")</f>
        <v/>
      </c>
      <c r="AU90" s="285" t="str">
        <f>IF(AU$3&gt;0,VLOOKUP(EYear85,$A$57:$BA88,COLUMN(AU2))/VLOOKUP(EYear85,$A68:$BA88,COLUMN($BA$2)),"")</f>
        <v/>
      </c>
      <c r="AV90" s="285" t="str">
        <f>IF(AV$3&gt;0,VLOOKUP(EYear85,$A$57:$BA88,COLUMN(AV2))/VLOOKUP(EYear85,$A68:$BA88,COLUMN($BA$2)),"")</f>
        <v/>
      </c>
      <c r="AW90" s="285" t="str">
        <f>IF(AW$3&gt;0,VLOOKUP(EYear85,$A$57:$BA88,COLUMN(AW2))/VLOOKUP(EYear85,$A68:$BA88,COLUMN($BA$2)),"")</f>
        <v/>
      </c>
      <c r="AX90" s="285" t="str">
        <f>IF(AX$3&gt;0,VLOOKUP(EYear85,$A$57:$BA88,COLUMN(AX2))/VLOOKUP(EYear85,$A68:$BA88,COLUMN($BA$2)),"")</f>
        <v/>
      </c>
      <c r="AY90" s="285" t="str">
        <f>IF(AY$3&gt;0,VLOOKUP(EYear85,$A$57:$BA88,COLUMN(AY2))/VLOOKUP(EYear85,$A68:$BA88,COLUMN($BA$2)),"")</f>
        <v/>
      </c>
      <c r="AZ90" s="206"/>
      <c r="BA90" s="206"/>
      <c r="BB90" s="206"/>
      <c r="BC90" s="208"/>
      <c r="BD90" s="143"/>
      <c r="BE90" s="143"/>
      <c r="BF90" s="209"/>
    </row>
    <row r="91" spans="1:77" ht="13" thickBot="1">
      <c r="A91" s="210" t="s">
        <v>309</v>
      </c>
      <c r="B91" s="211" t="str">
        <f>IF(AND($A91&gt;=SYear85,$A91&lt;=EYear85),IF(B$3&gt;0,B$3*Data_85_15!B131,""),"")</f>
        <v/>
      </c>
      <c r="C91" s="211" t="str">
        <f>IF(AND($A91&gt;=SYear85,$A91&lt;=EYear85),IF(C$3&gt;0,C$3*Data_85_15!C131,""),"")</f>
        <v/>
      </c>
      <c r="D91" s="211" t="str">
        <f>IF(AND($A91&gt;=SYear85,$A91&lt;=EYear85),IF(D$3&gt;0,D$3*Data_85_15!D131,""),"")</f>
        <v/>
      </c>
      <c r="E91" s="211" t="str">
        <f>IF(AND($A91&gt;=SYear85,$A91&lt;=EYear85),IF(E$3&gt;0,E$3*Data_85_15!E131,""),"")</f>
        <v/>
      </c>
      <c r="F91" s="211" t="str">
        <f>IF(AND($A91&gt;=SYear85,$A91&lt;=EYear85),IF(F$3&gt;0,F$3*Data_85_15!F131,""),"")</f>
        <v/>
      </c>
      <c r="G91" s="211" t="str">
        <f>IF(AND($A91&gt;=SYear85,$A91&lt;=EYear85),IF(G$3&gt;0,G$3*Data_85_15!G131,""),"")</f>
        <v/>
      </c>
      <c r="H91" s="206" t="str">
        <f>IF(AND($A91&gt;=SYear85,$A91&lt;=EYear85),IF(H$3&gt;0,H$3*Data_85_15!H131,""),"")</f>
        <v/>
      </c>
      <c r="I91" s="206" t="str">
        <f>IF(AND($A91&gt;=SYear85,$A91&lt;=EYear85),IF(I$3&gt;0,I$3*Data_85_15!I131,""),"")</f>
        <v/>
      </c>
      <c r="J91" s="206" t="str">
        <f>IF(AND($A91&gt;=SYear85,$A91&lt;=EYear85),IF(J$3&gt;0,J$3*Data_85_15!J131,""),"")</f>
        <v/>
      </c>
      <c r="K91" s="206" t="str">
        <f>IF(AND($A91&gt;=SYear85,$A91&lt;=EYear85),IF(K$3&gt;0,K$3*Data_85_15!K131,""),"")</f>
        <v/>
      </c>
      <c r="L91" s="206" t="str">
        <f>IF(AND($A91&gt;=SYear85,$A91&lt;=EYear85),IF(L$3&gt;0,L$3*Data_85_15!L131,""),"")</f>
        <v/>
      </c>
      <c r="M91" s="206" t="str">
        <f>IF(AND($A91&gt;=SYear85,$A91&lt;=EYear85),IF(M$3&gt;0,M$3*Data_85_15!M131,""),"")</f>
        <v/>
      </c>
      <c r="N91" s="206" t="str">
        <f>IF(AND($A91&gt;=SYear85,$A91&lt;=EYear85),IF(N$3&gt;0,N$3*Data_85_15!N131,""),"")</f>
        <v/>
      </c>
      <c r="O91" s="206" t="str">
        <f>IF(AND($A91&gt;=SYear85,$A91&lt;=EYear85),IF(O$3&gt;0,O$3*Data_85_15!O131,""),"")</f>
        <v/>
      </c>
      <c r="P91" s="206" t="str">
        <f>IF(AND($A91&gt;=SYear85,$A91&lt;=EYear85),IF(P$3&gt;0,P$3*Data_85_15!P131,""),"")</f>
        <v/>
      </c>
      <c r="Q91" s="206" t="str">
        <f>IF(AND($A91&gt;=SYear85,$A91&lt;=EYear85),IF(Q$3&gt;0,Q$3*Data_85_15!Q131,""),"")</f>
        <v/>
      </c>
      <c r="R91" s="206" t="str">
        <f>IF(AND($A91&gt;=SYear85,$A91&lt;=EYear85),IF(R$3&gt;0,R$3*Data_85_15!R131,""),"")</f>
        <v/>
      </c>
      <c r="S91" s="206" t="str">
        <f>IF(AND($A91&gt;=SYear85,$A91&lt;=EYear85),IF(S$3&gt;0,S$3*Data_85_15!S131,""),"")</f>
        <v/>
      </c>
      <c r="T91" s="206" t="str">
        <f>IF(AND($A91&gt;=SYear85,$A91&lt;=EYear85),IF(T$3&gt;0,T$3*Data_85_15!T131,""),"")</f>
        <v/>
      </c>
      <c r="U91" s="206" t="str">
        <f>IF(AND($A91&gt;=SYear85,$A91&lt;=EYear85),IF(U$3&gt;0,U$3*Data_85_15!U131,""),"")</f>
        <v/>
      </c>
      <c r="V91" s="206" t="str">
        <f>IF(AND($A91&gt;=SYear85,$A91&lt;=EYear85),IF(V$3&gt;0,V$3*Data_85_15!V131,""),"")</f>
        <v/>
      </c>
      <c r="W91" s="206" t="str">
        <f>IF(AND($A91&gt;=SYear85,$A91&lt;=EYear85),IF(W$3&gt;0,W$3*Data_85_15!W131,""),"")</f>
        <v/>
      </c>
      <c r="X91" s="206" t="str">
        <f>IF(AND($A91&gt;=SYear85,$A91&lt;=EYear85),IF(X$3&gt;0,X$3*Data_85_15!X131,""),"")</f>
        <v/>
      </c>
      <c r="Y91" s="206" t="str">
        <f>IF(AND($A91&gt;=SYear85,$A91&lt;=EYear85),IF(Y$3&gt;0,Y$3*Data_85_15!Y131,""),"")</f>
        <v/>
      </c>
      <c r="Z91" s="206" t="str">
        <f>IF(AND($A91&gt;=SYear85,$A91&lt;=EYear85),IF(Z$3&gt;0,Z$3*Data_85_15!Z131,""),"")</f>
        <v/>
      </c>
      <c r="AA91" s="206" t="str">
        <f>IF(AND($A91&gt;=SYear85,$A91&lt;=EYear85),IF(AA$3&gt;0,AA$3*Data_85_15!AA131,""),"")</f>
        <v/>
      </c>
      <c r="AB91" s="206" t="str">
        <f>IF(AND($A91&gt;=SYear85,$A91&lt;=EYear85),IF(AB$3&gt;0,AB$3*Data_85_15!AB131,""),"")</f>
        <v/>
      </c>
      <c r="AC91" s="206" t="str">
        <f>IF(AND($A91&gt;=SYear85,$A91&lt;=EYear85),IF(AC$3&gt;0,AC$3*Data_85_15!AC131,""),"")</f>
        <v/>
      </c>
      <c r="AD91" s="206" t="str">
        <f>IF(AND($A91&gt;=SYear85,$A91&lt;=EYear85),IF(AD$3&gt;0,AD$3*Data_85_15!AD131,""),"")</f>
        <v/>
      </c>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t="str">
        <f>IF(AND($A91&gt;$BC$2-Portfolio!$K$85,$A91&lt;=$BC$2),SUM(B91:AB91),"")</f>
        <v/>
      </c>
      <c r="BA91" s="206" t="str">
        <f>IF(AND($BC$2-Portfolio!$K$85&lt;$A91,$BC$2&gt;$A91),IF($BC$2-Portfolio!$K$85+1=$A91,$BA$4*(1+AZ91%),BA78*(1+AZ91%)),"")</f>
        <v/>
      </c>
      <c r="BB91" s="32"/>
      <c r="BC91" s="207"/>
    </row>
    <row r="92" spans="1:77" ht="36.75" customHeight="1" thickBot="1">
      <c r="A92" s="212" t="s">
        <v>406</v>
      </c>
      <c r="B92" s="213" t="s">
        <v>175</v>
      </c>
      <c r="C92" s="213" t="s">
        <v>176</v>
      </c>
      <c r="D92" s="213" t="s">
        <v>420</v>
      </c>
      <c r="E92" s="213" t="s">
        <v>178</v>
      </c>
      <c r="F92" s="477" t="s">
        <v>179</v>
      </c>
      <c r="G92" s="477" t="s">
        <v>180</v>
      </c>
      <c r="H92" s="474" t="s">
        <v>181</v>
      </c>
      <c r="I92" s="215"/>
      <c r="J92" s="215"/>
      <c r="K92" s="215"/>
      <c r="L92" s="215"/>
      <c r="M92" s="215"/>
      <c r="N92" s="215"/>
      <c r="O92" s="215"/>
      <c r="P92" s="215"/>
      <c r="Q92" s="215"/>
      <c r="R92" s="215"/>
      <c r="S92" s="215"/>
      <c r="T92" s="215"/>
      <c r="U92" s="215"/>
      <c r="V92" s="215"/>
      <c r="W92" s="215"/>
      <c r="X92" s="215"/>
      <c r="Y92" s="215"/>
      <c r="Z92" s="215"/>
      <c r="AA92" s="215"/>
      <c r="AB92" s="215"/>
      <c r="AC92" s="215"/>
      <c r="AD92" s="215"/>
      <c r="AE92" s="215"/>
      <c r="AF92" s="215"/>
      <c r="AG92" s="215"/>
      <c r="AH92" s="215"/>
      <c r="AI92" s="215"/>
      <c r="AJ92" s="215"/>
      <c r="AK92" s="215"/>
      <c r="AL92" s="215"/>
      <c r="AM92" s="215"/>
      <c r="AN92" s="215"/>
      <c r="AO92" s="215"/>
      <c r="AP92" s="215"/>
      <c r="AQ92" s="215"/>
      <c r="AR92" s="215"/>
      <c r="AS92" s="215"/>
      <c r="AT92" s="215"/>
      <c r="AU92" s="215"/>
      <c r="AV92" s="215"/>
      <c r="AW92" s="215"/>
      <c r="AX92" s="215"/>
      <c r="AY92" s="215"/>
      <c r="AZ92" s="215"/>
      <c r="BA92" s="215"/>
      <c r="BB92" s="215"/>
      <c r="BC92" s="217"/>
      <c r="BD92" s="26"/>
    </row>
    <row r="93" spans="1:77" ht="14" thickTop="1" thickBot="1">
      <c r="A93" s="218" t="s">
        <v>407</v>
      </c>
      <c r="B93" s="441">
        <f>IF(AZ56="ERROR","ERROR",VLOOKUP(EYear85,Unrebal_ReturnsTable85,COLUMN(BA82),FALSE))</f>
        <v>157937.13345113036</v>
      </c>
      <c r="C93" s="219">
        <f>RATE(Portfolio!$K$85,0,-$BA$4,B93)*100</f>
        <v>9.3102235055286791</v>
      </c>
      <c r="D93" s="219">
        <f ca="1">STDEV(Unrebal_NominalReturns85)</f>
        <v>8.4577685011727404</v>
      </c>
      <c r="E93" s="219">
        <f ca="1">((AVERAGE(Unrebal_NominalReturns85))-(AVERAGE(TBill85)))/STDEV(Unrebal_NominalReturns85)</f>
        <v>0.71255731170349312</v>
      </c>
      <c r="F93" s="219">
        <f t="array" aca="1" ref="F93" ca="1">(AVERAGE(Unrebal_NominalReturns85)-MAR85_Nominal*100)/SQRT(SUM(IF(Unrebal_NominalReturns85&lt;MAR85_Nominal*100,(Unrebal_NominalReturns85-MAR85_Nominal*100)^2))/COUNT(Unrebal_NominalReturns85))</f>
        <v>0.95953147514522608</v>
      </c>
      <c r="G93" s="472">
        <f ca="1">(PEARSON(Unrebal_NominalReturns85,OFFSET(Data_85_15!$B$8,$A$43,0,$C$43,1)))</f>
        <v>0.76655147694442127</v>
      </c>
      <c r="H93" s="475">
        <f ca="1">(PEARSON(Unrebal_NominalReturns85,OFFSET(Data_85_15!$N$8,$A$43,0,$C$43,1)))</f>
        <v>0.66465226939070599</v>
      </c>
      <c r="I93" s="220"/>
      <c r="J93" s="32"/>
      <c r="K93" s="32"/>
      <c r="L93" s="32"/>
      <c r="M93" s="32"/>
      <c r="N93" s="32"/>
      <c r="O93" s="32"/>
      <c r="P93" s="221"/>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207"/>
    </row>
    <row r="94" spans="1:77" ht="13" thickBot="1">
      <c r="A94" s="223" t="s">
        <v>408</v>
      </c>
      <c r="B94" s="442">
        <f>IF(AZ57="ERROR","ERROR",VLOOKUP(EYear85,Unrebal_ReturnsTable85,COLUMN(BC82),FALSE))</f>
        <v>70312.990814518591</v>
      </c>
      <c r="C94" s="224">
        <f>RATE(Portfolio!$K$85,0,-$BC$4,B94)*100</f>
        <v>6.4936538398310342</v>
      </c>
      <c r="D94" s="224">
        <f ca="1">STDEV(Unrebal_RealReturns85)</f>
        <v>8.2704984447163881</v>
      </c>
      <c r="E94" s="224">
        <f ca="1">((AVERAGE(Unrebal_RealReturns85))-(AVERAGE(TBill85_Real)))/STDEV(Unrebal_RealReturns85)</f>
        <v>0.71101555107109693</v>
      </c>
      <c r="F94" s="473">
        <f t="array" aca="1" ref="F94" ca="1">(AVERAGE(Unrebal_RealReturns85)-MAR85_Real*100)/SQRT(SUM(IF(Unrebal_RealReturns85&lt;MAR85_Real*100,(Unrebal_RealReturns85-MAR85_Real*100)^2))/COUNT(Unrebal_RealReturns85))</f>
        <v>1.1024452421952968</v>
      </c>
      <c r="G94" s="293">
        <f ca="1">(PEARSON(Unrebal_RealReturns85,OFFSET(Data_85_15!$B$8,$A$43,0,$C$43,1)))</f>
        <v>0.75578141763452389</v>
      </c>
      <c r="H94" s="476">
        <f ca="1">(PEARSON(Unrebal_RealReturns85,OFFSET(Data_85_15!$N$8,$A$43,0,$C$43,1)))</f>
        <v>0.64545364148866535</v>
      </c>
      <c r="I94" s="251"/>
      <c r="J94" s="225"/>
      <c r="K94" s="225"/>
      <c r="L94" s="225"/>
      <c r="M94" s="225"/>
      <c r="N94" s="225"/>
      <c r="O94" s="225"/>
      <c r="P94" s="226"/>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c r="BA94" s="225"/>
      <c r="BB94" s="225"/>
      <c r="BC94" s="227"/>
    </row>
    <row r="95" spans="1:77" ht="13" thickTop="1">
      <c r="I95" s="36" t="str">
        <f>"Portfolio Nominal (Unbalanced) = "&amp;TEXT(B93,"#,##0")</f>
        <v>Portfolio Nominal (Unbalanced) = 157,937</v>
      </c>
      <c r="Q95" s="36" t="str">
        <f>"Portfolio Real (Unbalanced) = "&amp;TEXT(B94,"#,##0")</f>
        <v>Portfolio Real (Unbalanced) = 70,313</v>
      </c>
    </row>
    <row r="96" spans="1:77" ht="13" thickBot="1">
      <c r="A96" s="47"/>
      <c r="B96" s="47"/>
      <c r="C96" s="47"/>
      <c r="D96" s="47"/>
      <c r="E96" s="47"/>
      <c r="F96" s="47"/>
      <c r="G96" s="47"/>
      <c r="H96" s="47"/>
      <c r="J96" s="47"/>
      <c r="K96" s="47"/>
      <c r="L96" s="47"/>
      <c r="M96" s="47"/>
      <c r="N96" s="47"/>
      <c r="O96" s="47"/>
      <c r="P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row>
    <row r="97" spans="1:59" ht="16" thickBot="1">
      <c r="A97" s="642" t="s">
        <v>744</v>
      </c>
      <c r="B97" s="642"/>
      <c r="C97" s="643"/>
      <c r="D97" s="643"/>
      <c r="E97" s="643"/>
      <c r="F97" s="47"/>
      <c r="G97" s="47"/>
      <c r="H97" s="47"/>
      <c r="J97" s="47"/>
      <c r="K97" s="47"/>
      <c r="L97" s="47"/>
      <c r="M97" s="47"/>
      <c r="N97" s="47"/>
      <c r="O97" s="47"/>
      <c r="P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row>
    <row r="98" spans="1:59" ht="13" thickTop="1">
      <c r="A98" s="516" t="s">
        <v>487</v>
      </c>
      <c r="B98" s="360">
        <f t="array" aca="1" ref="B98" ca="1">IF(ISERROR(PRODUCT(1+OFFSET(Data_85_15!B$8,$A$43,0,$C$43,1)%)),"",PRODUCT(1+OFFSET(Data_85_15!B$8,$A$43,0,$C$43,1)%))</f>
        <v>23.703799457344104</v>
      </c>
      <c r="C98" s="360">
        <f t="array" aca="1" ref="C98" ca="1">IF(ISERROR(PRODUCT(1+OFFSET(Data_85_15!C$8,$A$43,0,$C$43,1)%)),"",PRODUCT(1+OFFSET(Data_85_15!C$8,$A$43,0,$C$43,1)%))</f>
        <v>22.856642523361877</v>
      </c>
      <c r="D98" s="360">
        <f t="array" aca="1" ref="D98" ca="1">IF(ISERROR(PRODUCT(1+OFFSET(Data_85_15!D$8,$A$43,0,$C$43,1)%)),"",PRODUCT(1+OFFSET(Data_85_15!D$8,$A$43,0,$C$43,1)%))</f>
        <v>24.248237666408311</v>
      </c>
      <c r="E98" s="360">
        <f t="array" aca="1" ref="E98" ca="1">IF(ISERROR(PRODUCT(1+OFFSET(Data_85_15!E$8,$A$43,0,$C$43,1)%)),"",PRODUCT(1+OFFSET(Data_85_15!E$8,$A$43,0,$C$43,1)%))</f>
        <v>25.700659044691534</v>
      </c>
      <c r="F98" s="360">
        <f t="array" aca="1" ref="F98" ca="1">IF(ISERROR(PRODUCT(1+OFFSET(Data_85_15!F$8,$A$43,0,$C$43,1)%)),"",PRODUCT(1+OFFSET(Data_85_15!F$8,$A$43,0,$C$43,1)%))</f>
        <v>38.055021747377332</v>
      </c>
      <c r="G98" s="360">
        <f t="array" aca="1" ref="G98" ca="1">IF(ISERROR(PRODUCT(1+OFFSET(Data_85_15!G$8,$A$43,0,$C$43,1)%)),"",PRODUCT(1+OFFSET(Data_85_15!G$8,$A$43,0,$C$43,1)%))</f>
        <v>26.608127587150666</v>
      </c>
      <c r="H98" s="360">
        <f t="array" aca="1" ref="H98" ca="1">IF(ISERROR(PRODUCT(1+OFFSET(Data_85_15!H$8,$A$43,0,$C$43,1)%)),"",PRODUCT(1+OFFSET(Data_85_15!H$8,$A$43,0,$C$43,1)%))</f>
        <v>21.432776985031037</v>
      </c>
      <c r="I98" s="360">
        <f t="array" aca="1" ref="I98" ca="1">IF(ISERROR(PRODUCT(1+OFFSET(Data_85_15!I$8,$A$43,0,$C$43,1)%)),"",PRODUCT(1+OFFSET(Data_85_15!I$8,$A$43,0,$C$43,1)%))</f>
        <v>17.092465727406875</v>
      </c>
      <c r="J98" s="360">
        <f t="array" aca="1" ref="J98" ca="1">IF(ISERROR(PRODUCT(1+OFFSET(Data_85_15!J$8,$A$43,0,$C$43,1)%)),"",PRODUCT(1+OFFSET(Data_85_15!J$8,$A$43,0,$C$43,1)%))</f>
        <v>23.911724554837843</v>
      </c>
      <c r="K98" s="360">
        <f t="array" aca="1" ref="K98" ca="1">IF(ISERROR(PRODUCT(1+OFFSET(Data_85_15!K$8,$A$43,0,$C$43,1)%)),"",PRODUCT(1+OFFSET(Data_85_15!K$8,$A$43,0,$C$43,1)%))</f>
        <v>23.659745466538826</v>
      </c>
      <c r="L98" s="360">
        <f t="array" aca="1" ref="L98" ca="1">IF(ISERROR(PRODUCT(1+OFFSET(Data_85_15!L$8,$A$43,0,$C$43,1)%)),"",PRODUCT(1+OFFSET(Data_85_15!L$8,$A$43,0,$C$43,1)%))</f>
        <v>13.855272391431527</v>
      </c>
      <c r="M98" s="360">
        <f t="array" aca="1" ref="M98" ca="1">IF(ISERROR(PRODUCT(1+OFFSET(Data_85_15!M$8,$A$43,0,$C$43,1)%)),"",PRODUCT(1+OFFSET(Data_85_15!M$8,$A$43,0,$C$43,1)%))</f>
        <v>62.321965461826828</v>
      </c>
      <c r="N98" s="360">
        <f t="array" aca="1" ref="N98" ca="1">IF(ISERROR(PRODUCT(1+OFFSET(Data_85_15!N$8,$A$43,0,$C$43,1)%)),"",PRODUCT(1+OFFSET(Data_85_15!N$8,$A$43,0,$C$43,1)%))</f>
        <v>16.881220073117159</v>
      </c>
      <c r="O98" s="360">
        <f t="array" aca="1" ref="O98" ca="1">IF(ISERROR(PRODUCT(1+OFFSET(Data_85_15!O$8,$A$43,0,$C$43,1)%)),"",PRODUCT(1+OFFSET(Data_85_15!O$8,$A$43,0,$C$43,1)%))</f>
        <v>6.5226925008515613</v>
      </c>
      <c r="P98" s="360">
        <f t="array" aca="1" ref="P98" ca="1">IF(ISERROR(PRODUCT(1+OFFSET(Data_85_15!P$8,$A$43,0,$C$43,1)%)),"",PRODUCT(1+OFFSET(Data_85_15!P$8,$A$43,0,$C$43,1)%))</f>
        <v>23.737305588288443</v>
      </c>
      <c r="Q98" s="360">
        <f t="array" aca="1" ref="Q98" ca="1">IF(ISERROR(PRODUCT(1+OFFSET(Data_85_15!Q$8,$A$43,0,$C$43,1)%)),"",PRODUCT(1+OFFSET(Data_85_15!Q$8,$A$43,0,$C$43,1)%))</f>
        <v>20.487342556557167</v>
      </c>
      <c r="R98" s="360">
        <f t="array" aca="1" ref="R98" ca="1">IF(ISERROR(PRODUCT(1+OFFSET(Data_85_15!R$8,$A$43,0,$C$43,1)%)),"",PRODUCT(1+OFFSET(Data_85_15!R$8,$A$43,0,$C$43,1)%))</f>
        <v>6.7184311293619459</v>
      </c>
      <c r="S98" s="360">
        <f t="array" aca="1" ref="S98" ca="1">IF(ISERROR(PRODUCT(1+OFFSET(Data_85_15!S$8,$A$43,0,$C$43,1)%)),"",PRODUCT(1+OFFSET(Data_85_15!S$8,$A$43,0,$C$43,1)%))</f>
        <v>14.180814459629151</v>
      </c>
      <c r="T98" s="360">
        <f t="array" aca="1" ref="T98" ca="1">IF(ISERROR(PRODUCT(1+OFFSET(Data_85_15!T$8,$A$43,0,$C$43,1)%)),"",PRODUCT(1+OFFSET(Data_85_15!T$8,$A$43,0,$C$43,1)%))</f>
        <v>8.2772340941358618</v>
      </c>
      <c r="U98" s="360">
        <f t="array" aca="1" ref="U98" ca="1">IF(ISERROR(PRODUCT(1+OFFSET(Data_85_15!U$8,$A$43,0,$C$43,1)%)),"",PRODUCT(1+OFFSET(Data_85_15!U$8,$A$43,0,$C$43,1)%))</f>
        <v>7.5235292507465426</v>
      </c>
      <c r="V98" s="360">
        <f t="array" aca="1" ref="V98" ca="1">IF(ISERROR(PRODUCT(1+OFFSET(Data_85_15!V$8,$A$43,0,$C$43,1)%)),"",PRODUCT(1+OFFSET(Data_85_15!V$8,$A$43,0,$C$43,1)%))</f>
        <v>2.9843838444987565</v>
      </c>
      <c r="W98" s="360">
        <f t="array" aca="1" ref="W98" ca="1">IF(ISERROR(PRODUCT(1+OFFSET(Data_85_15!W$8,$A$43,0,$C$43,1)%)),"",PRODUCT(1+OFFSET(Data_85_15!W$8,$A$43,0,$C$43,1)%))</f>
        <v>7.9236920506286257</v>
      </c>
      <c r="X98" s="360">
        <f t="array" aca="1" ref="X98" ca="1">IF(ISERROR(PRODUCT(1+OFFSET(Data_85_15!X$8,$A$43,0,$C$43,1)%)),"",PRODUCT(1+OFFSET(Data_85_15!X$8,$A$43,0,$C$43,1)%))</f>
        <v>22.205539436954279</v>
      </c>
      <c r="Y98" s="360">
        <f t="array" aca="1" ref="Y98" ca="1">IF(ISERROR(PRODUCT(1+OFFSET(Data_85_15!Y$8,$A$43,0,$C$43,1)%)),"",PRODUCT(1+OFFSET(Data_85_15!Y$8,$A$43,0,$C$43,1)%))</f>
        <v>17.334487346841943</v>
      </c>
      <c r="Z98" s="360">
        <f t="array" aca="1" ref="Z98" ca="1">IF(ISERROR(PRODUCT(1+OFFSET(Data_85_15!Z$8,$A$43,0,$C$43,1)%)),"",PRODUCT(1+OFFSET(Data_85_15!Z$8,$A$43,0,$C$43,1)%))</f>
        <v>23.695880649239612</v>
      </c>
      <c r="AA98" s="360">
        <f t="array" aca="1" ref="AA98" ca="1">IF(ISERROR(PRODUCT(1+OFFSET(Data_85_15!AA$8,$A$43,0,$C$43,1)%)),"",PRODUCT(1+OFFSET(Data_85_15!AA$8,$A$43,0,$C$43,1)%))</f>
        <v>144.03649961023183</v>
      </c>
      <c r="AB98" s="360">
        <f t="array" aca="1" ref="AB98" ca="1">IF(ISERROR(PRODUCT(1+OFFSET(Data_85_15!AB$8,$A$43,0,$C$43,1)%)),"",PRODUCT(1+OFFSET(Data_85_15!AB$8,$A$43,0,$C$43,1)%))</f>
        <v>3.8019109591162561</v>
      </c>
      <c r="AC98" s="360">
        <f t="array" aca="1" ref="AC98" ca="1">IF(ISERROR(PRODUCT(1+OFFSET(Data_85_15!AC$8,$A$43,0,$C$43,1)%)),"",PRODUCT(1+OFFSET(Data_85_15!AC$8,$A$43,0,$C$43,1)%))</f>
        <v>21.875600781174516</v>
      </c>
      <c r="AD98" s="360">
        <f t="array" aca="1" ref="AD98" ca="1">IF(ISERROR(PRODUCT(1+OFFSET(Data_85_15!AD$8,$A$43,0,$C$43,1)%)),"",PRODUCT(1+OFFSET(Data_85_15!AD$8,$A$43,0,$C$43,1)%))</f>
        <v>21.408893550887576</v>
      </c>
      <c r="AE98" s="360">
        <f t="array" aca="1" ref="AE98" ca="1">IF(ISERROR(PRODUCT(1+OFFSET(Data_85_15!AE$8,$A$43,0,$C$43,1)%)),"",PRODUCT(1+OFFSET(Data_85_15!AE$8,$A$43,0,$C$43,1)%))</f>
        <v>2.9985421518687096</v>
      </c>
      <c r="AF98" s="360">
        <f t="array" aca="1" ref="AF98" ca="1">IF(ISERROR(PRODUCT(1+OFFSET(Data_85_15!AF$8,$A$43,0,$C$43,1)%)),"",PRODUCT(1+OFFSET(Data_85_15!AF$8,$A$43,0,$C$43,1)%))</f>
        <v>6.6561518387154921</v>
      </c>
      <c r="AG98" s="360">
        <f t="array" aca="1" ref="AG98" ca="1">IF(ISERROR(PRODUCT(1+OFFSET(Data_85_15!AG$8,$A$43,0,$C$43,1)%)),"",PRODUCT(1+OFFSET(Data_85_15!AG$8,$A$43,0,$C$43,1)%))</f>
        <v>8.2003628465847775</v>
      </c>
      <c r="AH98" s="360">
        <f t="array" aca="1" ref="AH98" ca="1">IF(ISERROR(PRODUCT(1+OFFSET(Data_85_15!AH$8,$A$43,0,$C$43,1)%)),"",PRODUCT(1+OFFSET(Data_85_15!AH$8,$A$43,0,$C$43,1)%))</f>
        <v>9.0614132747995786</v>
      </c>
      <c r="AI98" s="360">
        <f t="array" aca="1" ref="AI98" ca="1">IF(ISERROR(PRODUCT(1+OFFSET(Data_85_15!AI$8,$A$43,0,$C$43,1)%)),"",PRODUCT(1+OFFSET(Data_85_15!AI$8,$A$43,0,$C$43,1)%))</f>
        <v>4.8671212224601552</v>
      </c>
      <c r="AJ98" s="360">
        <f t="array" aca="1" ref="AJ98" ca="1">IF(ISERROR(PRODUCT(1+OFFSET(Data_85_15!AJ$8,$A$43,0,$C$43,1)%)),"",PRODUCT(1+OFFSET(Data_85_15!AJ$8,$A$43,0,$C$43,1)%))</f>
        <v>24.247613785721196</v>
      </c>
      <c r="AK98" s="360">
        <f t="array" aca="1" ref="AK98" ca="1">IF(ISERROR(PRODUCT(1+OFFSET(Data_85_15!AK$8,$A$43,0,$C$43,1)%)),"",PRODUCT(1+OFFSET(Data_85_15!AK$8,$A$43,0,$C$43,1)%))</f>
        <v>41.300136792843631</v>
      </c>
      <c r="AL98" s="360">
        <f t="array" aca="1" ref="AL98" ca="1">IF(ISERROR(PRODUCT(1+OFFSET(Data_85_15!AL$8,$A$43,0,$C$43,1)%)),"",PRODUCT(1+OFFSET(Data_85_15!AL$8,$A$43,0,$C$43,1)%))</f>
        <v>23.48450994651207</v>
      </c>
      <c r="AM98" s="360">
        <f t="array" aca="1" ref="AM98" ca="1">IF(ISERROR(PRODUCT(1+OFFSET(Data_85_15!AM$8,$A$43,0,$C$43,1)%)),"",PRODUCT(1+OFFSET(Data_85_15!AM$8,$A$43,0,$C$43,1)%))</f>
        <v>5.94660482166113</v>
      </c>
      <c r="AN98" s="360">
        <f t="array" aca="1" ref="AN98" ca="1">IF(ISERROR(PRODUCT(1+OFFSET(Data_85_15!AN$8,$A$43,0,$C$43,1)%)),"",PRODUCT(1+OFFSET(Data_85_15!AN$8,$A$43,0,$C$43,1)%))</f>
        <v>5.9038995583096101</v>
      </c>
      <c r="AO98" s="360">
        <f t="array" aca="1" ref="AO98" ca="1">IF(ISERROR(PRODUCT(1+OFFSET(Data_85_15!AO$8,$A$43,0,$C$43,1)%)),"",PRODUCT(1+OFFSET(Data_85_15!AO$8,$A$43,0,$C$43,1)%))</f>
        <v>3.0153251228170217</v>
      </c>
      <c r="AP98" s="360">
        <f t="array" aca="1" ref="AP98" ca="1">IF(ISERROR(PRODUCT(1+OFFSET(Data_85_15!AP$8,$A$43,0,$C$43,1)%)),"",PRODUCT(1+OFFSET(Data_85_15!AP$8,$A$43,0,$C$43,1)%))</f>
        <v>32.720259013681968</v>
      </c>
      <c r="AQ98" s="360" t="str">
        <f t="array" aca="1" ref="AQ98" ca="1">IF(ISERROR(PRODUCT(1+OFFSET(Data_85_15!AQ$8,$A$43,0,$C$43,1)%)),"",PRODUCT(1+OFFSET(Data_85_15!AQ$8,$A$43,0,$C$43,1)%))</f>
        <v/>
      </c>
      <c r="AR98" s="360" t="str">
        <f t="array" aca="1" ref="AR98" ca="1">IF(ISERROR(PRODUCT(1+OFFSET(Data_85_15!AR$8,$A$43,0,$C$43,1)%)),"",PRODUCT(1+OFFSET(Data_85_15!AR$8,$A$43,0,$C$43,1)%))</f>
        <v/>
      </c>
      <c r="AS98" s="360" t="str">
        <f t="array" aca="1" ref="AS98" ca="1">IF(ISERROR(PRODUCT(1+OFFSET(Data_85_15!AS$8,$A$43,0,$C$43,1)%)),"",PRODUCT(1+OFFSET(Data_85_15!AS$8,$A$43,0,$C$43,1)%))</f>
        <v/>
      </c>
      <c r="AT98" s="360" t="str">
        <f t="array" aca="1" ref="AT98" ca="1">IF(ISERROR(PRODUCT(1+OFFSET(Data_85_15!AT$8,$A$43,0,$C$43,1)%)),"",PRODUCT(1+OFFSET(Data_85_15!AT$8,$A$43,0,$C$43,1)%))</f>
        <v/>
      </c>
      <c r="AU98" s="360" t="str">
        <f t="array" aca="1" ref="AU98" ca="1">IF(ISERROR(PRODUCT(1+OFFSET(Data_85_15!AU$8,$A$43,0,$C$43,1)%)),"",PRODUCT(1+OFFSET(Data_85_15!AU$8,$A$43,0,$C$43,1)%))</f>
        <v/>
      </c>
      <c r="AV98" s="360" t="str">
        <f t="array" aca="1" ref="AV98" ca="1">IF(ISERROR(PRODUCT(1+OFFSET(Data_85_15!AV$8,$A$43,0,$C$43,1)%)),"",PRODUCT(1+OFFSET(Data_85_15!AV$8,$A$43,0,$C$43,1)%))</f>
        <v/>
      </c>
      <c r="AW98" s="360" t="str">
        <f t="array" aca="1" ref="AW98" ca="1">IF(ISERROR(PRODUCT(1+OFFSET(Data_85_15!AW$8,$A$43,0,$C$43,1)%)),"",PRODUCT(1+OFFSET(Data_85_15!AW$8,$A$43,0,$C$43,1)%))</f>
        <v/>
      </c>
      <c r="AX98" s="360" t="str">
        <f t="array" aca="1" ref="AX98" ca="1">IF(ISERROR(PRODUCT(1+OFFSET(Data_85_15!AX$8,$A$43,0,$C$43,1)%)),"",PRODUCT(1+OFFSET(Data_85_15!AX$8,$A$43,0,$C$43,1)%))</f>
        <v/>
      </c>
      <c r="AY98" s="510" t="str">
        <f t="array" aca="1" ref="AY98" ca="1">IF(ISERROR(PRODUCT(1+OFFSET(Data_85_15!AY$8,$A$43,0,$C$43,1)%)),"",PRODUCT(1+OFFSET(Data_85_15!AY$8,$A$43,0,$C$43,1)%))</f>
        <v/>
      </c>
      <c r="BA98"/>
      <c r="BB98"/>
      <c r="BC98"/>
      <c r="BD98"/>
      <c r="BE98"/>
      <c r="BG98"/>
    </row>
    <row r="99" spans="1:59">
      <c r="A99" s="517" t="s">
        <v>488</v>
      </c>
      <c r="B99" s="361">
        <f t="array" aca="1" ref="B99" ca="1">IF(ISERROR(PRODUCT(1+OFFSET(Data_85_15!B$8,Compare_Portfolios!$L$91,0,Compare_Portfolios!$L$90,1)%)),"",(PRODUCT(1+OFFSET(Data_85_15!B$8,Compare_Portfolios!$L$91,0,Compare_Portfolios!$L$90,1)%)))</f>
        <v>23.703799457344104</v>
      </c>
      <c r="C99" s="361">
        <f t="array" aca="1" ref="C99" ca="1">IF(ISERROR(PRODUCT(1+OFFSET(Data_85_15!C$8,Compare_Portfolios!$L$91,0,Compare_Portfolios!$L$90,1)%)),"",(PRODUCT(1+OFFSET(Data_85_15!C$8,Compare_Portfolios!$L$91,0,Compare_Portfolios!$L$90,1)%)))</f>
        <v>22.856642523361877</v>
      </c>
      <c r="D99" s="361">
        <f t="array" aca="1" ref="D99" ca="1">IF(ISERROR(PRODUCT(1+OFFSET(Data_85_15!D$8,Compare_Portfolios!$L$91,0,Compare_Portfolios!$L$90,1)%)),"",(PRODUCT(1+OFFSET(Data_85_15!D$8,Compare_Portfolios!$L$91,0,Compare_Portfolios!$L$90,1)%)))</f>
        <v>24.248237666408311</v>
      </c>
      <c r="E99" s="361">
        <f t="array" aca="1" ref="E99" ca="1">IF(ISERROR(PRODUCT(1+OFFSET(Data_85_15!E$8,Compare_Portfolios!$L$91,0,Compare_Portfolios!$L$90,1)%)),"",(PRODUCT(1+OFFSET(Data_85_15!E$8,Compare_Portfolios!$L$91,0,Compare_Portfolios!$L$90,1)%)))</f>
        <v>25.700659044691534</v>
      </c>
      <c r="F99" s="361">
        <f t="array" aca="1" ref="F99" ca="1">IF(ISERROR(PRODUCT(1+OFFSET(Data_85_15!F$8,Compare_Portfolios!$L$91,0,Compare_Portfolios!$L$90,1)%)),"",(PRODUCT(1+OFFSET(Data_85_15!F$8,Compare_Portfolios!$L$91,0,Compare_Portfolios!$L$90,1)%)))</f>
        <v>38.055021747377332</v>
      </c>
      <c r="G99" s="361">
        <f t="array" aca="1" ref="G99" ca="1">IF(ISERROR(PRODUCT(1+OFFSET(Data_85_15!G$8,Compare_Portfolios!$L$91,0,Compare_Portfolios!$L$90,1)%)),"",(PRODUCT(1+OFFSET(Data_85_15!G$8,Compare_Portfolios!$L$91,0,Compare_Portfolios!$L$90,1)%)))</f>
        <v>26.608127587150666</v>
      </c>
      <c r="H99" s="361">
        <f t="array" aca="1" ref="H99" ca="1">IF(ISERROR(PRODUCT(1+OFFSET(Data_85_15!H$8,Compare_Portfolios!$L$91,0,Compare_Portfolios!$L$90,1)%)),"",(PRODUCT(1+OFFSET(Data_85_15!H$8,Compare_Portfolios!$L$91,0,Compare_Portfolios!$L$90,1)%)))</f>
        <v>21.432776985031037</v>
      </c>
      <c r="I99" s="361">
        <f t="array" aca="1" ref="I99" ca="1">IF(ISERROR(PRODUCT(1+OFFSET(Data_85_15!I$8,Compare_Portfolios!$L$91,0,Compare_Portfolios!$L$90,1)%)),"",(PRODUCT(1+OFFSET(Data_85_15!I$8,Compare_Portfolios!$L$91,0,Compare_Portfolios!$L$90,1)%)))</f>
        <v>17.092465727406875</v>
      </c>
      <c r="J99" s="361">
        <f t="array" aca="1" ref="J99" ca="1">IF(ISERROR(PRODUCT(1+OFFSET(Data_85_15!J$8,Compare_Portfolios!$L$91,0,Compare_Portfolios!$L$90,1)%)),"",(PRODUCT(1+OFFSET(Data_85_15!J$8,Compare_Portfolios!$L$91,0,Compare_Portfolios!$L$90,1)%)))</f>
        <v>23.911724554837843</v>
      </c>
      <c r="K99" s="361">
        <f t="array" aca="1" ref="K99" ca="1">IF(ISERROR(PRODUCT(1+OFFSET(Data_85_15!K$8,Compare_Portfolios!$L$91,0,Compare_Portfolios!$L$90,1)%)),"",(PRODUCT(1+OFFSET(Data_85_15!K$8,Compare_Portfolios!$L$91,0,Compare_Portfolios!$L$90,1)%)))</f>
        <v>23.659745466538826</v>
      </c>
      <c r="L99" s="361">
        <f t="array" aca="1" ref="L99" ca="1">IF(ISERROR(PRODUCT(1+OFFSET(Data_85_15!L$8,Compare_Portfolios!$L$91,0,Compare_Portfolios!$L$90,1)%)),"",(PRODUCT(1+OFFSET(Data_85_15!L$8,Compare_Portfolios!$L$91,0,Compare_Portfolios!$L$90,1)%)))</f>
        <v>13.855272391431527</v>
      </c>
      <c r="M99" s="361">
        <f t="array" aca="1" ref="M99" ca="1">IF(ISERROR(PRODUCT(1+OFFSET(Data_85_15!M$8,Compare_Portfolios!$L$91,0,Compare_Portfolios!$L$90,1)%)),"",(PRODUCT(1+OFFSET(Data_85_15!M$8,Compare_Portfolios!$L$91,0,Compare_Portfolios!$L$90,1)%)))</f>
        <v>62.321965461826828</v>
      </c>
      <c r="N99" s="361">
        <f t="array" aca="1" ref="N99" ca="1">IF(ISERROR(PRODUCT(1+OFFSET(Data_85_15!N$8,Compare_Portfolios!$L$91,0,Compare_Portfolios!$L$90,1)%)),"",(PRODUCT(1+OFFSET(Data_85_15!N$8,Compare_Portfolios!$L$91,0,Compare_Portfolios!$L$90,1)%)))</f>
        <v>16.881220073117159</v>
      </c>
      <c r="O99" s="361">
        <f t="array" aca="1" ref="O99" ca="1">IF(ISERROR(PRODUCT(1+OFFSET(Data_85_15!O$8,Compare_Portfolios!$L$91,0,Compare_Portfolios!$L$90,1)%)),"",(PRODUCT(1+OFFSET(Data_85_15!O$8,Compare_Portfolios!$L$91,0,Compare_Portfolios!$L$90,1)%)))</f>
        <v>6.5226925008515613</v>
      </c>
      <c r="P99" s="361">
        <f t="array" aca="1" ref="P99" ca="1">IF(ISERROR(PRODUCT(1+OFFSET(Data_85_15!P$8,Compare_Portfolios!$L$91,0,Compare_Portfolios!$L$90,1)%)),"",(PRODUCT(1+OFFSET(Data_85_15!P$8,Compare_Portfolios!$L$91,0,Compare_Portfolios!$L$90,1)%)))</f>
        <v>23.737305588288443</v>
      </c>
      <c r="Q99" s="361">
        <f t="array" aca="1" ref="Q99" ca="1">IF(ISERROR(PRODUCT(1+OFFSET(Data_85_15!Q$8,Compare_Portfolios!$L$91,0,Compare_Portfolios!$L$90,1)%)),"",(PRODUCT(1+OFFSET(Data_85_15!Q$8,Compare_Portfolios!$L$91,0,Compare_Portfolios!$L$90,1)%)))</f>
        <v>20.487342556557167</v>
      </c>
      <c r="R99" s="361">
        <f t="array" aca="1" ref="R99" ca="1">IF(ISERROR(PRODUCT(1+OFFSET(Data_85_15!R$8,Compare_Portfolios!$L$91,0,Compare_Portfolios!$L$90,1)%)),"",(PRODUCT(1+OFFSET(Data_85_15!R$8,Compare_Portfolios!$L$91,0,Compare_Portfolios!$L$90,1)%)))</f>
        <v>6.7184311293619459</v>
      </c>
      <c r="S99" s="361">
        <f t="array" aca="1" ref="S99" ca="1">IF(ISERROR(PRODUCT(1+OFFSET(Data_85_15!S$8,Compare_Portfolios!$L$91,0,Compare_Portfolios!$L$90,1)%)),"",(PRODUCT(1+OFFSET(Data_85_15!S$8,Compare_Portfolios!$L$91,0,Compare_Portfolios!$L$90,1)%)))</f>
        <v>14.180814459629151</v>
      </c>
      <c r="T99" s="361">
        <f t="array" aca="1" ref="T99" ca="1">IF(ISERROR(PRODUCT(1+OFFSET(Data_85_15!T$8,Compare_Portfolios!$L$91,0,Compare_Portfolios!$L$90,1)%)),"",(PRODUCT(1+OFFSET(Data_85_15!T$8,Compare_Portfolios!$L$91,0,Compare_Portfolios!$L$90,1)%)))</f>
        <v>8.2772340941358618</v>
      </c>
      <c r="U99" s="361">
        <f t="array" aca="1" ref="U99" ca="1">IF(ISERROR(PRODUCT(1+OFFSET(Data_85_15!U$8,Compare_Portfolios!$L$91,0,Compare_Portfolios!$L$90,1)%)),"",(PRODUCT(1+OFFSET(Data_85_15!U$8,Compare_Portfolios!$L$91,0,Compare_Portfolios!$L$90,1)%)))</f>
        <v>7.5235292507465426</v>
      </c>
      <c r="V99" s="361">
        <f t="array" aca="1" ref="V99" ca="1">IF(ISERROR(PRODUCT(1+OFFSET(Data_85_15!V$8,Compare_Portfolios!$L$91,0,Compare_Portfolios!$L$90,1)%)),"",(PRODUCT(1+OFFSET(Data_85_15!V$8,Compare_Portfolios!$L$91,0,Compare_Portfolios!$L$90,1)%)))</f>
        <v>2.9843838444987565</v>
      </c>
      <c r="W99" s="361">
        <f t="array" aca="1" ref="W99" ca="1">IF(ISERROR(PRODUCT(1+OFFSET(Data_85_15!W$8,Compare_Portfolios!$L$91,0,Compare_Portfolios!$L$90,1)%)),"",(PRODUCT(1+OFFSET(Data_85_15!W$8,Compare_Portfolios!$L$91,0,Compare_Portfolios!$L$90,1)%)))</f>
        <v>7.9236920506286257</v>
      </c>
      <c r="X99" s="361">
        <f t="array" aca="1" ref="X99" ca="1">IF(ISERROR(PRODUCT(1+OFFSET(Data_85_15!X$8,Compare_Portfolios!$L$91,0,Compare_Portfolios!$L$90,1)%)),"",(PRODUCT(1+OFFSET(Data_85_15!X$8,Compare_Portfolios!$L$91,0,Compare_Portfolios!$L$90,1)%)))</f>
        <v>22.205539436954279</v>
      </c>
      <c r="Y99" s="361">
        <f t="array" aca="1" ref="Y99" ca="1">IF(ISERROR(PRODUCT(1+OFFSET(Data_85_15!Y$8,Compare_Portfolios!$L$91,0,Compare_Portfolios!$L$90,1)%)),"",(PRODUCT(1+OFFSET(Data_85_15!Y$8,Compare_Portfolios!$L$91,0,Compare_Portfolios!$L$90,1)%)))</f>
        <v>17.334487346841943</v>
      </c>
      <c r="Z99" s="361">
        <f t="array" aca="1" ref="Z99" ca="1">IF(ISERROR(PRODUCT(1+OFFSET(Data_85_15!Z$8,Compare_Portfolios!$L$91,0,Compare_Portfolios!$L$90,1)%)),"",(PRODUCT(1+OFFSET(Data_85_15!Z$8,Compare_Portfolios!$L$91,0,Compare_Portfolios!$L$90,1)%)))</f>
        <v>23.695880649239612</v>
      </c>
      <c r="AA99" s="361">
        <f t="array" aca="1" ref="AA99" ca="1">IF(ISERROR(PRODUCT(1+OFFSET(Data_85_15!AA$8,Compare_Portfolios!$L$91,0,Compare_Portfolios!$L$90,1)%)),"",(PRODUCT(1+OFFSET(Data_85_15!AA$8,Compare_Portfolios!$L$91,0,Compare_Portfolios!$L$90,1)%)))</f>
        <v>144.03649961023183</v>
      </c>
      <c r="AB99" s="361">
        <f t="array" aca="1" ref="AB99" ca="1">IF(ISERROR(PRODUCT(1+OFFSET(Data_85_15!AB$8,Compare_Portfolios!$L$91,0,Compare_Portfolios!$L$90,1)%)),"",(PRODUCT(1+OFFSET(Data_85_15!AB$8,Compare_Portfolios!$L$91,0,Compare_Portfolios!$L$90,1)%)))</f>
        <v>3.8019109591162561</v>
      </c>
      <c r="AC99" s="361">
        <f t="array" aca="1" ref="AC99" ca="1">IF(ISERROR(PRODUCT(1+OFFSET(Data_85_15!AC$8,Compare_Portfolios!$L$91,0,Compare_Portfolios!$L$90,1)%)),"",(PRODUCT(1+OFFSET(Data_85_15!AC$8,Compare_Portfolios!$L$91,0,Compare_Portfolios!$L$90,1)%)))</f>
        <v>21.875600781174516</v>
      </c>
      <c r="AD99" s="361">
        <f t="array" aca="1" ref="AD99" ca="1">IF(ISERROR(PRODUCT(1+OFFSET(Data_85_15!AD$8,Compare_Portfolios!$L$91,0,Compare_Portfolios!$L$90,1)%)),"",(PRODUCT(1+OFFSET(Data_85_15!AD$8,Compare_Portfolios!$L$91,0,Compare_Portfolios!$L$90,1)%)))</f>
        <v>21.408893550887576</v>
      </c>
      <c r="AE99" s="361">
        <f t="array" aca="1" ref="AE99" ca="1">IF(ISERROR(PRODUCT(1+OFFSET(Data_85_15!AE$8,Compare_Portfolios!$L$91,0,Compare_Portfolios!$L$90,1)%)),"",(PRODUCT(1+OFFSET(Data_85_15!AE$8,Compare_Portfolios!$L$91,0,Compare_Portfolios!$L$90,1)%)))</f>
        <v>2.9985421518687096</v>
      </c>
      <c r="AF99" s="361">
        <f t="array" aca="1" ref="AF99" ca="1">IF(ISERROR(PRODUCT(1+OFFSET(Data_85_15!AF$8,Compare_Portfolios!$L$91,0,Compare_Portfolios!$L$90,1)%)),"",(PRODUCT(1+OFFSET(Data_85_15!AF$8,Compare_Portfolios!$L$91,0,Compare_Portfolios!$L$90,1)%)))</f>
        <v>6.6561518387154921</v>
      </c>
      <c r="AG99" s="361">
        <f t="array" aca="1" ref="AG99" ca="1">IF(ISERROR(PRODUCT(1+OFFSET(Data_85_15!AG$8,Compare_Portfolios!$L$91,0,Compare_Portfolios!$L$90,1)%)),"",(PRODUCT(1+OFFSET(Data_85_15!AG$8,Compare_Portfolios!$L$91,0,Compare_Portfolios!$L$90,1)%)))</f>
        <v>8.2003628465847775</v>
      </c>
      <c r="AH99" s="361">
        <f t="array" aca="1" ref="AH99" ca="1">IF(ISERROR(PRODUCT(1+OFFSET(Data_85_15!AH$8,Compare_Portfolios!$L$91,0,Compare_Portfolios!$L$90,1)%)),"",(PRODUCT(1+OFFSET(Data_85_15!AH$8,Compare_Portfolios!$L$91,0,Compare_Portfolios!$L$90,1)%)))</f>
        <v>9.0614132747995786</v>
      </c>
      <c r="AI99" s="361">
        <f t="array" aca="1" ref="AI99" ca="1">IF(ISERROR(PRODUCT(1+OFFSET(Data_85_15!AI$8,Compare_Portfolios!$L$91,0,Compare_Portfolios!$L$90,1)%)),"",(PRODUCT(1+OFFSET(Data_85_15!AI$8,Compare_Portfolios!$L$91,0,Compare_Portfolios!$L$90,1)%)))</f>
        <v>4.8671212224601552</v>
      </c>
      <c r="AJ99" s="361">
        <f t="array" aca="1" ref="AJ99" ca="1">IF(ISERROR(PRODUCT(1+OFFSET(Data_85_15!AJ$8,Compare_Portfolios!$L$91,0,Compare_Portfolios!$L$90,1)%)),"",(PRODUCT(1+OFFSET(Data_85_15!AJ$8,Compare_Portfolios!$L$91,0,Compare_Portfolios!$L$90,1)%)))</f>
        <v>24.247613785721196</v>
      </c>
      <c r="AK99" s="361">
        <f t="array" aca="1" ref="AK99" ca="1">IF(ISERROR(PRODUCT(1+OFFSET(Data_85_15!AK$8,Compare_Portfolios!$L$91,0,Compare_Portfolios!$L$90,1)%)),"",(PRODUCT(1+OFFSET(Data_85_15!AK$8,Compare_Portfolios!$L$91,0,Compare_Portfolios!$L$90,1)%)))</f>
        <v>41.300136792843631</v>
      </c>
      <c r="AL99" s="361">
        <f t="array" aca="1" ref="AL99" ca="1">IF(ISERROR(PRODUCT(1+OFFSET(Data_85_15!AL$8,Compare_Portfolios!$L$91,0,Compare_Portfolios!$L$90,1)%)),"",(PRODUCT(1+OFFSET(Data_85_15!AL$8,Compare_Portfolios!$L$91,0,Compare_Portfolios!$L$90,1)%)))</f>
        <v>23.48450994651207</v>
      </c>
      <c r="AM99" s="361">
        <f t="array" aca="1" ref="AM99" ca="1">IF(ISERROR(PRODUCT(1+OFFSET(Data_85_15!AM$8,Compare_Portfolios!$L$91,0,Compare_Portfolios!$L$90,1)%)),"",(PRODUCT(1+OFFSET(Data_85_15!AM$8,Compare_Portfolios!$L$91,0,Compare_Portfolios!$L$90,1)%)))</f>
        <v>5.94660482166113</v>
      </c>
      <c r="AN99" s="361">
        <f t="array" aca="1" ref="AN99" ca="1">IF(ISERROR(PRODUCT(1+OFFSET(Data_85_15!AN$8,Compare_Portfolios!$L$91,0,Compare_Portfolios!$L$90,1)%)),"",(PRODUCT(1+OFFSET(Data_85_15!AN$8,Compare_Portfolios!$L$91,0,Compare_Portfolios!$L$90,1)%)))</f>
        <v>5.9038995583096101</v>
      </c>
      <c r="AO99" s="361">
        <f t="array" aca="1" ref="AO99" ca="1">IF(ISERROR(PRODUCT(1+OFFSET(Data_85_15!AO$8,Compare_Portfolios!$L$91,0,Compare_Portfolios!$L$90,1)%)),"",(PRODUCT(1+OFFSET(Data_85_15!AO$8,Compare_Portfolios!$L$91,0,Compare_Portfolios!$L$90,1)%)))</f>
        <v>3.0153251228170217</v>
      </c>
      <c r="AP99" s="361">
        <f t="array" aca="1" ref="AP99" ca="1">IF(ISERROR(PRODUCT(1+OFFSET(Data_85_15!AP$8,Compare_Portfolios!$L$91,0,Compare_Portfolios!$L$90,1)%)),"",(PRODUCT(1+OFFSET(Data_85_15!AP$8,Compare_Portfolios!$L$91,0,Compare_Portfolios!$L$90,1)%)))</f>
        <v>32.720259013681968</v>
      </c>
      <c r="AQ99" s="361" t="str">
        <f t="array" aca="1" ref="AQ99" ca="1">IF(ISERROR(PRODUCT(1+OFFSET(Data_85_15!AQ$8,Compare_Portfolios!$L$91,0,Compare_Portfolios!$L$90,1)%)),"",(PRODUCT(1+OFFSET(Data_85_15!AQ$8,Compare_Portfolios!$L$91,0,Compare_Portfolios!$L$90,1)%)))</f>
        <v/>
      </c>
      <c r="AR99" s="361" t="str">
        <f t="array" aca="1" ref="AR99" ca="1">IF(ISERROR(PRODUCT(1+OFFSET(Data_85_15!AR$8,Compare_Portfolios!$L$91,0,Compare_Portfolios!$L$90,1)%)),"",(PRODUCT(1+OFFSET(Data_85_15!AR$8,Compare_Portfolios!$L$91,0,Compare_Portfolios!$L$90,1)%)))</f>
        <v/>
      </c>
      <c r="AS99" s="361" t="str">
        <f t="array" aca="1" ref="AS99" ca="1">IF(ISERROR(PRODUCT(1+OFFSET(Data_85_15!AS$8,Compare_Portfolios!$L$91,0,Compare_Portfolios!$L$90,1)%)),"",(PRODUCT(1+OFFSET(Data_85_15!AS$8,Compare_Portfolios!$L$91,0,Compare_Portfolios!$L$90,1)%)))</f>
        <v/>
      </c>
      <c r="AT99" s="361" t="str">
        <f t="array" aca="1" ref="AT99" ca="1">IF(ISERROR(PRODUCT(1+OFFSET(Data_85_15!AT$8,Compare_Portfolios!$L$91,0,Compare_Portfolios!$L$90,1)%)),"",(PRODUCT(1+OFFSET(Data_85_15!AT$8,Compare_Portfolios!$L$91,0,Compare_Portfolios!$L$90,1)%)))</f>
        <v/>
      </c>
      <c r="AU99" s="361" t="str">
        <f t="array" aca="1" ref="AU99" ca="1">IF(ISERROR(PRODUCT(1+OFFSET(Data_85_15!AU$8,Compare_Portfolios!$L$91,0,Compare_Portfolios!$L$90,1)%)),"",(PRODUCT(1+OFFSET(Data_85_15!AU$8,Compare_Portfolios!$L$91,0,Compare_Portfolios!$L$90,1)%)))</f>
        <v/>
      </c>
      <c r="AV99" s="361" t="str">
        <f t="array" aca="1" ref="AV99" ca="1">IF(ISERROR(PRODUCT(1+OFFSET(Data_85_15!AV$8,Compare_Portfolios!$L$91,0,Compare_Portfolios!$L$90,1)%)),"",(PRODUCT(1+OFFSET(Data_85_15!AV$8,Compare_Portfolios!$L$91,0,Compare_Portfolios!$L$90,1)%)))</f>
        <v/>
      </c>
      <c r="AW99" s="361" t="str">
        <f t="array" aca="1" ref="AW99" ca="1">IF(ISERROR(PRODUCT(1+OFFSET(Data_85_15!AW$8,Compare_Portfolios!$L$91,0,Compare_Portfolios!$L$90,1)%)),"",(PRODUCT(1+OFFSET(Data_85_15!AW$8,Compare_Portfolios!$L$91,0,Compare_Portfolios!$L$90,1)%)))</f>
        <v/>
      </c>
      <c r="AX99" s="361" t="str">
        <f t="array" aca="1" ref="AX99" ca="1">IF(ISERROR(PRODUCT(1+OFFSET(Data_85_15!AX$8,Compare_Portfolios!$L$91,0,Compare_Portfolios!$L$90,1)%)),"",(PRODUCT(1+OFFSET(Data_85_15!AX$8,Compare_Portfolios!$L$91,0,Compare_Portfolios!$L$90,1)%)))</f>
        <v/>
      </c>
      <c r="AY99" s="511" t="str">
        <f t="array" aca="1" ref="AY99" ca="1">IF(ISERROR(PRODUCT(1+OFFSET(Data_85_15!AY$8,Compare_Portfolios!$L$91,0,Compare_Portfolios!$L$90,1)%)),"",(PRODUCT(1+OFFSET(Data_85_15!AY$8,Compare_Portfolios!$L$91,0,Compare_Portfolios!$L$90,1)%)))</f>
        <v/>
      </c>
      <c r="BA99"/>
      <c r="BB99"/>
      <c r="BC99"/>
      <c r="BD99"/>
      <c r="BE99"/>
      <c r="BG99"/>
    </row>
    <row r="100" spans="1:59">
      <c r="A100" s="517" t="s">
        <v>489</v>
      </c>
      <c r="B100" s="361">
        <f t="array" aca="1" ref="B100" ca="1">IF(ISERROR(PRODUCT(1+OFFSET(Data_85_15!B$8,Compare_Portfolios!$M$91,0,Compare_Portfolios!$M$90,1)%)),"",(PRODUCT(1+OFFSET(Data_85_15!B$8,Compare_Portfolios!$M$91,0,Compare_Portfolios!$M$90,1)%)))</f>
        <v>23.703799457344104</v>
      </c>
      <c r="C100" s="361">
        <f t="array" aca="1" ref="C100" ca="1">IF(ISERROR(PRODUCT(1+OFFSET(Data_85_15!C$8,Compare_Portfolios!$M$91,0,Compare_Portfolios!$M$90,1)%)),"",(PRODUCT(1+OFFSET(Data_85_15!C$8,Compare_Portfolios!$M$91,0,Compare_Portfolios!$M$90,1)%)))</f>
        <v>22.856642523361877</v>
      </c>
      <c r="D100" s="361">
        <f t="array" aca="1" ref="D100" ca="1">IF(ISERROR(PRODUCT(1+OFFSET(Data_85_15!D$8,Compare_Portfolios!$M$91,0,Compare_Portfolios!$M$90,1)%)),"",(PRODUCT(1+OFFSET(Data_85_15!D$8,Compare_Portfolios!$M$91,0,Compare_Portfolios!$M$90,1)%)))</f>
        <v>24.248237666408311</v>
      </c>
      <c r="E100" s="361">
        <f t="array" aca="1" ref="E100" ca="1">IF(ISERROR(PRODUCT(1+OFFSET(Data_85_15!E$8,Compare_Portfolios!$M$91,0,Compare_Portfolios!$M$90,1)%)),"",(PRODUCT(1+OFFSET(Data_85_15!E$8,Compare_Portfolios!$M$91,0,Compare_Portfolios!$M$90,1)%)))</f>
        <v>25.700659044691534</v>
      </c>
      <c r="F100" s="361">
        <f t="array" aca="1" ref="F100" ca="1">IF(ISERROR(PRODUCT(1+OFFSET(Data_85_15!F$8,Compare_Portfolios!$M$91,0,Compare_Portfolios!$M$90,1)%)),"",(PRODUCT(1+OFFSET(Data_85_15!F$8,Compare_Portfolios!$M$91,0,Compare_Portfolios!$M$90,1)%)))</f>
        <v>38.055021747377332</v>
      </c>
      <c r="G100" s="361">
        <f t="array" aca="1" ref="G100" ca="1">IF(ISERROR(PRODUCT(1+OFFSET(Data_85_15!G$8,Compare_Portfolios!$M$91,0,Compare_Portfolios!$M$90,1)%)),"",(PRODUCT(1+OFFSET(Data_85_15!G$8,Compare_Portfolios!$M$91,0,Compare_Portfolios!$M$90,1)%)))</f>
        <v>26.608127587150666</v>
      </c>
      <c r="H100" s="361">
        <f t="array" aca="1" ref="H100" ca="1">IF(ISERROR(PRODUCT(1+OFFSET(Data_85_15!H$8,Compare_Portfolios!$M$91,0,Compare_Portfolios!$M$90,1)%)),"",(PRODUCT(1+OFFSET(Data_85_15!H$8,Compare_Portfolios!$M$91,0,Compare_Portfolios!$M$90,1)%)))</f>
        <v>21.432776985031037</v>
      </c>
      <c r="I100" s="361">
        <f t="array" aca="1" ref="I100" ca="1">IF(ISERROR(PRODUCT(1+OFFSET(Data_85_15!I$8,Compare_Portfolios!$M$91,0,Compare_Portfolios!$M$90,1)%)),"",(PRODUCT(1+OFFSET(Data_85_15!I$8,Compare_Portfolios!$M$91,0,Compare_Portfolios!$M$90,1)%)))</f>
        <v>17.092465727406875</v>
      </c>
      <c r="J100" s="361">
        <f t="array" aca="1" ref="J100" ca="1">IF(ISERROR(PRODUCT(1+OFFSET(Data_85_15!J$8,Compare_Portfolios!$M$91,0,Compare_Portfolios!$M$90,1)%)),"",(PRODUCT(1+OFFSET(Data_85_15!J$8,Compare_Portfolios!$M$91,0,Compare_Portfolios!$M$90,1)%)))</f>
        <v>23.911724554837843</v>
      </c>
      <c r="K100" s="361">
        <f t="array" aca="1" ref="K100" ca="1">IF(ISERROR(PRODUCT(1+OFFSET(Data_85_15!K$8,Compare_Portfolios!$M$91,0,Compare_Portfolios!$M$90,1)%)),"",(PRODUCT(1+OFFSET(Data_85_15!K$8,Compare_Portfolios!$M$91,0,Compare_Portfolios!$M$90,1)%)))</f>
        <v>23.659745466538826</v>
      </c>
      <c r="L100" s="361">
        <f t="array" aca="1" ref="L100" ca="1">IF(ISERROR(PRODUCT(1+OFFSET(Data_85_15!L$8,Compare_Portfolios!$M$91,0,Compare_Portfolios!$M$90,1)%)),"",(PRODUCT(1+OFFSET(Data_85_15!L$8,Compare_Portfolios!$M$91,0,Compare_Portfolios!$M$90,1)%)))</f>
        <v>13.855272391431527</v>
      </c>
      <c r="M100" s="361">
        <f t="array" aca="1" ref="M100" ca="1">IF(ISERROR(PRODUCT(1+OFFSET(Data_85_15!M$8,Compare_Portfolios!$M$91,0,Compare_Portfolios!$M$90,1)%)),"",(PRODUCT(1+OFFSET(Data_85_15!M$8,Compare_Portfolios!$M$91,0,Compare_Portfolios!$M$90,1)%)))</f>
        <v>62.321965461826828</v>
      </c>
      <c r="N100" s="361">
        <f t="array" aca="1" ref="N100" ca="1">IF(ISERROR(PRODUCT(1+OFFSET(Data_85_15!N$8,Compare_Portfolios!$M$91,0,Compare_Portfolios!$M$90,1)%)),"",(PRODUCT(1+OFFSET(Data_85_15!N$8,Compare_Portfolios!$M$91,0,Compare_Portfolios!$M$90,1)%)))</f>
        <v>16.881220073117159</v>
      </c>
      <c r="O100" s="361">
        <f t="array" aca="1" ref="O100" ca="1">IF(ISERROR(PRODUCT(1+OFFSET(Data_85_15!O$8,Compare_Portfolios!$M$91,0,Compare_Portfolios!$M$90,1)%)),"",(PRODUCT(1+OFFSET(Data_85_15!O$8,Compare_Portfolios!$M$91,0,Compare_Portfolios!$M$90,1)%)))</f>
        <v>6.5226925008515613</v>
      </c>
      <c r="P100" s="361">
        <f t="array" aca="1" ref="P100" ca="1">IF(ISERROR(PRODUCT(1+OFFSET(Data_85_15!P$8,Compare_Portfolios!$M$91,0,Compare_Portfolios!$M$90,1)%)),"",(PRODUCT(1+OFFSET(Data_85_15!P$8,Compare_Portfolios!$M$91,0,Compare_Portfolios!$M$90,1)%)))</f>
        <v>23.737305588288443</v>
      </c>
      <c r="Q100" s="361">
        <f t="array" aca="1" ref="Q100" ca="1">IF(ISERROR(PRODUCT(1+OFFSET(Data_85_15!Q$8,Compare_Portfolios!$M$91,0,Compare_Portfolios!$M$90,1)%)),"",(PRODUCT(1+OFFSET(Data_85_15!Q$8,Compare_Portfolios!$M$91,0,Compare_Portfolios!$M$90,1)%)))</f>
        <v>20.487342556557167</v>
      </c>
      <c r="R100" s="361">
        <f t="array" aca="1" ref="R100" ca="1">IF(ISERROR(PRODUCT(1+OFFSET(Data_85_15!R$8,Compare_Portfolios!$M$91,0,Compare_Portfolios!$M$90,1)%)),"",(PRODUCT(1+OFFSET(Data_85_15!R$8,Compare_Portfolios!$M$91,0,Compare_Portfolios!$M$90,1)%)))</f>
        <v>6.7184311293619459</v>
      </c>
      <c r="S100" s="361">
        <f t="array" aca="1" ref="S100" ca="1">IF(ISERROR(PRODUCT(1+OFFSET(Data_85_15!S$8,Compare_Portfolios!$M$91,0,Compare_Portfolios!$M$90,1)%)),"",(PRODUCT(1+OFFSET(Data_85_15!S$8,Compare_Portfolios!$M$91,0,Compare_Portfolios!$M$90,1)%)))</f>
        <v>14.180814459629151</v>
      </c>
      <c r="T100" s="361">
        <f t="array" aca="1" ref="T100" ca="1">IF(ISERROR(PRODUCT(1+OFFSET(Data_85_15!T$8,Compare_Portfolios!$M$91,0,Compare_Portfolios!$M$90,1)%)),"",(PRODUCT(1+OFFSET(Data_85_15!T$8,Compare_Portfolios!$M$91,0,Compare_Portfolios!$M$90,1)%)))</f>
        <v>8.2772340941358618</v>
      </c>
      <c r="U100" s="361">
        <f t="array" aca="1" ref="U100" ca="1">IF(ISERROR(PRODUCT(1+OFFSET(Data_85_15!U$8,Compare_Portfolios!$M$91,0,Compare_Portfolios!$M$90,1)%)),"",(PRODUCT(1+OFFSET(Data_85_15!U$8,Compare_Portfolios!$M$91,0,Compare_Portfolios!$M$90,1)%)))</f>
        <v>7.5235292507465426</v>
      </c>
      <c r="V100" s="361">
        <f t="array" aca="1" ref="V100" ca="1">IF(ISERROR(PRODUCT(1+OFFSET(Data_85_15!V$8,Compare_Portfolios!$M$91,0,Compare_Portfolios!$M$90,1)%)),"",(PRODUCT(1+OFFSET(Data_85_15!V$8,Compare_Portfolios!$M$91,0,Compare_Portfolios!$M$90,1)%)))</f>
        <v>2.9843838444987565</v>
      </c>
      <c r="W100" s="361">
        <f t="array" aca="1" ref="W100" ca="1">IF(ISERROR(PRODUCT(1+OFFSET(Data_85_15!W$8,Compare_Portfolios!$M$91,0,Compare_Portfolios!$M$90,1)%)),"",(PRODUCT(1+OFFSET(Data_85_15!W$8,Compare_Portfolios!$M$91,0,Compare_Portfolios!$M$90,1)%)))</f>
        <v>7.9236920506286257</v>
      </c>
      <c r="X100" s="361">
        <f t="array" aca="1" ref="X100" ca="1">IF(ISERROR(PRODUCT(1+OFFSET(Data_85_15!X$8,Compare_Portfolios!$M$91,0,Compare_Portfolios!$M$90,1)%)),"",(PRODUCT(1+OFFSET(Data_85_15!X$8,Compare_Portfolios!$M$91,0,Compare_Portfolios!$M$90,1)%)))</f>
        <v>22.205539436954279</v>
      </c>
      <c r="Y100" s="361">
        <f t="array" aca="1" ref="Y100" ca="1">IF(ISERROR(PRODUCT(1+OFFSET(Data_85_15!Y$8,Compare_Portfolios!$M$91,0,Compare_Portfolios!$M$90,1)%)),"",(PRODUCT(1+OFFSET(Data_85_15!Y$8,Compare_Portfolios!$M$91,0,Compare_Portfolios!$M$90,1)%)))</f>
        <v>17.334487346841943</v>
      </c>
      <c r="Z100" s="361">
        <f t="array" aca="1" ref="Z100" ca="1">IF(ISERROR(PRODUCT(1+OFFSET(Data_85_15!Z$8,Compare_Portfolios!$M$91,0,Compare_Portfolios!$M$90,1)%)),"",(PRODUCT(1+OFFSET(Data_85_15!Z$8,Compare_Portfolios!$M$91,0,Compare_Portfolios!$M$90,1)%)))</f>
        <v>23.695880649239612</v>
      </c>
      <c r="AA100" s="361">
        <f t="array" aca="1" ref="AA100" ca="1">IF(ISERROR(PRODUCT(1+OFFSET(Data_85_15!AA$8,Compare_Portfolios!$M$91,0,Compare_Portfolios!$M$90,1)%)),"",(PRODUCT(1+OFFSET(Data_85_15!AA$8,Compare_Portfolios!$M$91,0,Compare_Portfolios!$M$90,1)%)))</f>
        <v>144.03649961023183</v>
      </c>
      <c r="AB100" s="361">
        <f t="array" aca="1" ref="AB100" ca="1">IF(ISERROR(PRODUCT(1+OFFSET(Data_85_15!AB$8,Compare_Portfolios!$M$91,0,Compare_Portfolios!$M$90,1)%)),"",(PRODUCT(1+OFFSET(Data_85_15!AB$8,Compare_Portfolios!$M$91,0,Compare_Portfolios!$M$90,1)%)))</f>
        <v>3.8019109591162561</v>
      </c>
      <c r="AC100" s="361">
        <f t="array" aca="1" ref="AC100" ca="1">IF(ISERROR(PRODUCT(1+OFFSET(Data_85_15!AC$8,Compare_Portfolios!$M$91,0,Compare_Portfolios!$M$90,1)%)),"",(PRODUCT(1+OFFSET(Data_85_15!AC$8,Compare_Portfolios!$M$91,0,Compare_Portfolios!$M$90,1)%)))</f>
        <v>21.875600781174516</v>
      </c>
      <c r="AD100" s="361">
        <f t="array" aca="1" ref="AD100" ca="1">IF(ISERROR(PRODUCT(1+OFFSET(Data_85_15!AD$8,Compare_Portfolios!$M$91,0,Compare_Portfolios!$M$90,1)%)),"",(PRODUCT(1+OFFSET(Data_85_15!AD$8,Compare_Portfolios!$M$91,0,Compare_Portfolios!$M$90,1)%)))</f>
        <v>21.408893550887576</v>
      </c>
      <c r="AE100" s="361">
        <f t="array" aca="1" ref="AE100" ca="1">IF(ISERROR(PRODUCT(1+OFFSET(Data_85_15!AE$8,Compare_Portfolios!$M$91,0,Compare_Portfolios!$M$90,1)%)),"",(PRODUCT(1+OFFSET(Data_85_15!AE$8,Compare_Portfolios!$M$91,0,Compare_Portfolios!$M$90,1)%)))</f>
        <v>2.9985421518687096</v>
      </c>
      <c r="AF100" s="361">
        <f t="array" aca="1" ref="AF100" ca="1">IF(ISERROR(PRODUCT(1+OFFSET(Data_85_15!AF$8,Compare_Portfolios!$M$91,0,Compare_Portfolios!$M$90,1)%)),"",(PRODUCT(1+OFFSET(Data_85_15!AF$8,Compare_Portfolios!$M$91,0,Compare_Portfolios!$M$90,1)%)))</f>
        <v>6.6561518387154921</v>
      </c>
      <c r="AG100" s="361">
        <f t="array" aca="1" ref="AG100" ca="1">IF(ISERROR(PRODUCT(1+OFFSET(Data_85_15!AG$8,Compare_Portfolios!$M$91,0,Compare_Portfolios!$M$90,1)%)),"",(PRODUCT(1+OFFSET(Data_85_15!AG$8,Compare_Portfolios!$M$91,0,Compare_Portfolios!$M$90,1)%)))</f>
        <v>8.2003628465847775</v>
      </c>
      <c r="AH100" s="361">
        <f t="array" aca="1" ref="AH100" ca="1">IF(ISERROR(PRODUCT(1+OFFSET(Data_85_15!AH$8,Compare_Portfolios!$M$91,0,Compare_Portfolios!$M$90,1)%)),"",(PRODUCT(1+OFFSET(Data_85_15!AH$8,Compare_Portfolios!$M$91,0,Compare_Portfolios!$M$90,1)%)))</f>
        <v>9.0614132747995786</v>
      </c>
      <c r="AI100" s="361">
        <f t="array" aca="1" ref="AI100" ca="1">IF(ISERROR(PRODUCT(1+OFFSET(Data_85_15!AI$8,Compare_Portfolios!$M$91,0,Compare_Portfolios!$M$90,1)%)),"",(PRODUCT(1+OFFSET(Data_85_15!AI$8,Compare_Portfolios!$M$91,0,Compare_Portfolios!$M$90,1)%)))</f>
        <v>4.8671212224601552</v>
      </c>
      <c r="AJ100" s="361">
        <f t="array" aca="1" ref="AJ100" ca="1">IF(ISERROR(PRODUCT(1+OFFSET(Data_85_15!AJ$8,Compare_Portfolios!$M$91,0,Compare_Portfolios!$M$90,1)%)),"",(PRODUCT(1+OFFSET(Data_85_15!AJ$8,Compare_Portfolios!$M$91,0,Compare_Portfolios!$M$90,1)%)))</f>
        <v>24.247613785721196</v>
      </c>
      <c r="AK100" s="361">
        <f t="array" aca="1" ref="AK100" ca="1">IF(ISERROR(PRODUCT(1+OFFSET(Data_85_15!AK$8,Compare_Portfolios!$M$91,0,Compare_Portfolios!$M$90,1)%)),"",(PRODUCT(1+OFFSET(Data_85_15!AK$8,Compare_Portfolios!$M$91,0,Compare_Portfolios!$M$90,1)%)))</f>
        <v>41.300136792843631</v>
      </c>
      <c r="AL100" s="361">
        <f t="array" aca="1" ref="AL100" ca="1">IF(ISERROR(PRODUCT(1+OFFSET(Data_85_15!AL$8,Compare_Portfolios!$M$91,0,Compare_Portfolios!$M$90,1)%)),"",(PRODUCT(1+OFFSET(Data_85_15!AL$8,Compare_Portfolios!$M$91,0,Compare_Portfolios!$M$90,1)%)))</f>
        <v>23.48450994651207</v>
      </c>
      <c r="AM100" s="361">
        <f t="array" aca="1" ref="AM100" ca="1">IF(ISERROR(PRODUCT(1+OFFSET(Data_85_15!AM$8,Compare_Portfolios!$M$91,0,Compare_Portfolios!$M$90,1)%)),"",(PRODUCT(1+OFFSET(Data_85_15!AM$8,Compare_Portfolios!$M$91,0,Compare_Portfolios!$M$90,1)%)))</f>
        <v>5.94660482166113</v>
      </c>
      <c r="AN100" s="361">
        <f t="array" aca="1" ref="AN100" ca="1">IF(ISERROR(PRODUCT(1+OFFSET(Data_85_15!AN$8,Compare_Portfolios!$M$91,0,Compare_Portfolios!$M$90,1)%)),"",(PRODUCT(1+OFFSET(Data_85_15!AN$8,Compare_Portfolios!$M$91,0,Compare_Portfolios!$M$90,1)%)))</f>
        <v>5.9038995583096101</v>
      </c>
      <c r="AO100" s="361">
        <f t="array" aca="1" ref="AO100" ca="1">IF(ISERROR(PRODUCT(1+OFFSET(Data_85_15!AO$8,Compare_Portfolios!$M$91,0,Compare_Portfolios!$M$90,1)%)),"",(PRODUCT(1+OFFSET(Data_85_15!AO$8,Compare_Portfolios!$M$91,0,Compare_Portfolios!$M$90,1)%)))</f>
        <v>3.0153251228170217</v>
      </c>
      <c r="AP100" s="361">
        <f t="array" aca="1" ref="AP100" ca="1">IF(ISERROR(PRODUCT(1+OFFSET(Data_85_15!AP$8,Compare_Portfolios!$M$91,0,Compare_Portfolios!$M$90,1)%)),"",(PRODUCT(1+OFFSET(Data_85_15!AP$8,Compare_Portfolios!$M$91,0,Compare_Portfolios!$M$90,1)%)))</f>
        <v>32.720259013681968</v>
      </c>
      <c r="AQ100" s="361" t="str">
        <f t="array" aca="1" ref="AQ100" ca="1">IF(ISERROR(PRODUCT(1+OFFSET(Data_85_15!AQ$8,Compare_Portfolios!$M$91,0,Compare_Portfolios!$M$90,1)%)),"",(PRODUCT(1+OFFSET(Data_85_15!AQ$8,Compare_Portfolios!$M$91,0,Compare_Portfolios!$M$90,1)%)))</f>
        <v/>
      </c>
      <c r="AR100" s="361" t="str">
        <f t="array" aca="1" ref="AR100" ca="1">IF(ISERROR(PRODUCT(1+OFFSET(Data_85_15!AR$8,Compare_Portfolios!$M$91,0,Compare_Portfolios!$M$90,1)%)),"",(PRODUCT(1+OFFSET(Data_85_15!AR$8,Compare_Portfolios!$M$91,0,Compare_Portfolios!$M$90,1)%)))</f>
        <v/>
      </c>
      <c r="AS100" s="361" t="str">
        <f t="array" aca="1" ref="AS100" ca="1">IF(ISERROR(PRODUCT(1+OFFSET(Data_85_15!AS$8,Compare_Portfolios!$M$91,0,Compare_Portfolios!$M$90,1)%)),"",(PRODUCT(1+OFFSET(Data_85_15!AS$8,Compare_Portfolios!$M$91,0,Compare_Portfolios!$M$90,1)%)))</f>
        <v/>
      </c>
      <c r="AT100" s="361" t="str">
        <f t="array" aca="1" ref="AT100" ca="1">IF(ISERROR(PRODUCT(1+OFFSET(Data_85_15!AT$8,Compare_Portfolios!$M$91,0,Compare_Portfolios!$M$90,1)%)),"",(PRODUCT(1+OFFSET(Data_85_15!AT$8,Compare_Portfolios!$M$91,0,Compare_Portfolios!$M$90,1)%)))</f>
        <v/>
      </c>
      <c r="AU100" s="361" t="str">
        <f t="array" aca="1" ref="AU100" ca="1">IF(ISERROR(PRODUCT(1+OFFSET(Data_85_15!AU$8,Compare_Portfolios!$M$91,0,Compare_Portfolios!$M$90,1)%)),"",(PRODUCT(1+OFFSET(Data_85_15!AU$8,Compare_Portfolios!$M$91,0,Compare_Portfolios!$M$90,1)%)))</f>
        <v/>
      </c>
      <c r="AV100" s="361" t="str">
        <f t="array" aca="1" ref="AV100" ca="1">IF(ISERROR(PRODUCT(1+OFFSET(Data_85_15!AV$8,Compare_Portfolios!$M$91,0,Compare_Portfolios!$M$90,1)%)),"",(PRODUCT(1+OFFSET(Data_85_15!AV$8,Compare_Portfolios!$M$91,0,Compare_Portfolios!$M$90,1)%)))</f>
        <v/>
      </c>
      <c r="AW100" s="361" t="str">
        <f t="array" aca="1" ref="AW100" ca="1">IF(ISERROR(PRODUCT(1+OFFSET(Data_85_15!AW$8,Compare_Portfolios!$M$91,0,Compare_Portfolios!$M$90,1)%)),"",(PRODUCT(1+OFFSET(Data_85_15!AW$8,Compare_Portfolios!$M$91,0,Compare_Portfolios!$M$90,1)%)))</f>
        <v/>
      </c>
      <c r="AX100" s="361" t="str">
        <f t="array" aca="1" ref="AX100" ca="1">IF(ISERROR(PRODUCT(1+OFFSET(Data_85_15!AX$8,Compare_Portfolios!$M$91,0,Compare_Portfolios!$M$90,1)%)),"",(PRODUCT(1+OFFSET(Data_85_15!AX$8,Compare_Portfolios!$M$91,0,Compare_Portfolios!$M$90,1)%)))</f>
        <v/>
      </c>
      <c r="AY100" s="511" t="str">
        <f t="array" aca="1" ref="AY100" ca="1">IF(ISERROR(PRODUCT(1+OFFSET(Data_85_15!AY$8,Compare_Portfolios!$M$91,0,Compare_Portfolios!$M$90,1)%)),"",(PRODUCT(1+OFFSET(Data_85_15!AY$8,Compare_Portfolios!$M$91,0,Compare_Portfolios!$M$90,1)%)))</f>
        <v/>
      </c>
      <c r="BA100"/>
      <c r="BB100"/>
      <c r="BC100"/>
      <c r="BD100"/>
      <c r="BE100"/>
      <c r="BG100"/>
    </row>
    <row r="101" spans="1:59">
      <c r="A101" s="517" t="s">
        <v>490</v>
      </c>
      <c r="B101" s="361">
        <f t="array" aca="1" ref="B101" ca="1">IF(ISERROR(PRODUCT(1+OFFSET(Data_85_15!B$8,Compare_Portfolios!$N$91,0,Compare_Portfolios!$N$90,1)%)),"",(PRODUCT(1+OFFSET(Data_85_15!B$8,Compare_Portfolios!$N$91,0,Compare_Portfolios!$N$90,1)%)))</f>
        <v>23.703799457344104</v>
      </c>
      <c r="C101" s="361">
        <f t="array" aca="1" ref="C101" ca="1">IF(ISERROR(PRODUCT(1+OFFSET(Data_85_15!C$8,Compare_Portfolios!$N$91,0,Compare_Portfolios!$N$90,1)%)),"",(PRODUCT(1+OFFSET(Data_85_15!C$8,Compare_Portfolios!$N$91,0,Compare_Portfolios!$N$90,1)%)))</f>
        <v>22.856642523361877</v>
      </c>
      <c r="D101" s="361">
        <f t="array" aca="1" ref="D101" ca="1">IF(ISERROR(PRODUCT(1+OFFSET(Data_85_15!D$8,Compare_Portfolios!$N$91,0,Compare_Portfolios!$N$90,1)%)),"",(PRODUCT(1+OFFSET(Data_85_15!D$8,Compare_Portfolios!$N$91,0,Compare_Portfolios!$N$90,1)%)))</f>
        <v>24.248237666408311</v>
      </c>
      <c r="E101" s="361">
        <f t="array" aca="1" ref="E101" ca="1">IF(ISERROR(PRODUCT(1+OFFSET(Data_85_15!E$8,Compare_Portfolios!$N$91,0,Compare_Portfolios!$N$90,1)%)),"",(PRODUCT(1+OFFSET(Data_85_15!E$8,Compare_Portfolios!$N$91,0,Compare_Portfolios!$N$90,1)%)))</f>
        <v>25.700659044691534</v>
      </c>
      <c r="F101" s="361">
        <f t="array" aca="1" ref="F101" ca="1">IF(ISERROR(PRODUCT(1+OFFSET(Data_85_15!F$8,Compare_Portfolios!$N$91,0,Compare_Portfolios!$N$90,1)%)),"",(PRODUCT(1+OFFSET(Data_85_15!F$8,Compare_Portfolios!$N$91,0,Compare_Portfolios!$N$90,1)%)))</f>
        <v>38.055021747377332</v>
      </c>
      <c r="G101" s="361">
        <f t="array" aca="1" ref="G101" ca="1">IF(ISERROR(PRODUCT(1+OFFSET(Data_85_15!G$8,Compare_Portfolios!$N$91,0,Compare_Portfolios!$N$90,1)%)),"",(PRODUCT(1+OFFSET(Data_85_15!G$8,Compare_Portfolios!$N$91,0,Compare_Portfolios!$N$90,1)%)))</f>
        <v>26.608127587150666</v>
      </c>
      <c r="H101" s="361">
        <f t="array" aca="1" ref="H101" ca="1">IF(ISERROR(PRODUCT(1+OFFSET(Data_85_15!H$8,Compare_Portfolios!$N$91,0,Compare_Portfolios!$N$90,1)%)),"",(PRODUCT(1+OFFSET(Data_85_15!H$8,Compare_Portfolios!$N$91,0,Compare_Portfolios!$N$90,1)%)))</f>
        <v>21.432776985031037</v>
      </c>
      <c r="I101" s="361">
        <f t="array" aca="1" ref="I101" ca="1">IF(ISERROR(PRODUCT(1+OFFSET(Data_85_15!I$8,Compare_Portfolios!$N$91,0,Compare_Portfolios!$N$90,1)%)),"",(PRODUCT(1+OFFSET(Data_85_15!I$8,Compare_Portfolios!$N$91,0,Compare_Portfolios!$N$90,1)%)))</f>
        <v>17.092465727406875</v>
      </c>
      <c r="J101" s="361">
        <f t="array" aca="1" ref="J101" ca="1">IF(ISERROR(PRODUCT(1+OFFSET(Data_85_15!J$8,Compare_Portfolios!$N$91,0,Compare_Portfolios!$N$90,1)%)),"",(PRODUCT(1+OFFSET(Data_85_15!J$8,Compare_Portfolios!$N$91,0,Compare_Portfolios!$N$90,1)%)))</f>
        <v>23.911724554837843</v>
      </c>
      <c r="K101" s="361">
        <f t="array" aca="1" ref="K101" ca="1">IF(ISERROR(PRODUCT(1+OFFSET(Data_85_15!K$8,Compare_Portfolios!$N$91,0,Compare_Portfolios!$N$90,1)%)),"",(PRODUCT(1+OFFSET(Data_85_15!K$8,Compare_Portfolios!$N$91,0,Compare_Portfolios!$N$90,1)%)))</f>
        <v>23.659745466538826</v>
      </c>
      <c r="L101" s="361">
        <f t="array" aca="1" ref="L101" ca="1">IF(ISERROR(PRODUCT(1+OFFSET(Data_85_15!L$8,Compare_Portfolios!$N$91,0,Compare_Portfolios!$N$90,1)%)),"",(PRODUCT(1+OFFSET(Data_85_15!L$8,Compare_Portfolios!$N$91,0,Compare_Portfolios!$N$90,1)%)))</f>
        <v>13.855272391431527</v>
      </c>
      <c r="M101" s="361">
        <f t="array" aca="1" ref="M101" ca="1">IF(ISERROR(PRODUCT(1+OFFSET(Data_85_15!M$8,Compare_Portfolios!$N$91,0,Compare_Portfolios!$N$90,1)%)),"",(PRODUCT(1+OFFSET(Data_85_15!M$8,Compare_Portfolios!$N$91,0,Compare_Portfolios!$N$90,1)%)))</f>
        <v>62.321965461826828</v>
      </c>
      <c r="N101" s="361">
        <f t="array" aca="1" ref="N101" ca="1">IF(ISERROR(PRODUCT(1+OFFSET(Data_85_15!N$8,Compare_Portfolios!$N$91,0,Compare_Portfolios!$N$90,1)%)),"",(PRODUCT(1+OFFSET(Data_85_15!N$8,Compare_Portfolios!$N$91,0,Compare_Portfolios!$N$90,1)%)))</f>
        <v>16.881220073117159</v>
      </c>
      <c r="O101" s="361">
        <f t="array" aca="1" ref="O101" ca="1">IF(ISERROR(PRODUCT(1+OFFSET(Data_85_15!O$8,Compare_Portfolios!$N$91,0,Compare_Portfolios!$N$90,1)%)),"",(PRODUCT(1+OFFSET(Data_85_15!O$8,Compare_Portfolios!$N$91,0,Compare_Portfolios!$N$90,1)%)))</f>
        <v>6.5226925008515613</v>
      </c>
      <c r="P101" s="361">
        <f t="array" aca="1" ref="P101" ca="1">IF(ISERROR(PRODUCT(1+OFFSET(Data_85_15!P$8,Compare_Portfolios!$N$91,0,Compare_Portfolios!$N$90,1)%)),"",(PRODUCT(1+OFFSET(Data_85_15!P$8,Compare_Portfolios!$N$91,0,Compare_Portfolios!$N$90,1)%)))</f>
        <v>23.737305588288443</v>
      </c>
      <c r="Q101" s="361">
        <f t="array" aca="1" ref="Q101" ca="1">IF(ISERROR(PRODUCT(1+OFFSET(Data_85_15!Q$8,Compare_Portfolios!$N$91,0,Compare_Portfolios!$N$90,1)%)),"",(PRODUCT(1+OFFSET(Data_85_15!Q$8,Compare_Portfolios!$N$91,0,Compare_Portfolios!$N$90,1)%)))</f>
        <v>20.487342556557167</v>
      </c>
      <c r="R101" s="361">
        <f t="array" aca="1" ref="R101" ca="1">IF(ISERROR(PRODUCT(1+OFFSET(Data_85_15!R$8,Compare_Portfolios!$N$91,0,Compare_Portfolios!$N$90,1)%)),"",(PRODUCT(1+OFFSET(Data_85_15!R$8,Compare_Portfolios!$N$91,0,Compare_Portfolios!$N$90,1)%)))</f>
        <v>6.7184311293619459</v>
      </c>
      <c r="S101" s="361">
        <f t="array" aca="1" ref="S101" ca="1">IF(ISERROR(PRODUCT(1+OFFSET(Data_85_15!S$8,Compare_Portfolios!$N$91,0,Compare_Portfolios!$N$90,1)%)),"",(PRODUCT(1+OFFSET(Data_85_15!S$8,Compare_Portfolios!$N$91,0,Compare_Portfolios!$N$90,1)%)))</f>
        <v>14.180814459629151</v>
      </c>
      <c r="T101" s="361">
        <f t="array" aca="1" ref="T101" ca="1">IF(ISERROR(PRODUCT(1+OFFSET(Data_85_15!T$8,Compare_Portfolios!$N$91,0,Compare_Portfolios!$N$90,1)%)),"",(PRODUCT(1+OFFSET(Data_85_15!T$8,Compare_Portfolios!$N$91,0,Compare_Portfolios!$N$90,1)%)))</f>
        <v>8.2772340941358618</v>
      </c>
      <c r="U101" s="361">
        <f t="array" aca="1" ref="U101" ca="1">IF(ISERROR(PRODUCT(1+OFFSET(Data_85_15!U$8,Compare_Portfolios!$N$91,0,Compare_Portfolios!$N$90,1)%)),"",(PRODUCT(1+OFFSET(Data_85_15!U$8,Compare_Portfolios!$N$91,0,Compare_Portfolios!$N$90,1)%)))</f>
        <v>7.5235292507465426</v>
      </c>
      <c r="V101" s="361">
        <f t="array" aca="1" ref="V101" ca="1">IF(ISERROR(PRODUCT(1+OFFSET(Data_85_15!V$8,Compare_Portfolios!$N$91,0,Compare_Portfolios!$N$90,1)%)),"",(PRODUCT(1+OFFSET(Data_85_15!V$8,Compare_Portfolios!$N$91,0,Compare_Portfolios!$N$90,1)%)))</f>
        <v>2.9843838444987565</v>
      </c>
      <c r="W101" s="361">
        <f t="array" aca="1" ref="W101" ca="1">IF(ISERROR(PRODUCT(1+OFFSET(Data_85_15!W$8,Compare_Portfolios!$N$91,0,Compare_Portfolios!$N$90,1)%)),"",(PRODUCT(1+OFFSET(Data_85_15!W$8,Compare_Portfolios!$N$91,0,Compare_Portfolios!$N$90,1)%)))</f>
        <v>7.9236920506286257</v>
      </c>
      <c r="X101" s="361">
        <f t="array" aca="1" ref="X101" ca="1">IF(ISERROR(PRODUCT(1+OFFSET(Data_85_15!X$8,Compare_Portfolios!$N$91,0,Compare_Portfolios!$N$90,1)%)),"",(PRODUCT(1+OFFSET(Data_85_15!X$8,Compare_Portfolios!$N$91,0,Compare_Portfolios!$N$90,1)%)))</f>
        <v>22.205539436954279</v>
      </c>
      <c r="Y101" s="361">
        <f t="array" aca="1" ref="Y101" ca="1">IF(ISERROR(PRODUCT(1+OFFSET(Data_85_15!Y$8,Compare_Portfolios!$N$91,0,Compare_Portfolios!$N$90,1)%)),"",(PRODUCT(1+OFFSET(Data_85_15!Y$8,Compare_Portfolios!$N$91,0,Compare_Portfolios!$N$90,1)%)))</f>
        <v>17.334487346841943</v>
      </c>
      <c r="Z101" s="361">
        <f t="array" aca="1" ref="Z101" ca="1">IF(ISERROR(PRODUCT(1+OFFSET(Data_85_15!Z$8,Compare_Portfolios!$N$91,0,Compare_Portfolios!$N$90,1)%)),"",(PRODUCT(1+OFFSET(Data_85_15!Z$8,Compare_Portfolios!$N$91,0,Compare_Portfolios!$N$90,1)%)))</f>
        <v>23.695880649239612</v>
      </c>
      <c r="AA101" s="361">
        <f t="array" aca="1" ref="AA101" ca="1">IF(ISERROR(PRODUCT(1+OFFSET(Data_85_15!AA$8,Compare_Portfolios!$N$91,0,Compare_Portfolios!$N$90,1)%)),"",(PRODUCT(1+OFFSET(Data_85_15!AA$8,Compare_Portfolios!$N$91,0,Compare_Portfolios!$N$90,1)%)))</f>
        <v>144.03649961023183</v>
      </c>
      <c r="AB101" s="361">
        <f t="array" aca="1" ref="AB101" ca="1">IF(ISERROR(PRODUCT(1+OFFSET(Data_85_15!AB$8,Compare_Portfolios!$N$91,0,Compare_Portfolios!$N$90,1)%)),"",(PRODUCT(1+OFFSET(Data_85_15!AB$8,Compare_Portfolios!$N$91,0,Compare_Portfolios!$N$90,1)%)))</f>
        <v>3.8019109591162561</v>
      </c>
      <c r="AC101" s="361">
        <f t="array" aca="1" ref="AC101" ca="1">IF(ISERROR(PRODUCT(1+OFFSET(Data_85_15!AC$8,Compare_Portfolios!$N$91,0,Compare_Portfolios!$N$90,1)%)),"",(PRODUCT(1+OFFSET(Data_85_15!AC$8,Compare_Portfolios!$N$91,0,Compare_Portfolios!$N$90,1)%)))</f>
        <v>21.875600781174516</v>
      </c>
      <c r="AD101" s="361">
        <f t="array" aca="1" ref="AD101" ca="1">IF(ISERROR(PRODUCT(1+OFFSET(Data_85_15!AD$8,Compare_Portfolios!$N$91,0,Compare_Portfolios!$N$90,1)%)),"",(PRODUCT(1+OFFSET(Data_85_15!AD$8,Compare_Portfolios!$N$91,0,Compare_Portfolios!$N$90,1)%)))</f>
        <v>21.408893550887576</v>
      </c>
      <c r="AE101" s="361">
        <f t="array" aca="1" ref="AE101" ca="1">IF(ISERROR(PRODUCT(1+OFFSET(Data_85_15!AE$8,Compare_Portfolios!$N$91,0,Compare_Portfolios!$N$90,1)%)),"",(PRODUCT(1+OFFSET(Data_85_15!AE$8,Compare_Portfolios!$N$91,0,Compare_Portfolios!$N$90,1)%)))</f>
        <v>2.9985421518687096</v>
      </c>
      <c r="AF101" s="361">
        <f t="array" aca="1" ref="AF101" ca="1">IF(ISERROR(PRODUCT(1+OFFSET(Data_85_15!AF$8,Compare_Portfolios!$N$91,0,Compare_Portfolios!$N$90,1)%)),"",(PRODUCT(1+OFFSET(Data_85_15!AF$8,Compare_Portfolios!$N$91,0,Compare_Portfolios!$N$90,1)%)))</f>
        <v>6.6561518387154921</v>
      </c>
      <c r="AG101" s="361">
        <f t="array" aca="1" ref="AG101" ca="1">IF(ISERROR(PRODUCT(1+OFFSET(Data_85_15!AG$8,Compare_Portfolios!$N$91,0,Compare_Portfolios!$N$90,1)%)),"",(PRODUCT(1+OFFSET(Data_85_15!AG$8,Compare_Portfolios!$N$91,0,Compare_Portfolios!$N$90,1)%)))</f>
        <v>8.2003628465847775</v>
      </c>
      <c r="AH101" s="361">
        <f t="array" aca="1" ref="AH101" ca="1">IF(ISERROR(PRODUCT(1+OFFSET(Data_85_15!AH$8,Compare_Portfolios!$N$91,0,Compare_Portfolios!$N$90,1)%)),"",(PRODUCT(1+OFFSET(Data_85_15!AH$8,Compare_Portfolios!$N$91,0,Compare_Portfolios!$N$90,1)%)))</f>
        <v>9.0614132747995786</v>
      </c>
      <c r="AI101" s="361">
        <f t="array" aca="1" ref="AI101" ca="1">IF(ISERROR(PRODUCT(1+OFFSET(Data_85_15!AI$8,Compare_Portfolios!$N$91,0,Compare_Portfolios!$N$90,1)%)),"",(PRODUCT(1+OFFSET(Data_85_15!AI$8,Compare_Portfolios!$N$91,0,Compare_Portfolios!$N$90,1)%)))</f>
        <v>4.8671212224601552</v>
      </c>
      <c r="AJ101" s="361">
        <f t="array" aca="1" ref="AJ101" ca="1">IF(ISERROR(PRODUCT(1+OFFSET(Data_85_15!AJ$8,Compare_Portfolios!$N$91,0,Compare_Portfolios!$N$90,1)%)),"",(PRODUCT(1+OFFSET(Data_85_15!AJ$8,Compare_Portfolios!$N$91,0,Compare_Portfolios!$N$90,1)%)))</f>
        <v>24.247613785721196</v>
      </c>
      <c r="AK101" s="361">
        <f t="array" aca="1" ref="AK101" ca="1">IF(ISERROR(PRODUCT(1+OFFSET(Data_85_15!AK$8,Compare_Portfolios!$N$91,0,Compare_Portfolios!$N$90,1)%)),"",(PRODUCT(1+OFFSET(Data_85_15!AK$8,Compare_Portfolios!$N$91,0,Compare_Portfolios!$N$90,1)%)))</f>
        <v>41.300136792843631</v>
      </c>
      <c r="AL101" s="361">
        <f t="array" aca="1" ref="AL101" ca="1">IF(ISERROR(PRODUCT(1+OFFSET(Data_85_15!AL$8,Compare_Portfolios!$N$91,0,Compare_Portfolios!$N$90,1)%)),"",(PRODUCT(1+OFFSET(Data_85_15!AL$8,Compare_Portfolios!$N$91,0,Compare_Portfolios!$N$90,1)%)))</f>
        <v>23.48450994651207</v>
      </c>
      <c r="AM101" s="361">
        <f t="array" aca="1" ref="AM101" ca="1">IF(ISERROR(PRODUCT(1+OFFSET(Data_85_15!AM$8,Compare_Portfolios!$N$91,0,Compare_Portfolios!$N$90,1)%)),"",(PRODUCT(1+OFFSET(Data_85_15!AM$8,Compare_Portfolios!$N$91,0,Compare_Portfolios!$N$90,1)%)))</f>
        <v>5.94660482166113</v>
      </c>
      <c r="AN101" s="361">
        <f t="array" aca="1" ref="AN101" ca="1">IF(ISERROR(PRODUCT(1+OFFSET(Data_85_15!AN$8,Compare_Portfolios!$N$91,0,Compare_Portfolios!$N$90,1)%)),"",(PRODUCT(1+OFFSET(Data_85_15!AN$8,Compare_Portfolios!$N$91,0,Compare_Portfolios!$N$90,1)%)))</f>
        <v>5.9038995583096101</v>
      </c>
      <c r="AO101" s="361">
        <f t="array" aca="1" ref="AO101" ca="1">IF(ISERROR(PRODUCT(1+OFFSET(Data_85_15!AO$8,Compare_Portfolios!$N$91,0,Compare_Portfolios!$N$90,1)%)),"",(PRODUCT(1+OFFSET(Data_85_15!AO$8,Compare_Portfolios!$N$91,0,Compare_Portfolios!$N$90,1)%)))</f>
        <v>3.0153251228170217</v>
      </c>
      <c r="AP101" s="361">
        <f t="array" aca="1" ref="AP101" ca="1">IF(ISERROR(PRODUCT(1+OFFSET(Data_85_15!AP$8,Compare_Portfolios!$N$91,0,Compare_Portfolios!$N$90,1)%)),"",(PRODUCT(1+OFFSET(Data_85_15!AP$8,Compare_Portfolios!$N$91,0,Compare_Portfolios!$N$90,1)%)))</f>
        <v>32.720259013681968</v>
      </c>
      <c r="AQ101" s="361" t="str">
        <f t="array" aca="1" ref="AQ101" ca="1">IF(ISERROR(PRODUCT(1+OFFSET(Data_85_15!AQ$8,Compare_Portfolios!$N$91,0,Compare_Portfolios!$N$90,1)%)),"",(PRODUCT(1+OFFSET(Data_85_15!AQ$8,Compare_Portfolios!$N$91,0,Compare_Portfolios!$N$90,1)%)))</f>
        <v/>
      </c>
      <c r="AR101" s="361" t="str">
        <f t="array" aca="1" ref="AR101" ca="1">IF(ISERROR(PRODUCT(1+OFFSET(Data_85_15!AR$8,Compare_Portfolios!$N$91,0,Compare_Portfolios!$N$90,1)%)),"",(PRODUCT(1+OFFSET(Data_85_15!AR$8,Compare_Portfolios!$N$91,0,Compare_Portfolios!$N$90,1)%)))</f>
        <v/>
      </c>
      <c r="AS101" s="361" t="str">
        <f t="array" aca="1" ref="AS101" ca="1">IF(ISERROR(PRODUCT(1+OFFSET(Data_85_15!AS$8,Compare_Portfolios!$N$91,0,Compare_Portfolios!$N$90,1)%)),"",(PRODUCT(1+OFFSET(Data_85_15!AS$8,Compare_Portfolios!$N$91,0,Compare_Portfolios!$N$90,1)%)))</f>
        <v/>
      </c>
      <c r="AT101" s="361" t="str">
        <f t="array" aca="1" ref="AT101" ca="1">IF(ISERROR(PRODUCT(1+OFFSET(Data_85_15!AT$8,Compare_Portfolios!$N$91,0,Compare_Portfolios!$N$90,1)%)),"",(PRODUCT(1+OFFSET(Data_85_15!AT$8,Compare_Portfolios!$N$91,0,Compare_Portfolios!$N$90,1)%)))</f>
        <v/>
      </c>
      <c r="AU101" s="361" t="str">
        <f t="array" aca="1" ref="AU101" ca="1">IF(ISERROR(PRODUCT(1+OFFSET(Data_85_15!AU$8,Compare_Portfolios!$N$91,0,Compare_Portfolios!$N$90,1)%)),"",(PRODUCT(1+OFFSET(Data_85_15!AU$8,Compare_Portfolios!$N$91,0,Compare_Portfolios!$N$90,1)%)))</f>
        <v/>
      </c>
      <c r="AV101" s="361" t="str">
        <f t="array" aca="1" ref="AV101" ca="1">IF(ISERROR(PRODUCT(1+OFFSET(Data_85_15!AV$8,Compare_Portfolios!$N$91,0,Compare_Portfolios!$N$90,1)%)),"",(PRODUCT(1+OFFSET(Data_85_15!AV$8,Compare_Portfolios!$N$91,0,Compare_Portfolios!$N$90,1)%)))</f>
        <v/>
      </c>
      <c r="AW101" s="361" t="str">
        <f t="array" aca="1" ref="AW101" ca="1">IF(ISERROR(PRODUCT(1+OFFSET(Data_85_15!AW$8,Compare_Portfolios!$N$91,0,Compare_Portfolios!$N$90,1)%)),"",(PRODUCT(1+OFFSET(Data_85_15!AW$8,Compare_Portfolios!$N$91,0,Compare_Portfolios!$N$90,1)%)))</f>
        <v/>
      </c>
      <c r="AX101" s="361" t="str">
        <f t="array" aca="1" ref="AX101" ca="1">IF(ISERROR(PRODUCT(1+OFFSET(Data_85_15!AX$8,Compare_Portfolios!$N$91,0,Compare_Portfolios!$N$90,1)%)),"",(PRODUCT(1+OFFSET(Data_85_15!AX$8,Compare_Portfolios!$N$91,0,Compare_Portfolios!$N$90,1)%)))</f>
        <v/>
      </c>
      <c r="AY101" s="511" t="str">
        <f t="array" aca="1" ref="AY101" ca="1">IF(ISERROR(PRODUCT(1+OFFSET(Data_85_15!AY$8,Compare_Portfolios!$N$91,0,Compare_Portfolios!$N$90,1)%)),"",(PRODUCT(1+OFFSET(Data_85_15!AY$8,Compare_Portfolios!$N$91,0,Compare_Portfolios!$N$90,1)%)))</f>
        <v/>
      </c>
      <c r="BA101"/>
      <c r="BB101"/>
      <c r="BC101"/>
      <c r="BD101"/>
      <c r="BE101"/>
      <c r="BG101"/>
    </row>
    <row r="102" spans="1:59">
      <c r="A102" s="517" t="s">
        <v>491</v>
      </c>
      <c r="B102" s="361">
        <f t="array" aca="1" ref="B102" ca="1">IF(ISERROR(PRODUCT(1+OFFSET(Data_85_15!B$8,Compare_Portfolios!$O$91,0,Compare_Portfolios!$O$90,1)%)),"",(PRODUCT(1+OFFSET(Data_85_15!B$8,Compare_Portfolios!$O$91,0,Compare_Portfolios!$O$90,1)%)))</f>
        <v>23.703799457344104</v>
      </c>
      <c r="C102" s="361">
        <f t="array" aca="1" ref="C102" ca="1">IF(ISERROR(PRODUCT(1+OFFSET(Data_85_15!C$8,Compare_Portfolios!$O$91,0,Compare_Portfolios!$O$90,1)%)),"",(PRODUCT(1+OFFSET(Data_85_15!C$8,Compare_Portfolios!$O$91,0,Compare_Portfolios!$O$90,1)%)))</f>
        <v>22.856642523361877</v>
      </c>
      <c r="D102" s="361">
        <f t="array" aca="1" ref="D102" ca="1">IF(ISERROR(PRODUCT(1+OFFSET(Data_85_15!D$8,Compare_Portfolios!$O$91,0,Compare_Portfolios!$O$90,1)%)),"",(PRODUCT(1+OFFSET(Data_85_15!D$8,Compare_Portfolios!$O$91,0,Compare_Portfolios!$O$90,1)%)))</f>
        <v>24.248237666408311</v>
      </c>
      <c r="E102" s="361">
        <f t="array" aca="1" ref="E102" ca="1">IF(ISERROR(PRODUCT(1+OFFSET(Data_85_15!E$8,Compare_Portfolios!$O$91,0,Compare_Portfolios!$O$90,1)%)),"",(PRODUCT(1+OFFSET(Data_85_15!E$8,Compare_Portfolios!$O$91,0,Compare_Portfolios!$O$90,1)%)))</f>
        <v>25.700659044691534</v>
      </c>
      <c r="F102" s="361">
        <f t="array" aca="1" ref="F102" ca="1">IF(ISERROR(PRODUCT(1+OFFSET(Data_85_15!F$8,Compare_Portfolios!$O$91,0,Compare_Portfolios!$O$90,1)%)),"",(PRODUCT(1+OFFSET(Data_85_15!F$8,Compare_Portfolios!$O$91,0,Compare_Portfolios!$O$90,1)%)))</f>
        <v>38.055021747377332</v>
      </c>
      <c r="G102" s="361">
        <f t="array" aca="1" ref="G102" ca="1">IF(ISERROR(PRODUCT(1+OFFSET(Data_85_15!G$8,Compare_Portfolios!$O$91,0,Compare_Portfolios!$O$90,1)%)),"",(PRODUCT(1+OFFSET(Data_85_15!G$8,Compare_Portfolios!$O$91,0,Compare_Portfolios!$O$90,1)%)))</f>
        <v>26.608127587150666</v>
      </c>
      <c r="H102" s="361">
        <f t="array" aca="1" ref="H102" ca="1">IF(ISERROR(PRODUCT(1+OFFSET(Data_85_15!H$8,Compare_Portfolios!$O$91,0,Compare_Portfolios!$O$90,1)%)),"",(PRODUCT(1+OFFSET(Data_85_15!H$8,Compare_Portfolios!$O$91,0,Compare_Portfolios!$O$90,1)%)))</f>
        <v>21.432776985031037</v>
      </c>
      <c r="I102" s="361">
        <f t="array" aca="1" ref="I102" ca="1">IF(ISERROR(PRODUCT(1+OFFSET(Data_85_15!I$8,Compare_Portfolios!$O$91,0,Compare_Portfolios!$O$90,1)%)),"",(PRODUCT(1+OFFSET(Data_85_15!I$8,Compare_Portfolios!$O$91,0,Compare_Portfolios!$O$90,1)%)))</f>
        <v>17.092465727406875</v>
      </c>
      <c r="J102" s="361">
        <f t="array" aca="1" ref="J102" ca="1">IF(ISERROR(PRODUCT(1+OFFSET(Data_85_15!J$8,Compare_Portfolios!$O$91,0,Compare_Portfolios!$O$90,1)%)),"",(PRODUCT(1+OFFSET(Data_85_15!J$8,Compare_Portfolios!$O$91,0,Compare_Portfolios!$O$90,1)%)))</f>
        <v>23.911724554837843</v>
      </c>
      <c r="K102" s="361">
        <f t="array" aca="1" ref="K102" ca="1">IF(ISERROR(PRODUCT(1+OFFSET(Data_85_15!K$8,Compare_Portfolios!$O$91,0,Compare_Portfolios!$O$90,1)%)),"",(PRODUCT(1+OFFSET(Data_85_15!K$8,Compare_Portfolios!$O$91,0,Compare_Portfolios!$O$90,1)%)))</f>
        <v>23.659745466538826</v>
      </c>
      <c r="L102" s="361">
        <f t="array" aca="1" ref="L102" ca="1">IF(ISERROR(PRODUCT(1+OFFSET(Data_85_15!L$8,Compare_Portfolios!$O$91,0,Compare_Portfolios!$O$90,1)%)),"",(PRODUCT(1+OFFSET(Data_85_15!L$8,Compare_Portfolios!$O$91,0,Compare_Portfolios!$O$90,1)%)))</f>
        <v>13.855272391431527</v>
      </c>
      <c r="M102" s="361">
        <f t="array" aca="1" ref="M102" ca="1">IF(ISERROR(PRODUCT(1+OFFSET(Data_85_15!M$8,Compare_Portfolios!$O$91,0,Compare_Portfolios!$O$90,1)%)),"",(PRODUCT(1+OFFSET(Data_85_15!M$8,Compare_Portfolios!$O$91,0,Compare_Portfolios!$O$90,1)%)))</f>
        <v>62.321965461826828</v>
      </c>
      <c r="N102" s="361">
        <f t="array" aca="1" ref="N102" ca="1">IF(ISERROR(PRODUCT(1+OFFSET(Data_85_15!N$8,Compare_Portfolios!$O$91,0,Compare_Portfolios!$O$90,1)%)),"",(PRODUCT(1+OFFSET(Data_85_15!N$8,Compare_Portfolios!$O$91,0,Compare_Portfolios!$O$90,1)%)))</f>
        <v>16.881220073117159</v>
      </c>
      <c r="O102" s="361">
        <f t="array" aca="1" ref="O102" ca="1">IF(ISERROR(PRODUCT(1+OFFSET(Data_85_15!O$8,Compare_Portfolios!$O$91,0,Compare_Portfolios!$O$90,1)%)),"",(PRODUCT(1+OFFSET(Data_85_15!O$8,Compare_Portfolios!$O$91,0,Compare_Portfolios!$O$90,1)%)))</f>
        <v>6.5226925008515613</v>
      </c>
      <c r="P102" s="361">
        <f t="array" aca="1" ref="P102" ca="1">IF(ISERROR(PRODUCT(1+OFFSET(Data_85_15!P$8,Compare_Portfolios!$O$91,0,Compare_Portfolios!$O$90,1)%)),"",(PRODUCT(1+OFFSET(Data_85_15!P$8,Compare_Portfolios!$O$91,0,Compare_Portfolios!$O$90,1)%)))</f>
        <v>23.737305588288443</v>
      </c>
      <c r="Q102" s="361">
        <f t="array" aca="1" ref="Q102" ca="1">IF(ISERROR(PRODUCT(1+OFFSET(Data_85_15!Q$8,Compare_Portfolios!$O$91,0,Compare_Portfolios!$O$90,1)%)),"",(PRODUCT(1+OFFSET(Data_85_15!Q$8,Compare_Portfolios!$O$91,0,Compare_Portfolios!$O$90,1)%)))</f>
        <v>20.487342556557167</v>
      </c>
      <c r="R102" s="361">
        <f t="array" aca="1" ref="R102" ca="1">IF(ISERROR(PRODUCT(1+OFFSET(Data_85_15!R$8,Compare_Portfolios!$O$91,0,Compare_Portfolios!$O$90,1)%)),"",(PRODUCT(1+OFFSET(Data_85_15!R$8,Compare_Portfolios!$O$91,0,Compare_Portfolios!$O$90,1)%)))</f>
        <v>6.7184311293619459</v>
      </c>
      <c r="S102" s="361">
        <f t="array" aca="1" ref="S102" ca="1">IF(ISERROR(PRODUCT(1+OFFSET(Data_85_15!S$8,Compare_Portfolios!$O$91,0,Compare_Portfolios!$O$90,1)%)),"",(PRODUCT(1+OFFSET(Data_85_15!S$8,Compare_Portfolios!$O$91,0,Compare_Portfolios!$O$90,1)%)))</f>
        <v>14.180814459629151</v>
      </c>
      <c r="T102" s="361">
        <f t="array" aca="1" ref="T102" ca="1">IF(ISERROR(PRODUCT(1+OFFSET(Data_85_15!T$8,Compare_Portfolios!$O$91,0,Compare_Portfolios!$O$90,1)%)),"",(PRODUCT(1+OFFSET(Data_85_15!T$8,Compare_Portfolios!$O$91,0,Compare_Portfolios!$O$90,1)%)))</f>
        <v>8.2772340941358618</v>
      </c>
      <c r="U102" s="361">
        <f t="array" aca="1" ref="U102" ca="1">IF(ISERROR(PRODUCT(1+OFFSET(Data_85_15!U$8,Compare_Portfolios!$O$91,0,Compare_Portfolios!$O$90,1)%)),"",(PRODUCT(1+OFFSET(Data_85_15!U$8,Compare_Portfolios!$O$91,0,Compare_Portfolios!$O$90,1)%)))</f>
        <v>7.5235292507465426</v>
      </c>
      <c r="V102" s="361">
        <f t="array" aca="1" ref="V102" ca="1">IF(ISERROR(PRODUCT(1+OFFSET(Data_85_15!V$8,Compare_Portfolios!$O$91,0,Compare_Portfolios!$O$90,1)%)),"",(PRODUCT(1+OFFSET(Data_85_15!V$8,Compare_Portfolios!$O$91,0,Compare_Portfolios!$O$90,1)%)))</f>
        <v>2.9843838444987565</v>
      </c>
      <c r="W102" s="361">
        <f t="array" aca="1" ref="W102" ca="1">IF(ISERROR(PRODUCT(1+OFFSET(Data_85_15!W$8,Compare_Portfolios!$O$91,0,Compare_Portfolios!$O$90,1)%)),"",(PRODUCT(1+OFFSET(Data_85_15!W$8,Compare_Portfolios!$O$91,0,Compare_Portfolios!$O$90,1)%)))</f>
        <v>7.9236920506286257</v>
      </c>
      <c r="X102" s="361">
        <f t="array" aca="1" ref="X102" ca="1">IF(ISERROR(PRODUCT(1+OFFSET(Data_85_15!X$8,Compare_Portfolios!$O$91,0,Compare_Portfolios!$O$90,1)%)),"",(PRODUCT(1+OFFSET(Data_85_15!X$8,Compare_Portfolios!$O$91,0,Compare_Portfolios!$O$90,1)%)))</f>
        <v>22.205539436954279</v>
      </c>
      <c r="Y102" s="361">
        <f t="array" aca="1" ref="Y102" ca="1">IF(ISERROR(PRODUCT(1+OFFSET(Data_85_15!Y$8,Compare_Portfolios!$O$91,0,Compare_Portfolios!$O$90,1)%)),"",(PRODUCT(1+OFFSET(Data_85_15!Y$8,Compare_Portfolios!$O$91,0,Compare_Portfolios!$O$90,1)%)))</f>
        <v>17.334487346841943</v>
      </c>
      <c r="Z102" s="361">
        <f t="array" aca="1" ref="Z102" ca="1">IF(ISERROR(PRODUCT(1+OFFSET(Data_85_15!Z$8,Compare_Portfolios!$O$91,0,Compare_Portfolios!$O$90,1)%)),"",(PRODUCT(1+OFFSET(Data_85_15!Z$8,Compare_Portfolios!$O$91,0,Compare_Portfolios!$O$90,1)%)))</f>
        <v>23.695880649239612</v>
      </c>
      <c r="AA102" s="361">
        <f t="array" aca="1" ref="AA102" ca="1">IF(ISERROR(PRODUCT(1+OFFSET(Data_85_15!AA$8,Compare_Portfolios!$O$91,0,Compare_Portfolios!$O$90,1)%)),"",(PRODUCT(1+OFFSET(Data_85_15!AA$8,Compare_Portfolios!$O$91,0,Compare_Portfolios!$O$90,1)%)))</f>
        <v>144.03649961023183</v>
      </c>
      <c r="AB102" s="361">
        <f t="array" aca="1" ref="AB102" ca="1">IF(ISERROR(PRODUCT(1+OFFSET(Data_85_15!AB$8,Compare_Portfolios!$O$91,0,Compare_Portfolios!$O$90,1)%)),"",(PRODUCT(1+OFFSET(Data_85_15!AB$8,Compare_Portfolios!$O$91,0,Compare_Portfolios!$O$90,1)%)))</f>
        <v>3.8019109591162561</v>
      </c>
      <c r="AC102" s="361">
        <f t="array" aca="1" ref="AC102" ca="1">IF(ISERROR(PRODUCT(1+OFFSET(Data_85_15!AC$8,Compare_Portfolios!$O$91,0,Compare_Portfolios!$O$90,1)%)),"",(PRODUCT(1+OFFSET(Data_85_15!AC$8,Compare_Portfolios!$O$91,0,Compare_Portfolios!$O$90,1)%)))</f>
        <v>21.875600781174516</v>
      </c>
      <c r="AD102" s="361">
        <f t="array" aca="1" ref="AD102" ca="1">IF(ISERROR(PRODUCT(1+OFFSET(Data_85_15!AD$8,Compare_Portfolios!$O$91,0,Compare_Portfolios!$O$90,1)%)),"",(PRODUCT(1+OFFSET(Data_85_15!AD$8,Compare_Portfolios!$O$91,0,Compare_Portfolios!$O$90,1)%)))</f>
        <v>21.408893550887576</v>
      </c>
      <c r="AE102" s="361">
        <f t="array" aca="1" ref="AE102" ca="1">IF(ISERROR(PRODUCT(1+OFFSET(Data_85_15!AE$8,Compare_Portfolios!$O$91,0,Compare_Portfolios!$O$90,1)%)),"",(PRODUCT(1+OFFSET(Data_85_15!AE$8,Compare_Portfolios!$O$91,0,Compare_Portfolios!$O$90,1)%)))</f>
        <v>2.9985421518687096</v>
      </c>
      <c r="AF102" s="361">
        <f t="array" aca="1" ref="AF102" ca="1">IF(ISERROR(PRODUCT(1+OFFSET(Data_85_15!AF$8,Compare_Portfolios!$O$91,0,Compare_Portfolios!$O$90,1)%)),"",(PRODUCT(1+OFFSET(Data_85_15!AF$8,Compare_Portfolios!$O$91,0,Compare_Portfolios!$O$90,1)%)))</f>
        <v>6.6561518387154921</v>
      </c>
      <c r="AG102" s="361">
        <f t="array" aca="1" ref="AG102" ca="1">IF(ISERROR(PRODUCT(1+OFFSET(Data_85_15!AG$8,Compare_Portfolios!$O$91,0,Compare_Portfolios!$O$90,1)%)),"",(PRODUCT(1+OFFSET(Data_85_15!AG$8,Compare_Portfolios!$O$91,0,Compare_Portfolios!$O$90,1)%)))</f>
        <v>8.2003628465847775</v>
      </c>
      <c r="AH102" s="361">
        <f t="array" aca="1" ref="AH102" ca="1">IF(ISERROR(PRODUCT(1+OFFSET(Data_85_15!AH$8,Compare_Portfolios!$O$91,0,Compare_Portfolios!$O$90,1)%)),"",(PRODUCT(1+OFFSET(Data_85_15!AH$8,Compare_Portfolios!$O$91,0,Compare_Portfolios!$O$90,1)%)))</f>
        <v>9.0614132747995786</v>
      </c>
      <c r="AI102" s="361">
        <f t="array" aca="1" ref="AI102" ca="1">IF(ISERROR(PRODUCT(1+OFFSET(Data_85_15!AI$8,Compare_Portfolios!$O$91,0,Compare_Portfolios!$O$90,1)%)),"",(PRODUCT(1+OFFSET(Data_85_15!AI$8,Compare_Portfolios!$O$91,0,Compare_Portfolios!$O$90,1)%)))</f>
        <v>4.8671212224601552</v>
      </c>
      <c r="AJ102" s="361">
        <f t="array" aca="1" ref="AJ102" ca="1">IF(ISERROR(PRODUCT(1+OFFSET(Data_85_15!AJ$8,Compare_Portfolios!$O$91,0,Compare_Portfolios!$O$90,1)%)),"",(PRODUCT(1+OFFSET(Data_85_15!AJ$8,Compare_Portfolios!$O$91,0,Compare_Portfolios!$O$90,1)%)))</f>
        <v>24.247613785721196</v>
      </c>
      <c r="AK102" s="361">
        <f t="array" aca="1" ref="AK102" ca="1">IF(ISERROR(PRODUCT(1+OFFSET(Data_85_15!AK$8,Compare_Portfolios!$O$91,0,Compare_Portfolios!$O$90,1)%)),"",(PRODUCT(1+OFFSET(Data_85_15!AK$8,Compare_Portfolios!$O$91,0,Compare_Portfolios!$O$90,1)%)))</f>
        <v>41.300136792843631</v>
      </c>
      <c r="AL102" s="361">
        <f t="array" aca="1" ref="AL102" ca="1">IF(ISERROR(PRODUCT(1+OFFSET(Data_85_15!AL$8,Compare_Portfolios!$O$91,0,Compare_Portfolios!$O$90,1)%)),"",(PRODUCT(1+OFFSET(Data_85_15!AL$8,Compare_Portfolios!$O$91,0,Compare_Portfolios!$O$90,1)%)))</f>
        <v>23.48450994651207</v>
      </c>
      <c r="AM102" s="361">
        <f t="array" aca="1" ref="AM102" ca="1">IF(ISERROR(PRODUCT(1+OFFSET(Data_85_15!AM$8,Compare_Portfolios!$O$91,0,Compare_Portfolios!$O$90,1)%)),"",(PRODUCT(1+OFFSET(Data_85_15!AM$8,Compare_Portfolios!$O$91,0,Compare_Portfolios!$O$90,1)%)))</f>
        <v>5.94660482166113</v>
      </c>
      <c r="AN102" s="361">
        <f t="array" aca="1" ref="AN102" ca="1">IF(ISERROR(PRODUCT(1+OFFSET(Data_85_15!AN$8,Compare_Portfolios!$O$91,0,Compare_Portfolios!$O$90,1)%)),"",(PRODUCT(1+OFFSET(Data_85_15!AN$8,Compare_Portfolios!$O$91,0,Compare_Portfolios!$O$90,1)%)))</f>
        <v>5.9038995583096101</v>
      </c>
      <c r="AO102" s="361">
        <f t="array" aca="1" ref="AO102" ca="1">IF(ISERROR(PRODUCT(1+OFFSET(Data_85_15!AO$8,Compare_Portfolios!$O$91,0,Compare_Portfolios!$O$90,1)%)),"",(PRODUCT(1+OFFSET(Data_85_15!AO$8,Compare_Portfolios!$O$91,0,Compare_Portfolios!$O$90,1)%)))</f>
        <v>3.0153251228170217</v>
      </c>
      <c r="AP102" s="361">
        <f t="array" aca="1" ref="AP102" ca="1">IF(ISERROR(PRODUCT(1+OFFSET(Data_85_15!AP$8,Compare_Portfolios!$O$91,0,Compare_Portfolios!$O$90,1)%)),"",(PRODUCT(1+OFFSET(Data_85_15!AP$8,Compare_Portfolios!$O$91,0,Compare_Portfolios!$O$90,1)%)))</f>
        <v>32.720259013681968</v>
      </c>
      <c r="AQ102" s="361" t="str">
        <f t="array" aca="1" ref="AQ102" ca="1">IF(ISERROR(PRODUCT(1+OFFSET(Data_85_15!AQ$8,Compare_Portfolios!$O$91,0,Compare_Portfolios!$O$90,1)%)),"",(PRODUCT(1+OFFSET(Data_85_15!AQ$8,Compare_Portfolios!$O$91,0,Compare_Portfolios!$O$90,1)%)))</f>
        <v/>
      </c>
      <c r="AR102" s="361" t="str">
        <f t="array" aca="1" ref="AR102" ca="1">IF(ISERROR(PRODUCT(1+OFFSET(Data_85_15!AR$8,Compare_Portfolios!$O$91,0,Compare_Portfolios!$O$90,1)%)),"",(PRODUCT(1+OFFSET(Data_85_15!AR$8,Compare_Portfolios!$O$91,0,Compare_Portfolios!$O$90,1)%)))</f>
        <v/>
      </c>
      <c r="AS102" s="361" t="str">
        <f t="array" aca="1" ref="AS102" ca="1">IF(ISERROR(PRODUCT(1+OFFSET(Data_85_15!AS$8,Compare_Portfolios!$O$91,0,Compare_Portfolios!$O$90,1)%)),"",(PRODUCT(1+OFFSET(Data_85_15!AS$8,Compare_Portfolios!$O$91,0,Compare_Portfolios!$O$90,1)%)))</f>
        <v/>
      </c>
      <c r="AT102" s="361" t="str">
        <f t="array" aca="1" ref="AT102" ca="1">IF(ISERROR(PRODUCT(1+OFFSET(Data_85_15!AT$8,Compare_Portfolios!$O$91,0,Compare_Portfolios!$O$90,1)%)),"",(PRODUCT(1+OFFSET(Data_85_15!AT$8,Compare_Portfolios!$O$91,0,Compare_Portfolios!$O$90,1)%)))</f>
        <v/>
      </c>
      <c r="AU102" s="361" t="str">
        <f t="array" aca="1" ref="AU102" ca="1">IF(ISERROR(PRODUCT(1+OFFSET(Data_85_15!AU$8,Compare_Portfolios!$O$91,0,Compare_Portfolios!$O$90,1)%)),"",(PRODUCT(1+OFFSET(Data_85_15!AU$8,Compare_Portfolios!$O$91,0,Compare_Portfolios!$O$90,1)%)))</f>
        <v/>
      </c>
      <c r="AV102" s="361" t="str">
        <f t="array" aca="1" ref="AV102" ca="1">IF(ISERROR(PRODUCT(1+OFFSET(Data_85_15!AV$8,Compare_Portfolios!$O$91,0,Compare_Portfolios!$O$90,1)%)),"",(PRODUCT(1+OFFSET(Data_85_15!AV$8,Compare_Portfolios!$O$91,0,Compare_Portfolios!$O$90,1)%)))</f>
        <v/>
      </c>
      <c r="AW102" s="361" t="str">
        <f t="array" aca="1" ref="AW102" ca="1">IF(ISERROR(PRODUCT(1+OFFSET(Data_85_15!AW$8,Compare_Portfolios!$O$91,0,Compare_Portfolios!$O$90,1)%)),"",(PRODUCT(1+OFFSET(Data_85_15!AW$8,Compare_Portfolios!$O$91,0,Compare_Portfolios!$O$90,1)%)))</f>
        <v/>
      </c>
      <c r="AX102" s="361" t="str">
        <f t="array" aca="1" ref="AX102" ca="1">IF(ISERROR(PRODUCT(1+OFFSET(Data_85_15!AX$8,Compare_Portfolios!$O$91,0,Compare_Portfolios!$O$90,1)%)),"",(PRODUCT(1+OFFSET(Data_85_15!AX$8,Compare_Portfolios!$O$91,0,Compare_Portfolios!$O$90,1)%)))</f>
        <v/>
      </c>
      <c r="AY102" s="511" t="str">
        <f t="array" aca="1" ref="AY102" ca="1">IF(ISERROR(PRODUCT(1+OFFSET(Data_85_15!AY$8,Compare_Portfolios!$O$91,0,Compare_Portfolios!$O$90,1)%)),"",(PRODUCT(1+OFFSET(Data_85_15!AY$8,Compare_Portfolios!$O$91,0,Compare_Portfolios!$O$90,1)%)))</f>
        <v/>
      </c>
      <c r="BA102"/>
      <c r="BB102"/>
      <c r="BC102"/>
      <c r="BD102"/>
      <c r="BE102"/>
      <c r="BG102"/>
    </row>
    <row r="103" spans="1:59">
      <c r="A103" s="517" t="s">
        <v>492</v>
      </c>
      <c r="B103" s="361">
        <f t="array" aca="1" ref="B103" ca="1">IF(ISERROR(PRODUCT(1+OFFSET(Data_85_15!B$8,Compare_Portfolios!$P$91,0,Compare_Portfolios!$P$90,1)%)),"",(PRODUCT(1+OFFSET(Data_85_15!B$8,Compare_Portfolios!$P$91,0,Compare_Portfolios!$P$90,1)%)))</f>
        <v>23.703799457344104</v>
      </c>
      <c r="C103" s="361">
        <f t="array" aca="1" ref="C103" ca="1">IF(ISERROR(PRODUCT(1+OFFSET(Data_85_15!C$8,Compare_Portfolios!$P$91,0,Compare_Portfolios!$P$90,1)%)),"",(PRODUCT(1+OFFSET(Data_85_15!C$8,Compare_Portfolios!$P$91,0,Compare_Portfolios!$P$90,1)%)))</f>
        <v>22.856642523361877</v>
      </c>
      <c r="D103" s="361">
        <f t="array" aca="1" ref="D103" ca="1">IF(ISERROR(PRODUCT(1+OFFSET(Data_85_15!D$8,Compare_Portfolios!$P$91,0,Compare_Portfolios!$P$90,1)%)),"",(PRODUCT(1+OFFSET(Data_85_15!D$8,Compare_Portfolios!$P$91,0,Compare_Portfolios!$P$90,1)%)))</f>
        <v>24.248237666408311</v>
      </c>
      <c r="E103" s="361">
        <f t="array" aca="1" ref="E103" ca="1">IF(ISERROR(PRODUCT(1+OFFSET(Data_85_15!E$8,Compare_Portfolios!$P$91,0,Compare_Portfolios!$P$90,1)%)),"",(PRODUCT(1+OFFSET(Data_85_15!E$8,Compare_Portfolios!$P$91,0,Compare_Portfolios!$P$90,1)%)))</f>
        <v>25.700659044691534</v>
      </c>
      <c r="F103" s="361">
        <f t="array" aca="1" ref="F103" ca="1">IF(ISERROR(PRODUCT(1+OFFSET(Data_85_15!F$8,Compare_Portfolios!$P$91,0,Compare_Portfolios!$P$90,1)%)),"",(PRODUCT(1+OFFSET(Data_85_15!F$8,Compare_Portfolios!$P$91,0,Compare_Portfolios!$P$90,1)%)))</f>
        <v>38.055021747377332</v>
      </c>
      <c r="G103" s="361">
        <f t="array" aca="1" ref="G103" ca="1">IF(ISERROR(PRODUCT(1+OFFSET(Data_85_15!G$8,Compare_Portfolios!$P$91,0,Compare_Portfolios!$P$90,1)%)),"",(PRODUCT(1+OFFSET(Data_85_15!G$8,Compare_Portfolios!$P$91,0,Compare_Portfolios!$P$90,1)%)))</f>
        <v>26.608127587150666</v>
      </c>
      <c r="H103" s="361">
        <f t="array" aca="1" ref="H103" ca="1">IF(ISERROR(PRODUCT(1+OFFSET(Data_85_15!H$8,Compare_Portfolios!$P$91,0,Compare_Portfolios!$P$90,1)%)),"",(PRODUCT(1+OFFSET(Data_85_15!H$8,Compare_Portfolios!$P$91,0,Compare_Portfolios!$P$90,1)%)))</f>
        <v>21.432776985031037</v>
      </c>
      <c r="I103" s="361">
        <f t="array" aca="1" ref="I103" ca="1">IF(ISERROR(PRODUCT(1+OFFSET(Data_85_15!I$8,Compare_Portfolios!$P$91,0,Compare_Portfolios!$P$90,1)%)),"",(PRODUCT(1+OFFSET(Data_85_15!I$8,Compare_Portfolios!$P$91,0,Compare_Portfolios!$P$90,1)%)))</f>
        <v>17.092465727406875</v>
      </c>
      <c r="J103" s="361">
        <f t="array" aca="1" ref="J103" ca="1">IF(ISERROR(PRODUCT(1+OFFSET(Data_85_15!J$8,Compare_Portfolios!$P$91,0,Compare_Portfolios!$P$90,1)%)),"",(PRODUCT(1+OFFSET(Data_85_15!J$8,Compare_Portfolios!$P$91,0,Compare_Portfolios!$P$90,1)%)))</f>
        <v>23.911724554837843</v>
      </c>
      <c r="K103" s="361">
        <f t="array" aca="1" ref="K103" ca="1">IF(ISERROR(PRODUCT(1+OFFSET(Data_85_15!K$8,Compare_Portfolios!$P$91,0,Compare_Portfolios!$P$90,1)%)),"",(PRODUCT(1+OFFSET(Data_85_15!K$8,Compare_Portfolios!$P$91,0,Compare_Portfolios!$P$90,1)%)))</f>
        <v>23.659745466538826</v>
      </c>
      <c r="L103" s="361">
        <f t="array" aca="1" ref="L103" ca="1">IF(ISERROR(PRODUCT(1+OFFSET(Data_85_15!L$8,Compare_Portfolios!$P$91,0,Compare_Portfolios!$P$90,1)%)),"",(PRODUCT(1+OFFSET(Data_85_15!L$8,Compare_Portfolios!$P$91,0,Compare_Portfolios!$P$90,1)%)))</f>
        <v>13.855272391431527</v>
      </c>
      <c r="M103" s="361">
        <f t="array" aca="1" ref="M103" ca="1">IF(ISERROR(PRODUCT(1+OFFSET(Data_85_15!M$8,Compare_Portfolios!$P$91,0,Compare_Portfolios!$P$90,1)%)),"",(PRODUCT(1+OFFSET(Data_85_15!M$8,Compare_Portfolios!$P$91,0,Compare_Portfolios!$P$90,1)%)))</f>
        <v>62.321965461826828</v>
      </c>
      <c r="N103" s="361">
        <f t="array" aca="1" ref="N103" ca="1">IF(ISERROR(PRODUCT(1+OFFSET(Data_85_15!N$8,Compare_Portfolios!$P$91,0,Compare_Portfolios!$P$90,1)%)),"",(PRODUCT(1+OFFSET(Data_85_15!N$8,Compare_Portfolios!$P$91,0,Compare_Portfolios!$P$90,1)%)))</f>
        <v>16.881220073117159</v>
      </c>
      <c r="O103" s="361">
        <f t="array" aca="1" ref="O103" ca="1">IF(ISERROR(PRODUCT(1+OFFSET(Data_85_15!O$8,Compare_Portfolios!$P$91,0,Compare_Portfolios!$P$90,1)%)),"",(PRODUCT(1+OFFSET(Data_85_15!O$8,Compare_Portfolios!$P$91,0,Compare_Portfolios!$P$90,1)%)))</f>
        <v>6.5226925008515613</v>
      </c>
      <c r="P103" s="361">
        <f t="array" aca="1" ref="P103" ca="1">IF(ISERROR(PRODUCT(1+OFFSET(Data_85_15!P$8,Compare_Portfolios!$P$91,0,Compare_Portfolios!$P$90,1)%)),"",(PRODUCT(1+OFFSET(Data_85_15!P$8,Compare_Portfolios!$P$91,0,Compare_Portfolios!$P$90,1)%)))</f>
        <v>23.737305588288443</v>
      </c>
      <c r="Q103" s="361">
        <f t="array" aca="1" ref="Q103" ca="1">IF(ISERROR(PRODUCT(1+OFFSET(Data_85_15!Q$8,Compare_Portfolios!$P$91,0,Compare_Portfolios!$P$90,1)%)),"",(PRODUCT(1+OFFSET(Data_85_15!Q$8,Compare_Portfolios!$P$91,0,Compare_Portfolios!$P$90,1)%)))</f>
        <v>20.487342556557167</v>
      </c>
      <c r="R103" s="361">
        <f t="array" aca="1" ref="R103" ca="1">IF(ISERROR(PRODUCT(1+OFFSET(Data_85_15!R$8,Compare_Portfolios!$P$91,0,Compare_Portfolios!$P$90,1)%)),"",(PRODUCT(1+OFFSET(Data_85_15!R$8,Compare_Portfolios!$P$91,0,Compare_Portfolios!$P$90,1)%)))</f>
        <v>6.7184311293619459</v>
      </c>
      <c r="S103" s="361">
        <f t="array" aca="1" ref="S103" ca="1">IF(ISERROR(PRODUCT(1+OFFSET(Data_85_15!S$8,Compare_Portfolios!$P$91,0,Compare_Portfolios!$P$90,1)%)),"",(PRODUCT(1+OFFSET(Data_85_15!S$8,Compare_Portfolios!$P$91,0,Compare_Portfolios!$P$90,1)%)))</f>
        <v>14.180814459629151</v>
      </c>
      <c r="T103" s="361">
        <f t="array" aca="1" ref="T103" ca="1">IF(ISERROR(PRODUCT(1+OFFSET(Data_85_15!T$8,Compare_Portfolios!$P$91,0,Compare_Portfolios!$P$90,1)%)),"",(PRODUCT(1+OFFSET(Data_85_15!T$8,Compare_Portfolios!$P$91,0,Compare_Portfolios!$P$90,1)%)))</f>
        <v>8.2772340941358618</v>
      </c>
      <c r="U103" s="361">
        <f t="array" aca="1" ref="U103" ca="1">IF(ISERROR(PRODUCT(1+OFFSET(Data_85_15!U$8,Compare_Portfolios!$P$91,0,Compare_Portfolios!$P$90,1)%)),"",(PRODUCT(1+OFFSET(Data_85_15!U$8,Compare_Portfolios!$P$91,0,Compare_Portfolios!$P$90,1)%)))</f>
        <v>7.5235292507465426</v>
      </c>
      <c r="V103" s="361">
        <f t="array" aca="1" ref="V103" ca="1">IF(ISERROR(PRODUCT(1+OFFSET(Data_85_15!V$8,Compare_Portfolios!$P$91,0,Compare_Portfolios!$P$90,1)%)),"",(PRODUCT(1+OFFSET(Data_85_15!V$8,Compare_Portfolios!$P$91,0,Compare_Portfolios!$P$90,1)%)))</f>
        <v>2.9843838444987565</v>
      </c>
      <c r="W103" s="361">
        <f t="array" aca="1" ref="W103" ca="1">IF(ISERROR(PRODUCT(1+OFFSET(Data_85_15!W$8,Compare_Portfolios!$P$91,0,Compare_Portfolios!$P$90,1)%)),"",(PRODUCT(1+OFFSET(Data_85_15!W$8,Compare_Portfolios!$P$91,0,Compare_Portfolios!$P$90,1)%)))</f>
        <v>7.9236920506286257</v>
      </c>
      <c r="X103" s="361">
        <f t="array" aca="1" ref="X103" ca="1">IF(ISERROR(PRODUCT(1+OFFSET(Data_85_15!X$8,Compare_Portfolios!$P$91,0,Compare_Portfolios!$P$90,1)%)),"",(PRODUCT(1+OFFSET(Data_85_15!X$8,Compare_Portfolios!$P$91,0,Compare_Portfolios!$P$90,1)%)))</f>
        <v>22.205539436954279</v>
      </c>
      <c r="Y103" s="361">
        <f t="array" aca="1" ref="Y103" ca="1">IF(ISERROR(PRODUCT(1+OFFSET(Data_85_15!Y$8,Compare_Portfolios!$P$91,0,Compare_Portfolios!$P$90,1)%)),"",(PRODUCT(1+OFFSET(Data_85_15!Y$8,Compare_Portfolios!$P$91,0,Compare_Portfolios!$P$90,1)%)))</f>
        <v>17.334487346841943</v>
      </c>
      <c r="Z103" s="361">
        <f t="array" aca="1" ref="Z103" ca="1">IF(ISERROR(PRODUCT(1+OFFSET(Data_85_15!Z$8,Compare_Portfolios!$P$91,0,Compare_Portfolios!$P$90,1)%)),"",(PRODUCT(1+OFFSET(Data_85_15!Z$8,Compare_Portfolios!$P$91,0,Compare_Portfolios!$P$90,1)%)))</f>
        <v>23.695880649239612</v>
      </c>
      <c r="AA103" s="361">
        <f t="array" aca="1" ref="AA103" ca="1">IF(ISERROR(PRODUCT(1+OFFSET(Data_85_15!AA$8,Compare_Portfolios!$P$91,0,Compare_Portfolios!$P$90,1)%)),"",(PRODUCT(1+OFFSET(Data_85_15!AA$8,Compare_Portfolios!$P$91,0,Compare_Portfolios!$P$90,1)%)))</f>
        <v>144.03649961023183</v>
      </c>
      <c r="AB103" s="361">
        <f t="array" aca="1" ref="AB103" ca="1">IF(ISERROR(PRODUCT(1+OFFSET(Data_85_15!AB$8,Compare_Portfolios!$P$91,0,Compare_Portfolios!$P$90,1)%)),"",(PRODUCT(1+OFFSET(Data_85_15!AB$8,Compare_Portfolios!$P$91,0,Compare_Portfolios!$P$90,1)%)))</f>
        <v>3.8019109591162561</v>
      </c>
      <c r="AC103" s="361">
        <f t="array" aca="1" ref="AC103" ca="1">IF(ISERROR(PRODUCT(1+OFFSET(Data_85_15!AC$8,Compare_Portfolios!$P$91,0,Compare_Portfolios!$P$90,1)%)),"",(PRODUCT(1+OFFSET(Data_85_15!AC$8,Compare_Portfolios!$P$91,0,Compare_Portfolios!$P$90,1)%)))</f>
        <v>21.875600781174516</v>
      </c>
      <c r="AD103" s="361">
        <f t="array" aca="1" ref="AD103" ca="1">IF(ISERROR(PRODUCT(1+OFFSET(Data_85_15!AD$8,Compare_Portfolios!$P$91,0,Compare_Portfolios!$P$90,1)%)),"",(PRODUCT(1+OFFSET(Data_85_15!AD$8,Compare_Portfolios!$P$91,0,Compare_Portfolios!$P$90,1)%)))</f>
        <v>21.408893550887576</v>
      </c>
      <c r="AE103" s="361">
        <f t="array" aca="1" ref="AE103" ca="1">IF(ISERROR(PRODUCT(1+OFFSET(Data_85_15!AE$8,Compare_Portfolios!$P$91,0,Compare_Portfolios!$P$90,1)%)),"",(PRODUCT(1+OFFSET(Data_85_15!AE$8,Compare_Portfolios!$P$91,0,Compare_Portfolios!$P$90,1)%)))</f>
        <v>2.9985421518687096</v>
      </c>
      <c r="AF103" s="361">
        <f t="array" aca="1" ref="AF103" ca="1">IF(ISERROR(PRODUCT(1+OFFSET(Data_85_15!AF$8,Compare_Portfolios!$P$91,0,Compare_Portfolios!$P$90,1)%)),"",(PRODUCT(1+OFFSET(Data_85_15!AF$8,Compare_Portfolios!$P$91,0,Compare_Portfolios!$P$90,1)%)))</f>
        <v>6.6561518387154921</v>
      </c>
      <c r="AG103" s="361">
        <f t="array" aca="1" ref="AG103" ca="1">IF(ISERROR(PRODUCT(1+OFFSET(Data_85_15!AG$8,Compare_Portfolios!$P$91,0,Compare_Portfolios!$P$90,1)%)),"",(PRODUCT(1+OFFSET(Data_85_15!AG$8,Compare_Portfolios!$P$91,0,Compare_Portfolios!$P$90,1)%)))</f>
        <v>8.2003628465847775</v>
      </c>
      <c r="AH103" s="361">
        <f t="array" aca="1" ref="AH103" ca="1">IF(ISERROR(PRODUCT(1+OFFSET(Data_85_15!AH$8,Compare_Portfolios!$P$91,0,Compare_Portfolios!$P$90,1)%)),"",(PRODUCT(1+OFFSET(Data_85_15!AH$8,Compare_Portfolios!$P$91,0,Compare_Portfolios!$P$90,1)%)))</f>
        <v>9.0614132747995786</v>
      </c>
      <c r="AI103" s="361">
        <f t="array" aca="1" ref="AI103" ca="1">IF(ISERROR(PRODUCT(1+OFFSET(Data_85_15!AI$8,Compare_Portfolios!$P$91,0,Compare_Portfolios!$P$90,1)%)),"",(PRODUCT(1+OFFSET(Data_85_15!AI$8,Compare_Portfolios!$P$91,0,Compare_Portfolios!$P$90,1)%)))</f>
        <v>4.8671212224601552</v>
      </c>
      <c r="AJ103" s="361">
        <f t="array" aca="1" ref="AJ103" ca="1">IF(ISERROR(PRODUCT(1+OFFSET(Data_85_15!AJ$8,Compare_Portfolios!$P$91,0,Compare_Portfolios!$P$90,1)%)),"",(PRODUCT(1+OFFSET(Data_85_15!AJ$8,Compare_Portfolios!$P$91,0,Compare_Portfolios!$P$90,1)%)))</f>
        <v>24.247613785721196</v>
      </c>
      <c r="AK103" s="361">
        <f t="array" aca="1" ref="AK103" ca="1">IF(ISERROR(PRODUCT(1+OFFSET(Data_85_15!AK$8,Compare_Portfolios!$P$91,0,Compare_Portfolios!$P$90,1)%)),"",(PRODUCT(1+OFFSET(Data_85_15!AK$8,Compare_Portfolios!$P$91,0,Compare_Portfolios!$P$90,1)%)))</f>
        <v>41.300136792843631</v>
      </c>
      <c r="AL103" s="361">
        <f t="array" aca="1" ref="AL103" ca="1">IF(ISERROR(PRODUCT(1+OFFSET(Data_85_15!AL$8,Compare_Portfolios!$P$91,0,Compare_Portfolios!$P$90,1)%)),"",(PRODUCT(1+OFFSET(Data_85_15!AL$8,Compare_Portfolios!$P$91,0,Compare_Portfolios!$P$90,1)%)))</f>
        <v>23.48450994651207</v>
      </c>
      <c r="AM103" s="361">
        <f t="array" aca="1" ref="AM103" ca="1">IF(ISERROR(PRODUCT(1+OFFSET(Data_85_15!AM$8,Compare_Portfolios!$P$91,0,Compare_Portfolios!$P$90,1)%)),"",(PRODUCT(1+OFFSET(Data_85_15!AM$8,Compare_Portfolios!$P$91,0,Compare_Portfolios!$P$90,1)%)))</f>
        <v>5.94660482166113</v>
      </c>
      <c r="AN103" s="361">
        <f t="array" aca="1" ref="AN103" ca="1">IF(ISERROR(PRODUCT(1+OFFSET(Data_85_15!AN$8,Compare_Portfolios!$P$91,0,Compare_Portfolios!$P$90,1)%)),"",(PRODUCT(1+OFFSET(Data_85_15!AN$8,Compare_Portfolios!$P$91,0,Compare_Portfolios!$P$90,1)%)))</f>
        <v>5.9038995583096101</v>
      </c>
      <c r="AO103" s="361">
        <f t="array" aca="1" ref="AO103" ca="1">IF(ISERROR(PRODUCT(1+OFFSET(Data_85_15!AO$8,Compare_Portfolios!$P$91,0,Compare_Portfolios!$P$90,1)%)),"",(PRODUCT(1+OFFSET(Data_85_15!AO$8,Compare_Portfolios!$P$91,0,Compare_Portfolios!$P$90,1)%)))</f>
        <v>3.0153251228170217</v>
      </c>
      <c r="AP103" s="361">
        <f t="array" aca="1" ref="AP103" ca="1">IF(ISERROR(PRODUCT(1+OFFSET(Data_85_15!AP$8,Compare_Portfolios!$P$91,0,Compare_Portfolios!$P$90,1)%)),"",(PRODUCT(1+OFFSET(Data_85_15!AP$8,Compare_Portfolios!$P$91,0,Compare_Portfolios!$P$90,1)%)))</f>
        <v>32.720259013681968</v>
      </c>
      <c r="AQ103" s="361" t="str">
        <f t="array" aca="1" ref="AQ103" ca="1">IF(ISERROR(PRODUCT(1+OFFSET(Data_85_15!AQ$8,Compare_Portfolios!$P$91,0,Compare_Portfolios!$P$90,1)%)),"",(PRODUCT(1+OFFSET(Data_85_15!AQ$8,Compare_Portfolios!$P$91,0,Compare_Portfolios!$P$90,1)%)))</f>
        <v/>
      </c>
      <c r="AR103" s="361" t="str">
        <f t="array" aca="1" ref="AR103" ca="1">IF(ISERROR(PRODUCT(1+OFFSET(Data_85_15!AR$8,Compare_Portfolios!$P$91,0,Compare_Portfolios!$P$90,1)%)),"",(PRODUCT(1+OFFSET(Data_85_15!AR$8,Compare_Portfolios!$P$91,0,Compare_Portfolios!$P$90,1)%)))</f>
        <v/>
      </c>
      <c r="AS103" s="361" t="str">
        <f t="array" aca="1" ref="AS103" ca="1">IF(ISERROR(PRODUCT(1+OFFSET(Data_85_15!AS$8,Compare_Portfolios!$P$91,0,Compare_Portfolios!$P$90,1)%)),"",(PRODUCT(1+OFFSET(Data_85_15!AS$8,Compare_Portfolios!$P$91,0,Compare_Portfolios!$P$90,1)%)))</f>
        <v/>
      </c>
      <c r="AT103" s="361" t="str">
        <f t="array" aca="1" ref="AT103" ca="1">IF(ISERROR(PRODUCT(1+OFFSET(Data_85_15!AT$8,Compare_Portfolios!$P$91,0,Compare_Portfolios!$P$90,1)%)),"",(PRODUCT(1+OFFSET(Data_85_15!AT$8,Compare_Portfolios!$P$91,0,Compare_Portfolios!$P$90,1)%)))</f>
        <v/>
      </c>
      <c r="AU103" s="361" t="str">
        <f t="array" aca="1" ref="AU103" ca="1">IF(ISERROR(PRODUCT(1+OFFSET(Data_85_15!AU$8,Compare_Portfolios!$P$91,0,Compare_Portfolios!$P$90,1)%)),"",(PRODUCT(1+OFFSET(Data_85_15!AU$8,Compare_Portfolios!$P$91,0,Compare_Portfolios!$P$90,1)%)))</f>
        <v/>
      </c>
      <c r="AV103" s="361" t="str">
        <f t="array" aca="1" ref="AV103" ca="1">IF(ISERROR(PRODUCT(1+OFFSET(Data_85_15!AV$8,Compare_Portfolios!$P$91,0,Compare_Portfolios!$P$90,1)%)),"",(PRODUCT(1+OFFSET(Data_85_15!AV$8,Compare_Portfolios!$P$91,0,Compare_Portfolios!$P$90,1)%)))</f>
        <v/>
      </c>
      <c r="AW103" s="361" t="str">
        <f t="array" aca="1" ref="AW103" ca="1">IF(ISERROR(PRODUCT(1+OFFSET(Data_85_15!AW$8,Compare_Portfolios!$P$91,0,Compare_Portfolios!$P$90,1)%)),"",(PRODUCT(1+OFFSET(Data_85_15!AW$8,Compare_Portfolios!$P$91,0,Compare_Portfolios!$P$90,1)%)))</f>
        <v/>
      </c>
      <c r="AX103" s="361" t="str">
        <f t="array" aca="1" ref="AX103" ca="1">IF(ISERROR(PRODUCT(1+OFFSET(Data_85_15!AX$8,Compare_Portfolios!$P$91,0,Compare_Portfolios!$P$90,1)%)),"",(PRODUCT(1+OFFSET(Data_85_15!AX$8,Compare_Portfolios!$P$91,0,Compare_Portfolios!$P$90,1)%)))</f>
        <v/>
      </c>
      <c r="AY103" s="511" t="str">
        <f t="array" aca="1" ref="AY103" ca="1">IF(ISERROR(PRODUCT(1+OFFSET(Data_85_15!AY$8,Compare_Portfolios!$P$91,0,Compare_Portfolios!$P$90,1)%)),"",(PRODUCT(1+OFFSET(Data_85_15!AY$8,Compare_Portfolios!$P$91,0,Compare_Portfolios!$P$90,1)%)))</f>
        <v/>
      </c>
      <c r="BA103"/>
      <c r="BB103"/>
      <c r="BC103"/>
      <c r="BD103"/>
      <c r="BE103"/>
      <c r="BG103"/>
    </row>
    <row r="104" spans="1:59" ht="13" thickBot="1">
      <c r="A104" s="518" t="s">
        <v>493</v>
      </c>
      <c r="B104" s="362">
        <f t="array" aca="1" ref="B104" ca="1">IF(ISERROR(PRODUCT(1+OFFSET(Data_85_15!B$8,Lazy_Portfolios_85!$E$7,0,Lazy_Portfolios_85!$E$8,1)%)),"",(PRODUCT(1+OFFSET(Data_85_15!B$8,Lazy_Portfolios_85!$E$7,0,Lazy_Portfolios_85!$E$8,1)%)))</f>
        <v>23.703799457344104</v>
      </c>
      <c r="C104" s="362">
        <f t="array" aca="1" ref="C104" ca="1">IF(ISERROR(PRODUCT(1+OFFSET(Data_85_15!C$8,Lazy_Portfolios_85!$E$7,0,Lazy_Portfolios_85!$E$8,1)%)),"",(PRODUCT(1+OFFSET(Data_85_15!C$8,Lazy_Portfolios_85!$E$7,0,Lazy_Portfolios_85!$E$8,1)%)))</f>
        <v>22.856642523361877</v>
      </c>
      <c r="D104" s="362">
        <f t="array" aca="1" ref="D104" ca="1">IF(ISERROR(PRODUCT(1+OFFSET(Data_85_15!D$8,Lazy_Portfolios_85!$E$7,0,Lazy_Portfolios_85!$E$8,1)%)),"",(PRODUCT(1+OFFSET(Data_85_15!D$8,Lazy_Portfolios_85!$E$7,0,Lazy_Portfolios_85!$E$8,1)%)))</f>
        <v>24.248237666408311</v>
      </c>
      <c r="E104" s="362">
        <f t="array" aca="1" ref="E104" ca="1">IF(ISERROR(PRODUCT(1+OFFSET(Data_85_15!E$8,Lazy_Portfolios_85!$E$7,0,Lazy_Portfolios_85!$E$8,1)%)),"",(PRODUCT(1+OFFSET(Data_85_15!E$8,Lazy_Portfolios_85!$E$7,0,Lazy_Portfolios_85!$E$8,1)%)))</f>
        <v>25.700659044691534</v>
      </c>
      <c r="F104" s="362">
        <f t="array" aca="1" ref="F104" ca="1">IF(ISERROR(PRODUCT(1+OFFSET(Data_85_15!F$8,Lazy_Portfolios_85!$E$7,0,Lazy_Portfolios_85!$E$8,1)%)),"",(PRODUCT(1+OFFSET(Data_85_15!F$8,Lazy_Portfolios_85!$E$7,0,Lazy_Portfolios_85!$E$8,1)%)))</f>
        <v>38.055021747377332</v>
      </c>
      <c r="G104" s="362">
        <f t="array" aca="1" ref="G104" ca="1">IF(ISERROR(PRODUCT(1+OFFSET(Data_85_15!G$8,Lazy_Portfolios_85!$E$7,0,Lazy_Portfolios_85!$E$8,1)%)),"",(PRODUCT(1+OFFSET(Data_85_15!G$8,Lazy_Portfolios_85!$E$7,0,Lazy_Portfolios_85!$E$8,1)%)))</f>
        <v>26.608127587150666</v>
      </c>
      <c r="H104" s="362">
        <f t="array" aca="1" ref="H104" ca="1">IF(ISERROR(PRODUCT(1+OFFSET(Data_85_15!H$8,Lazy_Portfolios_85!$E$7,0,Lazy_Portfolios_85!$E$8,1)%)),"",(PRODUCT(1+OFFSET(Data_85_15!H$8,Lazy_Portfolios_85!$E$7,0,Lazy_Portfolios_85!$E$8,1)%)))</f>
        <v>21.432776985031037</v>
      </c>
      <c r="I104" s="362">
        <f t="array" aca="1" ref="I104" ca="1">IF(ISERROR(PRODUCT(1+OFFSET(Data_85_15!I$8,Lazy_Portfolios_85!$E$7,0,Lazy_Portfolios_85!$E$8,1)%)),"",(PRODUCT(1+OFFSET(Data_85_15!I$8,Lazy_Portfolios_85!$E$7,0,Lazy_Portfolios_85!$E$8,1)%)))</f>
        <v>17.092465727406875</v>
      </c>
      <c r="J104" s="362">
        <f t="array" aca="1" ref="J104" ca="1">IF(ISERROR(PRODUCT(1+OFFSET(Data_85_15!J$8,Lazy_Portfolios_85!$E$7,0,Lazy_Portfolios_85!$E$8,1)%)),"",(PRODUCT(1+OFFSET(Data_85_15!J$8,Lazy_Portfolios_85!$E$7,0,Lazy_Portfolios_85!$E$8,1)%)))</f>
        <v>23.911724554837843</v>
      </c>
      <c r="K104" s="362">
        <f t="array" aca="1" ref="K104" ca="1">IF(ISERROR(PRODUCT(1+OFFSET(Data_85_15!K$8,Lazy_Portfolios_85!$E$7,0,Lazy_Portfolios_85!$E$8,1)%)),"",(PRODUCT(1+OFFSET(Data_85_15!K$8,Lazy_Portfolios_85!$E$7,0,Lazy_Portfolios_85!$E$8,1)%)))</f>
        <v>23.659745466538826</v>
      </c>
      <c r="L104" s="362">
        <f t="array" aca="1" ref="L104" ca="1">IF(ISERROR(PRODUCT(1+OFFSET(Data_85_15!L$8,Lazy_Portfolios_85!$E$7,0,Lazy_Portfolios_85!$E$8,1)%)),"",(PRODUCT(1+OFFSET(Data_85_15!L$8,Lazy_Portfolios_85!$E$7,0,Lazy_Portfolios_85!$E$8,1)%)))</f>
        <v>13.855272391431527</v>
      </c>
      <c r="M104" s="362">
        <f t="array" aca="1" ref="M104" ca="1">IF(ISERROR(PRODUCT(1+OFFSET(Data_85_15!M$8,Lazy_Portfolios_85!$E$7,0,Lazy_Portfolios_85!$E$8,1)%)),"",(PRODUCT(1+OFFSET(Data_85_15!M$8,Lazy_Portfolios_85!$E$7,0,Lazy_Portfolios_85!$E$8,1)%)))</f>
        <v>62.321965461826828</v>
      </c>
      <c r="N104" s="362">
        <f t="array" aca="1" ref="N104" ca="1">IF(ISERROR(PRODUCT(1+OFFSET(Data_85_15!N$8,Lazy_Portfolios_85!$E$7,0,Lazy_Portfolios_85!$E$8,1)%)),"",(PRODUCT(1+OFFSET(Data_85_15!N$8,Lazy_Portfolios_85!$E$7,0,Lazy_Portfolios_85!$E$8,1)%)))</f>
        <v>16.881220073117159</v>
      </c>
      <c r="O104" s="362">
        <f t="array" aca="1" ref="O104" ca="1">IF(ISERROR(PRODUCT(1+OFFSET(Data_85_15!O$8,Lazy_Portfolios_85!$E$7,0,Lazy_Portfolios_85!$E$8,1)%)),"",(PRODUCT(1+OFFSET(Data_85_15!O$8,Lazy_Portfolios_85!$E$7,0,Lazy_Portfolios_85!$E$8,1)%)))</f>
        <v>6.5226925008515613</v>
      </c>
      <c r="P104" s="362">
        <f t="array" aca="1" ref="P104" ca="1">IF(ISERROR(PRODUCT(1+OFFSET(Data_85_15!P$8,Lazy_Portfolios_85!$E$7,0,Lazy_Portfolios_85!$E$8,1)%)),"",(PRODUCT(1+OFFSET(Data_85_15!P$8,Lazy_Portfolios_85!$E$7,0,Lazy_Portfolios_85!$E$8,1)%)))</f>
        <v>23.737305588288443</v>
      </c>
      <c r="Q104" s="362">
        <f t="array" aca="1" ref="Q104" ca="1">IF(ISERROR(PRODUCT(1+OFFSET(Data_85_15!Q$8,Lazy_Portfolios_85!$E$7,0,Lazy_Portfolios_85!$E$8,1)%)),"",(PRODUCT(1+OFFSET(Data_85_15!Q$8,Lazy_Portfolios_85!$E$7,0,Lazy_Portfolios_85!$E$8,1)%)))</f>
        <v>20.487342556557167</v>
      </c>
      <c r="R104" s="362">
        <f t="array" aca="1" ref="R104" ca="1">IF(ISERROR(PRODUCT(1+OFFSET(Data_85_15!R$8,Lazy_Portfolios_85!$E$7,0,Lazy_Portfolios_85!$E$8,1)%)),"",(PRODUCT(1+OFFSET(Data_85_15!R$8,Lazy_Portfolios_85!$E$7,0,Lazy_Portfolios_85!$E$8,1)%)))</f>
        <v>6.7184311293619459</v>
      </c>
      <c r="S104" s="362">
        <f t="array" aca="1" ref="S104" ca="1">IF(ISERROR(PRODUCT(1+OFFSET(Data_85_15!S$8,Lazy_Portfolios_85!$E$7,0,Lazy_Portfolios_85!$E$8,1)%)),"",(PRODUCT(1+OFFSET(Data_85_15!S$8,Lazy_Portfolios_85!$E$7,0,Lazy_Portfolios_85!$E$8,1)%)))</f>
        <v>14.180814459629151</v>
      </c>
      <c r="T104" s="362">
        <f t="array" aca="1" ref="T104" ca="1">IF(ISERROR(PRODUCT(1+OFFSET(Data_85_15!T$8,Lazy_Portfolios_85!$E$7,0,Lazy_Portfolios_85!$E$8,1)%)),"",(PRODUCT(1+OFFSET(Data_85_15!T$8,Lazy_Portfolios_85!$E$7,0,Lazy_Portfolios_85!$E$8,1)%)))</f>
        <v>8.2772340941358618</v>
      </c>
      <c r="U104" s="362">
        <f t="array" aca="1" ref="U104" ca="1">IF(ISERROR(PRODUCT(1+OFFSET(Data_85_15!U$8,Lazy_Portfolios_85!$E$7,0,Lazy_Portfolios_85!$E$8,1)%)),"",(PRODUCT(1+OFFSET(Data_85_15!U$8,Lazy_Portfolios_85!$E$7,0,Lazy_Portfolios_85!$E$8,1)%)))</f>
        <v>7.5235292507465426</v>
      </c>
      <c r="V104" s="362">
        <f t="array" aca="1" ref="V104" ca="1">IF(ISERROR(PRODUCT(1+OFFSET(Data_85_15!V$8,Lazy_Portfolios_85!$E$7,0,Lazy_Portfolios_85!$E$8,1)%)),"",(PRODUCT(1+OFFSET(Data_85_15!V$8,Lazy_Portfolios_85!$E$7,0,Lazy_Portfolios_85!$E$8,1)%)))</f>
        <v>2.9843838444987565</v>
      </c>
      <c r="W104" s="362">
        <f t="array" aca="1" ref="W104" ca="1">IF(ISERROR(PRODUCT(1+OFFSET(Data_85_15!W$8,Lazy_Portfolios_85!$E$7,0,Lazy_Portfolios_85!$E$8,1)%)),"",(PRODUCT(1+OFFSET(Data_85_15!W$8,Lazy_Portfolios_85!$E$7,0,Lazy_Portfolios_85!$E$8,1)%)))</f>
        <v>7.9236920506286257</v>
      </c>
      <c r="X104" s="362">
        <f t="array" aca="1" ref="X104" ca="1">IF(ISERROR(PRODUCT(1+OFFSET(Data_85_15!X$8,Lazy_Portfolios_85!$E$7,0,Lazy_Portfolios_85!$E$8,1)%)),"",(PRODUCT(1+OFFSET(Data_85_15!X$8,Lazy_Portfolios_85!$E$7,0,Lazy_Portfolios_85!$E$8,1)%)))</f>
        <v>22.205539436954279</v>
      </c>
      <c r="Y104" s="362">
        <f t="array" aca="1" ref="Y104" ca="1">IF(ISERROR(PRODUCT(1+OFFSET(Data_85_15!Y$8,Lazy_Portfolios_85!$E$7,0,Lazy_Portfolios_85!$E$8,1)%)),"",(PRODUCT(1+OFFSET(Data_85_15!Y$8,Lazy_Portfolios_85!$E$7,0,Lazy_Portfolios_85!$E$8,1)%)))</f>
        <v>17.334487346841943</v>
      </c>
      <c r="Z104" s="362">
        <f t="array" aca="1" ref="Z104" ca="1">IF(ISERROR(PRODUCT(1+OFFSET(Data_85_15!Z$8,Lazy_Portfolios_85!$E$7,0,Lazy_Portfolios_85!$E$8,1)%)),"",(PRODUCT(1+OFFSET(Data_85_15!Z$8,Lazy_Portfolios_85!$E$7,0,Lazy_Portfolios_85!$E$8,1)%)))</f>
        <v>23.695880649239612</v>
      </c>
      <c r="AA104" s="362">
        <f t="array" aca="1" ref="AA104" ca="1">IF(ISERROR(PRODUCT(1+OFFSET(Data_85_15!AA$8,Lazy_Portfolios_85!$E$7,0,Lazy_Portfolios_85!$E$8,1)%)),"",(PRODUCT(1+OFFSET(Data_85_15!AA$8,Lazy_Portfolios_85!$E$7,0,Lazy_Portfolios_85!$E$8,1)%)))</f>
        <v>144.03649961023183</v>
      </c>
      <c r="AB104" s="362">
        <f t="array" aca="1" ref="AB104" ca="1">IF(ISERROR(PRODUCT(1+OFFSET(Data_85_15!AB$8,Lazy_Portfolios_85!$E$7,0,Lazy_Portfolios_85!$E$8,1)%)),"",(PRODUCT(1+OFFSET(Data_85_15!AB$8,Lazy_Portfolios_85!$E$7,0,Lazy_Portfolios_85!$E$8,1)%)))</f>
        <v>3.8019109591162561</v>
      </c>
      <c r="AC104" s="362">
        <f t="array" aca="1" ref="AC104" ca="1">IF(ISERROR(PRODUCT(1+OFFSET(Data_85_15!AC$8,Lazy_Portfolios_85!$E$7,0,Lazy_Portfolios_85!$E$8,1)%)),"",(PRODUCT(1+OFFSET(Data_85_15!AC$8,Lazy_Portfolios_85!$E$7,0,Lazy_Portfolios_85!$E$8,1)%)))</f>
        <v>21.875600781174516</v>
      </c>
      <c r="AD104" s="362">
        <f t="array" aca="1" ref="AD104" ca="1">IF(ISERROR(PRODUCT(1+OFFSET(Data_85_15!AD$8,Lazy_Portfolios_85!$E$7,0,Lazy_Portfolios_85!$E$8,1)%)),"",(PRODUCT(1+OFFSET(Data_85_15!AD$8,Lazy_Portfolios_85!$E$7,0,Lazy_Portfolios_85!$E$8,1)%)))</f>
        <v>21.408893550887576</v>
      </c>
      <c r="AE104" s="362">
        <f t="array" aca="1" ref="AE104" ca="1">IF(ISERROR(PRODUCT(1+OFFSET(Data_85_15!AE$8,Lazy_Portfolios_85!$E$7,0,Lazy_Portfolios_85!$E$8,1)%)),"",(PRODUCT(1+OFFSET(Data_85_15!AE$8,Lazy_Portfolios_85!$E$7,0,Lazy_Portfolios_85!$E$8,1)%)))</f>
        <v>2.9985421518687096</v>
      </c>
      <c r="AF104" s="362">
        <f t="array" aca="1" ref="AF104" ca="1">IF(ISERROR(PRODUCT(1+OFFSET(Data_85_15!AF$8,Lazy_Portfolios_85!$E$7,0,Lazy_Portfolios_85!$E$8,1)%)),"",(PRODUCT(1+OFFSET(Data_85_15!AF$8,Lazy_Portfolios_85!$E$7,0,Lazy_Portfolios_85!$E$8,1)%)))</f>
        <v>6.6561518387154921</v>
      </c>
      <c r="AG104" s="362">
        <f t="array" aca="1" ref="AG104" ca="1">IF(ISERROR(PRODUCT(1+OFFSET(Data_85_15!AG$8,Lazy_Portfolios_85!$E$7,0,Lazy_Portfolios_85!$E$8,1)%)),"",(PRODUCT(1+OFFSET(Data_85_15!AG$8,Lazy_Portfolios_85!$E$7,0,Lazy_Portfolios_85!$E$8,1)%)))</f>
        <v>8.2003628465847775</v>
      </c>
      <c r="AH104" s="362">
        <f t="array" aca="1" ref="AH104" ca="1">IF(ISERROR(PRODUCT(1+OFFSET(Data_85_15!AH$8,Lazy_Portfolios_85!$E$7,0,Lazy_Portfolios_85!$E$8,1)%)),"",(PRODUCT(1+OFFSET(Data_85_15!AH$8,Lazy_Portfolios_85!$E$7,0,Lazy_Portfolios_85!$E$8,1)%)))</f>
        <v>9.0614132747995786</v>
      </c>
      <c r="AI104" s="362">
        <f t="array" aca="1" ref="AI104" ca="1">IF(ISERROR(PRODUCT(1+OFFSET(Data_85_15!AI$8,Lazy_Portfolios_85!$E$7,0,Lazy_Portfolios_85!$E$8,1)%)),"",(PRODUCT(1+OFFSET(Data_85_15!AI$8,Lazy_Portfolios_85!$E$7,0,Lazy_Portfolios_85!$E$8,1)%)))</f>
        <v>4.8671212224601552</v>
      </c>
      <c r="AJ104" s="362">
        <f t="array" aca="1" ref="AJ104" ca="1">IF(ISERROR(PRODUCT(1+OFFSET(Data_85_15!AJ$8,Lazy_Portfolios_85!$E$7,0,Lazy_Portfolios_85!$E$8,1)%)),"",(PRODUCT(1+OFFSET(Data_85_15!AJ$8,Lazy_Portfolios_85!$E$7,0,Lazy_Portfolios_85!$E$8,1)%)))</f>
        <v>24.247613785721196</v>
      </c>
      <c r="AK104" s="362">
        <f t="array" aca="1" ref="AK104" ca="1">IF(ISERROR(PRODUCT(1+OFFSET(Data_85_15!AK$8,Lazy_Portfolios_85!$E$7,0,Lazy_Portfolios_85!$E$8,1)%)),"",(PRODUCT(1+OFFSET(Data_85_15!AK$8,Lazy_Portfolios_85!$E$7,0,Lazy_Portfolios_85!$E$8,1)%)))</f>
        <v>41.300136792843631</v>
      </c>
      <c r="AL104" s="362">
        <f t="array" aca="1" ref="AL104" ca="1">IF(ISERROR(PRODUCT(1+OFFSET(Data_85_15!AL$8,Lazy_Portfolios_85!$E$7,0,Lazy_Portfolios_85!$E$8,1)%)),"",(PRODUCT(1+OFFSET(Data_85_15!AL$8,Lazy_Portfolios_85!$E$7,0,Lazy_Portfolios_85!$E$8,1)%)))</f>
        <v>23.48450994651207</v>
      </c>
      <c r="AM104" s="362">
        <f t="array" aca="1" ref="AM104" ca="1">IF(ISERROR(PRODUCT(1+OFFSET(Data_85_15!AM$8,Lazy_Portfolios_85!$E$7,0,Lazy_Portfolios_85!$E$8,1)%)),"",(PRODUCT(1+OFFSET(Data_85_15!AM$8,Lazy_Portfolios_85!$E$7,0,Lazy_Portfolios_85!$E$8,1)%)))</f>
        <v>5.94660482166113</v>
      </c>
      <c r="AN104" s="362">
        <f t="array" aca="1" ref="AN104" ca="1">IF(ISERROR(PRODUCT(1+OFFSET(Data_85_15!AN$8,Lazy_Portfolios_85!$E$7,0,Lazy_Portfolios_85!$E$8,1)%)),"",(PRODUCT(1+OFFSET(Data_85_15!AN$8,Lazy_Portfolios_85!$E$7,0,Lazy_Portfolios_85!$E$8,1)%)))</f>
        <v>5.9038995583096101</v>
      </c>
      <c r="AO104" s="362">
        <f t="array" aca="1" ref="AO104" ca="1">IF(ISERROR(PRODUCT(1+OFFSET(Data_85_15!AO$8,Lazy_Portfolios_85!$E$7,0,Lazy_Portfolios_85!$E$8,1)%)),"",(PRODUCT(1+OFFSET(Data_85_15!AO$8,Lazy_Portfolios_85!$E$7,0,Lazy_Portfolios_85!$E$8,1)%)))</f>
        <v>3.0153251228170217</v>
      </c>
      <c r="AP104" s="362">
        <f t="array" aca="1" ref="AP104" ca="1">IF(ISERROR(PRODUCT(1+OFFSET(Data_85_15!AP$8,Lazy_Portfolios_85!$E$7,0,Lazy_Portfolios_85!$E$8,1)%)),"",(PRODUCT(1+OFFSET(Data_85_15!AP$8,Lazy_Portfolios_85!$E$7,0,Lazy_Portfolios_85!$E$8,1)%)))</f>
        <v>32.720259013681968</v>
      </c>
      <c r="AQ104" s="362" t="str">
        <f t="array" aca="1" ref="AQ104" ca="1">IF(ISERROR(PRODUCT(1+OFFSET(Data_85_15!AQ$8,Lazy_Portfolios_85!$E$7,0,Lazy_Portfolios_85!$E$8,1)%)),"",(PRODUCT(1+OFFSET(Data_85_15!AQ$8,Lazy_Portfolios_85!$E$7,0,Lazy_Portfolios_85!$E$8,1)%)))</f>
        <v/>
      </c>
      <c r="AR104" s="362" t="str">
        <f t="array" aca="1" ref="AR104" ca="1">IF(ISERROR(PRODUCT(1+OFFSET(Data_85_15!AR$8,Lazy_Portfolios_85!$E$7,0,Lazy_Portfolios_85!$E$8,1)%)),"",(PRODUCT(1+OFFSET(Data_85_15!AR$8,Lazy_Portfolios_85!$E$7,0,Lazy_Portfolios_85!$E$8,1)%)))</f>
        <v/>
      </c>
      <c r="AS104" s="362" t="str">
        <f t="array" aca="1" ref="AS104" ca="1">IF(ISERROR(PRODUCT(1+OFFSET(Data_85_15!AS$8,Lazy_Portfolios_85!$E$7,0,Lazy_Portfolios_85!$E$8,1)%)),"",(PRODUCT(1+OFFSET(Data_85_15!AS$8,Lazy_Portfolios_85!$E$7,0,Lazy_Portfolios_85!$E$8,1)%)))</f>
        <v/>
      </c>
      <c r="AT104" s="362" t="str">
        <f t="array" aca="1" ref="AT104" ca="1">IF(ISERROR(PRODUCT(1+OFFSET(Data_85_15!AT$8,Lazy_Portfolios_85!$E$7,0,Lazy_Portfolios_85!$E$8,1)%)),"",(PRODUCT(1+OFFSET(Data_85_15!AT$8,Lazy_Portfolios_85!$E$7,0,Lazy_Portfolios_85!$E$8,1)%)))</f>
        <v/>
      </c>
      <c r="AU104" s="362" t="str">
        <f t="array" aca="1" ref="AU104" ca="1">IF(ISERROR(PRODUCT(1+OFFSET(Data_85_15!AU$8,Lazy_Portfolios_85!$E$7,0,Lazy_Portfolios_85!$E$8,1)%)),"",(PRODUCT(1+OFFSET(Data_85_15!AU$8,Lazy_Portfolios_85!$E$7,0,Lazy_Portfolios_85!$E$8,1)%)))</f>
        <v/>
      </c>
      <c r="AV104" s="362" t="str">
        <f t="array" aca="1" ref="AV104" ca="1">IF(ISERROR(PRODUCT(1+OFFSET(Data_85_15!AV$8,Lazy_Portfolios_85!$E$7,0,Lazy_Portfolios_85!$E$8,1)%)),"",(PRODUCT(1+OFFSET(Data_85_15!AV$8,Lazy_Portfolios_85!$E$7,0,Lazy_Portfolios_85!$E$8,1)%)))</f>
        <v/>
      </c>
      <c r="AW104" s="362" t="str">
        <f t="array" aca="1" ref="AW104" ca="1">IF(ISERROR(PRODUCT(1+OFFSET(Data_85_15!AW$8,Lazy_Portfolios_85!$E$7,0,Lazy_Portfolios_85!$E$8,1)%)),"",(PRODUCT(1+OFFSET(Data_85_15!AW$8,Lazy_Portfolios_85!$E$7,0,Lazy_Portfolios_85!$E$8,1)%)))</f>
        <v/>
      </c>
      <c r="AX104" s="362" t="str">
        <f t="array" aca="1" ref="AX104" ca="1">IF(ISERROR(PRODUCT(1+OFFSET(Data_85_15!AX$8,Lazy_Portfolios_85!$E$7,0,Lazy_Portfolios_85!$E$8,1)%)),"",(PRODUCT(1+OFFSET(Data_85_15!AX$8,Lazy_Portfolios_85!$E$7,0,Lazy_Portfolios_85!$E$8,1)%)))</f>
        <v/>
      </c>
      <c r="AY104" s="512" t="str">
        <f t="array" aca="1" ref="AY104" ca="1">IF(ISERROR(PRODUCT(1+OFFSET(Data_85_15!AY$8,Lazy_Portfolios_85!$E$7,0,Lazy_Portfolios_85!$E$8,1)%)),"",(PRODUCT(1+OFFSET(Data_85_15!AY$8,Lazy_Portfolios_85!$E$7,0,Lazy_Portfolios_85!$E$8,1)%)))</f>
        <v/>
      </c>
      <c r="BA104"/>
      <c r="BB104"/>
      <c r="BC104"/>
      <c r="BD104"/>
      <c r="BE104"/>
      <c r="BG104"/>
    </row>
    <row r="105" spans="1:59" ht="13" thickTop="1"/>
    <row r="106" spans="1:59" ht="13" thickBot="1"/>
    <row r="107" spans="1:59" ht="13" thickBot="1">
      <c r="A107" s="645" t="s">
        <v>414</v>
      </c>
      <c r="B107" s="645"/>
      <c r="C107" s="645"/>
    </row>
    <row r="108" spans="1:59" ht="13" thickBot="1">
      <c r="J108" s="253"/>
      <c r="K108" s="253"/>
      <c r="L108" s="253"/>
      <c r="O108"/>
      <c r="P108"/>
      <c r="Q108"/>
      <c r="R108" s="128"/>
      <c r="S108"/>
      <c r="T108"/>
      <c r="U108"/>
      <c r="V108"/>
      <c r="W108"/>
      <c r="X108"/>
      <c r="Y108"/>
      <c r="Z108"/>
      <c r="AA108"/>
      <c r="AB108"/>
      <c r="AC108"/>
      <c r="AD108"/>
      <c r="AE108"/>
      <c r="AF108"/>
      <c r="AG108"/>
      <c r="AH108"/>
      <c r="AI108"/>
      <c r="AJ108"/>
      <c r="AK108"/>
    </row>
    <row r="109" spans="1:59" ht="60">
      <c r="A109" s="190" t="s">
        <v>369</v>
      </c>
      <c r="B109" s="191" t="s">
        <v>371</v>
      </c>
      <c r="C109" s="191" t="s">
        <v>415</v>
      </c>
      <c r="D109" s="191" t="s">
        <v>375</v>
      </c>
      <c r="E109" s="191" t="s">
        <v>376</v>
      </c>
      <c r="F109" s="191" t="s">
        <v>114</v>
      </c>
      <c r="G109" s="191" t="s">
        <v>418</v>
      </c>
      <c r="H109" s="191" t="s">
        <v>383</v>
      </c>
      <c r="I109" s="286" t="s">
        <v>388</v>
      </c>
      <c r="J109" s="238" t="s">
        <v>175</v>
      </c>
      <c r="K109" s="287" t="s">
        <v>434</v>
      </c>
      <c r="L109" s="288" t="s">
        <v>175</v>
      </c>
      <c r="O109" s="376"/>
      <c r="P109" s="377"/>
      <c r="Q109" s="460" t="s">
        <v>667</v>
      </c>
      <c r="R109" s="460" t="s">
        <v>549</v>
      </c>
      <c r="S109" s="460" t="s">
        <v>669</v>
      </c>
      <c r="T109" s="460" t="s">
        <v>770</v>
      </c>
      <c r="U109" s="460" t="s">
        <v>670</v>
      </c>
      <c r="V109" s="460" t="s">
        <v>671</v>
      </c>
      <c r="W109" s="462" t="s">
        <v>672</v>
      </c>
      <c r="X109" s="462" t="s">
        <v>673</v>
      </c>
      <c r="Y109" s="460" t="s">
        <v>771</v>
      </c>
      <c r="Z109" s="460" t="s">
        <v>675</v>
      </c>
      <c r="AA109" s="459" t="s">
        <v>394</v>
      </c>
      <c r="AB109" s="459" t="s">
        <v>395</v>
      </c>
      <c r="AC109" s="459" t="s">
        <v>396</v>
      </c>
      <c r="AD109" s="459" t="s">
        <v>397</v>
      </c>
      <c r="AE109" s="459" t="s">
        <v>399</v>
      </c>
      <c r="AF109" s="459" t="s">
        <v>400</v>
      </c>
      <c r="AG109" s="459" t="s">
        <v>401</v>
      </c>
      <c r="AH109" s="458" t="s">
        <v>402</v>
      </c>
      <c r="AI109" s="47"/>
      <c r="AJ109" s="47"/>
      <c r="AK109" s="47"/>
    </row>
    <row r="110" spans="1:59">
      <c r="B110" s="165" t="s">
        <v>99</v>
      </c>
      <c r="C110" s="165" t="s">
        <v>101</v>
      </c>
      <c r="D110" s="165" t="s">
        <v>107</v>
      </c>
      <c r="E110" s="165" t="s">
        <v>109</v>
      </c>
      <c r="F110" s="165" t="s">
        <v>115</v>
      </c>
      <c r="G110" s="165" t="s">
        <v>120</v>
      </c>
      <c r="H110" s="165" t="s">
        <v>134</v>
      </c>
      <c r="I110" s="289" t="s">
        <v>407</v>
      </c>
      <c r="J110" s="197" t="s">
        <v>407</v>
      </c>
      <c r="K110" s="197" t="s">
        <v>435</v>
      </c>
      <c r="L110" s="198" t="s">
        <v>435</v>
      </c>
      <c r="O110" s="378"/>
      <c r="P110" s="346" t="s">
        <v>550</v>
      </c>
      <c r="Q110" s="379">
        <f>$A43</f>
        <v>0</v>
      </c>
      <c r="R110" s="47"/>
      <c r="S110" s="379">
        <f t="shared" ref="S110:Z110" si="48">$A43</f>
        <v>0</v>
      </c>
      <c r="T110" s="379">
        <f t="shared" si="48"/>
        <v>0</v>
      </c>
      <c r="U110" s="379">
        <f t="shared" si="48"/>
        <v>0</v>
      </c>
      <c r="V110" s="379">
        <f t="shared" si="48"/>
        <v>0</v>
      </c>
      <c r="W110" s="379">
        <f t="shared" si="48"/>
        <v>0</v>
      </c>
      <c r="X110" s="379">
        <f t="shared" si="48"/>
        <v>0</v>
      </c>
      <c r="Y110" s="379">
        <f t="shared" si="48"/>
        <v>0</v>
      </c>
      <c r="Z110" s="379">
        <f t="shared" si="48"/>
        <v>0</v>
      </c>
      <c r="AA110" s="383" t="b">
        <f>BO2</f>
        <v>1</v>
      </c>
      <c r="AB110" s="47" t="b">
        <f>BP2</f>
        <v>1</v>
      </c>
      <c r="AC110" s="47" t="b">
        <f>BQ2</f>
        <v>1</v>
      </c>
      <c r="AD110" s="47" t="b">
        <f>BR2</f>
        <v>1</v>
      </c>
      <c r="AE110" s="47" t="b">
        <f>BV2</f>
        <v>1</v>
      </c>
      <c r="AF110" s="47" t="b">
        <f>BW2</f>
        <v>1</v>
      </c>
      <c r="AG110" s="47" t="b">
        <f>BX2</f>
        <v>1</v>
      </c>
      <c r="AH110" s="389" t="b">
        <f>BY2</f>
        <v>1</v>
      </c>
      <c r="AI110" s="379"/>
      <c r="AJ110" s="379"/>
      <c r="AK110" s="379"/>
    </row>
    <row r="111" spans="1:59">
      <c r="A111" s="247" t="s">
        <v>404</v>
      </c>
      <c r="B111" s="200">
        <v>0.1</v>
      </c>
      <c r="C111" s="200">
        <v>0.1</v>
      </c>
      <c r="D111" s="200">
        <v>0.1</v>
      </c>
      <c r="E111" s="200">
        <v>0.1</v>
      </c>
      <c r="F111" s="200">
        <v>0.1</v>
      </c>
      <c r="G111" s="200">
        <v>0.1</v>
      </c>
      <c r="H111" s="200">
        <v>0.4</v>
      </c>
      <c r="I111" s="290" t="str">
        <f>IF((OR(SUM(B111:H111)&lt;1,SUM(B111:H111)&gt;1)),"ERROR","")</f>
        <v/>
      </c>
      <c r="J111" s="202" t="s">
        <v>309</v>
      </c>
      <c r="K111" s="201"/>
      <c r="L111" s="291"/>
      <c r="O111" s="378"/>
      <c r="P111" s="346" t="s">
        <v>551</v>
      </c>
      <c r="Q111" s="381" t="s">
        <v>552</v>
      </c>
      <c r="R111" s="47"/>
      <c r="S111" s="381" t="s">
        <v>559</v>
      </c>
      <c r="T111" s="381" t="s">
        <v>772</v>
      </c>
      <c r="U111" s="381" t="s">
        <v>907</v>
      </c>
      <c r="V111" s="382" t="s">
        <v>561</v>
      </c>
      <c r="W111" s="382" t="s">
        <v>568</v>
      </c>
      <c r="X111" s="382" t="s">
        <v>908</v>
      </c>
      <c r="Y111" s="382" t="s">
        <v>773</v>
      </c>
      <c r="Z111" s="382" t="s">
        <v>909</v>
      </c>
      <c r="AA111" s="383" t="s">
        <v>569</v>
      </c>
      <c r="AB111" s="383" t="s">
        <v>570</v>
      </c>
      <c r="AC111" s="383" t="s">
        <v>571</v>
      </c>
      <c r="AD111" s="383" t="s">
        <v>572</v>
      </c>
      <c r="AE111" s="383" t="s">
        <v>573</v>
      </c>
      <c r="AF111" s="383" t="s">
        <v>574</v>
      </c>
      <c r="AG111" s="383" t="s">
        <v>575</v>
      </c>
      <c r="AH111" s="390" t="s">
        <v>576</v>
      </c>
      <c r="AI111" s="382"/>
      <c r="AJ111" s="382"/>
      <c r="AK111" s="382"/>
    </row>
    <row r="112" spans="1:59">
      <c r="A112" s="247"/>
      <c r="B112" s="265"/>
      <c r="C112" s="265"/>
      <c r="D112" s="265"/>
      <c r="E112" s="265"/>
      <c r="F112" s="265"/>
      <c r="G112" s="265"/>
      <c r="H112" s="265"/>
      <c r="I112" s="290"/>
      <c r="J112" s="202"/>
      <c r="K112" s="201"/>
      <c r="L112" s="291"/>
      <c r="O112" s="384"/>
      <c r="P112" s="385" t="s">
        <v>567</v>
      </c>
      <c r="Q112" s="386">
        <f ca="1">OFFSET(INDIRECT(Q111),Q110,0)</f>
        <v>1985</v>
      </c>
      <c r="R112" s="444"/>
      <c r="S112" s="444">
        <f t="shared" ref="S112:Z112" ca="1" si="49">OFFSET(INDIRECT(S111),S110,0)</f>
        <v>11909.420792584828</v>
      </c>
      <c r="T112" s="444">
        <f t="shared" ca="1" si="49"/>
        <v>12707.604584313494</v>
      </c>
      <c r="U112" s="444">
        <f t="shared" ca="1" si="49"/>
        <v>11909.420792584828</v>
      </c>
      <c r="V112" s="444">
        <f t="shared" ca="1" si="49"/>
        <v>11473.577396698833</v>
      </c>
      <c r="W112" s="391">
        <f t="shared" ca="1" si="49"/>
        <v>0</v>
      </c>
      <c r="X112" s="391">
        <f t="shared" ca="1" si="49"/>
        <v>0</v>
      </c>
      <c r="Y112" s="444">
        <f t="shared" ca="1" si="49"/>
        <v>12242.550436671649</v>
      </c>
      <c r="Z112" s="444">
        <f t="shared" ca="1" si="49"/>
        <v>11473.577396698833</v>
      </c>
      <c r="AA112" s="387"/>
      <c r="AB112" s="387"/>
      <c r="AC112" s="387"/>
      <c r="AD112" s="387"/>
      <c r="AE112" s="387"/>
      <c r="AF112" s="387"/>
      <c r="AG112" s="387"/>
      <c r="AH112" s="392"/>
      <c r="AI112" s="393"/>
      <c r="AJ112" s="393"/>
      <c r="AK112" s="393"/>
    </row>
    <row r="113" spans="1:37">
      <c r="A113" s="164"/>
      <c r="B113" s="206"/>
      <c r="C113" s="206"/>
      <c r="D113" s="206" t="s">
        <v>309</v>
      </c>
      <c r="E113" s="206"/>
      <c r="F113" s="206"/>
      <c r="G113" s="206"/>
      <c r="H113" s="206"/>
      <c r="I113" s="269"/>
      <c r="J113" s="487">
        <f>Portfolio!$K$88</f>
        <v>10000</v>
      </c>
      <c r="K113" s="206"/>
      <c r="L113" s="490">
        <f>Portfolio!$K$88</f>
        <v>10000</v>
      </c>
      <c r="O113"/>
      <c r="P113">
        <v>0</v>
      </c>
      <c r="Q113">
        <f ca="1">IF(OFFSET(INDIRECT(S$111),$P113,0)="",Q112,OFFSET(INDIRECT(Q$111),$P113,0))</f>
        <v>1985</v>
      </c>
      <c r="R113" s="443">
        <f>BA7</f>
        <v>11909.420792584828</v>
      </c>
      <c r="S113" s="443">
        <f t="shared" ref="S113:Z115" ca="1" si="50">IF(OFFSET(INDIRECT(S$111),$P113,0)="",S112,OFFSET(INDIRECT(S$111),$P113,0))</f>
        <v>11909.420792584828</v>
      </c>
      <c r="T113" s="443">
        <f t="shared" ca="1" si="50"/>
        <v>12707.604584313494</v>
      </c>
      <c r="U113" s="443">
        <f t="shared" ca="1" si="50"/>
        <v>11909.420792584828</v>
      </c>
      <c r="V113" s="443">
        <f t="shared" ca="1" si="50"/>
        <v>11473.577396698833</v>
      </c>
      <c r="W113" s="61">
        <f t="shared" ca="1" si="50"/>
        <v>0</v>
      </c>
      <c r="X113" s="61">
        <f t="shared" ca="1" si="50"/>
        <v>0</v>
      </c>
      <c r="Y113" s="443">
        <f t="shared" ca="1" si="50"/>
        <v>12242.550436671649</v>
      </c>
      <c r="Z113" s="443">
        <f t="shared" ca="1" si="50"/>
        <v>11473.577396698833</v>
      </c>
      <c r="AA113" s="388">
        <f t="shared" ref="AA113:AH128" ca="1" si="51">IF(AA$110,IF(OFFSET(INDIRECT(AA$111),$P113,0)="","",OFFSET(INDIRECT(AA$111),$P113,0)),"")</f>
        <v>0.15491594279020648</v>
      </c>
      <c r="AB113" s="388">
        <f t="shared" ca="1" si="51"/>
        <v>0.1317115494124439</v>
      </c>
      <c r="AC113" s="388">
        <f t="shared" ca="1" si="51"/>
        <v>9.9323962448060188E-2</v>
      </c>
      <c r="AD113" s="388">
        <f t="shared" ca="1" si="51"/>
        <v>9.0702168635621527E-2</v>
      </c>
      <c r="AE113" s="388">
        <f t="shared" ca="1" si="51"/>
        <v>0.12018881159023853</v>
      </c>
      <c r="AF113" s="388">
        <f t="shared" ca="1" si="51"/>
        <v>9.1637396329739662E-2</v>
      </c>
      <c r="AG113" s="388">
        <f t="shared" ca="1" si="51"/>
        <v>6.1320008098500578E-2</v>
      </c>
      <c r="AH113" s="388">
        <f t="shared" ca="1" si="51"/>
        <v>5.7131775125569995E-2</v>
      </c>
      <c r="AI113" s="143"/>
      <c r="AJ113" s="143"/>
      <c r="AK113" s="143"/>
    </row>
    <row r="114" spans="1:37">
      <c r="A114" s="204">
        <v>1985</v>
      </c>
      <c r="B114" s="206">
        <f>IF(AND($A114&gt;=SYear85,$A114&lt;=EYear85),IF(B$111&gt;0,B$111*Data_85_15!$C8,""),"")</f>
        <v>3.1198244038710965</v>
      </c>
      <c r="C114" s="206">
        <f>IF(AND($A114&gt;=SYear85,$A114&lt;=EYear85),IF(C$111&gt;0,C$111*Data_85_15!$D8,""),"")</f>
        <v>3.1230000000000002</v>
      </c>
      <c r="D114" s="206">
        <f>IF(AND($A114&gt;=SYear85,$A114&lt;=EYear85),IF(D$111&gt;0,D$111*Data_85_15!$G8,""),"")</f>
        <v>3.0699391399780507</v>
      </c>
      <c r="E114" s="206">
        <f>IF(AND($A114&gt;=SYear85,$A114&lt;=EYear85),IF(E$111&gt;0,E$111*Data_85_15!$H8,""),"")</f>
        <v>3.0799161927566598</v>
      </c>
      <c r="F114" s="206">
        <f>IF(AND($A114&gt;=SYear85,$A114&lt;=EYear85),IF(F$111&gt;0,F$111*Data_85_15!$K8,""),"")</f>
        <v>1.8791143028126873</v>
      </c>
      <c r="G114" s="206">
        <f>IF(AND($A114&gt;=SYear85,$A114&lt;=EYear85),IF(G$111&gt;0,G$111*Data_85_15!$N8,""),"")</f>
        <v>5.698463380562762</v>
      </c>
      <c r="H114" s="206">
        <f>IF(AND($A114&gt;=SYear85,$A114&lt;=EYear85),IF(H$111&gt;0,H$111*Data_85_15!$U8,""),"")</f>
        <v>7.1057884231536939</v>
      </c>
      <c r="I114" s="269">
        <f>IF(AND($A114&gt;=SYear85,$A114&lt;=EYear85),SUM(B114:H114),"")</f>
        <v>27.076045843134953</v>
      </c>
      <c r="J114" s="446">
        <f>IF(AND($A114&gt;=SYear85,$A114&lt;=EYear85),IF($A114=SYear85,$J$113*(1+I114%),$J113*(1+I114%)),"")</f>
        <v>12707.604584313494</v>
      </c>
      <c r="K114" s="206">
        <f>IF(AND($A114&gt;=SYear85,$A114&lt;=EYear85),(I114-Data_85_15!$AZ8)/(1+Data_85_15!$AZ8%),"")</f>
        <v>22.425504366716478</v>
      </c>
      <c r="L114" s="491">
        <f>IF(AND($A114&gt;=SYear85,$A114&lt;=EYear85),IF($A114=SYear85,$L$113*(1+K114%),$L113*(1+K114%)),"")</f>
        <v>12242.550436671649</v>
      </c>
      <c r="O114"/>
      <c r="P114">
        <f>P113+1</f>
        <v>1</v>
      </c>
      <c r="Q114">
        <f ca="1">IF(OFFSET(INDIRECT(S$111),$P114,0)="",Q113,OFFSET(INDIRECT(Q$111),$P114,0))</f>
        <v>1986</v>
      </c>
      <c r="R114" s="443">
        <f>BA8</f>
        <v>14439.001457695165</v>
      </c>
      <c r="S114" s="443">
        <f t="shared" ca="1" si="50"/>
        <v>14439.001457695165</v>
      </c>
      <c r="T114" s="443">
        <f t="shared" ca="1" si="50"/>
        <v>15112.301820898241</v>
      </c>
      <c r="U114" s="443">
        <f t="shared" ca="1" si="50"/>
        <v>14436.909301518905</v>
      </c>
      <c r="V114" s="443">
        <f t="shared" ca="1" si="50"/>
        <v>13759.519036156571</v>
      </c>
      <c r="W114" s="61">
        <f t="shared" ca="1" si="50"/>
        <v>0</v>
      </c>
      <c r="X114" s="61">
        <f t="shared" ca="1" si="50"/>
        <v>0</v>
      </c>
      <c r="Y114" s="443">
        <f t="shared" ca="1" si="50"/>
        <v>14401.134676385385</v>
      </c>
      <c r="Z114" s="443">
        <f t="shared" ca="1" si="50"/>
        <v>13757.525334388603</v>
      </c>
      <c r="AA114" s="388">
        <f t="shared" ca="1" si="51"/>
        <v>0.11765889804607021</v>
      </c>
      <c r="AB114" s="388">
        <f t="shared" ca="1" si="51"/>
        <v>9.1859878867671663E-2</v>
      </c>
      <c r="AC114" s="388">
        <f t="shared" ca="1" si="51"/>
        <v>9.6758684495235281E-2</v>
      </c>
      <c r="AD114" s="388">
        <f t="shared" ca="1" si="51"/>
        <v>8.4378973132825275E-2</v>
      </c>
      <c r="AE114" s="388">
        <f t="shared" ca="1" si="51"/>
        <v>8.1899661814606617E-2</v>
      </c>
      <c r="AF114" s="388">
        <f t="shared" ca="1" si="51"/>
        <v>4.8575527404071339E-2</v>
      </c>
      <c r="AG114" s="388">
        <f t="shared" ca="1" si="51"/>
        <v>6.0137654299511789E-2</v>
      </c>
      <c r="AH114" s="388">
        <f t="shared" ca="1" si="51"/>
        <v>5.1281806635156135E-2</v>
      </c>
      <c r="AI114" s="143"/>
      <c r="AJ114" s="143"/>
      <c r="AK114" s="143"/>
    </row>
    <row r="115" spans="1:37">
      <c r="A115" s="204">
        <f>A114+1</f>
        <v>1986</v>
      </c>
      <c r="B115" s="206">
        <f>IF(AND($A115&gt;=SYear85,$A115&lt;=EYear85),IF(B$111&gt;0,B$111*Data_85_15!$C9,""),"")</f>
        <v>1.9724633343310387</v>
      </c>
      <c r="C115" s="206">
        <f>IF(AND($A115&gt;=SYear85,$A115&lt;=EYear85),IF(C$111&gt;0,C$111*Data_85_15!$D9,""),"")</f>
        <v>1.806</v>
      </c>
      <c r="D115" s="206">
        <f>IF(AND($A115&gt;=SYear85,$A115&lt;=EYear85),IF(D$111&gt;0,D$111*Data_85_15!$G9,""),"")</f>
        <v>0.71535468422627968</v>
      </c>
      <c r="E115" s="206">
        <f>IF(AND($A115&gt;=SYear85,$A115&lt;=EYear85),IF(E$111&gt;0,E$111*Data_85_15!$H9,""),"")</f>
        <v>0.54574478698992324</v>
      </c>
      <c r="F115" s="206">
        <f>IF(AND($A115&gt;=SYear85,$A115&lt;=EYear85),IF(F$111&gt;0,F$111*Data_85_15!$K9,""),"")</f>
        <v>1.8890883702373829</v>
      </c>
      <c r="G115" s="206">
        <f>IF(AND($A115&gt;=SYear85,$A115&lt;=EYear85),IF(G$111&gt;0,G$111*Data_85_15!$N9,""),"")</f>
        <v>6.8449411295150684</v>
      </c>
      <c r="H115" s="206">
        <f>IF(AND($A115&gt;=SYear85,$A115&lt;=EYear85),IF(H$111&gt;0,H$111*Data_85_15!$U9,""),"")</f>
        <v>5.1497005988023954</v>
      </c>
      <c r="I115" s="269">
        <f>IF(AND($A115&gt;=SYear85,$A115&lt;=EYear85),SUM(B115:H115),"")</f>
        <v>18.923292904102091</v>
      </c>
      <c r="J115" s="446">
        <f>IF(AND($A115&gt;=SYear85,$A115&lt;=EYear85),IF($A115=SYear85,$J$113*(1+I115%),$J114*(1+I115%)),"")</f>
        <v>15112.301820898241</v>
      </c>
      <c r="K115" s="206">
        <f>IF(AND($A115&gt;=SYear85,$A115&lt;=EYear85),(I115-Data_85_15!$AZ9)/(1+Data_85_15!$AZ9%),"")</f>
        <v>17.631818230030401</v>
      </c>
      <c r="L115" s="491">
        <f>IF(AND($A115&gt;=SYear85,$A115&lt;=EYear85),IF($A115=SYear85,$L$113*(1+K115%),$L114*(1+K115%)),"")</f>
        <v>14401.134676385385</v>
      </c>
      <c r="O115"/>
      <c r="P115">
        <f t="shared" ref="P115:P145" si="52">P114+1</f>
        <v>2</v>
      </c>
      <c r="Q115">
        <f ca="1">IF(OFFSET(INDIRECT(S$111),$P115,0)="",Q114,OFFSET(INDIRECT(Q$111),$P115,0))</f>
        <v>1987</v>
      </c>
      <c r="R115" s="443">
        <f>BA9</f>
        <v>15404.62496223876</v>
      </c>
      <c r="S115" s="443">
        <f t="shared" ca="1" si="50"/>
        <v>15404.62496223876</v>
      </c>
      <c r="T115" s="443">
        <f t="shared" ca="1" si="50"/>
        <v>15340.51322755486</v>
      </c>
      <c r="U115" s="443">
        <f t="shared" ca="1" si="50"/>
        <v>15270.654444335072</v>
      </c>
      <c r="V115" s="443">
        <f t="shared" ca="1" si="50"/>
        <v>14056.386555665007</v>
      </c>
      <c r="W115" s="61">
        <f t="shared" ca="1" si="50"/>
        <v>0</v>
      </c>
      <c r="X115" s="61">
        <f t="shared" ca="1" si="50"/>
        <v>0</v>
      </c>
      <c r="Y115" s="443">
        <f t="shared" ca="1" si="50"/>
        <v>13997.885986668345</v>
      </c>
      <c r="Z115" s="443">
        <f t="shared" ca="1" si="50"/>
        <v>13934.141360385467</v>
      </c>
      <c r="AA115" s="388">
        <f t="shared" ca="1" si="51"/>
        <v>8.7377961299538898E-2</v>
      </c>
      <c r="AB115" s="388">
        <f t="shared" ca="1" si="51"/>
        <v>8.2181994716716833E-2</v>
      </c>
      <c r="AC115" s="388">
        <f t="shared" ca="1" si="51"/>
        <v>8.0169121750604644E-2</v>
      </c>
      <c r="AD115" s="388">
        <f t="shared" ca="1" si="51"/>
        <v>7.259375509014343E-2</v>
      </c>
      <c r="AE115" s="388">
        <f t="shared" ca="1" si="51"/>
        <v>4.0549928549570069E-2</v>
      </c>
      <c r="AF115" s="388">
        <f t="shared" ca="1" si="51"/>
        <v>3.5284963269974323E-2</v>
      </c>
      <c r="AG115" s="388">
        <f t="shared" ca="1" si="51"/>
        <v>4.1831939928171247E-2</v>
      </c>
      <c r="AH115" s="388">
        <f t="shared" ca="1" si="51"/>
        <v>3.9545842744995285E-2</v>
      </c>
      <c r="AI115" s="143"/>
      <c r="AJ115" s="143"/>
      <c r="AK115" s="143"/>
    </row>
    <row r="116" spans="1:37">
      <c r="A116" s="204">
        <f t="shared" ref="A116:A145" si="53">A115+1</f>
        <v>1987</v>
      </c>
      <c r="B116" s="206">
        <f>IF(AND($A116&gt;=SYear85,$A116&lt;=EYear85),IF(B$111&gt;0,B$111*Data_85_15!$C10,""),"")</f>
        <v>2.6938042502244842E-2</v>
      </c>
      <c r="C116" s="206">
        <f>IF(AND($A116&gt;=SYear85,$A116&lt;=EYear85),IF(C$111&gt;0,C$111*Data_85_15!$D10,""),"")</f>
        <v>0.47100000000000003</v>
      </c>
      <c r="D116" s="206">
        <f>IF(AND($A116&gt;=SYear85,$A116&lt;=EYear85),IF(D$111&gt;0,D$111*Data_85_15!$G10,""),"")</f>
        <v>-0.73131796867205434</v>
      </c>
      <c r="E116" s="206">
        <f>IF(AND($A116&gt;=SYear85,$A116&lt;=EYear85),IF(E$111&gt;0,E$111*Data_85_15!$H10,""),"")</f>
        <v>-0.9009278659084109</v>
      </c>
      <c r="F116" s="206">
        <f>IF(AND($A116&gt;=SYear85,$A116&lt;=EYear85),IF(F$111&gt;0,F$111*Data_85_15!$K10,""),"")</f>
        <v>-0.38499900259325759</v>
      </c>
      <c r="G116" s="206">
        <f>IF(AND($A116&gt;=SYear85,$A116&lt;=EYear85),IF(G$111&gt;0,G$111*Data_85_15!$N10,""),"")</f>
        <v>2.6541608461384953</v>
      </c>
      <c r="H116" s="206">
        <f>IF(AND($A116&gt;=SYear85,$A116&lt;=EYear85),IF(H$111&gt;0,H$111*Data_85_15!$U10,""),"")</f>
        <v>0.37524950099800397</v>
      </c>
      <c r="I116" s="269">
        <f t="shared" ref="I116:I145" si="54">IF(AND($A116&gt;=SYear85,$A116&lt;=EYear85),SUM(B116:H116),"")</f>
        <v>1.5101035524650215</v>
      </c>
      <c r="J116" s="446">
        <f t="shared" ref="J116:J145" si="55">IF(AND($A116&gt;=SYear85,$A116&lt;=EYear85),IF($A116=SYear85,$J$113*(1+I116%),$J115*(1+I116%)),"")</f>
        <v>15340.51322755486</v>
      </c>
      <c r="K116" s="206">
        <f>IF(AND($A116&gt;=SYear85,$A116&lt;=EYear85),(I116-Data_85_15!$AZ10)/(1+Data_85_15!$AZ10%),"")</f>
        <v>-2.8001174822583694</v>
      </c>
      <c r="L116" s="491">
        <f t="shared" ref="L116:L145" si="56">IF(AND($A116&gt;=SYear85,$A116&lt;=EYear85),IF($A116=SYear85,$L$113*(1+K116%),$L115*(1+K116%)),"")</f>
        <v>13997.885986668345</v>
      </c>
      <c r="O116"/>
      <c r="P116">
        <f t="shared" si="52"/>
        <v>3</v>
      </c>
      <c r="Q116">
        <f t="shared" ref="Q116:Q145" ca="1" si="57">IF(OFFSET(INDIRECT(S$111),$P116,0)="",Q115,OFFSET(INDIRECT(Q$111),$P116,0))</f>
        <v>1988</v>
      </c>
      <c r="R116" s="443">
        <f t="shared" ref="R116:R145" si="58">BA10</f>
        <v>16627.17548610381</v>
      </c>
      <c r="S116" s="443">
        <f t="shared" ref="S116:Z116" ca="1" si="59">IF(OFFSET(INDIRECT(S$111),$P116,0)="",S115,OFFSET(INDIRECT(S$111),$P116,0))</f>
        <v>16627.17548610381</v>
      </c>
      <c r="T116" s="443">
        <f t="shared" ca="1" si="59"/>
        <v>17881.561764937989</v>
      </c>
      <c r="U116" s="443">
        <f t="shared" ca="1" si="59"/>
        <v>16454.090967998738</v>
      </c>
      <c r="V116" s="443">
        <f t="shared" ca="1" si="59"/>
        <v>14529.805632255036</v>
      </c>
      <c r="W116" s="61">
        <f t="shared" ca="1" si="59"/>
        <v>0</v>
      </c>
      <c r="X116" s="61">
        <f t="shared" ca="1" si="59"/>
        <v>0</v>
      </c>
      <c r="Y116" s="443">
        <f t="shared" ca="1" si="59"/>
        <v>15625.962272597271</v>
      </c>
      <c r="Z116" s="443">
        <f t="shared" ca="1" si="59"/>
        <v>14378.554181993919</v>
      </c>
      <c r="AA116" s="388">
        <f t="shared" ca="1" si="51"/>
        <v>6.2571141476447156E-2</v>
      </c>
      <c r="AB116" s="388">
        <f t="shared" ca="1" si="51"/>
        <v>8.1137709823968063E-2</v>
      </c>
      <c r="AC116" s="388">
        <f t="shared" ca="1" si="51"/>
        <v>8.0653267771984893E-2</v>
      </c>
      <c r="AD116" s="388">
        <f t="shared" ca="1" si="51"/>
        <v>7.5370593768201433E-2</v>
      </c>
      <c r="AE116" s="388">
        <f t="shared" ca="1" si="51"/>
        <v>1.1442616629449232E-2</v>
      </c>
      <c r="AF116" s="388">
        <f t="shared" ca="1" si="51"/>
        <v>3.7350924600429769E-2</v>
      </c>
      <c r="AG116" s="388">
        <f t="shared" ca="1" si="51"/>
        <v>4.506551029810435E-2</v>
      </c>
      <c r="AH116" s="388">
        <f t="shared" ca="1" si="51"/>
        <v>4.3620590839290152E-2</v>
      </c>
      <c r="AI116" s="143"/>
      <c r="AJ116" s="143"/>
      <c r="AK116" s="143"/>
    </row>
    <row r="117" spans="1:37">
      <c r="A117" s="204">
        <f t="shared" si="53"/>
        <v>1988</v>
      </c>
      <c r="B117" s="206">
        <f>IF(AND($A117&gt;=SYear85,$A117&lt;=EYear85),IF(B$111&gt;0,B$111*Data_85_15!$C11,""),"")</f>
        <v>2.2917290232465333</v>
      </c>
      <c r="C117" s="206">
        <f>IF(AND($A117&gt;=SYear85,$A117&lt;=EYear85),IF(C$111&gt;0,C$111*Data_85_15!$D11,""),"")</f>
        <v>1.6219999999999999</v>
      </c>
      <c r="D117" s="206">
        <f>IF(AND($A117&gt;=SYear85,$A117&lt;=EYear85),IF(D$111&gt;0,D$111*Data_85_15!$G11,""),"")</f>
        <v>2.9202833482989128</v>
      </c>
      <c r="E117" s="206">
        <f>IF(AND($A117&gt;=SYear85,$A117&lt;=EYear85),IF(E$111&gt;0,E$111*Data_85_15!$H11,""),"")</f>
        <v>2.4613389204828895</v>
      </c>
      <c r="F117" s="206">
        <f>IF(AND($A117&gt;=SYear85,$A117&lt;=EYear85),IF(F$111&gt;0,F$111*Data_85_15!$K11,""),"")</f>
        <v>1.3205665270297229</v>
      </c>
      <c r="G117" s="206">
        <f>IF(AND($A117&gt;=SYear85,$A117&lt;=EYear85),IF(G$111&gt;0,G$111*Data_85_15!$N11,""),"")</f>
        <v>3.0083815605667539</v>
      </c>
      <c r="H117" s="206">
        <f>IF(AND($A117&gt;=SYear85,$A117&lt;=EYear85),IF(H$111&gt;0,H$111*Data_85_15!$U11,""),"")</f>
        <v>2.94</v>
      </c>
      <c r="I117" s="269">
        <f t="shared" si="54"/>
        <v>16.564299379624813</v>
      </c>
      <c r="J117" s="446">
        <f t="shared" si="55"/>
        <v>17881.561764937989</v>
      </c>
      <c r="K117" s="206">
        <f>IF(AND($A117&gt;=SYear85,$A117&lt;=EYear85),(I117-Data_85_15!$AZ11)/(1+Data_85_15!$AZ11%),"")</f>
        <v>11.630872600902119</v>
      </c>
      <c r="L117" s="491">
        <f t="shared" si="56"/>
        <v>15625.962272597271</v>
      </c>
      <c r="O117"/>
      <c r="P117">
        <f t="shared" si="52"/>
        <v>4</v>
      </c>
      <c r="Q117">
        <f t="shared" ca="1" si="57"/>
        <v>1989</v>
      </c>
      <c r="R117" s="443">
        <f t="shared" si="58"/>
        <v>18564.306923607022</v>
      </c>
      <c r="S117" s="443">
        <f t="shared" ref="S117:Z117" ca="1" si="60">IF(OFFSET(INDIRECT(S$111),$P117,0)="",S116,OFFSET(INDIRECT(S$111),$P117,0))</f>
        <v>18564.306923607022</v>
      </c>
      <c r="T117" s="443">
        <f t="shared" ca="1" si="60"/>
        <v>20851.59814345311</v>
      </c>
      <c r="U117" s="443">
        <f t="shared" ca="1" si="60"/>
        <v>18575.84046086351</v>
      </c>
      <c r="V117" s="443">
        <f t="shared" ca="1" si="60"/>
        <v>15502.153204249169</v>
      </c>
      <c r="W117" s="61">
        <f t="shared" ca="1" si="60"/>
        <v>0</v>
      </c>
      <c r="X117" s="61">
        <f t="shared" ca="1" si="60"/>
        <v>0</v>
      </c>
      <c r="Y117" s="443">
        <f t="shared" ca="1" si="60"/>
        <v>17412.159274429927</v>
      </c>
      <c r="Z117" s="443">
        <f t="shared" ca="1" si="60"/>
        <v>15511.784302370559</v>
      </c>
      <c r="AA117" s="388">
        <f t="shared" ca="1" si="51"/>
        <v>8.8278542781608627E-2</v>
      </c>
      <c r="AB117" s="388">
        <f t="shared" ca="1" si="51"/>
        <v>9.6595866002933128E-2</v>
      </c>
      <c r="AC117" s="388">
        <f t="shared" ca="1" si="51"/>
        <v>7.8767546534376454E-2</v>
      </c>
      <c r="AD117" s="388">
        <f t="shared" ca="1" si="51"/>
        <v>8.0539511548948228E-2</v>
      </c>
      <c r="AE117" s="388">
        <f t="shared" ca="1" si="51"/>
        <v>4.0433498685139124E-2</v>
      </c>
      <c r="AF117" s="388">
        <f t="shared" ca="1" si="51"/>
        <v>5.5583295445368774E-2</v>
      </c>
      <c r="AG117" s="388">
        <f t="shared" ca="1" si="51"/>
        <v>4.6089112510183883E-2</v>
      </c>
      <c r="AH117" s="388">
        <f t="shared" ca="1" si="51"/>
        <v>5.0359818778945797E-2</v>
      </c>
      <c r="AI117" s="143"/>
      <c r="AJ117" s="143"/>
      <c r="AK117" s="143"/>
    </row>
    <row r="118" spans="1:37">
      <c r="A118" s="204">
        <f t="shared" si="53"/>
        <v>1989</v>
      </c>
      <c r="B118" s="206">
        <f>IF(AND($A118&gt;=SYear85,$A118&lt;=EYear85),IF(B$111&gt;0,B$111*Data_85_15!$C12,""),"")</f>
        <v>2.491270078818717</v>
      </c>
      <c r="C118" s="206">
        <f>IF(AND($A118&gt;=SYear85,$A118&lt;=EYear85),IF(C$111&gt;0,C$111*Data_85_15!$D12,""),"")</f>
        <v>3.1360000000000001</v>
      </c>
      <c r="D118" s="206">
        <f>IF(AND($A118&gt;=SYear85,$A118&lt;=EYear85),IF(D$111&gt;0,D$111*Data_85_15!$G12,""),"")</f>
        <v>1.2142073231567396</v>
      </c>
      <c r="E118" s="206">
        <f>IF(AND($A118&gt;=SYear85,$A118&lt;=EYear85),IF(E$111&gt;0,E$111*Data_85_15!$H12,""),"")</f>
        <v>1.5933353287438892</v>
      </c>
      <c r="F118" s="206">
        <f>IF(AND($A118&gt;=SYear85,$A118&lt;=EYear85),IF(F$111&gt;0,F$111*Data_85_15!$K12,""),"")</f>
        <v>0.85178535806902078</v>
      </c>
      <c r="G118" s="206">
        <f>IF(AND($A118&gt;=SYear85,$A118&lt;=EYear85),IF(G$111&gt;0,G$111*Data_85_15!$N12,""),"")</f>
        <v>1.866892835761325</v>
      </c>
      <c r="H118" s="206">
        <f>IF(AND($A118&gt;=SYear85,$A118&lt;=EYear85),IF(H$111&gt;0,H$111*Data_85_15!$U12,""),"")</f>
        <v>5.4560000000000004</v>
      </c>
      <c r="I118" s="269">
        <f t="shared" si="54"/>
        <v>16.609490924549693</v>
      </c>
      <c r="J118" s="446">
        <f t="shared" si="55"/>
        <v>20851.59814345311</v>
      </c>
      <c r="K118" s="206">
        <f>IF(AND($A118&gt;=SYear85,$A118&lt;=EYear85),(I118-Data_85_15!$AZ12)/(1+Data_85_15!$AZ12%),"")</f>
        <v>11.430956831151763</v>
      </c>
      <c r="L118" s="491">
        <f t="shared" si="56"/>
        <v>17412.159274429927</v>
      </c>
      <c r="O118"/>
      <c r="P118">
        <f t="shared" si="52"/>
        <v>5</v>
      </c>
      <c r="Q118">
        <f t="shared" ca="1" si="57"/>
        <v>1990</v>
      </c>
      <c r="R118" s="443">
        <f t="shared" si="58"/>
        <v>18480.987766090686</v>
      </c>
      <c r="S118" s="443">
        <f t="shared" ref="S118:Z118" ca="1" si="61">IF(OFFSET(INDIRECT(S$111),$P118,0)="",S117,OFFSET(INDIRECT(S$111),$P118,0))</f>
        <v>18480.987766090686</v>
      </c>
      <c r="T118" s="443">
        <f t="shared" ca="1" si="61"/>
        <v>19688.137665723887</v>
      </c>
      <c r="U118" s="443">
        <f t="shared" ca="1" si="61"/>
        <v>18395.284234572318</v>
      </c>
      <c r="V118" s="443">
        <f t="shared" ca="1" si="61"/>
        <v>14544.454497528772</v>
      </c>
      <c r="W118" s="61">
        <f t="shared" ca="1" si="61"/>
        <v>4.4881372549592236E-3</v>
      </c>
      <c r="X118" s="61">
        <f t="shared" ca="1" si="61"/>
        <v>9.7199492357611383E-3</v>
      </c>
      <c r="Y118" s="443">
        <f t="shared" ca="1" si="61"/>
        <v>15494.476055311858</v>
      </c>
      <c r="Z118" s="443">
        <f t="shared" ca="1" si="61"/>
        <v>14477.006202544577</v>
      </c>
      <c r="AA118" s="388">
        <f t="shared" ca="1" si="51"/>
        <v>7.0185730684646952E-2</v>
      </c>
      <c r="AB118" s="388">
        <f t="shared" ca="1" si="51"/>
        <v>6.7863251055389151E-2</v>
      </c>
      <c r="AC118" s="388">
        <f t="shared" ca="1" si="51"/>
        <v>7.0758155619457419E-2</v>
      </c>
      <c r="AD118" s="388">
        <f t="shared" ca="1" si="51"/>
        <v>7.9503694521900536E-2</v>
      </c>
      <c r="AE118" s="388">
        <f t="shared" ca="1" si="51"/>
        <v>2.8892622153217085E-2</v>
      </c>
      <c r="AF118" s="388">
        <f t="shared" ca="1" si="51"/>
        <v>3.1844606439225709E-2</v>
      </c>
      <c r="AG118" s="388">
        <f t="shared" ca="1" si="51"/>
        <v>4.0290153921745286E-2</v>
      </c>
      <c r="AH118" s="388">
        <f t="shared" ca="1" si="51"/>
        <v>5.02899735370399E-2</v>
      </c>
      <c r="AI118" s="143"/>
      <c r="AJ118" s="143"/>
      <c r="AK118" s="143"/>
    </row>
    <row r="119" spans="1:37">
      <c r="A119" s="204">
        <f t="shared" si="53"/>
        <v>1990</v>
      </c>
      <c r="B119" s="206">
        <f>IF(AND($A119&gt;=SYear85,$A119&lt;=EYear85),IF(B$111&gt;0,B$111*Data_85_15!$C13,""),"")</f>
        <v>-0.83108849645814642</v>
      </c>
      <c r="C119" s="206">
        <f>IF(AND($A119&gt;=SYear85,$A119&lt;=EYear85),IF(C$111&gt;0,C$111*Data_85_15!$D13,""),"")</f>
        <v>-0.33200000000000002</v>
      </c>
      <c r="D119" s="206">
        <f>IF(AND($A119&gt;=SYear85,$A119&lt;=EYear85),IF(D$111&gt;0,D$111*Data_85_15!$G13,""),"")</f>
        <v>-2.1979447271276067</v>
      </c>
      <c r="E119" s="206">
        <f>IF(AND($A119&gt;=SYear85,$A119&lt;=EYear85),IF(E$111&gt;0,E$111*Data_85_15!$H13,""),"")</f>
        <v>-1.968472513219595</v>
      </c>
      <c r="F119" s="206">
        <f>IF(AND($A119&gt;=SYear85,$A119&lt;=EYear85),IF(F$111&gt;0,F$111*Data_85_15!$K13,""),"")</f>
        <v>-1.5619389587073611</v>
      </c>
      <c r="G119" s="206">
        <f>IF(AND($A119&gt;=SYear85,$A119&lt;=EYear85),IF(G$111&gt;0,G$111*Data_85_15!$N13,""),"")</f>
        <v>-2.1482737976451807</v>
      </c>
      <c r="H119" s="206">
        <f>IF(AND($A119&gt;=SYear85,$A119&lt;=EYear85),IF(H$111&gt;0,H$111*Data_85_15!$U13,""),"")</f>
        <v>3.4600000000000004</v>
      </c>
      <c r="I119" s="269">
        <f t="shared" si="54"/>
        <v>-5.5797184931578894</v>
      </c>
      <c r="J119" s="446">
        <f t="shared" si="55"/>
        <v>19688.137665723887</v>
      </c>
      <c r="K119" s="206">
        <f>IF(AND($A119&gt;=SYear85,$A119&lt;=EYear85),(I119-Data_85_15!$AZ13)/(1+Data_85_15!$AZ13%),"")</f>
        <v>-11.013471614254204</v>
      </c>
      <c r="L119" s="491">
        <f t="shared" si="56"/>
        <v>15494.476055311858</v>
      </c>
      <c r="O119"/>
      <c r="P119">
        <f t="shared" si="52"/>
        <v>6</v>
      </c>
      <c r="Q119">
        <f t="shared" ca="1" si="57"/>
        <v>1991</v>
      </c>
      <c r="R119" s="443">
        <f t="shared" si="58"/>
        <v>21430.814624733597</v>
      </c>
      <c r="S119" s="443">
        <f t="shared" ref="S119:Z119" ca="1" si="62">IF(OFFSET(INDIRECT(S$111),$P119,0)="",S118,OFFSET(INDIRECT(S$111),$P119,0))</f>
        <v>21430.814624733597</v>
      </c>
      <c r="T119" s="443">
        <f t="shared" ca="1" si="62"/>
        <v>24755.257653928842</v>
      </c>
      <c r="U119" s="443">
        <f t="shared" ca="1" si="62"/>
        <v>21878.95147768698</v>
      </c>
      <c r="V119" s="443">
        <f t="shared" ca="1" si="62"/>
        <v>16364.501667762495</v>
      </c>
      <c r="W119" s="61">
        <f t="shared" ca="1" si="62"/>
        <v>0</v>
      </c>
      <c r="X119" s="61">
        <f t="shared" ca="1" si="62"/>
        <v>0</v>
      </c>
      <c r="Y119" s="443">
        <f t="shared" ca="1" si="62"/>
        <v>18903.035757496073</v>
      </c>
      <c r="Z119" s="443">
        <f t="shared" ca="1" si="62"/>
        <v>16706.697538799406</v>
      </c>
      <c r="AA119" s="388">
        <f t="shared" ca="1" si="51"/>
        <v>0.12575039367669705</v>
      </c>
      <c r="AB119" s="388">
        <f t="shared" ca="1" si="51"/>
        <v>0.10167946940515993</v>
      </c>
      <c r="AC119" s="388">
        <f t="shared" ca="1" si="51"/>
        <v>8.065776312666495E-2</v>
      </c>
      <c r="AD119" s="388">
        <f t="shared" ca="1" si="51"/>
        <v>8.690295405584747E-2</v>
      </c>
      <c r="AE119" s="388">
        <f t="shared" ca="1" si="51"/>
        <v>9.3977283626252683E-2</v>
      </c>
      <c r="AF119" s="388">
        <f t="shared" ca="1" si="51"/>
        <v>7.1827271084666799E-2</v>
      </c>
      <c r="AG119" s="388">
        <f t="shared" ca="1" si="51"/>
        <v>5.2637564373948287E-2</v>
      </c>
      <c r="AH119" s="388">
        <f t="shared" ca="1" si="51"/>
        <v>5.9301296274082427E-2</v>
      </c>
      <c r="AI119" s="143"/>
      <c r="AJ119" s="143"/>
      <c r="AK119" s="143"/>
    </row>
    <row r="120" spans="1:37">
      <c r="A120" s="204">
        <f t="shared" si="53"/>
        <v>1991</v>
      </c>
      <c r="B120" s="206">
        <f>IF(AND($A120&gt;=SYear85,$A120&lt;=EYear85),IF(B$111&gt;0,B$111*Data_85_15!$C14,""),"")</f>
        <v>2.431407762147062</v>
      </c>
      <c r="C120" s="206">
        <f>IF(AND($A120&gt;=SYear85,$A120&lt;=EYear85),IF(C$111&gt;0,C$111*Data_85_15!$D14,""),"")</f>
        <v>3.0220000000000002</v>
      </c>
      <c r="D120" s="206">
        <f>IF(AND($A120&gt;=SYear85,$A120&lt;=EYear85),IF(D$111&gt;0,D$111*Data_85_15!$G14,""),"")</f>
        <v>4.137483787289236</v>
      </c>
      <c r="E120" s="206">
        <f>IF(AND($A120&gt;=SYear85,$A120&lt;=EYear85),IF(E$111&gt;0,E$111*Data_85_15!$H14,""),"")</f>
        <v>4.5764741095480401</v>
      </c>
      <c r="F120" s="206">
        <f>IF(AND($A120&gt;=SYear85,$A120&lt;=EYear85),IF(F$111&gt;0,F$111*Data_85_15!$K14,""),"")</f>
        <v>3.5348094953121887</v>
      </c>
      <c r="G120" s="206">
        <f>IF(AND($A120&gt;=SYear85,$A120&lt;=EYear85),IF(G$111&gt;0,G$111*Data_85_15!$N14,""),"")</f>
        <v>1.9347435641588508</v>
      </c>
      <c r="H120" s="206">
        <f>IF(AND($A120&gt;=SYear85,$A120&lt;=EYear85),IF(H$111&gt;0,H$111*Data_85_15!$U14,""),"")</f>
        <v>6.1000000000000005</v>
      </c>
      <c r="I120" s="269">
        <f t="shared" si="54"/>
        <v>25.736918718455378</v>
      </c>
      <c r="J120" s="446">
        <f t="shared" si="55"/>
        <v>24755.257653928842</v>
      </c>
      <c r="K120" s="206">
        <f>IF(AND($A120&gt;=SYear85,$A120&lt;=EYear85),(I120-Data_85_15!$AZ14)/(1+Data_85_15!$AZ14%),"")</f>
        <v>21.998547676064746</v>
      </c>
      <c r="L120" s="491">
        <f t="shared" si="56"/>
        <v>18903.035757496073</v>
      </c>
      <c r="O120"/>
      <c r="P120">
        <f t="shared" si="52"/>
        <v>7</v>
      </c>
      <c r="Q120">
        <f t="shared" ca="1" si="57"/>
        <v>1992</v>
      </c>
      <c r="R120" s="443">
        <f t="shared" si="58"/>
        <v>22753.919015534851</v>
      </c>
      <c r="S120" s="443">
        <f t="shared" ref="S120:Z120" ca="1" si="63">IF(OFFSET(INDIRECT(S$111),$P120,0)="",S119,OFFSET(INDIRECT(S$111),$P120,0))</f>
        <v>22753.919015534851</v>
      </c>
      <c r="T120" s="443">
        <f t="shared" ca="1" si="63"/>
        <v>27281.109255965112</v>
      </c>
      <c r="U120" s="443">
        <f t="shared" ca="1" si="63"/>
        <v>23752.287793749285</v>
      </c>
      <c r="V120" s="443">
        <f t="shared" ca="1" si="63"/>
        <v>16885.043497785908</v>
      </c>
      <c r="W120" s="61">
        <f t="shared" ca="1" si="63"/>
        <v>0</v>
      </c>
      <c r="X120" s="61">
        <f t="shared" ca="1" si="63"/>
        <v>0</v>
      </c>
      <c r="Y120" s="443">
        <f t="shared" ca="1" si="63"/>
        <v>20244.544077893785</v>
      </c>
      <c r="Z120" s="443">
        <f t="shared" ca="1" si="63"/>
        <v>17625.904895572934</v>
      </c>
      <c r="AA120" s="388">
        <f t="shared" ca="1" si="51"/>
        <v>6.3504720806121462E-2</v>
      </c>
      <c r="AB120" s="388">
        <f t="shared" ca="1" si="51"/>
        <v>7.8159992755097552E-2</v>
      </c>
      <c r="AC120" s="388">
        <f t="shared" ca="1" si="51"/>
        <v>6.7831539759148018E-2</v>
      </c>
      <c r="AD120" s="388">
        <f t="shared" ca="1" si="51"/>
        <v>8.2746638139835405E-2</v>
      </c>
      <c r="AE120" s="388">
        <f t="shared" ca="1" si="51"/>
        <v>3.4793226611433248E-2</v>
      </c>
      <c r="AF120" s="388">
        <f t="shared" ca="1" si="51"/>
        <v>4.8420318620478131E-2</v>
      </c>
      <c r="AG120" s="388">
        <f t="shared" ca="1" si="51"/>
        <v>4.1682854100597799E-2</v>
      </c>
      <c r="AH120" s="388">
        <f t="shared" ca="1" si="51"/>
        <v>5.5608918793607298E-2</v>
      </c>
      <c r="AI120" s="143"/>
      <c r="AJ120" s="143"/>
      <c r="AK120" s="143"/>
    </row>
    <row r="121" spans="1:37">
      <c r="A121" s="204">
        <f t="shared" si="53"/>
        <v>1992</v>
      </c>
      <c r="B121" s="206">
        <f>IF(AND($A121&gt;=SYear85,$A121&lt;=EYear85),IF(B$111&gt;0,B$111*Data_85_15!$C15,""),"")</f>
        <v>1.3538860620572684</v>
      </c>
      <c r="C121" s="206">
        <f>IF(AND($A121&gt;=SYear85,$A121&lt;=EYear85),IF(C$111&gt;0,C$111*Data_85_15!$D15,""),"")</f>
        <v>0.74199999999999999</v>
      </c>
      <c r="D121" s="206">
        <f>IF(AND($A121&gt;=SYear85,$A121&lt;=EYear85),IF(D$111&gt;0,D$111*Data_85_15!$G15,""),"")</f>
        <v>2.8803751371844761</v>
      </c>
      <c r="E121" s="206">
        <f>IF(AND($A121&gt;=SYear85,$A121&lt;=EYear85),IF(E$111&gt;0,E$111*Data_85_15!$H15,""),"")</f>
        <v>1.7928763843160731</v>
      </c>
      <c r="F121" s="206">
        <f>IF(AND($A121&gt;=SYear85,$A121&lt;=EYear85),IF(F$111&gt;0,F$111*Data_85_15!$K15,""),"")</f>
        <v>1.4302812687013766</v>
      </c>
      <c r="G121" s="206">
        <f>IF(AND($A121&gt;=SYear85,$A121&lt;=EYear85),IF(G$111&gt;0,G$111*Data_85_15!$N15,""),"")</f>
        <v>-0.85212532428656973</v>
      </c>
      <c r="H121" s="206">
        <f>IF(AND($A121&gt;=SYear85,$A121&lt;=EYear85),IF(H$111&gt;0,H$111*Data_85_15!$U15,""),"")</f>
        <v>2.8559999999999999</v>
      </c>
      <c r="I121" s="269">
        <f t="shared" si="54"/>
        <v>10.203293527972622</v>
      </c>
      <c r="J121" s="446">
        <f t="shared" si="55"/>
        <v>27281.109255965112</v>
      </c>
      <c r="K121" s="206">
        <f>IF(AND($A121&gt;=SYear85,$A121&lt;=EYear85),(I121-Data_85_15!$AZ15)/(1+Data_85_15!$AZ15%),"")</f>
        <v>7.0967877202778382</v>
      </c>
      <c r="L121" s="491">
        <f t="shared" si="56"/>
        <v>20244.544077893785</v>
      </c>
      <c r="O121"/>
      <c r="P121">
        <f t="shared" si="52"/>
        <v>8</v>
      </c>
      <c r="Q121">
        <f t="shared" ca="1" si="57"/>
        <v>1993</v>
      </c>
      <c r="R121" s="443">
        <f t="shared" si="58"/>
        <v>26366.44041340434</v>
      </c>
      <c r="S121" s="443">
        <f t="shared" ref="S121:Z121" ca="1" si="64">IF(OFFSET(INDIRECT(S$111),$P121,0)="",S120,OFFSET(INDIRECT(S$111),$P121,0))</f>
        <v>26366.44041340434</v>
      </c>
      <c r="T121" s="443">
        <f t="shared" ca="1" si="64"/>
        <v>31841.784644594063</v>
      </c>
      <c r="U121" s="443">
        <f t="shared" ca="1" si="64"/>
        <v>27440.045120068429</v>
      </c>
      <c r="V121" s="443">
        <f t="shared" ca="1" si="64"/>
        <v>19042.429187458692</v>
      </c>
      <c r="W121" s="61">
        <f t="shared" ca="1" si="64"/>
        <v>0</v>
      </c>
      <c r="X121" s="61">
        <f t="shared" ca="1" si="64"/>
        <v>0</v>
      </c>
      <c r="Y121" s="443">
        <f t="shared" ca="1" si="64"/>
        <v>22996.844465540169</v>
      </c>
      <c r="Z121" s="443">
        <f t="shared" ca="1" si="64"/>
        <v>19817.81036449386</v>
      </c>
      <c r="AA121" s="388">
        <f t="shared" ca="1" si="51"/>
        <v>9.643212246065147E-2</v>
      </c>
      <c r="AB121" s="388">
        <f t="shared" ca="1" si="51"/>
        <v>8.0169042791425227E-2</v>
      </c>
      <c r="AC121" s="388">
        <f t="shared" ca="1" si="51"/>
        <v>7.2498582346301355E-2</v>
      </c>
      <c r="AD121" s="388">
        <f t="shared" ca="1" si="51"/>
        <v>8.8116475924302495E-2</v>
      </c>
      <c r="AE121" s="388">
        <f t="shared" ca="1" si="51"/>
        <v>6.8086491901370838E-2</v>
      </c>
      <c r="AF121" s="388">
        <f t="shared" ca="1" si="51"/>
        <v>5.2837467933351201E-2</v>
      </c>
      <c r="AG121" s="388">
        <f t="shared" ca="1" si="51"/>
        <v>4.6769619688017405E-2</v>
      </c>
      <c r="AH121" s="388">
        <f t="shared" ca="1" si="51"/>
        <v>6.0037664902096388E-2</v>
      </c>
      <c r="AI121" s="143"/>
      <c r="AJ121" s="143"/>
      <c r="AK121" s="143"/>
    </row>
    <row r="122" spans="1:37">
      <c r="A122" s="204">
        <f t="shared" si="53"/>
        <v>1993</v>
      </c>
      <c r="B122" s="206">
        <f>IF(AND($A122&gt;=SYear85,$A122&lt;=EYear85),IF(B$111&gt;0,B$111*Data_85_15!$C16,""),"")</f>
        <v>1.8078419634839873</v>
      </c>
      <c r="C122" s="206">
        <f>IF(AND($A122&gt;=SYear85,$A122&lt;=EYear85),IF(C$111&gt;0,C$111*Data_85_15!$D16,""),"")</f>
        <v>0.9890000000000001</v>
      </c>
      <c r="D122" s="206">
        <f>IF(AND($A122&gt;=SYear85,$A122&lt;=EYear85),IF(D$111&gt;0,D$111*Data_85_15!$G16,""),"")</f>
        <v>2.3515913399181883</v>
      </c>
      <c r="E122" s="206">
        <f>IF(AND($A122&gt;=SYear85,$A122&lt;=EYear85),IF(E$111&gt;0,E$111*Data_85_15!$H16,""),"")</f>
        <v>1.87</v>
      </c>
      <c r="F122" s="206">
        <f>IF(AND($A122&gt;=SYear85,$A122&lt;=EYear85),IF(F$111&gt;0,F$111*Data_85_15!$K16,""),"")</f>
        <v>1.9389587073608618</v>
      </c>
      <c r="G122" s="206">
        <f>IF(AND($A122&gt;=SYear85,$A122&lt;=EYear85),IF(G$111&gt;0,G$111*Data_85_15!$N16,""),"")</f>
        <v>3.8879465176611454</v>
      </c>
      <c r="H122" s="206">
        <f>IF(AND($A122&gt;=SYear85,$A122&lt;=EYear85),IF(H$111&gt;0,H$111*Data_85_15!$U16,""),"")</f>
        <v>3.8719999999999999</v>
      </c>
      <c r="I122" s="269">
        <f t="shared" si="54"/>
        <v>16.717338528424182</v>
      </c>
      <c r="J122" s="446">
        <f t="shared" si="55"/>
        <v>31841.784644594063</v>
      </c>
      <c r="K122" s="206">
        <f>IF(AND($A122&gt;=SYear85,$A122&lt;=EYear85),(I122-Data_85_15!$AZ16)/(1+Data_85_15!$AZ16%),"")</f>
        <v>13.595269802355213</v>
      </c>
      <c r="L122" s="491">
        <f t="shared" si="56"/>
        <v>22996.844465540169</v>
      </c>
      <c r="O122"/>
      <c r="P122">
        <f t="shared" si="52"/>
        <v>9</v>
      </c>
      <c r="Q122">
        <f t="shared" ca="1" si="57"/>
        <v>1994</v>
      </c>
      <c r="R122" s="443">
        <f t="shared" si="58"/>
        <v>25778.45861566926</v>
      </c>
      <c r="S122" s="443">
        <f t="shared" ref="S122:Z122" ca="1" si="65">IF(OFFSET(INDIRECT(S$111),$P122,0)="",S121,OFFSET(INDIRECT(S$111),$P122,0))</f>
        <v>25778.45861566926</v>
      </c>
      <c r="T122" s="443">
        <f t="shared" ca="1" si="65"/>
        <v>31716.459156406923</v>
      </c>
      <c r="U122" s="443">
        <f t="shared" ca="1" si="65"/>
        <v>26787.542263401334</v>
      </c>
      <c r="V122" s="443">
        <f t="shared" ca="1" si="65"/>
        <v>18132.743435069966</v>
      </c>
      <c r="W122" s="61">
        <f t="shared" ca="1" si="65"/>
        <v>2.230038596473416E-2</v>
      </c>
      <c r="X122" s="61">
        <f t="shared" ca="1" si="65"/>
        <v>2.3779219524310724E-2</v>
      </c>
      <c r="Y122" s="443">
        <f t="shared" ca="1" si="65"/>
        <v>22309.573474747172</v>
      </c>
      <c r="Z122" s="443">
        <f t="shared" ca="1" si="65"/>
        <v>18842.539748404542</v>
      </c>
      <c r="AA122" s="388">
        <f t="shared" ca="1" si="51"/>
        <v>5.795634270780825E-2</v>
      </c>
      <c r="AB122" s="388">
        <f t="shared" ca="1" si="51"/>
        <v>6.1229077670702514E-2</v>
      </c>
      <c r="AC122" s="388">
        <f t="shared" ca="1" si="51"/>
        <v>7.2599712071239164E-2</v>
      </c>
      <c r="AD122" s="388">
        <f t="shared" ca="1" si="51"/>
        <v>7.4328884142742968E-2</v>
      </c>
      <c r="AE122" s="388">
        <f t="shared" ca="1" si="51"/>
        <v>2.8693179302567762E-2</v>
      </c>
      <c r="AF122" s="388">
        <f t="shared" ca="1" si="51"/>
        <v>3.6680322655768371E-2</v>
      </c>
      <c r="AG122" s="388">
        <f t="shared" ca="1" si="51"/>
        <v>4.7757781451754244E-2</v>
      </c>
      <c r="AH122" s="388">
        <f t="shared" ca="1" si="51"/>
        <v>4.8435497231817504E-2</v>
      </c>
      <c r="AI122" s="143"/>
      <c r="AJ122" s="143"/>
      <c r="AK122" s="143"/>
    </row>
    <row r="123" spans="1:37">
      <c r="A123" s="204">
        <f t="shared" si="53"/>
        <v>1994</v>
      </c>
      <c r="B123" s="206">
        <f>IF(AND($A123&gt;=SYear85,$A123&lt;=EYear85),IF(B$111&gt;0,B$111*Data_85_15!$C17,""),"")</f>
        <v>-7.2999999999999995E-2</v>
      </c>
      <c r="C123" s="206">
        <f>IF(AND($A123&gt;=SYear85,$A123&lt;=EYear85),IF(C$111&gt;0,C$111*Data_85_15!$D17,""),"")</f>
        <v>0.11799999999999999</v>
      </c>
      <c r="D123" s="206">
        <f>IF(AND($A123&gt;=SYear85,$A123&lt;=EYear85),IF(D$111&gt;0,D$111*Data_85_15!$G17,""),"")</f>
        <v>-0.17260301306993917</v>
      </c>
      <c r="E123" s="206">
        <f>IF(AND($A123&gt;=SYear85,$A123&lt;=EYear85),IF(E$111&gt;0,E$111*Data_85_15!$H17,""),"")</f>
        <v>-5.1000000000000004E-2</v>
      </c>
      <c r="F123" s="206">
        <f>IF(AND($A123&gt;=SYear85,$A123&lt;=EYear85),IF(F$111&gt;0,F$111*Data_85_15!$K17,""),"")</f>
        <v>0.29323758228605634</v>
      </c>
      <c r="G123" s="206">
        <f>IF(AND($A123&gt;=SYear85,$A123&lt;=EYear85),IF(G$111&gt;0,G$111*Data_85_15!$N17,""),"")</f>
        <v>0.55577728996208353</v>
      </c>
      <c r="H123" s="206">
        <f>IF(AND($A123&gt;=SYear85,$A123&lt;=EYear85),IF(H$111&gt;0,H$111*Data_85_15!$U17,""),"")</f>
        <v>-1.0640000000000001</v>
      </c>
      <c r="I123" s="269">
        <f t="shared" si="54"/>
        <v>-0.39358814082179938</v>
      </c>
      <c r="J123" s="446">
        <f t="shared" si="55"/>
        <v>31716.459156406923</v>
      </c>
      <c r="K123" s="206">
        <f>IF(AND($A123&gt;=SYear85,$A123&lt;=EYear85),(I123-Data_85_15!$AZ17)/(1+Data_85_15!$AZ17%),"")</f>
        <v>-2.9885447624035795</v>
      </c>
      <c r="L123" s="491">
        <f t="shared" si="56"/>
        <v>22309.573474747172</v>
      </c>
      <c r="O123"/>
      <c r="P123">
        <f t="shared" si="52"/>
        <v>10</v>
      </c>
      <c r="Q123">
        <f t="shared" ca="1" si="57"/>
        <v>1995</v>
      </c>
      <c r="R123" s="443">
        <f t="shared" si="58"/>
        <v>29991.726023243929</v>
      </c>
      <c r="S123" s="443">
        <f t="shared" ref="S123:Z123" ca="1" si="66">IF(OFFSET(INDIRECT(S$111),$P123,0)="",S122,OFFSET(INDIRECT(S$111),$P123,0))</f>
        <v>29991.726023243929</v>
      </c>
      <c r="T123" s="443">
        <f t="shared" ca="1" si="66"/>
        <v>38886.439719260183</v>
      </c>
      <c r="U123" s="443">
        <f t="shared" ca="1" si="66"/>
        <v>32269.440300704726</v>
      </c>
      <c r="V123" s="443">
        <f t="shared" ca="1" si="66"/>
        <v>20574.128666108052</v>
      </c>
      <c r="W123" s="61">
        <f t="shared" ca="1" si="66"/>
        <v>0</v>
      </c>
      <c r="X123" s="61">
        <f t="shared" ca="1" si="66"/>
        <v>0</v>
      </c>
      <c r="Y123" s="443">
        <f t="shared" ca="1" si="66"/>
        <v>26675.844315557657</v>
      </c>
      <c r="Z123" s="443">
        <f t="shared" ca="1" si="66"/>
        <v>22136.625821916652</v>
      </c>
      <c r="AA123" s="388">
        <f t="shared" ca="1" si="51"/>
        <v>9.081884306811272E-2</v>
      </c>
      <c r="AB123" s="388">
        <f t="shared" ca="1" si="51"/>
        <v>7.3660908072688214E-2</v>
      </c>
      <c r="AC123" s="388">
        <f t="shared" ca="1" si="51"/>
        <v>8.5371413471358792E-2</v>
      </c>
      <c r="AD123" s="388">
        <f t="shared" ca="1" si="51"/>
        <v>8.6481796987761816E-2</v>
      </c>
      <c r="AE123" s="388">
        <f t="shared" ca="1" si="51"/>
        <v>6.4016695240073807E-2</v>
      </c>
      <c r="AF123" s="388">
        <f t="shared" ca="1" si="51"/>
        <v>4.880482738683467E-2</v>
      </c>
      <c r="AG123" s="388">
        <f t="shared" ca="1" si="51"/>
        <v>5.9635940414245692E-2</v>
      </c>
      <c r="AH123" s="388">
        <f t="shared" ca="1" si="51"/>
        <v>6.0263541856401925E-2</v>
      </c>
      <c r="AI123" s="143"/>
      <c r="AJ123" s="143"/>
      <c r="AK123" s="143"/>
    </row>
    <row r="124" spans="1:37">
      <c r="A124" s="204">
        <f t="shared" si="53"/>
        <v>1995</v>
      </c>
      <c r="B124" s="206">
        <f>IF(AND($A124&gt;=SYear85,$A124&lt;=EYear85),IF(B$111&gt;0,B$111*Data_85_15!$C18,""),"")</f>
        <v>3.694</v>
      </c>
      <c r="C124" s="206">
        <f>IF(AND($A124&gt;=SYear85,$A124&lt;=EYear85),IF(C$111&gt;0,C$111*Data_85_15!$D18,""),"")</f>
        <v>3.7450000000000006</v>
      </c>
      <c r="D124" s="206">
        <f>IF(AND($A124&gt;=SYear85,$A124&lt;=EYear85),IF(D$111&gt;0,D$111*Data_85_15!$G18,""),"")</f>
        <v>2.5511323954903724</v>
      </c>
      <c r="E124" s="206">
        <f>IF(AND($A124&gt;=SYear85,$A124&lt;=EYear85),IF(E$111&gt;0,E$111*Data_85_15!$H18,""),"")</f>
        <v>2.8740000000000001</v>
      </c>
      <c r="F124" s="206">
        <f>IF(AND($A124&gt;=SYear85,$A124&lt;=EYear85),IF(F$111&gt;0,F$111*Data_85_15!$K18,""),"")</f>
        <v>1.5000997406742471</v>
      </c>
      <c r="G124" s="206">
        <f>IF(AND($A124&gt;=SYear85,$A124&lt;=EYear85),IF(G$111&gt;0,G$111*Data_85_15!$N18,""),"")</f>
        <v>0.97026541608461381</v>
      </c>
      <c r="H124" s="206">
        <f>IF(AND($A124&gt;=SYear85,$A124&lt;=EYear85),IF(H$111&gt;0,H$111*Data_85_15!$U18,""),"")</f>
        <v>7.2720000000000002</v>
      </c>
      <c r="I124" s="269">
        <f t="shared" si="54"/>
        <v>22.606497552249234</v>
      </c>
      <c r="J124" s="446">
        <f t="shared" si="55"/>
        <v>38886.439719260183</v>
      </c>
      <c r="K124" s="206">
        <f>IF(AND($A124&gt;=SYear85,$A124&lt;=EYear85),(I124-Data_85_15!$AZ18)/(1+Data_85_15!$AZ18%),"")</f>
        <v>19.571287840858037</v>
      </c>
      <c r="L124" s="491">
        <f t="shared" si="56"/>
        <v>26675.844315557657</v>
      </c>
      <c r="O124"/>
      <c r="P124">
        <f t="shared" si="52"/>
        <v>11</v>
      </c>
      <c r="Q124">
        <f t="shared" ca="1" si="57"/>
        <v>1996</v>
      </c>
      <c r="R124" s="443">
        <f t="shared" si="58"/>
        <v>31221.570273046331</v>
      </c>
      <c r="S124" s="443">
        <f t="shared" ref="S124:Z124" ca="1" si="67">IF(OFFSET(INDIRECT(S$111),$P124,0)="",S123,OFFSET(INDIRECT(S$111),$P124,0))</f>
        <v>31221.570273046331</v>
      </c>
      <c r="T124" s="443">
        <f t="shared" ca="1" si="67"/>
        <v>44362.754097531295</v>
      </c>
      <c r="U124" s="443">
        <f t="shared" ca="1" si="67"/>
        <v>34644.357737043036</v>
      </c>
      <c r="V124" s="443">
        <f t="shared" ca="1" si="67"/>
        <v>20729.075345219288</v>
      </c>
      <c r="W124" s="61">
        <f t="shared" ca="1" si="67"/>
        <v>0</v>
      </c>
      <c r="X124" s="61">
        <f t="shared" ca="1" si="67"/>
        <v>0</v>
      </c>
      <c r="Y124" s="443">
        <f t="shared" ca="1" si="67"/>
        <v>29453.959687705228</v>
      </c>
      <c r="Z124" s="443">
        <f t="shared" ca="1" si="67"/>
        <v>23001.581776233477</v>
      </c>
      <c r="AA124" s="388">
        <f t="shared" ca="1" si="51"/>
        <v>5.770668498041065E-2</v>
      </c>
      <c r="AB124" s="388">
        <f t="shared" ca="1" si="51"/>
        <v>6.0037182717473714E-2</v>
      </c>
      <c r="AC124" s="388">
        <f t="shared" ca="1" si="51"/>
        <v>7.9589185825867936E-2</v>
      </c>
      <c r="AD124" s="388">
        <f t="shared" ca="1" si="51"/>
        <v>8.7171862548695467E-2</v>
      </c>
      <c r="AE124" s="388">
        <f t="shared" ca="1" si="51"/>
        <v>3.4844409802428755E-2</v>
      </c>
      <c r="AF124" s="388">
        <f t="shared" ca="1" si="51"/>
        <v>3.3791425002462239E-2</v>
      </c>
      <c r="AG124" s="388">
        <f t="shared" ca="1" si="51"/>
        <v>5.3093310849996911E-2</v>
      </c>
      <c r="AH124" s="388">
        <f t="shared" ca="1" si="51"/>
        <v>6.166010962489743E-2</v>
      </c>
      <c r="AI124" s="143"/>
      <c r="AJ124" s="143"/>
      <c r="AK124" s="143"/>
    </row>
    <row r="125" spans="1:37">
      <c r="A125" s="204">
        <f t="shared" si="53"/>
        <v>1996</v>
      </c>
      <c r="B125" s="206">
        <f>IF(AND($A125&gt;=SYear85,$A125&lt;=EYear85),IF(B$111&gt;0,B$111*Data_85_15!$C19,""),"")</f>
        <v>2.1859999999999999</v>
      </c>
      <c r="C125" s="206">
        <f>IF(AND($A125&gt;=SYear85,$A125&lt;=EYear85),IF(C$111&gt;0,C$111*Data_85_15!$D19,""),"")</f>
        <v>2.2879999999999998</v>
      </c>
      <c r="D125" s="206">
        <f>IF(AND($A125&gt;=SYear85,$A125&lt;=EYear85),IF(D$111&gt;0,D$111*Data_85_15!$G19,""),"")</f>
        <v>2.1121420732315674</v>
      </c>
      <c r="E125" s="206">
        <f>IF(AND($A125&gt;=SYear85,$A125&lt;=EYear85),IF(E$111&gt;0,E$111*Data_85_15!$H19,""),"")</f>
        <v>1.8120000000000003</v>
      </c>
      <c r="F125" s="206">
        <f>IF(AND($A125&gt;=SYear85,$A125&lt;=EYear85),IF(F$111&gt;0,F$111*Data_85_15!$K19,""),"")</f>
        <v>3.4949132256134052</v>
      </c>
      <c r="G125" s="206">
        <f>IF(AND($A125&gt;=SYear85,$A125&lt;=EYear85),IF(G$111&gt;0,G$111*Data_85_15!$N19,""),"")</f>
        <v>0.75778287766912811</v>
      </c>
      <c r="H125" s="206">
        <f>IF(AND($A125&gt;=SYear85,$A125&lt;=EYear85),IF(H$111&gt;0,H$111*Data_85_15!$U19,""),"")</f>
        <v>1.4320000000000002</v>
      </c>
      <c r="I125" s="269">
        <f t="shared" si="54"/>
        <v>14.082838176514102</v>
      </c>
      <c r="J125" s="446">
        <f t="shared" si="55"/>
        <v>44362.754097531295</v>
      </c>
      <c r="K125" s="206">
        <f>IF(AND($A125&gt;=SYear85,$A125&lt;=EYear85),(I125-Data_85_15!$AZ19)/(1+Data_85_15!$AZ19%),"")</f>
        <v>10.414348424305885</v>
      </c>
      <c r="L125" s="491">
        <f t="shared" si="56"/>
        <v>29453.959687705228</v>
      </c>
      <c r="O125"/>
      <c r="P125">
        <f t="shared" si="52"/>
        <v>12</v>
      </c>
      <c r="Q125">
        <f t="shared" ca="1" si="57"/>
        <v>1997</v>
      </c>
      <c r="R125" s="443">
        <f t="shared" si="58"/>
        <v>33459.145087087425</v>
      </c>
      <c r="S125" s="443">
        <f t="shared" ref="S125:Z125" ca="1" si="68">IF(OFFSET(INDIRECT(S$111),$P125,0)="",S124,OFFSET(INDIRECT(S$111),$P125,0))</f>
        <v>33459.145087087425</v>
      </c>
      <c r="T125" s="443">
        <f t="shared" ca="1" si="68"/>
        <v>52094.371524699403</v>
      </c>
      <c r="U125" s="443">
        <f t="shared" ca="1" si="68"/>
        <v>40216.934633313038</v>
      </c>
      <c r="V125" s="443">
        <f t="shared" ca="1" si="68"/>
        <v>21842.826891942383</v>
      </c>
      <c r="W125" s="61">
        <f t="shared" ca="1" si="68"/>
        <v>0</v>
      </c>
      <c r="X125" s="61">
        <f t="shared" ca="1" si="68"/>
        <v>0</v>
      </c>
      <c r="Y125" s="443">
        <f t="shared" ca="1" si="68"/>
        <v>34008.290896161503</v>
      </c>
      <c r="Z125" s="443">
        <f t="shared" ca="1" si="68"/>
        <v>26254.452677544075</v>
      </c>
      <c r="AA125" s="388">
        <f t="shared" ca="1" si="51"/>
        <v>5.6118465208503832E-2</v>
      </c>
      <c r="AB125" s="388">
        <f t="shared" ca="1" si="51"/>
        <v>5.7602030279936489E-2</v>
      </c>
      <c r="AC125" s="388">
        <f t="shared" ca="1" si="51"/>
        <v>8.5047272742247104E-2</v>
      </c>
      <c r="AD125" s="388">
        <f t="shared" ca="1" si="51"/>
        <v>9.2807162904199547E-2</v>
      </c>
      <c r="AE125" s="388">
        <f t="shared" ca="1" si="51"/>
        <v>3.5425822304402166E-2</v>
      </c>
      <c r="AF125" s="388">
        <f t="shared" ca="1" si="51"/>
        <v>3.4988686555557091E-2</v>
      </c>
      <c r="AG125" s="388">
        <f t="shared" ca="1" si="51"/>
        <v>5.922168132407335E-2</v>
      </c>
      <c r="AH125" s="388">
        <f t="shared" ca="1" si="51"/>
        <v>6.7411555343432683E-2</v>
      </c>
      <c r="AI125" s="143"/>
      <c r="AJ125" s="143"/>
      <c r="AK125" s="143"/>
    </row>
    <row r="126" spans="1:37">
      <c r="A126" s="204">
        <f t="shared" si="53"/>
        <v>1997</v>
      </c>
      <c r="B126" s="206">
        <f>IF(AND($A126&gt;=SYear85,$A126&lt;=EYear85),IF(B$111&gt;0,B$111*Data_85_15!$C20,""),"")</f>
        <v>2.9770000000000003</v>
      </c>
      <c r="C126" s="206">
        <f>IF(AND($A126&gt;=SYear85,$A126&lt;=EYear85),IF(C$111&gt;0,C$111*Data_85_15!$D20,""),"")</f>
        <v>3.319</v>
      </c>
      <c r="D126" s="206">
        <f>IF(AND($A126&gt;=SYear85,$A126&lt;=EYear85),IF(D$111&gt;0,D$111*Data_85_15!$G20,""),"")</f>
        <v>3.1497555622069244</v>
      </c>
      <c r="E126" s="206">
        <f>IF(AND($A126&gt;=SYear85,$A126&lt;=EYear85),IF(E$111&gt;0,E$111*Data_85_15!$H20,""),"")</f>
        <v>2.4590000000000001</v>
      </c>
      <c r="F126" s="206">
        <f>IF(AND($A126&gt;=SYear85,$A126&lt;=EYear85),IF(F$111&gt;0,F$111*Data_85_15!$K20,""),"")</f>
        <v>1.8461998803111908</v>
      </c>
      <c r="G126" s="206">
        <f>IF(AND($A126&gt;=SYear85,$A126&lt;=EYear85),IF(G$111&gt;0,G$111*Data_85_15!$N20,""),"")</f>
        <v>-9.8782678108162048E-2</v>
      </c>
      <c r="H126" s="206">
        <f>IF(AND($A126&gt;=SYear85,$A126&lt;=EYear85),IF(H$111&gt;0,H$111*Data_85_15!$U20,""),"")</f>
        <v>3.7759999999999998</v>
      </c>
      <c r="I126" s="269">
        <f t="shared" si="54"/>
        <v>17.428172764409954</v>
      </c>
      <c r="J126" s="446">
        <f t="shared" si="55"/>
        <v>52094.371524699403</v>
      </c>
      <c r="K126" s="206">
        <f>IF(AND($A126&gt;=SYear85,$A126&lt;=EYear85),(I126-Data_85_15!$AZ20)/(1+Data_85_15!$AZ20%),"")</f>
        <v>15.462543090114174</v>
      </c>
      <c r="L126" s="491">
        <f t="shared" si="56"/>
        <v>34008.290896161503</v>
      </c>
      <c r="O126"/>
      <c r="P126">
        <f t="shared" si="52"/>
        <v>13</v>
      </c>
      <c r="Q126">
        <f t="shared" ca="1" si="57"/>
        <v>1998</v>
      </c>
      <c r="R126" s="443">
        <f t="shared" si="58"/>
        <v>35489.281570144551</v>
      </c>
      <c r="S126" s="443">
        <f t="shared" ref="S126:Z126" ca="1" si="69">IF(OFFSET(INDIRECT(S$111),$P126,0)="",S125,OFFSET(INDIRECT(S$111),$P126,0))</f>
        <v>35489.281570144551</v>
      </c>
      <c r="T126" s="443">
        <f t="shared" ca="1" si="69"/>
        <v>55612.588008431652</v>
      </c>
      <c r="U126" s="443">
        <f t="shared" ca="1" si="69"/>
        <v>43698.672547949376</v>
      </c>
      <c r="V126" s="443">
        <f t="shared" ca="1" si="69"/>
        <v>22800.618360806726</v>
      </c>
      <c r="W126" s="61">
        <f t="shared" ca="1" si="69"/>
        <v>0</v>
      </c>
      <c r="X126" s="61">
        <f t="shared" ca="1" si="69"/>
        <v>0</v>
      </c>
      <c r="Y126" s="443">
        <f t="shared" ca="1" si="69"/>
        <v>35729.136774178507</v>
      </c>
      <c r="Z126" s="443">
        <f t="shared" ca="1" si="69"/>
        <v>28074.864059176725</v>
      </c>
      <c r="AA126" s="388">
        <f t="shared" ca="1" si="51"/>
        <v>6.2585875333821539E-2</v>
      </c>
      <c r="AB126" s="388">
        <f t="shared" ca="1" si="51"/>
        <v>6.4882591119521438E-2</v>
      </c>
      <c r="AC126" s="388">
        <f t="shared" ca="1" si="51"/>
        <v>9.2112093386893301E-2</v>
      </c>
      <c r="AD126" s="388">
        <f t="shared" ca="1" si="51"/>
        <v>9.3481166851003383E-2</v>
      </c>
      <c r="AE126" s="388">
        <f t="shared" ca="1" si="51"/>
        <v>3.607790377016018E-2</v>
      </c>
      <c r="AF126" s="388">
        <f t="shared" ca="1" si="51"/>
        <v>4.0736742445758756E-2</v>
      </c>
      <c r="AG126" s="388">
        <f t="shared" ca="1" si="51"/>
        <v>6.3656207791980224E-2</v>
      </c>
      <c r="AH126" s="388">
        <f t="shared" ca="1" si="51"/>
        <v>6.1992442655558255E-2</v>
      </c>
      <c r="AI126" s="143"/>
      <c r="AJ126" s="143"/>
      <c r="AK126" s="143"/>
    </row>
    <row r="127" spans="1:37">
      <c r="A127" s="204">
        <f t="shared" si="53"/>
        <v>1998</v>
      </c>
      <c r="B127" s="206">
        <f>IF(AND($A127&gt;=SYear85,$A127&lt;=EYear85),IF(B$111&gt;0,B$111*Data_85_15!$C21,""),"")</f>
        <v>1.4640000000000002</v>
      </c>
      <c r="C127" s="206">
        <f>IF(AND($A127&gt;=SYear85,$A127&lt;=EYear85),IF(C$111&gt;0,C$111*Data_85_15!$D21,""),"")</f>
        <v>2.8620000000000001</v>
      </c>
      <c r="D127" s="206">
        <f>IF(AND($A127&gt;=SYear85,$A127&lt;=EYear85),IF(D$111&gt;0,D$111*Data_85_15!$G21,""),"")</f>
        <v>-0.67145565200039925</v>
      </c>
      <c r="E127" s="206">
        <f>IF(AND($A127&gt;=SYear85,$A127&lt;=EYear85),IF(E$111&gt;0,E$111*Data_85_15!$H21,""),"")</f>
        <v>-0.26100000000000001</v>
      </c>
      <c r="F127" s="206">
        <f>IF(AND($A127&gt;=SYear85,$A127&lt;=EYear85),IF(F$111&gt;0,F$111*Data_85_15!$K21,""),"")</f>
        <v>-1.6320000000000001</v>
      </c>
      <c r="G127" s="206">
        <f>IF(AND($A127&gt;=SYear85,$A127&lt;=EYear85),IF(G$111&gt;0,G$111*Data_85_15!$N21,""),"")</f>
        <v>1.56</v>
      </c>
      <c r="H127" s="206">
        <f>IF(AND($A127&gt;=SYear85,$A127&lt;=EYear85),IF(H$111&gt;0,H$111*Data_85_15!$U21,""),"")</f>
        <v>3.4320000000000004</v>
      </c>
      <c r="I127" s="269">
        <f t="shared" si="54"/>
        <v>6.7535443479996013</v>
      </c>
      <c r="J127" s="446">
        <f t="shared" si="55"/>
        <v>55612.588008431652</v>
      </c>
      <c r="K127" s="206">
        <f>IF(AND($A127&gt;=SYear85,$A127&lt;=EYear85),(I127-Data_85_15!$AZ21)/(1+Data_85_15!$AZ21%),"")</f>
        <v>5.0600775066036352</v>
      </c>
      <c r="L127" s="491">
        <f t="shared" si="56"/>
        <v>35729.136774178507</v>
      </c>
      <c r="O127"/>
      <c r="P127">
        <f t="shared" si="52"/>
        <v>14</v>
      </c>
      <c r="Q127">
        <f t="shared" ca="1" si="57"/>
        <v>1999</v>
      </c>
      <c r="R127" s="443">
        <f t="shared" si="58"/>
        <v>36778.384567132533</v>
      </c>
      <c r="S127" s="443">
        <f t="shared" ref="S127:Z127" ca="1" si="70">IF(OFFSET(INDIRECT(S$111),$P127,0)="",S126,OFFSET(INDIRECT(S$111),$P127,0))</f>
        <v>36778.384567132533</v>
      </c>
      <c r="T127" s="443">
        <f t="shared" ca="1" si="70"/>
        <v>60213.019254206025</v>
      </c>
      <c r="U127" s="443">
        <f t="shared" ca="1" si="70"/>
        <v>46477.694701268789</v>
      </c>
      <c r="V127" s="443">
        <f t="shared" ca="1" si="70"/>
        <v>23011.074836120366</v>
      </c>
      <c r="W127" s="61">
        <f t="shared" ca="1" si="70"/>
        <v>0</v>
      </c>
      <c r="X127" s="61">
        <f t="shared" ca="1" si="70"/>
        <v>0</v>
      </c>
      <c r="Y127" s="443">
        <f t="shared" ca="1" si="70"/>
        <v>37673.386378300056</v>
      </c>
      <c r="Z127" s="443">
        <f t="shared" ca="1" si="70"/>
        <v>29079.627166034457</v>
      </c>
      <c r="AA127" s="388">
        <f t="shared" ca="1" si="51"/>
        <v>5.1936774490770832E-2</v>
      </c>
      <c r="AB127" s="388">
        <f t="shared" ca="1" si="51"/>
        <v>8.4092178156744968E-2</v>
      </c>
      <c r="AC127" s="388">
        <f t="shared" ca="1" si="51"/>
        <v>8.0939302177966743E-2</v>
      </c>
      <c r="AD127" s="388">
        <f t="shared" ca="1" si="51"/>
        <v>8.6370926639816492E-2</v>
      </c>
      <c r="AE127" s="388">
        <f t="shared" ca="1" si="51"/>
        <v>2.5897029933513505E-2</v>
      </c>
      <c r="AF127" s="388">
        <f t="shared" ca="1" si="51"/>
        <v>5.8953608553470316E-2</v>
      </c>
      <c r="AG127" s="388">
        <f t="shared" ca="1" si="51"/>
        <v>5.4362976014781683E-2</v>
      </c>
      <c r="AH127" s="388">
        <f t="shared" ca="1" si="51"/>
        <v>5.6403345441122577E-2</v>
      </c>
      <c r="AI127" s="143"/>
      <c r="AJ127" s="143"/>
      <c r="AK127" s="143"/>
    </row>
    <row r="128" spans="1:37">
      <c r="A128" s="204">
        <f t="shared" si="53"/>
        <v>1999</v>
      </c>
      <c r="B128" s="206">
        <f>IF(AND($A128&gt;=SYear85,$A128&lt;=EYear85),IF(B$111&gt;0,B$111*Data_85_15!$C22,""),"")</f>
        <v>1.2570000000000001</v>
      </c>
      <c r="C128" s="206">
        <f>IF(AND($A128&gt;=SYear85,$A128&lt;=EYear85),IF(C$111&gt;0,C$111*Data_85_15!$D22,""),"")</f>
        <v>2.1070000000000002</v>
      </c>
      <c r="D128" s="206">
        <f>IF(AND($A128&gt;=SYear85,$A128&lt;=EYear85),IF(D$111&gt;0,D$111*Data_85_15!$G22,""),"")</f>
        <v>0.31128404669260701</v>
      </c>
      <c r="E128" s="206">
        <f>IF(AND($A128&gt;=SYear85,$A128&lt;=EYear85),IF(E$111&gt;0,E$111*Data_85_15!$H22,""),"")</f>
        <v>2.3130000000000002</v>
      </c>
      <c r="F128" s="206">
        <f>IF(AND($A128&gt;=SYear85,$A128&lt;=EYear85),IF(F$111&gt;0,F$111*Data_85_15!$K22,""),"")</f>
        <v>-0.40400000000000003</v>
      </c>
      <c r="G128" s="206">
        <f>IF(AND($A128&gt;=SYear85,$A128&lt;=EYear85),IF(G$111&gt;0,G$111*Data_85_15!$N22,""),"")</f>
        <v>2.9920000000000004</v>
      </c>
      <c r="H128" s="206">
        <f>IF(AND($A128&gt;=SYear85,$A128&lt;=EYear85),IF(H$111&gt;0,H$111*Data_85_15!$U22,""),"")</f>
        <v>-0.30400000000000005</v>
      </c>
      <c r="I128" s="269">
        <f t="shared" si="54"/>
        <v>8.272284046692608</v>
      </c>
      <c r="J128" s="446">
        <f t="shared" si="55"/>
        <v>60213.019254206025</v>
      </c>
      <c r="K128" s="206">
        <f>IF(AND($A128&gt;=SYear85,$A128&lt;=EYear85),(I128-Data_85_15!$AZ22)/(1+Data_85_15!$AZ22%),"")</f>
        <v>5.4416360977594715</v>
      </c>
      <c r="L128" s="491">
        <f t="shared" si="56"/>
        <v>37673.386378300056</v>
      </c>
      <c r="O128"/>
      <c r="P128">
        <f t="shared" si="52"/>
        <v>15</v>
      </c>
      <c r="Q128">
        <f t="shared" ca="1" si="57"/>
        <v>2000</v>
      </c>
      <c r="R128" s="443">
        <f t="shared" si="58"/>
        <v>40142.734781170606</v>
      </c>
      <c r="S128" s="443">
        <f t="shared" ref="S128:Z128" ca="1" si="71">IF(OFFSET(INDIRECT(S$111),$P128,0)="",S127,OFFSET(INDIRECT(S$111),$P128,0))</f>
        <v>40142.734781170606</v>
      </c>
      <c r="T128" s="443">
        <f t="shared" ca="1" si="71"/>
        <v>64580.269540713583</v>
      </c>
      <c r="U128" s="443">
        <f t="shared" ca="1" si="71"/>
        <v>53356.105789395137</v>
      </c>
      <c r="V128" s="443">
        <f t="shared" ca="1" si="71"/>
        <v>24293.275703777403</v>
      </c>
      <c r="W128" s="61">
        <f t="shared" ca="1" si="71"/>
        <v>0</v>
      </c>
      <c r="X128" s="61">
        <f t="shared" ca="1" si="71"/>
        <v>0</v>
      </c>
      <c r="Y128" s="443">
        <f t="shared" ca="1" si="71"/>
        <v>39082.197601362917</v>
      </c>
      <c r="Z128" s="443">
        <f t="shared" ca="1" si="71"/>
        <v>32289.643331168412</v>
      </c>
      <c r="AA128" s="388">
        <f t="shared" ca="1" si="51"/>
        <v>7.5995055084016716E-2</v>
      </c>
      <c r="AB128" s="388">
        <f t="shared" ca="1" si="51"/>
        <v>9.7209646289050822E-2</v>
      </c>
      <c r="AC128" s="388">
        <f t="shared" ca="1" si="51"/>
        <v>9.2949539391675939E-2</v>
      </c>
      <c r="AD128" s="388">
        <f t="shared" ca="1" si="51"/>
        <v>9.0782488458809762E-2</v>
      </c>
      <c r="AE128" s="388">
        <f t="shared" ca="1" si="51"/>
        <v>5.0409865060969672E-2</v>
      </c>
      <c r="AF128" s="388">
        <f t="shared" ca="1" si="51"/>
        <v>7.0578907436174232E-2</v>
      </c>
      <c r="AG128" s="388">
        <f t="shared" ca="1" si="51"/>
        <v>6.6039761011271292E-2</v>
      </c>
      <c r="AH128" s="388" t="str">
        <f t="shared" ca="1" si="51"/>
        <v/>
      </c>
      <c r="AI128" s="143"/>
      <c r="AJ128" s="143"/>
      <c r="AK128" s="143"/>
    </row>
    <row r="129" spans="1:37">
      <c r="A129" s="204">
        <f t="shared" si="53"/>
        <v>2000</v>
      </c>
      <c r="B129" s="206">
        <f>IF(AND($A129&gt;=SYear85,$A129&lt;=EYear85),IF(B$111&gt;0,B$111*Data_85_15!$C23,""),"")</f>
        <v>0.6080000000000001</v>
      </c>
      <c r="C129" s="206">
        <f>IF(AND($A129&gt;=SYear85,$A129&lt;=EYear85),IF(C$111&gt;0,C$111*Data_85_15!$D23,""),"")</f>
        <v>-0.90600000000000014</v>
      </c>
      <c r="D129" s="206">
        <f>IF(AND($A129&gt;=SYear85,$A129&lt;=EYear85),IF(D$111&gt;0,D$111*Data_85_15!$G23,""),"")</f>
        <v>2.1880000000000002</v>
      </c>
      <c r="E129" s="206">
        <f>IF(AND($A129&gt;=SYear85,$A129&lt;=EYear85),IF(E$111&gt;0,E$111*Data_85_15!$H23,""),"")</f>
        <v>-0.26700000000000002</v>
      </c>
      <c r="F129" s="206">
        <f>IF(AND($A129&gt;=SYear85,$A129&lt;=EYear85),IF(F$111&gt;0,F$111*Data_85_15!$K23,""),"")</f>
        <v>2.6350000000000002</v>
      </c>
      <c r="G129" s="206">
        <f>IF(AND($A129&gt;=SYear85,$A129&lt;=EYear85),IF(G$111&gt;0,G$111*Data_85_15!$N23,""),"")</f>
        <v>-1.5609999999999999</v>
      </c>
      <c r="H129" s="206">
        <f>IF(AND($A129&gt;=SYear85,$A129&lt;=EYear85),IF(H$111&gt;0,H$111*Data_85_15!$U23,""),"")</f>
        <v>4.556</v>
      </c>
      <c r="I129" s="269">
        <f t="shared" si="54"/>
        <v>7.253000000000001</v>
      </c>
      <c r="J129" s="446">
        <f t="shared" si="55"/>
        <v>64580.269540713583</v>
      </c>
      <c r="K129" s="206">
        <f>IF(AND($A129&gt;=SYear85,$A129&lt;=EYear85),(I129-Data_85_15!$AZ23)/(1+Data_85_15!$AZ23%),"")</f>
        <v>3.7395396551724307</v>
      </c>
      <c r="L129" s="491">
        <f t="shared" si="56"/>
        <v>39082.197601362917</v>
      </c>
      <c r="O129"/>
      <c r="P129">
        <f t="shared" si="52"/>
        <v>16</v>
      </c>
      <c r="Q129">
        <f t="shared" ca="1" si="57"/>
        <v>2001</v>
      </c>
      <c r="R129" s="443">
        <f t="shared" si="58"/>
        <v>41311.039311876026</v>
      </c>
      <c r="S129" s="443">
        <f t="shared" ref="S129:Z129" ca="1" si="72">IF(OFFSET(INDIRECT(S$111),$P129,0)="",S128,OFFSET(INDIRECT(S$111),$P129,0))</f>
        <v>41311.039311876026</v>
      </c>
      <c r="T129" s="443">
        <f t="shared" ca="1" si="72"/>
        <v>65795.670213469813</v>
      </c>
      <c r="U129" s="443">
        <f t="shared" ca="1" si="72"/>
        <v>54471.261061016041</v>
      </c>
      <c r="V129" s="443">
        <f t="shared" ca="1" si="72"/>
        <v>24618.29337600763</v>
      </c>
      <c r="W129" s="61">
        <f t="shared" ca="1" si="72"/>
        <v>0</v>
      </c>
      <c r="X129" s="61">
        <f t="shared" ca="1" si="72"/>
        <v>0</v>
      </c>
      <c r="Y129" s="443">
        <f t="shared" ca="1" si="72"/>
        <v>39209.304320760486</v>
      </c>
      <c r="Z129" s="443">
        <f t="shared" ca="1" si="72"/>
        <v>32460.802431946715</v>
      </c>
      <c r="AA129" s="388">
        <f t="shared" ref="AA129:AH145" ca="1" si="73">IF(AA$110,IF(OFFSET(INDIRECT(AA$111),$P129,0)="","",OFFSET(INDIRECT(AA$111),$P129,0)),"")</f>
        <v>9.8012039607152213E-2</v>
      </c>
      <c r="AB129" s="388">
        <f t="shared" ca="1" si="73"/>
        <v>9.9501818572338196E-2</v>
      </c>
      <c r="AC129" s="388">
        <f t="shared" ca="1" si="73"/>
        <v>0.10099857286307268</v>
      </c>
      <c r="AD129" s="388">
        <f t="shared" ca="1" si="73"/>
        <v>8.1582437984511591E-2</v>
      </c>
      <c r="AE129" s="388">
        <f t="shared" ca="1" si="73"/>
        <v>7.7163775398600754E-2</v>
      </c>
      <c r="AF129" s="388">
        <f t="shared" ca="1" si="73"/>
        <v>7.2755581576203321E-2</v>
      </c>
      <c r="AG129" s="388">
        <f t="shared" ca="1" si="73"/>
        <v>7.5874927591842445E-2</v>
      </c>
      <c r="AH129" s="388" t="str">
        <f t="shared" ca="1" si="73"/>
        <v/>
      </c>
      <c r="AI129" s="143"/>
      <c r="AJ129" s="143"/>
      <c r="AK129" s="143"/>
    </row>
    <row r="130" spans="1:37">
      <c r="A130" s="204">
        <f t="shared" si="53"/>
        <v>2001</v>
      </c>
      <c r="B130" s="206">
        <f>IF(AND($A130&gt;=SYear85,$A130&lt;=EYear85),IF(B$111&gt;0,B$111*Data_85_15!$C24,""),"")</f>
        <v>-1.1880000000000002</v>
      </c>
      <c r="C130" s="206">
        <f>IF(AND($A130&gt;=SYear85,$A130&lt;=EYear85),IF(C$111&gt;0,C$111*Data_85_15!$D24,""),"")</f>
        <v>-1.202</v>
      </c>
      <c r="D130" s="206">
        <f>IF(AND($A130&gt;=SYear85,$A130&lt;=EYear85),IF(D$111&gt;0,D$111*Data_85_15!$G24,""),"")</f>
        <v>1.37</v>
      </c>
      <c r="E130" s="206">
        <f>IF(AND($A130&gt;=SYear85,$A130&lt;=EYear85),IF(E$111&gt;0,E$111*Data_85_15!$H24,""),"")</f>
        <v>0.31000000000000005</v>
      </c>
      <c r="F130" s="206">
        <f>IF(AND($A130&gt;=SYear85,$A130&lt;=EYear85),IF(F$111&gt;0,F$111*Data_85_15!$K24,""),"")</f>
        <v>1.2350000000000001</v>
      </c>
      <c r="G130" s="206">
        <f>IF(AND($A130&gt;=SYear85,$A130&lt;=EYear85),IF(G$111&gt;0,G$111*Data_85_15!$N24,""),"")</f>
        <v>-2.0150000000000001</v>
      </c>
      <c r="H130" s="206">
        <f>IF(AND($A130&gt;=SYear85,$A130&lt;=EYear85),IF(H$111&gt;0,H$111*Data_85_15!$U24,""),"")</f>
        <v>3.3719999999999999</v>
      </c>
      <c r="I130" s="269">
        <f t="shared" si="54"/>
        <v>1.8819999999999999</v>
      </c>
      <c r="J130" s="446">
        <f t="shared" si="55"/>
        <v>65795.670213469813</v>
      </c>
      <c r="K130" s="206">
        <f>IF(AND($A130&gt;=SYear85,$A130&lt;=EYear85),(I130-Data_85_15!$AZ24)/(1+Data_85_15!$AZ24%),"")</f>
        <v>0.32522920203735378</v>
      </c>
      <c r="L130" s="491">
        <f t="shared" si="56"/>
        <v>39209.304320760486</v>
      </c>
      <c r="O130"/>
      <c r="P130">
        <f t="shared" si="52"/>
        <v>17</v>
      </c>
      <c r="Q130">
        <f t="shared" ca="1" si="57"/>
        <v>2002</v>
      </c>
      <c r="R130" s="443">
        <f t="shared" si="58"/>
        <v>45816.665246919358</v>
      </c>
      <c r="S130" s="443">
        <f t="shared" ref="S130:Z130" ca="1" si="74">IF(OFFSET(INDIRECT(S$111),$P130,0)="",S129,OFFSET(INDIRECT(S$111),$P130,0))</f>
        <v>45816.665246919358</v>
      </c>
      <c r="T130" s="443">
        <f t="shared" ca="1" si="74"/>
        <v>62139.404819707299</v>
      </c>
      <c r="U130" s="443">
        <f t="shared" ca="1" si="74"/>
        <v>54745.973596275377</v>
      </c>
      <c r="V130" s="443">
        <f t="shared" ca="1" si="74"/>
        <v>26669.402158654571</v>
      </c>
      <c r="W130" s="61">
        <f t="shared" ca="1" si="74"/>
        <v>0</v>
      </c>
      <c r="X130" s="61">
        <f t="shared" ca="1" si="74"/>
        <v>0</v>
      </c>
      <c r="Y130" s="443">
        <f t="shared" ca="1" si="74"/>
        <v>36170.69832788936</v>
      </c>
      <c r="Z130" s="443">
        <f t="shared" ca="1" si="74"/>
        <v>31867.059257533401</v>
      </c>
      <c r="AA130" s="388">
        <f t="shared" ca="1" si="73"/>
        <v>0.12285808736421777</v>
      </c>
      <c r="AB130" s="388">
        <f t="shared" ca="1" si="73"/>
        <v>0.11320473143736476</v>
      </c>
      <c r="AC130" s="388">
        <f t="shared" ca="1" si="73"/>
        <v>0.11084678267246484</v>
      </c>
      <c r="AD130" s="388" t="str">
        <f t="shared" ca="1" si="73"/>
        <v/>
      </c>
      <c r="AE130" s="388">
        <f t="shared" ca="1" si="73"/>
        <v>9.5445540583956934E-2</v>
      </c>
      <c r="AF130" s="388">
        <f t="shared" ca="1" si="73"/>
        <v>8.4022062039005307E-2</v>
      </c>
      <c r="AG130" s="388">
        <f t="shared" ca="1" si="73"/>
        <v>8.4001913166535935E-2</v>
      </c>
      <c r="AH130" s="388" t="str">
        <f t="shared" ca="1" si="73"/>
        <v/>
      </c>
      <c r="AI130" s="143"/>
      <c r="AJ130" s="143"/>
      <c r="AK130" s="143"/>
    </row>
    <row r="131" spans="1:37">
      <c r="A131" s="204">
        <f t="shared" si="53"/>
        <v>2002</v>
      </c>
      <c r="B131" s="206">
        <f>IF(AND($A131&gt;=SYear85,$A131&lt;=EYear85),IF(B$111&gt;0,B$111*Data_85_15!$C25,""),"")</f>
        <v>-2.0910000000000002</v>
      </c>
      <c r="C131" s="206">
        <f>IF(AND($A131&gt;=SYear85,$A131&lt;=EYear85),IF(C$111&gt;0,C$111*Data_85_15!$D25,""),"")</f>
        <v>-2.2149999999999999</v>
      </c>
      <c r="D131" s="206">
        <f>IF(AND($A131&gt;=SYear85,$A131&lt;=EYear85),IF(D$111&gt;0,D$111*Data_85_15!$G25,""),"")</f>
        <v>-1.42</v>
      </c>
      <c r="E131" s="206">
        <f>IF(AND($A131&gt;=SYear85,$A131&lt;=EYear85),IF(E$111&gt;0,E$111*Data_85_15!$H25,""),"")</f>
        <v>-2.0020000000000002</v>
      </c>
      <c r="F131" s="206">
        <f>IF(AND($A131&gt;=SYear85,$A131&lt;=EYear85),IF(F$111&gt;0,F$111*Data_85_15!$K25,""),"")</f>
        <v>0.375</v>
      </c>
      <c r="G131" s="206">
        <f>IF(AND($A131&gt;=SYear85,$A131&lt;=EYear85),IF(G$111&gt;0,G$111*Data_85_15!$N25,""),"")</f>
        <v>-1.508</v>
      </c>
      <c r="H131" s="206">
        <f>IF(AND($A131&gt;=SYear85,$A131&lt;=EYear85),IF(H$111&gt;0,H$111*Data_85_15!$U25,""),"")</f>
        <v>3.3040000000000003</v>
      </c>
      <c r="I131" s="269">
        <f t="shared" si="54"/>
        <v>-5.5570000000000004</v>
      </c>
      <c r="J131" s="446">
        <f t="shared" si="55"/>
        <v>62139.404819707299</v>
      </c>
      <c r="K131" s="206">
        <f>IF(AND($A131&gt;=SYear85,$A131&lt;=EYear85),(I131-Data_85_15!$AZ25)/(1+Data_85_15!$AZ25%),"")</f>
        <v>-7.7497064676616922</v>
      </c>
      <c r="L131" s="491">
        <f t="shared" si="56"/>
        <v>36170.69832788936</v>
      </c>
      <c r="O131"/>
      <c r="P131">
        <f t="shared" si="52"/>
        <v>18</v>
      </c>
      <c r="Q131">
        <f t="shared" ca="1" si="57"/>
        <v>2003</v>
      </c>
      <c r="R131" s="443">
        <f t="shared" si="58"/>
        <v>53140.821336561487</v>
      </c>
      <c r="S131" s="443">
        <f t="shared" ref="S131:Z131" ca="1" si="75">IF(OFFSET(INDIRECT(S$111),$P131,0)="",S130,OFFSET(INDIRECT(S$111),$P131,0))</f>
        <v>53140.821336561487</v>
      </c>
      <c r="T131" s="443">
        <f t="shared" ca="1" si="75"/>
        <v>76769.50629045919</v>
      </c>
      <c r="U131" s="443">
        <f t="shared" ca="1" si="75"/>
        <v>64960.280219523287</v>
      </c>
      <c r="V131" s="443">
        <f t="shared" ca="1" si="75"/>
        <v>30362.064496689789</v>
      </c>
      <c r="W131" s="61">
        <f t="shared" ca="1" si="75"/>
        <v>0</v>
      </c>
      <c r="X131" s="61">
        <f t="shared" ca="1" si="75"/>
        <v>0</v>
      </c>
      <c r="Y131" s="443">
        <f t="shared" ca="1" si="75"/>
        <v>43862.338645606949</v>
      </c>
      <c r="Z131" s="443">
        <f t="shared" ca="1" si="75"/>
        <v>37115.124835137249</v>
      </c>
      <c r="AA131" s="388">
        <f t="shared" ca="1" si="73"/>
        <v>0.12078182603682519</v>
      </c>
      <c r="AB131" s="388">
        <f t="shared" ca="1" si="73"/>
        <v>0.120037865646762</v>
      </c>
      <c r="AC131" s="388">
        <f t="shared" ca="1" si="73"/>
        <v>0.10806719551072197</v>
      </c>
      <c r="AD131" s="388" t="str">
        <f t="shared" ca="1" si="73"/>
        <v/>
      </c>
      <c r="AE131" s="388">
        <f t="shared" ca="1" si="73"/>
        <v>8.9746721161453102E-2</v>
      </c>
      <c r="AF131" s="388">
        <f t="shared" ca="1" si="73"/>
        <v>8.7080413549808666E-2</v>
      </c>
      <c r="AG131" s="388">
        <f t="shared" ca="1" si="73"/>
        <v>8.1963417209703682E-2</v>
      </c>
      <c r="AH131" s="388" t="str">
        <f t="shared" ca="1" si="73"/>
        <v/>
      </c>
      <c r="AI131" s="143"/>
      <c r="AJ131" s="143"/>
      <c r="AK131" s="143"/>
    </row>
    <row r="132" spans="1:37">
      <c r="A132" s="204">
        <f t="shared" si="53"/>
        <v>2003</v>
      </c>
      <c r="B132" s="206">
        <f>IF(AND($A132&gt;=SYear85,$A132&lt;=EYear85),IF(B$111&gt;0,B$111*Data_85_15!$C26,""),"")</f>
        <v>3.2250000000000001</v>
      </c>
      <c r="C132" s="206">
        <f>IF(AND($A132&gt;=SYear85,$A132&lt;=EYear85),IF(C$111&gt;0,C$111*Data_85_15!$D26,""),"")</f>
        <v>2.85</v>
      </c>
      <c r="D132" s="206">
        <f>IF(AND($A132&gt;=SYear85,$A132&lt;=EYear85),IF(D$111&gt;0,D$111*Data_85_15!$G26,""),"")</f>
        <v>3.7189999999999999</v>
      </c>
      <c r="E132" s="206">
        <f>IF(AND($A132&gt;=SYear85,$A132&lt;=EYear85),IF(E$111&gt;0,E$111*Data_85_15!$H26,""),"")</f>
        <v>4.5630000000000006</v>
      </c>
      <c r="F132" s="206">
        <f>IF(AND($A132&gt;=SYear85,$A132&lt;=EYear85),IF(F$111&gt;0,F$111*Data_85_15!$K26,""),"")</f>
        <v>3.5649999999999999</v>
      </c>
      <c r="G132" s="206">
        <f>IF(AND($A132&gt;=SYear85,$A132&lt;=EYear85),IF(G$111&gt;0,G$111*Data_85_15!$N26,""),"")</f>
        <v>4.0340000000000007</v>
      </c>
      <c r="H132" s="206">
        <f>IF(AND($A132&gt;=SYear85,$A132&lt;=EYear85),IF(H$111&gt;0,H$111*Data_85_15!$U26,""),"")</f>
        <v>1.5880000000000001</v>
      </c>
      <c r="I132" s="269">
        <f t="shared" si="54"/>
        <v>23.544000000000004</v>
      </c>
      <c r="J132" s="446">
        <f t="shared" si="55"/>
        <v>76769.50629045919</v>
      </c>
      <c r="K132" s="206">
        <f>IF(AND($A132&gt;=SYear85,$A132&lt;=EYear85),(I132-Data_85_15!$AZ26)/(1+Data_85_15!$AZ26%),"")</f>
        <v>21.264837764514365</v>
      </c>
      <c r="L132" s="491">
        <f t="shared" si="56"/>
        <v>43862.338645606949</v>
      </c>
      <c r="O132"/>
      <c r="P132">
        <f t="shared" si="52"/>
        <v>19</v>
      </c>
      <c r="Q132">
        <f t="shared" ca="1" si="57"/>
        <v>2004</v>
      </c>
      <c r="R132" s="443">
        <f t="shared" si="58"/>
        <v>58484.493784266713</v>
      </c>
      <c r="S132" s="443">
        <f t="shared" ref="S132:Z132" ca="1" si="76">IF(OFFSET(INDIRECT(S$111),$P132,0)="",S131,OFFSET(INDIRECT(S$111),$P132,0))</f>
        <v>58484.493784266713</v>
      </c>
      <c r="T132" s="443">
        <f t="shared" ca="1" si="76"/>
        <v>87366.768938794179</v>
      </c>
      <c r="U132" s="443">
        <f t="shared" ca="1" si="76"/>
        <v>73993.082907146396</v>
      </c>
      <c r="V132" s="443">
        <f t="shared" ca="1" si="76"/>
        <v>32361.624779208039</v>
      </c>
      <c r="W132" s="61">
        <f t="shared" ca="1" si="76"/>
        <v>0</v>
      </c>
      <c r="X132" s="61">
        <f t="shared" ca="1" si="76"/>
        <v>0</v>
      </c>
      <c r="Y132" s="443">
        <f t="shared" ca="1" si="76"/>
        <v>48343.251546269239</v>
      </c>
      <c r="Z132" s="443">
        <f t="shared" ca="1" si="76"/>
        <v>40943.09842418554</v>
      </c>
      <c r="AA132" s="388">
        <f t="shared" ca="1" si="73"/>
        <v>9.9438713898049924E-2</v>
      </c>
      <c r="AB132" s="388">
        <f t="shared" ca="1" si="73"/>
        <v>7.7795595739507784E-2</v>
      </c>
      <c r="AC132" s="388">
        <f t="shared" ca="1" si="73"/>
        <v>8.7512096465605538E-2</v>
      </c>
      <c r="AD132" s="388" t="str">
        <f t="shared" ca="1" si="73"/>
        <v/>
      </c>
      <c r="AE132" s="388">
        <f t="shared" ca="1" si="73"/>
        <v>6.6692111164820878E-2</v>
      </c>
      <c r="AF132" s="388">
        <f t="shared" ca="1" si="73"/>
        <v>4.9792244165731692E-2</v>
      </c>
      <c r="AG132" s="388">
        <f t="shared" ca="1" si="73"/>
        <v>6.2287094812742749E-2</v>
      </c>
      <c r="AH132" s="388" t="str">
        <f t="shared" ca="1" si="73"/>
        <v/>
      </c>
      <c r="AI132" s="143"/>
      <c r="AJ132" s="143"/>
      <c r="AK132" s="143"/>
    </row>
    <row r="133" spans="1:37">
      <c r="A133" s="204">
        <f t="shared" si="53"/>
        <v>2004</v>
      </c>
      <c r="B133" s="206">
        <f>IF(AND($A133&gt;=SYear85,$A133&lt;=EYear85),IF(B$111&gt;0,B$111*Data_85_15!$C27,""),"")</f>
        <v>1.5289999999999999</v>
      </c>
      <c r="C133" s="206">
        <f>IF(AND($A133&gt;=SYear85,$A133&lt;=EYear85),IF(C$111&gt;0,C$111*Data_85_15!$D27,""),"")</f>
        <v>1.0740000000000001</v>
      </c>
      <c r="D133" s="206">
        <f>IF(AND($A133&gt;=SYear85,$A133&lt;=EYear85),IF(D$111&gt;0,D$111*Data_85_15!$G27,""),"")</f>
        <v>2.355</v>
      </c>
      <c r="E133" s="206">
        <f>IF(AND($A133&gt;=SYear85,$A133&lt;=EYear85),IF(E$111&gt;0,E$111*Data_85_15!$H27,""),"")</f>
        <v>1.99</v>
      </c>
      <c r="F133" s="206">
        <f>IF(AND($A133&gt;=SYear85,$A133&lt;=EYear85),IF(F$111&gt;0,F$111*Data_85_15!$K27,""),"")</f>
        <v>3.0760000000000005</v>
      </c>
      <c r="G133" s="206">
        <f>IF(AND($A133&gt;=SYear85,$A133&lt;=EYear85),IF(G$111&gt;0,G$111*Data_85_15!$N27,""),"")</f>
        <v>2.0840000000000001</v>
      </c>
      <c r="H133" s="206">
        <f>IF(AND($A133&gt;=SYear85,$A133&lt;=EYear85),IF(H$111&gt;0,H$111*Data_85_15!$U27,""),"")</f>
        <v>1.6960000000000002</v>
      </c>
      <c r="I133" s="269">
        <f t="shared" si="54"/>
        <v>13.804</v>
      </c>
      <c r="J133" s="446">
        <f t="shared" si="55"/>
        <v>87366.768938794179</v>
      </c>
      <c r="K133" s="206">
        <f>IF(AND($A133&gt;=SYear85,$A133&lt;=EYear85),(I133-Data_85_15!$AZ27)/(1+Data_85_15!$AZ27%),"")</f>
        <v>10.215854965843409</v>
      </c>
      <c r="L133" s="491">
        <f t="shared" si="56"/>
        <v>48343.251546269239</v>
      </c>
      <c r="O133"/>
      <c r="P133">
        <f t="shared" si="52"/>
        <v>20</v>
      </c>
      <c r="Q133">
        <f t="shared" ca="1" si="57"/>
        <v>2005</v>
      </c>
      <c r="R133" s="443">
        <f t="shared" si="58"/>
        <v>64504.010307012359</v>
      </c>
      <c r="S133" s="443">
        <f t="shared" ref="S133:Z133" ca="1" si="77">IF(OFFSET(INDIRECT(S$111),$P133,0)="",S132,OFFSET(INDIRECT(S$111),$P133,0))</f>
        <v>64504.010307012359</v>
      </c>
      <c r="T133" s="443">
        <f t="shared" ca="1" si="77"/>
        <v>92814.086982127992</v>
      </c>
      <c r="U133" s="443">
        <f t="shared" ca="1" si="77"/>
        <v>81610.719071914369</v>
      </c>
      <c r="V133" s="443">
        <f t="shared" ca="1" si="77"/>
        <v>34513.578685611828</v>
      </c>
      <c r="W133" s="61">
        <f t="shared" ca="1" si="77"/>
        <v>0</v>
      </c>
      <c r="X133" s="61">
        <f t="shared" ca="1" si="77"/>
        <v>0</v>
      </c>
      <c r="Y133" s="443">
        <f t="shared" ca="1" si="77"/>
        <v>49661.195930986214</v>
      </c>
      <c r="Z133" s="443">
        <f t="shared" ca="1" si="77"/>
        <v>43666.710966832186</v>
      </c>
      <c r="AA133" s="388">
        <f t="shared" ca="1" si="73"/>
        <v>0.11356461566956777</v>
      </c>
      <c r="AB133" s="388">
        <f t="shared" ca="1" si="73"/>
        <v>8.8705973098768265E-2</v>
      </c>
      <c r="AC133" s="388">
        <f t="shared" ca="1" si="73"/>
        <v>8.7583041565642894E-2</v>
      </c>
      <c r="AD133" s="388" t="str">
        <f t="shared" ca="1" si="73"/>
        <v/>
      </c>
      <c r="AE133" s="388">
        <f t="shared" ca="1" si="73"/>
        <v>7.7532651198399805E-2</v>
      </c>
      <c r="AF133" s="388">
        <f t="shared" ca="1" si="73"/>
        <v>6.1519860108695923E-2</v>
      </c>
      <c r="AG133" s="388">
        <f t="shared" ca="1" si="73"/>
        <v>6.4962406160622876E-2</v>
      </c>
      <c r="AH133" s="388" t="str">
        <f t="shared" ca="1" si="73"/>
        <v/>
      </c>
      <c r="AI133" s="143"/>
      <c r="AJ133" s="143"/>
      <c r="AK133" s="143"/>
    </row>
    <row r="134" spans="1:37">
      <c r="A134" s="204">
        <f t="shared" si="53"/>
        <v>2005</v>
      </c>
      <c r="B134" s="206">
        <f>IF(AND($A134&gt;=SYear85,$A134&lt;=EYear85),IF(B$111&gt;0,B$111*Data_85_15!$C28,""),"")</f>
        <v>0.70900000000000007</v>
      </c>
      <c r="C134" s="206">
        <f>IF(AND($A134&gt;=SYear85,$A134&lt;=EYear85),IF(C$111&gt;0,C$111*Data_85_15!$D28,""),"")</f>
        <v>0.47699999999999998</v>
      </c>
      <c r="D134" s="206">
        <f>IF(AND($A134&gt;=SYear85,$A134&lt;=EYear85),IF(D$111&gt;0,D$111*Data_85_15!$G28,""),"")</f>
        <v>0.6070000000000001</v>
      </c>
      <c r="E134" s="206">
        <f>IF(AND($A134&gt;=SYear85,$A134&lt;=EYear85),IF(E$111&gt;0,E$111*Data_85_15!$H28,""),"")</f>
        <v>0.7360000000000001</v>
      </c>
      <c r="F134" s="206">
        <f>IF(AND($A134&gt;=SYear85,$A134&lt;=EYear85),IF(F$111&gt;0,F$111*Data_85_15!$K28,""),"")</f>
        <v>1.1890000000000001</v>
      </c>
      <c r="G134" s="206">
        <f>IF(AND($A134&gt;=SYear85,$A134&lt;=EYear85),IF(G$111&gt;0,G$111*Data_85_15!$N28,""),"")</f>
        <v>1.5570000000000002</v>
      </c>
      <c r="H134" s="206">
        <f>IF(AND($A134&gt;=SYear85,$A134&lt;=EYear85),IF(H$111&gt;0,H$111*Data_85_15!$U28,""),"")</f>
        <v>0.96</v>
      </c>
      <c r="I134" s="269">
        <f t="shared" si="54"/>
        <v>6.2350000000000003</v>
      </c>
      <c r="J134" s="446">
        <f t="shared" si="55"/>
        <v>92814.086982127992</v>
      </c>
      <c r="K134" s="206">
        <f>IF(AND($A134&gt;=SYear85,$A134&lt;=EYear85),(I134-Data_85_15!$AZ28)/(1+Data_85_15!$AZ28%),"")</f>
        <v>2.7262220528455279</v>
      </c>
      <c r="L134" s="491">
        <f t="shared" si="56"/>
        <v>49661.195930986214</v>
      </c>
      <c r="O134"/>
      <c r="P134">
        <f t="shared" si="52"/>
        <v>21</v>
      </c>
      <c r="Q134">
        <f t="shared" ca="1" si="57"/>
        <v>2006</v>
      </c>
      <c r="R134" s="443">
        <f t="shared" si="58"/>
        <v>70622.215684632494</v>
      </c>
      <c r="S134" s="443">
        <f t="shared" ref="S134:Z134" ca="1" si="78">IF(OFFSET(INDIRECT(S$111),$P134,0)="",S133,OFFSET(INDIRECT(S$111),$P134,0))</f>
        <v>70622.215684632494</v>
      </c>
      <c r="T134" s="443">
        <f t="shared" ca="1" si="78"/>
        <v>106871.70859644109</v>
      </c>
      <c r="U134" s="443">
        <f t="shared" ca="1" si="78"/>
        <v>88978.242402468066</v>
      </c>
      <c r="V134" s="443">
        <f t="shared" ca="1" si="78"/>
        <v>36850.938114924713</v>
      </c>
      <c r="W134" s="61">
        <f t="shared" ca="1" si="78"/>
        <v>0</v>
      </c>
      <c r="X134" s="61">
        <f t="shared" ca="1" si="78"/>
        <v>0</v>
      </c>
      <c r="Y134" s="443">
        <f t="shared" ca="1" si="78"/>
        <v>55766.060035704955</v>
      </c>
      <c r="Z134" s="443">
        <f t="shared" ca="1" si="78"/>
        <v>46429.181987016236</v>
      </c>
      <c r="AA134" s="388">
        <f t="shared" ca="1" si="73"/>
        <v>6.2122289791291196E-2</v>
      </c>
      <c r="AB134" s="388">
        <f t="shared" ca="1" si="73"/>
        <v>0.10249736468877901</v>
      </c>
      <c r="AC134" s="388">
        <f t="shared" ca="1" si="73"/>
        <v>7.2732563943681106E-2</v>
      </c>
      <c r="AD134" s="388" t="str">
        <f t="shared" ca="1" si="73"/>
        <v/>
      </c>
      <c r="AE134" s="388">
        <f t="shared" ca="1" si="73"/>
        <v>3.9009140533386111E-2</v>
      </c>
      <c r="AF134" s="388">
        <f t="shared" ca="1" si="73"/>
        <v>7.9003344005000198E-2</v>
      </c>
      <c r="AG134" s="388">
        <f t="shared" ca="1" si="73"/>
        <v>5.3188888707724979E-2</v>
      </c>
      <c r="AH134" s="388" t="str">
        <f t="shared" ca="1" si="73"/>
        <v/>
      </c>
      <c r="AI134" s="143"/>
      <c r="AJ134" s="143"/>
      <c r="AK134" s="143"/>
    </row>
    <row r="135" spans="1:37">
      <c r="A135" s="204">
        <f t="shared" si="53"/>
        <v>2006</v>
      </c>
      <c r="B135" s="206">
        <f>IF(AND($A135&gt;=SYear85,$A135&lt;=EYear85),IF(B$111&gt;0,B$111*Data_85_15!$C29,""),"")</f>
        <v>2.2149999999999999</v>
      </c>
      <c r="C135" s="206">
        <f>IF(AND($A135&gt;=SYear85,$A135&lt;=EYear85),IF(C$111&gt;0,C$111*Data_85_15!$D29,""),"")</f>
        <v>1.5640000000000001</v>
      </c>
      <c r="D135" s="206">
        <f>IF(AND($A135&gt;=SYear85,$A135&lt;=EYear85),IF(D$111&gt;0,D$111*Data_85_15!$G29,""),"")</f>
        <v>1.9239999999999999</v>
      </c>
      <c r="E135" s="206">
        <f>IF(AND($A135&gt;=SYear85,$A135&lt;=EYear85),IF(E$111&gt;0,E$111*Data_85_15!$H29,""),"")</f>
        <v>1.5640000000000001</v>
      </c>
      <c r="F135" s="206">
        <f>IF(AND($A135&gt;=SYear85,$A135&lt;=EYear85),IF(F$111&gt;0,F$111*Data_85_15!$K29,""),"")</f>
        <v>3.5070000000000001</v>
      </c>
      <c r="G135" s="206">
        <f>IF(AND($A135&gt;=SYear85,$A135&lt;=EYear85),IF(G$111&gt;0,G$111*Data_85_15!$N29,""),"")</f>
        <v>2.6640000000000001</v>
      </c>
      <c r="H135" s="206">
        <f>IF(AND($A135&gt;=SYear85,$A135&lt;=EYear85),IF(H$111&gt;0,H$111*Data_85_15!$U29,""),"")</f>
        <v>1.708</v>
      </c>
      <c r="I135" s="269">
        <f t="shared" si="54"/>
        <v>15.145999999999999</v>
      </c>
      <c r="J135" s="446">
        <f t="shared" si="55"/>
        <v>106871.70859644109</v>
      </c>
      <c r="K135" s="206">
        <f>IF(AND($A135&gt;=SYear85,$A135&lt;=EYear85),(I135-Data_85_15!$AZ29)/(1+Data_85_15!$AZ29%),"")</f>
        <v>12.293026759167493</v>
      </c>
      <c r="L135" s="491">
        <f t="shared" si="56"/>
        <v>55766.060035704955</v>
      </c>
      <c r="O135"/>
      <c r="P135">
        <f t="shared" si="52"/>
        <v>22</v>
      </c>
      <c r="Q135">
        <f t="shared" ca="1" si="57"/>
        <v>2007</v>
      </c>
      <c r="R135" s="443">
        <f t="shared" si="58"/>
        <v>80758.269190769366</v>
      </c>
      <c r="S135" s="443">
        <f t="shared" ref="S135:Z135" ca="1" si="79">IF(OFFSET(INDIRECT(S$111),$P135,0)="",S134,OFFSET(INDIRECT(S$111),$P135,0))</f>
        <v>80758.269190769366</v>
      </c>
      <c r="T135" s="443">
        <f t="shared" ca="1" si="79"/>
        <v>109683.50324961347</v>
      </c>
      <c r="U135" s="443">
        <f t="shared" ca="1" si="79"/>
        <v>96877.399398449241</v>
      </c>
      <c r="V135" s="443">
        <f t="shared" ca="1" si="79"/>
        <v>40487.562826315596</v>
      </c>
      <c r="W135" s="61">
        <f t="shared" ca="1" si="79"/>
        <v>0</v>
      </c>
      <c r="X135" s="61">
        <f t="shared" ca="1" si="79"/>
        <v>0</v>
      </c>
      <c r="Y135" s="443">
        <f t="shared" ca="1" si="79"/>
        <v>54989.015655336756</v>
      </c>
      <c r="Z135" s="443">
        <f t="shared" ca="1" si="79"/>
        <v>48568.769909237919</v>
      </c>
      <c r="AA135" s="388">
        <f t="shared" ca="1" si="73"/>
        <v>8.1975619662551846E-2</v>
      </c>
      <c r="AB135" s="388">
        <f t="shared" ca="1" si="73"/>
        <v>0.10849382842674049</v>
      </c>
      <c r="AC135" s="388" t="str">
        <f t="shared" ca="1" si="73"/>
        <v/>
      </c>
      <c r="AD135" s="388" t="str">
        <f t="shared" ca="1" si="73"/>
        <v/>
      </c>
      <c r="AE135" s="388">
        <f t="shared" ca="1" si="73"/>
        <v>5.7809500077107501E-2</v>
      </c>
      <c r="AF135" s="388">
        <f t="shared" ca="1" si="73"/>
        <v>8.398176466857632E-2</v>
      </c>
      <c r="AG135" s="388" t="str">
        <f t="shared" ca="1" si="73"/>
        <v/>
      </c>
      <c r="AH135" s="388" t="str">
        <f t="shared" ca="1" si="73"/>
        <v/>
      </c>
      <c r="AI135" s="143"/>
      <c r="AJ135" s="143"/>
      <c r="AK135" s="143"/>
    </row>
    <row r="136" spans="1:37">
      <c r="A136" s="204">
        <f t="shared" si="53"/>
        <v>2007</v>
      </c>
      <c r="B136" s="206">
        <f>IF(AND($A136&gt;=SYear85,$A136&lt;=EYear85),IF(B$111&gt;0,B$111*Data_85_15!$C30,""),"")</f>
        <v>8.9999999999999993E-3</v>
      </c>
      <c r="C136" s="206">
        <f>IF(AND($A136&gt;=SYear85,$A136&lt;=EYear85),IF(C$111&gt;0,C$111*Data_85_15!$D30,""),"")</f>
        <v>0.53900000000000003</v>
      </c>
      <c r="D136" s="206">
        <f>IF(AND($A136&gt;=SYear85,$A136&lt;=EYear85),IF(D$111&gt;0,D$111*Data_85_15!$G30,""),"")</f>
        <v>-0.70700000000000007</v>
      </c>
      <c r="E136" s="206">
        <f>IF(AND($A136&gt;=SYear85,$A136&lt;=EYear85),IF(E$111&gt;0,E$111*Data_85_15!$H30,""),"")</f>
        <v>0.11599999999999999</v>
      </c>
      <c r="F136" s="206">
        <f>IF(AND($A136&gt;=SYear85,$A136&lt;=EYear85),IF(F$111&gt;0,F$111*Data_85_15!$K30,""),"")</f>
        <v>-1.6460000000000001</v>
      </c>
      <c r="G136" s="206">
        <f>IF(AND($A136&gt;=SYear85,$A136&lt;=EYear85),IF(G$111&gt;0,G$111*Data_85_15!$N30,""),"")</f>
        <v>1.552</v>
      </c>
      <c r="H136" s="206">
        <f>IF(AND($A136&gt;=SYear85,$A136&lt;=EYear85),IF(H$111&gt;0,H$111*Data_85_15!$U30,""),"")</f>
        <v>2.7680000000000002</v>
      </c>
      <c r="I136" s="269">
        <f t="shared" si="54"/>
        <v>2.6310000000000002</v>
      </c>
      <c r="J136" s="446">
        <f t="shared" si="55"/>
        <v>109683.50324961347</v>
      </c>
      <c r="K136" s="206">
        <f>IF(AND($A136&gt;=SYear85,$A136&lt;=EYear85),(I136-Data_85_15!$AZ30)/(1+Data_85_15!$AZ30%),"")</f>
        <v>-1.3934001790169206</v>
      </c>
      <c r="L136" s="491">
        <f t="shared" si="56"/>
        <v>54989.015655336756</v>
      </c>
      <c r="O136"/>
      <c r="P136">
        <f t="shared" si="52"/>
        <v>23</v>
      </c>
      <c r="Q136">
        <f t="shared" ca="1" si="57"/>
        <v>2008</v>
      </c>
      <c r="R136" s="443">
        <f t="shared" si="58"/>
        <v>77287.682572296049</v>
      </c>
      <c r="S136" s="443">
        <f t="shared" ref="S136:Z136" ca="1" si="80">IF(OFFSET(INDIRECT(S$111),$P136,0)="",S135,OFFSET(INDIRECT(S$111),$P136,0))</f>
        <v>77287.682572296049</v>
      </c>
      <c r="T136" s="443">
        <f t="shared" ca="1" si="80"/>
        <v>87520.854582996573</v>
      </c>
      <c r="U136" s="443">
        <f t="shared" ca="1" si="80"/>
        <v>78789.264463035623</v>
      </c>
      <c r="V136" s="443">
        <f t="shared" ca="1" si="80"/>
        <v>38712.221848958194</v>
      </c>
      <c r="W136" s="61">
        <f t="shared" ca="1" si="80"/>
        <v>4.2974999999999985E-2</v>
      </c>
      <c r="X136" s="61">
        <f t="shared" ca="1" si="80"/>
        <v>0.18671160712127</v>
      </c>
      <c r="Y136" s="443">
        <f t="shared" ca="1" si="80"/>
        <v>43837.861691066602</v>
      </c>
      <c r="Z136" s="443">
        <f t="shared" ca="1" si="80"/>
        <v>39464.341324455556</v>
      </c>
      <c r="AA136" s="388">
        <f t="shared" ca="1" si="73"/>
        <v>9.1681216631727791E-2</v>
      </c>
      <c r="AB136" s="388">
        <f t="shared" ca="1" si="73"/>
        <v>9.6224464748787986E-2</v>
      </c>
      <c r="AC136" s="388" t="str">
        <f t="shared" ca="1" si="73"/>
        <v/>
      </c>
      <c r="AD136" s="388" t="str">
        <f t="shared" ca="1" si="73"/>
        <v/>
      </c>
      <c r="AE136" s="388">
        <f t="shared" ca="1" si="73"/>
        <v>7.6285370597603874E-2</v>
      </c>
      <c r="AF136" s="388">
        <f t="shared" ca="1" si="73"/>
        <v>7.6870507083661721E-2</v>
      </c>
      <c r="AG136" s="388" t="str">
        <f t="shared" ca="1" si="73"/>
        <v/>
      </c>
      <c r="AH136" s="388" t="str">
        <f t="shared" ca="1" si="73"/>
        <v/>
      </c>
      <c r="AI136" s="143"/>
      <c r="AJ136" s="143"/>
      <c r="AK136" s="143"/>
    </row>
    <row r="137" spans="1:37">
      <c r="A137" s="204">
        <f t="shared" si="53"/>
        <v>2008</v>
      </c>
      <c r="B137" s="206">
        <f>IF(AND($A137&gt;=SYear85,$A137&lt;=EYear85),IF(B$111&gt;0,B$111*Data_85_15!$C31,""),"")</f>
        <v>-3.597</v>
      </c>
      <c r="C137" s="206">
        <f>IF(AND($A137&gt;=SYear85,$A137&lt;=EYear85),IF(C$111&gt;0,C$111*Data_85_15!$D31,""),"")</f>
        <v>-3.7020000000000004</v>
      </c>
      <c r="D137" s="206">
        <f>IF(AND($A137&gt;=SYear85,$A137&lt;=EYear85),IF(D$111&gt;0,D$111*Data_85_15!$G31,""),"")</f>
        <v>-3.2050000000000001</v>
      </c>
      <c r="E137" s="206">
        <f>IF(AND($A137&gt;=SYear85,$A137&lt;=EYear85),IF(E$111&gt;0,E$111*Data_85_15!$H31,""),"")</f>
        <v>-3.6070000000000002</v>
      </c>
      <c r="F137" s="206">
        <f>IF(AND($A137&gt;=SYear85,$A137&lt;=EYear85),IF(F$111&gt;0,F$111*Data_85_15!$K31,""),"")</f>
        <v>-3.7050000000000001</v>
      </c>
      <c r="G137" s="206">
        <f>IF(AND($A137&gt;=SYear85,$A137&lt;=EYear85),IF(G$111&gt;0,G$111*Data_85_15!$N31,""),"")</f>
        <v>-4.41</v>
      </c>
      <c r="H137" s="206">
        <f>IF(AND($A137&gt;=SYear85,$A137&lt;=EYear85),IF(H$111&gt;0,H$111*Data_85_15!$U31,""),"")</f>
        <v>2.02</v>
      </c>
      <c r="I137" s="269">
        <f t="shared" si="54"/>
        <v>-20.206000000000003</v>
      </c>
      <c r="J137" s="446">
        <f t="shared" si="55"/>
        <v>87520.854582996573</v>
      </c>
      <c r="K137" s="206">
        <f>IF(AND($A137&gt;=SYear85,$A137&lt;=EYear85),(I137-Data_85_15!$AZ31)/(1+Data_85_15!$AZ31%),"")</f>
        <v>-20.278875392431079</v>
      </c>
      <c r="L137" s="491">
        <f t="shared" si="56"/>
        <v>43837.861691066602</v>
      </c>
      <c r="O137"/>
      <c r="P137">
        <f t="shared" si="52"/>
        <v>24</v>
      </c>
      <c r="Q137">
        <f t="shared" ca="1" si="57"/>
        <v>2009</v>
      </c>
      <c r="R137" s="443">
        <f t="shared" si="58"/>
        <v>89452.763809175449</v>
      </c>
      <c r="S137" s="443">
        <f t="shared" ref="S137:Z137" ca="1" si="81">IF(OFFSET(INDIRECT(S$111),$P137,0)="",S136,OFFSET(INDIRECT(S$111),$P137,0))</f>
        <v>89452.763809175449</v>
      </c>
      <c r="T137" s="443">
        <f t="shared" ca="1" si="81"/>
        <v>105249.07888732836</v>
      </c>
      <c r="U137" s="443">
        <f t="shared" ca="1" si="81"/>
        <v>91541.536186849713</v>
      </c>
      <c r="V137" s="443">
        <f t="shared" ca="1" si="81"/>
        <v>43618.521174472604</v>
      </c>
      <c r="W137" s="61">
        <f t="shared" ca="1" si="81"/>
        <v>0</v>
      </c>
      <c r="X137" s="61">
        <f t="shared" ca="1" si="81"/>
        <v>5.5078514129529244E-2</v>
      </c>
      <c r="Y137" s="443">
        <f t="shared" ca="1" si="81"/>
        <v>51321.043426159369</v>
      </c>
      <c r="Z137" s="443">
        <f t="shared" ca="1" si="81"/>
        <v>44637.038191773354</v>
      </c>
      <c r="AA137" s="388">
        <f t="shared" ca="1" si="73"/>
        <v>0.15212380579435059</v>
      </c>
      <c r="AB137" s="388">
        <f t="shared" ca="1" si="73"/>
        <v>9.7316193009253205E-2</v>
      </c>
      <c r="AC137" s="388" t="str">
        <f t="shared" ca="1" si="73"/>
        <v/>
      </c>
      <c r="AD137" s="388" t="str">
        <f t="shared" ca="1" si="73"/>
        <v/>
      </c>
      <c r="AE137" s="388">
        <f t="shared" ca="1" si="73"/>
        <v>0.12521827561622234</v>
      </c>
      <c r="AF137" s="388">
        <f t="shared" ca="1" si="73"/>
        <v>7.4930661830596712E-2</v>
      </c>
      <c r="AG137" s="388" t="str">
        <f t="shared" ca="1" si="73"/>
        <v/>
      </c>
      <c r="AH137" s="388" t="str">
        <f t="shared" ca="1" si="73"/>
        <v/>
      </c>
      <c r="AI137" s="143"/>
      <c r="AJ137" s="143"/>
      <c r="AK137" s="143"/>
    </row>
    <row r="138" spans="1:37">
      <c r="A138" s="204">
        <f t="shared" si="53"/>
        <v>2009</v>
      </c>
      <c r="B138" s="206">
        <f>IF(AND($A138&gt;=SYear85,$A138&lt;=EYear85),IF(B$111&gt;0,B$111*Data_85_15!$C32,""),"")</f>
        <v>1.958</v>
      </c>
      <c r="C138" s="206">
        <f>IF(AND($A138&gt;=SYear85,$A138&lt;=EYear85),IF(C$111&gt;0,C$111*Data_85_15!$D32,""),"")</f>
        <v>2.649</v>
      </c>
      <c r="D138" s="206">
        <f>IF(AND($A138&gt;=SYear85,$A138&lt;=EYear85),IF(D$111&gt;0,D$111*Data_85_15!$G32,""),"")</f>
        <v>3.0340000000000003</v>
      </c>
      <c r="E138" s="206">
        <f>IF(AND($A138&gt;=SYear85,$A138&lt;=EYear85),IF(E$111&gt;0,E$111*Data_85_15!$H32,""),"")</f>
        <v>3.6120000000000001</v>
      </c>
      <c r="F138" s="206">
        <f>IF(AND($A138&gt;=SYear85,$A138&lt;=EYear85),IF(F$111&gt;0,F$111*Data_85_15!$K32,""),"")</f>
        <v>2.9580000000000002</v>
      </c>
      <c r="G138" s="206">
        <f>IF(AND($A138&gt;=SYear85,$A138&lt;=EYear85),IF(G$111&gt;0,G$111*Data_85_15!$N32,""),"")</f>
        <v>3.673</v>
      </c>
      <c r="H138" s="206">
        <f>IF(AND($A138&gt;=SYear85,$A138&lt;=EYear85),IF(H$111&gt;0,H$111*Data_85_15!$U32,""),"")</f>
        <v>2.3719999999999999</v>
      </c>
      <c r="I138" s="269">
        <f t="shared" si="54"/>
        <v>20.256</v>
      </c>
      <c r="J138" s="446">
        <f t="shared" si="55"/>
        <v>105249.07888732836</v>
      </c>
      <c r="K138" s="206">
        <f>IF(AND($A138&gt;=SYear85,$A138&lt;=EYear85),(I138-Data_85_15!$AZ32)/(1+Data_85_15!$AZ32%),"")</f>
        <v>17.07013400386203</v>
      </c>
      <c r="L138" s="491">
        <f t="shared" si="56"/>
        <v>51321.043426159369</v>
      </c>
      <c r="O138"/>
      <c r="P138">
        <f t="shared" si="52"/>
        <v>25</v>
      </c>
      <c r="Q138">
        <f t="shared" ca="1" si="57"/>
        <v>2010</v>
      </c>
      <c r="R138" s="443">
        <f t="shared" si="58"/>
        <v>105068.98005116225</v>
      </c>
      <c r="S138" s="443">
        <f t="shared" ref="S138:Z138" ca="1" si="82">IF(OFFSET(INDIRECT(S$111),$P138,0)="",S137,OFFSET(INDIRECT(S$111),$P138,0))</f>
        <v>105068.98005116225</v>
      </c>
      <c r="T138" s="443">
        <f t="shared" ca="1" si="82"/>
        <v>120702.80114035479</v>
      </c>
      <c r="U138" s="443">
        <f t="shared" ca="1" si="82"/>
        <v>108196.37640100862</v>
      </c>
      <c r="V138" s="443">
        <f t="shared" ca="1" si="82"/>
        <v>50478.210044700441</v>
      </c>
      <c r="W138" s="61">
        <f t="shared" ca="1" si="82"/>
        <v>0</v>
      </c>
      <c r="X138" s="61">
        <f t="shared" ca="1" si="82"/>
        <v>0</v>
      </c>
      <c r="Y138" s="443">
        <f t="shared" ca="1" si="82"/>
        <v>57989.154800776429</v>
      </c>
      <c r="Z138" s="443">
        <f t="shared" ca="1" si="82"/>
        <v>51980.702690614497</v>
      </c>
      <c r="AA138" s="388">
        <f t="shared" ca="1" si="73"/>
        <v>0.12641103537329301</v>
      </c>
      <c r="AB138" s="388">
        <f t="shared" ca="1" si="73"/>
        <v>8.6461268265556779E-2</v>
      </c>
      <c r="AC138" s="388" t="str">
        <f t="shared" ca="1" si="73"/>
        <v/>
      </c>
      <c r="AD138" s="388" t="str">
        <f t="shared" ca="1" si="73"/>
        <v/>
      </c>
      <c r="AE138" s="388">
        <f t="shared" ca="1" si="73"/>
        <v>0.10362798359774317</v>
      </c>
      <c r="AF138" s="388">
        <f t="shared" ca="1" si="73"/>
        <v>6.841611650986068E-2</v>
      </c>
      <c r="AG138" s="388" t="str">
        <f t="shared" ca="1" si="73"/>
        <v/>
      </c>
      <c r="AH138" s="388" t="str">
        <f t="shared" ca="1" si="73"/>
        <v/>
      </c>
      <c r="AI138" s="143"/>
      <c r="AJ138" s="143"/>
      <c r="AK138" s="143"/>
    </row>
    <row r="139" spans="1:37">
      <c r="A139" s="204">
        <f t="shared" si="53"/>
        <v>2010</v>
      </c>
      <c r="B139" s="206">
        <f>IF(AND($A139&gt;=SYear85,$A139&lt;=EYear85),IF(B$111&gt;0,B$111*Data_85_15!$C33,""),"")</f>
        <v>1.4279999999999999</v>
      </c>
      <c r="C139" s="206">
        <f>IF(AND($A139&gt;=SYear85,$A139&lt;=EYear85),IF(C$111&gt;0,C$111*Data_85_15!$D33,""),"")</f>
        <v>1.4910000000000001</v>
      </c>
      <c r="D139" s="206">
        <f>IF(AND($A139&gt;=SYear85,$A139&lt;=EYear85),IF(D$111&gt;0,D$111*Data_85_15!$G33,""),"")</f>
        <v>2.4820000000000002</v>
      </c>
      <c r="E139" s="206">
        <f>IF(AND($A139&gt;=SYear85,$A139&lt;=EYear85),IF(E$111&gt;0,E$111*Data_85_15!$H33,""),"")</f>
        <v>2.7720000000000002</v>
      </c>
      <c r="F139" s="206">
        <f>IF(AND($A139&gt;=SYear85,$A139&lt;=EYear85),IF(F$111&gt;0,F$111*Data_85_15!$K33,""),"")</f>
        <v>2.83</v>
      </c>
      <c r="G139" s="206">
        <f>IF(AND($A139&gt;=SYear85,$A139&lt;=EYear85),IF(G$111&gt;0,G$111*Data_85_15!$N33,""),"")</f>
        <v>1.1119999999999999</v>
      </c>
      <c r="H139" s="206">
        <f>IF(AND($A139&gt;=SYear85,$A139&lt;=EYear85),IF(H$111&gt;0,H$111*Data_85_15!$U33,""),"")</f>
        <v>2.5680000000000001</v>
      </c>
      <c r="I139" s="269">
        <f t="shared" si="54"/>
        <v>14.683</v>
      </c>
      <c r="J139" s="446">
        <f t="shared" si="55"/>
        <v>120702.80114035479</v>
      </c>
      <c r="K139" s="206">
        <f>IF(AND($A139&gt;=SYear85,$A139&lt;=EYear85),(I139-Data_85_15!$AZ33)/(1+Data_85_15!$AZ33%),"")</f>
        <v>12.992938041509465</v>
      </c>
      <c r="L139" s="491">
        <f t="shared" si="56"/>
        <v>57989.154800776429</v>
      </c>
      <c r="O139"/>
      <c r="P139">
        <f t="shared" si="52"/>
        <v>26</v>
      </c>
      <c r="Q139">
        <f t="shared" ca="1" si="57"/>
        <v>2011</v>
      </c>
      <c r="R139" s="443">
        <f t="shared" si="58"/>
        <v>118197.34910855498</v>
      </c>
      <c r="S139" s="443">
        <f t="shared" ref="S139:Z139" ca="1" si="83">IF(OFFSET(INDIRECT(S$111),$P139,0)="",S138,OFFSET(INDIRECT(S$111),$P139,0))</f>
        <v>118197.34910855498</v>
      </c>
      <c r="T139" s="443">
        <f t="shared" ca="1" si="83"/>
        <v>123136.16961134433</v>
      </c>
      <c r="U139" s="443">
        <f t="shared" ca="1" si="83"/>
        <v>117581.43448717614</v>
      </c>
      <c r="V139" s="443">
        <f t="shared" ca="1" si="83"/>
        <v>55151.639818545736</v>
      </c>
      <c r="W139" s="61">
        <f t="shared" ca="1" si="83"/>
        <v>0</v>
      </c>
      <c r="X139" s="61">
        <f t="shared" ca="1" si="83"/>
        <v>0</v>
      </c>
      <c r="Y139" s="443">
        <f t="shared" ca="1" si="83"/>
        <v>57456.125084523446</v>
      </c>
      <c r="Z139" s="443">
        <f t="shared" ca="1" si="83"/>
        <v>54864.250112994232</v>
      </c>
      <c r="AA139" s="388">
        <f t="shared" ca="1" si="73"/>
        <v>5.3816279105652454E-2</v>
      </c>
      <c r="AB139" s="388">
        <f t="shared" ca="1" si="73"/>
        <v>4.3771341866225333E-2</v>
      </c>
      <c r="AC139" s="388" t="str">
        <f t="shared" ca="1" si="73"/>
        <v/>
      </c>
      <c r="AD139" s="388" t="str">
        <f t="shared" ca="1" si="73"/>
        <v/>
      </c>
      <c r="AE139" s="388">
        <f t="shared" ca="1" si="73"/>
        <v>3.2481159852264074E-2</v>
      </c>
      <c r="AF139" s="388">
        <f t="shared" ca="1" si="73"/>
        <v>2.7992027513375817E-2</v>
      </c>
      <c r="AG139" s="388" t="str">
        <f t="shared" ca="1" si="73"/>
        <v/>
      </c>
      <c r="AH139" s="388" t="str">
        <f t="shared" ca="1" si="73"/>
        <v/>
      </c>
      <c r="AI139" s="143"/>
      <c r="AJ139" s="143"/>
      <c r="AK139" s="143"/>
    </row>
    <row r="140" spans="1:37">
      <c r="A140" s="204">
        <f t="shared" si="53"/>
        <v>2011</v>
      </c>
      <c r="B140" s="206">
        <f>IF(AND($A140&gt;=SYear85,$A140&lt;=EYear85),IF(B$111&gt;0,B$111*Data_85_15!$C34,""),"")</f>
        <v>0.1</v>
      </c>
      <c r="C140" s="206">
        <f>IF(AND($A140&gt;=SYear85,$A140&lt;=EYear85),IF(C$111&gt;0,C$111*Data_85_15!$D34,""),"")</f>
        <v>0.19700000000000001</v>
      </c>
      <c r="D140" s="206">
        <f>IF(AND($A140&gt;=SYear85,$A140&lt;=EYear85),IF(D$111&gt;0,D$111*Data_85_15!$G34,""),"")</f>
        <v>-0.41600000000000004</v>
      </c>
      <c r="E140" s="206">
        <f>IF(AND($A140&gt;=SYear85,$A140&lt;=EYear85),IF(E$111&gt;0,E$111*Data_85_15!$H34,""),"")</f>
        <v>-0.27999999999999997</v>
      </c>
      <c r="F140" s="206">
        <f>IF(AND($A140&gt;=SYear85,$A140&lt;=EYear85),IF(F$111&gt;0,F$111*Data_85_15!$K34,""),"")</f>
        <v>0.84700000000000009</v>
      </c>
      <c r="G140" s="206">
        <f>IF(AND($A140&gt;=SYear85,$A140&lt;=EYear85),IF(G$111&gt;0,G$111*Data_85_15!$N34,""),"")</f>
        <v>-1.4560000000000002</v>
      </c>
      <c r="H140" s="206">
        <f>IF(AND($A140&gt;=SYear85,$A140&lt;=EYear85),IF(H$111&gt;0,H$111*Data_85_15!$U34,""),"")</f>
        <v>3.024</v>
      </c>
      <c r="I140" s="269">
        <f t="shared" si="54"/>
        <v>2.016</v>
      </c>
      <c r="J140" s="446">
        <f t="shared" si="55"/>
        <v>123136.16961134433</v>
      </c>
      <c r="K140" s="206">
        <f>IF(AND($A140&gt;=SYear85,$A140&lt;=EYear85),(I140-Data_85_15!$AZ34)/(1+Data_85_15!$AZ34%),"")</f>
        <v>-0.91918862774292676</v>
      </c>
      <c r="L140" s="491">
        <f t="shared" si="56"/>
        <v>57456.125084523446</v>
      </c>
      <c r="O140"/>
      <c r="P140">
        <f t="shared" si="52"/>
        <v>27</v>
      </c>
      <c r="Q140">
        <f t="shared" ca="1" si="57"/>
        <v>2012</v>
      </c>
      <c r="R140" s="443">
        <f t="shared" si="58"/>
        <v>127845.20772954078</v>
      </c>
      <c r="S140" s="443">
        <f t="shared" ref="S140:Z140" ca="1" si="84">IF(OFFSET(INDIRECT(S$111),$P140,0)="",S139,OFFSET(INDIRECT(S$111),$P140,0))</f>
        <v>127845.20772954078</v>
      </c>
      <c r="T140" s="443">
        <f t="shared" ca="1" si="84"/>
        <v>137825.0832842816</v>
      </c>
      <c r="U140" s="443">
        <f t="shared" ca="1" si="84"/>
        <v>129379.59316232899</v>
      </c>
      <c r="V140" s="443">
        <f t="shared" ca="1" si="84"/>
        <v>58632.58598142281</v>
      </c>
      <c r="W140" s="61">
        <f t="shared" ca="1" si="84"/>
        <v>0</v>
      </c>
      <c r="X140" s="61">
        <f t="shared" ca="1" si="84"/>
        <v>0</v>
      </c>
      <c r="Y140" s="443">
        <f t="shared" ca="1" si="84"/>
        <v>63209.573433194419</v>
      </c>
      <c r="Z140" s="443">
        <f t="shared" ca="1" si="84"/>
        <v>59336.28843077003</v>
      </c>
      <c r="AA140" s="388">
        <f t="shared" ca="1" si="73"/>
        <v>4.6371149102274245E-2</v>
      </c>
      <c r="AB140" s="388" t="str">
        <f t="shared" ca="1" si="73"/>
        <v/>
      </c>
      <c r="AC140" s="388" t="str">
        <f t="shared" ca="1" si="73"/>
        <v/>
      </c>
      <c r="AD140" s="388" t="str">
        <f t="shared" ca="1" si="73"/>
        <v/>
      </c>
      <c r="AE140" s="388">
        <f t="shared" ca="1" si="73"/>
        <v>3.2614502132988443E-2</v>
      </c>
      <c r="AF140" s="388" t="str">
        <f t="shared" ca="1" si="73"/>
        <v/>
      </c>
      <c r="AG140" s="388" t="str">
        <f t="shared" ca="1" si="73"/>
        <v/>
      </c>
      <c r="AH140" s="388" t="str">
        <f t="shared" ca="1" si="73"/>
        <v/>
      </c>
      <c r="AI140" s="143"/>
      <c r="AJ140" s="143"/>
      <c r="AK140" s="143"/>
    </row>
    <row r="141" spans="1:37">
      <c r="A141" s="204">
        <f t="shared" si="53"/>
        <v>2012</v>
      </c>
      <c r="B141" s="206">
        <f>IF(AND($A141&gt;=SYear85,$A141&lt;=EYear85),IF(B$111&gt;0,B$111*Data_85_15!$C35,""),"")</f>
        <v>1.5</v>
      </c>
      <c r="C141" s="206">
        <f>IF(AND($A141&gt;=SYear85,$A141&lt;=EYear85),IF(C$111&gt;0,C$111*Data_85_15!$D35,""),"")</f>
        <v>1.5820000000000001</v>
      </c>
      <c r="D141" s="206">
        <f>IF(AND($A141&gt;=SYear85,$A141&lt;=EYear85),IF(D$111&gt;0,D$111*Data_85_15!$G35,""),"")</f>
        <v>1.8559999999999999</v>
      </c>
      <c r="E141" s="206">
        <f>IF(AND($A141&gt;=SYear85,$A141&lt;=EYear85),IF(E$111&gt;0,E$111*Data_85_15!$H35,""),"")</f>
        <v>1.804</v>
      </c>
      <c r="F141" s="206">
        <f>IF(AND($A141&gt;=SYear85,$A141&lt;=EYear85),IF(F$111&gt;0,F$111*Data_85_15!$K35,""),"")</f>
        <v>1.7530000000000001</v>
      </c>
      <c r="G141" s="206">
        <f>IF(AND($A141&gt;=SYear85,$A141&lt;=EYear85),IF(G$111&gt;0,G$111*Data_85_15!$N35,""),"")</f>
        <v>1.8140000000000001</v>
      </c>
      <c r="H141" s="206">
        <f>IF(AND($A141&gt;=SYear85,$A141&lt;=EYear85),IF(H$111&gt;0,H$111*Data_85_15!$U35,""),"")</f>
        <v>1.62</v>
      </c>
      <c r="I141" s="269">
        <f t="shared" si="54"/>
        <v>11.929000000000002</v>
      </c>
      <c r="J141" s="446">
        <f t="shared" si="55"/>
        <v>137825.0832842816</v>
      </c>
      <c r="K141" s="206">
        <f>IF(AND($A141&gt;=SYear85,$A141&lt;=EYear85),(I141-Data_85_15!$AZ35)/(1+Data_85_15!$AZ35%),"")</f>
        <v>10.013637954538533</v>
      </c>
      <c r="L141" s="491">
        <f t="shared" si="56"/>
        <v>63209.573433194419</v>
      </c>
      <c r="O141"/>
      <c r="P141">
        <f t="shared" si="52"/>
        <v>28</v>
      </c>
      <c r="Q141">
        <f t="shared" ca="1" si="57"/>
        <v>2013</v>
      </c>
      <c r="R141" s="443">
        <f t="shared" si="58"/>
        <v>122961.52079427232</v>
      </c>
      <c r="S141" s="443">
        <f t="shared" ref="S141:Z141" ca="1" si="85">IF(OFFSET(INDIRECT(S$111),$P141,0)="",S140,OFFSET(INDIRECT(S$111),$P141,0))</f>
        <v>122961.52079427232</v>
      </c>
      <c r="T141" s="443">
        <f t="shared" ca="1" si="85"/>
        <v>158136.36580788618</v>
      </c>
      <c r="U141" s="443">
        <f t="shared" ca="1" si="85"/>
        <v>141793.66487870266</v>
      </c>
      <c r="V141" s="443">
        <f t="shared" ca="1" si="85"/>
        <v>55558.479717299313</v>
      </c>
      <c r="W141" s="61">
        <f t="shared" ca="1" si="85"/>
        <v>3.8199999999999901E-2</v>
      </c>
      <c r="X141" s="61">
        <f t="shared" ca="1" si="85"/>
        <v>0</v>
      </c>
      <c r="Y141" s="443">
        <f t="shared" ca="1" si="85"/>
        <v>71451.751861498808</v>
      </c>
      <c r="Z141" s="443">
        <f t="shared" ca="1" si="85"/>
        <v>64067.526192892379</v>
      </c>
      <c r="AA141" s="388">
        <f t="shared" ca="1" si="73"/>
        <v>6.0177312927895965E-3</v>
      </c>
      <c r="AB141" s="388" t="str">
        <f t="shared" ca="1" si="73"/>
        <v/>
      </c>
      <c r="AC141" s="388" t="str">
        <f t="shared" ca="1" si="73"/>
        <v/>
      </c>
      <c r="AD141" s="388" t="str">
        <f t="shared" ca="1" si="73"/>
        <v/>
      </c>
      <c r="AE141" s="388">
        <f t="shared" ca="1" si="73"/>
        <v>-3.8963227491203289E-3</v>
      </c>
      <c r="AF141" s="388" t="str">
        <f t="shared" ca="1" si="73"/>
        <v/>
      </c>
      <c r="AG141" s="388" t="str">
        <f t="shared" ca="1" si="73"/>
        <v/>
      </c>
      <c r="AH141" s="388" t="str">
        <f t="shared" ca="1" si="73"/>
        <v/>
      </c>
      <c r="AI141" s="143"/>
      <c r="AJ141" s="143"/>
      <c r="AK141" s="143"/>
    </row>
    <row r="142" spans="1:37">
      <c r="A142" s="204">
        <f t="shared" si="53"/>
        <v>2013</v>
      </c>
      <c r="B142" s="206">
        <f>IF(AND($A142&gt;=SYear85,$A142&lt;=EYear85),IF(B$111&gt;0,B$111*Data_85_15!$C36,""),"")</f>
        <v>3.2850000000000001</v>
      </c>
      <c r="C142" s="206">
        <f>IF(AND($A142&gt;=SYear85,$A142&lt;=EYear85),IF(C$111&gt;0,C$111*Data_85_15!$D36,""),"")</f>
        <v>3.218</v>
      </c>
      <c r="D142" s="206">
        <f>IF(AND($A142&gt;=SYear85,$A142&lt;=EYear85),IF(D$111&gt;0,D$111*Data_85_15!$G36,""),"")</f>
        <v>3.641</v>
      </c>
      <c r="E142" s="206">
        <f>IF(AND($A142&gt;=SYear85,$A142&lt;=EYear85),IF(E$111&gt;0,E$111*Data_85_15!$H36,""),"")</f>
        <v>3.762</v>
      </c>
      <c r="F142" s="206">
        <f>IF(AND($A142&gt;=SYear85,$A142&lt;=EYear85),IF(F$111&gt;0,F$111*Data_85_15!$K36,""),"")</f>
        <v>0.23100000000000001</v>
      </c>
      <c r="G142" s="206">
        <f>IF(AND($A142&gt;=SYear85,$A142&lt;=EYear85),IF(G$111&gt;0,G$111*Data_85_15!$N36,""),"")</f>
        <v>1.504</v>
      </c>
      <c r="H142" s="206">
        <f>IF(AND($A142&gt;=SYear85,$A142&lt;=EYear85),IF(H$111&gt;0,H$111*Data_85_15!$U36,""),"")</f>
        <v>-0.90399999999999991</v>
      </c>
      <c r="I142" s="269">
        <f t="shared" si="54"/>
        <v>14.737</v>
      </c>
      <c r="J142" s="446">
        <f t="shared" si="55"/>
        <v>158136.36580788618</v>
      </c>
      <c r="K142" s="206">
        <f>IF(AND($A142&gt;=SYear85,$A142&lt;=EYear85),(I142-Data_85_15!$AZ36)/(1+Data_85_15!$AZ36%),"")</f>
        <v>13.039446369647571</v>
      </c>
      <c r="L142" s="491">
        <f t="shared" si="56"/>
        <v>71451.751861498808</v>
      </c>
      <c r="O142"/>
      <c r="P142">
        <f t="shared" si="52"/>
        <v>29</v>
      </c>
      <c r="Q142">
        <f t="shared" ca="1" si="57"/>
        <v>2014</v>
      </c>
      <c r="R142" s="443">
        <f t="shared" si="58"/>
        <v>135414.44881271225</v>
      </c>
      <c r="S142" s="443">
        <f t="shared" ref="S142:Z142" ca="1" si="86">IF(OFFSET(INDIRECT(S$111),$P142,0)="",S141,OFFSET(INDIRECT(S$111),$P142,0))</f>
        <v>135414.44881271225</v>
      </c>
      <c r="T142" s="443">
        <f t="shared" ca="1" si="86"/>
        <v>172882.58191947156</v>
      </c>
      <c r="U142" s="443">
        <f t="shared" ca="1" si="86"/>
        <v>161170.90081822753</v>
      </c>
      <c r="V142" s="443">
        <f t="shared" ca="1" si="86"/>
        <v>60725.778324696403</v>
      </c>
      <c r="W142" s="61">
        <f t="shared" ca="1" si="86"/>
        <v>0</v>
      </c>
      <c r="X142" s="61">
        <f t="shared" ca="1" si="86"/>
        <v>0</v>
      </c>
      <c r="Y142" s="443">
        <f t="shared" ca="1" si="86"/>
        <v>77528.132617244337</v>
      </c>
      <c r="Z142" s="443">
        <f t="shared" ca="1" si="86"/>
        <v>72276.101119871819</v>
      </c>
      <c r="AA142" s="388" t="str">
        <f t="shared" ca="1" si="73"/>
        <v/>
      </c>
      <c r="AB142" s="388" t="str">
        <f t="shared" ca="1" si="73"/>
        <v/>
      </c>
      <c r="AC142" s="388" t="str">
        <f t="shared" ca="1" si="73"/>
        <v/>
      </c>
      <c r="AD142" s="388" t="str">
        <f t="shared" ca="1" si="73"/>
        <v/>
      </c>
      <c r="AE142" s="388" t="str">
        <f t="shared" ca="1" si="73"/>
        <v/>
      </c>
      <c r="AF142" s="388" t="str">
        <f t="shared" ca="1" si="73"/>
        <v/>
      </c>
      <c r="AG142" s="388" t="str">
        <f t="shared" ca="1" si="73"/>
        <v/>
      </c>
      <c r="AH142" s="388" t="str">
        <f t="shared" ca="1" si="73"/>
        <v/>
      </c>
      <c r="AI142" s="143"/>
      <c r="AJ142" s="143"/>
      <c r="AK142" s="143"/>
    </row>
    <row r="143" spans="1:37">
      <c r="A143" s="204">
        <f t="shared" si="53"/>
        <v>2014</v>
      </c>
      <c r="B143" s="206">
        <f>IF(AND($A143&gt;=SYear85,$A143&lt;=EYear85),IF(B$111&gt;0,B$111*Data_85_15!$C37,""),"")</f>
        <v>1.3050000000000002</v>
      </c>
      <c r="C143" s="206">
        <f>IF(AND($A143&gt;=SYear85,$A143&lt;=EYear85),IF(C$111&gt;0,C$111*Data_85_15!$D37,""),"")</f>
        <v>1.351</v>
      </c>
      <c r="D143" s="206">
        <f>IF(AND($A143&gt;=SYear85,$A143&lt;=EYear85),IF(D$111&gt;0,D$111*Data_85_15!$G37,""),"")</f>
        <v>1.0390000000000001</v>
      </c>
      <c r="E143" s="206">
        <f>IF(AND($A143&gt;=SYear85,$A143&lt;=EYear85),IF(E$111&gt;0,E$111*Data_85_15!$H37,""),"")</f>
        <v>0.7370000000000001</v>
      </c>
      <c r="F143" s="206">
        <f>IF(AND($A143&gt;=SYear85,$A143&lt;=EYear85),IF(F$111&gt;0,F$111*Data_85_15!$K37,""),"")</f>
        <v>3.0129999999999999</v>
      </c>
      <c r="G143" s="206">
        <f>IF(AND($A143&gt;=SYear85,$A143&lt;=EYear85),IF(G$111&gt;0,G$111*Data_85_15!$N37,""),"")</f>
        <v>-0.42400000000000004</v>
      </c>
      <c r="H143" s="206">
        <f>IF(AND($A143&gt;=SYear85,$A143&lt;=EYear85),IF(H$111&gt;0,H$111*Data_85_15!$U37,""),"")</f>
        <v>2.3039999999999998</v>
      </c>
      <c r="I143" s="269">
        <f t="shared" si="54"/>
        <v>9.3249999999999993</v>
      </c>
      <c r="J143" s="446">
        <f t="shared" si="55"/>
        <v>172882.58191947156</v>
      </c>
      <c r="K143" s="206">
        <f>IF(AND($A143&gt;=SYear85,$A143&lt;=EYear85),(I143-Data_85_15!$AZ37)/(1+Data_85_15!$AZ37%),"")</f>
        <v>8.5041732322027741</v>
      </c>
      <c r="L143" s="491">
        <f t="shared" si="56"/>
        <v>77528.132617244337</v>
      </c>
      <c r="O143"/>
      <c r="P143">
        <f t="shared" si="52"/>
        <v>30</v>
      </c>
      <c r="Q143">
        <f t="shared" ca="1" si="57"/>
        <v>2015</v>
      </c>
      <c r="R143" s="443">
        <f t="shared" si="58"/>
        <v>130167.13892121965</v>
      </c>
      <c r="S143" s="443">
        <f t="shared" ref="S143:Z143" ca="1" si="87">IF(OFFSET(INDIRECT(S$111),$P143,0)="",S142,OFFSET(INDIRECT(S$111),$P143,0))</f>
        <v>130167.13892121965</v>
      </c>
      <c r="T143" s="443">
        <f t="shared" ca="1" si="87"/>
        <v>171276.50273343967</v>
      </c>
      <c r="U143" s="443">
        <f t="shared" ca="1" si="87"/>
        <v>157937.13345113036</v>
      </c>
      <c r="V143" s="443">
        <f t="shared" ca="1" si="87"/>
        <v>57949.898439507204</v>
      </c>
      <c r="W143" s="61">
        <f t="shared" ca="1" si="87"/>
        <v>3.8749999999999951E-2</v>
      </c>
      <c r="X143" s="61">
        <f t="shared" ca="1" si="87"/>
        <v>2.006421351919041E-2</v>
      </c>
      <c r="Y143" s="443">
        <f t="shared" ca="1" si="87"/>
        <v>76251.625569522119</v>
      </c>
      <c r="Z143" s="443">
        <f t="shared" ca="1" si="87"/>
        <v>70312.990814518591</v>
      </c>
      <c r="AA143" s="388" t="str">
        <f t="shared" ca="1" si="73"/>
        <v/>
      </c>
      <c r="AB143" s="388" t="str">
        <f t="shared" ca="1" si="73"/>
        <v/>
      </c>
      <c r="AC143" s="388" t="str">
        <f t="shared" ca="1" si="73"/>
        <v/>
      </c>
      <c r="AD143" s="388" t="str">
        <f t="shared" ca="1" si="73"/>
        <v/>
      </c>
      <c r="AE143" s="388" t="str">
        <f t="shared" ca="1" si="73"/>
        <v/>
      </c>
      <c r="AF143" s="388" t="str">
        <f t="shared" ca="1" si="73"/>
        <v/>
      </c>
      <c r="AG143" s="388" t="str">
        <f t="shared" ca="1" si="73"/>
        <v/>
      </c>
      <c r="AH143" s="388" t="str">
        <f t="shared" ca="1" si="73"/>
        <v/>
      </c>
      <c r="AI143" s="143"/>
      <c r="AJ143" s="143"/>
      <c r="AK143" s="143"/>
    </row>
    <row r="144" spans="1:37">
      <c r="A144" s="204">
        <f t="shared" si="53"/>
        <v>2015</v>
      </c>
      <c r="B144" s="206">
        <f>IF(AND($A144&gt;=SYear85,$A144&lt;=EYear85),IF(B$111&gt;0,B$111*Data_85_15!$C38,""),"")</f>
        <v>-0.10300000000000001</v>
      </c>
      <c r="C144" s="206">
        <f>IF(AND($A144&gt;=SYear85,$A144&lt;=EYear85),IF(C$111&gt;0,C$111*Data_85_15!$D38,""),"")</f>
        <v>0.125</v>
      </c>
      <c r="D144" s="206">
        <f>IF(AND($A144&gt;=SYear85,$A144&lt;=EYear85),IF(D$111&gt;0,D$111*Data_85_15!$G38,""),"")</f>
        <v>-0.47800000000000004</v>
      </c>
      <c r="E144" s="206">
        <f>IF(AND($A144&gt;=SYear85,$A144&lt;=EYear85),IF(E$111&gt;0,E$111*Data_85_15!$H38,""),"")</f>
        <v>-0.378</v>
      </c>
      <c r="F144" s="206">
        <f>IF(AND($A144&gt;=SYear85,$A144&lt;=EYear85),IF(F$111&gt;0,F$111*Data_85_15!$K38,""),"")</f>
        <v>0.22200000000000003</v>
      </c>
      <c r="G144" s="206">
        <f>IF(AND($A144&gt;=SYear85,$A144&lt;=EYear85),IF(G$111&gt;0,G$111*Data_85_15!$N38,""),"")</f>
        <v>-0.43700000000000006</v>
      </c>
      <c r="H144" s="206">
        <f>IF(AND($A144&gt;=SYear85,$A144&lt;=EYear85),IF(H$111&gt;0,H$111*Data_85_15!$U38,""),"")</f>
        <v>0.12</v>
      </c>
      <c r="I144" s="269">
        <f t="shared" si="54"/>
        <v>-0.92900000000000016</v>
      </c>
      <c r="J144" s="446">
        <f t="shared" si="55"/>
        <v>171276.50273343967</v>
      </c>
      <c r="K144" s="206">
        <f>IF(AND($A144&gt;=SYear85,$A144&lt;=EYear85),(I144-Data_85_15!$AZ38)/(1+Data_85_15!$AZ38%),"")</f>
        <v>-1.6465081830673185</v>
      </c>
      <c r="L144" s="491">
        <f t="shared" si="56"/>
        <v>76251.625569522119</v>
      </c>
      <c r="O144"/>
      <c r="P144">
        <f t="shared" si="52"/>
        <v>31</v>
      </c>
      <c r="Q144">
        <f t="shared" ca="1" si="57"/>
        <v>2015</v>
      </c>
      <c r="R144" s="443" t="str">
        <f t="shared" si="58"/>
        <v/>
      </c>
      <c r="S144" s="443">
        <f t="shared" ref="S144:Z144" ca="1" si="88">IF(OFFSET(INDIRECT(S$111),$P144,0)="",S143,OFFSET(INDIRECT(S$111),$P144,0))</f>
        <v>130167.13892121965</v>
      </c>
      <c r="T144" s="443">
        <f t="shared" ca="1" si="88"/>
        <v>171276.50273343967</v>
      </c>
      <c r="U144" s="443">
        <f t="shared" ca="1" si="88"/>
        <v>157937.13345113036</v>
      </c>
      <c r="V144" s="443">
        <f t="shared" ca="1" si="88"/>
        <v>57949.898439507204</v>
      </c>
      <c r="W144" s="61">
        <f t="shared" ca="1" si="88"/>
        <v>3.8749999999999951E-2</v>
      </c>
      <c r="X144" s="61">
        <f t="shared" ca="1" si="88"/>
        <v>2.006421351919041E-2</v>
      </c>
      <c r="Y144" s="443">
        <f t="shared" ca="1" si="88"/>
        <v>76251.625569522119</v>
      </c>
      <c r="Z144" s="443">
        <f t="shared" ca="1" si="88"/>
        <v>70312.990814518591</v>
      </c>
      <c r="AA144" s="388" t="str">
        <f t="shared" ca="1" si="73"/>
        <v/>
      </c>
      <c r="AB144" s="388" t="str">
        <f t="shared" ca="1" si="73"/>
        <v/>
      </c>
      <c r="AC144" s="388" t="str">
        <f t="shared" ca="1" si="73"/>
        <v/>
      </c>
      <c r="AD144" s="388" t="str">
        <f t="shared" ca="1" si="73"/>
        <v/>
      </c>
      <c r="AE144" s="388" t="str">
        <f t="shared" ca="1" si="73"/>
        <v/>
      </c>
      <c r="AF144" s="388" t="str">
        <f t="shared" ca="1" si="73"/>
        <v/>
      </c>
      <c r="AG144" s="388" t="str">
        <f t="shared" ca="1" si="73"/>
        <v/>
      </c>
      <c r="AH144" s="388" t="str">
        <f t="shared" ca="1" si="73"/>
        <v/>
      </c>
      <c r="AI144" s="143"/>
      <c r="AJ144" s="143"/>
      <c r="AK144" s="143"/>
    </row>
    <row r="145" spans="1:37">
      <c r="A145" s="204">
        <f t="shared" si="53"/>
        <v>2016</v>
      </c>
      <c r="B145" s="206" t="str">
        <f>IF(AND($A145&gt;=SYear85,$A145&lt;=EYear85),IF(B$111&gt;0,B$111*Data_85_15!$C39,""),"")</f>
        <v/>
      </c>
      <c r="C145" s="206" t="str">
        <f>IF(AND($A145&gt;=SYear85,$A145&lt;=EYear85),IF(C$111&gt;0,C$111*Data_85_15!$D39,""),"")</f>
        <v/>
      </c>
      <c r="D145" s="206" t="str">
        <f>IF(AND($A145&gt;=SYear85,$A145&lt;=EYear85),IF(D$111&gt;0,D$111*Data_85_15!$G39,""),"")</f>
        <v/>
      </c>
      <c r="E145" s="206" t="str">
        <f>IF(AND($A145&gt;=SYear85,$A145&lt;=EYear85),IF(E$111&gt;0,E$111*Data_85_15!$H39,""),"")</f>
        <v/>
      </c>
      <c r="F145" s="206" t="str">
        <f>IF(AND($A145&gt;=SYear85,$A145&lt;=EYear85),IF(F$111&gt;0,F$111*Data_85_15!$K39,""),"")</f>
        <v/>
      </c>
      <c r="G145" s="206" t="str">
        <f>IF(AND($A145&gt;=SYear85,$A145&lt;=EYear85),IF(G$111&gt;0,G$111*Data_85_15!$N39,""),"")</f>
        <v/>
      </c>
      <c r="H145" s="206" t="str">
        <f>IF(AND($A145&gt;=SYear85,$A145&lt;=EYear85),IF(H$111&gt;0,H$111*Data_85_15!$U39,""),"")</f>
        <v/>
      </c>
      <c r="I145" s="269" t="str">
        <f t="shared" si="54"/>
        <v/>
      </c>
      <c r="J145" s="446" t="str">
        <f t="shared" si="55"/>
        <v/>
      </c>
      <c r="K145" s="206" t="str">
        <f>IF(AND($A145&gt;=SYear85,$A145&lt;=EYear85),(I145-Data_85_15!$AZ39)/(1+Data_85_15!$AZ39%),"")</f>
        <v/>
      </c>
      <c r="L145" s="491" t="str">
        <f t="shared" si="56"/>
        <v/>
      </c>
      <c r="O145"/>
      <c r="P145">
        <f t="shared" si="52"/>
        <v>32</v>
      </c>
      <c r="Q145">
        <f t="shared" ca="1" si="57"/>
        <v>2015</v>
      </c>
      <c r="R145" s="443">
        <f t="shared" si="58"/>
        <v>0</v>
      </c>
      <c r="S145" s="443">
        <f t="shared" ref="S145:Z145" ca="1" si="89">IF(OFFSET(INDIRECT(S$111),$P145,0)="",S144,OFFSET(INDIRECT(S$111),$P145,0))</f>
        <v>130167.13892121965</v>
      </c>
      <c r="T145" s="443">
        <f t="shared" ca="1" si="89"/>
        <v>171276.50273343967</v>
      </c>
      <c r="U145" s="443">
        <f t="shared" ca="1" si="89"/>
        <v>157937.13345113036</v>
      </c>
      <c r="V145" s="443">
        <f t="shared" ca="1" si="89"/>
        <v>57949.898439507204</v>
      </c>
      <c r="W145" s="61">
        <f t="shared" ca="1" si="89"/>
        <v>3.8749999999999951E-2</v>
      </c>
      <c r="X145" s="61">
        <f t="shared" ca="1" si="89"/>
        <v>2.006421351919041E-2</v>
      </c>
      <c r="Y145" s="443">
        <f t="shared" ca="1" si="89"/>
        <v>76251.625569522119</v>
      </c>
      <c r="Z145" s="443">
        <f t="shared" ca="1" si="89"/>
        <v>70312.990814518591</v>
      </c>
      <c r="AA145" s="388" t="str">
        <f t="shared" ca="1" si="73"/>
        <v/>
      </c>
      <c r="AB145" s="388" t="str">
        <f t="shared" ca="1" si="73"/>
        <v/>
      </c>
      <c r="AC145" s="388" t="str">
        <f t="shared" ca="1" si="73"/>
        <v/>
      </c>
      <c r="AD145" s="388" t="str">
        <f t="shared" ca="1" si="73"/>
        <v/>
      </c>
      <c r="AE145" s="388" t="str">
        <f t="shared" ca="1" si="73"/>
        <v/>
      </c>
      <c r="AF145" s="388" t="str">
        <f t="shared" ca="1" si="73"/>
        <v/>
      </c>
      <c r="AG145" s="388" t="str">
        <f t="shared" ca="1" si="73"/>
        <v/>
      </c>
      <c r="AH145" s="388" t="str">
        <f t="shared" ca="1" si="73"/>
        <v/>
      </c>
      <c r="AI145" s="143"/>
      <c r="AJ145" s="143"/>
      <c r="AK145" s="143"/>
    </row>
    <row r="146" spans="1:37" ht="13" thickBot="1">
      <c r="A146" s="41" t="s">
        <v>309</v>
      </c>
      <c r="B146" s="206" t="str">
        <f>IF(AND($A146&gt;=SYear85,$A146&lt;=EYear85),IF(B$111&gt;0,B$111*Data_85_15!D41,""),"")</f>
        <v/>
      </c>
      <c r="C146" s="206" t="str">
        <f>IF(AND($A146&gt;=SYear85,$A146&lt;=EYear85),IF(C$111&gt;0,C$111*Data_85_15!E41,""),"")</f>
        <v/>
      </c>
      <c r="D146" s="206" t="str">
        <f>IF(AND($A146&gt;=SYear85,$A146&lt;=EYear85),IF(D$111&gt;0,D$111*Data_85_15!G41,""),"")</f>
        <v/>
      </c>
      <c r="E146" s="206" t="str">
        <f>IF(AND($A146&gt;=SYear85,$A146&lt;=EYear85),IF(E$111&gt;0,E$111*Data_72_15!H30,""),"")</f>
        <v/>
      </c>
      <c r="F146" s="206" t="str">
        <f>IF(AND($A146&gt;=SYear85,$A146&lt;=EYear85),IF(F$111&gt;0,F$111*Data_85_15!N41,""),"")</f>
        <v/>
      </c>
      <c r="G146" s="206" t="str">
        <f>IF(AND($A146&gt;EYear72-Portfolio!$B$85,EYear72&gt;=$A146),IF(D$111&gt;0,D$111*Data_72_15!G34,""),"")</f>
        <v/>
      </c>
      <c r="H146" s="206" t="str">
        <f>IF(AND($A146&gt;EYear72-Portfolio!$B$85,EYear72&gt;=$A146),IF(E$111&gt;0,E$111*Data_72_15!H34,""),"")</f>
        <v/>
      </c>
      <c r="I146" s="211" t="str">
        <f>IF(AND($A146&gt;EYear72-Portfolio!$B$85,$A146&lt;=EYear72),SUM(B146:H146),"")</f>
        <v/>
      </c>
      <c r="J146" s="488"/>
      <c r="K146" s="211"/>
      <c r="L146" s="489" t="str">
        <f>IF(AND(EYear72-Portfolio!$B$85&lt;$A146,EYear72&gt;$A146),IF(EYear72-Portfolio!$B$85+1=$A146,$L$113*(1+I146%),L135*(1+I146%)),"")</f>
        <v/>
      </c>
      <c r="R146" s="443"/>
      <c r="S146" s="443"/>
      <c r="T146" s="443"/>
      <c r="U146" s="443"/>
      <c r="V146" s="443"/>
      <c r="Y146" s="443"/>
      <c r="Z146" s="443"/>
    </row>
    <row r="147" spans="1:37" ht="21" thickBot="1">
      <c r="A147" s="212" t="s">
        <v>406</v>
      </c>
      <c r="B147" s="213" t="s">
        <v>175</v>
      </c>
      <c r="C147" s="213" t="s">
        <v>176</v>
      </c>
      <c r="D147" s="213" t="s">
        <v>436</v>
      </c>
      <c r="E147" s="213" t="s">
        <v>178</v>
      </c>
      <c r="F147" s="477" t="s">
        <v>179</v>
      </c>
      <c r="G147" s="477" t="s">
        <v>180</v>
      </c>
      <c r="H147" s="474" t="s">
        <v>181</v>
      </c>
      <c r="I147" s="292"/>
      <c r="J147" s="215"/>
      <c r="K147" s="215"/>
      <c r="L147" s="271"/>
    </row>
    <row r="148" spans="1:37" ht="14" thickTop="1" thickBot="1">
      <c r="A148" s="218" t="s">
        <v>407</v>
      </c>
      <c r="B148" s="441">
        <f>IF(I111="ERROR","ERROR",VLOOKUP(EYear85,Rebal_CHP_ReturnsTable85,COLUMN(J136),FALSE))</f>
        <v>171276.50273343967</v>
      </c>
      <c r="C148" s="219">
        <f>RATE(Portfolio!$K$85,0,-$J$113,B148)*100</f>
        <v>9.5965044816898448</v>
      </c>
      <c r="D148" s="219">
        <f ca="1">STDEV(Rebal_CHP_NominalReturns85)</f>
        <v>10.448685296441651</v>
      </c>
      <c r="E148" s="219">
        <f ca="1">((AVERAGE(Rebal_CHP_NominalReturns85))-(AVERAGE(TBill85)))/STDEV(Rebal_CHP_NominalReturns85)</f>
        <v>0.62029663319812467</v>
      </c>
      <c r="F148" s="219">
        <f t="array" aca="1" ref="F148" ca="1">(AVERAGE(Rebal_CHP_NominalReturns85)-MAR85_Nominal*100)/SQRT(SUM(IF(Rebal_CHP_NominalReturns85&lt;MAR85_Nominal*100,(Rebal_CHP_NominalReturns85-MAR85_Nominal*100)^2))/COUNT(Rebal_CHP_NominalReturns85))</f>
        <v>0.9176845358248098</v>
      </c>
      <c r="G148" s="472">
        <f ca="1">(PEARSON(Rebal_CHP_NominalReturns85,OFFSET(Data_85_15!$B$8,$A$150,0,$C$150,1)))</f>
        <v>0.89616610994878432</v>
      </c>
      <c r="H148" s="475">
        <f ca="1">(PEARSON(Rebal_CHP_NominalReturns85,OFFSET(Data_85_15!$N$8,$A$150,0,$C$150,1)))</f>
        <v>0.74089314811378071</v>
      </c>
      <c r="I148" s="274" t="str">
        <f>IF(AND($A148&gt;EYear72-Portfolio!$B$85,$A148&lt;=EYear72),SUM(B148:H148),"")</f>
        <v/>
      </c>
      <c r="J148" s="274"/>
      <c r="K148" s="274"/>
      <c r="L148" s="274" t="str">
        <f>IF(AND(EYear72-Portfolio!$B$85&lt;$A148,EYear72&gt;$A148),IF(EYear72-Portfolio!$B$85+1=$A148,$L$113*(1+I148%),L137*(1+I148%)),"")</f>
        <v/>
      </c>
    </row>
    <row r="149" spans="1:37" ht="13" thickBot="1">
      <c r="A149" s="223" t="s">
        <v>408</v>
      </c>
      <c r="B149" s="442">
        <f>IF(I111="ERROR","ERROR",VLOOKUP(EYear85,Rebal_CHP_ReturnsTable85,COLUMN(L137),FALSE))</f>
        <v>76251.625569522119</v>
      </c>
      <c r="C149" s="224">
        <f>RATE(Portfolio!$K$85,0,-$J$113,B149)*100</f>
        <v>6.7725582844340559</v>
      </c>
      <c r="D149" s="224">
        <f ca="1">STDEV(Rebal_CHP_RealReturns85)</f>
        <v>10.159114303659553</v>
      </c>
      <c r="E149" s="224">
        <f ca="1">((AVERAGE(Rebal_CHP_RealReturns85))-(AVERAGE(TBill85_Real)))/STDEV(Rebal_CHP_RealReturns85)</f>
        <v>0.62226100669740769</v>
      </c>
      <c r="F149" s="473">
        <f t="array" aca="1" ref="F149" ca="1">(AVERAGE(Rebal_CHP_RealReturns85)-MAR85_Real*100)/SQRT(SUM(IF(Rebal_CHP_RealReturns85&lt;MAR85_Real*100,(Rebal_CHP_RealReturns85-MAR85_Real*100)^2))/COUNT(Rebal_CHP_RealReturns85))</f>
        <v>1.0081772297106433</v>
      </c>
      <c r="G149" s="293">
        <f ca="1">(PEARSON(Rebal_CHP_RealReturns85,OFFSET(Data_85_15!$B$8,$A$150,0,$C$150,1)))</f>
        <v>0.89030268856995498</v>
      </c>
      <c r="H149" s="476">
        <f ca="1">(PEARSON(Rebal_CHP_RealReturns85,OFFSET(Data_85_15!$N$8,$A$150,0,$C$150,1)))</f>
        <v>0.72743906481054321</v>
      </c>
      <c r="I149" s="274" t="str">
        <f>IF(AND($A149&gt;EYear72-Portfolio!$B$85,$A149&lt;=EYear72),SUM(B149:H149),"")</f>
        <v/>
      </c>
      <c r="J149" s="274"/>
      <c r="K149" s="274"/>
      <c r="L149" s="274" t="str">
        <f>IF(AND(EYear72-Portfolio!$B$85&lt;$A149,EYear72&gt;$A149),IF(EYear72-Portfolio!$B$85+1=$A149,$L$113*(1+I149%),L138*(1+I149%)),"")</f>
        <v/>
      </c>
    </row>
    <row r="150" spans="1:37" ht="13" thickTop="1">
      <c r="A150" s="450">
        <f>MATCH(SYear85,A114:A144,0)-1</f>
        <v>0</v>
      </c>
      <c r="B150" s="451">
        <f>MATCH(EYear85,A114:A146,0)-1</f>
        <v>30</v>
      </c>
      <c r="C150" s="452">
        <f>B150-A150+1</f>
        <v>31</v>
      </c>
      <c r="D150" s="155"/>
      <c r="E150" s="155"/>
      <c r="F150" s="155"/>
      <c r="G150" s="155"/>
      <c r="H150" s="155"/>
      <c r="I150" s="155"/>
    </row>
    <row r="151" spans="1:37" ht="13" thickBot="1">
      <c r="A151" s="294" t="s">
        <v>409</v>
      </c>
      <c r="B151" s="155"/>
      <c r="C151" s="155"/>
      <c r="D151" s="155"/>
      <c r="E151" s="155"/>
      <c r="F151" s="155"/>
      <c r="G151" s="155"/>
      <c r="H151" s="155"/>
      <c r="I151" s="155"/>
    </row>
    <row r="152" spans="1:37">
      <c r="A152" s="275" t="s">
        <v>406</v>
      </c>
      <c r="B152" s="213" t="s">
        <v>415</v>
      </c>
      <c r="C152" s="213" t="s">
        <v>371</v>
      </c>
      <c r="D152" s="213" t="s">
        <v>375</v>
      </c>
      <c r="E152" s="213" t="s">
        <v>376</v>
      </c>
      <c r="F152" s="213" t="s">
        <v>114</v>
      </c>
      <c r="G152" s="213" t="s">
        <v>418</v>
      </c>
      <c r="H152" s="213" t="s">
        <v>383</v>
      </c>
      <c r="I152" s="213" t="s">
        <v>300</v>
      </c>
      <c r="J152" s="236"/>
      <c r="K152" s="236"/>
      <c r="L152" s="236"/>
    </row>
    <row r="153" spans="1:37">
      <c r="A153" s="276" t="s">
        <v>411</v>
      </c>
      <c r="B153" s="277" t="s">
        <v>101</v>
      </c>
      <c r="C153" s="277" t="s">
        <v>99</v>
      </c>
      <c r="D153" s="277" t="s">
        <v>107</v>
      </c>
      <c r="E153" s="277" t="s">
        <v>109</v>
      </c>
      <c r="F153" s="277" t="s">
        <v>115</v>
      </c>
      <c r="G153" s="277" t="s">
        <v>120</v>
      </c>
      <c r="H153" s="277" t="s">
        <v>134</v>
      </c>
      <c r="I153" s="295" t="s">
        <v>138</v>
      </c>
      <c r="J153" s="48"/>
      <c r="K153" s="48"/>
      <c r="L153" s="48"/>
    </row>
    <row r="154" spans="1:37">
      <c r="A154" s="296"/>
      <c r="B154" s="297">
        <f ca="1">PEARSON(OFFSET(Returns_85_15!$I$114,$A$150,0,$C$150,1),OFFSET(Data_85_15!$D$8,$A$150,0,$C$150,1))</f>
        <v>0.87014234238783317</v>
      </c>
      <c r="C154" s="297">
        <f ca="1">PEARSON(OFFSET(Returns_85_15!$I$114,$A$150,0,$C$150,1),OFFSET(Data_85_15!$C$8,$A$150,0,$C$150,1))</f>
        <v>0.94007663122701124</v>
      </c>
      <c r="D154" s="297">
        <f ca="1">PEARSON(OFFSET(Returns_85_15!$I$114,$A$150,0,$C$150,1),OFFSET(Data_85_15!$G$8,$A$150,0,$C$150,1))</f>
        <v>0.88748578874245432</v>
      </c>
      <c r="E154" s="297">
        <f ca="1">PEARSON(OFFSET(Returns_85_15!$I$114,$A$150,0,$C$150,1),OFFSET(Data_85_15!$H$8,$A$150,0,$C$150,1))</f>
        <v>0.9117453185321448</v>
      </c>
      <c r="F154" s="297">
        <f ca="1">PEARSON(OFFSET(Returns_85_15!$I$114,$A$150,0,$C$150,1),OFFSET(Data_85_15!$K$8,$A$150,0,$C$150,1))</f>
        <v>0.74703707530941865</v>
      </c>
      <c r="G154" s="297">
        <f ca="1">PEARSON(OFFSET(Returns_85_15!$I$114,$A$150,0,$C$150,1),OFFSET(Data_85_15!$N$8,$A$150,0,$C$150,1))</f>
        <v>0.74089314811378071</v>
      </c>
      <c r="H154" s="297">
        <f ca="1">PEARSON(OFFSET(Returns_85_15!$I$114,$A$150,0,$C$150,1),OFFSET(Data_85_15!$U$8,$A$150,0,$C$150,1))</f>
        <v>0.41721346242066892</v>
      </c>
      <c r="I154" s="298">
        <f ca="1">PEARSON(OFFSET(Returns_85_15!$I$114,$A$150,0,$C$150,1),OFFSET(Data_85_15!$W$8,$A$150,0,$C$150,1))</f>
        <v>0.25630152169732118</v>
      </c>
    </row>
    <row r="157" spans="1:37">
      <c r="A157" s="36" t="str">
        <f>"CHP Nominal (Rebalanced) = "&amp;TEXT(B148,"#,##0")</f>
        <v>CHP Nominal (Rebalanced) = 171,277</v>
      </c>
    </row>
    <row r="158" spans="1:37">
      <c r="A158" s="36" t="str">
        <f>"CHP Real (Rebalanced) = "&amp;TEXT(B149,"#,##0")</f>
        <v>CHP Real (Rebalanced) = 76,252</v>
      </c>
    </row>
    <row r="161" spans="2:20" ht="13">
      <c r="B161" s="641" t="s">
        <v>437</v>
      </c>
      <c r="C161" s="641"/>
    </row>
    <row r="162" spans="2:20" ht="36">
      <c r="C162" s="181" t="s">
        <v>438</v>
      </c>
      <c r="D162" s="181" t="s">
        <v>393</v>
      </c>
      <c r="E162" s="181" t="s">
        <v>394</v>
      </c>
      <c r="F162" s="181" t="s">
        <v>395</v>
      </c>
      <c r="G162" s="181" t="s">
        <v>396</v>
      </c>
      <c r="H162" s="181" t="s">
        <v>397</v>
      </c>
      <c r="O162" s="181" t="s">
        <v>439</v>
      </c>
      <c r="P162" s="181" t="s">
        <v>393</v>
      </c>
      <c r="Q162" s="181" t="s">
        <v>394</v>
      </c>
      <c r="R162" s="181" t="s">
        <v>395</v>
      </c>
      <c r="S162" s="181" t="s">
        <v>396</v>
      </c>
      <c r="T162" s="181" t="s">
        <v>397</v>
      </c>
    </row>
    <row r="164" spans="2:20">
      <c r="C164" s="443">
        <v>10000</v>
      </c>
      <c r="O164" s="26">
        <v>1</v>
      </c>
    </row>
    <row r="165" spans="2:20">
      <c r="B165" s="165">
        <v>1985</v>
      </c>
      <c r="C165" s="492">
        <f>BA7</f>
        <v>11909.420792584828</v>
      </c>
      <c r="D165" s="61">
        <f>IF(AND($B165&gt;=SYear85,$B165&lt;=EYear85),IF($B165=SYear85,(C165/C$164)-1,(C165/C164)-1),"")</f>
        <v>0.19094207925848283</v>
      </c>
      <c r="E165" s="61">
        <f t="shared" ref="E165:E193" si="90">IF(AND($B165&gt;=SYear85,$B165&lt;=EYear85),IF($B165=SYear85,(($C167/$C$164)^(1/(1+($B167-$B165)))-1),(($C167/$C164)^(1/(1+($B167-$B165)))-1)),"")</f>
        <v>0.15491594279020648</v>
      </c>
      <c r="F165" s="61">
        <f t="shared" ref="F165:F191" si="91">IF(AND($B165&gt;=SYear85,$B165&lt;=EYear85),IF($B165=SYear85,(($C169/$C$164)^(1/(1+($B169-$B165)))-1),(($C169/$C164)^(1/(1+($B169-$B165)))-1)),"")</f>
        <v>0.1317115494124439</v>
      </c>
      <c r="G165" s="61">
        <f t="shared" ref="G165:G186" si="92">IF(AND($B165&gt;=SYear85,$B165&lt;=EYear85),IF($B165=SYear85,(($C174/$C$164)^(1/(1+($B174-$B165)))-1),(($C174/$C164)^(1/(1+($B174-$B165)))-1)),"")</f>
        <v>9.9323962448060188E-2</v>
      </c>
      <c r="H165" s="61">
        <f t="shared" ref="H165:H181" si="93">IF(AND($B165&gt;=SYear85,$B165&lt;=EYear85),IF($B165=SYear85,(($C179/$C$164)^(1/(1+($B179-$B165)))-1),(($C179/$C164)^(1/(1+($B179-$B165)))-1)),"")</f>
        <v>9.0702168635621527E-2</v>
      </c>
      <c r="N165" s="165">
        <v>1985</v>
      </c>
      <c r="O165" s="143">
        <f>IF(AND($N165&gt;=SYear85,$N165&lt;=EYear85),IF($N165=SYear85,(1+AZ7%)*$O$164,(1+AZ7%)*O164),"")</f>
        <v>1.1909420792584828</v>
      </c>
      <c r="P165" s="61">
        <f>IF(AND($N165&gt;=SYear85,$N165&lt;=EYear85),IF($N165=SYear85,(O165/O$164)-1,(O165/O164)-1),"")</f>
        <v>0.19094207925848283</v>
      </c>
      <c r="Q165" s="61">
        <f t="shared" ref="Q165:Q193" si="94">IF(AND($N165&gt;=SYear85,$N165&lt;=EYear85),IF($N165=SYear85,(($O167/$O$164)^(1/(1+($N167-$N165)))-1),(($O167/$O164)^(1/(1+($N167-$N165)))-1)),"")</f>
        <v>0.15491594279020648</v>
      </c>
      <c r="R165" s="61">
        <f t="shared" ref="R165:R191" si="95">IF(AND($N165&gt;=SYear85,$N165&lt;=EYear85),IF($N165=SYear85,(($O169/$O$164)^(1/(1+($N169-$N165)))-1),(($O169/$O164)^(1/(1+($N169-$N165)))-1)),"")</f>
        <v>0.1317115494124439</v>
      </c>
      <c r="S165" s="61">
        <f t="shared" ref="S165:S186" si="96">IF(AND($N165&gt;=SYear85,$N165&lt;=EYear85),IF($N165=SYear85,(($O174/$O$164)^(1/(1+($N174-$N165)))-1),(($O174/$O164)^(1/(1+($N174-$N165)))-1)),"")</f>
        <v>9.9323962448060188E-2</v>
      </c>
      <c r="T165" s="61">
        <f t="shared" ref="T165:T181" si="97">IF(AND($N165&gt;=SYear85,$N165&lt;=EYear85),IF($N165=SYear85,(($O179/$O$164)^(1/(1+($N179-$N165)))-1),(($O179/$O164)^(1/(1+($N179-$N165)))-1)),"")</f>
        <v>9.0702168635621527E-2</v>
      </c>
    </row>
    <row r="166" spans="2:20">
      <c r="B166" s="165">
        <f>B165+1</f>
        <v>1986</v>
      </c>
      <c r="C166" s="492">
        <f t="shared" ref="C166:C195" si="98">BA8</f>
        <v>14439.001457695165</v>
      </c>
      <c r="D166" s="61">
        <f t="shared" ref="D166:D195" si="99">IF(AND($B166&gt;=SYear85,$B166&lt;=EYear85),IF($B166=SYear85,(C166/C$164)-1,(C166/C165)-1),"")</f>
        <v>0.21240165320930915</v>
      </c>
      <c r="E166" s="61">
        <f t="shared" si="90"/>
        <v>0.11765889804607021</v>
      </c>
      <c r="F166" s="61">
        <f t="shared" si="91"/>
        <v>9.1859878867671663E-2</v>
      </c>
      <c r="G166" s="61">
        <f t="shared" si="92"/>
        <v>9.6758684495235281E-2</v>
      </c>
      <c r="H166" s="61">
        <f t="shared" si="93"/>
        <v>8.4378973132825275E-2</v>
      </c>
      <c r="N166" s="165">
        <f>N165+1</f>
        <v>1986</v>
      </c>
      <c r="O166" s="143">
        <f t="shared" ref="O166:O195" si="100">IF(AND($N166&gt;=SYear85,$N166&lt;=EYear85),IF($N166=SYear85,(1+AZ8%)*$O$164,(1+AZ8%)*O165),"")</f>
        <v>1.4439001457695166</v>
      </c>
      <c r="P166" s="61">
        <f t="shared" ref="P166:P195" si="101">IF(AND($N166&gt;=SYear85,$N166&lt;=EYear85),IF($N166=SYear85,(O166/O$164)-1,(O166/O165)-1),"")</f>
        <v>0.21240165320930915</v>
      </c>
      <c r="Q166" s="61">
        <f t="shared" si="94"/>
        <v>0.11765889804607021</v>
      </c>
      <c r="R166" s="61">
        <f t="shared" si="95"/>
        <v>9.1859878867671663E-2</v>
      </c>
      <c r="S166" s="61">
        <f t="shared" si="96"/>
        <v>9.6758684495235059E-2</v>
      </c>
      <c r="T166" s="61">
        <f t="shared" si="97"/>
        <v>8.4378973132825275E-2</v>
      </c>
    </row>
    <row r="167" spans="2:20">
      <c r="B167" s="165">
        <f t="shared" ref="B167:B195" si="102">B166+1</f>
        <v>1987</v>
      </c>
      <c r="C167" s="492">
        <f t="shared" si="98"/>
        <v>15404.62496223876</v>
      </c>
      <c r="D167" s="61">
        <f t="shared" si="99"/>
        <v>6.6876058387609127E-2</v>
      </c>
      <c r="E167" s="61">
        <f t="shared" si="90"/>
        <v>8.7377961299538898E-2</v>
      </c>
      <c r="F167" s="61">
        <f t="shared" si="91"/>
        <v>8.2181994716716833E-2</v>
      </c>
      <c r="G167" s="61">
        <f t="shared" si="92"/>
        <v>8.0169121750604644E-2</v>
      </c>
      <c r="H167" s="61">
        <f t="shared" si="93"/>
        <v>7.259375509014343E-2</v>
      </c>
      <c r="N167" s="165">
        <f t="shared" ref="N167:N195" si="103">N166+1</f>
        <v>1987</v>
      </c>
      <c r="O167" s="143">
        <f t="shared" si="100"/>
        <v>1.5404624962238762</v>
      </c>
      <c r="P167" s="61">
        <f t="shared" si="101"/>
        <v>6.6876058387609127E-2</v>
      </c>
      <c r="Q167" s="61">
        <f t="shared" si="94"/>
        <v>8.7377961299538898E-2</v>
      </c>
      <c r="R167" s="61">
        <f t="shared" si="95"/>
        <v>8.2181994716716833E-2</v>
      </c>
      <c r="S167" s="61">
        <f t="shared" si="96"/>
        <v>8.0169121750604644E-2</v>
      </c>
      <c r="T167" s="61">
        <f t="shared" si="97"/>
        <v>7.259375509014343E-2</v>
      </c>
    </row>
    <row r="168" spans="2:20">
      <c r="B168" s="165">
        <f t="shared" si="102"/>
        <v>1988</v>
      </c>
      <c r="C168" s="492">
        <f t="shared" si="98"/>
        <v>16627.17548610381</v>
      </c>
      <c r="D168" s="61">
        <f t="shared" si="99"/>
        <v>7.936256331211422E-2</v>
      </c>
      <c r="E168" s="61">
        <f t="shared" si="90"/>
        <v>6.2571141476447156E-2</v>
      </c>
      <c r="F168" s="61">
        <f t="shared" si="91"/>
        <v>8.1137709823968063E-2</v>
      </c>
      <c r="G168" s="61">
        <f t="shared" si="92"/>
        <v>8.0653267771984893E-2</v>
      </c>
      <c r="H168" s="61">
        <f t="shared" si="93"/>
        <v>7.5370593768201433E-2</v>
      </c>
      <c r="N168" s="165">
        <f t="shared" si="103"/>
        <v>1988</v>
      </c>
      <c r="O168" s="143">
        <f t="shared" si="100"/>
        <v>1.6627175486103811</v>
      </c>
      <c r="P168" s="61">
        <f t="shared" si="101"/>
        <v>7.936256331211422E-2</v>
      </c>
      <c r="Q168" s="61">
        <f t="shared" si="94"/>
        <v>6.2571141476447378E-2</v>
      </c>
      <c r="R168" s="61">
        <f t="shared" si="95"/>
        <v>8.1137709823968063E-2</v>
      </c>
      <c r="S168" s="61">
        <f t="shared" si="96"/>
        <v>8.0653267771984893E-2</v>
      </c>
      <c r="T168" s="61">
        <f t="shared" si="97"/>
        <v>7.5370593768201433E-2</v>
      </c>
    </row>
    <row r="169" spans="2:20">
      <c r="B169" s="165">
        <f t="shared" si="102"/>
        <v>1989</v>
      </c>
      <c r="C169" s="492">
        <f t="shared" si="98"/>
        <v>18564.306923607022</v>
      </c>
      <c r="D169" s="61">
        <f t="shared" si="99"/>
        <v>0.11650393893552002</v>
      </c>
      <c r="E169" s="61">
        <f t="shared" si="90"/>
        <v>8.8278542781608627E-2</v>
      </c>
      <c r="F169" s="61">
        <f t="shared" si="91"/>
        <v>9.6595866002933128E-2</v>
      </c>
      <c r="G169" s="61">
        <f t="shared" si="92"/>
        <v>7.8767546534376454E-2</v>
      </c>
      <c r="H169" s="61">
        <f t="shared" si="93"/>
        <v>8.0539511548948228E-2</v>
      </c>
      <c r="N169" s="165">
        <f t="shared" si="103"/>
        <v>1989</v>
      </c>
      <c r="O169" s="143">
        <f t="shared" si="100"/>
        <v>1.8564306923607026</v>
      </c>
      <c r="P169" s="61">
        <f t="shared" si="101"/>
        <v>0.11650393893552002</v>
      </c>
      <c r="Q169" s="61">
        <f t="shared" si="94"/>
        <v>8.8278542781608627E-2</v>
      </c>
      <c r="R169" s="61">
        <f t="shared" si="95"/>
        <v>9.6595866002933128E-2</v>
      </c>
      <c r="S169" s="61">
        <f t="shared" si="96"/>
        <v>7.8767546534376454E-2</v>
      </c>
      <c r="T169" s="61">
        <f t="shared" si="97"/>
        <v>8.0539511548948228E-2</v>
      </c>
    </row>
    <row r="170" spans="2:20">
      <c r="B170" s="165">
        <f t="shared" si="102"/>
        <v>1990</v>
      </c>
      <c r="C170" s="492">
        <f t="shared" si="98"/>
        <v>18480.987766090686</v>
      </c>
      <c r="D170" s="61">
        <f t="shared" si="99"/>
        <v>-4.4881372549591125E-3</v>
      </c>
      <c r="E170" s="61">
        <f t="shared" si="90"/>
        <v>7.0185730684646952E-2</v>
      </c>
      <c r="F170" s="61">
        <f t="shared" si="91"/>
        <v>6.7863251055389151E-2</v>
      </c>
      <c r="G170" s="61">
        <f t="shared" si="92"/>
        <v>7.0758155619457419E-2</v>
      </c>
      <c r="H170" s="61">
        <f t="shared" si="93"/>
        <v>7.9503694521900536E-2</v>
      </c>
      <c r="N170" s="165">
        <f t="shared" si="103"/>
        <v>1990</v>
      </c>
      <c r="O170" s="143">
        <f t="shared" si="100"/>
        <v>1.8480987766090691</v>
      </c>
      <c r="P170" s="61">
        <f t="shared" si="101"/>
        <v>-4.4881372549590015E-3</v>
      </c>
      <c r="Q170" s="61">
        <f t="shared" si="94"/>
        <v>7.018573068464673E-2</v>
      </c>
      <c r="R170" s="61">
        <f t="shared" si="95"/>
        <v>6.7863251055388929E-2</v>
      </c>
      <c r="S170" s="61">
        <f t="shared" si="96"/>
        <v>7.0758155619457419E-2</v>
      </c>
      <c r="T170" s="61">
        <f t="shared" si="97"/>
        <v>7.9503694521900536E-2</v>
      </c>
    </row>
    <row r="171" spans="2:20">
      <c r="B171" s="165">
        <f t="shared" si="102"/>
        <v>1991</v>
      </c>
      <c r="C171" s="492">
        <f t="shared" si="98"/>
        <v>21430.814624733597</v>
      </c>
      <c r="D171" s="61">
        <f t="shared" si="99"/>
        <v>0.15961413404836056</v>
      </c>
      <c r="E171" s="61">
        <f t="shared" si="90"/>
        <v>0.12575039367669705</v>
      </c>
      <c r="F171" s="61">
        <f t="shared" si="91"/>
        <v>0.10167946940515993</v>
      </c>
      <c r="G171" s="61">
        <f t="shared" si="92"/>
        <v>8.065776312666495E-2</v>
      </c>
      <c r="H171" s="61">
        <f t="shared" si="93"/>
        <v>8.690295405584747E-2</v>
      </c>
      <c r="N171" s="165">
        <f t="shared" si="103"/>
        <v>1991</v>
      </c>
      <c r="O171" s="143">
        <f t="shared" si="100"/>
        <v>2.1430814624733601</v>
      </c>
      <c r="P171" s="61">
        <f t="shared" si="101"/>
        <v>0.15961413404836056</v>
      </c>
      <c r="Q171" s="61">
        <f t="shared" si="94"/>
        <v>0.12575039367669683</v>
      </c>
      <c r="R171" s="61">
        <f t="shared" si="95"/>
        <v>0.10167946940515993</v>
      </c>
      <c r="S171" s="61">
        <f t="shared" si="96"/>
        <v>8.065776312666495E-2</v>
      </c>
      <c r="T171" s="61">
        <f t="shared" si="97"/>
        <v>8.690295405584747E-2</v>
      </c>
    </row>
    <row r="172" spans="2:20">
      <c r="B172" s="165">
        <f t="shared" si="102"/>
        <v>1992</v>
      </c>
      <c r="C172" s="492">
        <f t="shared" si="98"/>
        <v>22753.919015534851</v>
      </c>
      <c r="D172" s="61">
        <f t="shared" si="99"/>
        <v>6.1738408640530151E-2</v>
      </c>
      <c r="E172" s="61">
        <f t="shared" si="90"/>
        <v>6.3504720806121462E-2</v>
      </c>
      <c r="F172" s="61">
        <f t="shared" si="91"/>
        <v>7.8159992755097552E-2</v>
      </c>
      <c r="G172" s="61">
        <f t="shared" si="92"/>
        <v>6.7831539759148018E-2</v>
      </c>
      <c r="H172" s="61">
        <f t="shared" si="93"/>
        <v>8.2746638139835405E-2</v>
      </c>
      <c r="N172" s="165">
        <f t="shared" si="103"/>
        <v>1992</v>
      </c>
      <c r="O172" s="143">
        <f t="shared" si="100"/>
        <v>2.2753919015534851</v>
      </c>
      <c r="P172" s="61">
        <f t="shared" si="101"/>
        <v>6.1738408640530151E-2</v>
      </c>
      <c r="Q172" s="61">
        <f t="shared" si="94"/>
        <v>6.3504720806121462E-2</v>
      </c>
      <c r="R172" s="61">
        <f t="shared" si="95"/>
        <v>7.8159992755097552E-2</v>
      </c>
      <c r="S172" s="61">
        <f t="shared" si="96"/>
        <v>6.7831539759148018E-2</v>
      </c>
      <c r="T172" s="61">
        <f t="shared" si="97"/>
        <v>8.2746638139835405E-2</v>
      </c>
    </row>
    <row r="173" spans="2:20">
      <c r="B173" s="165">
        <f t="shared" si="102"/>
        <v>1993</v>
      </c>
      <c r="C173" s="492">
        <f t="shared" si="98"/>
        <v>26366.44041340434</v>
      </c>
      <c r="D173" s="61">
        <f t="shared" si="99"/>
        <v>0.15876479983088188</v>
      </c>
      <c r="E173" s="61">
        <f t="shared" si="90"/>
        <v>9.643212246065147E-2</v>
      </c>
      <c r="F173" s="61">
        <f t="shared" si="91"/>
        <v>8.0169042791425227E-2</v>
      </c>
      <c r="G173" s="61">
        <f t="shared" si="92"/>
        <v>7.2498582346301355E-2</v>
      </c>
      <c r="H173" s="61">
        <f t="shared" si="93"/>
        <v>8.8116475924302495E-2</v>
      </c>
      <c r="N173" s="165">
        <f t="shared" si="103"/>
        <v>1993</v>
      </c>
      <c r="O173" s="143">
        <f t="shared" si="100"/>
        <v>2.6366440413404337</v>
      </c>
      <c r="P173" s="61">
        <f t="shared" si="101"/>
        <v>0.15876479983088188</v>
      </c>
      <c r="Q173" s="61">
        <f t="shared" si="94"/>
        <v>9.643212246065147E-2</v>
      </c>
      <c r="R173" s="61">
        <f t="shared" si="95"/>
        <v>8.0169042791425227E-2</v>
      </c>
      <c r="S173" s="61">
        <f t="shared" si="96"/>
        <v>7.2498582346301355E-2</v>
      </c>
      <c r="T173" s="61">
        <f t="shared" si="97"/>
        <v>8.8116475924302495E-2</v>
      </c>
    </row>
    <row r="174" spans="2:20">
      <c r="B174" s="165">
        <f t="shared" si="102"/>
        <v>1994</v>
      </c>
      <c r="C174" s="492">
        <f t="shared" si="98"/>
        <v>25778.45861566926</v>
      </c>
      <c r="D174" s="61">
        <f t="shared" si="99"/>
        <v>-2.2300385964734049E-2</v>
      </c>
      <c r="E174" s="61">
        <f t="shared" si="90"/>
        <v>5.795634270780825E-2</v>
      </c>
      <c r="F174" s="61">
        <f t="shared" si="91"/>
        <v>6.1229077670702514E-2</v>
      </c>
      <c r="G174" s="61">
        <f t="shared" si="92"/>
        <v>7.2599712071239164E-2</v>
      </c>
      <c r="H174" s="61">
        <f t="shared" si="93"/>
        <v>7.4328884142742968E-2</v>
      </c>
      <c r="N174" s="165">
        <f t="shared" si="103"/>
        <v>1994</v>
      </c>
      <c r="O174" s="143">
        <f t="shared" si="100"/>
        <v>2.5778458615669257</v>
      </c>
      <c r="P174" s="61">
        <f t="shared" si="101"/>
        <v>-2.2300385964734049E-2</v>
      </c>
      <c r="Q174" s="61">
        <f t="shared" si="94"/>
        <v>5.795634270780825E-2</v>
      </c>
      <c r="R174" s="61">
        <f t="shared" si="95"/>
        <v>6.1229077670702514E-2</v>
      </c>
      <c r="S174" s="61">
        <f t="shared" si="96"/>
        <v>7.2599712071239386E-2</v>
      </c>
      <c r="T174" s="61">
        <f t="shared" si="97"/>
        <v>7.4328884142742968E-2</v>
      </c>
    </row>
    <row r="175" spans="2:20">
      <c r="B175" s="165">
        <f t="shared" si="102"/>
        <v>1995</v>
      </c>
      <c r="C175" s="492">
        <f t="shared" si="98"/>
        <v>29991.726023243929</v>
      </c>
      <c r="D175" s="61">
        <f t="shared" si="99"/>
        <v>0.16344140161327037</v>
      </c>
      <c r="E175" s="61">
        <f t="shared" si="90"/>
        <v>9.081884306811272E-2</v>
      </c>
      <c r="F175" s="61">
        <f t="shared" si="91"/>
        <v>7.3660908072688214E-2</v>
      </c>
      <c r="G175" s="61">
        <f t="shared" si="92"/>
        <v>8.5371413471358792E-2</v>
      </c>
      <c r="H175" s="61">
        <f t="shared" si="93"/>
        <v>8.6481796987761816E-2</v>
      </c>
      <c r="N175" s="165">
        <f t="shared" si="103"/>
        <v>1995</v>
      </c>
      <c r="O175" s="143">
        <f t="shared" si="100"/>
        <v>2.9991726023243928</v>
      </c>
      <c r="P175" s="61">
        <f t="shared" si="101"/>
        <v>0.16344140161327037</v>
      </c>
      <c r="Q175" s="61">
        <f t="shared" si="94"/>
        <v>9.081884306811272E-2</v>
      </c>
      <c r="R175" s="61">
        <f t="shared" si="95"/>
        <v>7.3660908072688214E-2</v>
      </c>
      <c r="S175" s="61">
        <f t="shared" si="96"/>
        <v>8.5371413471358792E-2</v>
      </c>
      <c r="T175" s="61">
        <f t="shared" si="97"/>
        <v>8.6481796987761816E-2</v>
      </c>
    </row>
    <row r="176" spans="2:20">
      <c r="B176" s="165">
        <f t="shared" si="102"/>
        <v>1996</v>
      </c>
      <c r="C176" s="492">
        <f t="shared" si="98"/>
        <v>31221.570273046331</v>
      </c>
      <c r="D176" s="61">
        <f t="shared" si="99"/>
        <v>4.1006117782259599E-2</v>
      </c>
      <c r="E176" s="61">
        <f t="shared" si="90"/>
        <v>5.770668498041065E-2</v>
      </c>
      <c r="F176" s="61">
        <f t="shared" si="91"/>
        <v>6.0037182717473714E-2</v>
      </c>
      <c r="G176" s="61">
        <f t="shared" si="92"/>
        <v>7.9589185825867936E-2</v>
      </c>
      <c r="H176" s="61">
        <f t="shared" si="93"/>
        <v>8.7171862548695467E-2</v>
      </c>
      <c r="N176" s="165">
        <f t="shared" si="103"/>
        <v>1996</v>
      </c>
      <c r="O176" s="143">
        <f t="shared" si="100"/>
        <v>3.1221570273046328</v>
      </c>
      <c r="P176" s="61">
        <f t="shared" si="101"/>
        <v>4.1006117782259599E-2</v>
      </c>
      <c r="Q176" s="61">
        <f t="shared" si="94"/>
        <v>5.7706684980410872E-2</v>
      </c>
      <c r="R176" s="61">
        <f t="shared" si="95"/>
        <v>6.0037182717473714E-2</v>
      </c>
      <c r="S176" s="61">
        <f t="shared" si="96"/>
        <v>7.9589185825867936E-2</v>
      </c>
      <c r="T176" s="61">
        <f t="shared" si="97"/>
        <v>8.7171862548695467E-2</v>
      </c>
    </row>
    <row r="177" spans="2:20">
      <c r="B177" s="165">
        <f t="shared" si="102"/>
        <v>1997</v>
      </c>
      <c r="C177" s="492">
        <f t="shared" si="98"/>
        <v>33459.145087087425</v>
      </c>
      <c r="D177" s="61">
        <f t="shared" si="99"/>
        <v>7.1667593733195423E-2</v>
      </c>
      <c r="E177" s="61">
        <f t="shared" si="90"/>
        <v>5.6118465208503832E-2</v>
      </c>
      <c r="F177" s="61">
        <f t="shared" si="91"/>
        <v>5.7602030279936489E-2</v>
      </c>
      <c r="G177" s="61">
        <f t="shared" si="92"/>
        <v>8.5047272742247104E-2</v>
      </c>
      <c r="H177" s="61">
        <f t="shared" si="93"/>
        <v>9.2807162904199547E-2</v>
      </c>
      <c r="N177" s="165">
        <f t="shared" si="103"/>
        <v>1997</v>
      </c>
      <c r="O177" s="143">
        <f t="shared" si="100"/>
        <v>3.3459145087087423</v>
      </c>
      <c r="P177" s="61">
        <f t="shared" si="101"/>
        <v>7.1667593733195423E-2</v>
      </c>
      <c r="Q177" s="61">
        <f t="shared" si="94"/>
        <v>5.6118465208503832E-2</v>
      </c>
      <c r="R177" s="61">
        <f t="shared" si="95"/>
        <v>5.7602030279936489E-2</v>
      </c>
      <c r="S177" s="61">
        <f t="shared" si="96"/>
        <v>8.5047272742247104E-2</v>
      </c>
      <c r="T177" s="61">
        <f t="shared" si="97"/>
        <v>9.2807162904199547E-2</v>
      </c>
    </row>
    <row r="178" spans="2:20">
      <c r="B178" s="165">
        <f t="shared" si="102"/>
        <v>1998</v>
      </c>
      <c r="C178" s="492">
        <f t="shared" si="98"/>
        <v>35489.281570144551</v>
      </c>
      <c r="D178" s="61">
        <f t="shared" si="99"/>
        <v>6.0675085324896738E-2</v>
      </c>
      <c r="E178" s="61">
        <f t="shared" si="90"/>
        <v>6.2585875333821539E-2</v>
      </c>
      <c r="F178" s="61">
        <f t="shared" si="91"/>
        <v>6.4882591119521438E-2</v>
      </c>
      <c r="G178" s="61">
        <f t="shared" si="92"/>
        <v>9.2112093386893301E-2</v>
      </c>
      <c r="H178" s="61">
        <f t="shared" si="93"/>
        <v>9.3481166851003383E-2</v>
      </c>
      <c r="N178" s="165">
        <f t="shared" si="103"/>
        <v>1998</v>
      </c>
      <c r="O178" s="143">
        <f t="shared" si="100"/>
        <v>3.5489281570144553</v>
      </c>
      <c r="P178" s="61">
        <f t="shared" si="101"/>
        <v>6.0675085324896738E-2</v>
      </c>
      <c r="Q178" s="61">
        <f t="shared" si="94"/>
        <v>6.2585875333821761E-2</v>
      </c>
      <c r="R178" s="61">
        <f t="shared" si="95"/>
        <v>6.4882591119521438E-2</v>
      </c>
      <c r="S178" s="61">
        <f t="shared" si="96"/>
        <v>9.2112093386893301E-2</v>
      </c>
      <c r="T178" s="61">
        <f t="shared" si="97"/>
        <v>9.3481166851003383E-2</v>
      </c>
    </row>
    <row r="179" spans="2:20">
      <c r="B179" s="165">
        <f t="shared" si="102"/>
        <v>1999</v>
      </c>
      <c r="C179" s="492">
        <f t="shared" si="98"/>
        <v>36778.384567132533</v>
      </c>
      <c r="D179" s="61">
        <f t="shared" si="99"/>
        <v>3.6323727614493206E-2</v>
      </c>
      <c r="E179" s="61">
        <f t="shared" si="90"/>
        <v>5.1936774490770832E-2</v>
      </c>
      <c r="F179" s="61">
        <f t="shared" si="91"/>
        <v>8.4092178156744968E-2</v>
      </c>
      <c r="G179" s="61">
        <f t="shared" si="92"/>
        <v>8.0939302177966743E-2</v>
      </c>
      <c r="H179" s="61">
        <f t="shared" si="93"/>
        <v>8.6370926639816492E-2</v>
      </c>
      <c r="N179" s="165">
        <f t="shared" si="103"/>
        <v>1999</v>
      </c>
      <c r="O179" s="143">
        <f t="shared" si="100"/>
        <v>3.6778384567132538</v>
      </c>
      <c r="P179" s="61">
        <f t="shared" si="101"/>
        <v>3.6323727614493206E-2</v>
      </c>
      <c r="Q179" s="61">
        <f t="shared" si="94"/>
        <v>5.1936774490770832E-2</v>
      </c>
      <c r="R179" s="61">
        <f t="shared" si="95"/>
        <v>8.4092178156744968E-2</v>
      </c>
      <c r="S179" s="61">
        <f t="shared" si="96"/>
        <v>8.0939302177966743E-2</v>
      </c>
      <c r="T179" s="61">
        <f t="shared" si="97"/>
        <v>8.6370926639816492E-2</v>
      </c>
    </row>
    <row r="180" spans="2:20">
      <c r="B180" s="165">
        <f t="shared" si="102"/>
        <v>2000</v>
      </c>
      <c r="C180" s="492">
        <f t="shared" si="98"/>
        <v>40142.734781170606</v>
      </c>
      <c r="D180" s="61">
        <f t="shared" si="99"/>
        <v>9.1476291132282839E-2</v>
      </c>
      <c r="E180" s="61">
        <f t="shared" si="90"/>
        <v>7.5995055084016716E-2</v>
      </c>
      <c r="F180" s="61">
        <f t="shared" si="91"/>
        <v>9.7209646289050822E-2</v>
      </c>
      <c r="G180" s="61">
        <f t="shared" si="92"/>
        <v>9.2949539391675939E-2</v>
      </c>
      <c r="H180" s="61">
        <f t="shared" si="93"/>
        <v>9.0782488458809762E-2</v>
      </c>
      <c r="N180" s="165">
        <f t="shared" si="103"/>
        <v>2000</v>
      </c>
      <c r="O180" s="143">
        <f t="shared" si="100"/>
        <v>4.0142734781170608</v>
      </c>
      <c r="P180" s="61">
        <f t="shared" si="101"/>
        <v>9.1476291132282617E-2</v>
      </c>
      <c r="Q180" s="61">
        <f t="shared" si="94"/>
        <v>7.5995055084016716E-2</v>
      </c>
      <c r="R180" s="61">
        <f t="shared" si="95"/>
        <v>9.7209646289050822E-2</v>
      </c>
      <c r="S180" s="61">
        <f t="shared" si="96"/>
        <v>9.2949539391675939E-2</v>
      </c>
      <c r="T180" s="61">
        <f t="shared" si="97"/>
        <v>9.0782488458809762E-2</v>
      </c>
    </row>
    <row r="181" spans="2:20">
      <c r="B181" s="165">
        <f t="shared" si="102"/>
        <v>2001</v>
      </c>
      <c r="C181" s="492">
        <f t="shared" si="98"/>
        <v>41311.039311876026</v>
      </c>
      <c r="D181" s="61">
        <f t="shared" si="99"/>
        <v>2.9103760296207426E-2</v>
      </c>
      <c r="E181" s="61">
        <f t="shared" si="90"/>
        <v>9.8012039607152213E-2</v>
      </c>
      <c r="F181" s="61">
        <f t="shared" si="91"/>
        <v>9.9501818572338196E-2</v>
      </c>
      <c r="G181" s="61">
        <f t="shared" si="92"/>
        <v>0.10099857286307268</v>
      </c>
      <c r="H181" s="61">
        <f t="shared" si="93"/>
        <v>8.1582437984511591E-2</v>
      </c>
      <c r="N181" s="165">
        <f t="shared" si="103"/>
        <v>2001</v>
      </c>
      <c r="O181" s="143">
        <f t="shared" si="100"/>
        <v>4.131103931187603</v>
      </c>
      <c r="P181" s="61">
        <f t="shared" si="101"/>
        <v>2.9103760296207426E-2</v>
      </c>
      <c r="Q181" s="61">
        <f t="shared" si="94"/>
        <v>9.8012039607152213E-2</v>
      </c>
      <c r="R181" s="61">
        <f t="shared" si="95"/>
        <v>9.9501818572338196E-2</v>
      </c>
      <c r="S181" s="61">
        <f t="shared" si="96"/>
        <v>0.10099857286307268</v>
      </c>
      <c r="T181" s="61">
        <f t="shared" si="97"/>
        <v>8.1582437984511591E-2</v>
      </c>
    </row>
    <row r="182" spans="2:20">
      <c r="B182" s="165">
        <f t="shared" si="102"/>
        <v>2002</v>
      </c>
      <c r="C182" s="492">
        <f t="shared" si="98"/>
        <v>45816.665246919358</v>
      </c>
      <c r="D182" s="61">
        <f t="shared" si="99"/>
        <v>0.10906590611357636</v>
      </c>
      <c r="E182" s="61">
        <f t="shared" si="90"/>
        <v>0.12285808736421777</v>
      </c>
      <c r="F182" s="61">
        <f t="shared" si="91"/>
        <v>0.11320473143736476</v>
      </c>
      <c r="G182" s="61">
        <f t="shared" si="92"/>
        <v>0.11084678267246484</v>
      </c>
      <c r="H182" s="61"/>
      <c r="N182" s="165">
        <f t="shared" si="103"/>
        <v>2002</v>
      </c>
      <c r="O182" s="143">
        <f t="shared" si="100"/>
        <v>4.5816665246919364</v>
      </c>
      <c r="P182" s="61">
        <f t="shared" si="101"/>
        <v>0.10906590611357636</v>
      </c>
      <c r="Q182" s="61">
        <f t="shared" si="94"/>
        <v>0.12285808736421777</v>
      </c>
      <c r="R182" s="61">
        <f t="shared" si="95"/>
        <v>0.11320473143736476</v>
      </c>
      <c r="S182" s="61">
        <f t="shared" si="96"/>
        <v>0.11084678267246484</v>
      </c>
      <c r="T182" s="61"/>
    </row>
    <row r="183" spans="2:20">
      <c r="B183" s="165">
        <f t="shared" si="102"/>
        <v>2003</v>
      </c>
      <c r="C183" s="492">
        <f t="shared" si="98"/>
        <v>53140.821336561487</v>
      </c>
      <c r="D183" s="61">
        <f t="shared" si="99"/>
        <v>0.15985790432739089</v>
      </c>
      <c r="E183" s="61">
        <f t="shared" si="90"/>
        <v>0.12078182603682519</v>
      </c>
      <c r="F183" s="61">
        <f t="shared" si="91"/>
        <v>0.120037865646762</v>
      </c>
      <c r="G183" s="61">
        <f t="shared" si="92"/>
        <v>0.10806719551072197</v>
      </c>
      <c r="H183" s="61"/>
      <c r="N183" s="165">
        <f t="shared" si="103"/>
        <v>2003</v>
      </c>
      <c r="O183" s="143">
        <f t="shared" si="100"/>
        <v>5.3140821336561492</v>
      </c>
      <c r="P183" s="61">
        <f t="shared" si="101"/>
        <v>0.15985790432739089</v>
      </c>
      <c r="Q183" s="61">
        <f t="shared" si="94"/>
        <v>0.12078182603682519</v>
      </c>
      <c r="R183" s="61">
        <f t="shared" si="95"/>
        <v>0.120037865646762</v>
      </c>
      <c r="S183" s="61">
        <f t="shared" si="96"/>
        <v>0.10806719551072197</v>
      </c>
      <c r="T183" s="61"/>
    </row>
    <row r="184" spans="2:20">
      <c r="B184" s="165">
        <f t="shared" si="102"/>
        <v>2004</v>
      </c>
      <c r="C184" s="492">
        <f t="shared" si="98"/>
        <v>58484.493784266713</v>
      </c>
      <c r="D184" s="61">
        <f t="shared" si="99"/>
        <v>0.10055682831587553</v>
      </c>
      <c r="E184" s="61">
        <f t="shared" si="90"/>
        <v>9.9438713898049924E-2</v>
      </c>
      <c r="F184" s="61">
        <f t="shared" si="91"/>
        <v>7.7795595739507784E-2</v>
      </c>
      <c r="G184" s="61">
        <f t="shared" si="92"/>
        <v>8.7512096465605538E-2</v>
      </c>
      <c r="H184" s="61"/>
      <c r="N184" s="165">
        <f t="shared" si="103"/>
        <v>2004</v>
      </c>
      <c r="O184" s="143">
        <f t="shared" si="100"/>
        <v>5.8484493784266718</v>
      </c>
      <c r="P184" s="61">
        <f t="shared" si="101"/>
        <v>0.10055682831587553</v>
      </c>
      <c r="Q184" s="61">
        <f t="shared" si="94"/>
        <v>9.9438713898049924E-2</v>
      </c>
      <c r="R184" s="61">
        <f t="shared" si="95"/>
        <v>7.7795595739507784E-2</v>
      </c>
      <c r="S184" s="61">
        <f t="shared" si="96"/>
        <v>8.7512096465605538E-2</v>
      </c>
      <c r="T184" s="61"/>
    </row>
    <row r="185" spans="2:20">
      <c r="B185" s="165">
        <f t="shared" si="102"/>
        <v>2005</v>
      </c>
      <c r="C185" s="492">
        <f t="shared" si="98"/>
        <v>64504.010307012359</v>
      </c>
      <c r="D185" s="61">
        <f t="shared" si="99"/>
        <v>0.10292499999999993</v>
      </c>
      <c r="E185" s="61">
        <f t="shared" si="90"/>
        <v>0.11356461566956777</v>
      </c>
      <c r="F185" s="61">
        <f t="shared" si="91"/>
        <v>8.8705973098768265E-2</v>
      </c>
      <c r="G185" s="61">
        <f t="shared" si="92"/>
        <v>8.7583041565642894E-2</v>
      </c>
      <c r="H185" s="61"/>
      <c r="N185" s="165">
        <f t="shared" si="103"/>
        <v>2005</v>
      </c>
      <c r="O185" s="143">
        <f t="shared" si="100"/>
        <v>6.4504010307012365</v>
      </c>
      <c r="P185" s="61">
        <f t="shared" si="101"/>
        <v>0.10292499999999993</v>
      </c>
      <c r="Q185" s="61">
        <f t="shared" si="94"/>
        <v>0.11356461566956777</v>
      </c>
      <c r="R185" s="61">
        <f t="shared" si="95"/>
        <v>8.8705973098768265E-2</v>
      </c>
      <c r="S185" s="61">
        <f t="shared" si="96"/>
        <v>8.7583041565642894E-2</v>
      </c>
      <c r="T185" s="61"/>
    </row>
    <row r="186" spans="2:20">
      <c r="B186" s="165">
        <f t="shared" si="102"/>
        <v>2006</v>
      </c>
      <c r="C186" s="492">
        <f t="shared" si="98"/>
        <v>70622.215684632494</v>
      </c>
      <c r="D186" s="61">
        <f t="shared" si="99"/>
        <v>9.4850000000000101E-2</v>
      </c>
      <c r="E186" s="61">
        <f t="shared" si="90"/>
        <v>6.2122289791291196E-2</v>
      </c>
      <c r="F186" s="61">
        <f t="shared" si="91"/>
        <v>0.10249736468877901</v>
      </c>
      <c r="G186" s="61">
        <f t="shared" si="92"/>
        <v>7.2732563943681106E-2</v>
      </c>
      <c r="H186" s="61"/>
      <c r="N186" s="165">
        <f t="shared" si="103"/>
        <v>2006</v>
      </c>
      <c r="O186" s="143">
        <f t="shared" si="100"/>
        <v>7.062221568463249</v>
      </c>
      <c r="P186" s="61">
        <f t="shared" si="101"/>
        <v>9.4850000000000101E-2</v>
      </c>
      <c r="Q186" s="61">
        <f t="shared" si="94"/>
        <v>6.2122289791290974E-2</v>
      </c>
      <c r="R186" s="61">
        <f t="shared" si="95"/>
        <v>0.10249736468877879</v>
      </c>
      <c r="S186" s="61">
        <f t="shared" si="96"/>
        <v>7.2732563943681106E-2</v>
      </c>
      <c r="T186" s="61"/>
    </row>
    <row r="187" spans="2:20">
      <c r="B187" s="165">
        <f t="shared" si="102"/>
        <v>2007</v>
      </c>
      <c r="C187" s="492">
        <f t="shared" si="98"/>
        <v>80758.269190769366</v>
      </c>
      <c r="D187" s="61">
        <f t="shared" si="99"/>
        <v>0.1435249999999999</v>
      </c>
      <c r="E187" s="61">
        <f t="shared" si="90"/>
        <v>8.1975619662551846E-2</v>
      </c>
      <c r="F187" s="61">
        <f t="shared" si="91"/>
        <v>0.10849382842674049</v>
      </c>
      <c r="G187" s="61"/>
      <c r="H187" s="61"/>
      <c r="N187" s="165">
        <f t="shared" si="103"/>
        <v>2007</v>
      </c>
      <c r="O187" s="143">
        <f t="shared" si="100"/>
        <v>8.0758269190769365</v>
      </c>
      <c r="P187" s="61">
        <f t="shared" si="101"/>
        <v>0.1435249999999999</v>
      </c>
      <c r="Q187" s="61">
        <f t="shared" si="94"/>
        <v>8.1975619662551846E-2</v>
      </c>
      <c r="R187" s="61">
        <f t="shared" si="95"/>
        <v>0.10849382842674049</v>
      </c>
      <c r="S187" s="61"/>
      <c r="T187" s="61"/>
    </row>
    <row r="188" spans="2:20">
      <c r="B188" s="165">
        <f t="shared" si="102"/>
        <v>2008</v>
      </c>
      <c r="C188" s="492">
        <f t="shared" si="98"/>
        <v>77287.682572296049</v>
      </c>
      <c r="D188" s="61">
        <f t="shared" si="99"/>
        <v>-4.2974999999999985E-2</v>
      </c>
      <c r="E188" s="61">
        <f t="shared" si="90"/>
        <v>9.1681216631727791E-2</v>
      </c>
      <c r="F188" s="61">
        <f t="shared" si="91"/>
        <v>9.6224464748787986E-2</v>
      </c>
      <c r="G188" s="61"/>
      <c r="H188" s="61"/>
      <c r="N188" s="165">
        <f t="shared" si="103"/>
        <v>2008</v>
      </c>
      <c r="O188" s="143">
        <f t="shared" si="100"/>
        <v>7.7287682572296053</v>
      </c>
      <c r="P188" s="61">
        <f t="shared" si="101"/>
        <v>-4.2974999999999985E-2</v>
      </c>
      <c r="Q188" s="61">
        <f t="shared" si="94"/>
        <v>9.1681216631727791E-2</v>
      </c>
      <c r="R188" s="61">
        <f t="shared" si="95"/>
        <v>9.6224464748787764E-2</v>
      </c>
      <c r="S188" s="61"/>
      <c r="T188" s="61"/>
    </row>
    <row r="189" spans="2:20">
      <c r="B189" s="165">
        <f t="shared" si="102"/>
        <v>2009</v>
      </c>
      <c r="C189" s="492">
        <f t="shared" si="98"/>
        <v>89452.763809175449</v>
      </c>
      <c r="D189" s="61">
        <f t="shared" si="99"/>
        <v>0.15739999999999998</v>
      </c>
      <c r="E189" s="61">
        <f t="shared" si="90"/>
        <v>0.15212380579435059</v>
      </c>
      <c r="F189" s="61">
        <f t="shared" si="91"/>
        <v>9.7316193009253205E-2</v>
      </c>
      <c r="G189" s="61"/>
      <c r="H189" s="61"/>
      <c r="N189" s="165">
        <f t="shared" si="103"/>
        <v>2009</v>
      </c>
      <c r="O189" s="143">
        <f t="shared" si="100"/>
        <v>8.9452763809175444</v>
      </c>
      <c r="P189" s="61">
        <f t="shared" si="101"/>
        <v>0.15739999999999998</v>
      </c>
      <c r="Q189" s="61">
        <f t="shared" si="94"/>
        <v>0.15212380579435059</v>
      </c>
      <c r="R189" s="61">
        <f t="shared" si="95"/>
        <v>9.7316193009253205E-2</v>
      </c>
      <c r="S189" s="61"/>
      <c r="T189" s="61"/>
    </row>
    <row r="190" spans="2:20">
      <c r="B190" s="165">
        <f t="shared" si="102"/>
        <v>2010</v>
      </c>
      <c r="C190" s="492">
        <f t="shared" si="98"/>
        <v>105068.98005116225</v>
      </c>
      <c r="D190" s="61">
        <f t="shared" si="99"/>
        <v>0.17457499999999992</v>
      </c>
      <c r="E190" s="61">
        <f t="shared" si="90"/>
        <v>0.12641103537329301</v>
      </c>
      <c r="F190" s="61">
        <f t="shared" si="91"/>
        <v>8.6461268265556779E-2</v>
      </c>
      <c r="G190" s="61"/>
      <c r="H190" s="61"/>
      <c r="N190" s="165">
        <f t="shared" si="103"/>
        <v>2010</v>
      </c>
      <c r="O190" s="143">
        <f t="shared" si="100"/>
        <v>10.506898005116224</v>
      </c>
      <c r="P190" s="61">
        <f t="shared" si="101"/>
        <v>0.17457499999999992</v>
      </c>
      <c r="Q190" s="61">
        <f t="shared" si="94"/>
        <v>0.12641103537329301</v>
      </c>
      <c r="R190" s="61">
        <f t="shared" si="95"/>
        <v>8.6461268265556779E-2</v>
      </c>
      <c r="S190" s="61"/>
      <c r="T190" s="61"/>
    </row>
    <row r="191" spans="2:20">
      <c r="B191" s="165">
        <f t="shared" si="102"/>
        <v>2011</v>
      </c>
      <c r="C191" s="492">
        <f t="shared" si="98"/>
        <v>118197.34910855498</v>
      </c>
      <c r="D191" s="61">
        <f t="shared" si="99"/>
        <v>0.12495000000000012</v>
      </c>
      <c r="E191" s="61">
        <f t="shared" si="90"/>
        <v>5.3816279105652454E-2</v>
      </c>
      <c r="F191" s="61">
        <f t="shared" si="91"/>
        <v>4.3771341866225333E-2</v>
      </c>
      <c r="G191" s="61"/>
      <c r="H191" s="61"/>
      <c r="N191" s="165">
        <f t="shared" si="103"/>
        <v>2011</v>
      </c>
      <c r="O191" s="143">
        <f t="shared" si="100"/>
        <v>11.819734910855496</v>
      </c>
      <c r="P191" s="61">
        <f t="shared" si="101"/>
        <v>0.12495000000000012</v>
      </c>
      <c r="Q191" s="61">
        <f t="shared" si="94"/>
        <v>5.3816279105652454E-2</v>
      </c>
      <c r="R191" s="61">
        <f t="shared" si="95"/>
        <v>4.3771341866225333E-2</v>
      </c>
      <c r="S191" s="61"/>
      <c r="T191" s="61"/>
    </row>
    <row r="192" spans="2:20">
      <c r="B192" s="165">
        <f t="shared" si="102"/>
        <v>2012</v>
      </c>
      <c r="C192" s="492">
        <f t="shared" si="98"/>
        <v>127845.20772954078</v>
      </c>
      <c r="D192" s="61">
        <f t="shared" si="99"/>
        <v>8.1625000000000059E-2</v>
      </c>
      <c r="E192" s="61">
        <f t="shared" si="90"/>
        <v>4.6371149102274245E-2</v>
      </c>
      <c r="F192" s="61"/>
      <c r="G192" s="61"/>
      <c r="H192" s="61"/>
      <c r="N192" s="165">
        <f t="shared" si="103"/>
        <v>2012</v>
      </c>
      <c r="O192" s="143">
        <f t="shared" si="100"/>
        <v>12.784520772954076</v>
      </c>
      <c r="P192" s="61">
        <f t="shared" si="101"/>
        <v>8.1625000000000059E-2</v>
      </c>
      <c r="Q192" s="61">
        <f t="shared" si="94"/>
        <v>4.6371149102274245E-2</v>
      </c>
      <c r="R192" s="61"/>
      <c r="S192" s="61"/>
      <c r="T192" s="61"/>
    </row>
    <row r="193" spans="2:20">
      <c r="B193" s="165">
        <f t="shared" si="102"/>
        <v>2013</v>
      </c>
      <c r="C193" s="492">
        <f t="shared" si="98"/>
        <v>122961.52079427232</v>
      </c>
      <c r="D193" s="61">
        <f t="shared" si="99"/>
        <v>-3.8200000000000012E-2</v>
      </c>
      <c r="E193" s="61">
        <f t="shared" si="90"/>
        <v>6.0177312927895965E-3</v>
      </c>
      <c r="F193" s="61"/>
      <c r="G193" s="61"/>
      <c r="H193" s="61"/>
      <c r="N193" s="165">
        <f t="shared" si="103"/>
        <v>2013</v>
      </c>
      <c r="O193" s="143">
        <f t="shared" si="100"/>
        <v>12.29615207942723</v>
      </c>
      <c r="P193" s="61">
        <f t="shared" si="101"/>
        <v>-3.8200000000000012E-2</v>
      </c>
      <c r="Q193" s="61">
        <f t="shared" si="94"/>
        <v>6.0177312927895965E-3</v>
      </c>
      <c r="R193" s="61"/>
      <c r="S193" s="61"/>
      <c r="T193" s="61"/>
    </row>
    <row r="194" spans="2:20">
      <c r="B194" s="165">
        <f t="shared" si="102"/>
        <v>2014</v>
      </c>
      <c r="C194" s="492">
        <f t="shared" si="98"/>
        <v>135414.44881271225</v>
      </c>
      <c r="D194" s="61">
        <f t="shared" si="99"/>
        <v>0.101275</v>
      </c>
      <c r="E194" s="61"/>
      <c r="F194" s="61"/>
      <c r="G194" s="61"/>
      <c r="H194" s="61"/>
      <c r="N194" s="165">
        <f t="shared" si="103"/>
        <v>2014</v>
      </c>
      <c r="O194" s="143">
        <f t="shared" si="100"/>
        <v>13.541444881271223</v>
      </c>
      <c r="P194" s="61">
        <f t="shared" si="101"/>
        <v>0.101275</v>
      </c>
      <c r="Q194" s="61"/>
      <c r="R194" s="61"/>
      <c r="S194" s="61"/>
      <c r="T194" s="61"/>
    </row>
    <row r="195" spans="2:20">
      <c r="B195" s="165">
        <f t="shared" si="102"/>
        <v>2015</v>
      </c>
      <c r="C195" s="492">
        <f t="shared" si="98"/>
        <v>130167.13892121965</v>
      </c>
      <c r="D195" s="61">
        <f t="shared" si="99"/>
        <v>-3.8749999999999951E-2</v>
      </c>
      <c r="E195" s="61"/>
      <c r="F195" s="61"/>
      <c r="G195" s="61"/>
      <c r="H195" s="61"/>
      <c r="N195" s="165">
        <f t="shared" si="103"/>
        <v>2015</v>
      </c>
      <c r="O195" s="143">
        <f t="shared" si="100"/>
        <v>13.016713892121965</v>
      </c>
      <c r="P195" s="61">
        <f t="shared" si="101"/>
        <v>-3.874999999999984E-2</v>
      </c>
      <c r="Q195" s="61"/>
      <c r="R195" s="61"/>
      <c r="S195" s="61"/>
      <c r="T195" s="61"/>
    </row>
  </sheetData>
  <sheetProtection selectLockedCells="1" selectUnlockedCells="1"/>
  <mergeCells count="6">
    <mergeCell ref="A52:E52"/>
    <mergeCell ref="BD55:BG55"/>
    <mergeCell ref="BD56:BG56"/>
    <mergeCell ref="A107:C107"/>
    <mergeCell ref="B161:C161"/>
    <mergeCell ref="A97:E97"/>
  </mergeCells>
  <conditionalFormatting sqref="AZ7:AZ38">
    <cfRule type="cellIs" dxfId="21" priority="451" stopIfTrue="1" operator="equal">
      <formula>MAX(AZ$7:AZ$38)</formula>
    </cfRule>
    <cfRule type="cellIs" dxfId="20" priority="452" stopIfTrue="1" operator="equal">
      <formula>MIN(AZ$7:AZ$38)</formula>
    </cfRule>
  </conditionalFormatting>
  <conditionalFormatting sqref="BB7:BB38">
    <cfRule type="cellIs" dxfId="19" priority="3" stopIfTrue="1" operator="equal">
      <formula>MAX(BB$7:BB$38)</formula>
    </cfRule>
    <cfRule type="cellIs" dxfId="18" priority="4" stopIfTrue="1" operator="equal">
      <formula>MIN(BB$7:BB$38)</formula>
    </cfRule>
  </conditionalFormatting>
  <conditionalFormatting sqref="AZ57:AZ88">
    <cfRule type="cellIs" dxfId="17" priority="5" stopIfTrue="1" operator="equal">
      <formula>MAX(AZ$57:AZ$88)</formula>
    </cfRule>
    <cfRule type="cellIs" dxfId="16" priority="6" stopIfTrue="1" operator="equal">
      <formula>MIN(AZ$57:AZ$88)</formula>
    </cfRule>
  </conditionalFormatting>
  <conditionalFormatting sqref="BB57:BB88">
    <cfRule type="cellIs" dxfId="15" priority="1" stopIfTrue="1" operator="equal">
      <formula>MAX(BB$57:BB$88)</formula>
    </cfRule>
    <cfRule type="cellIs" dxfId="14" priority="2" stopIfTrue="1" operator="equal">
      <formula>MIN(BB$57:BB$88)</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BD7 B3:AY3 AQ1:AY2 BN7:BY7 A41:B43 B55:AY55 AQ53:AY54 B90:BA91 B93 AQ45:AW46" emptyCellReference="1"/>
  </ignoredErrors>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444"/>
  <sheetViews>
    <sheetView zoomScale="85" zoomScaleNormal="85" zoomScalePageLayoutView="85" workbookViewId="0">
      <pane xSplit="1" ySplit="5" topLeftCell="H6" activePane="bottomRight" state="frozen"/>
      <selection pane="topRight" activeCell="B1" sqref="B1"/>
      <selection pane="bottomLeft" activeCell="A6" sqref="A6"/>
      <selection pane="bottomRight"/>
    </sheetView>
  </sheetViews>
  <sheetFormatPr baseColWidth="10" defaultColWidth="8.83203125" defaultRowHeight="12" x14ac:dyDescent="0"/>
  <cols>
    <col min="1" max="1" width="10.6640625" style="189" customWidth="1"/>
    <col min="2" max="2" width="10.5" style="189" customWidth="1"/>
    <col min="3" max="3" width="11" style="189" customWidth="1"/>
    <col min="4" max="4" width="9" style="189" customWidth="1"/>
    <col min="5" max="5" width="10.5" style="189" customWidth="1"/>
    <col min="6" max="6" width="10.6640625" style="189" customWidth="1"/>
    <col min="7" max="7" width="11" style="189" customWidth="1"/>
    <col min="8" max="8" width="11.6640625" style="189" customWidth="1"/>
    <col min="9" max="23" width="9" style="189" customWidth="1"/>
    <col min="24" max="24" width="10" style="189" customWidth="1"/>
    <col min="25" max="26" width="9" style="189" customWidth="1"/>
    <col min="27" max="27" width="9.83203125" style="189" customWidth="1"/>
    <col min="28" max="75" width="9" style="189" customWidth="1"/>
    <col min="76" max="76" width="10" style="189" customWidth="1"/>
    <col min="77" max="77" width="11" style="189" customWidth="1"/>
    <col min="78" max="78" width="9" style="189" customWidth="1"/>
  </cols>
  <sheetData>
    <row r="1" spans="1:79" s="181" customFormat="1" ht="36">
      <c r="A1" s="181" t="s">
        <v>440</v>
      </c>
      <c r="B1" s="181" t="s">
        <v>441</v>
      </c>
      <c r="C1" s="181" t="s">
        <v>371</v>
      </c>
      <c r="D1" s="181" t="s">
        <v>442</v>
      </c>
      <c r="E1" s="181" t="s">
        <v>373</v>
      </c>
      <c r="F1" s="181" t="s">
        <v>374</v>
      </c>
      <c r="G1" s="181" t="s">
        <v>375</v>
      </c>
      <c r="H1" s="181" t="s">
        <v>376</v>
      </c>
      <c r="I1" s="181" t="s">
        <v>377</v>
      </c>
      <c r="J1" s="181" t="s">
        <v>378</v>
      </c>
      <c r="K1" s="181" t="s">
        <v>114</v>
      </c>
      <c r="L1" s="181" t="s">
        <v>443</v>
      </c>
      <c r="M1" s="181" t="s">
        <v>299</v>
      </c>
      <c r="N1" s="65" t="s">
        <v>444</v>
      </c>
      <c r="O1" s="181" t="s">
        <v>318</v>
      </c>
      <c r="P1" s="181" t="s">
        <v>325</v>
      </c>
      <c r="Q1" s="181" t="s">
        <v>445</v>
      </c>
      <c r="R1" s="181" t="s">
        <v>380</v>
      </c>
      <c r="S1" s="181" t="s">
        <v>381</v>
      </c>
      <c r="T1" s="181" t="s">
        <v>382</v>
      </c>
      <c r="U1" s="181" t="s">
        <v>383</v>
      </c>
      <c r="V1" s="181" t="s">
        <v>384</v>
      </c>
      <c r="W1" s="181" t="s">
        <v>446</v>
      </c>
      <c r="X1" s="181" t="s">
        <v>259</v>
      </c>
      <c r="Y1" s="181" t="s">
        <v>260</v>
      </c>
      <c r="Z1" s="181" t="s">
        <v>143</v>
      </c>
      <c r="AA1" s="181" t="s">
        <v>429</v>
      </c>
      <c r="AB1" s="526" t="s">
        <v>281</v>
      </c>
      <c r="AC1" s="572" t="s">
        <v>447</v>
      </c>
      <c r="AD1" s="574" t="s">
        <v>345</v>
      </c>
      <c r="AE1" s="65" t="s">
        <v>422</v>
      </c>
      <c r="AF1" s="65" t="s">
        <v>423</v>
      </c>
      <c r="AG1" s="526" t="s">
        <v>153</v>
      </c>
      <c r="AH1" s="526" t="s">
        <v>480</v>
      </c>
      <c r="AI1" s="526" t="s">
        <v>481</v>
      </c>
      <c r="AJ1" s="526" t="s">
        <v>482</v>
      </c>
      <c r="AK1" s="526" t="s">
        <v>483</v>
      </c>
      <c r="AL1" s="526" t="s">
        <v>484</v>
      </c>
      <c r="AM1" s="526" t="s">
        <v>485</v>
      </c>
      <c r="AN1" s="526" t="s">
        <v>486</v>
      </c>
      <c r="AO1" s="526" t="s">
        <v>753</v>
      </c>
      <c r="AP1" s="526" t="s">
        <v>754</v>
      </c>
      <c r="AQ1" s="526"/>
      <c r="AR1" s="526"/>
      <c r="AS1" s="526"/>
      <c r="AT1" s="526"/>
      <c r="AU1" s="526"/>
      <c r="AV1" s="526"/>
      <c r="AW1" s="526"/>
      <c r="AX1" s="526"/>
      <c r="AY1" s="526"/>
      <c r="AZ1" s="526"/>
      <c r="BA1" s="526"/>
      <c r="BB1" s="526"/>
      <c r="BC1" s="526"/>
      <c r="BD1" s="526"/>
      <c r="BE1" s="526"/>
      <c r="BF1" s="526"/>
      <c r="BG1" s="526"/>
      <c r="BH1" s="526"/>
      <c r="BI1" s="526"/>
      <c r="BJ1" s="526"/>
      <c r="BK1" s="526"/>
      <c r="BL1" s="526"/>
      <c r="BM1" s="526"/>
      <c r="BN1" s="526"/>
      <c r="BO1" s="526"/>
      <c r="BP1" s="526"/>
      <c r="BQ1" s="526"/>
      <c r="BR1" s="526"/>
      <c r="BS1" s="526"/>
      <c r="BT1" s="526"/>
      <c r="BU1" s="526"/>
      <c r="BV1" s="526"/>
      <c r="BW1" s="526"/>
      <c r="BX1" s="181" t="s">
        <v>627</v>
      </c>
      <c r="BY1" s="181" t="s">
        <v>628</v>
      </c>
      <c r="BZ1" s="181" t="s">
        <v>630</v>
      </c>
      <c r="CA1" s="526" t="s">
        <v>391</v>
      </c>
    </row>
    <row r="2" spans="1:79" s="36" customFormat="1">
      <c r="A2" s="300">
        <v>2015</v>
      </c>
      <c r="B2" s="36" t="s">
        <v>97</v>
      </c>
      <c r="C2" s="36" t="s">
        <v>99</v>
      </c>
      <c r="D2" s="36" t="s">
        <v>101</v>
      </c>
      <c r="E2" s="36" t="s">
        <v>103</v>
      </c>
      <c r="F2" s="36" t="s">
        <v>105</v>
      </c>
      <c r="G2" s="36" t="s">
        <v>107</v>
      </c>
      <c r="H2" s="36" t="s">
        <v>109</v>
      </c>
      <c r="I2" s="36" t="s">
        <v>111</v>
      </c>
      <c r="J2" s="36" t="s">
        <v>113</v>
      </c>
      <c r="K2" s="36" t="s">
        <v>115</v>
      </c>
      <c r="L2" s="36" t="s">
        <v>624</v>
      </c>
      <c r="M2" s="36" t="s">
        <v>118</v>
      </c>
      <c r="N2" s="58" t="s">
        <v>120</v>
      </c>
      <c r="O2" s="36" t="s">
        <v>122</v>
      </c>
      <c r="P2" s="36" t="s">
        <v>124</v>
      </c>
      <c r="Q2" s="36" t="s">
        <v>126</v>
      </c>
      <c r="R2" s="36" t="s">
        <v>128</v>
      </c>
      <c r="S2" s="36" t="s">
        <v>130</v>
      </c>
      <c r="T2" s="36" t="s">
        <v>132</v>
      </c>
      <c r="U2" s="36" t="s">
        <v>134</v>
      </c>
      <c r="V2" s="36" t="s">
        <v>136</v>
      </c>
      <c r="W2" s="36" t="s">
        <v>138</v>
      </c>
      <c r="X2" s="36" t="s">
        <v>140</v>
      </c>
      <c r="Y2" s="36" t="s">
        <v>142</v>
      </c>
      <c r="Z2" s="36" t="s">
        <v>144</v>
      </c>
      <c r="AA2" s="36" t="s">
        <v>148</v>
      </c>
      <c r="AB2" s="300" t="s">
        <v>448</v>
      </c>
      <c r="AC2" s="572" t="s">
        <v>449</v>
      </c>
      <c r="AD2" s="575" t="s">
        <v>146</v>
      </c>
      <c r="AE2" s="53" t="s">
        <v>150</v>
      </c>
      <c r="AF2" s="53" t="s">
        <v>152</v>
      </c>
      <c r="AG2" s="300" t="s">
        <v>154</v>
      </c>
      <c r="AH2" s="300" t="s">
        <v>156</v>
      </c>
      <c r="AI2" s="300" t="s">
        <v>158</v>
      </c>
      <c r="AJ2" s="300" t="s">
        <v>160</v>
      </c>
      <c r="AK2" s="300" t="s">
        <v>162</v>
      </c>
      <c r="AL2" s="300" t="s">
        <v>164</v>
      </c>
      <c r="AM2" s="300" t="s">
        <v>166</v>
      </c>
      <c r="AN2" s="300" t="s">
        <v>168</v>
      </c>
      <c r="AO2" s="300" t="s">
        <v>278</v>
      </c>
      <c r="AP2" s="300" t="s">
        <v>280</v>
      </c>
      <c r="AQ2" s="300"/>
      <c r="AR2" s="300"/>
      <c r="AS2" s="300"/>
      <c r="AT2" s="300"/>
      <c r="AU2" s="300"/>
      <c r="AV2" s="300"/>
      <c r="AW2" s="300"/>
      <c r="AX2" s="300"/>
      <c r="AY2" s="300"/>
      <c r="AZ2" s="300"/>
      <c r="BA2" s="300"/>
      <c r="BB2" s="300"/>
      <c r="BC2" s="300"/>
      <c r="BD2" s="300"/>
      <c r="BE2" s="300"/>
      <c r="BF2" s="300"/>
      <c r="BG2" s="300"/>
      <c r="BH2" s="300"/>
      <c r="BI2" s="300"/>
      <c r="BJ2" s="300"/>
      <c r="BK2" s="300"/>
      <c r="BL2" s="300"/>
      <c r="BM2" s="300"/>
      <c r="BN2" s="300"/>
      <c r="BO2" s="300"/>
      <c r="BP2" s="300"/>
      <c r="BQ2" s="300"/>
      <c r="BR2" s="300"/>
      <c r="BS2" s="300"/>
      <c r="BT2" s="300"/>
      <c r="BU2" s="300"/>
      <c r="BV2" s="300"/>
      <c r="BW2" s="300"/>
      <c r="BX2" s="36" t="str">
        <f>IF(BX1&lt;&gt;"",BX1,"")</f>
        <v>S&amp;P500(h)</v>
      </c>
      <c r="BY2" s="36" t="str">
        <f>IF(BY1&lt;&gt;"",BY1,"")</f>
        <v>IT Bonds(h)</v>
      </c>
      <c r="BZ2" s="36" t="str">
        <f>IF(BZ1&lt;&gt;"",BZ1,"")</f>
        <v>TBills(h)</v>
      </c>
      <c r="CA2" s="300" t="s">
        <v>403</v>
      </c>
    </row>
    <row r="3" spans="1:79" s="36" customFormat="1">
      <c r="A3" s="186" t="s">
        <v>450</v>
      </c>
      <c r="B3" s="501">
        <v>0.17</v>
      </c>
      <c r="C3" s="501">
        <v>0.23</v>
      </c>
      <c r="D3" s="501">
        <v>0.17</v>
      </c>
      <c r="E3" s="501">
        <v>0.23</v>
      </c>
      <c r="F3" s="501">
        <v>0.23</v>
      </c>
      <c r="G3" s="501">
        <v>0.23</v>
      </c>
      <c r="H3" s="501">
        <v>0.23</v>
      </c>
      <c r="I3" s="501">
        <v>0.23</v>
      </c>
      <c r="J3" s="501">
        <v>0.78</v>
      </c>
      <c r="K3" s="501">
        <v>0.26</v>
      </c>
      <c r="L3" s="501">
        <v>0.09</v>
      </c>
      <c r="M3" s="501">
        <v>0.33</v>
      </c>
      <c r="N3" s="501">
        <v>0.22</v>
      </c>
      <c r="O3" s="501">
        <v>0.26</v>
      </c>
      <c r="P3" s="501">
        <v>0.26</v>
      </c>
      <c r="Q3" s="501">
        <v>0.44</v>
      </c>
      <c r="R3" s="501">
        <v>0</v>
      </c>
      <c r="S3" s="501">
        <v>0.2</v>
      </c>
      <c r="T3" s="501">
        <v>0.2</v>
      </c>
      <c r="U3" s="501">
        <v>0.2</v>
      </c>
      <c r="V3" s="501">
        <v>0.09</v>
      </c>
      <c r="W3" s="501">
        <v>0.2</v>
      </c>
      <c r="X3" s="501">
        <v>0.26</v>
      </c>
      <c r="Y3" s="501">
        <v>0.25</v>
      </c>
      <c r="Z3" s="501">
        <v>0.38</v>
      </c>
      <c r="AA3" s="501">
        <v>0.2</v>
      </c>
      <c r="AB3" s="501">
        <v>0.4</v>
      </c>
      <c r="AC3" s="501">
        <v>0.37</v>
      </c>
      <c r="AD3" s="501">
        <v>0.37</v>
      </c>
      <c r="AE3" s="501">
        <v>0.34</v>
      </c>
      <c r="AF3" s="501">
        <v>0.28999999999999998</v>
      </c>
      <c r="AG3" s="501">
        <v>0.36</v>
      </c>
      <c r="AH3" s="501">
        <v>0.2</v>
      </c>
      <c r="AI3" s="501">
        <v>0.2</v>
      </c>
      <c r="AJ3" s="501">
        <v>0.2</v>
      </c>
      <c r="AK3" s="501">
        <v>0.23</v>
      </c>
      <c r="AL3" s="501">
        <v>0.23</v>
      </c>
      <c r="AM3" s="501">
        <v>0.23</v>
      </c>
      <c r="AN3" s="501">
        <v>0.23</v>
      </c>
      <c r="AO3" s="501">
        <v>0</v>
      </c>
      <c r="AP3" s="501">
        <v>0.2</v>
      </c>
      <c r="AQ3" s="501" t="s">
        <v>451</v>
      </c>
      <c r="AR3" s="501" t="s">
        <v>451</v>
      </c>
      <c r="AS3" s="501" t="s">
        <v>451</v>
      </c>
      <c r="AT3" s="501" t="s">
        <v>451</v>
      </c>
      <c r="AU3" s="501" t="s">
        <v>451</v>
      </c>
      <c r="AV3" s="501" t="s">
        <v>451</v>
      </c>
      <c r="AW3" s="501" t="s">
        <v>451</v>
      </c>
      <c r="AX3" s="501" t="s">
        <v>451</v>
      </c>
      <c r="AY3" s="501" t="s">
        <v>451</v>
      </c>
      <c r="AZ3" s="501" t="s">
        <v>451</v>
      </c>
      <c r="BA3" s="501" t="s">
        <v>451</v>
      </c>
      <c r="BB3" s="501" t="s">
        <v>451</v>
      </c>
      <c r="BC3" s="501" t="s">
        <v>451</v>
      </c>
      <c r="BD3" s="501" t="s">
        <v>451</v>
      </c>
      <c r="BE3" s="501" t="s">
        <v>451</v>
      </c>
      <c r="BF3" s="501" t="s">
        <v>451</v>
      </c>
      <c r="BG3" s="501" t="s">
        <v>451</v>
      </c>
      <c r="BH3" s="501" t="s">
        <v>451</v>
      </c>
      <c r="BI3" s="501" t="s">
        <v>451</v>
      </c>
      <c r="BJ3" s="501" t="s">
        <v>451</v>
      </c>
      <c r="BK3" s="501" t="s">
        <v>451</v>
      </c>
      <c r="BL3" s="501" t="s">
        <v>451</v>
      </c>
      <c r="BM3" s="501" t="s">
        <v>451</v>
      </c>
      <c r="BN3" s="501" t="s">
        <v>451</v>
      </c>
      <c r="BO3" s="501" t="s">
        <v>451</v>
      </c>
      <c r="BP3" s="501" t="s">
        <v>451</v>
      </c>
      <c r="BQ3" s="501" t="s">
        <v>451</v>
      </c>
      <c r="BR3" s="501" t="s">
        <v>451</v>
      </c>
      <c r="BS3" s="501" t="s">
        <v>451</v>
      </c>
      <c r="BT3" s="501" t="s">
        <v>451</v>
      </c>
      <c r="BU3" s="501" t="s">
        <v>451</v>
      </c>
      <c r="BV3" s="501" t="s">
        <v>451</v>
      </c>
      <c r="BW3" s="501" t="s">
        <v>451</v>
      </c>
      <c r="BX3" s="500">
        <v>0</v>
      </c>
      <c r="BY3" s="501">
        <v>0</v>
      </c>
      <c r="BZ3" s="501">
        <v>0</v>
      </c>
      <c r="CA3" s="501" t="s">
        <v>451</v>
      </c>
    </row>
    <row r="4" spans="1:79" s="36" customFormat="1">
      <c r="A4" s="186" t="s">
        <v>452</v>
      </c>
      <c r="B4" s="186">
        <v>1993</v>
      </c>
      <c r="C4" s="186">
        <v>1993</v>
      </c>
      <c r="D4" s="186">
        <v>1977</v>
      </c>
      <c r="E4" s="186">
        <v>1992</v>
      </c>
      <c r="F4" s="186">
        <v>1999</v>
      </c>
      <c r="G4" s="186">
        <v>1999</v>
      </c>
      <c r="H4" s="186">
        <v>1992</v>
      </c>
      <c r="I4" s="186">
        <v>1999</v>
      </c>
      <c r="J4" s="186">
        <v>1998</v>
      </c>
      <c r="K4" s="186">
        <v>1997</v>
      </c>
      <c r="L4" s="186">
        <v>2001</v>
      </c>
      <c r="M4" s="186">
        <v>1995</v>
      </c>
      <c r="N4" s="186">
        <v>1997</v>
      </c>
      <c r="O4" s="186">
        <v>1991</v>
      </c>
      <c r="P4" s="186">
        <v>1991</v>
      </c>
      <c r="Q4" s="186">
        <v>1991</v>
      </c>
      <c r="R4" s="186">
        <v>2003</v>
      </c>
      <c r="S4" s="186">
        <v>1987</v>
      </c>
      <c r="T4" s="186">
        <v>1992</v>
      </c>
      <c r="U4" s="186">
        <v>1987</v>
      </c>
      <c r="V4" s="186">
        <v>1984</v>
      </c>
      <c r="W4" s="186">
        <v>2001</v>
      </c>
      <c r="X4" s="186">
        <v>1972</v>
      </c>
      <c r="Y4" s="186">
        <v>1972</v>
      </c>
      <c r="Z4" s="186">
        <v>1972</v>
      </c>
      <c r="AA4" s="186">
        <v>1992</v>
      </c>
      <c r="AB4" s="502">
        <v>2004</v>
      </c>
      <c r="AC4" s="573">
        <v>1997</v>
      </c>
      <c r="AD4" s="590">
        <v>1985</v>
      </c>
      <c r="AE4" s="591">
        <v>1985</v>
      </c>
      <c r="AF4" s="591">
        <v>1985</v>
      </c>
      <c r="AG4" s="186">
        <v>1985</v>
      </c>
      <c r="AH4" s="186">
        <v>1985</v>
      </c>
      <c r="AI4" s="186">
        <v>1985</v>
      </c>
      <c r="AJ4" s="186">
        <v>1985</v>
      </c>
      <c r="AK4" s="186">
        <v>1985</v>
      </c>
      <c r="AL4" s="186">
        <v>2007</v>
      </c>
      <c r="AM4" s="186">
        <v>2007</v>
      </c>
      <c r="AN4" s="186">
        <v>1988</v>
      </c>
      <c r="AO4" s="186">
        <v>1987</v>
      </c>
      <c r="AP4" s="186">
        <v>1982</v>
      </c>
      <c r="AQ4" s="502" t="s">
        <v>451</v>
      </c>
      <c r="AR4" s="502" t="s">
        <v>451</v>
      </c>
      <c r="AS4" s="502" t="s">
        <v>451</v>
      </c>
      <c r="AT4" s="502" t="s">
        <v>451</v>
      </c>
      <c r="AU4" s="502" t="s">
        <v>451</v>
      </c>
      <c r="AV4" s="502" t="s">
        <v>451</v>
      </c>
      <c r="AW4" s="502" t="s">
        <v>451</v>
      </c>
      <c r="AX4" s="502" t="s">
        <v>451</v>
      </c>
      <c r="AY4" s="502" t="s">
        <v>451</v>
      </c>
      <c r="AZ4" s="502" t="s">
        <v>451</v>
      </c>
      <c r="BA4" s="502" t="s">
        <v>451</v>
      </c>
      <c r="BB4" s="502" t="s">
        <v>451</v>
      </c>
      <c r="BC4" s="502" t="s">
        <v>451</v>
      </c>
      <c r="BD4" s="502" t="s">
        <v>451</v>
      </c>
      <c r="BE4" s="502" t="s">
        <v>451</v>
      </c>
      <c r="BF4" s="502" t="s">
        <v>451</v>
      </c>
      <c r="BG4" s="502" t="s">
        <v>451</v>
      </c>
      <c r="BH4" s="502" t="s">
        <v>451</v>
      </c>
      <c r="BI4" s="502" t="s">
        <v>451</v>
      </c>
      <c r="BJ4" s="502" t="s">
        <v>451</v>
      </c>
      <c r="BK4" s="502" t="s">
        <v>451</v>
      </c>
      <c r="BL4" s="502" t="s">
        <v>451</v>
      </c>
      <c r="BM4" s="502" t="s">
        <v>451</v>
      </c>
      <c r="BN4" s="502" t="s">
        <v>451</v>
      </c>
      <c r="BO4" s="502" t="s">
        <v>451</v>
      </c>
      <c r="BP4" s="502" t="s">
        <v>451</v>
      </c>
      <c r="BQ4" s="502" t="s">
        <v>451</v>
      </c>
      <c r="BR4" s="502" t="s">
        <v>451</v>
      </c>
      <c r="BS4" s="502" t="s">
        <v>451</v>
      </c>
      <c r="BT4" s="502" t="s">
        <v>451</v>
      </c>
      <c r="BU4" s="502" t="s">
        <v>451</v>
      </c>
      <c r="BV4" s="502" t="s">
        <v>451</v>
      </c>
      <c r="BW4" s="502" t="s">
        <v>451</v>
      </c>
      <c r="BX4" s="186">
        <v>1871</v>
      </c>
      <c r="BY4" s="502">
        <v>1871</v>
      </c>
      <c r="BZ4" s="502">
        <v>1871</v>
      </c>
      <c r="CA4" s="186" t="s">
        <v>451</v>
      </c>
    </row>
    <row r="5" spans="1:79" s="36" customFormat="1">
      <c r="A5" s="186" t="s">
        <v>629</v>
      </c>
      <c r="B5" s="186">
        <v>1871</v>
      </c>
      <c r="C5" s="186">
        <v>1972</v>
      </c>
      <c r="D5" s="186">
        <v>1871</v>
      </c>
      <c r="E5" s="186">
        <v>1972</v>
      </c>
      <c r="F5" s="186">
        <v>1972</v>
      </c>
      <c r="G5" s="186">
        <v>1972</v>
      </c>
      <c r="H5" s="186">
        <v>1972</v>
      </c>
      <c r="I5" s="186">
        <v>1972</v>
      </c>
      <c r="J5" s="186">
        <v>1972</v>
      </c>
      <c r="K5" s="186">
        <v>1972</v>
      </c>
      <c r="L5" s="186">
        <v>1972</v>
      </c>
      <c r="M5" s="186">
        <v>1972</v>
      </c>
      <c r="N5" s="186">
        <v>1972</v>
      </c>
      <c r="O5" s="186">
        <v>1972</v>
      </c>
      <c r="P5" s="186">
        <v>1972</v>
      </c>
      <c r="Q5" s="186">
        <v>1972</v>
      </c>
      <c r="R5" s="186">
        <v>1972</v>
      </c>
      <c r="S5" s="186">
        <v>1972</v>
      </c>
      <c r="T5" s="186">
        <v>1871</v>
      </c>
      <c r="U5" s="186">
        <v>1972</v>
      </c>
      <c r="V5" s="186">
        <v>1871</v>
      </c>
      <c r="W5" s="186">
        <v>1972</v>
      </c>
      <c r="X5" s="186">
        <v>1972</v>
      </c>
      <c r="Y5" s="186">
        <v>1972</v>
      </c>
      <c r="Z5" s="186">
        <v>1972</v>
      </c>
      <c r="AA5" s="186">
        <v>1972</v>
      </c>
      <c r="AB5" s="186">
        <v>1972</v>
      </c>
      <c r="AC5" s="346">
        <v>1972</v>
      </c>
      <c r="AD5" s="576">
        <v>1985</v>
      </c>
      <c r="AE5" s="502">
        <v>1985</v>
      </c>
      <c r="AF5" s="502">
        <v>1985</v>
      </c>
      <c r="AG5" s="502">
        <v>1985</v>
      </c>
      <c r="AH5" s="502">
        <v>1985</v>
      </c>
      <c r="AI5" s="502">
        <v>1985</v>
      </c>
      <c r="AJ5" s="502">
        <v>1985</v>
      </c>
      <c r="AK5" s="502">
        <v>1985</v>
      </c>
      <c r="AL5" s="502">
        <v>1985</v>
      </c>
      <c r="AM5" s="502">
        <v>1985</v>
      </c>
      <c r="AN5" s="502">
        <v>1985</v>
      </c>
      <c r="AO5" s="502">
        <v>1985</v>
      </c>
      <c r="AP5" s="502">
        <v>1985</v>
      </c>
      <c r="AQ5" s="502"/>
      <c r="AR5" s="502"/>
      <c r="AS5" s="502"/>
      <c r="AT5" s="502"/>
      <c r="AU5" s="502"/>
      <c r="AV5" s="502"/>
      <c r="AW5" s="502"/>
      <c r="AX5" s="502"/>
      <c r="AY5" s="502"/>
      <c r="AZ5" s="502"/>
      <c r="BA5" s="502"/>
      <c r="BB5" s="502"/>
      <c r="BC5" s="502"/>
      <c r="BD5" s="502"/>
      <c r="BE5" s="502"/>
      <c r="BF5" s="502"/>
      <c r="BG5" s="502"/>
      <c r="BH5" s="502"/>
      <c r="BI5" s="502"/>
      <c r="BJ5" s="502"/>
      <c r="BK5" s="502"/>
      <c r="BL5" s="502"/>
      <c r="BM5" s="502"/>
      <c r="BN5" s="502"/>
      <c r="BO5" s="502"/>
      <c r="BP5" s="502"/>
      <c r="BQ5" s="502"/>
      <c r="BR5" s="502"/>
      <c r="BS5" s="502"/>
      <c r="BT5" s="502"/>
      <c r="BU5" s="502"/>
      <c r="BV5" s="502"/>
      <c r="BW5" s="502"/>
      <c r="BX5" s="186">
        <v>1871</v>
      </c>
      <c r="BY5" s="186">
        <v>1871</v>
      </c>
      <c r="BZ5" s="186">
        <v>1871</v>
      </c>
      <c r="CA5" s="502">
        <v>1871</v>
      </c>
    </row>
    <row r="6" spans="1:79" s="36" customFormat="1">
      <c r="A6" s="503" t="s">
        <v>739</v>
      </c>
      <c r="B6" s="504">
        <f t="shared" ref="B6:AG6" si="0">IF(ISNUMBER(B$5), MATCH(B$5, $A$8:$A$153)-1, "")</f>
        <v>0</v>
      </c>
      <c r="C6" s="504">
        <f t="shared" si="0"/>
        <v>101</v>
      </c>
      <c r="D6" s="504">
        <f t="shared" si="0"/>
        <v>0</v>
      </c>
      <c r="E6" s="504">
        <f t="shared" si="0"/>
        <v>101</v>
      </c>
      <c r="F6" s="504">
        <f t="shared" si="0"/>
        <v>101</v>
      </c>
      <c r="G6" s="504">
        <f t="shared" si="0"/>
        <v>101</v>
      </c>
      <c r="H6" s="504">
        <f t="shared" si="0"/>
        <v>101</v>
      </c>
      <c r="I6" s="504">
        <f t="shared" si="0"/>
        <v>101</v>
      </c>
      <c r="J6" s="504">
        <f t="shared" si="0"/>
        <v>101</v>
      </c>
      <c r="K6" s="504">
        <f t="shared" si="0"/>
        <v>101</v>
      </c>
      <c r="L6" s="504">
        <f t="shared" si="0"/>
        <v>101</v>
      </c>
      <c r="M6" s="504">
        <f t="shared" si="0"/>
        <v>101</v>
      </c>
      <c r="N6" s="504">
        <f t="shared" si="0"/>
        <v>101</v>
      </c>
      <c r="O6" s="504">
        <f t="shared" si="0"/>
        <v>101</v>
      </c>
      <c r="P6" s="504">
        <f t="shared" si="0"/>
        <v>101</v>
      </c>
      <c r="Q6" s="504">
        <f t="shared" si="0"/>
        <v>101</v>
      </c>
      <c r="R6" s="504">
        <f t="shared" si="0"/>
        <v>101</v>
      </c>
      <c r="S6" s="504">
        <f t="shared" si="0"/>
        <v>101</v>
      </c>
      <c r="T6" s="504">
        <f t="shared" si="0"/>
        <v>0</v>
      </c>
      <c r="U6" s="504">
        <f t="shared" si="0"/>
        <v>101</v>
      </c>
      <c r="V6" s="504">
        <f t="shared" si="0"/>
        <v>0</v>
      </c>
      <c r="W6" s="504">
        <f t="shared" si="0"/>
        <v>101</v>
      </c>
      <c r="X6" s="504">
        <f t="shared" si="0"/>
        <v>101</v>
      </c>
      <c r="Y6" s="504">
        <f t="shared" si="0"/>
        <v>101</v>
      </c>
      <c r="Z6" s="504">
        <f t="shared" si="0"/>
        <v>101</v>
      </c>
      <c r="AA6" s="504">
        <f t="shared" si="0"/>
        <v>101</v>
      </c>
      <c r="AB6" s="504">
        <f t="shared" si="0"/>
        <v>101</v>
      </c>
      <c r="AC6" s="504">
        <f t="shared" si="0"/>
        <v>101</v>
      </c>
      <c r="AD6" s="577">
        <f t="shared" si="0"/>
        <v>114</v>
      </c>
      <c r="AE6" s="504">
        <f t="shared" si="0"/>
        <v>114</v>
      </c>
      <c r="AF6" s="525">
        <f t="shared" si="0"/>
        <v>114</v>
      </c>
      <c r="AG6" s="504">
        <f t="shared" si="0"/>
        <v>114</v>
      </c>
      <c r="AH6" s="504">
        <f t="shared" ref="AH6:BM6" si="1">IF(ISNUMBER(AH$5), MATCH(AH$5, $A$8:$A$153)-1, "")</f>
        <v>114</v>
      </c>
      <c r="AI6" s="504">
        <f t="shared" si="1"/>
        <v>114</v>
      </c>
      <c r="AJ6" s="504">
        <f t="shared" si="1"/>
        <v>114</v>
      </c>
      <c r="AK6" s="504">
        <f t="shared" si="1"/>
        <v>114</v>
      </c>
      <c r="AL6" s="504">
        <f t="shared" si="1"/>
        <v>114</v>
      </c>
      <c r="AM6" s="504">
        <f t="shared" si="1"/>
        <v>114</v>
      </c>
      <c r="AN6" s="504">
        <f t="shared" si="1"/>
        <v>114</v>
      </c>
      <c r="AO6" s="504">
        <f t="shared" si="1"/>
        <v>114</v>
      </c>
      <c r="AP6" s="504">
        <f t="shared" si="1"/>
        <v>114</v>
      </c>
      <c r="AQ6" s="504" t="str">
        <f t="shared" si="1"/>
        <v/>
      </c>
      <c r="AR6" s="504" t="str">
        <f t="shared" si="1"/>
        <v/>
      </c>
      <c r="AS6" s="504" t="str">
        <f t="shared" si="1"/>
        <v/>
      </c>
      <c r="AT6" s="504" t="str">
        <f t="shared" si="1"/>
        <v/>
      </c>
      <c r="AU6" s="504" t="str">
        <f t="shared" si="1"/>
        <v/>
      </c>
      <c r="AV6" s="504" t="str">
        <f t="shared" si="1"/>
        <v/>
      </c>
      <c r="AW6" s="504" t="str">
        <f t="shared" si="1"/>
        <v/>
      </c>
      <c r="AX6" s="504" t="str">
        <f t="shared" si="1"/>
        <v/>
      </c>
      <c r="AY6" s="504" t="str">
        <f t="shared" si="1"/>
        <v/>
      </c>
      <c r="AZ6" s="504" t="str">
        <f t="shared" si="1"/>
        <v/>
      </c>
      <c r="BA6" s="504" t="str">
        <f t="shared" si="1"/>
        <v/>
      </c>
      <c r="BB6" s="504" t="str">
        <f t="shared" si="1"/>
        <v/>
      </c>
      <c r="BC6" s="504" t="str">
        <f t="shared" si="1"/>
        <v/>
      </c>
      <c r="BD6" s="504" t="str">
        <f t="shared" si="1"/>
        <v/>
      </c>
      <c r="BE6" s="504" t="str">
        <f t="shared" si="1"/>
        <v/>
      </c>
      <c r="BF6" s="504" t="str">
        <f t="shared" si="1"/>
        <v/>
      </c>
      <c r="BG6" s="504" t="str">
        <f t="shared" si="1"/>
        <v/>
      </c>
      <c r="BH6" s="504" t="str">
        <f t="shared" si="1"/>
        <v/>
      </c>
      <c r="BI6" s="504" t="str">
        <f t="shared" si="1"/>
        <v/>
      </c>
      <c r="BJ6" s="504" t="str">
        <f t="shared" si="1"/>
        <v/>
      </c>
      <c r="BK6" s="504" t="str">
        <f t="shared" si="1"/>
        <v/>
      </c>
      <c r="BL6" s="504" t="str">
        <f t="shared" si="1"/>
        <v/>
      </c>
      <c r="BM6" s="504" t="str">
        <f t="shared" si="1"/>
        <v/>
      </c>
      <c r="BN6" s="504" t="str">
        <f t="shared" ref="BN6:CA6" si="2">IF(ISNUMBER(BN$5), MATCH(BN$5, $A$8:$A$153)-1, "")</f>
        <v/>
      </c>
      <c r="BO6" s="504" t="str">
        <f t="shared" si="2"/>
        <v/>
      </c>
      <c r="BP6" s="504" t="str">
        <f t="shared" si="2"/>
        <v/>
      </c>
      <c r="BQ6" s="504" t="str">
        <f t="shared" si="2"/>
        <v/>
      </c>
      <c r="BR6" s="504" t="str">
        <f t="shared" si="2"/>
        <v/>
      </c>
      <c r="BS6" s="504" t="str">
        <f t="shared" si="2"/>
        <v/>
      </c>
      <c r="BT6" s="504" t="str">
        <f t="shared" si="2"/>
        <v/>
      </c>
      <c r="BU6" s="504" t="str">
        <f t="shared" si="2"/>
        <v/>
      </c>
      <c r="BV6" s="504" t="str">
        <f t="shared" si="2"/>
        <v/>
      </c>
      <c r="BW6" s="504" t="str">
        <f t="shared" si="2"/>
        <v/>
      </c>
      <c r="BX6" s="504">
        <f t="shared" si="2"/>
        <v>0</v>
      </c>
      <c r="BY6" s="504">
        <f t="shared" si="2"/>
        <v>0</v>
      </c>
      <c r="BZ6" s="504">
        <f t="shared" si="2"/>
        <v>0</v>
      </c>
      <c r="CA6" s="504">
        <f t="shared" si="2"/>
        <v>0</v>
      </c>
    </row>
    <row r="7" spans="1:79" s="36" customFormat="1">
      <c r="B7" s="301"/>
      <c r="C7" s="189" t="s">
        <v>453</v>
      </c>
      <c r="D7" s="189"/>
      <c r="E7" s="302"/>
      <c r="F7" s="189" t="s">
        <v>454</v>
      </c>
      <c r="G7" s="189"/>
    </row>
    <row r="8" spans="1:79">
      <c r="A8" s="58">
        <v>1871</v>
      </c>
      <c r="B8" s="303">
        <f t="shared" ref="B8:AG8" si="3">IF(B$2="-","",(IF(B169="","",IF(B$4&lt;$A8,B169,(B169-B$3)/(1+B$3%)))))</f>
        <v>15.119611974957884</v>
      </c>
      <c r="C8" s="303" t="str">
        <f t="shared" si="3"/>
        <v/>
      </c>
      <c r="D8" s="303">
        <f t="shared" si="3"/>
        <v>15.119611974957884</v>
      </c>
      <c r="E8" s="303" t="str">
        <f t="shared" si="3"/>
        <v/>
      </c>
      <c r="F8" s="303" t="str">
        <f t="shared" si="3"/>
        <v/>
      </c>
      <c r="G8" s="303" t="str">
        <f t="shared" si="3"/>
        <v/>
      </c>
      <c r="H8" s="303" t="str">
        <f t="shared" si="3"/>
        <v/>
      </c>
      <c r="I8" s="303" t="str">
        <f t="shared" si="3"/>
        <v/>
      </c>
      <c r="J8" s="303" t="str">
        <f t="shared" si="3"/>
        <v/>
      </c>
      <c r="K8" s="303" t="str">
        <f t="shared" si="3"/>
        <v/>
      </c>
      <c r="L8" s="303" t="str">
        <f t="shared" si="3"/>
        <v/>
      </c>
      <c r="M8" s="303" t="str">
        <f t="shared" si="3"/>
        <v/>
      </c>
      <c r="N8" s="303" t="str">
        <f t="shared" si="3"/>
        <v/>
      </c>
      <c r="O8" s="303" t="str">
        <f t="shared" si="3"/>
        <v/>
      </c>
      <c r="P8" s="303" t="str">
        <f t="shared" si="3"/>
        <v/>
      </c>
      <c r="Q8" s="303" t="str">
        <f t="shared" si="3"/>
        <v/>
      </c>
      <c r="R8" s="303" t="str">
        <f t="shared" si="3"/>
        <v/>
      </c>
      <c r="S8" s="303" t="str">
        <f t="shared" si="3"/>
        <v/>
      </c>
      <c r="T8" s="303">
        <f t="shared" si="3"/>
        <v>2.4583817466231279</v>
      </c>
      <c r="U8" s="303">
        <f t="shared" si="3"/>
        <v>2.4583817466231279</v>
      </c>
      <c r="V8" s="303">
        <f t="shared" si="3"/>
        <v>6.254371066040564</v>
      </c>
      <c r="W8" s="303" t="str">
        <f t="shared" si="3"/>
        <v/>
      </c>
      <c r="X8" s="303" t="str">
        <f t="shared" si="3"/>
        <v/>
      </c>
      <c r="Y8" s="303" t="str">
        <f t="shared" si="3"/>
        <v/>
      </c>
      <c r="Z8" s="303" t="str">
        <f t="shared" si="3"/>
        <v/>
      </c>
      <c r="AA8" s="303" t="str">
        <f t="shared" si="3"/>
        <v/>
      </c>
      <c r="AB8" s="303" t="str">
        <f t="shared" si="3"/>
        <v/>
      </c>
      <c r="AC8" s="303" t="str">
        <f t="shared" si="3"/>
        <v/>
      </c>
      <c r="AD8" s="303" t="str">
        <f t="shared" si="3"/>
        <v/>
      </c>
      <c r="AE8" s="303" t="str">
        <f t="shared" si="3"/>
        <v/>
      </c>
      <c r="AF8" s="303" t="str">
        <f t="shared" si="3"/>
        <v/>
      </c>
      <c r="AG8" s="303" t="str">
        <f t="shared" si="3"/>
        <v/>
      </c>
      <c r="AH8" s="303" t="str">
        <f t="shared" ref="AH8:BM8" si="4">IF(AH$2="-","",(IF(AH169="","",IF(AH$4&lt;$A8,AH169,(AH169-AH$3)/(1+AH$3%)))))</f>
        <v/>
      </c>
      <c r="AI8" s="303" t="str">
        <f t="shared" si="4"/>
        <v/>
      </c>
      <c r="AJ8" s="303" t="str">
        <f t="shared" si="4"/>
        <v/>
      </c>
      <c r="AK8" s="303" t="str">
        <f t="shared" si="4"/>
        <v/>
      </c>
      <c r="AL8" s="303" t="str">
        <f t="shared" si="4"/>
        <v/>
      </c>
      <c r="AM8" s="303" t="str">
        <f t="shared" si="4"/>
        <v/>
      </c>
      <c r="AN8" s="303" t="str">
        <f t="shared" si="4"/>
        <v/>
      </c>
      <c r="AO8" s="303" t="str">
        <f t="shared" si="4"/>
        <v/>
      </c>
      <c r="AP8" s="303" t="str">
        <f t="shared" si="4"/>
        <v/>
      </c>
      <c r="AQ8" s="303" t="str">
        <f t="shared" si="4"/>
        <v/>
      </c>
      <c r="AR8" s="303" t="str">
        <f t="shared" si="4"/>
        <v/>
      </c>
      <c r="AS8" s="303" t="str">
        <f t="shared" si="4"/>
        <v/>
      </c>
      <c r="AT8" s="303" t="str">
        <f t="shared" si="4"/>
        <v/>
      </c>
      <c r="AU8" s="303" t="str">
        <f t="shared" si="4"/>
        <v/>
      </c>
      <c r="AV8" s="303" t="str">
        <f t="shared" si="4"/>
        <v/>
      </c>
      <c r="AW8" s="303" t="str">
        <f t="shared" si="4"/>
        <v/>
      </c>
      <c r="AX8" s="303" t="str">
        <f t="shared" si="4"/>
        <v/>
      </c>
      <c r="AY8" s="303" t="str">
        <f t="shared" si="4"/>
        <v/>
      </c>
      <c r="AZ8" s="303" t="str">
        <f t="shared" si="4"/>
        <v/>
      </c>
      <c r="BA8" s="303" t="str">
        <f t="shared" si="4"/>
        <v/>
      </c>
      <c r="BB8" s="303" t="str">
        <f t="shared" si="4"/>
        <v/>
      </c>
      <c r="BC8" s="303" t="str">
        <f t="shared" si="4"/>
        <v/>
      </c>
      <c r="BD8" s="303" t="str">
        <f t="shared" si="4"/>
        <v/>
      </c>
      <c r="BE8" s="303" t="str">
        <f t="shared" si="4"/>
        <v/>
      </c>
      <c r="BF8" s="303" t="str">
        <f t="shared" si="4"/>
        <v/>
      </c>
      <c r="BG8" s="303" t="str">
        <f t="shared" si="4"/>
        <v/>
      </c>
      <c r="BH8" s="303" t="str">
        <f t="shared" si="4"/>
        <v/>
      </c>
      <c r="BI8" s="303" t="str">
        <f t="shared" si="4"/>
        <v/>
      </c>
      <c r="BJ8" s="303" t="str">
        <f t="shared" si="4"/>
        <v/>
      </c>
      <c r="BK8" s="303" t="str">
        <f t="shared" si="4"/>
        <v/>
      </c>
      <c r="BL8" s="303" t="str">
        <f t="shared" si="4"/>
        <v/>
      </c>
      <c r="BM8" s="303" t="str">
        <f t="shared" si="4"/>
        <v/>
      </c>
      <c r="BN8" s="303" t="str">
        <f t="shared" ref="BN8:BZ8" si="5">IF(BN$2="-","",(IF(BN169="","",IF(BN$4&lt;$A8,BN169,(BN169-BN$3)/(1+BN$3%)))))</f>
        <v/>
      </c>
      <c r="BO8" s="303" t="str">
        <f t="shared" si="5"/>
        <v/>
      </c>
      <c r="BP8" s="303" t="str">
        <f t="shared" si="5"/>
        <v/>
      </c>
      <c r="BQ8" s="303" t="str">
        <f t="shared" si="5"/>
        <v/>
      </c>
      <c r="BR8" s="303" t="str">
        <f t="shared" si="5"/>
        <v/>
      </c>
      <c r="BS8" s="303" t="str">
        <f t="shared" si="5"/>
        <v/>
      </c>
      <c r="BT8" s="303" t="str">
        <f t="shared" si="5"/>
        <v/>
      </c>
      <c r="BU8" s="303" t="str">
        <f t="shared" si="5"/>
        <v/>
      </c>
      <c r="BV8" s="303" t="str">
        <f t="shared" si="5"/>
        <v/>
      </c>
      <c r="BW8" s="303" t="str">
        <f t="shared" si="5"/>
        <v/>
      </c>
      <c r="BX8" s="303">
        <f t="shared" si="5"/>
        <v>15.315315315315313</v>
      </c>
      <c r="BY8" s="303">
        <f t="shared" si="5"/>
        <v>2.6632985101163742</v>
      </c>
      <c r="BZ8" s="303">
        <f t="shared" si="5"/>
        <v>6.35</v>
      </c>
      <c r="CA8" s="303">
        <f>IF(CA169&lt;&gt;"",CA169,"")</f>
        <v>1.5270384186983676</v>
      </c>
    </row>
    <row r="9" spans="1:79">
      <c r="A9" s="58">
        <f t="shared" ref="A9:A40" si="6">A8+1</f>
        <v>1872</v>
      </c>
      <c r="B9" s="303">
        <f t="shared" ref="B9:AG9" si="7">IF(B$2="-","",(IF(B170="","",IF(B$4&lt;$A9,B170,(B170-B$3)/(1+B$3%)))))</f>
        <v>11.127954904645639</v>
      </c>
      <c r="C9" s="303" t="str">
        <f t="shared" si="7"/>
        <v/>
      </c>
      <c r="D9" s="303">
        <f t="shared" si="7"/>
        <v>11.127954904645639</v>
      </c>
      <c r="E9" s="303" t="str">
        <f t="shared" si="7"/>
        <v/>
      </c>
      <c r="F9" s="303" t="str">
        <f t="shared" si="7"/>
        <v/>
      </c>
      <c r="G9" s="303" t="str">
        <f t="shared" si="7"/>
        <v/>
      </c>
      <c r="H9" s="303" t="str">
        <f t="shared" si="7"/>
        <v/>
      </c>
      <c r="I9" s="303" t="str">
        <f t="shared" si="7"/>
        <v/>
      </c>
      <c r="J9" s="303" t="str">
        <f t="shared" si="7"/>
        <v/>
      </c>
      <c r="K9" s="303" t="str">
        <f t="shared" si="7"/>
        <v/>
      </c>
      <c r="L9" s="303" t="str">
        <f t="shared" si="7"/>
        <v/>
      </c>
      <c r="M9" s="303" t="str">
        <f t="shared" si="7"/>
        <v/>
      </c>
      <c r="N9" s="303" t="str">
        <f t="shared" si="7"/>
        <v/>
      </c>
      <c r="O9" s="303" t="str">
        <f t="shared" si="7"/>
        <v/>
      </c>
      <c r="P9" s="303" t="str">
        <f t="shared" si="7"/>
        <v/>
      </c>
      <c r="Q9" s="303" t="str">
        <f t="shared" si="7"/>
        <v/>
      </c>
      <c r="R9" s="303" t="str">
        <f t="shared" si="7"/>
        <v/>
      </c>
      <c r="S9" s="303" t="str">
        <f t="shared" si="7"/>
        <v/>
      </c>
      <c r="T9" s="303">
        <f t="shared" si="7"/>
        <v>3.4640342720798469</v>
      </c>
      <c r="U9" s="303">
        <f t="shared" si="7"/>
        <v>3.4640342720798469</v>
      </c>
      <c r="V9" s="303">
        <f t="shared" si="7"/>
        <v>7.7130582475771812</v>
      </c>
      <c r="W9" s="303" t="str">
        <f t="shared" si="7"/>
        <v/>
      </c>
      <c r="X9" s="303" t="str">
        <f t="shared" si="7"/>
        <v/>
      </c>
      <c r="Y9" s="303" t="str">
        <f t="shared" si="7"/>
        <v/>
      </c>
      <c r="Z9" s="303" t="str">
        <f t="shared" si="7"/>
        <v/>
      </c>
      <c r="AA9" s="303" t="str">
        <f t="shared" si="7"/>
        <v/>
      </c>
      <c r="AB9" s="303" t="str">
        <f t="shared" si="7"/>
        <v/>
      </c>
      <c r="AC9" s="303" t="str">
        <f t="shared" si="7"/>
        <v/>
      </c>
      <c r="AD9" s="303" t="str">
        <f t="shared" si="7"/>
        <v/>
      </c>
      <c r="AE9" s="303" t="str">
        <f t="shared" si="7"/>
        <v/>
      </c>
      <c r="AF9" s="303" t="str">
        <f t="shared" si="7"/>
        <v/>
      </c>
      <c r="AG9" s="303" t="str">
        <f t="shared" si="7"/>
        <v/>
      </c>
      <c r="AH9" s="303" t="str">
        <f t="shared" ref="AH9:BM9" si="8">IF(AH$2="-","",(IF(AH170="","",IF(AH$4&lt;$A9,AH170,(AH170-AH$3)/(1+AH$3%)))))</f>
        <v/>
      </c>
      <c r="AI9" s="303" t="str">
        <f t="shared" si="8"/>
        <v/>
      </c>
      <c r="AJ9" s="303" t="str">
        <f t="shared" si="8"/>
        <v/>
      </c>
      <c r="AK9" s="303" t="str">
        <f t="shared" si="8"/>
        <v/>
      </c>
      <c r="AL9" s="303" t="str">
        <f t="shared" si="8"/>
        <v/>
      </c>
      <c r="AM9" s="303" t="str">
        <f t="shared" si="8"/>
        <v/>
      </c>
      <c r="AN9" s="303" t="str">
        <f t="shared" si="8"/>
        <v/>
      </c>
      <c r="AO9" s="303" t="str">
        <f t="shared" si="8"/>
        <v/>
      </c>
      <c r="AP9" s="303" t="str">
        <f t="shared" si="8"/>
        <v/>
      </c>
      <c r="AQ9" s="303" t="str">
        <f t="shared" si="8"/>
        <v/>
      </c>
      <c r="AR9" s="303" t="str">
        <f t="shared" si="8"/>
        <v/>
      </c>
      <c r="AS9" s="303" t="str">
        <f t="shared" si="8"/>
        <v/>
      </c>
      <c r="AT9" s="303" t="str">
        <f t="shared" si="8"/>
        <v/>
      </c>
      <c r="AU9" s="303" t="str">
        <f t="shared" si="8"/>
        <v/>
      </c>
      <c r="AV9" s="303" t="str">
        <f t="shared" si="8"/>
        <v/>
      </c>
      <c r="AW9" s="303" t="str">
        <f t="shared" si="8"/>
        <v/>
      </c>
      <c r="AX9" s="303" t="str">
        <f t="shared" si="8"/>
        <v/>
      </c>
      <c r="AY9" s="303" t="str">
        <f t="shared" si="8"/>
        <v/>
      </c>
      <c r="AZ9" s="303" t="str">
        <f t="shared" si="8"/>
        <v/>
      </c>
      <c r="BA9" s="303" t="str">
        <f t="shared" si="8"/>
        <v/>
      </c>
      <c r="BB9" s="303" t="str">
        <f t="shared" si="8"/>
        <v/>
      </c>
      <c r="BC9" s="303" t="str">
        <f t="shared" si="8"/>
        <v/>
      </c>
      <c r="BD9" s="303" t="str">
        <f t="shared" si="8"/>
        <v/>
      </c>
      <c r="BE9" s="303" t="str">
        <f t="shared" si="8"/>
        <v/>
      </c>
      <c r="BF9" s="303" t="str">
        <f t="shared" si="8"/>
        <v/>
      </c>
      <c r="BG9" s="303" t="str">
        <f t="shared" si="8"/>
        <v/>
      </c>
      <c r="BH9" s="303" t="str">
        <f t="shared" si="8"/>
        <v/>
      </c>
      <c r="BI9" s="303" t="str">
        <f t="shared" si="8"/>
        <v/>
      </c>
      <c r="BJ9" s="303" t="str">
        <f t="shared" si="8"/>
        <v/>
      </c>
      <c r="BK9" s="303" t="str">
        <f t="shared" si="8"/>
        <v/>
      </c>
      <c r="BL9" s="303" t="str">
        <f t="shared" si="8"/>
        <v/>
      </c>
      <c r="BM9" s="303" t="str">
        <f t="shared" si="8"/>
        <v/>
      </c>
      <c r="BN9" s="303" t="str">
        <f t="shared" ref="BN9:BZ9" si="9">IF(BN$2="-","",(IF(BN170="","",IF(BN$4&lt;$A9,BN170,(BN170-BN$3)/(1+BN$3%)))))</f>
        <v/>
      </c>
      <c r="BO9" s="303" t="str">
        <f t="shared" si="9"/>
        <v/>
      </c>
      <c r="BP9" s="303" t="str">
        <f t="shared" si="9"/>
        <v/>
      </c>
      <c r="BQ9" s="303" t="str">
        <f t="shared" si="9"/>
        <v/>
      </c>
      <c r="BR9" s="303" t="str">
        <f t="shared" si="9"/>
        <v/>
      </c>
      <c r="BS9" s="303" t="str">
        <f t="shared" si="9"/>
        <v/>
      </c>
      <c r="BT9" s="303" t="str">
        <f t="shared" si="9"/>
        <v/>
      </c>
      <c r="BU9" s="303" t="str">
        <f t="shared" si="9"/>
        <v/>
      </c>
      <c r="BV9" s="303" t="str">
        <f t="shared" si="9"/>
        <v/>
      </c>
      <c r="BW9" s="303" t="str">
        <f t="shared" si="9"/>
        <v/>
      </c>
      <c r="BX9" s="303">
        <f t="shared" si="9"/>
        <v>11.316872427983537</v>
      </c>
      <c r="BY9" s="303">
        <f t="shared" si="9"/>
        <v>3.6709623406240066</v>
      </c>
      <c r="BZ9" s="303">
        <f t="shared" si="9"/>
        <v>7.81</v>
      </c>
      <c r="CA9" s="303">
        <f t="shared" ref="CA9:CA72" si="10">IF(CA170&lt;&gt;"",CA170,"")</f>
        <v>2.255461977153872</v>
      </c>
    </row>
    <row r="10" spans="1:79">
      <c r="A10" s="58">
        <f t="shared" si="6"/>
        <v>1873</v>
      </c>
      <c r="B10" s="303">
        <f t="shared" ref="B10:AG10" si="11">IF(B$2="-","",(IF(B171="","",IF(B$4&lt;$A10,B171,(B171-B$3)/(1+B$3%)))))</f>
        <v>-2.5140626883417561</v>
      </c>
      <c r="C10" s="303" t="str">
        <f t="shared" si="11"/>
        <v/>
      </c>
      <c r="D10" s="303">
        <f t="shared" si="11"/>
        <v>-2.5140626883417561</v>
      </c>
      <c r="E10" s="303" t="str">
        <f t="shared" si="11"/>
        <v/>
      </c>
      <c r="F10" s="303" t="str">
        <f t="shared" si="11"/>
        <v/>
      </c>
      <c r="G10" s="303" t="str">
        <f t="shared" si="11"/>
        <v/>
      </c>
      <c r="H10" s="303" t="str">
        <f t="shared" si="11"/>
        <v/>
      </c>
      <c r="I10" s="303" t="str">
        <f t="shared" si="11"/>
        <v/>
      </c>
      <c r="J10" s="303" t="str">
        <f t="shared" si="11"/>
        <v/>
      </c>
      <c r="K10" s="303" t="str">
        <f t="shared" si="11"/>
        <v/>
      </c>
      <c r="L10" s="303" t="str">
        <f t="shared" si="11"/>
        <v/>
      </c>
      <c r="M10" s="303" t="str">
        <f t="shared" si="11"/>
        <v/>
      </c>
      <c r="N10" s="303" t="str">
        <f t="shared" si="11"/>
        <v/>
      </c>
      <c r="O10" s="303" t="str">
        <f t="shared" si="11"/>
        <v/>
      </c>
      <c r="P10" s="303" t="str">
        <f t="shared" si="11"/>
        <v/>
      </c>
      <c r="Q10" s="303" t="str">
        <f t="shared" si="11"/>
        <v/>
      </c>
      <c r="R10" s="303" t="str">
        <f t="shared" si="11"/>
        <v/>
      </c>
      <c r="S10" s="303" t="str">
        <f t="shared" si="11"/>
        <v/>
      </c>
      <c r="T10" s="303">
        <f t="shared" si="11"/>
        <v>7.9995088295472989</v>
      </c>
      <c r="U10" s="303">
        <f t="shared" si="11"/>
        <v>7.9995088295472989</v>
      </c>
      <c r="V10" s="303">
        <f t="shared" si="11"/>
        <v>8.2525726845838747</v>
      </c>
      <c r="W10" s="303" t="str">
        <f t="shared" si="11"/>
        <v/>
      </c>
      <c r="X10" s="303" t="str">
        <f t="shared" si="11"/>
        <v/>
      </c>
      <c r="Y10" s="303" t="str">
        <f t="shared" si="11"/>
        <v/>
      </c>
      <c r="Z10" s="303" t="str">
        <f t="shared" si="11"/>
        <v/>
      </c>
      <c r="AA10" s="303" t="str">
        <f t="shared" si="11"/>
        <v/>
      </c>
      <c r="AB10" s="303" t="str">
        <f t="shared" si="11"/>
        <v/>
      </c>
      <c r="AC10" s="303" t="str">
        <f t="shared" si="11"/>
        <v/>
      </c>
      <c r="AD10" s="303" t="str">
        <f t="shared" si="11"/>
        <v/>
      </c>
      <c r="AE10" s="303" t="str">
        <f t="shared" si="11"/>
        <v/>
      </c>
      <c r="AF10" s="303" t="str">
        <f t="shared" si="11"/>
        <v/>
      </c>
      <c r="AG10" s="303" t="str">
        <f t="shared" si="11"/>
        <v/>
      </c>
      <c r="AH10" s="303" t="str">
        <f t="shared" ref="AH10:BM10" si="12">IF(AH$2="-","",(IF(AH171="","",IF(AH$4&lt;$A10,AH171,(AH171-AH$3)/(1+AH$3%)))))</f>
        <v/>
      </c>
      <c r="AI10" s="303" t="str">
        <f t="shared" si="12"/>
        <v/>
      </c>
      <c r="AJ10" s="303" t="str">
        <f t="shared" si="12"/>
        <v/>
      </c>
      <c r="AK10" s="303" t="str">
        <f t="shared" si="12"/>
        <v/>
      </c>
      <c r="AL10" s="303" t="str">
        <f t="shared" si="12"/>
        <v/>
      </c>
      <c r="AM10" s="303" t="str">
        <f t="shared" si="12"/>
        <v/>
      </c>
      <c r="AN10" s="303" t="str">
        <f t="shared" si="12"/>
        <v/>
      </c>
      <c r="AO10" s="303" t="str">
        <f t="shared" si="12"/>
        <v/>
      </c>
      <c r="AP10" s="303" t="str">
        <f t="shared" si="12"/>
        <v/>
      </c>
      <c r="AQ10" s="303" t="str">
        <f t="shared" si="12"/>
        <v/>
      </c>
      <c r="AR10" s="303" t="str">
        <f t="shared" si="12"/>
        <v/>
      </c>
      <c r="AS10" s="303" t="str">
        <f t="shared" si="12"/>
        <v/>
      </c>
      <c r="AT10" s="303" t="str">
        <f t="shared" si="12"/>
        <v/>
      </c>
      <c r="AU10" s="303" t="str">
        <f t="shared" si="12"/>
        <v/>
      </c>
      <c r="AV10" s="303" t="str">
        <f t="shared" si="12"/>
        <v/>
      </c>
      <c r="AW10" s="303" t="str">
        <f t="shared" si="12"/>
        <v/>
      </c>
      <c r="AX10" s="303" t="str">
        <f t="shared" si="12"/>
        <v/>
      </c>
      <c r="AY10" s="303" t="str">
        <f t="shared" si="12"/>
        <v/>
      </c>
      <c r="AZ10" s="303" t="str">
        <f t="shared" si="12"/>
        <v/>
      </c>
      <c r="BA10" s="303" t="str">
        <f t="shared" si="12"/>
        <v/>
      </c>
      <c r="BB10" s="303" t="str">
        <f t="shared" si="12"/>
        <v/>
      </c>
      <c r="BC10" s="303" t="str">
        <f t="shared" si="12"/>
        <v/>
      </c>
      <c r="BD10" s="303" t="str">
        <f t="shared" si="12"/>
        <v/>
      </c>
      <c r="BE10" s="303" t="str">
        <f t="shared" si="12"/>
        <v/>
      </c>
      <c r="BF10" s="303" t="str">
        <f t="shared" si="12"/>
        <v/>
      </c>
      <c r="BG10" s="303" t="str">
        <f t="shared" si="12"/>
        <v/>
      </c>
      <c r="BH10" s="303" t="str">
        <f t="shared" si="12"/>
        <v/>
      </c>
      <c r="BI10" s="303" t="str">
        <f t="shared" si="12"/>
        <v/>
      </c>
      <c r="BJ10" s="303" t="str">
        <f t="shared" si="12"/>
        <v/>
      </c>
      <c r="BK10" s="303" t="str">
        <f t="shared" si="12"/>
        <v/>
      </c>
      <c r="BL10" s="303" t="str">
        <f t="shared" si="12"/>
        <v/>
      </c>
      <c r="BM10" s="303" t="str">
        <f t="shared" si="12"/>
        <v/>
      </c>
      <c r="BN10" s="303" t="str">
        <f t="shared" ref="BN10:BZ10" si="13">IF(BN$2="-","",(IF(BN171="","",IF(BN$4&lt;$A10,BN171,(BN171-BN$3)/(1+BN$3%)))))</f>
        <v/>
      </c>
      <c r="BO10" s="303" t="str">
        <f t="shared" si="13"/>
        <v/>
      </c>
      <c r="BP10" s="303" t="str">
        <f t="shared" si="13"/>
        <v/>
      </c>
      <c r="BQ10" s="303" t="str">
        <f t="shared" si="13"/>
        <v/>
      </c>
      <c r="BR10" s="303" t="str">
        <f t="shared" si="13"/>
        <v/>
      </c>
      <c r="BS10" s="303" t="str">
        <f t="shared" si="13"/>
        <v/>
      </c>
      <c r="BT10" s="303" t="str">
        <f t="shared" si="13"/>
        <v/>
      </c>
      <c r="BU10" s="303" t="str">
        <f t="shared" si="13"/>
        <v/>
      </c>
      <c r="BV10" s="303" t="str">
        <f t="shared" si="13"/>
        <v/>
      </c>
      <c r="BW10" s="303" t="str">
        <f t="shared" si="13"/>
        <v/>
      </c>
      <c r="BX10" s="303">
        <f t="shared" si="13"/>
        <v>-2.3483365949119372</v>
      </c>
      <c r="BY10" s="303">
        <f t="shared" si="13"/>
        <v>8.2155078472063927</v>
      </c>
      <c r="BZ10" s="303">
        <f t="shared" si="13"/>
        <v>8.35</v>
      </c>
      <c r="CA10" s="303">
        <f t="shared" si="10"/>
        <v>-4.4120518953644439</v>
      </c>
    </row>
    <row r="11" spans="1:79">
      <c r="A11" s="58">
        <f t="shared" si="6"/>
        <v>1874</v>
      </c>
      <c r="B11" s="303">
        <f t="shared" ref="B11:AG11" si="14">IF(B$2="-","",(IF(B172="","",IF(B$4&lt;$A11,B172,(B172-B$3)/(1+B$3%)))))</f>
        <v>4.3290783350707143</v>
      </c>
      <c r="C11" s="303" t="str">
        <f t="shared" si="14"/>
        <v/>
      </c>
      <c r="D11" s="303">
        <f t="shared" si="14"/>
        <v>4.3290783350707143</v>
      </c>
      <c r="E11" s="303" t="str">
        <f t="shared" si="14"/>
        <v/>
      </c>
      <c r="F11" s="303" t="str">
        <f t="shared" si="14"/>
        <v/>
      </c>
      <c r="G11" s="303" t="str">
        <f t="shared" si="14"/>
        <v/>
      </c>
      <c r="H11" s="303" t="str">
        <f t="shared" si="14"/>
        <v/>
      </c>
      <c r="I11" s="303" t="str">
        <f t="shared" si="14"/>
        <v/>
      </c>
      <c r="J11" s="303" t="str">
        <f t="shared" si="14"/>
        <v/>
      </c>
      <c r="K11" s="303" t="str">
        <f t="shared" si="14"/>
        <v/>
      </c>
      <c r="L11" s="303" t="str">
        <f t="shared" si="14"/>
        <v/>
      </c>
      <c r="M11" s="303" t="str">
        <f t="shared" si="14"/>
        <v/>
      </c>
      <c r="N11" s="303" t="str">
        <f t="shared" si="14"/>
        <v/>
      </c>
      <c r="O11" s="303" t="str">
        <f t="shared" si="14"/>
        <v/>
      </c>
      <c r="P11" s="303" t="str">
        <f t="shared" si="14"/>
        <v/>
      </c>
      <c r="Q11" s="303" t="str">
        <f t="shared" si="14"/>
        <v/>
      </c>
      <c r="R11" s="303" t="str">
        <f t="shared" si="14"/>
        <v/>
      </c>
      <c r="S11" s="303" t="str">
        <f t="shared" si="14"/>
        <v/>
      </c>
      <c r="T11" s="303">
        <f t="shared" si="14"/>
        <v>9.5754444355602679</v>
      </c>
      <c r="U11" s="303">
        <f t="shared" si="14"/>
        <v>9.5754444355602679</v>
      </c>
      <c r="V11" s="303">
        <f t="shared" si="14"/>
        <v>6.7639124787691092</v>
      </c>
      <c r="W11" s="303" t="str">
        <f t="shared" si="14"/>
        <v/>
      </c>
      <c r="X11" s="303" t="str">
        <f t="shared" si="14"/>
        <v/>
      </c>
      <c r="Y11" s="303" t="str">
        <f t="shared" si="14"/>
        <v/>
      </c>
      <c r="Z11" s="303" t="str">
        <f t="shared" si="14"/>
        <v/>
      </c>
      <c r="AA11" s="303" t="str">
        <f t="shared" si="14"/>
        <v/>
      </c>
      <c r="AB11" s="303" t="str">
        <f t="shared" si="14"/>
        <v/>
      </c>
      <c r="AC11" s="303" t="str">
        <f t="shared" si="14"/>
        <v/>
      </c>
      <c r="AD11" s="303" t="str">
        <f t="shared" si="14"/>
        <v/>
      </c>
      <c r="AE11" s="303" t="str">
        <f t="shared" si="14"/>
        <v/>
      </c>
      <c r="AF11" s="303" t="str">
        <f t="shared" si="14"/>
        <v/>
      </c>
      <c r="AG11" s="303" t="str">
        <f t="shared" si="14"/>
        <v/>
      </c>
      <c r="AH11" s="303" t="str">
        <f t="shared" ref="AH11:BM11" si="15">IF(AH$2="-","",(IF(AH172="","",IF(AH$4&lt;$A11,AH172,(AH172-AH$3)/(1+AH$3%)))))</f>
        <v/>
      </c>
      <c r="AI11" s="303" t="str">
        <f t="shared" si="15"/>
        <v/>
      </c>
      <c r="AJ11" s="303" t="str">
        <f t="shared" si="15"/>
        <v/>
      </c>
      <c r="AK11" s="303" t="str">
        <f t="shared" si="15"/>
        <v/>
      </c>
      <c r="AL11" s="303" t="str">
        <f t="shared" si="15"/>
        <v/>
      </c>
      <c r="AM11" s="303" t="str">
        <f t="shared" si="15"/>
        <v/>
      </c>
      <c r="AN11" s="303" t="str">
        <f t="shared" si="15"/>
        <v/>
      </c>
      <c r="AO11" s="303" t="str">
        <f t="shared" si="15"/>
        <v/>
      </c>
      <c r="AP11" s="303" t="str">
        <f t="shared" si="15"/>
        <v/>
      </c>
      <c r="AQ11" s="303" t="str">
        <f t="shared" si="15"/>
        <v/>
      </c>
      <c r="AR11" s="303" t="str">
        <f t="shared" si="15"/>
        <v/>
      </c>
      <c r="AS11" s="303" t="str">
        <f t="shared" si="15"/>
        <v/>
      </c>
      <c r="AT11" s="303" t="str">
        <f t="shared" si="15"/>
        <v/>
      </c>
      <c r="AU11" s="303" t="str">
        <f t="shared" si="15"/>
        <v/>
      </c>
      <c r="AV11" s="303" t="str">
        <f t="shared" si="15"/>
        <v/>
      </c>
      <c r="AW11" s="303" t="str">
        <f t="shared" si="15"/>
        <v/>
      </c>
      <c r="AX11" s="303" t="str">
        <f t="shared" si="15"/>
        <v/>
      </c>
      <c r="AY11" s="303" t="str">
        <f t="shared" si="15"/>
        <v/>
      </c>
      <c r="AZ11" s="303" t="str">
        <f t="shared" si="15"/>
        <v/>
      </c>
      <c r="BA11" s="303" t="str">
        <f t="shared" si="15"/>
        <v/>
      </c>
      <c r="BB11" s="303" t="str">
        <f t="shared" si="15"/>
        <v/>
      </c>
      <c r="BC11" s="303" t="str">
        <f t="shared" si="15"/>
        <v/>
      </c>
      <c r="BD11" s="303" t="str">
        <f t="shared" si="15"/>
        <v/>
      </c>
      <c r="BE11" s="303" t="str">
        <f t="shared" si="15"/>
        <v/>
      </c>
      <c r="BF11" s="303" t="str">
        <f t="shared" si="15"/>
        <v/>
      </c>
      <c r="BG11" s="303" t="str">
        <f t="shared" si="15"/>
        <v/>
      </c>
      <c r="BH11" s="303" t="str">
        <f t="shared" si="15"/>
        <v/>
      </c>
      <c r="BI11" s="303" t="str">
        <f t="shared" si="15"/>
        <v/>
      </c>
      <c r="BJ11" s="303" t="str">
        <f t="shared" si="15"/>
        <v/>
      </c>
      <c r="BK11" s="303" t="str">
        <f t="shared" si="15"/>
        <v/>
      </c>
      <c r="BL11" s="303" t="str">
        <f t="shared" si="15"/>
        <v/>
      </c>
      <c r="BM11" s="303" t="str">
        <f t="shared" si="15"/>
        <v/>
      </c>
      <c r="BN11" s="303" t="str">
        <f t="shared" ref="BN11:BZ11" si="16">IF(BN$2="-","",(IF(BN172="","",IF(BN$4&lt;$A11,BN172,(BN172-BN$3)/(1+BN$3%)))))</f>
        <v/>
      </c>
      <c r="BO11" s="303" t="str">
        <f t="shared" si="16"/>
        <v/>
      </c>
      <c r="BP11" s="303" t="str">
        <f t="shared" si="16"/>
        <v/>
      </c>
      <c r="BQ11" s="303" t="str">
        <f t="shared" si="16"/>
        <v/>
      </c>
      <c r="BR11" s="303" t="str">
        <f t="shared" si="16"/>
        <v/>
      </c>
      <c r="BS11" s="303" t="str">
        <f t="shared" si="16"/>
        <v/>
      </c>
      <c r="BT11" s="303" t="str">
        <f t="shared" si="16"/>
        <v/>
      </c>
      <c r="BU11" s="303" t="str">
        <f t="shared" si="16"/>
        <v/>
      </c>
      <c r="BV11" s="303" t="str">
        <f t="shared" si="16"/>
        <v/>
      </c>
      <c r="BW11" s="303" t="str">
        <f t="shared" si="16"/>
        <v/>
      </c>
      <c r="BX11" s="303">
        <f t="shared" si="16"/>
        <v>4.5064377682403345</v>
      </c>
      <c r="BY11" s="303">
        <f t="shared" si="16"/>
        <v>9.7945953244313877</v>
      </c>
      <c r="BZ11" s="303">
        <f t="shared" si="16"/>
        <v>6.86</v>
      </c>
      <c r="CA11" s="303">
        <f t="shared" si="10"/>
        <v>-6.9225660883558193</v>
      </c>
    </row>
    <row r="12" spans="1:79">
      <c r="A12" s="58">
        <f t="shared" si="6"/>
        <v>1875</v>
      </c>
      <c r="B12" s="303">
        <f t="shared" ref="B12:AG12" si="17">IF(B$2="-","",(IF(B173="","",IF(B$4&lt;$A12,B173,(B173-B$3)/(1+B$3%)))))</f>
        <v>4.6678795826830006</v>
      </c>
      <c r="C12" s="303" t="str">
        <f t="shared" si="17"/>
        <v/>
      </c>
      <c r="D12" s="303">
        <f t="shared" si="17"/>
        <v>4.6678795826830006</v>
      </c>
      <c r="E12" s="303" t="str">
        <f t="shared" si="17"/>
        <v/>
      </c>
      <c r="F12" s="303" t="str">
        <f t="shared" si="17"/>
        <v/>
      </c>
      <c r="G12" s="303" t="str">
        <f t="shared" si="17"/>
        <v/>
      </c>
      <c r="H12" s="303" t="str">
        <f t="shared" si="17"/>
        <v/>
      </c>
      <c r="I12" s="303" t="str">
        <f t="shared" si="17"/>
        <v/>
      </c>
      <c r="J12" s="303" t="str">
        <f t="shared" si="17"/>
        <v/>
      </c>
      <c r="K12" s="303" t="str">
        <f t="shared" si="17"/>
        <v/>
      </c>
      <c r="L12" s="303" t="str">
        <f t="shared" si="17"/>
        <v/>
      </c>
      <c r="M12" s="303" t="str">
        <f t="shared" si="17"/>
        <v/>
      </c>
      <c r="N12" s="303" t="str">
        <f t="shared" si="17"/>
        <v/>
      </c>
      <c r="O12" s="303" t="str">
        <f t="shared" si="17"/>
        <v/>
      </c>
      <c r="P12" s="303" t="str">
        <f t="shared" si="17"/>
        <v/>
      </c>
      <c r="Q12" s="303" t="str">
        <f t="shared" si="17"/>
        <v/>
      </c>
      <c r="R12" s="303" t="str">
        <f t="shared" si="17"/>
        <v/>
      </c>
      <c r="S12" s="303" t="str">
        <f t="shared" si="17"/>
        <v/>
      </c>
      <c r="T12" s="303">
        <f t="shared" si="17"/>
        <v>5.5290650230831178</v>
      </c>
      <c r="U12" s="303">
        <f t="shared" si="17"/>
        <v>5.5290650230831178</v>
      </c>
      <c r="V12" s="303">
        <f t="shared" si="17"/>
        <v>4.8656209411529625</v>
      </c>
      <c r="W12" s="303" t="str">
        <f t="shared" si="17"/>
        <v/>
      </c>
      <c r="X12" s="303" t="str">
        <f t="shared" si="17"/>
        <v/>
      </c>
      <c r="Y12" s="303" t="str">
        <f t="shared" si="17"/>
        <v/>
      </c>
      <c r="Z12" s="303" t="str">
        <f t="shared" si="17"/>
        <v/>
      </c>
      <c r="AA12" s="303" t="str">
        <f t="shared" si="17"/>
        <v/>
      </c>
      <c r="AB12" s="303" t="str">
        <f t="shared" si="17"/>
        <v/>
      </c>
      <c r="AC12" s="303" t="str">
        <f t="shared" si="17"/>
        <v/>
      </c>
      <c r="AD12" s="303" t="str">
        <f t="shared" si="17"/>
        <v/>
      </c>
      <c r="AE12" s="303" t="str">
        <f t="shared" si="17"/>
        <v/>
      </c>
      <c r="AF12" s="303" t="str">
        <f t="shared" si="17"/>
        <v/>
      </c>
      <c r="AG12" s="303" t="str">
        <f t="shared" si="17"/>
        <v/>
      </c>
      <c r="AH12" s="303" t="str">
        <f t="shared" ref="AH12:BM12" si="18">IF(AH$2="-","",(IF(AH173="","",IF(AH$4&lt;$A12,AH173,(AH173-AH$3)/(1+AH$3%)))))</f>
        <v/>
      </c>
      <c r="AI12" s="303" t="str">
        <f t="shared" si="18"/>
        <v/>
      </c>
      <c r="AJ12" s="303" t="str">
        <f t="shared" si="18"/>
        <v/>
      </c>
      <c r="AK12" s="303" t="str">
        <f t="shared" si="18"/>
        <v/>
      </c>
      <c r="AL12" s="303" t="str">
        <f t="shared" si="18"/>
        <v/>
      </c>
      <c r="AM12" s="303" t="str">
        <f t="shared" si="18"/>
        <v/>
      </c>
      <c r="AN12" s="303" t="str">
        <f t="shared" si="18"/>
        <v/>
      </c>
      <c r="AO12" s="303" t="str">
        <f t="shared" si="18"/>
        <v/>
      </c>
      <c r="AP12" s="303" t="str">
        <f t="shared" si="18"/>
        <v/>
      </c>
      <c r="AQ12" s="303" t="str">
        <f t="shared" si="18"/>
        <v/>
      </c>
      <c r="AR12" s="303" t="str">
        <f t="shared" si="18"/>
        <v/>
      </c>
      <c r="AS12" s="303" t="str">
        <f t="shared" si="18"/>
        <v/>
      </c>
      <c r="AT12" s="303" t="str">
        <f t="shared" si="18"/>
        <v/>
      </c>
      <c r="AU12" s="303" t="str">
        <f t="shared" si="18"/>
        <v/>
      </c>
      <c r="AV12" s="303" t="str">
        <f t="shared" si="18"/>
        <v/>
      </c>
      <c r="AW12" s="303" t="str">
        <f t="shared" si="18"/>
        <v/>
      </c>
      <c r="AX12" s="303" t="str">
        <f t="shared" si="18"/>
        <v/>
      </c>
      <c r="AY12" s="303" t="str">
        <f t="shared" si="18"/>
        <v/>
      </c>
      <c r="AZ12" s="303" t="str">
        <f t="shared" si="18"/>
        <v/>
      </c>
      <c r="BA12" s="303" t="str">
        <f t="shared" si="18"/>
        <v/>
      </c>
      <c r="BB12" s="303" t="str">
        <f t="shared" si="18"/>
        <v/>
      </c>
      <c r="BC12" s="303" t="str">
        <f t="shared" si="18"/>
        <v/>
      </c>
      <c r="BD12" s="303" t="str">
        <f t="shared" si="18"/>
        <v/>
      </c>
      <c r="BE12" s="303" t="str">
        <f t="shared" si="18"/>
        <v/>
      </c>
      <c r="BF12" s="303" t="str">
        <f t="shared" si="18"/>
        <v/>
      </c>
      <c r="BG12" s="303" t="str">
        <f t="shared" si="18"/>
        <v/>
      </c>
      <c r="BH12" s="303" t="str">
        <f t="shared" si="18"/>
        <v/>
      </c>
      <c r="BI12" s="303" t="str">
        <f t="shared" si="18"/>
        <v/>
      </c>
      <c r="BJ12" s="303" t="str">
        <f t="shared" si="18"/>
        <v/>
      </c>
      <c r="BK12" s="303" t="str">
        <f t="shared" si="18"/>
        <v/>
      </c>
      <c r="BL12" s="303" t="str">
        <f t="shared" si="18"/>
        <v/>
      </c>
      <c r="BM12" s="303" t="str">
        <f t="shared" si="18"/>
        <v/>
      </c>
      <c r="BN12" s="303" t="str">
        <f t="shared" ref="BN12:BZ12" si="19">IF(BN$2="-","",(IF(BN173="","",IF(BN$4&lt;$A12,BN173,(BN173-BN$3)/(1+BN$3%)))))</f>
        <v/>
      </c>
      <c r="BO12" s="303" t="str">
        <f t="shared" si="19"/>
        <v/>
      </c>
      <c r="BP12" s="303" t="str">
        <f t="shared" si="19"/>
        <v/>
      </c>
      <c r="BQ12" s="303" t="str">
        <f t="shared" si="19"/>
        <v/>
      </c>
      <c r="BR12" s="303" t="str">
        <f t="shared" si="19"/>
        <v/>
      </c>
      <c r="BS12" s="303" t="str">
        <f t="shared" si="19"/>
        <v/>
      </c>
      <c r="BT12" s="303" t="str">
        <f t="shared" si="19"/>
        <v/>
      </c>
      <c r="BU12" s="303" t="str">
        <f t="shared" si="19"/>
        <v/>
      </c>
      <c r="BV12" s="303" t="str">
        <f t="shared" si="19"/>
        <v/>
      </c>
      <c r="BW12" s="303" t="str">
        <f t="shared" si="19"/>
        <v/>
      </c>
      <c r="BX12" s="303">
        <f t="shared" si="19"/>
        <v>4.8458149779735615</v>
      </c>
      <c r="BY12" s="303">
        <f t="shared" si="19"/>
        <v>5.740123153129284</v>
      </c>
      <c r="BZ12" s="303">
        <f t="shared" si="19"/>
        <v>4.96</v>
      </c>
      <c r="CA12" s="303">
        <f t="shared" si="10"/>
        <v>-5.785600553686554</v>
      </c>
    </row>
    <row r="13" spans="1:79">
      <c r="A13" s="58">
        <f t="shared" si="6"/>
        <v>1876</v>
      </c>
      <c r="B13" s="303">
        <f t="shared" ref="B13:AG13" si="20">IF(B$2="-","",(IF(B174="","",IF(B$4&lt;$A13,B174,(B174-B$3)/(1+B$3%)))))</f>
        <v>-13.823629874057158</v>
      </c>
      <c r="C13" s="303" t="str">
        <f t="shared" si="20"/>
        <v/>
      </c>
      <c r="D13" s="303">
        <f t="shared" si="20"/>
        <v>-13.823629874057158</v>
      </c>
      <c r="E13" s="303" t="str">
        <f t="shared" si="20"/>
        <v/>
      </c>
      <c r="F13" s="303" t="str">
        <f t="shared" si="20"/>
        <v/>
      </c>
      <c r="G13" s="303" t="str">
        <f t="shared" si="20"/>
        <v/>
      </c>
      <c r="H13" s="303" t="str">
        <f t="shared" si="20"/>
        <v/>
      </c>
      <c r="I13" s="303" t="str">
        <f t="shared" si="20"/>
        <v/>
      </c>
      <c r="J13" s="303" t="str">
        <f t="shared" si="20"/>
        <v/>
      </c>
      <c r="K13" s="303" t="str">
        <f t="shared" si="20"/>
        <v/>
      </c>
      <c r="L13" s="303" t="str">
        <f t="shared" si="20"/>
        <v/>
      </c>
      <c r="M13" s="303" t="str">
        <f t="shared" si="20"/>
        <v/>
      </c>
      <c r="N13" s="303" t="str">
        <f t="shared" si="20"/>
        <v/>
      </c>
      <c r="O13" s="303" t="str">
        <f t="shared" si="20"/>
        <v/>
      </c>
      <c r="P13" s="303" t="str">
        <f t="shared" si="20"/>
        <v/>
      </c>
      <c r="Q13" s="303" t="str">
        <f t="shared" si="20"/>
        <v/>
      </c>
      <c r="R13" s="303" t="str">
        <f t="shared" si="20"/>
        <v/>
      </c>
      <c r="S13" s="303" t="str">
        <f t="shared" si="20"/>
        <v/>
      </c>
      <c r="T13" s="303">
        <f t="shared" si="20"/>
        <v>5.2185955068035526</v>
      </c>
      <c r="U13" s="303">
        <f t="shared" si="20"/>
        <v>5.2185955068035526</v>
      </c>
      <c r="V13" s="303">
        <f t="shared" si="20"/>
        <v>5.2352882405834755</v>
      </c>
      <c r="W13" s="303" t="str">
        <f t="shared" si="20"/>
        <v/>
      </c>
      <c r="X13" s="303" t="str">
        <f t="shared" si="20"/>
        <v/>
      </c>
      <c r="Y13" s="303" t="str">
        <f t="shared" si="20"/>
        <v/>
      </c>
      <c r="Z13" s="303" t="str">
        <f t="shared" si="20"/>
        <v/>
      </c>
      <c r="AA13" s="303" t="str">
        <f t="shared" si="20"/>
        <v/>
      </c>
      <c r="AB13" s="303" t="str">
        <f t="shared" si="20"/>
        <v/>
      </c>
      <c r="AC13" s="303" t="str">
        <f t="shared" si="20"/>
        <v/>
      </c>
      <c r="AD13" s="303" t="str">
        <f t="shared" si="20"/>
        <v/>
      </c>
      <c r="AE13" s="303" t="str">
        <f t="shared" si="20"/>
        <v/>
      </c>
      <c r="AF13" s="303" t="str">
        <f t="shared" si="20"/>
        <v/>
      </c>
      <c r="AG13" s="303" t="str">
        <f t="shared" si="20"/>
        <v/>
      </c>
      <c r="AH13" s="303" t="str">
        <f t="shared" ref="AH13:BM13" si="21">IF(AH$2="-","",(IF(AH174="","",IF(AH$4&lt;$A13,AH174,(AH174-AH$3)/(1+AH$3%)))))</f>
        <v/>
      </c>
      <c r="AI13" s="303" t="str">
        <f t="shared" si="21"/>
        <v/>
      </c>
      <c r="AJ13" s="303" t="str">
        <f t="shared" si="21"/>
        <v/>
      </c>
      <c r="AK13" s="303" t="str">
        <f t="shared" si="21"/>
        <v/>
      </c>
      <c r="AL13" s="303" t="str">
        <f t="shared" si="21"/>
        <v/>
      </c>
      <c r="AM13" s="303" t="str">
        <f t="shared" si="21"/>
        <v/>
      </c>
      <c r="AN13" s="303" t="str">
        <f t="shared" si="21"/>
        <v/>
      </c>
      <c r="AO13" s="303" t="str">
        <f t="shared" si="21"/>
        <v/>
      </c>
      <c r="AP13" s="303" t="str">
        <f t="shared" si="21"/>
        <v/>
      </c>
      <c r="AQ13" s="303" t="str">
        <f t="shared" si="21"/>
        <v/>
      </c>
      <c r="AR13" s="303" t="str">
        <f t="shared" si="21"/>
        <v/>
      </c>
      <c r="AS13" s="303" t="str">
        <f t="shared" si="21"/>
        <v/>
      </c>
      <c r="AT13" s="303" t="str">
        <f t="shared" si="21"/>
        <v/>
      </c>
      <c r="AU13" s="303" t="str">
        <f t="shared" si="21"/>
        <v/>
      </c>
      <c r="AV13" s="303" t="str">
        <f t="shared" si="21"/>
        <v/>
      </c>
      <c r="AW13" s="303" t="str">
        <f t="shared" si="21"/>
        <v/>
      </c>
      <c r="AX13" s="303" t="str">
        <f t="shared" si="21"/>
        <v/>
      </c>
      <c r="AY13" s="303" t="str">
        <f t="shared" si="21"/>
        <v/>
      </c>
      <c r="AZ13" s="303" t="str">
        <f t="shared" si="21"/>
        <v/>
      </c>
      <c r="BA13" s="303" t="str">
        <f t="shared" si="21"/>
        <v/>
      </c>
      <c r="BB13" s="303" t="str">
        <f t="shared" si="21"/>
        <v/>
      </c>
      <c r="BC13" s="303" t="str">
        <f t="shared" si="21"/>
        <v/>
      </c>
      <c r="BD13" s="303" t="str">
        <f t="shared" si="21"/>
        <v/>
      </c>
      <c r="BE13" s="303" t="str">
        <f t="shared" si="21"/>
        <v/>
      </c>
      <c r="BF13" s="303" t="str">
        <f t="shared" si="21"/>
        <v/>
      </c>
      <c r="BG13" s="303" t="str">
        <f t="shared" si="21"/>
        <v/>
      </c>
      <c r="BH13" s="303" t="str">
        <f t="shared" si="21"/>
        <v/>
      </c>
      <c r="BI13" s="303" t="str">
        <f t="shared" si="21"/>
        <v/>
      </c>
      <c r="BJ13" s="303" t="str">
        <f t="shared" si="21"/>
        <v/>
      </c>
      <c r="BK13" s="303" t="str">
        <f t="shared" si="21"/>
        <v/>
      </c>
      <c r="BL13" s="303" t="str">
        <f t="shared" si="21"/>
        <v/>
      </c>
      <c r="BM13" s="303" t="str">
        <f t="shared" si="21"/>
        <v/>
      </c>
      <c r="BN13" s="303" t="str">
        <f t="shared" ref="BN13:BZ13" si="22">IF(BN$2="-","",(IF(BN174="","",IF(BN$4&lt;$A13,BN174,(BN174-BN$3)/(1+BN$3%)))))</f>
        <v/>
      </c>
      <c r="BO13" s="303" t="str">
        <f t="shared" si="22"/>
        <v/>
      </c>
      <c r="BP13" s="303" t="str">
        <f t="shared" si="22"/>
        <v/>
      </c>
      <c r="BQ13" s="303" t="str">
        <f t="shared" si="22"/>
        <v/>
      </c>
      <c r="BR13" s="303" t="str">
        <f t="shared" si="22"/>
        <v/>
      </c>
      <c r="BS13" s="303" t="str">
        <f t="shared" si="22"/>
        <v/>
      </c>
      <c r="BT13" s="303" t="str">
        <f t="shared" si="22"/>
        <v/>
      </c>
      <c r="BU13" s="303" t="str">
        <f t="shared" si="22"/>
        <v/>
      </c>
      <c r="BV13" s="303" t="str">
        <f t="shared" si="22"/>
        <v/>
      </c>
      <c r="BW13" s="303" t="str">
        <f t="shared" si="22"/>
        <v/>
      </c>
      <c r="BX13" s="303">
        <f t="shared" si="22"/>
        <v>-13.677130044843056</v>
      </c>
      <c r="BY13" s="303">
        <f t="shared" si="22"/>
        <v>5.4290326978171599</v>
      </c>
      <c r="BZ13" s="303">
        <f t="shared" si="22"/>
        <v>5.33</v>
      </c>
      <c r="CA13" s="303">
        <f t="shared" si="10"/>
        <v>0.87737373318306222</v>
      </c>
    </row>
    <row r="14" spans="1:79">
      <c r="A14" s="58">
        <f t="shared" si="6"/>
        <v>1877</v>
      </c>
      <c r="B14" s="303">
        <f t="shared" ref="B14:AG14" si="23">IF(B$2="-","",(IF(B175="","",IF(B$4&lt;$A14,B175,(B175-B$3)/(1+B$3%)))))</f>
        <v>-3.263044373860208</v>
      </c>
      <c r="C14" s="303" t="str">
        <f t="shared" si="23"/>
        <v/>
      </c>
      <c r="D14" s="303">
        <f t="shared" si="23"/>
        <v>-3.263044373860208</v>
      </c>
      <c r="E14" s="303" t="str">
        <f t="shared" si="23"/>
        <v/>
      </c>
      <c r="F14" s="303" t="str">
        <f t="shared" si="23"/>
        <v/>
      </c>
      <c r="G14" s="303" t="str">
        <f t="shared" si="23"/>
        <v/>
      </c>
      <c r="H14" s="303" t="str">
        <f t="shared" si="23"/>
        <v/>
      </c>
      <c r="I14" s="303" t="str">
        <f t="shared" si="23"/>
        <v/>
      </c>
      <c r="J14" s="303" t="str">
        <f t="shared" si="23"/>
        <v/>
      </c>
      <c r="K14" s="303" t="str">
        <f t="shared" si="23"/>
        <v/>
      </c>
      <c r="L14" s="303" t="str">
        <f t="shared" si="23"/>
        <v/>
      </c>
      <c r="M14" s="303" t="str">
        <f t="shared" si="23"/>
        <v/>
      </c>
      <c r="N14" s="303" t="str">
        <f t="shared" si="23"/>
        <v/>
      </c>
      <c r="O14" s="303" t="str">
        <f t="shared" si="23"/>
        <v/>
      </c>
      <c r="P14" s="303" t="str">
        <f t="shared" si="23"/>
        <v/>
      </c>
      <c r="Q14" s="303" t="str">
        <f t="shared" si="23"/>
        <v/>
      </c>
      <c r="R14" s="303" t="str">
        <f t="shared" si="23"/>
        <v/>
      </c>
      <c r="S14" s="303" t="str">
        <f t="shared" si="23"/>
        <v/>
      </c>
      <c r="T14" s="303">
        <f t="shared" si="23"/>
        <v>4.7163928684766692</v>
      </c>
      <c r="U14" s="303">
        <f t="shared" si="23"/>
        <v>4.7163928684766692</v>
      </c>
      <c r="V14" s="303">
        <f t="shared" si="23"/>
        <v>4.935557997801979</v>
      </c>
      <c r="W14" s="303" t="str">
        <f t="shared" si="23"/>
        <v/>
      </c>
      <c r="X14" s="303" t="str">
        <f t="shared" si="23"/>
        <v/>
      </c>
      <c r="Y14" s="303" t="str">
        <f t="shared" si="23"/>
        <v/>
      </c>
      <c r="Z14" s="303" t="str">
        <f t="shared" si="23"/>
        <v/>
      </c>
      <c r="AA14" s="303" t="str">
        <f t="shared" si="23"/>
        <v/>
      </c>
      <c r="AB14" s="303" t="str">
        <f t="shared" si="23"/>
        <v/>
      </c>
      <c r="AC14" s="303" t="str">
        <f t="shared" si="23"/>
        <v/>
      </c>
      <c r="AD14" s="303" t="str">
        <f t="shared" si="23"/>
        <v/>
      </c>
      <c r="AE14" s="303" t="str">
        <f t="shared" si="23"/>
        <v/>
      </c>
      <c r="AF14" s="303" t="str">
        <f t="shared" si="23"/>
        <v/>
      </c>
      <c r="AG14" s="303" t="str">
        <f t="shared" si="23"/>
        <v/>
      </c>
      <c r="AH14" s="303" t="str">
        <f t="shared" ref="AH14:BM14" si="24">IF(AH$2="-","",(IF(AH175="","",IF(AH$4&lt;$A14,AH175,(AH175-AH$3)/(1+AH$3%)))))</f>
        <v/>
      </c>
      <c r="AI14" s="303" t="str">
        <f t="shared" si="24"/>
        <v/>
      </c>
      <c r="AJ14" s="303" t="str">
        <f t="shared" si="24"/>
        <v/>
      </c>
      <c r="AK14" s="303" t="str">
        <f t="shared" si="24"/>
        <v/>
      </c>
      <c r="AL14" s="303" t="str">
        <f t="shared" si="24"/>
        <v/>
      </c>
      <c r="AM14" s="303" t="str">
        <f t="shared" si="24"/>
        <v/>
      </c>
      <c r="AN14" s="303" t="str">
        <f t="shared" si="24"/>
        <v/>
      </c>
      <c r="AO14" s="303" t="str">
        <f t="shared" si="24"/>
        <v/>
      </c>
      <c r="AP14" s="303" t="str">
        <f t="shared" si="24"/>
        <v/>
      </c>
      <c r="AQ14" s="303" t="str">
        <f t="shared" si="24"/>
        <v/>
      </c>
      <c r="AR14" s="303" t="str">
        <f t="shared" si="24"/>
        <v/>
      </c>
      <c r="AS14" s="303" t="str">
        <f t="shared" si="24"/>
        <v/>
      </c>
      <c r="AT14" s="303" t="str">
        <f t="shared" si="24"/>
        <v/>
      </c>
      <c r="AU14" s="303" t="str">
        <f t="shared" si="24"/>
        <v/>
      </c>
      <c r="AV14" s="303" t="str">
        <f t="shared" si="24"/>
        <v/>
      </c>
      <c r="AW14" s="303" t="str">
        <f t="shared" si="24"/>
        <v/>
      </c>
      <c r="AX14" s="303" t="str">
        <f t="shared" si="24"/>
        <v/>
      </c>
      <c r="AY14" s="303" t="str">
        <f t="shared" si="24"/>
        <v/>
      </c>
      <c r="AZ14" s="303" t="str">
        <f t="shared" si="24"/>
        <v/>
      </c>
      <c r="BA14" s="303" t="str">
        <f t="shared" si="24"/>
        <v/>
      </c>
      <c r="BB14" s="303" t="str">
        <f t="shared" si="24"/>
        <v/>
      </c>
      <c r="BC14" s="303" t="str">
        <f t="shared" si="24"/>
        <v/>
      </c>
      <c r="BD14" s="303" t="str">
        <f t="shared" si="24"/>
        <v/>
      </c>
      <c r="BE14" s="303" t="str">
        <f t="shared" si="24"/>
        <v/>
      </c>
      <c r="BF14" s="303" t="str">
        <f t="shared" si="24"/>
        <v/>
      </c>
      <c r="BG14" s="303" t="str">
        <f t="shared" si="24"/>
        <v/>
      </c>
      <c r="BH14" s="303" t="str">
        <f t="shared" si="24"/>
        <v/>
      </c>
      <c r="BI14" s="303" t="str">
        <f t="shared" si="24"/>
        <v/>
      </c>
      <c r="BJ14" s="303" t="str">
        <f t="shared" si="24"/>
        <v/>
      </c>
      <c r="BK14" s="303" t="str">
        <f t="shared" si="24"/>
        <v/>
      </c>
      <c r="BL14" s="303" t="str">
        <f t="shared" si="24"/>
        <v/>
      </c>
      <c r="BM14" s="303" t="str">
        <f t="shared" si="24"/>
        <v/>
      </c>
      <c r="BN14" s="303" t="str">
        <f t="shared" ref="BN14:BZ14" si="25">IF(BN$2="-","",(IF(BN175="","",IF(BN$4&lt;$A14,BN175,(BN175-BN$3)/(1+BN$3%)))))</f>
        <v/>
      </c>
      <c r="BO14" s="303" t="str">
        <f t="shared" si="25"/>
        <v/>
      </c>
      <c r="BP14" s="303" t="str">
        <f t="shared" si="25"/>
        <v/>
      </c>
      <c r="BQ14" s="303" t="str">
        <f t="shared" si="25"/>
        <v/>
      </c>
      <c r="BR14" s="303" t="str">
        <f t="shared" si="25"/>
        <v/>
      </c>
      <c r="BS14" s="303" t="str">
        <f t="shared" si="25"/>
        <v/>
      </c>
      <c r="BT14" s="303" t="str">
        <f t="shared" si="25"/>
        <v/>
      </c>
      <c r="BU14" s="303" t="str">
        <f t="shared" si="25"/>
        <v/>
      </c>
      <c r="BV14" s="303" t="str">
        <f t="shared" si="25"/>
        <v/>
      </c>
      <c r="BW14" s="303" t="str">
        <f t="shared" si="25"/>
        <v/>
      </c>
      <c r="BX14" s="303">
        <f t="shared" si="25"/>
        <v>-3.0985915492957705</v>
      </c>
      <c r="BY14" s="303">
        <f t="shared" si="25"/>
        <v>4.9258256542136225</v>
      </c>
      <c r="BZ14" s="303">
        <f t="shared" si="25"/>
        <v>5.03</v>
      </c>
      <c r="CA14" s="303">
        <f t="shared" si="10"/>
        <v>-15.652452900544144</v>
      </c>
    </row>
    <row r="15" spans="1:79">
      <c r="A15" s="58">
        <f t="shared" si="6"/>
        <v>1878</v>
      </c>
      <c r="B15" s="303">
        <f t="shared" ref="B15:AG15" si="26">IF(B$2="-","",(IF(B176="","",IF(B$4&lt;$A15,B176,(B176-B$3)/(1+B$3%)))))</f>
        <v>15.495964552568326</v>
      </c>
      <c r="C15" s="303" t="str">
        <f t="shared" si="26"/>
        <v/>
      </c>
      <c r="D15" s="303">
        <f t="shared" si="26"/>
        <v>15.495964552568326</v>
      </c>
      <c r="E15" s="303" t="str">
        <f t="shared" si="26"/>
        <v/>
      </c>
      <c r="F15" s="303" t="str">
        <f t="shared" si="26"/>
        <v/>
      </c>
      <c r="G15" s="303" t="str">
        <f t="shared" si="26"/>
        <v/>
      </c>
      <c r="H15" s="303" t="str">
        <f t="shared" si="26"/>
        <v/>
      </c>
      <c r="I15" s="303" t="str">
        <f t="shared" si="26"/>
        <v/>
      </c>
      <c r="J15" s="303" t="str">
        <f t="shared" si="26"/>
        <v/>
      </c>
      <c r="K15" s="303" t="str">
        <f t="shared" si="26"/>
        <v/>
      </c>
      <c r="L15" s="303" t="str">
        <f t="shared" si="26"/>
        <v/>
      </c>
      <c r="M15" s="303" t="str">
        <f t="shared" si="26"/>
        <v/>
      </c>
      <c r="N15" s="303" t="str">
        <f t="shared" si="26"/>
        <v/>
      </c>
      <c r="O15" s="303" t="str">
        <f t="shared" si="26"/>
        <v/>
      </c>
      <c r="P15" s="303" t="str">
        <f t="shared" si="26"/>
        <v/>
      </c>
      <c r="Q15" s="303" t="str">
        <f t="shared" si="26"/>
        <v/>
      </c>
      <c r="R15" s="303" t="str">
        <f t="shared" si="26"/>
        <v/>
      </c>
      <c r="S15" s="303" t="str">
        <f t="shared" si="26"/>
        <v/>
      </c>
      <c r="T15" s="303">
        <f t="shared" si="26"/>
        <v>5.5628835448742189</v>
      </c>
      <c r="U15" s="303">
        <f t="shared" si="26"/>
        <v>5.5628835448742189</v>
      </c>
      <c r="V15" s="303">
        <f t="shared" si="26"/>
        <v>4.8056748925966639</v>
      </c>
      <c r="W15" s="303" t="str">
        <f t="shared" si="26"/>
        <v/>
      </c>
      <c r="X15" s="303" t="str">
        <f t="shared" si="26"/>
        <v/>
      </c>
      <c r="Y15" s="303" t="str">
        <f t="shared" si="26"/>
        <v/>
      </c>
      <c r="Z15" s="303" t="str">
        <f t="shared" si="26"/>
        <v/>
      </c>
      <c r="AA15" s="303" t="str">
        <f t="shared" si="26"/>
        <v/>
      </c>
      <c r="AB15" s="303" t="str">
        <f t="shared" si="26"/>
        <v/>
      </c>
      <c r="AC15" s="303" t="str">
        <f t="shared" si="26"/>
        <v/>
      </c>
      <c r="AD15" s="303" t="str">
        <f t="shared" si="26"/>
        <v/>
      </c>
      <c r="AE15" s="303" t="str">
        <f t="shared" si="26"/>
        <v/>
      </c>
      <c r="AF15" s="303" t="str">
        <f t="shared" si="26"/>
        <v/>
      </c>
      <c r="AG15" s="303" t="str">
        <f t="shared" si="26"/>
        <v/>
      </c>
      <c r="AH15" s="303" t="str">
        <f t="shared" ref="AH15:BM15" si="27">IF(AH$2="-","",(IF(AH176="","",IF(AH$4&lt;$A15,AH176,(AH176-AH$3)/(1+AH$3%)))))</f>
        <v/>
      </c>
      <c r="AI15" s="303" t="str">
        <f t="shared" si="27"/>
        <v/>
      </c>
      <c r="AJ15" s="303" t="str">
        <f t="shared" si="27"/>
        <v/>
      </c>
      <c r="AK15" s="303" t="str">
        <f t="shared" si="27"/>
        <v/>
      </c>
      <c r="AL15" s="303" t="str">
        <f t="shared" si="27"/>
        <v/>
      </c>
      <c r="AM15" s="303" t="str">
        <f t="shared" si="27"/>
        <v/>
      </c>
      <c r="AN15" s="303" t="str">
        <f t="shared" si="27"/>
        <v/>
      </c>
      <c r="AO15" s="303" t="str">
        <f t="shared" si="27"/>
        <v/>
      </c>
      <c r="AP15" s="303" t="str">
        <f t="shared" si="27"/>
        <v/>
      </c>
      <c r="AQ15" s="303" t="str">
        <f t="shared" si="27"/>
        <v/>
      </c>
      <c r="AR15" s="303" t="str">
        <f t="shared" si="27"/>
        <v/>
      </c>
      <c r="AS15" s="303" t="str">
        <f t="shared" si="27"/>
        <v/>
      </c>
      <c r="AT15" s="303" t="str">
        <f t="shared" si="27"/>
        <v/>
      </c>
      <c r="AU15" s="303" t="str">
        <f t="shared" si="27"/>
        <v/>
      </c>
      <c r="AV15" s="303" t="str">
        <f t="shared" si="27"/>
        <v/>
      </c>
      <c r="AW15" s="303" t="str">
        <f t="shared" si="27"/>
        <v/>
      </c>
      <c r="AX15" s="303" t="str">
        <f t="shared" si="27"/>
        <v/>
      </c>
      <c r="AY15" s="303" t="str">
        <f t="shared" si="27"/>
        <v/>
      </c>
      <c r="AZ15" s="303" t="str">
        <f t="shared" si="27"/>
        <v/>
      </c>
      <c r="BA15" s="303" t="str">
        <f t="shared" si="27"/>
        <v/>
      </c>
      <c r="BB15" s="303" t="str">
        <f t="shared" si="27"/>
        <v/>
      </c>
      <c r="BC15" s="303" t="str">
        <f t="shared" si="27"/>
        <v/>
      </c>
      <c r="BD15" s="303" t="str">
        <f t="shared" si="27"/>
        <v/>
      </c>
      <c r="BE15" s="303" t="str">
        <f t="shared" si="27"/>
        <v/>
      </c>
      <c r="BF15" s="303" t="str">
        <f t="shared" si="27"/>
        <v/>
      </c>
      <c r="BG15" s="303" t="str">
        <f t="shared" si="27"/>
        <v/>
      </c>
      <c r="BH15" s="303" t="str">
        <f t="shared" si="27"/>
        <v/>
      </c>
      <c r="BI15" s="303" t="str">
        <f t="shared" si="27"/>
        <v/>
      </c>
      <c r="BJ15" s="303" t="str">
        <f t="shared" si="27"/>
        <v/>
      </c>
      <c r="BK15" s="303" t="str">
        <f t="shared" si="27"/>
        <v/>
      </c>
      <c r="BL15" s="303" t="str">
        <f t="shared" si="27"/>
        <v/>
      </c>
      <c r="BM15" s="303" t="str">
        <f t="shared" si="27"/>
        <v/>
      </c>
      <c r="BN15" s="303" t="str">
        <f t="shared" ref="BN15:BZ15" si="28">IF(BN$2="-","",(IF(BN176="","",IF(BN$4&lt;$A15,BN176,(BN176-BN$3)/(1+BN$3%)))))</f>
        <v/>
      </c>
      <c r="BO15" s="303" t="str">
        <f t="shared" si="28"/>
        <v/>
      </c>
      <c r="BP15" s="303" t="str">
        <f t="shared" si="28"/>
        <v/>
      </c>
      <c r="BQ15" s="303" t="str">
        <f t="shared" si="28"/>
        <v/>
      </c>
      <c r="BR15" s="303" t="str">
        <f t="shared" si="28"/>
        <v/>
      </c>
      <c r="BS15" s="303" t="str">
        <f t="shared" si="28"/>
        <v/>
      </c>
      <c r="BT15" s="303" t="str">
        <f t="shared" si="28"/>
        <v/>
      </c>
      <c r="BU15" s="303" t="str">
        <f t="shared" si="28"/>
        <v/>
      </c>
      <c r="BV15" s="303" t="str">
        <f t="shared" si="28"/>
        <v/>
      </c>
      <c r="BW15" s="303" t="str">
        <f t="shared" si="28"/>
        <v/>
      </c>
      <c r="BX15" s="303">
        <f t="shared" si="28"/>
        <v>15.692307692307693</v>
      </c>
      <c r="BY15" s="303">
        <f t="shared" si="28"/>
        <v>5.7740093119639679</v>
      </c>
      <c r="BZ15" s="303">
        <f t="shared" si="28"/>
        <v>4.9000000000000004</v>
      </c>
      <c r="CA15" s="303">
        <f t="shared" si="10"/>
        <v>-10.308817794189086</v>
      </c>
    </row>
    <row r="16" spans="1:79">
      <c r="A16" s="58">
        <f t="shared" si="6"/>
        <v>1879</v>
      </c>
      <c r="B16" s="303">
        <f t="shared" ref="B16:AG16" si="29">IF(B$2="-","",(IF(B177="","",IF(B$4&lt;$A16,B177,(B177-B$3)/(1+B$3%)))))</f>
        <v>48.072299437325263</v>
      </c>
      <c r="C16" s="303" t="str">
        <f t="shared" si="29"/>
        <v/>
      </c>
      <c r="D16" s="303">
        <f t="shared" si="29"/>
        <v>48.072299437325263</v>
      </c>
      <c r="E16" s="303" t="str">
        <f t="shared" si="29"/>
        <v/>
      </c>
      <c r="F16" s="303" t="str">
        <f t="shared" si="29"/>
        <v/>
      </c>
      <c r="G16" s="303" t="str">
        <f t="shared" si="29"/>
        <v/>
      </c>
      <c r="H16" s="303" t="str">
        <f t="shared" si="29"/>
        <v/>
      </c>
      <c r="I16" s="303" t="str">
        <f t="shared" si="29"/>
        <v/>
      </c>
      <c r="J16" s="303" t="str">
        <f t="shared" si="29"/>
        <v/>
      </c>
      <c r="K16" s="303" t="str">
        <f t="shared" si="29"/>
        <v/>
      </c>
      <c r="L16" s="303" t="str">
        <f t="shared" si="29"/>
        <v/>
      </c>
      <c r="M16" s="303" t="str">
        <f t="shared" si="29"/>
        <v/>
      </c>
      <c r="N16" s="303" t="str">
        <f t="shared" si="29"/>
        <v/>
      </c>
      <c r="O16" s="303" t="str">
        <f t="shared" si="29"/>
        <v/>
      </c>
      <c r="P16" s="303" t="str">
        <f t="shared" si="29"/>
        <v/>
      </c>
      <c r="Q16" s="303" t="str">
        <f t="shared" si="29"/>
        <v/>
      </c>
      <c r="R16" s="303" t="str">
        <f t="shared" si="29"/>
        <v/>
      </c>
      <c r="S16" s="303" t="str">
        <f t="shared" si="29"/>
        <v/>
      </c>
      <c r="T16" s="303">
        <f t="shared" si="29"/>
        <v>3.0603155811592031</v>
      </c>
      <c r="U16" s="303">
        <f t="shared" si="29"/>
        <v>3.0603155811592031</v>
      </c>
      <c r="V16" s="303">
        <f t="shared" si="29"/>
        <v>4.1562593665700875</v>
      </c>
      <c r="W16" s="303" t="str">
        <f t="shared" si="29"/>
        <v/>
      </c>
      <c r="X16" s="303" t="str">
        <f t="shared" si="29"/>
        <v/>
      </c>
      <c r="Y16" s="303" t="str">
        <f t="shared" si="29"/>
        <v/>
      </c>
      <c r="Z16" s="303" t="str">
        <f t="shared" si="29"/>
        <v/>
      </c>
      <c r="AA16" s="303" t="str">
        <f t="shared" si="29"/>
        <v/>
      </c>
      <c r="AB16" s="303" t="str">
        <f t="shared" si="29"/>
        <v/>
      </c>
      <c r="AC16" s="303" t="str">
        <f t="shared" si="29"/>
        <v/>
      </c>
      <c r="AD16" s="303" t="str">
        <f t="shared" si="29"/>
        <v/>
      </c>
      <c r="AE16" s="303" t="str">
        <f t="shared" si="29"/>
        <v/>
      </c>
      <c r="AF16" s="303" t="str">
        <f t="shared" si="29"/>
        <v/>
      </c>
      <c r="AG16" s="303" t="str">
        <f t="shared" si="29"/>
        <v/>
      </c>
      <c r="AH16" s="303" t="str">
        <f t="shared" ref="AH16:BM16" si="30">IF(AH$2="-","",(IF(AH177="","",IF(AH$4&lt;$A16,AH177,(AH177-AH$3)/(1+AH$3%)))))</f>
        <v/>
      </c>
      <c r="AI16" s="303" t="str">
        <f t="shared" si="30"/>
        <v/>
      </c>
      <c r="AJ16" s="303" t="str">
        <f t="shared" si="30"/>
        <v/>
      </c>
      <c r="AK16" s="303" t="str">
        <f t="shared" si="30"/>
        <v/>
      </c>
      <c r="AL16" s="303" t="str">
        <f t="shared" si="30"/>
        <v/>
      </c>
      <c r="AM16" s="303" t="str">
        <f t="shared" si="30"/>
        <v/>
      </c>
      <c r="AN16" s="303" t="str">
        <f t="shared" si="30"/>
        <v/>
      </c>
      <c r="AO16" s="303" t="str">
        <f t="shared" si="30"/>
        <v/>
      </c>
      <c r="AP16" s="303" t="str">
        <f t="shared" si="30"/>
        <v/>
      </c>
      <c r="AQ16" s="303" t="str">
        <f t="shared" si="30"/>
        <v/>
      </c>
      <c r="AR16" s="303" t="str">
        <f t="shared" si="30"/>
        <v/>
      </c>
      <c r="AS16" s="303" t="str">
        <f t="shared" si="30"/>
        <v/>
      </c>
      <c r="AT16" s="303" t="str">
        <f t="shared" si="30"/>
        <v/>
      </c>
      <c r="AU16" s="303" t="str">
        <f t="shared" si="30"/>
        <v/>
      </c>
      <c r="AV16" s="303" t="str">
        <f t="shared" si="30"/>
        <v/>
      </c>
      <c r="AW16" s="303" t="str">
        <f t="shared" si="30"/>
        <v/>
      </c>
      <c r="AX16" s="303" t="str">
        <f t="shared" si="30"/>
        <v/>
      </c>
      <c r="AY16" s="303" t="str">
        <f t="shared" si="30"/>
        <v/>
      </c>
      <c r="AZ16" s="303" t="str">
        <f t="shared" si="30"/>
        <v/>
      </c>
      <c r="BA16" s="303" t="str">
        <f t="shared" si="30"/>
        <v/>
      </c>
      <c r="BB16" s="303" t="str">
        <f t="shared" si="30"/>
        <v/>
      </c>
      <c r="BC16" s="303" t="str">
        <f t="shared" si="30"/>
        <v/>
      </c>
      <c r="BD16" s="303" t="str">
        <f t="shared" si="30"/>
        <v/>
      </c>
      <c r="BE16" s="303" t="str">
        <f t="shared" si="30"/>
        <v/>
      </c>
      <c r="BF16" s="303" t="str">
        <f t="shared" si="30"/>
        <v/>
      </c>
      <c r="BG16" s="303" t="str">
        <f t="shared" si="30"/>
        <v/>
      </c>
      <c r="BH16" s="303" t="str">
        <f t="shared" si="30"/>
        <v/>
      </c>
      <c r="BI16" s="303" t="str">
        <f t="shared" si="30"/>
        <v/>
      </c>
      <c r="BJ16" s="303" t="str">
        <f t="shared" si="30"/>
        <v/>
      </c>
      <c r="BK16" s="303" t="str">
        <f t="shared" si="30"/>
        <v/>
      </c>
      <c r="BL16" s="303" t="str">
        <f t="shared" si="30"/>
        <v/>
      </c>
      <c r="BM16" s="303" t="str">
        <f t="shared" si="30"/>
        <v/>
      </c>
      <c r="BN16" s="303" t="str">
        <f t="shared" ref="BN16:BZ16" si="31">IF(BN$2="-","",(IF(BN177="","",IF(BN$4&lt;$A16,BN177,(BN177-BN$3)/(1+BN$3%)))))</f>
        <v/>
      </c>
      <c r="BO16" s="303" t="str">
        <f t="shared" si="31"/>
        <v/>
      </c>
      <c r="BP16" s="303" t="str">
        <f t="shared" si="31"/>
        <v/>
      </c>
      <c r="BQ16" s="303" t="str">
        <f t="shared" si="31"/>
        <v/>
      </c>
      <c r="BR16" s="303" t="str">
        <f t="shared" si="31"/>
        <v/>
      </c>
      <c r="BS16" s="303" t="str">
        <f t="shared" si="31"/>
        <v/>
      </c>
      <c r="BT16" s="303" t="str">
        <f t="shared" si="31"/>
        <v/>
      </c>
      <c r="BU16" s="303" t="str">
        <f t="shared" si="31"/>
        <v/>
      </c>
      <c r="BV16" s="303" t="str">
        <f t="shared" si="31"/>
        <v/>
      </c>
      <c r="BW16" s="303" t="str">
        <f t="shared" si="31"/>
        <v/>
      </c>
      <c r="BX16" s="303">
        <f t="shared" si="31"/>
        <v>48.324022346368722</v>
      </c>
      <c r="BY16" s="303">
        <f t="shared" si="31"/>
        <v>3.2664362123215218</v>
      </c>
      <c r="BZ16" s="303">
        <f t="shared" si="31"/>
        <v>4.25</v>
      </c>
      <c r="CA16" s="303">
        <f t="shared" si="10"/>
        <v>20.689993389813989</v>
      </c>
    </row>
    <row r="17" spans="1:79">
      <c r="A17" s="58">
        <f t="shared" si="6"/>
        <v>1880</v>
      </c>
      <c r="B17" s="303">
        <f t="shared" ref="B17:AG17" si="32">IF(B$2="-","",(IF(B178="","",IF(B$4&lt;$A17,B178,(B178-B$3)/(1+B$3%)))))</f>
        <v>26.008876885810739</v>
      </c>
      <c r="C17" s="303" t="str">
        <f t="shared" si="32"/>
        <v/>
      </c>
      <c r="D17" s="303">
        <f t="shared" si="32"/>
        <v>26.008876885810739</v>
      </c>
      <c r="E17" s="303" t="str">
        <f t="shared" si="32"/>
        <v/>
      </c>
      <c r="F17" s="303" t="str">
        <f t="shared" si="32"/>
        <v/>
      </c>
      <c r="G17" s="303" t="str">
        <f t="shared" si="32"/>
        <v/>
      </c>
      <c r="H17" s="303" t="str">
        <f t="shared" si="32"/>
        <v/>
      </c>
      <c r="I17" s="303" t="str">
        <f t="shared" si="32"/>
        <v/>
      </c>
      <c r="J17" s="303" t="str">
        <f t="shared" si="32"/>
        <v/>
      </c>
      <c r="K17" s="303" t="str">
        <f t="shared" si="32"/>
        <v/>
      </c>
      <c r="L17" s="303" t="str">
        <f t="shared" si="32"/>
        <v/>
      </c>
      <c r="M17" s="303" t="str">
        <f t="shared" si="32"/>
        <v/>
      </c>
      <c r="N17" s="303" t="str">
        <f t="shared" si="32"/>
        <v/>
      </c>
      <c r="O17" s="303" t="str">
        <f t="shared" si="32"/>
        <v/>
      </c>
      <c r="P17" s="303" t="str">
        <f t="shared" si="32"/>
        <v/>
      </c>
      <c r="Q17" s="303" t="str">
        <f t="shared" si="32"/>
        <v/>
      </c>
      <c r="R17" s="303" t="str">
        <f t="shared" si="32"/>
        <v/>
      </c>
      <c r="S17" s="303" t="str">
        <f t="shared" si="32"/>
        <v/>
      </c>
      <c r="T17" s="303">
        <f t="shared" si="32"/>
        <v>5.1495518319999789</v>
      </c>
      <c r="U17" s="303">
        <f t="shared" si="32"/>
        <v>5.1495518319999789</v>
      </c>
      <c r="V17" s="303">
        <f t="shared" si="32"/>
        <v>5.0054950544509946</v>
      </c>
      <c r="W17" s="303" t="str">
        <f t="shared" si="32"/>
        <v/>
      </c>
      <c r="X17" s="303" t="str">
        <f t="shared" si="32"/>
        <v/>
      </c>
      <c r="Y17" s="303" t="str">
        <f t="shared" si="32"/>
        <v/>
      </c>
      <c r="Z17" s="303" t="str">
        <f t="shared" si="32"/>
        <v/>
      </c>
      <c r="AA17" s="303" t="str">
        <f t="shared" si="32"/>
        <v/>
      </c>
      <c r="AB17" s="303" t="str">
        <f t="shared" si="32"/>
        <v/>
      </c>
      <c r="AC17" s="303" t="str">
        <f t="shared" si="32"/>
        <v/>
      </c>
      <c r="AD17" s="303" t="str">
        <f t="shared" si="32"/>
        <v/>
      </c>
      <c r="AE17" s="303" t="str">
        <f t="shared" si="32"/>
        <v/>
      </c>
      <c r="AF17" s="303" t="str">
        <f t="shared" si="32"/>
        <v/>
      </c>
      <c r="AG17" s="303" t="str">
        <f t="shared" si="32"/>
        <v/>
      </c>
      <c r="AH17" s="303" t="str">
        <f t="shared" ref="AH17:BM17" si="33">IF(AH$2="-","",(IF(AH178="","",IF(AH$4&lt;$A17,AH178,(AH178-AH$3)/(1+AH$3%)))))</f>
        <v/>
      </c>
      <c r="AI17" s="303" t="str">
        <f t="shared" si="33"/>
        <v/>
      </c>
      <c r="AJ17" s="303" t="str">
        <f t="shared" si="33"/>
        <v/>
      </c>
      <c r="AK17" s="303" t="str">
        <f t="shared" si="33"/>
        <v/>
      </c>
      <c r="AL17" s="303" t="str">
        <f t="shared" si="33"/>
        <v/>
      </c>
      <c r="AM17" s="303" t="str">
        <f t="shared" si="33"/>
        <v/>
      </c>
      <c r="AN17" s="303" t="str">
        <f t="shared" si="33"/>
        <v/>
      </c>
      <c r="AO17" s="303" t="str">
        <f t="shared" si="33"/>
        <v/>
      </c>
      <c r="AP17" s="303" t="str">
        <f t="shared" si="33"/>
        <v/>
      </c>
      <c r="AQ17" s="303" t="str">
        <f t="shared" si="33"/>
        <v/>
      </c>
      <c r="AR17" s="303" t="str">
        <f t="shared" si="33"/>
        <v/>
      </c>
      <c r="AS17" s="303" t="str">
        <f t="shared" si="33"/>
        <v/>
      </c>
      <c r="AT17" s="303" t="str">
        <f t="shared" si="33"/>
        <v/>
      </c>
      <c r="AU17" s="303" t="str">
        <f t="shared" si="33"/>
        <v/>
      </c>
      <c r="AV17" s="303" t="str">
        <f t="shared" si="33"/>
        <v/>
      </c>
      <c r="AW17" s="303" t="str">
        <f t="shared" si="33"/>
        <v/>
      </c>
      <c r="AX17" s="303" t="str">
        <f t="shared" si="33"/>
        <v/>
      </c>
      <c r="AY17" s="303" t="str">
        <f t="shared" si="33"/>
        <v/>
      </c>
      <c r="AZ17" s="303" t="str">
        <f t="shared" si="33"/>
        <v/>
      </c>
      <c r="BA17" s="303" t="str">
        <f t="shared" si="33"/>
        <v/>
      </c>
      <c r="BB17" s="303" t="str">
        <f t="shared" si="33"/>
        <v/>
      </c>
      <c r="BC17" s="303" t="str">
        <f t="shared" si="33"/>
        <v/>
      </c>
      <c r="BD17" s="303" t="str">
        <f t="shared" si="33"/>
        <v/>
      </c>
      <c r="BE17" s="303" t="str">
        <f t="shared" si="33"/>
        <v/>
      </c>
      <c r="BF17" s="303" t="str">
        <f t="shared" si="33"/>
        <v/>
      </c>
      <c r="BG17" s="303" t="str">
        <f t="shared" si="33"/>
        <v/>
      </c>
      <c r="BH17" s="303" t="str">
        <f t="shared" si="33"/>
        <v/>
      </c>
      <c r="BI17" s="303" t="str">
        <f t="shared" si="33"/>
        <v/>
      </c>
      <c r="BJ17" s="303" t="str">
        <f t="shared" si="33"/>
        <v/>
      </c>
      <c r="BK17" s="303" t="str">
        <f t="shared" si="33"/>
        <v/>
      </c>
      <c r="BL17" s="303" t="str">
        <f t="shared" si="33"/>
        <v/>
      </c>
      <c r="BM17" s="303" t="str">
        <f t="shared" si="33"/>
        <v/>
      </c>
      <c r="BN17" s="303" t="str">
        <f t="shared" ref="BN17:BZ17" si="34">IF(BN$2="-","",(IF(BN178="","",IF(BN$4&lt;$A17,BN178,(BN178-BN$3)/(1+BN$3%)))))</f>
        <v/>
      </c>
      <c r="BO17" s="303" t="str">
        <f t="shared" si="34"/>
        <v/>
      </c>
      <c r="BP17" s="303" t="str">
        <f t="shared" si="34"/>
        <v/>
      </c>
      <c r="BQ17" s="303" t="str">
        <f t="shared" si="34"/>
        <v/>
      </c>
      <c r="BR17" s="303" t="str">
        <f t="shared" si="34"/>
        <v/>
      </c>
      <c r="BS17" s="303" t="str">
        <f t="shared" si="34"/>
        <v/>
      </c>
      <c r="BT17" s="303" t="str">
        <f t="shared" si="34"/>
        <v/>
      </c>
      <c r="BU17" s="303" t="str">
        <f t="shared" si="34"/>
        <v/>
      </c>
      <c r="BV17" s="303" t="str">
        <f t="shared" si="34"/>
        <v/>
      </c>
      <c r="BW17" s="303" t="str">
        <f t="shared" si="34"/>
        <v/>
      </c>
      <c r="BX17" s="303">
        <f t="shared" si="34"/>
        <v>26.223091976516621</v>
      </c>
      <c r="BY17" s="303">
        <f t="shared" si="34"/>
        <v>5.359850935663979</v>
      </c>
      <c r="BZ17" s="303">
        <f t="shared" si="34"/>
        <v>5.0999999999999996</v>
      </c>
      <c r="CA17" s="303">
        <f t="shared" si="10"/>
        <v>-5.714633707917538</v>
      </c>
    </row>
    <row r="18" spans="1:79">
      <c r="A18" s="58">
        <f t="shared" si="6"/>
        <v>1881</v>
      </c>
      <c r="B18" s="303">
        <f t="shared" ref="B18:AG18" si="35">IF(B$2="-","",(IF(B179="","",IF(B$4&lt;$A18,B179,(B179-B$3)/(1+B$3%)))))</f>
        <v>0.63667210007928721</v>
      </c>
      <c r="C18" s="303" t="str">
        <f t="shared" si="35"/>
        <v/>
      </c>
      <c r="D18" s="303">
        <f t="shared" si="35"/>
        <v>0.63667210007928721</v>
      </c>
      <c r="E18" s="303" t="str">
        <f t="shared" si="35"/>
        <v/>
      </c>
      <c r="F18" s="303" t="str">
        <f t="shared" si="35"/>
        <v/>
      </c>
      <c r="G18" s="303" t="str">
        <f t="shared" si="35"/>
        <v/>
      </c>
      <c r="H18" s="303" t="str">
        <f t="shared" si="35"/>
        <v/>
      </c>
      <c r="I18" s="303" t="str">
        <f t="shared" si="35"/>
        <v/>
      </c>
      <c r="J18" s="303" t="str">
        <f t="shared" si="35"/>
        <v/>
      </c>
      <c r="K18" s="303" t="str">
        <f t="shared" si="35"/>
        <v/>
      </c>
      <c r="L18" s="303" t="str">
        <f t="shared" si="35"/>
        <v/>
      </c>
      <c r="M18" s="303" t="str">
        <f t="shared" si="35"/>
        <v/>
      </c>
      <c r="N18" s="303" t="str">
        <f t="shared" si="35"/>
        <v/>
      </c>
      <c r="O18" s="303" t="str">
        <f t="shared" si="35"/>
        <v/>
      </c>
      <c r="P18" s="303" t="str">
        <f t="shared" si="35"/>
        <v/>
      </c>
      <c r="Q18" s="303" t="str">
        <f t="shared" si="35"/>
        <v/>
      </c>
      <c r="R18" s="303" t="str">
        <f t="shared" si="35"/>
        <v/>
      </c>
      <c r="S18" s="303" t="str">
        <f t="shared" si="35"/>
        <v/>
      </c>
      <c r="T18" s="303">
        <f t="shared" si="35"/>
        <v>2.776932493716052</v>
      </c>
      <c r="U18" s="303">
        <f t="shared" si="35"/>
        <v>2.776932493716052</v>
      </c>
      <c r="V18" s="303">
        <f t="shared" si="35"/>
        <v>4.695773803576782</v>
      </c>
      <c r="W18" s="303" t="str">
        <f t="shared" si="35"/>
        <v/>
      </c>
      <c r="X18" s="303" t="str">
        <f t="shared" si="35"/>
        <v/>
      </c>
      <c r="Y18" s="303" t="str">
        <f t="shared" si="35"/>
        <v/>
      </c>
      <c r="Z18" s="303" t="str">
        <f t="shared" si="35"/>
        <v/>
      </c>
      <c r="AA18" s="303" t="str">
        <f t="shared" si="35"/>
        <v/>
      </c>
      <c r="AB18" s="303" t="str">
        <f t="shared" si="35"/>
        <v/>
      </c>
      <c r="AC18" s="303" t="str">
        <f t="shared" si="35"/>
        <v/>
      </c>
      <c r="AD18" s="303" t="str">
        <f t="shared" si="35"/>
        <v/>
      </c>
      <c r="AE18" s="303" t="str">
        <f t="shared" si="35"/>
        <v/>
      </c>
      <c r="AF18" s="303" t="str">
        <f t="shared" si="35"/>
        <v/>
      </c>
      <c r="AG18" s="303" t="str">
        <f t="shared" si="35"/>
        <v/>
      </c>
      <c r="AH18" s="303" t="str">
        <f t="shared" ref="AH18:BM18" si="36">IF(AH$2="-","",(IF(AH179="","",IF(AH$4&lt;$A18,AH179,(AH179-AH$3)/(1+AH$3%)))))</f>
        <v/>
      </c>
      <c r="AI18" s="303" t="str">
        <f t="shared" si="36"/>
        <v/>
      </c>
      <c r="AJ18" s="303" t="str">
        <f t="shared" si="36"/>
        <v/>
      </c>
      <c r="AK18" s="303" t="str">
        <f t="shared" si="36"/>
        <v/>
      </c>
      <c r="AL18" s="303" t="str">
        <f t="shared" si="36"/>
        <v/>
      </c>
      <c r="AM18" s="303" t="str">
        <f t="shared" si="36"/>
        <v/>
      </c>
      <c r="AN18" s="303" t="str">
        <f t="shared" si="36"/>
        <v/>
      </c>
      <c r="AO18" s="303" t="str">
        <f t="shared" si="36"/>
        <v/>
      </c>
      <c r="AP18" s="303" t="str">
        <f t="shared" si="36"/>
        <v/>
      </c>
      <c r="AQ18" s="303" t="str">
        <f t="shared" si="36"/>
        <v/>
      </c>
      <c r="AR18" s="303" t="str">
        <f t="shared" si="36"/>
        <v/>
      </c>
      <c r="AS18" s="303" t="str">
        <f t="shared" si="36"/>
        <v/>
      </c>
      <c r="AT18" s="303" t="str">
        <f t="shared" si="36"/>
        <v/>
      </c>
      <c r="AU18" s="303" t="str">
        <f t="shared" si="36"/>
        <v/>
      </c>
      <c r="AV18" s="303" t="str">
        <f t="shared" si="36"/>
        <v/>
      </c>
      <c r="AW18" s="303" t="str">
        <f t="shared" si="36"/>
        <v/>
      </c>
      <c r="AX18" s="303" t="str">
        <f t="shared" si="36"/>
        <v/>
      </c>
      <c r="AY18" s="303" t="str">
        <f t="shared" si="36"/>
        <v/>
      </c>
      <c r="AZ18" s="303" t="str">
        <f t="shared" si="36"/>
        <v/>
      </c>
      <c r="BA18" s="303" t="str">
        <f t="shared" si="36"/>
        <v/>
      </c>
      <c r="BB18" s="303" t="str">
        <f t="shared" si="36"/>
        <v/>
      </c>
      <c r="BC18" s="303" t="str">
        <f t="shared" si="36"/>
        <v/>
      </c>
      <c r="BD18" s="303" t="str">
        <f t="shared" si="36"/>
        <v/>
      </c>
      <c r="BE18" s="303" t="str">
        <f t="shared" si="36"/>
        <v/>
      </c>
      <c r="BF18" s="303" t="str">
        <f t="shared" si="36"/>
        <v/>
      </c>
      <c r="BG18" s="303" t="str">
        <f t="shared" si="36"/>
        <v/>
      </c>
      <c r="BH18" s="303" t="str">
        <f t="shared" si="36"/>
        <v/>
      </c>
      <c r="BI18" s="303" t="str">
        <f t="shared" si="36"/>
        <v/>
      </c>
      <c r="BJ18" s="303" t="str">
        <f t="shared" si="36"/>
        <v/>
      </c>
      <c r="BK18" s="303" t="str">
        <f t="shared" si="36"/>
        <v/>
      </c>
      <c r="BL18" s="303" t="str">
        <f t="shared" si="36"/>
        <v/>
      </c>
      <c r="BM18" s="303" t="str">
        <f t="shared" si="36"/>
        <v/>
      </c>
      <c r="BN18" s="303" t="str">
        <f t="shared" ref="BN18:BZ18" si="37">IF(BN$2="-","",(IF(BN179="","",IF(BN$4&lt;$A18,BN179,(BN179-BN$3)/(1+BN$3%)))))</f>
        <v/>
      </c>
      <c r="BO18" s="303" t="str">
        <f t="shared" si="37"/>
        <v/>
      </c>
      <c r="BP18" s="303" t="str">
        <f t="shared" si="37"/>
        <v/>
      </c>
      <c r="BQ18" s="303" t="str">
        <f t="shared" si="37"/>
        <v/>
      </c>
      <c r="BR18" s="303" t="str">
        <f t="shared" si="37"/>
        <v/>
      </c>
      <c r="BS18" s="303" t="str">
        <f t="shared" si="37"/>
        <v/>
      </c>
      <c r="BT18" s="303" t="str">
        <f t="shared" si="37"/>
        <v/>
      </c>
      <c r="BU18" s="303" t="str">
        <f t="shared" si="37"/>
        <v/>
      </c>
      <c r="BV18" s="303" t="str">
        <f t="shared" si="37"/>
        <v/>
      </c>
      <c r="BW18" s="303" t="str">
        <f t="shared" si="37"/>
        <v/>
      </c>
      <c r="BX18" s="303">
        <f t="shared" si="37"/>
        <v>0.80775444264942209</v>
      </c>
      <c r="BY18" s="303">
        <f t="shared" si="37"/>
        <v>2.9824863587034844</v>
      </c>
      <c r="BZ18" s="303">
        <f t="shared" si="37"/>
        <v>4.79</v>
      </c>
      <c r="CA18" s="303">
        <f t="shared" si="10"/>
        <v>8.0807546129327612</v>
      </c>
    </row>
    <row r="19" spans="1:79">
      <c r="A19" s="58">
        <f t="shared" si="6"/>
        <v>1882</v>
      </c>
      <c r="B19" s="303">
        <f t="shared" ref="B19:AG19" si="38">IF(B$2="-","",(IF(B180="","",IF(B$4&lt;$A19,B180,(B180-B$3)/(1+B$3%)))))</f>
        <v>3.3715656357165846</v>
      </c>
      <c r="C19" s="303" t="str">
        <f t="shared" si="38"/>
        <v/>
      </c>
      <c r="D19" s="303">
        <f t="shared" si="38"/>
        <v>3.3715656357165846</v>
      </c>
      <c r="E19" s="303" t="str">
        <f t="shared" si="38"/>
        <v/>
      </c>
      <c r="F19" s="303" t="str">
        <f t="shared" si="38"/>
        <v/>
      </c>
      <c r="G19" s="303" t="str">
        <f t="shared" si="38"/>
        <v/>
      </c>
      <c r="H19" s="303" t="str">
        <f t="shared" si="38"/>
        <v/>
      </c>
      <c r="I19" s="303" t="str">
        <f t="shared" si="38"/>
        <v/>
      </c>
      <c r="J19" s="303" t="str">
        <f t="shared" si="38"/>
        <v/>
      </c>
      <c r="K19" s="303" t="str">
        <f t="shared" si="38"/>
        <v/>
      </c>
      <c r="L19" s="303" t="str">
        <f t="shared" si="38"/>
        <v/>
      </c>
      <c r="M19" s="303" t="str">
        <f t="shared" si="38"/>
        <v/>
      </c>
      <c r="N19" s="303" t="str">
        <f t="shared" si="38"/>
        <v/>
      </c>
      <c r="O19" s="303" t="str">
        <f t="shared" si="38"/>
        <v/>
      </c>
      <c r="P19" s="303" t="str">
        <f t="shared" si="38"/>
        <v/>
      </c>
      <c r="Q19" s="303" t="str">
        <f t="shared" si="38"/>
        <v/>
      </c>
      <c r="R19" s="303" t="str">
        <f t="shared" si="38"/>
        <v/>
      </c>
      <c r="S19" s="303" t="str">
        <f t="shared" si="38"/>
        <v/>
      </c>
      <c r="T19" s="303">
        <f t="shared" si="38"/>
        <v>3.0749744090876869</v>
      </c>
      <c r="U19" s="303">
        <f t="shared" si="38"/>
        <v>3.0749744090876869</v>
      </c>
      <c r="V19" s="303">
        <f t="shared" si="38"/>
        <v>5.165351183934459</v>
      </c>
      <c r="W19" s="303" t="str">
        <f t="shared" si="38"/>
        <v/>
      </c>
      <c r="X19" s="303" t="str">
        <f t="shared" si="38"/>
        <v/>
      </c>
      <c r="Y19" s="303" t="str">
        <f t="shared" si="38"/>
        <v/>
      </c>
      <c r="Z19" s="303" t="str">
        <f t="shared" si="38"/>
        <v/>
      </c>
      <c r="AA19" s="303" t="str">
        <f t="shared" si="38"/>
        <v/>
      </c>
      <c r="AB19" s="303" t="str">
        <f t="shared" si="38"/>
        <v/>
      </c>
      <c r="AC19" s="303" t="str">
        <f t="shared" si="38"/>
        <v/>
      </c>
      <c r="AD19" s="303" t="str">
        <f t="shared" si="38"/>
        <v/>
      </c>
      <c r="AE19" s="303" t="str">
        <f t="shared" si="38"/>
        <v/>
      </c>
      <c r="AF19" s="303" t="str">
        <f t="shared" si="38"/>
        <v/>
      </c>
      <c r="AG19" s="303" t="str">
        <f t="shared" si="38"/>
        <v/>
      </c>
      <c r="AH19" s="303" t="str">
        <f t="shared" ref="AH19:BM19" si="39">IF(AH$2="-","",(IF(AH180="","",IF(AH$4&lt;$A19,AH180,(AH180-AH$3)/(1+AH$3%)))))</f>
        <v/>
      </c>
      <c r="AI19" s="303" t="str">
        <f t="shared" si="39"/>
        <v/>
      </c>
      <c r="AJ19" s="303" t="str">
        <f t="shared" si="39"/>
        <v/>
      </c>
      <c r="AK19" s="303" t="str">
        <f t="shared" si="39"/>
        <v/>
      </c>
      <c r="AL19" s="303" t="str">
        <f t="shared" si="39"/>
        <v/>
      </c>
      <c r="AM19" s="303" t="str">
        <f t="shared" si="39"/>
        <v/>
      </c>
      <c r="AN19" s="303" t="str">
        <f t="shared" si="39"/>
        <v/>
      </c>
      <c r="AO19" s="303" t="str">
        <f t="shared" si="39"/>
        <v/>
      </c>
      <c r="AP19" s="303" t="str">
        <f t="shared" si="39"/>
        <v/>
      </c>
      <c r="AQ19" s="303" t="str">
        <f t="shared" si="39"/>
        <v/>
      </c>
      <c r="AR19" s="303" t="str">
        <f t="shared" si="39"/>
        <v/>
      </c>
      <c r="AS19" s="303" t="str">
        <f t="shared" si="39"/>
        <v/>
      </c>
      <c r="AT19" s="303" t="str">
        <f t="shared" si="39"/>
        <v/>
      </c>
      <c r="AU19" s="303" t="str">
        <f t="shared" si="39"/>
        <v/>
      </c>
      <c r="AV19" s="303" t="str">
        <f t="shared" si="39"/>
        <v/>
      </c>
      <c r="AW19" s="303" t="str">
        <f t="shared" si="39"/>
        <v/>
      </c>
      <c r="AX19" s="303" t="str">
        <f t="shared" si="39"/>
        <v/>
      </c>
      <c r="AY19" s="303" t="str">
        <f t="shared" si="39"/>
        <v/>
      </c>
      <c r="AZ19" s="303" t="str">
        <f t="shared" si="39"/>
        <v/>
      </c>
      <c r="BA19" s="303" t="str">
        <f t="shared" si="39"/>
        <v/>
      </c>
      <c r="BB19" s="303" t="str">
        <f t="shared" si="39"/>
        <v/>
      </c>
      <c r="BC19" s="303" t="str">
        <f t="shared" si="39"/>
        <v/>
      </c>
      <c r="BD19" s="303" t="str">
        <f t="shared" si="39"/>
        <v/>
      </c>
      <c r="BE19" s="303" t="str">
        <f t="shared" si="39"/>
        <v/>
      </c>
      <c r="BF19" s="303" t="str">
        <f t="shared" si="39"/>
        <v/>
      </c>
      <c r="BG19" s="303" t="str">
        <f t="shared" si="39"/>
        <v/>
      </c>
      <c r="BH19" s="303" t="str">
        <f t="shared" si="39"/>
        <v/>
      </c>
      <c r="BI19" s="303" t="str">
        <f t="shared" si="39"/>
        <v/>
      </c>
      <c r="BJ19" s="303" t="str">
        <f t="shared" si="39"/>
        <v/>
      </c>
      <c r="BK19" s="303" t="str">
        <f t="shared" si="39"/>
        <v/>
      </c>
      <c r="BL19" s="303" t="str">
        <f t="shared" si="39"/>
        <v/>
      </c>
      <c r="BM19" s="303" t="str">
        <f t="shared" si="39"/>
        <v/>
      </c>
      <c r="BN19" s="303" t="str">
        <f t="shared" ref="BN19:BZ19" si="40">IF(BN$2="-","",(IF(BN180="","",IF(BN$4&lt;$A19,BN180,(BN180-BN$3)/(1+BN$3%)))))</f>
        <v/>
      </c>
      <c r="BO19" s="303" t="str">
        <f t="shared" si="40"/>
        <v/>
      </c>
      <c r="BP19" s="303" t="str">
        <f t="shared" si="40"/>
        <v/>
      </c>
      <c r="BQ19" s="303" t="str">
        <f t="shared" si="40"/>
        <v/>
      </c>
      <c r="BR19" s="303" t="str">
        <f t="shared" si="40"/>
        <v/>
      </c>
      <c r="BS19" s="303" t="str">
        <f t="shared" si="40"/>
        <v/>
      </c>
      <c r="BT19" s="303" t="str">
        <f t="shared" si="40"/>
        <v/>
      </c>
      <c r="BU19" s="303" t="str">
        <f t="shared" si="40"/>
        <v/>
      </c>
      <c r="BV19" s="303" t="str">
        <f t="shared" si="40"/>
        <v/>
      </c>
      <c r="BW19" s="303" t="str">
        <f t="shared" si="40"/>
        <v/>
      </c>
      <c r="BX19" s="303">
        <f t="shared" si="40"/>
        <v>3.5472972972973027</v>
      </c>
      <c r="BY19" s="303">
        <f t="shared" si="40"/>
        <v>3.2811243579058624</v>
      </c>
      <c r="BZ19" s="303">
        <f t="shared" si="40"/>
        <v>5.26</v>
      </c>
      <c r="CA19" s="303">
        <f t="shared" si="10"/>
        <v>-1.8687481459799038</v>
      </c>
    </row>
    <row r="20" spans="1:79">
      <c r="A20" s="58">
        <f t="shared" si="6"/>
        <v>1883</v>
      </c>
      <c r="B20" s="303">
        <f t="shared" ref="B20:AG20" si="41">IF(B$2="-","",(IF(B181="","",IF(B$4&lt;$A20,B181,(B181-B$3)/(1+B$3%)))))</f>
        <v>-5.3244596062769007</v>
      </c>
      <c r="C20" s="303" t="str">
        <f t="shared" si="41"/>
        <v/>
      </c>
      <c r="D20" s="303">
        <f t="shared" si="41"/>
        <v>-5.3244596062769007</v>
      </c>
      <c r="E20" s="303" t="str">
        <f t="shared" si="41"/>
        <v/>
      </c>
      <c r="F20" s="303" t="str">
        <f t="shared" si="41"/>
        <v/>
      </c>
      <c r="G20" s="303" t="str">
        <f t="shared" si="41"/>
        <v/>
      </c>
      <c r="H20" s="303" t="str">
        <f t="shared" si="41"/>
        <v/>
      </c>
      <c r="I20" s="303" t="str">
        <f t="shared" si="41"/>
        <v/>
      </c>
      <c r="J20" s="303" t="str">
        <f t="shared" si="41"/>
        <v/>
      </c>
      <c r="K20" s="303" t="str">
        <f t="shared" si="41"/>
        <v/>
      </c>
      <c r="L20" s="303" t="str">
        <f t="shared" si="41"/>
        <v/>
      </c>
      <c r="M20" s="303" t="str">
        <f t="shared" si="41"/>
        <v/>
      </c>
      <c r="N20" s="303" t="str">
        <f t="shared" si="41"/>
        <v/>
      </c>
      <c r="O20" s="303" t="str">
        <f t="shared" si="41"/>
        <v/>
      </c>
      <c r="P20" s="303" t="str">
        <f t="shared" si="41"/>
        <v/>
      </c>
      <c r="Q20" s="303" t="str">
        <f t="shared" si="41"/>
        <v/>
      </c>
      <c r="R20" s="303" t="str">
        <f t="shared" si="41"/>
        <v/>
      </c>
      <c r="S20" s="303" t="str">
        <f t="shared" si="41"/>
        <v/>
      </c>
      <c r="T20" s="303">
        <f t="shared" si="41"/>
        <v>2.7618812978558993</v>
      </c>
      <c r="U20" s="303">
        <f t="shared" si="41"/>
        <v>2.7618812978558993</v>
      </c>
      <c r="V20" s="303">
        <f t="shared" si="41"/>
        <v>5.2552702567689087</v>
      </c>
      <c r="W20" s="303" t="str">
        <f t="shared" si="41"/>
        <v/>
      </c>
      <c r="X20" s="303" t="str">
        <f t="shared" si="41"/>
        <v/>
      </c>
      <c r="Y20" s="303" t="str">
        <f t="shared" si="41"/>
        <v/>
      </c>
      <c r="Z20" s="303" t="str">
        <f t="shared" si="41"/>
        <v/>
      </c>
      <c r="AA20" s="303" t="str">
        <f t="shared" si="41"/>
        <v/>
      </c>
      <c r="AB20" s="303" t="str">
        <f t="shared" si="41"/>
        <v/>
      </c>
      <c r="AC20" s="303" t="str">
        <f t="shared" si="41"/>
        <v/>
      </c>
      <c r="AD20" s="303" t="str">
        <f t="shared" si="41"/>
        <v/>
      </c>
      <c r="AE20" s="303" t="str">
        <f t="shared" si="41"/>
        <v/>
      </c>
      <c r="AF20" s="303" t="str">
        <f t="shared" si="41"/>
        <v/>
      </c>
      <c r="AG20" s="303" t="str">
        <f t="shared" si="41"/>
        <v/>
      </c>
      <c r="AH20" s="303" t="str">
        <f t="shared" ref="AH20:BM20" si="42">IF(AH$2="-","",(IF(AH181="","",IF(AH$4&lt;$A20,AH181,(AH181-AH$3)/(1+AH$3%)))))</f>
        <v/>
      </c>
      <c r="AI20" s="303" t="str">
        <f t="shared" si="42"/>
        <v/>
      </c>
      <c r="AJ20" s="303" t="str">
        <f t="shared" si="42"/>
        <v/>
      </c>
      <c r="AK20" s="303" t="str">
        <f t="shared" si="42"/>
        <v/>
      </c>
      <c r="AL20" s="303" t="str">
        <f t="shared" si="42"/>
        <v/>
      </c>
      <c r="AM20" s="303" t="str">
        <f t="shared" si="42"/>
        <v/>
      </c>
      <c r="AN20" s="303" t="str">
        <f t="shared" si="42"/>
        <v/>
      </c>
      <c r="AO20" s="303" t="str">
        <f t="shared" si="42"/>
        <v/>
      </c>
      <c r="AP20" s="303" t="str">
        <f t="shared" si="42"/>
        <v/>
      </c>
      <c r="AQ20" s="303" t="str">
        <f t="shared" si="42"/>
        <v/>
      </c>
      <c r="AR20" s="303" t="str">
        <f t="shared" si="42"/>
        <v/>
      </c>
      <c r="AS20" s="303" t="str">
        <f t="shared" si="42"/>
        <v/>
      </c>
      <c r="AT20" s="303" t="str">
        <f t="shared" si="42"/>
        <v/>
      </c>
      <c r="AU20" s="303" t="str">
        <f t="shared" si="42"/>
        <v/>
      </c>
      <c r="AV20" s="303" t="str">
        <f t="shared" si="42"/>
        <v/>
      </c>
      <c r="AW20" s="303" t="str">
        <f t="shared" si="42"/>
        <v/>
      </c>
      <c r="AX20" s="303" t="str">
        <f t="shared" si="42"/>
        <v/>
      </c>
      <c r="AY20" s="303" t="str">
        <f t="shared" si="42"/>
        <v/>
      </c>
      <c r="AZ20" s="303" t="str">
        <f t="shared" si="42"/>
        <v/>
      </c>
      <c r="BA20" s="303" t="str">
        <f t="shared" si="42"/>
        <v/>
      </c>
      <c r="BB20" s="303" t="str">
        <f t="shared" si="42"/>
        <v/>
      </c>
      <c r="BC20" s="303" t="str">
        <f t="shared" si="42"/>
        <v/>
      </c>
      <c r="BD20" s="303" t="str">
        <f t="shared" si="42"/>
        <v/>
      </c>
      <c r="BE20" s="303" t="str">
        <f t="shared" si="42"/>
        <v/>
      </c>
      <c r="BF20" s="303" t="str">
        <f t="shared" si="42"/>
        <v/>
      </c>
      <c r="BG20" s="303" t="str">
        <f t="shared" si="42"/>
        <v/>
      </c>
      <c r="BH20" s="303" t="str">
        <f t="shared" si="42"/>
        <v/>
      </c>
      <c r="BI20" s="303" t="str">
        <f t="shared" si="42"/>
        <v/>
      </c>
      <c r="BJ20" s="303" t="str">
        <f t="shared" si="42"/>
        <v/>
      </c>
      <c r="BK20" s="303" t="str">
        <f t="shared" si="42"/>
        <v/>
      </c>
      <c r="BL20" s="303" t="str">
        <f t="shared" si="42"/>
        <v/>
      </c>
      <c r="BM20" s="303" t="str">
        <f t="shared" si="42"/>
        <v/>
      </c>
      <c r="BN20" s="303" t="str">
        <f t="shared" ref="BN20:BZ20" si="43">IF(BN$2="-","",(IF(BN181="","",IF(BN$4&lt;$A20,BN181,(BN181-BN$3)/(1+BN$3%)))))</f>
        <v/>
      </c>
      <c r="BO20" s="303" t="str">
        <f t="shared" si="43"/>
        <v/>
      </c>
      <c r="BP20" s="303" t="str">
        <f t="shared" si="43"/>
        <v/>
      </c>
      <c r="BQ20" s="303" t="str">
        <f t="shared" si="43"/>
        <v/>
      </c>
      <c r="BR20" s="303" t="str">
        <f t="shared" si="43"/>
        <v/>
      </c>
      <c r="BS20" s="303" t="str">
        <f t="shared" si="43"/>
        <v/>
      </c>
      <c r="BT20" s="303" t="str">
        <f t="shared" si="43"/>
        <v/>
      </c>
      <c r="BU20" s="303" t="str">
        <f t="shared" si="43"/>
        <v/>
      </c>
      <c r="BV20" s="303" t="str">
        <f t="shared" si="43"/>
        <v/>
      </c>
      <c r="BW20" s="303" t="str">
        <f t="shared" si="43"/>
        <v/>
      </c>
      <c r="BX20" s="303">
        <f t="shared" si="43"/>
        <v>-5.1635111876075719</v>
      </c>
      <c r="BY20" s="303">
        <f t="shared" si="43"/>
        <v>2.9674050604516111</v>
      </c>
      <c r="BZ20" s="303">
        <f t="shared" si="43"/>
        <v>5.35</v>
      </c>
      <c r="CA20" s="303">
        <f t="shared" si="10"/>
        <v>-7.619780870915327</v>
      </c>
    </row>
    <row r="21" spans="1:79">
      <c r="A21" s="58">
        <f t="shared" si="6"/>
        <v>1884</v>
      </c>
      <c r="B21" s="303">
        <f t="shared" ref="B21:AG21" si="44">IF(B$2="-","",(IF(B182="","",IF(B$4&lt;$A21,B182,(B182-B$3)/(1+B$3%)))))</f>
        <v>-12.311233065950043</v>
      </c>
      <c r="C21" s="303" t="str">
        <f t="shared" si="44"/>
        <v/>
      </c>
      <c r="D21" s="303">
        <f t="shared" si="44"/>
        <v>-12.311233065950043</v>
      </c>
      <c r="E21" s="303" t="str">
        <f t="shared" si="44"/>
        <v/>
      </c>
      <c r="F21" s="303" t="str">
        <f t="shared" si="44"/>
        <v/>
      </c>
      <c r="G21" s="303" t="str">
        <f t="shared" si="44"/>
        <v/>
      </c>
      <c r="H21" s="303" t="str">
        <f t="shared" si="44"/>
        <v/>
      </c>
      <c r="I21" s="303" t="str">
        <f t="shared" si="44"/>
        <v/>
      </c>
      <c r="J21" s="303" t="str">
        <f t="shared" si="44"/>
        <v/>
      </c>
      <c r="K21" s="303" t="str">
        <f t="shared" si="44"/>
        <v/>
      </c>
      <c r="L21" s="303" t="str">
        <f t="shared" si="44"/>
        <v/>
      </c>
      <c r="M21" s="303" t="str">
        <f t="shared" si="44"/>
        <v/>
      </c>
      <c r="N21" s="303" t="str">
        <f t="shared" si="44"/>
        <v/>
      </c>
      <c r="O21" s="303" t="str">
        <f t="shared" si="44"/>
        <v/>
      </c>
      <c r="P21" s="303" t="str">
        <f t="shared" si="44"/>
        <v/>
      </c>
      <c r="Q21" s="303" t="str">
        <f t="shared" si="44"/>
        <v/>
      </c>
      <c r="R21" s="303" t="str">
        <f t="shared" si="44"/>
        <v/>
      </c>
      <c r="S21" s="303" t="str">
        <f t="shared" si="44"/>
        <v/>
      </c>
      <c r="T21" s="303">
        <f t="shared" si="44"/>
        <v>6.105617787926322</v>
      </c>
      <c r="U21" s="303">
        <f t="shared" si="44"/>
        <v>6.105617787926322</v>
      </c>
      <c r="V21" s="303">
        <f t="shared" si="44"/>
        <v>5.5550004995504061</v>
      </c>
      <c r="W21" s="303" t="str">
        <f t="shared" si="44"/>
        <v/>
      </c>
      <c r="X21" s="303" t="str">
        <f t="shared" si="44"/>
        <v/>
      </c>
      <c r="Y21" s="303" t="str">
        <f t="shared" si="44"/>
        <v/>
      </c>
      <c r="Z21" s="303" t="str">
        <f t="shared" si="44"/>
        <v/>
      </c>
      <c r="AA21" s="303" t="str">
        <f t="shared" si="44"/>
        <v/>
      </c>
      <c r="AB21" s="303" t="str">
        <f t="shared" si="44"/>
        <v/>
      </c>
      <c r="AC21" s="303" t="str">
        <f t="shared" si="44"/>
        <v/>
      </c>
      <c r="AD21" s="303" t="str">
        <f t="shared" si="44"/>
        <v/>
      </c>
      <c r="AE21" s="303" t="str">
        <f t="shared" si="44"/>
        <v/>
      </c>
      <c r="AF21" s="303" t="str">
        <f t="shared" si="44"/>
        <v/>
      </c>
      <c r="AG21" s="303" t="str">
        <f t="shared" si="44"/>
        <v/>
      </c>
      <c r="AH21" s="303" t="str">
        <f t="shared" ref="AH21:BM21" si="45">IF(AH$2="-","",(IF(AH182="","",IF(AH$4&lt;$A21,AH182,(AH182-AH$3)/(1+AH$3%)))))</f>
        <v/>
      </c>
      <c r="AI21" s="303" t="str">
        <f t="shared" si="45"/>
        <v/>
      </c>
      <c r="AJ21" s="303" t="str">
        <f t="shared" si="45"/>
        <v/>
      </c>
      <c r="AK21" s="303" t="str">
        <f t="shared" si="45"/>
        <v/>
      </c>
      <c r="AL21" s="303" t="str">
        <f t="shared" si="45"/>
        <v/>
      </c>
      <c r="AM21" s="303" t="str">
        <f t="shared" si="45"/>
        <v/>
      </c>
      <c r="AN21" s="303" t="str">
        <f t="shared" si="45"/>
        <v/>
      </c>
      <c r="AO21" s="303" t="str">
        <f t="shared" si="45"/>
        <v/>
      </c>
      <c r="AP21" s="303" t="str">
        <f t="shared" si="45"/>
        <v/>
      </c>
      <c r="AQ21" s="303" t="str">
        <f t="shared" si="45"/>
        <v/>
      </c>
      <c r="AR21" s="303" t="str">
        <f t="shared" si="45"/>
        <v/>
      </c>
      <c r="AS21" s="303" t="str">
        <f t="shared" si="45"/>
        <v/>
      </c>
      <c r="AT21" s="303" t="str">
        <f t="shared" si="45"/>
        <v/>
      </c>
      <c r="AU21" s="303" t="str">
        <f t="shared" si="45"/>
        <v/>
      </c>
      <c r="AV21" s="303" t="str">
        <f t="shared" si="45"/>
        <v/>
      </c>
      <c r="AW21" s="303" t="str">
        <f t="shared" si="45"/>
        <v/>
      </c>
      <c r="AX21" s="303" t="str">
        <f t="shared" si="45"/>
        <v/>
      </c>
      <c r="AY21" s="303" t="str">
        <f t="shared" si="45"/>
        <v/>
      </c>
      <c r="AZ21" s="303" t="str">
        <f t="shared" si="45"/>
        <v/>
      </c>
      <c r="BA21" s="303" t="str">
        <f t="shared" si="45"/>
        <v/>
      </c>
      <c r="BB21" s="303" t="str">
        <f t="shared" si="45"/>
        <v/>
      </c>
      <c r="BC21" s="303" t="str">
        <f t="shared" si="45"/>
        <v/>
      </c>
      <c r="BD21" s="303" t="str">
        <f t="shared" si="45"/>
        <v/>
      </c>
      <c r="BE21" s="303" t="str">
        <f t="shared" si="45"/>
        <v/>
      </c>
      <c r="BF21" s="303" t="str">
        <f t="shared" si="45"/>
        <v/>
      </c>
      <c r="BG21" s="303" t="str">
        <f t="shared" si="45"/>
        <v/>
      </c>
      <c r="BH21" s="303" t="str">
        <f t="shared" si="45"/>
        <v/>
      </c>
      <c r="BI21" s="303" t="str">
        <f t="shared" si="45"/>
        <v/>
      </c>
      <c r="BJ21" s="303" t="str">
        <f t="shared" si="45"/>
        <v/>
      </c>
      <c r="BK21" s="303" t="str">
        <f t="shared" si="45"/>
        <v/>
      </c>
      <c r="BL21" s="303" t="str">
        <f t="shared" si="45"/>
        <v/>
      </c>
      <c r="BM21" s="303" t="str">
        <f t="shared" si="45"/>
        <v/>
      </c>
      <c r="BN21" s="303" t="str">
        <f t="shared" ref="BN21:BZ21" si="46">IF(BN$2="-","",(IF(BN182="","",IF(BN$4&lt;$A21,BN182,(BN182-BN$3)/(1+BN$3%)))))</f>
        <v/>
      </c>
      <c r="BO21" s="303" t="str">
        <f t="shared" si="46"/>
        <v/>
      </c>
      <c r="BP21" s="303" t="str">
        <f t="shared" si="46"/>
        <v/>
      </c>
      <c r="BQ21" s="303" t="str">
        <f t="shared" si="46"/>
        <v/>
      </c>
      <c r="BR21" s="303" t="str">
        <f t="shared" si="46"/>
        <v/>
      </c>
      <c r="BS21" s="303" t="str">
        <f t="shared" si="46"/>
        <v/>
      </c>
      <c r="BT21" s="303" t="str">
        <f t="shared" si="46"/>
        <v/>
      </c>
      <c r="BU21" s="303" t="str">
        <f t="shared" si="46"/>
        <v/>
      </c>
      <c r="BV21" s="303" t="str">
        <f t="shared" si="46"/>
        <v/>
      </c>
      <c r="BW21" s="303" t="str">
        <f t="shared" si="46"/>
        <v/>
      </c>
      <c r="BX21" s="303">
        <f t="shared" si="46"/>
        <v>-12.16216216216216</v>
      </c>
      <c r="BY21" s="303">
        <f t="shared" si="46"/>
        <v>6.317829023502175</v>
      </c>
      <c r="BZ21" s="303">
        <f t="shared" si="46"/>
        <v>5.65</v>
      </c>
      <c r="CA21" s="303">
        <f t="shared" si="10"/>
        <v>-10.308817794189086</v>
      </c>
    </row>
    <row r="22" spans="1:79">
      <c r="A22" s="58">
        <f t="shared" si="6"/>
        <v>1885</v>
      </c>
      <c r="B22" s="303">
        <f t="shared" ref="B22:AG22" si="47">IF(B$2="-","",(IF(B183="","",IF(B$4&lt;$A22,B183,(B183-B$3)/(1+B$3%)))))</f>
        <v>28.084143748081082</v>
      </c>
      <c r="C22" s="303" t="str">
        <f t="shared" si="47"/>
        <v/>
      </c>
      <c r="D22" s="303">
        <f t="shared" si="47"/>
        <v>28.084143748081082</v>
      </c>
      <c r="E22" s="303" t="str">
        <f t="shared" si="47"/>
        <v/>
      </c>
      <c r="F22" s="303" t="str">
        <f t="shared" si="47"/>
        <v/>
      </c>
      <c r="G22" s="303" t="str">
        <f t="shared" si="47"/>
        <v/>
      </c>
      <c r="H22" s="303" t="str">
        <f t="shared" si="47"/>
        <v/>
      </c>
      <c r="I22" s="303" t="str">
        <f t="shared" si="47"/>
        <v/>
      </c>
      <c r="J22" s="303" t="str">
        <f t="shared" si="47"/>
        <v/>
      </c>
      <c r="K22" s="303" t="str">
        <f t="shared" si="47"/>
        <v/>
      </c>
      <c r="L22" s="303" t="str">
        <f t="shared" si="47"/>
        <v/>
      </c>
      <c r="M22" s="303" t="str">
        <f t="shared" si="47"/>
        <v/>
      </c>
      <c r="N22" s="303" t="str">
        <f t="shared" si="47"/>
        <v/>
      </c>
      <c r="O22" s="303" t="str">
        <f t="shared" si="47"/>
        <v/>
      </c>
      <c r="P22" s="303" t="str">
        <f t="shared" si="47"/>
        <v/>
      </c>
      <c r="Q22" s="303" t="str">
        <f t="shared" si="47"/>
        <v/>
      </c>
      <c r="R22" s="303" t="str">
        <f t="shared" si="47"/>
        <v/>
      </c>
      <c r="S22" s="303" t="str">
        <f t="shared" si="47"/>
        <v/>
      </c>
      <c r="T22" s="303">
        <f t="shared" si="47"/>
        <v>3.591597702317419</v>
      </c>
      <c r="U22" s="303">
        <f t="shared" si="47"/>
        <v>3.591597702317419</v>
      </c>
      <c r="V22" s="303">
        <f t="shared" si="47"/>
        <v>4.1262863422919374</v>
      </c>
      <c r="W22" s="303" t="str">
        <f t="shared" si="47"/>
        <v/>
      </c>
      <c r="X22" s="303" t="str">
        <f t="shared" si="47"/>
        <v/>
      </c>
      <c r="Y22" s="303" t="str">
        <f t="shared" si="47"/>
        <v/>
      </c>
      <c r="Z22" s="303" t="str">
        <f t="shared" si="47"/>
        <v/>
      </c>
      <c r="AA22" s="303" t="str">
        <f t="shared" si="47"/>
        <v/>
      </c>
      <c r="AB22" s="303" t="str">
        <f t="shared" si="47"/>
        <v/>
      </c>
      <c r="AC22" s="303" t="str">
        <f t="shared" si="47"/>
        <v/>
      </c>
      <c r="AD22" s="303" t="str">
        <f t="shared" si="47"/>
        <v/>
      </c>
      <c r="AE22" s="303" t="str">
        <f t="shared" si="47"/>
        <v/>
      </c>
      <c r="AF22" s="303" t="str">
        <f t="shared" si="47"/>
        <v/>
      </c>
      <c r="AG22" s="303" t="str">
        <f t="shared" si="47"/>
        <v/>
      </c>
      <c r="AH22" s="303" t="str">
        <f t="shared" ref="AH22:BM22" si="48">IF(AH$2="-","",(IF(AH183="","",IF(AH$4&lt;$A22,AH183,(AH183-AH$3)/(1+AH$3%)))))</f>
        <v/>
      </c>
      <c r="AI22" s="303" t="str">
        <f t="shared" si="48"/>
        <v/>
      </c>
      <c r="AJ22" s="303" t="str">
        <f t="shared" si="48"/>
        <v/>
      </c>
      <c r="AK22" s="303" t="str">
        <f t="shared" si="48"/>
        <v/>
      </c>
      <c r="AL22" s="303" t="str">
        <f t="shared" si="48"/>
        <v/>
      </c>
      <c r="AM22" s="303" t="str">
        <f t="shared" si="48"/>
        <v/>
      </c>
      <c r="AN22" s="303" t="str">
        <f t="shared" si="48"/>
        <v/>
      </c>
      <c r="AO22" s="303" t="str">
        <f t="shared" si="48"/>
        <v/>
      </c>
      <c r="AP22" s="303" t="str">
        <f t="shared" si="48"/>
        <v/>
      </c>
      <c r="AQ22" s="303" t="str">
        <f t="shared" si="48"/>
        <v/>
      </c>
      <c r="AR22" s="303" t="str">
        <f t="shared" si="48"/>
        <v/>
      </c>
      <c r="AS22" s="303" t="str">
        <f t="shared" si="48"/>
        <v/>
      </c>
      <c r="AT22" s="303" t="str">
        <f t="shared" si="48"/>
        <v/>
      </c>
      <c r="AU22" s="303" t="str">
        <f t="shared" si="48"/>
        <v/>
      </c>
      <c r="AV22" s="303" t="str">
        <f t="shared" si="48"/>
        <v/>
      </c>
      <c r="AW22" s="303" t="str">
        <f t="shared" si="48"/>
        <v/>
      </c>
      <c r="AX22" s="303" t="str">
        <f t="shared" si="48"/>
        <v/>
      </c>
      <c r="AY22" s="303" t="str">
        <f t="shared" si="48"/>
        <v/>
      </c>
      <c r="AZ22" s="303" t="str">
        <f t="shared" si="48"/>
        <v/>
      </c>
      <c r="BA22" s="303" t="str">
        <f t="shared" si="48"/>
        <v/>
      </c>
      <c r="BB22" s="303" t="str">
        <f t="shared" si="48"/>
        <v/>
      </c>
      <c r="BC22" s="303" t="str">
        <f t="shared" si="48"/>
        <v/>
      </c>
      <c r="BD22" s="303" t="str">
        <f t="shared" si="48"/>
        <v/>
      </c>
      <c r="BE22" s="303" t="str">
        <f t="shared" si="48"/>
        <v/>
      </c>
      <c r="BF22" s="303" t="str">
        <f t="shared" si="48"/>
        <v/>
      </c>
      <c r="BG22" s="303" t="str">
        <f t="shared" si="48"/>
        <v/>
      </c>
      <c r="BH22" s="303" t="str">
        <f t="shared" si="48"/>
        <v/>
      </c>
      <c r="BI22" s="303" t="str">
        <f t="shared" si="48"/>
        <v/>
      </c>
      <c r="BJ22" s="303" t="str">
        <f t="shared" si="48"/>
        <v/>
      </c>
      <c r="BK22" s="303" t="str">
        <f t="shared" si="48"/>
        <v/>
      </c>
      <c r="BL22" s="303" t="str">
        <f t="shared" si="48"/>
        <v/>
      </c>
      <c r="BM22" s="303" t="str">
        <f t="shared" si="48"/>
        <v/>
      </c>
      <c r="BN22" s="303" t="str">
        <f t="shared" ref="BN22:BZ22" si="49">IF(BN$2="-","",(IF(BN183="","",IF(BN$4&lt;$A22,BN183,(BN183-BN$3)/(1+BN$3%)))))</f>
        <v/>
      </c>
      <c r="BO22" s="303" t="str">
        <f t="shared" si="49"/>
        <v/>
      </c>
      <c r="BP22" s="303" t="str">
        <f t="shared" si="49"/>
        <v/>
      </c>
      <c r="BQ22" s="303" t="str">
        <f t="shared" si="49"/>
        <v/>
      </c>
      <c r="BR22" s="303" t="str">
        <f t="shared" si="49"/>
        <v/>
      </c>
      <c r="BS22" s="303" t="str">
        <f t="shared" si="49"/>
        <v/>
      </c>
      <c r="BT22" s="303" t="str">
        <f t="shared" si="49"/>
        <v/>
      </c>
      <c r="BU22" s="303" t="str">
        <f t="shared" si="49"/>
        <v/>
      </c>
      <c r="BV22" s="303" t="str">
        <f t="shared" si="49"/>
        <v/>
      </c>
      <c r="BW22" s="303" t="str">
        <f t="shared" si="49"/>
        <v/>
      </c>
      <c r="BX22" s="303">
        <f t="shared" si="49"/>
        <v>28.301886792452823</v>
      </c>
      <c r="BY22" s="303">
        <f t="shared" si="49"/>
        <v>3.7987808977220539</v>
      </c>
      <c r="BZ22" s="303">
        <f t="shared" si="49"/>
        <v>4.22</v>
      </c>
      <c r="CA22" s="303">
        <f t="shared" si="10"/>
        <v>-3.4483964605876771</v>
      </c>
    </row>
    <row r="23" spans="1:79">
      <c r="A23" s="58">
        <f t="shared" si="6"/>
        <v>1886</v>
      </c>
      <c r="B23" s="303">
        <f t="shared" ref="B23:AG23" si="50">IF(B$2="-","",(IF(B184="","",IF(B$4&lt;$A23,B184,(B184-B$3)/(1+B$3%)))))</f>
        <v>11.34916795294154</v>
      </c>
      <c r="C23" s="303" t="str">
        <f t="shared" si="50"/>
        <v/>
      </c>
      <c r="D23" s="303">
        <f t="shared" si="50"/>
        <v>11.34916795294154</v>
      </c>
      <c r="E23" s="303" t="str">
        <f t="shared" si="50"/>
        <v/>
      </c>
      <c r="F23" s="303" t="str">
        <f t="shared" si="50"/>
        <v/>
      </c>
      <c r="G23" s="303" t="str">
        <f t="shared" si="50"/>
        <v/>
      </c>
      <c r="H23" s="303" t="str">
        <f t="shared" si="50"/>
        <v/>
      </c>
      <c r="I23" s="303" t="str">
        <f t="shared" si="50"/>
        <v/>
      </c>
      <c r="J23" s="303" t="str">
        <f t="shared" si="50"/>
        <v/>
      </c>
      <c r="K23" s="303" t="str">
        <f t="shared" si="50"/>
        <v/>
      </c>
      <c r="L23" s="303" t="str">
        <f t="shared" si="50"/>
        <v/>
      </c>
      <c r="M23" s="303" t="str">
        <f t="shared" si="50"/>
        <v/>
      </c>
      <c r="N23" s="303" t="str">
        <f t="shared" si="50"/>
        <v/>
      </c>
      <c r="O23" s="303" t="str">
        <f t="shared" si="50"/>
        <v/>
      </c>
      <c r="P23" s="303" t="str">
        <f t="shared" si="50"/>
        <v/>
      </c>
      <c r="Q23" s="303" t="str">
        <f t="shared" si="50"/>
        <v/>
      </c>
      <c r="R23" s="303" t="str">
        <f t="shared" si="50"/>
        <v/>
      </c>
      <c r="S23" s="303" t="str">
        <f t="shared" si="50"/>
        <v/>
      </c>
      <c r="T23" s="303">
        <f t="shared" si="50"/>
        <v>-0.58463051975595859</v>
      </c>
      <c r="U23" s="303">
        <f t="shared" si="50"/>
        <v>-0.58463051975595859</v>
      </c>
      <c r="V23" s="303">
        <f t="shared" si="50"/>
        <v>4.1662503746628037</v>
      </c>
      <c r="W23" s="303" t="str">
        <f t="shared" si="50"/>
        <v/>
      </c>
      <c r="X23" s="303" t="str">
        <f t="shared" si="50"/>
        <v/>
      </c>
      <c r="Y23" s="303" t="str">
        <f t="shared" si="50"/>
        <v/>
      </c>
      <c r="Z23" s="303" t="str">
        <f t="shared" si="50"/>
        <v/>
      </c>
      <c r="AA23" s="303" t="str">
        <f t="shared" si="50"/>
        <v/>
      </c>
      <c r="AB23" s="303" t="str">
        <f t="shared" si="50"/>
        <v/>
      </c>
      <c r="AC23" s="303" t="str">
        <f t="shared" si="50"/>
        <v/>
      </c>
      <c r="AD23" s="303" t="str">
        <f t="shared" si="50"/>
        <v/>
      </c>
      <c r="AE23" s="303" t="str">
        <f t="shared" si="50"/>
        <v/>
      </c>
      <c r="AF23" s="303" t="str">
        <f t="shared" si="50"/>
        <v/>
      </c>
      <c r="AG23" s="303" t="str">
        <f t="shared" si="50"/>
        <v/>
      </c>
      <c r="AH23" s="303" t="str">
        <f t="shared" ref="AH23:BM23" si="51">IF(AH$2="-","",(IF(AH184="","",IF(AH$4&lt;$A23,AH184,(AH184-AH$3)/(1+AH$3%)))))</f>
        <v/>
      </c>
      <c r="AI23" s="303" t="str">
        <f t="shared" si="51"/>
        <v/>
      </c>
      <c r="AJ23" s="303" t="str">
        <f t="shared" si="51"/>
        <v/>
      </c>
      <c r="AK23" s="303" t="str">
        <f t="shared" si="51"/>
        <v/>
      </c>
      <c r="AL23" s="303" t="str">
        <f t="shared" si="51"/>
        <v/>
      </c>
      <c r="AM23" s="303" t="str">
        <f t="shared" si="51"/>
        <v/>
      </c>
      <c r="AN23" s="303" t="str">
        <f t="shared" si="51"/>
        <v/>
      </c>
      <c r="AO23" s="303" t="str">
        <f t="shared" si="51"/>
        <v/>
      </c>
      <c r="AP23" s="303" t="str">
        <f t="shared" si="51"/>
        <v/>
      </c>
      <c r="AQ23" s="303" t="str">
        <f t="shared" si="51"/>
        <v/>
      </c>
      <c r="AR23" s="303" t="str">
        <f t="shared" si="51"/>
        <v/>
      </c>
      <c r="AS23" s="303" t="str">
        <f t="shared" si="51"/>
        <v/>
      </c>
      <c r="AT23" s="303" t="str">
        <f t="shared" si="51"/>
        <v/>
      </c>
      <c r="AU23" s="303" t="str">
        <f t="shared" si="51"/>
        <v/>
      </c>
      <c r="AV23" s="303" t="str">
        <f t="shared" si="51"/>
        <v/>
      </c>
      <c r="AW23" s="303" t="str">
        <f t="shared" si="51"/>
        <v/>
      </c>
      <c r="AX23" s="303" t="str">
        <f t="shared" si="51"/>
        <v/>
      </c>
      <c r="AY23" s="303" t="str">
        <f t="shared" si="51"/>
        <v/>
      </c>
      <c r="AZ23" s="303" t="str">
        <f t="shared" si="51"/>
        <v/>
      </c>
      <c r="BA23" s="303" t="str">
        <f t="shared" si="51"/>
        <v/>
      </c>
      <c r="BB23" s="303" t="str">
        <f t="shared" si="51"/>
        <v/>
      </c>
      <c r="BC23" s="303" t="str">
        <f t="shared" si="51"/>
        <v/>
      </c>
      <c r="BD23" s="303" t="str">
        <f t="shared" si="51"/>
        <v/>
      </c>
      <c r="BE23" s="303" t="str">
        <f t="shared" si="51"/>
        <v/>
      </c>
      <c r="BF23" s="303" t="str">
        <f t="shared" si="51"/>
        <v/>
      </c>
      <c r="BG23" s="303" t="str">
        <f t="shared" si="51"/>
        <v/>
      </c>
      <c r="BH23" s="303" t="str">
        <f t="shared" si="51"/>
        <v/>
      </c>
      <c r="BI23" s="303" t="str">
        <f t="shared" si="51"/>
        <v/>
      </c>
      <c r="BJ23" s="303" t="str">
        <f t="shared" si="51"/>
        <v/>
      </c>
      <c r="BK23" s="303" t="str">
        <f t="shared" si="51"/>
        <v/>
      </c>
      <c r="BL23" s="303" t="str">
        <f t="shared" si="51"/>
        <v/>
      </c>
      <c r="BM23" s="303" t="str">
        <f t="shared" si="51"/>
        <v/>
      </c>
      <c r="BN23" s="303" t="str">
        <f t="shared" ref="BN23:BZ23" si="52">IF(BN$2="-","",(IF(BN184="","",IF(BN$4&lt;$A23,BN184,(BN184-BN$3)/(1+BN$3%)))))</f>
        <v/>
      </c>
      <c r="BO23" s="303" t="str">
        <f t="shared" si="52"/>
        <v/>
      </c>
      <c r="BP23" s="303" t="str">
        <f t="shared" si="52"/>
        <v/>
      </c>
      <c r="BQ23" s="303" t="str">
        <f t="shared" si="52"/>
        <v/>
      </c>
      <c r="BR23" s="303" t="str">
        <f t="shared" si="52"/>
        <v/>
      </c>
      <c r="BS23" s="303" t="str">
        <f t="shared" si="52"/>
        <v/>
      </c>
      <c r="BT23" s="303" t="str">
        <f t="shared" si="52"/>
        <v/>
      </c>
      <c r="BU23" s="303" t="str">
        <f t="shared" si="52"/>
        <v/>
      </c>
      <c r="BV23" s="303" t="str">
        <f t="shared" si="52"/>
        <v/>
      </c>
      <c r="BW23" s="303" t="str">
        <f t="shared" si="52"/>
        <v/>
      </c>
      <c r="BX23" s="303">
        <f t="shared" si="52"/>
        <v>11.538461538461542</v>
      </c>
      <c r="BY23" s="303">
        <f t="shared" si="52"/>
        <v>-0.3857997807954705</v>
      </c>
      <c r="BZ23" s="303">
        <f t="shared" si="52"/>
        <v>4.26</v>
      </c>
      <c r="CA23" s="303">
        <f t="shared" si="10"/>
        <v>0</v>
      </c>
    </row>
    <row r="24" spans="1:79">
      <c r="A24" s="58">
        <f t="shared" si="6"/>
        <v>1887</v>
      </c>
      <c r="B24" s="303">
        <f t="shared" ref="B24:AG24" si="53">IF(B$2="-","",(IF(B185="","",IF(B$4&lt;$A24,B185,(B185-B$3)/(1+B$3%)))))</f>
        <v>-0.5275261446222459</v>
      </c>
      <c r="C24" s="303" t="str">
        <f t="shared" si="53"/>
        <v/>
      </c>
      <c r="D24" s="303">
        <f t="shared" si="53"/>
        <v>-0.5275261446222459</v>
      </c>
      <c r="E24" s="303" t="str">
        <f t="shared" si="53"/>
        <v/>
      </c>
      <c r="F24" s="303" t="str">
        <f t="shared" si="53"/>
        <v/>
      </c>
      <c r="G24" s="303" t="str">
        <f t="shared" si="53"/>
        <v/>
      </c>
      <c r="H24" s="303" t="str">
        <f t="shared" si="53"/>
        <v/>
      </c>
      <c r="I24" s="303" t="str">
        <f t="shared" si="53"/>
        <v/>
      </c>
      <c r="J24" s="303" t="str">
        <f t="shared" si="53"/>
        <v/>
      </c>
      <c r="K24" s="303" t="str">
        <f t="shared" si="53"/>
        <v/>
      </c>
      <c r="L24" s="303" t="str">
        <f t="shared" si="53"/>
        <v/>
      </c>
      <c r="M24" s="303" t="str">
        <f t="shared" si="53"/>
        <v/>
      </c>
      <c r="N24" s="303" t="str">
        <f t="shared" si="53"/>
        <v/>
      </c>
      <c r="O24" s="303" t="str">
        <f t="shared" si="53"/>
        <v/>
      </c>
      <c r="P24" s="303" t="str">
        <f t="shared" si="53"/>
        <v/>
      </c>
      <c r="Q24" s="303" t="str">
        <f t="shared" si="53"/>
        <v/>
      </c>
      <c r="R24" s="303" t="str">
        <f t="shared" si="53"/>
        <v/>
      </c>
      <c r="S24" s="303" t="str">
        <f t="shared" si="53"/>
        <v/>
      </c>
      <c r="T24" s="303">
        <f t="shared" si="53"/>
        <v>4.626053370904093</v>
      </c>
      <c r="U24" s="303">
        <f t="shared" si="53"/>
        <v>4.626053370904093</v>
      </c>
      <c r="V24" s="303">
        <f t="shared" si="53"/>
        <v>6.014586871815367</v>
      </c>
      <c r="W24" s="303" t="str">
        <f t="shared" si="53"/>
        <v/>
      </c>
      <c r="X24" s="303" t="str">
        <f t="shared" si="53"/>
        <v/>
      </c>
      <c r="Y24" s="303" t="str">
        <f t="shared" si="53"/>
        <v/>
      </c>
      <c r="Z24" s="303" t="str">
        <f t="shared" si="53"/>
        <v/>
      </c>
      <c r="AA24" s="303" t="str">
        <f t="shared" si="53"/>
        <v/>
      </c>
      <c r="AB24" s="303" t="str">
        <f t="shared" si="53"/>
        <v/>
      </c>
      <c r="AC24" s="303" t="str">
        <f t="shared" si="53"/>
        <v/>
      </c>
      <c r="AD24" s="303" t="str">
        <f t="shared" si="53"/>
        <v/>
      </c>
      <c r="AE24" s="303" t="str">
        <f t="shared" si="53"/>
        <v/>
      </c>
      <c r="AF24" s="303" t="str">
        <f t="shared" si="53"/>
        <v/>
      </c>
      <c r="AG24" s="303" t="str">
        <f t="shared" si="53"/>
        <v/>
      </c>
      <c r="AH24" s="303" t="str">
        <f t="shared" ref="AH24:BM24" si="54">IF(AH$2="-","",(IF(AH185="","",IF(AH$4&lt;$A24,AH185,(AH185-AH$3)/(1+AH$3%)))))</f>
        <v/>
      </c>
      <c r="AI24" s="303" t="str">
        <f t="shared" si="54"/>
        <v/>
      </c>
      <c r="AJ24" s="303" t="str">
        <f t="shared" si="54"/>
        <v/>
      </c>
      <c r="AK24" s="303" t="str">
        <f t="shared" si="54"/>
        <v/>
      </c>
      <c r="AL24" s="303" t="str">
        <f t="shared" si="54"/>
        <v/>
      </c>
      <c r="AM24" s="303" t="str">
        <f t="shared" si="54"/>
        <v/>
      </c>
      <c r="AN24" s="303" t="str">
        <f t="shared" si="54"/>
        <v/>
      </c>
      <c r="AO24" s="303" t="str">
        <f t="shared" si="54"/>
        <v/>
      </c>
      <c r="AP24" s="303" t="str">
        <f t="shared" si="54"/>
        <v/>
      </c>
      <c r="AQ24" s="303" t="str">
        <f t="shared" si="54"/>
        <v/>
      </c>
      <c r="AR24" s="303" t="str">
        <f t="shared" si="54"/>
        <v/>
      </c>
      <c r="AS24" s="303" t="str">
        <f t="shared" si="54"/>
        <v/>
      </c>
      <c r="AT24" s="303" t="str">
        <f t="shared" si="54"/>
        <v/>
      </c>
      <c r="AU24" s="303" t="str">
        <f t="shared" si="54"/>
        <v/>
      </c>
      <c r="AV24" s="303" t="str">
        <f t="shared" si="54"/>
        <v/>
      </c>
      <c r="AW24" s="303" t="str">
        <f t="shared" si="54"/>
        <v/>
      </c>
      <c r="AX24" s="303" t="str">
        <f t="shared" si="54"/>
        <v/>
      </c>
      <c r="AY24" s="303" t="str">
        <f t="shared" si="54"/>
        <v/>
      </c>
      <c r="AZ24" s="303" t="str">
        <f t="shared" si="54"/>
        <v/>
      </c>
      <c r="BA24" s="303" t="str">
        <f t="shared" si="54"/>
        <v/>
      </c>
      <c r="BB24" s="303" t="str">
        <f t="shared" si="54"/>
        <v/>
      </c>
      <c r="BC24" s="303" t="str">
        <f t="shared" si="54"/>
        <v/>
      </c>
      <c r="BD24" s="303" t="str">
        <f t="shared" si="54"/>
        <v/>
      </c>
      <c r="BE24" s="303" t="str">
        <f t="shared" si="54"/>
        <v/>
      </c>
      <c r="BF24" s="303" t="str">
        <f t="shared" si="54"/>
        <v/>
      </c>
      <c r="BG24" s="303" t="str">
        <f t="shared" si="54"/>
        <v/>
      </c>
      <c r="BH24" s="303" t="str">
        <f t="shared" si="54"/>
        <v/>
      </c>
      <c r="BI24" s="303" t="str">
        <f t="shared" si="54"/>
        <v/>
      </c>
      <c r="BJ24" s="303" t="str">
        <f t="shared" si="54"/>
        <v/>
      </c>
      <c r="BK24" s="303" t="str">
        <f t="shared" si="54"/>
        <v/>
      </c>
      <c r="BL24" s="303" t="str">
        <f t="shared" si="54"/>
        <v/>
      </c>
      <c r="BM24" s="303" t="str">
        <f t="shared" si="54"/>
        <v/>
      </c>
      <c r="BN24" s="303" t="str">
        <f t="shared" ref="BN24:BZ24" si="55">IF(BN$2="-","",(IF(BN185="","",IF(BN$4&lt;$A24,BN185,(BN185-BN$3)/(1+BN$3%)))))</f>
        <v/>
      </c>
      <c r="BO24" s="303" t="str">
        <f t="shared" si="55"/>
        <v/>
      </c>
      <c r="BP24" s="303" t="str">
        <f t="shared" si="55"/>
        <v/>
      </c>
      <c r="BQ24" s="303" t="str">
        <f t="shared" si="55"/>
        <v/>
      </c>
      <c r="BR24" s="303" t="str">
        <f t="shared" si="55"/>
        <v/>
      </c>
      <c r="BS24" s="303" t="str">
        <f t="shared" si="55"/>
        <v/>
      </c>
      <c r="BT24" s="303" t="str">
        <f t="shared" si="55"/>
        <v/>
      </c>
      <c r="BU24" s="303" t="str">
        <f t="shared" si="55"/>
        <v/>
      </c>
      <c r="BV24" s="303" t="str">
        <f t="shared" si="55"/>
        <v/>
      </c>
      <c r="BW24" s="303" t="str">
        <f t="shared" si="55"/>
        <v/>
      </c>
      <c r="BX24" s="303">
        <f t="shared" si="55"/>
        <v>-0.35842293906810374</v>
      </c>
      <c r="BY24" s="303">
        <f t="shared" si="55"/>
        <v>4.8353054776459015</v>
      </c>
      <c r="BZ24" s="303">
        <f t="shared" si="55"/>
        <v>6.11</v>
      </c>
      <c r="CA24" s="303">
        <f t="shared" si="10"/>
        <v>4.7622803647056289</v>
      </c>
    </row>
    <row r="25" spans="1:79">
      <c r="A25" s="58">
        <f t="shared" si="6"/>
        <v>1888</v>
      </c>
      <c r="B25" s="303">
        <f t="shared" ref="B25:AG25" si="56">IF(B$2="-","",(IF(B186="","",IF(B$4&lt;$A25,B186,(B186-B$3)/(1+B$3%)))))</f>
        <v>2.8383574665065714</v>
      </c>
      <c r="C25" s="303" t="str">
        <f t="shared" si="56"/>
        <v/>
      </c>
      <c r="D25" s="303">
        <f t="shared" si="56"/>
        <v>2.8383574665065714</v>
      </c>
      <c r="E25" s="303" t="str">
        <f t="shared" si="56"/>
        <v/>
      </c>
      <c r="F25" s="303" t="str">
        <f t="shared" si="56"/>
        <v/>
      </c>
      <c r="G25" s="303" t="str">
        <f t="shared" si="56"/>
        <v/>
      </c>
      <c r="H25" s="303" t="str">
        <f t="shared" si="56"/>
        <v/>
      </c>
      <c r="I25" s="303" t="str">
        <f t="shared" si="56"/>
        <v/>
      </c>
      <c r="J25" s="303" t="str">
        <f t="shared" si="56"/>
        <v/>
      </c>
      <c r="K25" s="303" t="str">
        <f t="shared" si="56"/>
        <v/>
      </c>
      <c r="L25" s="303" t="str">
        <f t="shared" si="56"/>
        <v/>
      </c>
      <c r="M25" s="303" t="str">
        <f t="shared" si="56"/>
        <v/>
      </c>
      <c r="N25" s="303" t="str">
        <f t="shared" si="56"/>
        <v/>
      </c>
      <c r="O25" s="303" t="str">
        <f t="shared" si="56"/>
        <v/>
      </c>
      <c r="P25" s="303" t="str">
        <f t="shared" si="56"/>
        <v/>
      </c>
      <c r="Q25" s="303" t="str">
        <f t="shared" si="56"/>
        <v/>
      </c>
      <c r="R25" s="303" t="str">
        <f t="shared" si="56"/>
        <v/>
      </c>
      <c r="S25" s="303" t="str">
        <f t="shared" si="56"/>
        <v/>
      </c>
      <c r="T25" s="303">
        <f t="shared" si="56"/>
        <v>4.5667154404819446</v>
      </c>
      <c r="U25" s="303">
        <f t="shared" si="56"/>
        <v>4.5667154404819446</v>
      </c>
      <c r="V25" s="303">
        <f t="shared" si="56"/>
        <v>4.925566989709262</v>
      </c>
      <c r="W25" s="303" t="str">
        <f t="shared" si="56"/>
        <v/>
      </c>
      <c r="X25" s="303" t="str">
        <f t="shared" si="56"/>
        <v/>
      </c>
      <c r="Y25" s="303" t="str">
        <f t="shared" si="56"/>
        <v/>
      </c>
      <c r="Z25" s="303" t="str">
        <f t="shared" si="56"/>
        <v/>
      </c>
      <c r="AA25" s="303" t="str">
        <f t="shared" si="56"/>
        <v/>
      </c>
      <c r="AB25" s="303" t="str">
        <f t="shared" si="56"/>
        <v/>
      </c>
      <c r="AC25" s="303" t="str">
        <f t="shared" si="56"/>
        <v/>
      </c>
      <c r="AD25" s="303" t="str">
        <f t="shared" si="56"/>
        <v/>
      </c>
      <c r="AE25" s="303" t="str">
        <f t="shared" si="56"/>
        <v/>
      </c>
      <c r="AF25" s="303" t="str">
        <f t="shared" si="56"/>
        <v/>
      </c>
      <c r="AG25" s="303" t="str">
        <f t="shared" si="56"/>
        <v/>
      </c>
      <c r="AH25" s="303" t="str">
        <f t="shared" ref="AH25:BM25" si="57">IF(AH$2="-","",(IF(AH186="","",IF(AH$4&lt;$A25,AH186,(AH186-AH$3)/(1+AH$3%)))))</f>
        <v/>
      </c>
      <c r="AI25" s="303" t="str">
        <f t="shared" si="57"/>
        <v/>
      </c>
      <c r="AJ25" s="303" t="str">
        <f t="shared" si="57"/>
        <v/>
      </c>
      <c r="AK25" s="303" t="str">
        <f t="shared" si="57"/>
        <v/>
      </c>
      <c r="AL25" s="303" t="str">
        <f t="shared" si="57"/>
        <v/>
      </c>
      <c r="AM25" s="303" t="str">
        <f t="shared" si="57"/>
        <v/>
      </c>
      <c r="AN25" s="303" t="str">
        <f t="shared" si="57"/>
        <v/>
      </c>
      <c r="AO25" s="303" t="str">
        <f t="shared" si="57"/>
        <v/>
      </c>
      <c r="AP25" s="303" t="str">
        <f t="shared" si="57"/>
        <v/>
      </c>
      <c r="AQ25" s="303" t="str">
        <f t="shared" si="57"/>
        <v/>
      </c>
      <c r="AR25" s="303" t="str">
        <f t="shared" si="57"/>
        <v/>
      </c>
      <c r="AS25" s="303" t="str">
        <f t="shared" si="57"/>
        <v/>
      </c>
      <c r="AT25" s="303" t="str">
        <f t="shared" si="57"/>
        <v/>
      </c>
      <c r="AU25" s="303" t="str">
        <f t="shared" si="57"/>
        <v/>
      </c>
      <c r="AV25" s="303" t="str">
        <f t="shared" si="57"/>
        <v/>
      </c>
      <c r="AW25" s="303" t="str">
        <f t="shared" si="57"/>
        <v/>
      </c>
      <c r="AX25" s="303" t="str">
        <f t="shared" si="57"/>
        <v/>
      </c>
      <c r="AY25" s="303" t="str">
        <f t="shared" si="57"/>
        <v/>
      </c>
      <c r="AZ25" s="303" t="str">
        <f t="shared" si="57"/>
        <v/>
      </c>
      <c r="BA25" s="303" t="str">
        <f t="shared" si="57"/>
        <v/>
      </c>
      <c r="BB25" s="303" t="str">
        <f t="shared" si="57"/>
        <v/>
      </c>
      <c r="BC25" s="303" t="str">
        <f t="shared" si="57"/>
        <v/>
      </c>
      <c r="BD25" s="303" t="str">
        <f t="shared" si="57"/>
        <v/>
      </c>
      <c r="BE25" s="303" t="str">
        <f t="shared" si="57"/>
        <v/>
      </c>
      <c r="BF25" s="303" t="str">
        <f t="shared" si="57"/>
        <v/>
      </c>
      <c r="BG25" s="303" t="str">
        <f t="shared" si="57"/>
        <v/>
      </c>
      <c r="BH25" s="303" t="str">
        <f t="shared" si="57"/>
        <v/>
      </c>
      <c r="BI25" s="303" t="str">
        <f t="shared" si="57"/>
        <v/>
      </c>
      <c r="BJ25" s="303" t="str">
        <f t="shared" si="57"/>
        <v/>
      </c>
      <c r="BK25" s="303" t="str">
        <f t="shared" si="57"/>
        <v/>
      </c>
      <c r="BL25" s="303" t="str">
        <f t="shared" si="57"/>
        <v/>
      </c>
      <c r="BM25" s="303" t="str">
        <f t="shared" si="57"/>
        <v/>
      </c>
      <c r="BN25" s="303" t="str">
        <f t="shared" ref="BN25:BZ25" si="58">IF(BN$2="-","",(IF(BN186="","",IF(BN$4&lt;$A25,BN186,(BN186-BN$3)/(1+BN$3%)))))</f>
        <v/>
      </c>
      <c r="BO25" s="303" t="str">
        <f t="shared" si="58"/>
        <v/>
      </c>
      <c r="BP25" s="303" t="str">
        <f t="shared" si="58"/>
        <v/>
      </c>
      <c r="BQ25" s="303" t="str">
        <f t="shared" si="58"/>
        <v/>
      </c>
      <c r="BR25" s="303" t="str">
        <f t="shared" si="58"/>
        <v/>
      </c>
      <c r="BS25" s="303" t="str">
        <f t="shared" si="58"/>
        <v/>
      </c>
      <c r="BT25" s="303" t="str">
        <f t="shared" si="58"/>
        <v/>
      </c>
      <c r="BU25" s="303" t="str">
        <f t="shared" si="58"/>
        <v/>
      </c>
      <c r="BV25" s="303" t="str">
        <f t="shared" si="58"/>
        <v/>
      </c>
      <c r="BW25" s="303" t="str">
        <f t="shared" si="58"/>
        <v/>
      </c>
      <c r="BX25" s="303">
        <f t="shared" si="58"/>
        <v>3.0131826741996326</v>
      </c>
      <c r="BY25" s="303">
        <f t="shared" si="58"/>
        <v>4.7758488713629088</v>
      </c>
      <c r="BZ25" s="303">
        <f t="shared" si="58"/>
        <v>5.0199999999999996</v>
      </c>
      <c r="CA25" s="303">
        <f t="shared" si="10"/>
        <v>-4.545796777358091</v>
      </c>
    </row>
    <row r="26" spans="1:79">
      <c r="A26" s="58">
        <f t="shared" si="6"/>
        <v>1889</v>
      </c>
      <c r="B26" s="303">
        <f t="shared" ref="B26:AG26" si="59">IF(B$2="-","",(IF(B187="","",IF(B$4&lt;$A26,B187,(B187-B$3)/(1+B$3%)))))</f>
        <v>6.6888579491200613</v>
      </c>
      <c r="C26" s="303" t="str">
        <f t="shared" si="59"/>
        <v/>
      </c>
      <c r="D26" s="303">
        <f t="shared" si="59"/>
        <v>6.6888579491200613</v>
      </c>
      <c r="E26" s="303" t="str">
        <f t="shared" si="59"/>
        <v/>
      </c>
      <c r="F26" s="303" t="str">
        <f t="shared" si="59"/>
        <v/>
      </c>
      <c r="G26" s="303" t="str">
        <f t="shared" si="59"/>
        <v/>
      </c>
      <c r="H26" s="303" t="str">
        <f t="shared" si="59"/>
        <v/>
      </c>
      <c r="I26" s="303" t="str">
        <f t="shared" si="59"/>
        <v/>
      </c>
      <c r="J26" s="303" t="str">
        <f t="shared" si="59"/>
        <v/>
      </c>
      <c r="K26" s="303" t="str">
        <f t="shared" si="59"/>
        <v/>
      </c>
      <c r="L26" s="303" t="str">
        <f t="shared" si="59"/>
        <v/>
      </c>
      <c r="M26" s="303" t="str">
        <f t="shared" si="59"/>
        <v/>
      </c>
      <c r="N26" s="303" t="str">
        <f t="shared" si="59"/>
        <v/>
      </c>
      <c r="O26" s="303" t="str">
        <f t="shared" si="59"/>
        <v/>
      </c>
      <c r="P26" s="303" t="str">
        <f t="shared" si="59"/>
        <v/>
      </c>
      <c r="Q26" s="303" t="str">
        <f t="shared" si="59"/>
        <v/>
      </c>
      <c r="R26" s="303" t="str">
        <f t="shared" si="59"/>
        <v/>
      </c>
      <c r="S26" s="303" t="str">
        <f t="shared" si="59"/>
        <v/>
      </c>
      <c r="T26" s="303">
        <f t="shared" si="59"/>
        <v>1.9008958126126787</v>
      </c>
      <c r="U26" s="303">
        <f t="shared" si="59"/>
        <v>1.9008958126126787</v>
      </c>
      <c r="V26" s="303">
        <f t="shared" si="59"/>
        <v>4.5858727145568992</v>
      </c>
      <c r="W26" s="303" t="str">
        <f t="shared" si="59"/>
        <v/>
      </c>
      <c r="X26" s="303" t="str">
        <f t="shared" si="59"/>
        <v/>
      </c>
      <c r="Y26" s="303" t="str">
        <f t="shared" si="59"/>
        <v/>
      </c>
      <c r="Z26" s="303" t="str">
        <f t="shared" si="59"/>
        <v/>
      </c>
      <c r="AA26" s="303" t="str">
        <f t="shared" si="59"/>
        <v/>
      </c>
      <c r="AB26" s="303" t="str">
        <f t="shared" si="59"/>
        <v/>
      </c>
      <c r="AC26" s="303" t="str">
        <f t="shared" si="59"/>
        <v/>
      </c>
      <c r="AD26" s="303" t="str">
        <f t="shared" si="59"/>
        <v/>
      </c>
      <c r="AE26" s="303" t="str">
        <f t="shared" si="59"/>
        <v/>
      </c>
      <c r="AF26" s="303" t="str">
        <f t="shared" si="59"/>
        <v/>
      </c>
      <c r="AG26" s="303" t="str">
        <f t="shared" si="59"/>
        <v/>
      </c>
      <c r="AH26" s="303" t="str">
        <f t="shared" ref="AH26:BM26" si="60">IF(AH$2="-","",(IF(AH187="","",IF(AH$4&lt;$A26,AH187,(AH187-AH$3)/(1+AH$3%)))))</f>
        <v/>
      </c>
      <c r="AI26" s="303" t="str">
        <f t="shared" si="60"/>
        <v/>
      </c>
      <c r="AJ26" s="303" t="str">
        <f t="shared" si="60"/>
        <v/>
      </c>
      <c r="AK26" s="303" t="str">
        <f t="shared" si="60"/>
        <v/>
      </c>
      <c r="AL26" s="303" t="str">
        <f t="shared" si="60"/>
        <v/>
      </c>
      <c r="AM26" s="303" t="str">
        <f t="shared" si="60"/>
        <v/>
      </c>
      <c r="AN26" s="303" t="str">
        <f t="shared" si="60"/>
        <v/>
      </c>
      <c r="AO26" s="303" t="str">
        <f t="shared" si="60"/>
        <v/>
      </c>
      <c r="AP26" s="303" t="str">
        <f t="shared" si="60"/>
        <v/>
      </c>
      <c r="AQ26" s="303" t="str">
        <f t="shared" si="60"/>
        <v/>
      </c>
      <c r="AR26" s="303" t="str">
        <f t="shared" si="60"/>
        <v/>
      </c>
      <c r="AS26" s="303" t="str">
        <f t="shared" si="60"/>
        <v/>
      </c>
      <c r="AT26" s="303" t="str">
        <f t="shared" si="60"/>
        <v/>
      </c>
      <c r="AU26" s="303" t="str">
        <f t="shared" si="60"/>
        <v/>
      </c>
      <c r="AV26" s="303" t="str">
        <f t="shared" si="60"/>
        <v/>
      </c>
      <c r="AW26" s="303" t="str">
        <f t="shared" si="60"/>
        <v/>
      </c>
      <c r="AX26" s="303" t="str">
        <f t="shared" si="60"/>
        <v/>
      </c>
      <c r="AY26" s="303" t="str">
        <f t="shared" si="60"/>
        <v/>
      </c>
      <c r="AZ26" s="303" t="str">
        <f t="shared" si="60"/>
        <v/>
      </c>
      <c r="BA26" s="303" t="str">
        <f t="shared" si="60"/>
        <v/>
      </c>
      <c r="BB26" s="303" t="str">
        <f t="shared" si="60"/>
        <v/>
      </c>
      <c r="BC26" s="303" t="str">
        <f t="shared" si="60"/>
        <v/>
      </c>
      <c r="BD26" s="303" t="str">
        <f t="shared" si="60"/>
        <v/>
      </c>
      <c r="BE26" s="303" t="str">
        <f t="shared" si="60"/>
        <v/>
      </c>
      <c r="BF26" s="303" t="str">
        <f t="shared" si="60"/>
        <v/>
      </c>
      <c r="BG26" s="303" t="str">
        <f t="shared" si="60"/>
        <v/>
      </c>
      <c r="BH26" s="303" t="str">
        <f t="shared" si="60"/>
        <v/>
      </c>
      <c r="BI26" s="303" t="str">
        <f t="shared" si="60"/>
        <v/>
      </c>
      <c r="BJ26" s="303" t="str">
        <f t="shared" si="60"/>
        <v/>
      </c>
      <c r="BK26" s="303" t="str">
        <f t="shared" si="60"/>
        <v/>
      </c>
      <c r="BL26" s="303" t="str">
        <f t="shared" si="60"/>
        <v/>
      </c>
      <c r="BM26" s="303" t="str">
        <f t="shared" si="60"/>
        <v/>
      </c>
      <c r="BN26" s="303" t="str">
        <f t="shared" ref="BN26:BZ26" si="61">IF(BN$2="-","",(IF(BN187="","",IF(BN$4&lt;$A26,BN187,(BN187-BN$3)/(1+BN$3%)))))</f>
        <v/>
      </c>
      <c r="BO26" s="303" t="str">
        <f t="shared" si="61"/>
        <v/>
      </c>
      <c r="BP26" s="303" t="str">
        <f t="shared" si="61"/>
        <v/>
      </c>
      <c r="BQ26" s="303" t="str">
        <f t="shared" si="61"/>
        <v/>
      </c>
      <c r="BR26" s="303" t="str">
        <f t="shared" si="61"/>
        <v/>
      </c>
      <c r="BS26" s="303" t="str">
        <f t="shared" si="61"/>
        <v/>
      </c>
      <c r="BT26" s="303" t="str">
        <f t="shared" si="61"/>
        <v/>
      </c>
      <c r="BU26" s="303" t="str">
        <f t="shared" si="61"/>
        <v/>
      </c>
      <c r="BV26" s="303" t="str">
        <f t="shared" si="61"/>
        <v/>
      </c>
      <c r="BW26" s="303" t="str">
        <f t="shared" si="61"/>
        <v/>
      </c>
      <c r="BX26" s="303">
        <f t="shared" si="61"/>
        <v>6.8702290076335659</v>
      </c>
      <c r="BY26" s="303">
        <f t="shared" si="61"/>
        <v>2.104697604237904</v>
      </c>
      <c r="BZ26" s="303">
        <f t="shared" si="61"/>
        <v>4.68</v>
      </c>
      <c r="CA26" s="303">
        <f t="shared" si="10"/>
        <v>-4.7618762222883859</v>
      </c>
    </row>
    <row r="27" spans="1:79">
      <c r="A27" s="58">
        <f t="shared" si="6"/>
        <v>1890</v>
      </c>
      <c r="B27" s="303">
        <f t="shared" ref="B27:AG27" si="62">IF(B$2="-","",(IF(B188="","",IF(B$4&lt;$A27,B188,(B188-B$3)/(1+B$3%)))))</f>
        <v>-6.1075725170555861</v>
      </c>
      <c r="C27" s="303" t="str">
        <f t="shared" si="62"/>
        <v/>
      </c>
      <c r="D27" s="303">
        <f t="shared" si="62"/>
        <v>-6.1075725170555861</v>
      </c>
      <c r="E27" s="303" t="str">
        <f t="shared" si="62"/>
        <v/>
      </c>
      <c r="F27" s="303" t="str">
        <f t="shared" si="62"/>
        <v/>
      </c>
      <c r="G27" s="303" t="str">
        <f t="shared" si="62"/>
        <v/>
      </c>
      <c r="H27" s="303" t="str">
        <f t="shared" si="62"/>
        <v/>
      </c>
      <c r="I27" s="303" t="str">
        <f t="shared" si="62"/>
        <v/>
      </c>
      <c r="J27" s="303" t="str">
        <f t="shared" si="62"/>
        <v/>
      </c>
      <c r="K27" s="303" t="str">
        <f t="shared" si="62"/>
        <v/>
      </c>
      <c r="L27" s="303" t="str">
        <f t="shared" si="62"/>
        <v/>
      </c>
      <c r="M27" s="303" t="str">
        <f t="shared" si="62"/>
        <v/>
      </c>
      <c r="N27" s="303" t="str">
        <f t="shared" si="62"/>
        <v/>
      </c>
      <c r="O27" s="303" t="str">
        <f t="shared" si="62"/>
        <v/>
      </c>
      <c r="P27" s="303" t="str">
        <f t="shared" si="62"/>
        <v/>
      </c>
      <c r="Q27" s="303" t="str">
        <f t="shared" si="62"/>
        <v/>
      </c>
      <c r="R27" s="303" t="str">
        <f t="shared" si="62"/>
        <v/>
      </c>
      <c r="S27" s="303" t="str">
        <f t="shared" si="62"/>
        <v/>
      </c>
      <c r="T27" s="303">
        <f t="shared" si="62"/>
        <v>1.4863792117282415</v>
      </c>
      <c r="U27" s="303">
        <f t="shared" si="62"/>
        <v>1.4863792117282415</v>
      </c>
      <c r="V27" s="303">
        <f t="shared" si="62"/>
        <v>5.3152163053252082</v>
      </c>
      <c r="W27" s="303" t="str">
        <f t="shared" si="62"/>
        <v/>
      </c>
      <c r="X27" s="303" t="str">
        <f t="shared" si="62"/>
        <v/>
      </c>
      <c r="Y27" s="303" t="str">
        <f t="shared" si="62"/>
        <v/>
      </c>
      <c r="Z27" s="303" t="str">
        <f t="shared" si="62"/>
        <v/>
      </c>
      <c r="AA27" s="303" t="str">
        <f t="shared" si="62"/>
        <v/>
      </c>
      <c r="AB27" s="303" t="str">
        <f t="shared" si="62"/>
        <v/>
      </c>
      <c r="AC27" s="303" t="str">
        <f t="shared" si="62"/>
        <v/>
      </c>
      <c r="AD27" s="303" t="str">
        <f t="shared" si="62"/>
        <v/>
      </c>
      <c r="AE27" s="303" t="str">
        <f t="shared" si="62"/>
        <v/>
      </c>
      <c r="AF27" s="303" t="str">
        <f t="shared" si="62"/>
        <v/>
      </c>
      <c r="AG27" s="303" t="str">
        <f t="shared" si="62"/>
        <v/>
      </c>
      <c r="AH27" s="303" t="str">
        <f t="shared" ref="AH27:BM27" si="63">IF(AH$2="-","",(IF(AH188="","",IF(AH$4&lt;$A27,AH188,(AH188-AH$3)/(1+AH$3%)))))</f>
        <v/>
      </c>
      <c r="AI27" s="303" t="str">
        <f t="shared" si="63"/>
        <v/>
      </c>
      <c r="AJ27" s="303" t="str">
        <f t="shared" si="63"/>
        <v/>
      </c>
      <c r="AK27" s="303" t="str">
        <f t="shared" si="63"/>
        <v/>
      </c>
      <c r="AL27" s="303" t="str">
        <f t="shared" si="63"/>
        <v/>
      </c>
      <c r="AM27" s="303" t="str">
        <f t="shared" si="63"/>
        <v/>
      </c>
      <c r="AN27" s="303" t="str">
        <f t="shared" si="63"/>
        <v/>
      </c>
      <c r="AO27" s="303" t="str">
        <f t="shared" si="63"/>
        <v/>
      </c>
      <c r="AP27" s="303" t="str">
        <f t="shared" si="63"/>
        <v/>
      </c>
      <c r="AQ27" s="303" t="str">
        <f t="shared" si="63"/>
        <v/>
      </c>
      <c r="AR27" s="303" t="str">
        <f t="shared" si="63"/>
        <v/>
      </c>
      <c r="AS27" s="303" t="str">
        <f t="shared" si="63"/>
        <v/>
      </c>
      <c r="AT27" s="303" t="str">
        <f t="shared" si="63"/>
        <v/>
      </c>
      <c r="AU27" s="303" t="str">
        <f t="shared" si="63"/>
        <v/>
      </c>
      <c r="AV27" s="303" t="str">
        <f t="shared" si="63"/>
        <v/>
      </c>
      <c r="AW27" s="303" t="str">
        <f t="shared" si="63"/>
        <v/>
      </c>
      <c r="AX27" s="303" t="str">
        <f t="shared" si="63"/>
        <v/>
      </c>
      <c r="AY27" s="303" t="str">
        <f t="shared" si="63"/>
        <v/>
      </c>
      <c r="AZ27" s="303" t="str">
        <f t="shared" si="63"/>
        <v/>
      </c>
      <c r="BA27" s="303" t="str">
        <f t="shared" si="63"/>
        <v/>
      </c>
      <c r="BB27" s="303" t="str">
        <f t="shared" si="63"/>
        <v/>
      </c>
      <c r="BC27" s="303" t="str">
        <f t="shared" si="63"/>
        <v/>
      </c>
      <c r="BD27" s="303" t="str">
        <f t="shared" si="63"/>
        <v/>
      </c>
      <c r="BE27" s="303" t="str">
        <f t="shared" si="63"/>
        <v/>
      </c>
      <c r="BF27" s="303" t="str">
        <f t="shared" si="63"/>
        <v/>
      </c>
      <c r="BG27" s="303" t="str">
        <f t="shared" si="63"/>
        <v/>
      </c>
      <c r="BH27" s="303" t="str">
        <f t="shared" si="63"/>
        <v/>
      </c>
      <c r="BI27" s="303" t="str">
        <f t="shared" si="63"/>
        <v/>
      </c>
      <c r="BJ27" s="303" t="str">
        <f t="shared" si="63"/>
        <v/>
      </c>
      <c r="BK27" s="303" t="str">
        <f t="shared" si="63"/>
        <v/>
      </c>
      <c r="BL27" s="303" t="str">
        <f t="shared" si="63"/>
        <v/>
      </c>
      <c r="BM27" s="303" t="str">
        <f t="shared" si="63"/>
        <v/>
      </c>
      <c r="BN27" s="303" t="str">
        <f t="shared" ref="BN27:BZ27" si="64">IF(BN$2="-","",(IF(BN188="","",IF(BN$4&lt;$A27,BN188,(BN188-BN$3)/(1+BN$3%)))))</f>
        <v/>
      </c>
      <c r="BO27" s="303" t="str">
        <f t="shared" si="64"/>
        <v/>
      </c>
      <c r="BP27" s="303" t="str">
        <f t="shared" si="64"/>
        <v/>
      </c>
      <c r="BQ27" s="303" t="str">
        <f t="shared" si="64"/>
        <v/>
      </c>
      <c r="BR27" s="303" t="str">
        <f t="shared" si="64"/>
        <v/>
      </c>
      <c r="BS27" s="303" t="str">
        <f t="shared" si="64"/>
        <v/>
      </c>
      <c r="BT27" s="303" t="str">
        <f t="shared" si="64"/>
        <v/>
      </c>
      <c r="BU27" s="303" t="str">
        <f t="shared" si="64"/>
        <v/>
      </c>
      <c r="BV27" s="303" t="str">
        <f t="shared" si="64"/>
        <v/>
      </c>
      <c r="BW27" s="303" t="str">
        <f t="shared" si="64"/>
        <v/>
      </c>
      <c r="BX27" s="303">
        <f t="shared" si="64"/>
        <v>-5.947955390334581</v>
      </c>
      <c r="BY27" s="303">
        <f t="shared" si="64"/>
        <v>1.6893519701516979</v>
      </c>
      <c r="BZ27" s="303">
        <f t="shared" si="64"/>
        <v>5.41</v>
      </c>
      <c r="CA27" s="303">
        <f t="shared" si="10"/>
        <v>2.4999842675411887</v>
      </c>
    </row>
    <row r="28" spans="1:79">
      <c r="A28" s="58">
        <f t="shared" si="6"/>
        <v>1891</v>
      </c>
      <c r="B28" s="303">
        <f t="shared" ref="B28:AG28" si="65">IF(B$2="-","",(IF(B189="","",IF(B$4&lt;$A28,B189,(B189-B$3)/(1+B$3%)))))</f>
        <v>18.187510983394343</v>
      </c>
      <c r="C28" s="303" t="str">
        <f t="shared" si="65"/>
        <v/>
      </c>
      <c r="D28" s="303">
        <f t="shared" si="65"/>
        <v>18.187510983394343</v>
      </c>
      <c r="E28" s="303" t="str">
        <f t="shared" si="65"/>
        <v/>
      </c>
      <c r="F28" s="303" t="str">
        <f t="shared" si="65"/>
        <v/>
      </c>
      <c r="G28" s="303" t="str">
        <f t="shared" si="65"/>
        <v/>
      </c>
      <c r="H28" s="303" t="str">
        <f t="shared" si="65"/>
        <v/>
      </c>
      <c r="I28" s="303" t="str">
        <f t="shared" si="65"/>
        <v/>
      </c>
      <c r="J28" s="303" t="str">
        <f t="shared" si="65"/>
        <v/>
      </c>
      <c r="K28" s="303" t="str">
        <f t="shared" si="65"/>
        <v/>
      </c>
      <c r="L28" s="303" t="str">
        <f t="shared" si="65"/>
        <v/>
      </c>
      <c r="M28" s="303" t="str">
        <f t="shared" si="65"/>
        <v/>
      </c>
      <c r="N28" s="303" t="str">
        <f t="shared" si="65"/>
        <v/>
      </c>
      <c r="O28" s="303" t="str">
        <f t="shared" si="65"/>
        <v/>
      </c>
      <c r="P28" s="303" t="str">
        <f t="shared" si="65"/>
        <v/>
      </c>
      <c r="Q28" s="303" t="str">
        <f t="shared" si="65"/>
        <v/>
      </c>
      <c r="R28" s="303" t="str">
        <f t="shared" si="65"/>
        <v/>
      </c>
      <c r="S28" s="303" t="str">
        <f t="shared" si="65"/>
        <v/>
      </c>
      <c r="T28" s="303">
        <f t="shared" si="65"/>
        <v>7.0120568979110089</v>
      </c>
      <c r="U28" s="303">
        <f t="shared" si="65"/>
        <v>7.0120568979110089</v>
      </c>
      <c r="V28" s="303">
        <f t="shared" si="65"/>
        <v>5.8747127585173349</v>
      </c>
      <c r="W28" s="303" t="str">
        <f t="shared" si="65"/>
        <v/>
      </c>
      <c r="X28" s="303" t="str">
        <f t="shared" si="65"/>
        <v/>
      </c>
      <c r="Y28" s="303" t="str">
        <f t="shared" si="65"/>
        <v/>
      </c>
      <c r="Z28" s="303" t="str">
        <f t="shared" si="65"/>
        <v/>
      </c>
      <c r="AA28" s="303" t="str">
        <f t="shared" si="65"/>
        <v/>
      </c>
      <c r="AB28" s="303" t="str">
        <f t="shared" si="65"/>
        <v/>
      </c>
      <c r="AC28" s="303" t="str">
        <f t="shared" si="65"/>
        <v/>
      </c>
      <c r="AD28" s="303" t="str">
        <f t="shared" si="65"/>
        <v/>
      </c>
      <c r="AE28" s="303" t="str">
        <f t="shared" si="65"/>
        <v/>
      </c>
      <c r="AF28" s="303" t="str">
        <f t="shared" si="65"/>
        <v/>
      </c>
      <c r="AG28" s="303" t="str">
        <f t="shared" si="65"/>
        <v/>
      </c>
      <c r="AH28" s="303" t="str">
        <f t="shared" ref="AH28:BM28" si="66">IF(AH$2="-","",(IF(AH189="","",IF(AH$4&lt;$A28,AH189,(AH189-AH$3)/(1+AH$3%)))))</f>
        <v/>
      </c>
      <c r="AI28" s="303" t="str">
        <f t="shared" si="66"/>
        <v/>
      </c>
      <c r="AJ28" s="303" t="str">
        <f t="shared" si="66"/>
        <v/>
      </c>
      <c r="AK28" s="303" t="str">
        <f t="shared" si="66"/>
        <v/>
      </c>
      <c r="AL28" s="303" t="str">
        <f t="shared" si="66"/>
        <v/>
      </c>
      <c r="AM28" s="303" t="str">
        <f t="shared" si="66"/>
        <v/>
      </c>
      <c r="AN28" s="303" t="str">
        <f t="shared" si="66"/>
        <v/>
      </c>
      <c r="AO28" s="303" t="str">
        <f t="shared" si="66"/>
        <v/>
      </c>
      <c r="AP28" s="303" t="str">
        <f t="shared" si="66"/>
        <v/>
      </c>
      <c r="AQ28" s="303" t="str">
        <f t="shared" si="66"/>
        <v/>
      </c>
      <c r="AR28" s="303" t="str">
        <f t="shared" si="66"/>
        <v/>
      </c>
      <c r="AS28" s="303" t="str">
        <f t="shared" si="66"/>
        <v/>
      </c>
      <c r="AT28" s="303" t="str">
        <f t="shared" si="66"/>
        <v/>
      </c>
      <c r="AU28" s="303" t="str">
        <f t="shared" si="66"/>
        <v/>
      </c>
      <c r="AV28" s="303" t="str">
        <f t="shared" si="66"/>
        <v/>
      </c>
      <c r="AW28" s="303" t="str">
        <f t="shared" si="66"/>
        <v/>
      </c>
      <c r="AX28" s="303" t="str">
        <f t="shared" si="66"/>
        <v/>
      </c>
      <c r="AY28" s="303" t="str">
        <f t="shared" si="66"/>
        <v/>
      </c>
      <c r="AZ28" s="303" t="str">
        <f t="shared" si="66"/>
        <v/>
      </c>
      <c r="BA28" s="303" t="str">
        <f t="shared" si="66"/>
        <v/>
      </c>
      <c r="BB28" s="303" t="str">
        <f t="shared" si="66"/>
        <v/>
      </c>
      <c r="BC28" s="303" t="str">
        <f t="shared" si="66"/>
        <v/>
      </c>
      <c r="BD28" s="303" t="str">
        <f t="shared" si="66"/>
        <v/>
      </c>
      <c r="BE28" s="303" t="str">
        <f t="shared" si="66"/>
        <v/>
      </c>
      <c r="BF28" s="303" t="str">
        <f t="shared" si="66"/>
        <v/>
      </c>
      <c r="BG28" s="303" t="str">
        <f t="shared" si="66"/>
        <v/>
      </c>
      <c r="BH28" s="303" t="str">
        <f t="shared" si="66"/>
        <v/>
      </c>
      <c r="BI28" s="303" t="str">
        <f t="shared" si="66"/>
        <v/>
      </c>
      <c r="BJ28" s="303" t="str">
        <f t="shared" si="66"/>
        <v/>
      </c>
      <c r="BK28" s="303" t="str">
        <f t="shared" si="66"/>
        <v/>
      </c>
      <c r="BL28" s="303" t="str">
        <f t="shared" si="66"/>
        <v/>
      </c>
      <c r="BM28" s="303" t="str">
        <f t="shared" si="66"/>
        <v/>
      </c>
      <c r="BN28" s="303" t="str">
        <f t="shared" ref="BN28:BZ28" si="67">IF(BN$2="-","",(IF(BN189="","",IF(BN$4&lt;$A28,BN189,(BN189-BN$3)/(1+BN$3%)))))</f>
        <v/>
      </c>
      <c r="BO28" s="303" t="str">
        <f t="shared" si="67"/>
        <v/>
      </c>
      <c r="BP28" s="303" t="str">
        <f t="shared" si="67"/>
        <v/>
      </c>
      <c r="BQ28" s="303" t="str">
        <f t="shared" si="67"/>
        <v/>
      </c>
      <c r="BR28" s="303" t="str">
        <f t="shared" si="67"/>
        <v/>
      </c>
      <c r="BS28" s="303" t="str">
        <f t="shared" si="67"/>
        <v/>
      </c>
      <c r="BT28" s="303" t="str">
        <f t="shared" si="67"/>
        <v/>
      </c>
      <c r="BU28" s="303" t="str">
        <f t="shared" si="67"/>
        <v/>
      </c>
      <c r="BV28" s="303" t="str">
        <f t="shared" si="67"/>
        <v/>
      </c>
      <c r="BW28" s="303" t="str">
        <f t="shared" si="67"/>
        <v/>
      </c>
      <c r="BX28" s="303">
        <f t="shared" si="67"/>
        <v>18.388429752066116</v>
      </c>
      <c r="BY28" s="303">
        <f t="shared" si="67"/>
        <v>7.2260810117068308</v>
      </c>
      <c r="BZ28" s="303">
        <f t="shared" si="67"/>
        <v>5.97</v>
      </c>
      <c r="CA28" s="303">
        <f t="shared" si="10"/>
        <v>-6.0975754498046815</v>
      </c>
    </row>
    <row r="29" spans="1:79">
      <c r="A29" s="58">
        <f t="shared" si="6"/>
        <v>1892</v>
      </c>
      <c r="B29" s="303">
        <f t="shared" ref="B29:AG29" si="68">IF(B$2="-","",(IF(B190="","",IF(B$4&lt;$A29,B190,(B190-B$3)/(1+B$3%)))))</f>
        <v>5.9904152052219128</v>
      </c>
      <c r="C29" s="303" t="str">
        <f t="shared" si="68"/>
        <v/>
      </c>
      <c r="D29" s="303">
        <f t="shared" si="68"/>
        <v>5.9904152052219128</v>
      </c>
      <c r="E29" s="303" t="str">
        <f t="shared" si="68"/>
        <v/>
      </c>
      <c r="F29" s="303" t="str">
        <f t="shared" si="68"/>
        <v/>
      </c>
      <c r="G29" s="303" t="str">
        <f t="shared" si="68"/>
        <v/>
      </c>
      <c r="H29" s="303" t="str">
        <f t="shared" si="68"/>
        <v/>
      </c>
      <c r="I29" s="303" t="str">
        <f t="shared" si="68"/>
        <v/>
      </c>
      <c r="J29" s="303" t="str">
        <f t="shared" si="68"/>
        <v/>
      </c>
      <c r="K29" s="303" t="str">
        <f t="shared" si="68"/>
        <v/>
      </c>
      <c r="L29" s="303" t="str">
        <f t="shared" si="68"/>
        <v/>
      </c>
      <c r="M29" s="303" t="str">
        <f t="shared" si="68"/>
        <v/>
      </c>
      <c r="N29" s="303" t="str">
        <f t="shared" si="68"/>
        <v/>
      </c>
      <c r="O29" s="303" t="str">
        <f t="shared" si="68"/>
        <v/>
      </c>
      <c r="P29" s="303" t="str">
        <f t="shared" si="68"/>
        <v/>
      </c>
      <c r="Q29" s="303" t="str">
        <f t="shared" si="68"/>
        <v/>
      </c>
      <c r="R29" s="303" t="str">
        <f t="shared" si="68"/>
        <v/>
      </c>
      <c r="S29" s="303" t="str">
        <f t="shared" si="68"/>
        <v/>
      </c>
      <c r="T29" s="303">
        <f t="shared" si="68"/>
        <v>-4.8949896203153784</v>
      </c>
      <c r="U29" s="303">
        <f t="shared" si="68"/>
        <v>-4.8949896203153784</v>
      </c>
      <c r="V29" s="303">
        <f t="shared" si="68"/>
        <v>3.8365471076031579</v>
      </c>
      <c r="W29" s="303" t="str">
        <f t="shared" si="68"/>
        <v/>
      </c>
      <c r="X29" s="303" t="str">
        <f t="shared" si="68"/>
        <v/>
      </c>
      <c r="Y29" s="303" t="str">
        <f t="shared" si="68"/>
        <v/>
      </c>
      <c r="Z29" s="303" t="str">
        <f t="shared" si="68"/>
        <v/>
      </c>
      <c r="AA29" s="303" t="str">
        <f t="shared" si="68"/>
        <v/>
      </c>
      <c r="AB29" s="303" t="str">
        <f t="shared" si="68"/>
        <v/>
      </c>
      <c r="AC29" s="303" t="str">
        <f t="shared" si="68"/>
        <v/>
      </c>
      <c r="AD29" s="303" t="str">
        <f t="shared" si="68"/>
        <v/>
      </c>
      <c r="AE29" s="303" t="str">
        <f t="shared" si="68"/>
        <v/>
      </c>
      <c r="AF29" s="303" t="str">
        <f t="shared" si="68"/>
        <v/>
      </c>
      <c r="AG29" s="303" t="str">
        <f t="shared" si="68"/>
        <v/>
      </c>
      <c r="AH29" s="303" t="str">
        <f t="shared" ref="AH29:BM29" si="69">IF(AH$2="-","",(IF(AH190="","",IF(AH$4&lt;$A29,AH190,(AH190-AH$3)/(1+AH$3%)))))</f>
        <v/>
      </c>
      <c r="AI29" s="303" t="str">
        <f t="shared" si="69"/>
        <v/>
      </c>
      <c r="AJ29" s="303" t="str">
        <f t="shared" si="69"/>
        <v/>
      </c>
      <c r="AK29" s="303" t="str">
        <f t="shared" si="69"/>
        <v/>
      </c>
      <c r="AL29" s="303" t="str">
        <f t="shared" si="69"/>
        <v/>
      </c>
      <c r="AM29" s="303" t="str">
        <f t="shared" si="69"/>
        <v/>
      </c>
      <c r="AN29" s="303" t="str">
        <f t="shared" si="69"/>
        <v/>
      </c>
      <c r="AO29" s="303" t="str">
        <f t="shared" si="69"/>
        <v/>
      </c>
      <c r="AP29" s="303" t="str">
        <f t="shared" si="69"/>
        <v/>
      </c>
      <c r="AQ29" s="303" t="str">
        <f t="shared" si="69"/>
        <v/>
      </c>
      <c r="AR29" s="303" t="str">
        <f t="shared" si="69"/>
        <v/>
      </c>
      <c r="AS29" s="303" t="str">
        <f t="shared" si="69"/>
        <v/>
      </c>
      <c r="AT29" s="303" t="str">
        <f t="shared" si="69"/>
        <v/>
      </c>
      <c r="AU29" s="303" t="str">
        <f t="shared" si="69"/>
        <v/>
      </c>
      <c r="AV29" s="303" t="str">
        <f t="shared" si="69"/>
        <v/>
      </c>
      <c r="AW29" s="303" t="str">
        <f t="shared" si="69"/>
        <v/>
      </c>
      <c r="AX29" s="303" t="str">
        <f t="shared" si="69"/>
        <v/>
      </c>
      <c r="AY29" s="303" t="str">
        <f t="shared" si="69"/>
        <v/>
      </c>
      <c r="AZ29" s="303" t="str">
        <f t="shared" si="69"/>
        <v/>
      </c>
      <c r="BA29" s="303" t="str">
        <f t="shared" si="69"/>
        <v/>
      </c>
      <c r="BB29" s="303" t="str">
        <f t="shared" si="69"/>
        <v/>
      </c>
      <c r="BC29" s="303" t="str">
        <f t="shared" si="69"/>
        <v/>
      </c>
      <c r="BD29" s="303" t="str">
        <f t="shared" si="69"/>
        <v/>
      </c>
      <c r="BE29" s="303" t="str">
        <f t="shared" si="69"/>
        <v/>
      </c>
      <c r="BF29" s="303" t="str">
        <f t="shared" si="69"/>
        <v/>
      </c>
      <c r="BG29" s="303" t="str">
        <f t="shared" si="69"/>
        <v/>
      </c>
      <c r="BH29" s="303" t="str">
        <f t="shared" si="69"/>
        <v/>
      </c>
      <c r="BI29" s="303" t="str">
        <f t="shared" si="69"/>
        <v/>
      </c>
      <c r="BJ29" s="303" t="str">
        <f t="shared" si="69"/>
        <v/>
      </c>
      <c r="BK29" s="303" t="str">
        <f t="shared" si="69"/>
        <v/>
      </c>
      <c r="BL29" s="303" t="str">
        <f t="shared" si="69"/>
        <v/>
      </c>
      <c r="BM29" s="303" t="str">
        <f t="shared" si="69"/>
        <v/>
      </c>
      <c r="BN29" s="303" t="str">
        <f t="shared" ref="BN29:BZ29" si="70">IF(BN$2="-","",(IF(BN190="","",IF(BN$4&lt;$A29,BN190,(BN190-BN$3)/(1+BN$3%)))))</f>
        <v/>
      </c>
      <c r="BO29" s="303" t="str">
        <f t="shared" si="70"/>
        <v/>
      </c>
      <c r="BP29" s="303" t="str">
        <f t="shared" si="70"/>
        <v/>
      </c>
      <c r="BQ29" s="303" t="str">
        <f t="shared" si="70"/>
        <v/>
      </c>
      <c r="BR29" s="303" t="str">
        <f t="shared" si="70"/>
        <v/>
      </c>
      <c r="BS29" s="303" t="str">
        <f t="shared" si="70"/>
        <v/>
      </c>
      <c r="BT29" s="303" t="str">
        <f t="shared" si="70"/>
        <v/>
      </c>
      <c r="BU29" s="303" t="str">
        <f t="shared" si="70"/>
        <v/>
      </c>
      <c r="BV29" s="303" t="str">
        <f t="shared" si="70"/>
        <v/>
      </c>
      <c r="BW29" s="303" t="str">
        <f t="shared" si="70"/>
        <v/>
      </c>
      <c r="BX29" s="303">
        <f t="shared" si="70"/>
        <v>6.1705989110707904</v>
      </c>
      <c r="BY29" s="303">
        <f t="shared" si="70"/>
        <v>-4.7047795995560087</v>
      </c>
      <c r="BZ29" s="303">
        <f t="shared" si="70"/>
        <v>3.93</v>
      </c>
      <c r="CA29" s="303">
        <f t="shared" si="10"/>
        <v>7.792271714961263</v>
      </c>
    </row>
    <row r="30" spans="1:79">
      <c r="A30" s="58">
        <f t="shared" si="6"/>
        <v>1893</v>
      </c>
      <c r="B30" s="303">
        <f t="shared" ref="B30:AG30" si="71">IF(B$2="-","",(IF(B191="","",IF(B$4&lt;$A30,B191,(B191-B$3)/(1+B$3%)))))</f>
        <v>-18.676574244461783</v>
      </c>
      <c r="C30" s="303" t="str">
        <f t="shared" si="71"/>
        <v/>
      </c>
      <c r="D30" s="303">
        <f t="shared" si="71"/>
        <v>-18.676574244461783</v>
      </c>
      <c r="E30" s="303" t="str">
        <f t="shared" si="71"/>
        <v/>
      </c>
      <c r="F30" s="303" t="str">
        <f t="shared" si="71"/>
        <v/>
      </c>
      <c r="G30" s="303" t="str">
        <f t="shared" si="71"/>
        <v/>
      </c>
      <c r="H30" s="303" t="str">
        <f t="shared" si="71"/>
        <v/>
      </c>
      <c r="I30" s="303" t="str">
        <f t="shared" si="71"/>
        <v/>
      </c>
      <c r="J30" s="303" t="str">
        <f t="shared" si="71"/>
        <v/>
      </c>
      <c r="K30" s="303" t="str">
        <f t="shared" si="71"/>
        <v/>
      </c>
      <c r="L30" s="303" t="str">
        <f t="shared" si="71"/>
        <v/>
      </c>
      <c r="M30" s="303" t="str">
        <f t="shared" si="71"/>
        <v/>
      </c>
      <c r="N30" s="303" t="str">
        <f t="shared" si="71"/>
        <v/>
      </c>
      <c r="O30" s="303" t="str">
        <f t="shared" si="71"/>
        <v/>
      </c>
      <c r="P30" s="303" t="str">
        <f t="shared" si="71"/>
        <v/>
      </c>
      <c r="Q30" s="303" t="str">
        <f t="shared" si="71"/>
        <v/>
      </c>
      <c r="R30" s="303" t="str">
        <f t="shared" si="71"/>
        <v/>
      </c>
      <c r="S30" s="303" t="str">
        <f t="shared" si="71"/>
        <v/>
      </c>
      <c r="T30" s="303">
        <f t="shared" si="71"/>
        <v>12.980857130194748</v>
      </c>
      <c r="U30" s="303">
        <f t="shared" si="71"/>
        <v>12.980857130194748</v>
      </c>
      <c r="V30" s="303">
        <f t="shared" si="71"/>
        <v>8.422419822160057</v>
      </c>
      <c r="W30" s="303" t="str">
        <f t="shared" si="71"/>
        <v/>
      </c>
      <c r="X30" s="303" t="str">
        <f t="shared" si="71"/>
        <v/>
      </c>
      <c r="Y30" s="303" t="str">
        <f t="shared" si="71"/>
        <v/>
      </c>
      <c r="Z30" s="303" t="str">
        <f t="shared" si="71"/>
        <v/>
      </c>
      <c r="AA30" s="303" t="str">
        <f t="shared" si="71"/>
        <v/>
      </c>
      <c r="AB30" s="303" t="str">
        <f t="shared" si="71"/>
        <v/>
      </c>
      <c r="AC30" s="303" t="str">
        <f t="shared" si="71"/>
        <v/>
      </c>
      <c r="AD30" s="303" t="str">
        <f t="shared" si="71"/>
        <v/>
      </c>
      <c r="AE30" s="303" t="str">
        <f t="shared" si="71"/>
        <v/>
      </c>
      <c r="AF30" s="303" t="str">
        <f t="shared" si="71"/>
        <v/>
      </c>
      <c r="AG30" s="303" t="str">
        <f t="shared" si="71"/>
        <v/>
      </c>
      <c r="AH30" s="303" t="str">
        <f t="shared" ref="AH30:BM30" si="72">IF(AH$2="-","",(IF(AH191="","",IF(AH$4&lt;$A30,AH191,(AH191-AH$3)/(1+AH$3%)))))</f>
        <v/>
      </c>
      <c r="AI30" s="303" t="str">
        <f t="shared" si="72"/>
        <v/>
      </c>
      <c r="AJ30" s="303" t="str">
        <f t="shared" si="72"/>
        <v/>
      </c>
      <c r="AK30" s="303" t="str">
        <f t="shared" si="72"/>
        <v/>
      </c>
      <c r="AL30" s="303" t="str">
        <f t="shared" si="72"/>
        <v/>
      </c>
      <c r="AM30" s="303" t="str">
        <f t="shared" si="72"/>
        <v/>
      </c>
      <c r="AN30" s="303" t="str">
        <f t="shared" si="72"/>
        <v/>
      </c>
      <c r="AO30" s="303" t="str">
        <f t="shared" si="72"/>
        <v/>
      </c>
      <c r="AP30" s="303" t="str">
        <f t="shared" si="72"/>
        <v/>
      </c>
      <c r="AQ30" s="303" t="str">
        <f t="shared" si="72"/>
        <v/>
      </c>
      <c r="AR30" s="303" t="str">
        <f t="shared" si="72"/>
        <v/>
      </c>
      <c r="AS30" s="303" t="str">
        <f t="shared" si="72"/>
        <v/>
      </c>
      <c r="AT30" s="303" t="str">
        <f t="shared" si="72"/>
        <v/>
      </c>
      <c r="AU30" s="303" t="str">
        <f t="shared" si="72"/>
        <v/>
      </c>
      <c r="AV30" s="303" t="str">
        <f t="shared" si="72"/>
        <v/>
      </c>
      <c r="AW30" s="303" t="str">
        <f t="shared" si="72"/>
        <v/>
      </c>
      <c r="AX30" s="303" t="str">
        <f t="shared" si="72"/>
        <v/>
      </c>
      <c r="AY30" s="303" t="str">
        <f t="shared" si="72"/>
        <v/>
      </c>
      <c r="AZ30" s="303" t="str">
        <f t="shared" si="72"/>
        <v/>
      </c>
      <c r="BA30" s="303" t="str">
        <f t="shared" si="72"/>
        <v/>
      </c>
      <c r="BB30" s="303" t="str">
        <f t="shared" si="72"/>
        <v/>
      </c>
      <c r="BC30" s="303" t="str">
        <f t="shared" si="72"/>
        <v/>
      </c>
      <c r="BD30" s="303" t="str">
        <f t="shared" si="72"/>
        <v/>
      </c>
      <c r="BE30" s="303" t="str">
        <f t="shared" si="72"/>
        <v/>
      </c>
      <c r="BF30" s="303" t="str">
        <f t="shared" si="72"/>
        <v/>
      </c>
      <c r="BG30" s="303" t="str">
        <f t="shared" si="72"/>
        <v/>
      </c>
      <c r="BH30" s="303" t="str">
        <f t="shared" si="72"/>
        <v/>
      </c>
      <c r="BI30" s="303" t="str">
        <f t="shared" si="72"/>
        <v/>
      </c>
      <c r="BJ30" s="303" t="str">
        <f t="shared" si="72"/>
        <v/>
      </c>
      <c r="BK30" s="303" t="str">
        <f t="shared" si="72"/>
        <v/>
      </c>
      <c r="BL30" s="303" t="str">
        <f t="shared" si="72"/>
        <v/>
      </c>
      <c r="BM30" s="303" t="str">
        <f t="shared" si="72"/>
        <v/>
      </c>
      <c r="BN30" s="303" t="str">
        <f t="shared" ref="BN30:BZ30" si="73">IF(BN$2="-","",(IF(BN191="","",IF(BN$4&lt;$A30,BN191,(BN191-BN$3)/(1+BN$3%)))))</f>
        <v/>
      </c>
      <c r="BO30" s="303" t="str">
        <f t="shared" si="73"/>
        <v/>
      </c>
      <c r="BP30" s="303" t="str">
        <f t="shared" si="73"/>
        <v/>
      </c>
      <c r="BQ30" s="303" t="str">
        <f t="shared" si="73"/>
        <v/>
      </c>
      <c r="BR30" s="303" t="str">
        <f t="shared" si="73"/>
        <v/>
      </c>
      <c r="BS30" s="303" t="str">
        <f t="shared" si="73"/>
        <v/>
      </c>
      <c r="BT30" s="303" t="str">
        <f t="shared" si="73"/>
        <v/>
      </c>
      <c r="BU30" s="303" t="str">
        <f t="shared" si="73"/>
        <v/>
      </c>
      <c r="BV30" s="303" t="str">
        <f t="shared" si="73"/>
        <v/>
      </c>
      <c r="BW30" s="303" t="str">
        <f t="shared" si="73"/>
        <v/>
      </c>
      <c r="BX30" s="303">
        <f t="shared" si="73"/>
        <v>-18.538324420677366</v>
      </c>
      <c r="BY30" s="303">
        <f t="shared" si="73"/>
        <v>13.206818844455137</v>
      </c>
      <c r="BZ30" s="303">
        <f t="shared" si="73"/>
        <v>8.52</v>
      </c>
      <c r="CA30" s="303">
        <f t="shared" si="10"/>
        <v>-13.253077452785112</v>
      </c>
    </row>
    <row r="31" spans="1:79">
      <c r="A31" s="58">
        <f t="shared" si="6"/>
        <v>1894</v>
      </c>
      <c r="B31" s="303">
        <f t="shared" ref="B31:AG31" si="74">IF(B$2="-","",(IF(B192="","",IF(B$4&lt;$A31,B192,(B192-B$3)/(1+B$3%)))))</f>
        <v>3.0655293408612798</v>
      </c>
      <c r="C31" s="303" t="str">
        <f t="shared" si="74"/>
        <v/>
      </c>
      <c r="D31" s="303">
        <f t="shared" si="74"/>
        <v>3.0655293408612798</v>
      </c>
      <c r="E31" s="303" t="str">
        <f t="shared" si="74"/>
        <v/>
      </c>
      <c r="F31" s="303" t="str">
        <f t="shared" si="74"/>
        <v/>
      </c>
      <c r="G31" s="303" t="str">
        <f t="shared" si="74"/>
        <v/>
      </c>
      <c r="H31" s="303" t="str">
        <f t="shared" si="74"/>
        <v/>
      </c>
      <c r="I31" s="303" t="str">
        <f t="shared" si="74"/>
        <v/>
      </c>
      <c r="J31" s="303" t="str">
        <f t="shared" si="74"/>
        <v/>
      </c>
      <c r="K31" s="303" t="str">
        <f t="shared" si="74"/>
        <v/>
      </c>
      <c r="L31" s="303" t="str">
        <f t="shared" si="74"/>
        <v/>
      </c>
      <c r="M31" s="303" t="str">
        <f t="shared" si="74"/>
        <v/>
      </c>
      <c r="N31" s="303" t="str">
        <f t="shared" si="74"/>
        <v/>
      </c>
      <c r="O31" s="303" t="str">
        <f t="shared" si="74"/>
        <v/>
      </c>
      <c r="P31" s="303" t="str">
        <f t="shared" si="74"/>
        <v/>
      </c>
      <c r="Q31" s="303" t="str">
        <f t="shared" si="74"/>
        <v/>
      </c>
      <c r="R31" s="303" t="str">
        <f t="shared" si="74"/>
        <v/>
      </c>
      <c r="S31" s="303" t="str">
        <f t="shared" si="74"/>
        <v/>
      </c>
      <c r="T31" s="303">
        <f t="shared" si="74"/>
        <v>4.6176819135874245</v>
      </c>
      <c r="U31" s="303">
        <f t="shared" si="74"/>
        <v>4.6176819135874245</v>
      </c>
      <c r="V31" s="303">
        <f t="shared" si="74"/>
        <v>3.2270956139474478</v>
      </c>
      <c r="W31" s="303" t="str">
        <f t="shared" si="74"/>
        <v/>
      </c>
      <c r="X31" s="303" t="str">
        <f t="shared" si="74"/>
        <v/>
      </c>
      <c r="Y31" s="303" t="str">
        <f t="shared" si="74"/>
        <v/>
      </c>
      <c r="Z31" s="303" t="str">
        <f t="shared" si="74"/>
        <v/>
      </c>
      <c r="AA31" s="303" t="str">
        <f t="shared" si="74"/>
        <v/>
      </c>
      <c r="AB31" s="303" t="str">
        <f t="shared" si="74"/>
        <v/>
      </c>
      <c r="AC31" s="303" t="str">
        <f t="shared" si="74"/>
        <v/>
      </c>
      <c r="AD31" s="303" t="str">
        <f t="shared" si="74"/>
        <v/>
      </c>
      <c r="AE31" s="303" t="str">
        <f t="shared" si="74"/>
        <v/>
      </c>
      <c r="AF31" s="303" t="str">
        <f t="shared" si="74"/>
        <v/>
      </c>
      <c r="AG31" s="303" t="str">
        <f t="shared" si="74"/>
        <v/>
      </c>
      <c r="AH31" s="303" t="str">
        <f t="shared" ref="AH31:BM31" si="75">IF(AH$2="-","",(IF(AH192="","",IF(AH$4&lt;$A31,AH192,(AH192-AH$3)/(1+AH$3%)))))</f>
        <v/>
      </c>
      <c r="AI31" s="303" t="str">
        <f t="shared" si="75"/>
        <v/>
      </c>
      <c r="AJ31" s="303" t="str">
        <f t="shared" si="75"/>
        <v/>
      </c>
      <c r="AK31" s="303" t="str">
        <f t="shared" si="75"/>
        <v/>
      </c>
      <c r="AL31" s="303" t="str">
        <f t="shared" si="75"/>
        <v/>
      </c>
      <c r="AM31" s="303" t="str">
        <f t="shared" si="75"/>
        <v/>
      </c>
      <c r="AN31" s="303" t="str">
        <f t="shared" si="75"/>
        <v/>
      </c>
      <c r="AO31" s="303" t="str">
        <f t="shared" si="75"/>
        <v/>
      </c>
      <c r="AP31" s="303" t="str">
        <f t="shared" si="75"/>
        <v/>
      </c>
      <c r="AQ31" s="303" t="str">
        <f t="shared" si="75"/>
        <v/>
      </c>
      <c r="AR31" s="303" t="str">
        <f t="shared" si="75"/>
        <v/>
      </c>
      <c r="AS31" s="303" t="str">
        <f t="shared" si="75"/>
        <v/>
      </c>
      <c r="AT31" s="303" t="str">
        <f t="shared" si="75"/>
        <v/>
      </c>
      <c r="AU31" s="303" t="str">
        <f t="shared" si="75"/>
        <v/>
      </c>
      <c r="AV31" s="303" t="str">
        <f t="shared" si="75"/>
        <v/>
      </c>
      <c r="AW31" s="303" t="str">
        <f t="shared" si="75"/>
        <v/>
      </c>
      <c r="AX31" s="303" t="str">
        <f t="shared" si="75"/>
        <v/>
      </c>
      <c r="AY31" s="303" t="str">
        <f t="shared" si="75"/>
        <v/>
      </c>
      <c r="AZ31" s="303" t="str">
        <f t="shared" si="75"/>
        <v/>
      </c>
      <c r="BA31" s="303" t="str">
        <f t="shared" si="75"/>
        <v/>
      </c>
      <c r="BB31" s="303" t="str">
        <f t="shared" si="75"/>
        <v/>
      </c>
      <c r="BC31" s="303" t="str">
        <f t="shared" si="75"/>
        <v/>
      </c>
      <c r="BD31" s="303" t="str">
        <f t="shared" si="75"/>
        <v/>
      </c>
      <c r="BE31" s="303" t="str">
        <f t="shared" si="75"/>
        <v/>
      </c>
      <c r="BF31" s="303" t="str">
        <f t="shared" si="75"/>
        <v/>
      </c>
      <c r="BG31" s="303" t="str">
        <f t="shared" si="75"/>
        <v/>
      </c>
      <c r="BH31" s="303" t="str">
        <f t="shared" si="75"/>
        <v/>
      </c>
      <c r="BI31" s="303" t="str">
        <f t="shared" si="75"/>
        <v/>
      </c>
      <c r="BJ31" s="303" t="str">
        <f t="shared" si="75"/>
        <v/>
      </c>
      <c r="BK31" s="303" t="str">
        <f t="shared" si="75"/>
        <v/>
      </c>
      <c r="BL31" s="303" t="str">
        <f t="shared" si="75"/>
        <v/>
      </c>
      <c r="BM31" s="303" t="str">
        <f t="shared" si="75"/>
        <v/>
      </c>
      <c r="BN31" s="303" t="str">
        <f t="shared" ref="BN31:BZ31" si="76">IF(BN$2="-","",(IF(BN192="","",IF(BN$4&lt;$A31,BN192,(BN192-BN$3)/(1+BN$3%)))))</f>
        <v/>
      </c>
      <c r="BO31" s="303" t="str">
        <f t="shared" si="76"/>
        <v/>
      </c>
      <c r="BP31" s="303" t="str">
        <f t="shared" si="76"/>
        <v/>
      </c>
      <c r="BQ31" s="303" t="str">
        <f t="shared" si="76"/>
        <v/>
      </c>
      <c r="BR31" s="303" t="str">
        <f t="shared" si="76"/>
        <v/>
      </c>
      <c r="BS31" s="303" t="str">
        <f t="shared" si="76"/>
        <v/>
      </c>
      <c r="BT31" s="303" t="str">
        <f t="shared" si="76"/>
        <v/>
      </c>
      <c r="BU31" s="303" t="str">
        <f t="shared" si="76"/>
        <v/>
      </c>
      <c r="BV31" s="303" t="str">
        <f t="shared" si="76"/>
        <v/>
      </c>
      <c r="BW31" s="303" t="str">
        <f t="shared" si="76"/>
        <v/>
      </c>
      <c r="BX31" s="303">
        <f t="shared" si="76"/>
        <v>3.240740740740744</v>
      </c>
      <c r="BY31" s="303">
        <f t="shared" si="76"/>
        <v>4.8269172774145996</v>
      </c>
      <c r="BZ31" s="303">
        <f t="shared" si="76"/>
        <v>3.32</v>
      </c>
      <c r="CA31" s="303">
        <f t="shared" si="10"/>
        <v>-4.1665832783919559</v>
      </c>
    </row>
    <row r="32" spans="1:79">
      <c r="A32" s="58">
        <f t="shared" si="6"/>
        <v>1895</v>
      </c>
      <c r="B32" s="303">
        <f t="shared" ref="B32:AG32" si="77">IF(B$2="-","",(IF(B193="","",IF(B$4&lt;$A32,B193,(B193-B$3)/(1+B$3%)))))</f>
        <v>4.7630792358872185</v>
      </c>
      <c r="C32" s="303" t="str">
        <f t="shared" si="77"/>
        <v/>
      </c>
      <c r="D32" s="303">
        <f t="shared" si="77"/>
        <v>4.7630792358872185</v>
      </c>
      <c r="E32" s="303" t="str">
        <f t="shared" si="77"/>
        <v/>
      </c>
      <c r="F32" s="303" t="str">
        <f t="shared" si="77"/>
        <v/>
      </c>
      <c r="G32" s="303" t="str">
        <f t="shared" si="77"/>
        <v/>
      </c>
      <c r="H32" s="303" t="str">
        <f t="shared" si="77"/>
        <v/>
      </c>
      <c r="I32" s="303" t="str">
        <f t="shared" si="77"/>
        <v/>
      </c>
      <c r="J32" s="303" t="str">
        <f t="shared" si="77"/>
        <v/>
      </c>
      <c r="K32" s="303" t="str">
        <f t="shared" si="77"/>
        <v/>
      </c>
      <c r="L32" s="303" t="str">
        <f t="shared" si="77"/>
        <v/>
      </c>
      <c r="M32" s="303" t="str">
        <f t="shared" si="77"/>
        <v/>
      </c>
      <c r="N32" s="303" t="str">
        <f t="shared" si="77"/>
        <v/>
      </c>
      <c r="O32" s="303" t="str">
        <f t="shared" si="77"/>
        <v/>
      </c>
      <c r="P32" s="303" t="str">
        <f t="shared" si="77"/>
        <v/>
      </c>
      <c r="Q32" s="303" t="str">
        <f t="shared" si="77"/>
        <v/>
      </c>
      <c r="R32" s="303" t="str">
        <f t="shared" si="77"/>
        <v/>
      </c>
      <c r="S32" s="303" t="str">
        <f t="shared" si="77"/>
        <v/>
      </c>
      <c r="T32" s="303">
        <f t="shared" si="77"/>
        <v>-1.7955542620130323</v>
      </c>
      <c r="U32" s="303">
        <f t="shared" si="77"/>
        <v>-1.7955542620130323</v>
      </c>
      <c r="V32" s="303">
        <f t="shared" si="77"/>
        <v>2.9973024278149669</v>
      </c>
      <c r="W32" s="303" t="str">
        <f t="shared" si="77"/>
        <v/>
      </c>
      <c r="X32" s="303" t="str">
        <f t="shared" si="77"/>
        <v/>
      </c>
      <c r="Y32" s="303" t="str">
        <f t="shared" si="77"/>
        <v/>
      </c>
      <c r="Z32" s="303" t="str">
        <f t="shared" si="77"/>
        <v/>
      </c>
      <c r="AA32" s="303" t="str">
        <f t="shared" si="77"/>
        <v/>
      </c>
      <c r="AB32" s="303" t="str">
        <f t="shared" si="77"/>
        <v/>
      </c>
      <c r="AC32" s="303" t="str">
        <f t="shared" si="77"/>
        <v/>
      </c>
      <c r="AD32" s="303" t="str">
        <f t="shared" si="77"/>
        <v/>
      </c>
      <c r="AE32" s="303" t="str">
        <f t="shared" si="77"/>
        <v/>
      </c>
      <c r="AF32" s="303" t="str">
        <f t="shared" si="77"/>
        <v/>
      </c>
      <c r="AG32" s="303" t="str">
        <f t="shared" si="77"/>
        <v/>
      </c>
      <c r="AH32" s="303" t="str">
        <f t="shared" ref="AH32:BM32" si="78">IF(AH$2="-","",(IF(AH193="","",IF(AH$4&lt;$A32,AH193,(AH193-AH$3)/(1+AH$3%)))))</f>
        <v/>
      </c>
      <c r="AI32" s="303" t="str">
        <f t="shared" si="78"/>
        <v/>
      </c>
      <c r="AJ32" s="303" t="str">
        <f t="shared" si="78"/>
        <v/>
      </c>
      <c r="AK32" s="303" t="str">
        <f t="shared" si="78"/>
        <v/>
      </c>
      <c r="AL32" s="303" t="str">
        <f t="shared" si="78"/>
        <v/>
      </c>
      <c r="AM32" s="303" t="str">
        <f t="shared" si="78"/>
        <v/>
      </c>
      <c r="AN32" s="303" t="str">
        <f t="shared" si="78"/>
        <v/>
      </c>
      <c r="AO32" s="303" t="str">
        <f t="shared" si="78"/>
        <v/>
      </c>
      <c r="AP32" s="303" t="str">
        <f t="shared" si="78"/>
        <v/>
      </c>
      <c r="AQ32" s="303" t="str">
        <f t="shared" si="78"/>
        <v/>
      </c>
      <c r="AR32" s="303" t="str">
        <f t="shared" si="78"/>
        <v/>
      </c>
      <c r="AS32" s="303" t="str">
        <f t="shared" si="78"/>
        <v/>
      </c>
      <c r="AT32" s="303" t="str">
        <f t="shared" si="78"/>
        <v/>
      </c>
      <c r="AU32" s="303" t="str">
        <f t="shared" si="78"/>
        <v/>
      </c>
      <c r="AV32" s="303" t="str">
        <f t="shared" si="78"/>
        <v/>
      </c>
      <c r="AW32" s="303" t="str">
        <f t="shared" si="78"/>
        <v/>
      </c>
      <c r="AX32" s="303" t="str">
        <f t="shared" si="78"/>
        <v/>
      </c>
      <c r="AY32" s="303" t="str">
        <f t="shared" si="78"/>
        <v/>
      </c>
      <c r="AZ32" s="303" t="str">
        <f t="shared" si="78"/>
        <v/>
      </c>
      <c r="BA32" s="303" t="str">
        <f t="shared" si="78"/>
        <v/>
      </c>
      <c r="BB32" s="303" t="str">
        <f t="shared" si="78"/>
        <v/>
      </c>
      <c r="BC32" s="303" t="str">
        <f t="shared" si="78"/>
        <v/>
      </c>
      <c r="BD32" s="303" t="str">
        <f t="shared" si="78"/>
        <v/>
      </c>
      <c r="BE32" s="303" t="str">
        <f t="shared" si="78"/>
        <v/>
      </c>
      <c r="BF32" s="303" t="str">
        <f t="shared" si="78"/>
        <v/>
      </c>
      <c r="BG32" s="303" t="str">
        <f t="shared" si="78"/>
        <v/>
      </c>
      <c r="BH32" s="303" t="str">
        <f t="shared" si="78"/>
        <v/>
      </c>
      <c r="BI32" s="303" t="str">
        <f t="shared" si="78"/>
        <v/>
      </c>
      <c r="BJ32" s="303" t="str">
        <f t="shared" si="78"/>
        <v/>
      </c>
      <c r="BK32" s="303" t="str">
        <f t="shared" si="78"/>
        <v/>
      </c>
      <c r="BL32" s="303" t="str">
        <f t="shared" si="78"/>
        <v/>
      </c>
      <c r="BM32" s="303" t="str">
        <f t="shared" si="78"/>
        <v/>
      </c>
      <c r="BN32" s="303" t="str">
        <f t="shared" ref="BN32:BZ32" si="79">IF(BN$2="-","",(IF(BN193="","",IF(BN$4&lt;$A32,BN193,(BN193-BN$3)/(1+BN$3%)))))</f>
        <v/>
      </c>
      <c r="BO32" s="303" t="str">
        <f t="shared" si="79"/>
        <v/>
      </c>
      <c r="BP32" s="303" t="str">
        <f t="shared" si="79"/>
        <v/>
      </c>
      <c r="BQ32" s="303" t="str">
        <f t="shared" si="79"/>
        <v/>
      </c>
      <c r="BR32" s="303" t="str">
        <f t="shared" si="79"/>
        <v/>
      </c>
      <c r="BS32" s="303" t="str">
        <f t="shared" si="79"/>
        <v/>
      </c>
      <c r="BT32" s="303" t="str">
        <f t="shared" si="79"/>
        <v/>
      </c>
      <c r="BU32" s="303" t="str">
        <f t="shared" si="79"/>
        <v/>
      </c>
      <c r="BV32" s="303" t="str">
        <f t="shared" si="79"/>
        <v/>
      </c>
      <c r="BW32" s="303" t="str">
        <f t="shared" si="79"/>
        <v/>
      </c>
      <c r="BX32" s="303">
        <f t="shared" si="79"/>
        <v>4.9411764705882266</v>
      </c>
      <c r="BY32" s="303">
        <f t="shared" si="79"/>
        <v>-1.5991453705370584</v>
      </c>
      <c r="BZ32" s="303">
        <f t="shared" si="79"/>
        <v>3.09</v>
      </c>
      <c r="CA32" s="303">
        <f t="shared" si="10"/>
        <v>1.4492039697961978</v>
      </c>
    </row>
    <row r="33" spans="1:79">
      <c r="A33" s="58">
        <f t="shared" si="6"/>
        <v>1896</v>
      </c>
      <c r="B33" s="303">
        <f t="shared" ref="B33:AG33" si="80">IF(B$2="-","",(IF(B194="","",IF(B$4&lt;$A33,B194,(B194-B$3)/(1+B$3%)))))</f>
        <v>2.8696181362877522</v>
      </c>
      <c r="C33" s="303" t="str">
        <f t="shared" si="80"/>
        <v/>
      </c>
      <c r="D33" s="303">
        <f t="shared" si="80"/>
        <v>2.8696181362877522</v>
      </c>
      <c r="E33" s="303" t="str">
        <f t="shared" si="80"/>
        <v/>
      </c>
      <c r="F33" s="303" t="str">
        <f t="shared" si="80"/>
        <v/>
      </c>
      <c r="G33" s="303" t="str">
        <f t="shared" si="80"/>
        <v/>
      </c>
      <c r="H33" s="303" t="str">
        <f t="shared" si="80"/>
        <v/>
      </c>
      <c r="I33" s="303" t="str">
        <f t="shared" si="80"/>
        <v/>
      </c>
      <c r="J33" s="303" t="str">
        <f t="shared" si="80"/>
        <v/>
      </c>
      <c r="K33" s="303" t="str">
        <f t="shared" si="80"/>
        <v/>
      </c>
      <c r="L33" s="303" t="str">
        <f t="shared" si="80"/>
        <v/>
      </c>
      <c r="M33" s="303" t="str">
        <f t="shared" si="80"/>
        <v/>
      </c>
      <c r="N33" s="303" t="str">
        <f t="shared" si="80"/>
        <v/>
      </c>
      <c r="O33" s="303" t="str">
        <f t="shared" si="80"/>
        <v/>
      </c>
      <c r="P33" s="303" t="str">
        <f t="shared" si="80"/>
        <v/>
      </c>
      <c r="Q33" s="303" t="str">
        <f t="shared" si="80"/>
        <v/>
      </c>
      <c r="R33" s="303" t="str">
        <f t="shared" si="80"/>
        <v/>
      </c>
      <c r="S33" s="303" t="str">
        <f t="shared" si="80"/>
        <v/>
      </c>
      <c r="T33" s="303">
        <f t="shared" si="80"/>
        <v>8.0429613868189556</v>
      </c>
      <c r="U33" s="303">
        <f t="shared" si="80"/>
        <v>8.0429613868189556</v>
      </c>
      <c r="V33" s="303">
        <f t="shared" si="80"/>
        <v>5.6649015885702871</v>
      </c>
      <c r="W33" s="303" t="str">
        <f t="shared" si="80"/>
        <v/>
      </c>
      <c r="X33" s="303" t="str">
        <f t="shared" si="80"/>
        <v/>
      </c>
      <c r="Y33" s="303" t="str">
        <f t="shared" si="80"/>
        <v/>
      </c>
      <c r="Z33" s="303" t="str">
        <f t="shared" si="80"/>
        <v/>
      </c>
      <c r="AA33" s="303" t="str">
        <f t="shared" si="80"/>
        <v/>
      </c>
      <c r="AB33" s="303" t="str">
        <f t="shared" si="80"/>
        <v/>
      </c>
      <c r="AC33" s="303" t="str">
        <f t="shared" si="80"/>
        <v/>
      </c>
      <c r="AD33" s="303" t="str">
        <f t="shared" si="80"/>
        <v/>
      </c>
      <c r="AE33" s="303" t="str">
        <f t="shared" si="80"/>
        <v/>
      </c>
      <c r="AF33" s="303" t="str">
        <f t="shared" si="80"/>
        <v/>
      </c>
      <c r="AG33" s="303" t="str">
        <f t="shared" si="80"/>
        <v/>
      </c>
      <c r="AH33" s="303" t="str">
        <f t="shared" ref="AH33:BM33" si="81">IF(AH$2="-","",(IF(AH194="","",IF(AH$4&lt;$A33,AH194,(AH194-AH$3)/(1+AH$3%)))))</f>
        <v/>
      </c>
      <c r="AI33" s="303" t="str">
        <f t="shared" si="81"/>
        <v/>
      </c>
      <c r="AJ33" s="303" t="str">
        <f t="shared" si="81"/>
        <v/>
      </c>
      <c r="AK33" s="303" t="str">
        <f t="shared" si="81"/>
        <v/>
      </c>
      <c r="AL33" s="303" t="str">
        <f t="shared" si="81"/>
        <v/>
      </c>
      <c r="AM33" s="303" t="str">
        <f t="shared" si="81"/>
        <v/>
      </c>
      <c r="AN33" s="303" t="str">
        <f t="shared" si="81"/>
        <v/>
      </c>
      <c r="AO33" s="303" t="str">
        <f t="shared" si="81"/>
        <v/>
      </c>
      <c r="AP33" s="303" t="str">
        <f t="shared" si="81"/>
        <v/>
      </c>
      <c r="AQ33" s="303" t="str">
        <f t="shared" si="81"/>
        <v/>
      </c>
      <c r="AR33" s="303" t="str">
        <f t="shared" si="81"/>
        <v/>
      </c>
      <c r="AS33" s="303" t="str">
        <f t="shared" si="81"/>
        <v/>
      </c>
      <c r="AT33" s="303" t="str">
        <f t="shared" si="81"/>
        <v/>
      </c>
      <c r="AU33" s="303" t="str">
        <f t="shared" si="81"/>
        <v/>
      </c>
      <c r="AV33" s="303" t="str">
        <f t="shared" si="81"/>
        <v/>
      </c>
      <c r="AW33" s="303" t="str">
        <f t="shared" si="81"/>
        <v/>
      </c>
      <c r="AX33" s="303" t="str">
        <f t="shared" si="81"/>
        <v/>
      </c>
      <c r="AY33" s="303" t="str">
        <f t="shared" si="81"/>
        <v/>
      </c>
      <c r="AZ33" s="303" t="str">
        <f t="shared" si="81"/>
        <v/>
      </c>
      <c r="BA33" s="303" t="str">
        <f t="shared" si="81"/>
        <v/>
      </c>
      <c r="BB33" s="303" t="str">
        <f t="shared" si="81"/>
        <v/>
      </c>
      <c r="BC33" s="303" t="str">
        <f t="shared" si="81"/>
        <v/>
      </c>
      <c r="BD33" s="303" t="str">
        <f t="shared" si="81"/>
        <v/>
      </c>
      <c r="BE33" s="303" t="str">
        <f t="shared" si="81"/>
        <v/>
      </c>
      <c r="BF33" s="303" t="str">
        <f t="shared" si="81"/>
        <v/>
      </c>
      <c r="BG33" s="303" t="str">
        <f t="shared" si="81"/>
        <v/>
      </c>
      <c r="BH33" s="303" t="str">
        <f t="shared" si="81"/>
        <v/>
      </c>
      <c r="BI33" s="303" t="str">
        <f t="shared" si="81"/>
        <v/>
      </c>
      <c r="BJ33" s="303" t="str">
        <f t="shared" si="81"/>
        <v/>
      </c>
      <c r="BK33" s="303" t="str">
        <f t="shared" si="81"/>
        <v/>
      </c>
      <c r="BL33" s="303" t="str">
        <f t="shared" si="81"/>
        <v/>
      </c>
      <c r="BM33" s="303" t="str">
        <f t="shared" si="81"/>
        <v/>
      </c>
      <c r="BN33" s="303" t="str">
        <f t="shared" ref="BN33:BZ33" si="82">IF(BN$2="-","",(IF(BN194="","",IF(BN$4&lt;$A33,BN194,(BN194-BN$3)/(1+BN$3%)))))</f>
        <v/>
      </c>
      <c r="BO33" s="303" t="str">
        <f t="shared" si="82"/>
        <v/>
      </c>
      <c r="BP33" s="303" t="str">
        <f t="shared" si="82"/>
        <v/>
      </c>
      <c r="BQ33" s="303" t="str">
        <f t="shared" si="82"/>
        <v/>
      </c>
      <c r="BR33" s="303" t="str">
        <f t="shared" si="82"/>
        <v/>
      </c>
      <c r="BS33" s="303" t="str">
        <f t="shared" si="82"/>
        <v/>
      </c>
      <c r="BT33" s="303" t="str">
        <f t="shared" si="82"/>
        <v/>
      </c>
      <c r="BU33" s="303" t="str">
        <f t="shared" si="82"/>
        <v/>
      </c>
      <c r="BV33" s="303" t="str">
        <f t="shared" si="82"/>
        <v/>
      </c>
      <c r="BW33" s="303" t="str">
        <f t="shared" si="82"/>
        <v/>
      </c>
      <c r="BX33" s="303">
        <f t="shared" si="82"/>
        <v>3.0444964871194413</v>
      </c>
      <c r="BY33" s="303">
        <f t="shared" si="82"/>
        <v>8.2590473095925923</v>
      </c>
      <c r="BZ33" s="303">
        <f t="shared" si="82"/>
        <v>5.76</v>
      </c>
      <c r="CA33" s="303">
        <f t="shared" si="10"/>
        <v>-2.8571257405227812</v>
      </c>
    </row>
    <row r="34" spans="1:79">
      <c r="A34" s="58">
        <f t="shared" si="6"/>
        <v>1897</v>
      </c>
      <c r="B34" s="303">
        <f t="shared" ref="B34:AG34" si="83">IF(B$2="-","",(IF(B195="","",IF(B$4&lt;$A34,B195,(B195-B$3)/(1+B$3%)))))</f>
        <v>19.70172034555474</v>
      </c>
      <c r="C34" s="303" t="str">
        <f t="shared" si="83"/>
        <v/>
      </c>
      <c r="D34" s="303">
        <f t="shared" si="83"/>
        <v>19.70172034555474</v>
      </c>
      <c r="E34" s="303" t="str">
        <f t="shared" si="83"/>
        <v/>
      </c>
      <c r="F34" s="303" t="str">
        <f t="shared" si="83"/>
        <v/>
      </c>
      <c r="G34" s="303" t="str">
        <f t="shared" si="83"/>
        <v/>
      </c>
      <c r="H34" s="303" t="str">
        <f t="shared" si="83"/>
        <v/>
      </c>
      <c r="I34" s="303" t="str">
        <f t="shared" si="83"/>
        <v/>
      </c>
      <c r="J34" s="303" t="str">
        <f t="shared" si="83"/>
        <v/>
      </c>
      <c r="K34" s="303" t="str">
        <f t="shared" si="83"/>
        <v/>
      </c>
      <c r="L34" s="303" t="str">
        <f t="shared" si="83"/>
        <v/>
      </c>
      <c r="M34" s="303" t="str">
        <f t="shared" si="83"/>
        <v/>
      </c>
      <c r="N34" s="303" t="str">
        <f t="shared" si="83"/>
        <v/>
      </c>
      <c r="O34" s="303" t="str">
        <f t="shared" si="83"/>
        <v/>
      </c>
      <c r="P34" s="303" t="str">
        <f t="shared" si="83"/>
        <v/>
      </c>
      <c r="Q34" s="303" t="str">
        <f t="shared" si="83"/>
        <v/>
      </c>
      <c r="R34" s="303" t="str">
        <f t="shared" si="83"/>
        <v/>
      </c>
      <c r="S34" s="303" t="str">
        <f t="shared" si="83"/>
        <v/>
      </c>
      <c r="T34" s="303">
        <f t="shared" si="83"/>
        <v>3.1281294452676693</v>
      </c>
      <c r="U34" s="303">
        <f t="shared" si="83"/>
        <v>3.1281294452676693</v>
      </c>
      <c r="V34" s="303">
        <f t="shared" si="83"/>
        <v>3.3469877110600463</v>
      </c>
      <c r="W34" s="303" t="str">
        <f t="shared" si="83"/>
        <v/>
      </c>
      <c r="X34" s="303" t="str">
        <f t="shared" si="83"/>
        <v/>
      </c>
      <c r="Y34" s="303" t="str">
        <f t="shared" si="83"/>
        <v/>
      </c>
      <c r="Z34" s="303" t="str">
        <f t="shared" si="83"/>
        <v/>
      </c>
      <c r="AA34" s="303" t="str">
        <f t="shared" si="83"/>
        <v/>
      </c>
      <c r="AB34" s="303" t="str">
        <f t="shared" si="83"/>
        <v/>
      </c>
      <c r="AC34" s="303" t="str">
        <f t="shared" si="83"/>
        <v/>
      </c>
      <c r="AD34" s="303" t="str">
        <f t="shared" si="83"/>
        <v/>
      </c>
      <c r="AE34" s="303" t="str">
        <f t="shared" si="83"/>
        <v/>
      </c>
      <c r="AF34" s="303" t="str">
        <f t="shared" si="83"/>
        <v/>
      </c>
      <c r="AG34" s="303" t="str">
        <f t="shared" si="83"/>
        <v/>
      </c>
      <c r="AH34" s="303" t="str">
        <f t="shared" ref="AH34:BM34" si="84">IF(AH$2="-","",(IF(AH195="","",IF(AH$4&lt;$A34,AH195,(AH195-AH$3)/(1+AH$3%)))))</f>
        <v/>
      </c>
      <c r="AI34" s="303" t="str">
        <f t="shared" si="84"/>
        <v/>
      </c>
      <c r="AJ34" s="303" t="str">
        <f t="shared" si="84"/>
        <v/>
      </c>
      <c r="AK34" s="303" t="str">
        <f t="shared" si="84"/>
        <v/>
      </c>
      <c r="AL34" s="303" t="str">
        <f t="shared" si="84"/>
        <v/>
      </c>
      <c r="AM34" s="303" t="str">
        <f t="shared" si="84"/>
        <v/>
      </c>
      <c r="AN34" s="303" t="str">
        <f t="shared" si="84"/>
        <v/>
      </c>
      <c r="AO34" s="303" t="str">
        <f t="shared" si="84"/>
        <v/>
      </c>
      <c r="AP34" s="303" t="str">
        <f t="shared" si="84"/>
        <v/>
      </c>
      <c r="AQ34" s="303" t="str">
        <f t="shared" si="84"/>
        <v/>
      </c>
      <c r="AR34" s="303" t="str">
        <f t="shared" si="84"/>
        <v/>
      </c>
      <c r="AS34" s="303" t="str">
        <f t="shared" si="84"/>
        <v/>
      </c>
      <c r="AT34" s="303" t="str">
        <f t="shared" si="84"/>
        <v/>
      </c>
      <c r="AU34" s="303" t="str">
        <f t="shared" si="84"/>
        <v/>
      </c>
      <c r="AV34" s="303" t="str">
        <f t="shared" si="84"/>
        <v/>
      </c>
      <c r="AW34" s="303" t="str">
        <f t="shared" si="84"/>
        <v/>
      </c>
      <c r="AX34" s="303" t="str">
        <f t="shared" si="84"/>
        <v/>
      </c>
      <c r="AY34" s="303" t="str">
        <f t="shared" si="84"/>
        <v/>
      </c>
      <c r="AZ34" s="303" t="str">
        <f t="shared" si="84"/>
        <v/>
      </c>
      <c r="BA34" s="303" t="str">
        <f t="shared" si="84"/>
        <v/>
      </c>
      <c r="BB34" s="303" t="str">
        <f t="shared" si="84"/>
        <v/>
      </c>
      <c r="BC34" s="303" t="str">
        <f t="shared" si="84"/>
        <v/>
      </c>
      <c r="BD34" s="303" t="str">
        <f t="shared" si="84"/>
        <v/>
      </c>
      <c r="BE34" s="303" t="str">
        <f t="shared" si="84"/>
        <v/>
      </c>
      <c r="BF34" s="303" t="str">
        <f t="shared" si="84"/>
        <v/>
      </c>
      <c r="BG34" s="303" t="str">
        <f t="shared" si="84"/>
        <v/>
      </c>
      <c r="BH34" s="303" t="str">
        <f t="shared" si="84"/>
        <v/>
      </c>
      <c r="BI34" s="303" t="str">
        <f t="shared" si="84"/>
        <v/>
      </c>
      <c r="BJ34" s="303" t="str">
        <f t="shared" si="84"/>
        <v/>
      </c>
      <c r="BK34" s="303" t="str">
        <f t="shared" si="84"/>
        <v/>
      </c>
      <c r="BL34" s="303" t="str">
        <f t="shared" si="84"/>
        <v/>
      </c>
      <c r="BM34" s="303" t="str">
        <f t="shared" si="84"/>
        <v/>
      </c>
      <c r="BN34" s="303" t="str">
        <f t="shared" ref="BN34:BZ34" si="85">IF(BN$2="-","",(IF(BN195="","",IF(BN$4&lt;$A34,BN195,(BN195-BN$3)/(1+BN$3%)))))</f>
        <v/>
      </c>
      <c r="BO34" s="303" t="str">
        <f t="shared" si="85"/>
        <v/>
      </c>
      <c r="BP34" s="303" t="str">
        <f t="shared" si="85"/>
        <v/>
      </c>
      <c r="BQ34" s="303" t="str">
        <f t="shared" si="85"/>
        <v/>
      </c>
      <c r="BR34" s="303" t="str">
        <f t="shared" si="85"/>
        <v/>
      </c>
      <c r="BS34" s="303" t="str">
        <f t="shared" si="85"/>
        <v/>
      </c>
      <c r="BT34" s="303" t="str">
        <f t="shared" si="85"/>
        <v/>
      </c>
      <c r="BU34" s="303" t="str">
        <f t="shared" si="85"/>
        <v/>
      </c>
      <c r="BV34" s="303" t="str">
        <f t="shared" si="85"/>
        <v/>
      </c>
      <c r="BW34" s="303" t="str">
        <f t="shared" si="85"/>
        <v/>
      </c>
      <c r="BX34" s="303">
        <f t="shared" si="85"/>
        <v>19.905213270142184</v>
      </c>
      <c r="BY34" s="303">
        <f t="shared" si="85"/>
        <v>3.3343857041582048</v>
      </c>
      <c r="BZ34" s="303">
        <f t="shared" si="85"/>
        <v>3.44</v>
      </c>
      <c r="CA34" s="303">
        <f t="shared" si="10"/>
        <v>2.9411583323045942</v>
      </c>
    </row>
    <row r="35" spans="1:79">
      <c r="A35" s="58">
        <f t="shared" si="6"/>
        <v>1898</v>
      </c>
      <c r="B35" s="303">
        <f t="shared" ref="B35:AG35" si="86">IF(B$2="-","",(IF(B196="","",IF(B$4&lt;$A35,B196,(B196-B$3)/(1+B$3%)))))</f>
        <v>28.470125377022992</v>
      </c>
      <c r="C35" s="303" t="str">
        <f t="shared" si="86"/>
        <v/>
      </c>
      <c r="D35" s="303">
        <f t="shared" si="86"/>
        <v>28.470125377022992</v>
      </c>
      <c r="E35" s="303" t="str">
        <f t="shared" si="86"/>
        <v/>
      </c>
      <c r="F35" s="303" t="str">
        <f t="shared" si="86"/>
        <v/>
      </c>
      <c r="G35" s="303" t="str">
        <f t="shared" si="86"/>
        <v/>
      </c>
      <c r="H35" s="303" t="str">
        <f t="shared" si="86"/>
        <v/>
      </c>
      <c r="I35" s="303" t="str">
        <f t="shared" si="86"/>
        <v/>
      </c>
      <c r="J35" s="303" t="str">
        <f t="shared" si="86"/>
        <v/>
      </c>
      <c r="K35" s="303" t="str">
        <f t="shared" si="86"/>
        <v/>
      </c>
      <c r="L35" s="303" t="str">
        <f t="shared" si="86"/>
        <v/>
      </c>
      <c r="M35" s="303" t="str">
        <f t="shared" si="86"/>
        <v/>
      </c>
      <c r="N35" s="303" t="str">
        <f t="shared" si="86"/>
        <v/>
      </c>
      <c r="O35" s="303" t="str">
        <f t="shared" si="86"/>
        <v/>
      </c>
      <c r="P35" s="303" t="str">
        <f t="shared" si="86"/>
        <v/>
      </c>
      <c r="Q35" s="303" t="str">
        <f t="shared" si="86"/>
        <v/>
      </c>
      <c r="R35" s="303" t="str">
        <f t="shared" si="86"/>
        <v/>
      </c>
      <c r="S35" s="303" t="str">
        <f t="shared" si="86"/>
        <v/>
      </c>
      <c r="T35" s="303">
        <f t="shared" si="86"/>
        <v>4.1764015928871574</v>
      </c>
      <c r="U35" s="303">
        <f t="shared" si="86"/>
        <v>4.1764015928871574</v>
      </c>
      <c r="V35" s="303">
        <f t="shared" si="86"/>
        <v>3.4568888000799283</v>
      </c>
      <c r="W35" s="303" t="str">
        <f t="shared" si="86"/>
        <v/>
      </c>
      <c r="X35" s="303" t="str">
        <f t="shared" si="86"/>
        <v/>
      </c>
      <c r="Y35" s="303" t="str">
        <f t="shared" si="86"/>
        <v/>
      </c>
      <c r="Z35" s="303" t="str">
        <f t="shared" si="86"/>
        <v/>
      </c>
      <c r="AA35" s="303" t="str">
        <f t="shared" si="86"/>
        <v/>
      </c>
      <c r="AB35" s="303" t="str">
        <f t="shared" si="86"/>
        <v/>
      </c>
      <c r="AC35" s="303" t="str">
        <f t="shared" si="86"/>
        <v/>
      </c>
      <c r="AD35" s="303" t="str">
        <f t="shared" si="86"/>
        <v/>
      </c>
      <c r="AE35" s="303" t="str">
        <f t="shared" si="86"/>
        <v/>
      </c>
      <c r="AF35" s="303" t="str">
        <f t="shared" si="86"/>
        <v/>
      </c>
      <c r="AG35" s="303" t="str">
        <f t="shared" si="86"/>
        <v/>
      </c>
      <c r="AH35" s="303" t="str">
        <f t="shared" ref="AH35:BM35" si="87">IF(AH$2="-","",(IF(AH196="","",IF(AH$4&lt;$A35,AH196,(AH196-AH$3)/(1+AH$3%)))))</f>
        <v/>
      </c>
      <c r="AI35" s="303" t="str">
        <f t="shared" si="87"/>
        <v/>
      </c>
      <c r="AJ35" s="303" t="str">
        <f t="shared" si="87"/>
        <v/>
      </c>
      <c r="AK35" s="303" t="str">
        <f t="shared" si="87"/>
        <v/>
      </c>
      <c r="AL35" s="303" t="str">
        <f t="shared" si="87"/>
        <v/>
      </c>
      <c r="AM35" s="303" t="str">
        <f t="shared" si="87"/>
        <v/>
      </c>
      <c r="AN35" s="303" t="str">
        <f t="shared" si="87"/>
        <v/>
      </c>
      <c r="AO35" s="303" t="str">
        <f t="shared" si="87"/>
        <v/>
      </c>
      <c r="AP35" s="303" t="str">
        <f t="shared" si="87"/>
        <v/>
      </c>
      <c r="AQ35" s="303" t="str">
        <f t="shared" si="87"/>
        <v/>
      </c>
      <c r="AR35" s="303" t="str">
        <f t="shared" si="87"/>
        <v/>
      </c>
      <c r="AS35" s="303" t="str">
        <f t="shared" si="87"/>
        <v/>
      </c>
      <c r="AT35" s="303" t="str">
        <f t="shared" si="87"/>
        <v/>
      </c>
      <c r="AU35" s="303" t="str">
        <f t="shared" si="87"/>
        <v/>
      </c>
      <c r="AV35" s="303" t="str">
        <f t="shared" si="87"/>
        <v/>
      </c>
      <c r="AW35" s="303" t="str">
        <f t="shared" si="87"/>
        <v/>
      </c>
      <c r="AX35" s="303" t="str">
        <f t="shared" si="87"/>
        <v/>
      </c>
      <c r="AY35" s="303" t="str">
        <f t="shared" si="87"/>
        <v/>
      </c>
      <c r="AZ35" s="303" t="str">
        <f t="shared" si="87"/>
        <v/>
      </c>
      <c r="BA35" s="303" t="str">
        <f t="shared" si="87"/>
        <v/>
      </c>
      <c r="BB35" s="303" t="str">
        <f t="shared" si="87"/>
        <v/>
      </c>
      <c r="BC35" s="303" t="str">
        <f t="shared" si="87"/>
        <v/>
      </c>
      <c r="BD35" s="303" t="str">
        <f t="shared" si="87"/>
        <v/>
      </c>
      <c r="BE35" s="303" t="str">
        <f t="shared" si="87"/>
        <v/>
      </c>
      <c r="BF35" s="303" t="str">
        <f t="shared" si="87"/>
        <v/>
      </c>
      <c r="BG35" s="303" t="str">
        <f t="shared" si="87"/>
        <v/>
      </c>
      <c r="BH35" s="303" t="str">
        <f t="shared" si="87"/>
        <v/>
      </c>
      <c r="BI35" s="303" t="str">
        <f t="shared" si="87"/>
        <v/>
      </c>
      <c r="BJ35" s="303" t="str">
        <f t="shared" si="87"/>
        <v/>
      </c>
      <c r="BK35" s="303" t="str">
        <f t="shared" si="87"/>
        <v/>
      </c>
      <c r="BL35" s="303" t="str">
        <f t="shared" si="87"/>
        <v/>
      </c>
      <c r="BM35" s="303" t="str">
        <f t="shared" si="87"/>
        <v/>
      </c>
      <c r="BN35" s="303" t="str">
        <f t="shared" ref="BN35:BZ35" si="88">IF(BN$2="-","",(IF(BN196="","",IF(BN$4&lt;$A35,BN196,(BN196-BN$3)/(1+BN$3%)))))</f>
        <v/>
      </c>
      <c r="BO35" s="303" t="str">
        <f t="shared" si="88"/>
        <v/>
      </c>
      <c r="BP35" s="303" t="str">
        <f t="shared" si="88"/>
        <v/>
      </c>
      <c r="BQ35" s="303" t="str">
        <f t="shared" si="88"/>
        <v/>
      </c>
      <c r="BR35" s="303" t="str">
        <f t="shared" si="88"/>
        <v/>
      </c>
      <c r="BS35" s="303" t="str">
        <f t="shared" si="88"/>
        <v/>
      </c>
      <c r="BT35" s="303" t="str">
        <f t="shared" si="88"/>
        <v/>
      </c>
      <c r="BU35" s="303" t="str">
        <f t="shared" si="88"/>
        <v/>
      </c>
      <c r="BV35" s="303" t="str">
        <f t="shared" si="88"/>
        <v/>
      </c>
      <c r="BW35" s="303" t="str">
        <f t="shared" si="88"/>
        <v/>
      </c>
      <c r="BX35" s="303">
        <f t="shared" si="88"/>
        <v>28.688524590163933</v>
      </c>
      <c r="BY35" s="303">
        <f t="shared" si="88"/>
        <v>4.3847543960729318</v>
      </c>
      <c r="BZ35" s="303">
        <f t="shared" si="88"/>
        <v>3.55</v>
      </c>
      <c r="CA35" s="303">
        <f t="shared" si="10"/>
        <v>1.4286236793063845</v>
      </c>
    </row>
    <row r="36" spans="1:79">
      <c r="A36" s="58">
        <f t="shared" si="6"/>
        <v>1899</v>
      </c>
      <c r="B36" s="303">
        <f t="shared" ref="B36:AG36" si="89">IF(B$2="-","",(IF(B197="","",IF(B$4&lt;$A36,B197,(B197-B$3)/(1+B$3%)))))</f>
        <v>3.606763239335232</v>
      </c>
      <c r="C36" s="303" t="str">
        <f t="shared" si="89"/>
        <v/>
      </c>
      <c r="D36" s="303">
        <f t="shared" si="89"/>
        <v>3.606763239335232</v>
      </c>
      <c r="E36" s="303" t="str">
        <f t="shared" si="89"/>
        <v/>
      </c>
      <c r="F36" s="303" t="str">
        <f t="shared" si="89"/>
        <v/>
      </c>
      <c r="G36" s="303" t="str">
        <f t="shared" si="89"/>
        <v/>
      </c>
      <c r="H36" s="303" t="str">
        <f t="shared" si="89"/>
        <v/>
      </c>
      <c r="I36" s="303" t="str">
        <f t="shared" si="89"/>
        <v/>
      </c>
      <c r="J36" s="303" t="str">
        <f t="shared" si="89"/>
        <v/>
      </c>
      <c r="K36" s="303" t="str">
        <f t="shared" si="89"/>
        <v/>
      </c>
      <c r="L36" s="303" t="str">
        <f t="shared" si="89"/>
        <v/>
      </c>
      <c r="M36" s="303" t="str">
        <f t="shared" si="89"/>
        <v/>
      </c>
      <c r="N36" s="303" t="str">
        <f t="shared" si="89"/>
        <v/>
      </c>
      <c r="O36" s="303" t="str">
        <f t="shared" si="89"/>
        <v/>
      </c>
      <c r="P36" s="303" t="str">
        <f t="shared" si="89"/>
        <v/>
      </c>
      <c r="Q36" s="303" t="str">
        <f t="shared" si="89"/>
        <v/>
      </c>
      <c r="R36" s="303" t="str">
        <f t="shared" si="89"/>
        <v/>
      </c>
      <c r="S36" s="303" t="str">
        <f t="shared" si="89"/>
        <v/>
      </c>
      <c r="T36" s="303">
        <f t="shared" si="89"/>
        <v>0.42234756899486492</v>
      </c>
      <c r="U36" s="303">
        <f t="shared" si="89"/>
        <v>0.42234756899486492</v>
      </c>
      <c r="V36" s="303">
        <f t="shared" si="89"/>
        <v>3.2670596463183137</v>
      </c>
      <c r="W36" s="303" t="str">
        <f t="shared" si="89"/>
        <v/>
      </c>
      <c r="X36" s="303" t="str">
        <f t="shared" si="89"/>
        <v/>
      </c>
      <c r="Y36" s="303" t="str">
        <f t="shared" si="89"/>
        <v/>
      </c>
      <c r="Z36" s="303" t="str">
        <f t="shared" si="89"/>
        <v/>
      </c>
      <c r="AA36" s="303" t="str">
        <f t="shared" si="89"/>
        <v/>
      </c>
      <c r="AB36" s="303" t="str">
        <f t="shared" si="89"/>
        <v/>
      </c>
      <c r="AC36" s="303" t="str">
        <f t="shared" si="89"/>
        <v/>
      </c>
      <c r="AD36" s="303" t="str">
        <f t="shared" si="89"/>
        <v/>
      </c>
      <c r="AE36" s="303" t="str">
        <f t="shared" si="89"/>
        <v/>
      </c>
      <c r="AF36" s="303" t="str">
        <f t="shared" si="89"/>
        <v/>
      </c>
      <c r="AG36" s="303" t="str">
        <f t="shared" si="89"/>
        <v/>
      </c>
      <c r="AH36" s="303" t="str">
        <f t="shared" ref="AH36:BM36" si="90">IF(AH$2="-","",(IF(AH197="","",IF(AH$4&lt;$A36,AH197,(AH197-AH$3)/(1+AH$3%)))))</f>
        <v/>
      </c>
      <c r="AI36" s="303" t="str">
        <f t="shared" si="90"/>
        <v/>
      </c>
      <c r="AJ36" s="303" t="str">
        <f t="shared" si="90"/>
        <v/>
      </c>
      <c r="AK36" s="303" t="str">
        <f t="shared" si="90"/>
        <v/>
      </c>
      <c r="AL36" s="303" t="str">
        <f t="shared" si="90"/>
        <v/>
      </c>
      <c r="AM36" s="303" t="str">
        <f t="shared" si="90"/>
        <v/>
      </c>
      <c r="AN36" s="303" t="str">
        <f t="shared" si="90"/>
        <v/>
      </c>
      <c r="AO36" s="303" t="str">
        <f t="shared" si="90"/>
        <v/>
      </c>
      <c r="AP36" s="303" t="str">
        <f t="shared" si="90"/>
        <v/>
      </c>
      <c r="AQ36" s="303" t="str">
        <f t="shared" si="90"/>
        <v/>
      </c>
      <c r="AR36" s="303" t="str">
        <f t="shared" si="90"/>
        <v/>
      </c>
      <c r="AS36" s="303" t="str">
        <f t="shared" si="90"/>
        <v/>
      </c>
      <c r="AT36" s="303" t="str">
        <f t="shared" si="90"/>
        <v/>
      </c>
      <c r="AU36" s="303" t="str">
        <f t="shared" si="90"/>
        <v/>
      </c>
      <c r="AV36" s="303" t="str">
        <f t="shared" si="90"/>
        <v/>
      </c>
      <c r="AW36" s="303" t="str">
        <f t="shared" si="90"/>
        <v/>
      </c>
      <c r="AX36" s="303" t="str">
        <f t="shared" si="90"/>
        <v/>
      </c>
      <c r="AY36" s="303" t="str">
        <f t="shared" si="90"/>
        <v/>
      </c>
      <c r="AZ36" s="303" t="str">
        <f t="shared" si="90"/>
        <v/>
      </c>
      <c r="BA36" s="303" t="str">
        <f t="shared" si="90"/>
        <v/>
      </c>
      <c r="BB36" s="303" t="str">
        <f t="shared" si="90"/>
        <v/>
      </c>
      <c r="BC36" s="303" t="str">
        <f t="shared" si="90"/>
        <v/>
      </c>
      <c r="BD36" s="303" t="str">
        <f t="shared" si="90"/>
        <v/>
      </c>
      <c r="BE36" s="303" t="str">
        <f t="shared" si="90"/>
        <v/>
      </c>
      <c r="BF36" s="303" t="str">
        <f t="shared" si="90"/>
        <v/>
      </c>
      <c r="BG36" s="303" t="str">
        <f t="shared" si="90"/>
        <v/>
      </c>
      <c r="BH36" s="303" t="str">
        <f t="shared" si="90"/>
        <v/>
      </c>
      <c r="BI36" s="303" t="str">
        <f t="shared" si="90"/>
        <v/>
      </c>
      <c r="BJ36" s="303" t="str">
        <f t="shared" si="90"/>
        <v/>
      </c>
      <c r="BK36" s="303" t="str">
        <f t="shared" si="90"/>
        <v/>
      </c>
      <c r="BL36" s="303" t="str">
        <f t="shared" si="90"/>
        <v/>
      </c>
      <c r="BM36" s="303" t="str">
        <f t="shared" si="90"/>
        <v/>
      </c>
      <c r="BN36" s="303" t="str">
        <f t="shared" ref="BN36:BZ36" si="91">IF(BN$2="-","",(IF(BN197="","",IF(BN$4&lt;$A36,BN197,(BN197-BN$3)/(1+BN$3%)))))</f>
        <v/>
      </c>
      <c r="BO36" s="303" t="str">
        <f t="shared" si="91"/>
        <v/>
      </c>
      <c r="BP36" s="303" t="str">
        <f t="shared" si="91"/>
        <v/>
      </c>
      <c r="BQ36" s="303" t="str">
        <f t="shared" si="91"/>
        <v/>
      </c>
      <c r="BR36" s="303" t="str">
        <f t="shared" si="91"/>
        <v/>
      </c>
      <c r="BS36" s="303" t="str">
        <f t="shared" si="91"/>
        <v/>
      </c>
      <c r="BT36" s="303" t="str">
        <f t="shared" si="91"/>
        <v/>
      </c>
      <c r="BU36" s="303" t="str">
        <f t="shared" si="91"/>
        <v/>
      </c>
      <c r="BV36" s="303" t="str">
        <f t="shared" si="91"/>
        <v/>
      </c>
      <c r="BW36" s="303" t="str">
        <f t="shared" si="91"/>
        <v/>
      </c>
      <c r="BX36" s="303">
        <f t="shared" si="91"/>
        <v>3.7828947368421018</v>
      </c>
      <c r="BY36" s="303">
        <f t="shared" si="91"/>
        <v>0.62319226413285467</v>
      </c>
      <c r="BZ36" s="303">
        <f t="shared" si="91"/>
        <v>3.36</v>
      </c>
      <c r="CA36" s="303">
        <f t="shared" si="10"/>
        <v>16.901416915574586</v>
      </c>
    </row>
    <row r="37" spans="1:79">
      <c r="A37" s="58">
        <f t="shared" si="6"/>
        <v>1900</v>
      </c>
      <c r="B37" s="303">
        <f t="shared" ref="B37:AG37" si="92">IF(B$2="-","",(IF(B198="","",IF(B$4&lt;$A37,B198,(B198-B$3)/(1+B$3%)))))</f>
        <v>20.614627264797392</v>
      </c>
      <c r="C37" s="303" t="str">
        <f t="shared" si="92"/>
        <v/>
      </c>
      <c r="D37" s="303">
        <f t="shared" si="92"/>
        <v>20.614627264797392</v>
      </c>
      <c r="E37" s="303" t="str">
        <f t="shared" si="92"/>
        <v/>
      </c>
      <c r="F37" s="303" t="str">
        <f t="shared" si="92"/>
        <v/>
      </c>
      <c r="G37" s="303" t="str">
        <f t="shared" si="92"/>
        <v/>
      </c>
      <c r="H37" s="303" t="str">
        <f t="shared" si="92"/>
        <v/>
      </c>
      <c r="I37" s="303" t="str">
        <f t="shared" si="92"/>
        <v/>
      </c>
      <c r="J37" s="303" t="str">
        <f t="shared" si="92"/>
        <v/>
      </c>
      <c r="K37" s="303" t="str">
        <f t="shared" si="92"/>
        <v/>
      </c>
      <c r="L37" s="303" t="str">
        <f t="shared" si="92"/>
        <v/>
      </c>
      <c r="M37" s="303" t="str">
        <f t="shared" si="92"/>
        <v/>
      </c>
      <c r="N37" s="303" t="str">
        <f t="shared" si="92"/>
        <v/>
      </c>
      <c r="O37" s="303" t="str">
        <f t="shared" si="92"/>
        <v/>
      </c>
      <c r="P37" s="303" t="str">
        <f t="shared" si="92"/>
        <v/>
      </c>
      <c r="Q37" s="303" t="str">
        <f t="shared" si="92"/>
        <v/>
      </c>
      <c r="R37" s="303" t="str">
        <f t="shared" si="92"/>
        <v/>
      </c>
      <c r="S37" s="303" t="str">
        <f t="shared" si="92"/>
        <v/>
      </c>
      <c r="T37" s="303">
        <f t="shared" si="92"/>
        <v>3.5639963402149846</v>
      </c>
      <c r="U37" s="303">
        <f t="shared" si="92"/>
        <v>3.5639963402149846</v>
      </c>
      <c r="V37" s="303">
        <f t="shared" si="92"/>
        <v>4.5459086821860328</v>
      </c>
      <c r="W37" s="303" t="str">
        <f t="shared" si="92"/>
        <v/>
      </c>
      <c r="X37" s="303" t="str">
        <f t="shared" si="92"/>
        <v/>
      </c>
      <c r="Y37" s="303" t="str">
        <f t="shared" si="92"/>
        <v/>
      </c>
      <c r="Z37" s="303" t="str">
        <f t="shared" si="92"/>
        <v/>
      </c>
      <c r="AA37" s="303" t="str">
        <f t="shared" si="92"/>
        <v/>
      </c>
      <c r="AB37" s="303" t="str">
        <f t="shared" si="92"/>
        <v/>
      </c>
      <c r="AC37" s="303" t="str">
        <f t="shared" si="92"/>
        <v/>
      </c>
      <c r="AD37" s="303" t="str">
        <f t="shared" si="92"/>
        <v/>
      </c>
      <c r="AE37" s="303" t="str">
        <f t="shared" si="92"/>
        <v/>
      </c>
      <c r="AF37" s="303" t="str">
        <f t="shared" si="92"/>
        <v/>
      </c>
      <c r="AG37" s="303" t="str">
        <f t="shared" si="92"/>
        <v/>
      </c>
      <c r="AH37" s="303" t="str">
        <f t="shared" ref="AH37:BM37" si="93">IF(AH$2="-","",(IF(AH198="","",IF(AH$4&lt;$A37,AH198,(AH198-AH$3)/(1+AH$3%)))))</f>
        <v/>
      </c>
      <c r="AI37" s="303" t="str">
        <f t="shared" si="93"/>
        <v/>
      </c>
      <c r="AJ37" s="303" t="str">
        <f t="shared" si="93"/>
        <v/>
      </c>
      <c r="AK37" s="303" t="str">
        <f t="shared" si="93"/>
        <v/>
      </c>
      <c r="AL37" s="303" t="str">
        <f t="shared" si="93"/>
        <v/>
      </c>
      <c r="AM37" s="303" t="str">
        <f t="shared" si="93"/>
        <v/>
      </c>
      <c r="AN37" s="303" t="str">
        <f t="shared" si="93"/>
        <v/>
      </c>
      <c r="AO37" s="303" t="str">
        <f t="shared" si="93"/>
        <v/>
      </c>
      <c r="AP37" s="303" t="str">
        <f t="shared" si="93"/>
        <v/>
      </c>
      <c r="AQ37" s="303" t="str">
        <f t="shared" si="93"/>
        <v/>
      </c>
      <c r="AR37" s="303" t="str">
        <f t="shared" si="93"/>
        <v/>
      </c>
      <c r="AS37" s="303" t="str">
        <f t="shared" si="93"/>
        <v/>
      </c>
      <c r="AT37" s="303" t="str">
        <f t="shared" si="93"/>
        <v/>
      </c>
      <c r="AU37" s="303" t="str">
        <f t="shared" si="93"/>
        <v/>
      </c>
      <c r="AV37" s="303" t="str">
        <f t="shared" si="93"/>
        <v/>
      </c>
      <c r="AW37" s="303" t="str">
        <f t="shared" si="93"/>
        <v/>
      </c>
      <c r="AX37" s="303" t="str">
        <f t="shared" si="93"/>
        <v/>
      </c>
      <c r="AY37" s="303" t="str">
        <f t="shared" si="93"/>
        <v/>
      </c>
      <c r="AZ37" s="303" t="str">
        <f t="shared" si="93"/>
        <v/>
      </c>
      <c r="BA37" s="303" t="str">
        <f t="shared" si="93"/>
        <v/>
      </c>
      <c r="BB37" s="303" t="str">
        <f t="shared" si="93"/>
        <v/>
      </c>
      <c r="BC37" s="303" t="str">
        <f t="shared" si="93"/>
        <v/>
      </c>
      <c r="BD37" s="303" t="str">
        <f t="shared" si="93"/>
        <v/>
      </c>
      <c r="BE37" s="303" t="str">
        <f t="shared" si="93"/>
        <v/>
      </c>
      <c r="BF37" s="303" t="str">
        <f t="shared" si="93"/>
        <v/>
      </c>
      <c r="BG37" s="303" t="str">
        <f t="shared" si="93"/>
        <v/>
      </c>
      <c r="BH37" s="303" t="str">
        <f t="shared" si="93"/>
        <v/>
      </c>
      <c r="BI37" s="303" t="str">
        <f t="shared" si="93"/>
        <v/>
      </c>
      <c r="BJ37" s="303" t="str">
        <f t="shared" si="93"/>
        <v/>
      </c>
      <c r="BK37" s="303" t="str">
        <f t="shared" si="93"/>
        <v/>
      </c>
      <c r="BL37" s="303" t="str">
        <f t="shared" si="93"/>
        <v/>
      </c>
      <c r="BM37" s="303" t="str">
        <f t="shared" si="93"/>
        <v/>
      </c>
      <c r="BN37" s="303" t="str">
        <f t="shared" ref="BN37:BZ37" si="94">IF(BN$2="-","",(IF(BN198="","",IF(BN$4&lt;$A37,BN198,(BN198-BN$3)/(1+BN$3%)))))</f>
        <v/>
      </c>
      <c r="BO37" s="303" t="str">
        <f t="shared" si="94"/>
        <v/>
      </c>
      <c r="BP37" s="303" t="str">
        <f t="shared" si="94"/>
        <v/>
      </c>
      <c r="BQ37" s="303" t="str">
        <f t="shared" si="94"/>
        <v/>
      </c>
      <c r="BR37" s="303" t="str">
        <f t="shared" si="94"/>
        <v/>
      </c>
      <c r="BS37" s="303" t="str">
        <f t="shared" si="94"/>
        <v/>
      </c>
      <c r="BT37" s="303" t="str">
        <f t="shared" si="94"/>
        <v/>
      </c>
      <c r="BU37" s="303" t="str">
        <f t="shared" si="94"/>
        <v/>
      </c>
      <c r="BV37" s="303" t="str">
        <f t="shared" si="94"/>
        <v/>
      </c>
      <c r="BW37" s="303" t="str">
        <f t="shared" si="94"/>
        <v/>
      </c>
      <c r="BX37" s="303">
        <f t="shared" si="94"/>
        <v>20.819672131147549</v>
      </c>
      <c r="BY37" s="303">
        <f t="shared" si="94"/>
        <v>3.7711243328954147</v>
      </c>
      <c r="BZ37" s="303">
        <f t="shared" si="94"/>
        <v>4.6399999999999997</v>
      </c>
      <c r="CA37" s="303">
        <f t="shared" si="10"/>
        <v>-2.4097252721321683</v>
      </c>
    </row>
    <row r="38" spans="1:79">
      <c r="A38" s="58">
        <f t="shared" si="6"/>
        <v>1901</v>
      </c>
      <c r="B38" s="303">
        <f t="shared" ref="B38:AG38" si="95">IF(B$2="-","",(IF(B199="","",IF(B$4&lt;$A38,B199,(B199-B$3)/(1+B$3%)))))</f>
        <v>19.175054458340188</v>
      </c>
      <c r="C38" s="303" t="str">
        <f t="shared" si="95"/>
        <v/>
      </c>
      <c r="D38" s="303">
        <f t="shared" si="95"/>
        <v>19.175054458340188</v>
      </c>
      <c r="E38" s="303" t="str">
        <f t="shared" si="95"/>
        <v/>
      </c>
      <c r="F38" s="303" t="str">
        <f t="shared" si="95"/>
        <v/>
      </c>
      <c r="G38" s="303" t="str">
        <f t="shared" si="95"/>
        <v/>
      </c>
      <c r="H38" s="303" t="str">
        <f t="shared" si="95"/>
        <v/>
      </c>
      <c r="I38" s="303" t="str">
        <f t="shared" si="95"/>
        <v/>
      </c>
      <c r="J38" s="303" t="str">
        <f t="shared" si="95"/>
        <v/>
      </c>
      <c r="K38" s="303" t="str">
        <f t="shared" si="95"/>
        <v/>
      </c>
      <c r="L38" s="303" t="str">
        <f t="shared" si="95"/>
        <v/>
      </c>
      <c r="M38" s="303" t="str">
        <f t="shared" si="95"/>
        <v/>
      </c>
      <c r="N38" s="303" t="str">
        <f t="shared" si="95"/>
        <v/>
      </c>
      <c r="O38" s="303" t="str">
        <f t="shared" si="95"/>
        <v/>
      </c>
      <c r="P38" s="303" t="str">
        <f t="shared" si="95"/>
        <v/>
      </c>
      <c r="Q38" s="303" t="str">
        <f t="shared" si="95"/>
        <v/>
      </c>
      <c r="R38" s="303" t="str">
        <f t="shared" si="95"/>
        <v/>
      </c>
      <c r="S38" s="303" t="str">
        <f t="shared" si="95"/>
        <v/>
      </c>
      <c r="T38" s="303">
        <f t="shared" si="95"/>
        <v>1.7978997514205746</v>
      </c>
      <c r="U38" s="303">
        <f t="shared" si="95"/>
        <v>1.7978997514205746</v>
      </c>
      <c r="V38" s="303">
        <f t="shared" si="95"/>
        <v>4.20621440703367</v>
      </c>
      <c r="W38" s="303" t="str">
        <f t="shared" si="95"/>
        <v/>
      </c>
      <c r="X38" s="303" t="str">
        <f t="shared" si="95"/>
        <v/>
      </c>
      <c r="Y38" s="303" t="str">
        <f t="shared" si="95"/>
        <v/>
      </c>
      <c r="Z38" s="303" t="str">
        <f t="shared" si="95"/>
        <v/>
      </c>
      <c r="AA38" s="303" t="str">
        <f t="shared" si="95"/>
        <v/>
      </c>
      <c r="AB38" s="303" t="str">
        <f t="shared" si="95"/>
        <v/>
      </c>
      <c r="AC38" s="303" t="str">
        <f t="shared" si="95"/>
        <v/>
      </c>
      <c r="AD38" s="303" t="str">
        <f t="shared" si="95"/>
        <v/>
      </c>
      <c r="AE38" s="303" t="str">
        <f t="shared" si="95"/>
        <v/>
      </c>
      <c r="AF38" s="303" t="str">
        <f t="shared" si="95"/>
        <v/>
      </c>
      <c r="AG38" s="303" t="str">
        <f t="shared" si="95"/>
        <v/>
      </c>
      <c r="AH38" s="303" t="str">
        <f t="shared" ref="AH38:BM38" si="96">IF(AH$2="-","",(IF(AH199="","",IF(AH$4&lt;$A38,AH199,(AH199-AH$3)/(1+AH$3%)))))</f>
        <v/>
      </c>
      <c r="AI38" s="303" t="str">
        <f t="shared" si="96"/>
        <v/>
      </c>
      <c r="AJ38" s="303" t="str">
        <f t="shared" si="96"/>
        <v/>
      </c>
      <c r="AK38" s="303" t="str">
        <f t="shared" si="96"/>
        <v/>
      </c>
      <c r="AL38" s="303" t="str">
        <f t="shared" si="96"/>
        <v/>
      </c>
      <c r="AM38" s="303" t="str">
        <f t="shared" si="96"/>
        <v/>
      </c>
      <c r="AN38" s="303" t="str">
        <f t="shared" si="96"/>
        <v/>
      </c>
      <c r="AO38" s="303" t="str">
        <f t="shared" si="96"/>
        <v/>
      </c>
      <c r="AP38" s="303" t="str">
        <f t="shared" si="96"/>
        <v/>
      </c>
      <c r="AQ38" s="303" t="str">
        <f t="shared" si="96"/>
        <v/>
      </c>
      <c r="AR38" s="303" t="str">
        <f t="shared" si="96"/>
        <v/>
      </c>
      <c r="AS38" s="303" t="str">
        <f t="shared" si="96"/>
        <v/>
      </c>
      <c r="AT38" s="303" t="str">
        <f t="shared" si="96"/>
        <v/>
      </c>
      <c r="AU38" s="303" t="str">
        <f t="shared" si="96"/>
        <v/>
      </c>
      <c r="AV38" s="303" t="str">
        <f t="shared" si="96"/>
        <v/>
      </c>
      <c r="AW38" s="303" t="str">
        <f t="shared" si="96"/>
        <v/>
      </c>
      <c r="AX38" s="303" t="str">
        <f t="shared" si="96"/>
        <v/>
      </c>
      <c r="AY38" s="303" t="str">
        <f t="shared" si="96"/>
        <v/>
      </c>
      <c r="AZ38" s="303" t="str">
        <f t="shared" si="96"/>
        <v/>
      </c>
      <c r="BA38" s="303" t="str">
        <f t="shared" si="96"/>
        <v/>
      </c>
      <c r="BB38" s="303" t="str">
        <f t="shared" si="96"/>
        <v/>
      </c>
      <c r="BC38" s="303" t="str">
        <f t="shared" si="96"/>
        <v/>
      </c>
      <c r="BD38" s="303" t="str">
        <f t="shared" si="96"/>
        <v/>
      </c>
      <c r="BE38" s="303" t="str">
        <f t="shared" si="96"/>
        <v/>
      </c>
      <c r="BF38" s="303" t="str">
        <f t="shared" si="96"/>
        <v/>
      </c>
      <c r="BG38" s="303" t="str">
        <f t="shared" si="96"/>
        <v/>
      </c>
      <c r="BH38" s="303" t="str">
        <f t="shared" si="96"/>
        <v/>
      </c>
      <c r="BI38" s="303" t="str">
        <f t="shared" si="96"/>
        <v/>
      </c>
      <c r="BJ38" s="303" t="str">
        <f t="shared" si="96"/>
        <v/>
      </c>
      <c r="BK38" s="303" t="str">
        <f t="shared" si="96"/>
        <v/>
      </c>
      <c r="BL38" s="303" t="str">
        <f t="shared" si="96"/>
        <v/>
      </c>
      <c r="BM38" s="303" t="str">
        <f t="shared" si="96"/>
        <v/>
      </c>
      <c r="BN38" s="303" t="str">
        <f t="shared" ref="BN38:BZ38" si="97">IF(BN$2="-","",(IF(BN199="","",IF(BN$4&lt;$A38,BN199,(BN199-BN$3)/(1+BN$3%)))))</f>
        <v/>
      </c>
      <c r="BO38" s="303" t="str">
        <f t="shared" si="97"/>
        <v/>
      </c>
      <c r="BP38" s="303" t="str">
        <f t="shared" si="97"/>
        <v/>
      </c>
      <c r="BQ38" s="303" t="str">
        <f t="shared" si="97"/>
        <v/>
      </c>
      <c r="BR38" s="303" t="str">
        <f t="shared" si="97"/>
        <v/>
      </c>
      <c r="BS38" s="303" t="str">
        <f t="shared" si="97"/>
        <v/>
      </c>
      <c r="BT38" s="303" t="str">
        <f t="shared" si="97"/>
        <v/>
      </c>
      <c r="BU38" s="303" t="str">
        <f t="shared" si="97"/>
        <v/>
      </c>
      <c r="BV38" s="303" t="str">
        <f t="shared" si="97"/>
        <v/>
      </c>
      <c r="BW38" s="303" t="str">
        <f t="shared" si="97"/>
        <v/>
      </c>
      <c r="BX38" s="303">
        <f t="shared" si="97"/>
        <v>19.377652050919369</v>
      </c>
      <c r="BY38" s="303">
        <f t="shared" si="97"/>
        <v>2.0014955509234156</v>
      </c>
      <c r="BZ38" s="303">
        <f t="shared" si="97"/>
        <v>4.3</v>
      </c>
      <c r="CA38" s="303">
        <f t="shared" si="10"/>
        <v>2.4692268557002572</v>
      </c>
    </row>
    <row r="39" spans="1:79">
      <c r="A39" s="58">
        <f t="shared" si="6"/>
        <v>1902</v>
      </c>
      <c r="B39" s="303">
        <f t="shared" ref="B39:AG39" si="98">IF(B$2="-","",(IF(B200="","",IF(B$4&lt;$A39,B200,(B200-B$3)/(1+B$3%)))))</f>
        <v>8.0675167486209602</v>
      </c>
      <c r="C39" s="303" t="str">
        <f t="shared" si="98"/>
        <v/>
      </c>
      <c r="D39" s="303">
        <f t="shared" si="98"/>
        <v>8.0675167486209602</v>
      </c>
      <c r="E39" s="303" t="str">
        <f t="shared" si="98"/>
        <v/>
      </c>
      <c r="F39" s="303" t="str">
        <f t="shared" si="98"/>
        <v/>
      </c>
      <c r="G39" s="303" t="str">
        <f t="shared" si="98"/>
        <v/>
      </c>
      <c r="H39" s="303" t="str">
        <f t="shared" si="98"/>
        <v/>
      </c>
      <c r="I39" s="303" t="str">
        <f t="shared" si="98"/>
        <v/>
      </c>
      <c r="J39" s="303" t="str">
        <f t="shared" si="98"/>
        <v/>
      </c>
      <c r="K39" s="303" t="str">
        <f t="shared" si="98"/>
        <v/>
      </c>
      <c r="L39" s="303" t="str">
        <f t="shared" si="98"/>
        <v/>
      </c>
      <c r="M39" s="303" t="str">
        <f t="shared" si="98"/>
        <v/>
      </c>
      <c r="N39" s="303" t="str">
        <f t="shared" si="98"/>
        <v/>
      </c>
      <c r="O39" s="303" t="str">
        <f t="shared" si="98"/>
        <v/>
      </c>
      <c r="P39" s="303" t="str">
        <f t="shared" si="98"/>
        <v/>
      </c>
      <c r="Q39" s="303" t="str">
        <f t="shared" si="98"/>
        <v/>
      </c>
      <c r="R39" s="303" t="str">
        <f t="shared" si="98"/>
        <v/>
      </c>
      <c r="S39" s="303" t="str">
        <f t="shared" si="98"/>
        <v/>
      </c>
      <c r="T39" s="303">
        <f t="shared" si="98"/>
        <v>1.1068981462034484</v>
      </c>
      <c r="U39" s="303">
        <f t="shared" si="98"/>
        <v>1.1068981462034484</v>
      </c>
      <c r="V39" s="303">
        <f t="shared" si="98"/>
        <v>4.6258367469277655</v>
      </c>
      <c r="W39" s="303" t="str">
        <f t="shared" si="98"/>
        <v/>
      </c>
      <c r="X39" s="303" t="str">
        <f t="shared" si="98"/>
        <v/>
      </c>
      <c r="Y39" s="303" t="str">
        <f t="shared" si="98"/>
        <v/>
      </c>
      <c r="Z39" s="303" t="str">
        <f t="shared" si="98"/>
        <v/>
      </c>
      <c r="AA39" s="303" t="str">
        <f t="shared" si="98"/>
        <v/>
      </c>
      <c r="AB39" s="303" t="str">
        <f t="shared" si="98"/>
        <v/>
      </c>
      <c r="AC39" s="303" t="str">
        <f t="shared" si="98"/>
        <v/>
      </c>
      <c r="AD39" s="303" t="str">
        <f t="shared" si="98"/>
        <v/>
      </c>
      <c r="AE39" s="303" t="str">
        <f t="shared" si="98"/>
        <v/>
      </c>
      <c r="AF39" s="303" t="str">
        <f t="shared" si="98"/>
        <v/>
      </c>
      <c r="AG39" s="303" t="str">
        <f t="shared" si="98"/>
        <v/>
      </c>
      <c r="AH39" s="303" t="str">
        <f t="shared" ref="AH39:BM39" si="99">IF(AH$2="-","",(IF(AH200="","",IF(AH$4&lt;$A39,AH200,(AH200-AH$3)/(1+AH$3%)))))</f>
        <v/>
      </c>
      <c r="AI39" s="303" t="str">
        <f t="shared" si="99"/>
        <v/>
      </c>
      <c r="AJ39" s="303" t="str">
        <f t="shared" si="99"/>
        <v/>
      </c>
      <c r="AK39" s="303" t="str">
        <f t="shared" si="99"/>
        <v/>
      </c>
      <c r="AL39" s="303" t="str">
        <f t="shared" si="99"/>
        <v/>
      </c>
      <c r="AM39" s="303" t="str">
        <f t="shared" si="99"/>
        <v/>
      </c>
      <c r="AN39" s="303" t="str">
        <f t="shared" si="99"/>
        <v/>
      </c>
      <c r="AO39" s="303" t="str">
        <f t="shared" si="99"/>
        <v/>
      </c>
      <c r="AP39" s="303" t="str">
        <f t="shared" si="99"/>
        <v/>
      </c>
      <c r="AQ39" s="303" t="str">
        <f t="shared" si="99"/>
        <v/>
      </c>
      <c r="AR39" s="303" t="str">
        <f t="shared" si="99"/>
        <v/>
      </c>
      <c r="AS39" s="303" t="str">
        <f t="shared" si="99"/>
        <v/>
      </c>
      <c r="AT39" s="303" t="str">
        <f t="shared" si="99"/>
        <v/>
      </c>
      <c r="AU39" s="303" t="str">
        <f t="shared" si="99"/>
        <v/>
      </c>
      <c r="AV39" s="303" t="str">
        <f t="shared" si="99"/>
        <v/>
      </c>
      <c r="AW39" s="303" t="str">
        <f t="shared" si="99"/>
        <v/>
      </c>
      <c r="AX39" s="303" t="str">
        <f t="shared" si="99"/>
        <v/>
      </c>
      <c r="AY39" s="303" t="str">
        <f t="shared" si="99"/>
        <v/>
      </c>
      <c r="AZ39" s="303" t="str">
        <f t="shared" si="99"/>
        <v/>
      </c>
      <c r="BA39" s="303" t="str">
        <f t="shared" si="99"/>
        <v/>
      </c>
      <c r="BB39" s="303" t="str">
        <f t="shared" si="99"/>
        <v/>
      </c>
      <c r="BC39" s="303" t="str">
        <f t="shared" si="99"/>
        <v/>
      </c>
      <c r="BD39" s="303" t="str">
        <f t="shared" si="99"/>
        <v/>
      </c>
      <c r="BE39" s="303" t="str">
        <f t="shared" si="99"/>
        <v/>
      </c>
      <c r="BF39" s="303" t="str">
        <f t="shared" si="99"/>
        <v/>
      </c>
      <c r="BG39" s="303" t="str">
        <f t="shared" si="99"/>
        <v/>
      </c>
      <c r="BH39" s="303" t="str">
        <f t="shared" si="99"/>
        <v/>
      </c>
      <c r="BI39" s="303" t="str">
        <f t="shared" si="99"/>
        <v/>
      </c>
      <c r="BJ39" s="303" t="str">
        <f t="shared" si="99"/>
        <v/>
      </c>
      <c r="BK39" s="303" t="str">
        <f t="shared" si="99"/>
        <v/>
      </c>
      <c r="BL39" s="303" t="str">
        <f t="shared" si="99"/>
        <v/>
      </c>
      <c r="BM39" s="303" t="str">
        <f t="shared" si="99"/>
        <v/>
      </c>
      <c r="BN39" s="303" t="str">
        <f t="shared" ref="BN39:BZ39" si="100">IF(BN$2="-","",(IF(BN200="","",IF(BN$4&lt;$A39,BN200,(BN200-BN$3)/(1+BN$3%)))))</f>
        <v/>
      </c>
      <c r="BO39" s="303" t="str">
        <f t="shared" si="100"/>
        <v/>
      </c>
      <c r="BP39" s="303" t="str">
        <f t="shared" si="100"/>
        <v/>
      </c>
      <c r="BQ39" s="303" t="str">
        <f t="shared" si="100"/>
        <v/>
      </c>
      <c r="BR39" s="303" t="str">
        <f t="shared" si="100"/>
        <v/>
      </c>
      <c r="BS39" s="303" t="str">
        <f t="shared" si="100"/>
        <v/>
      </c>
      <c r="BT39" s="303" t="str">
        <f t="shared" si="100"/>
        <v/>
      </c>
      <c r="BU39" s="303" t="str">
        <f t="shared" si="100"/>
        <v/>
      </c>
      <c r="BV39" s="303" t="str">
        <f t="shared" si="100"/>
        <v/>
      </c>
      <c r="BW39" s="303" t="str">
        <f t="shared" si="100"/>
        <v/>
      </c>
      <c r="BX39" s="303">
        <f t="shared" si="100"/>
        <v>8.2512315270936156</v>
      </c>
      <c r="BY39" s="303">
        <f t="shared" si="100"/>
        <v>1.3091119424958553</v>
      </c>
      <c r="BZ39" s="303">
        <f t="shared" si="100"/>
        <v>4.72</v>
      </c>
      <c r="CA39" s="303">
        <f t="shared" si="10"/>
        <v>9.6385921140000441</v>
      </c>
    </row>
    <row r="40" spans="1:79">
      <c r="A40" s="58">
        <f t="shared" si="6"/>
        <v>1903</v>
      </c>
      <c r="B40" s="303">
        <f t="shared" ref="B40:AG40" si="101">IF(B$2="-","",(IF(B201="","",IF(B$4&lt;$A40,B201,(B201-B$3)/(1+B$3%)))))</f>
        <v>-17.044098318909882</v>
      </c>
      <c r="C40" s="303" t="str">
        <f t="shared" si="101"/>
        <v/>
      </c>
      <c r="D40" s="303">
        <f t="shared" si="101"/>
        <v>-17.044098318909882</v>
      </c>
      <c r="E40" s="303" t="str">
        <f t="shared" si="101"/>
        <v/>
      </c>
      <c r="F40" s="303" t="str">
        <f t="shared" si="101"/>
        <v/>
      </c>
      <c r="G40" s="303" t="str">
        <f t="shared" si="101"/>
        <v/>
      </c>
      <c r="H40" s="303" t="str">
        <f t="shared" si="101"/>
        <v/>
      </c>
      <c r="I40" s="303" t="str">
        <f t="shared" si="101"/>
        <v/>
      </c>
      <c r="J40" s="303" t="str">
        <f t="shared" si="101"/>
        <v/>
      </c>
      <c r="K40" s="303" t="str">
        <f t="shared" si="101"/>
        <v/>
      </c>
      <c r="L40" s="303" t="str">
        <f t="shared" si="101"/>
        <v/>
      </c>
      <c r="M40" s="303" t="str">
        <f t="shared" si="101"/>
        <v/>
      </c>
      <c r="N40" s="303" t="str">
        <f t="shared" si="101"/>
        <v/>
      </c>
      <c r="O40" s="303" t="str">
        <f t="shared" si="101"/>
        <v/>
      </c>
      <c r="P40" s="303" t="str">
        <f t="shared" si="101"/>
        <v/>
      </c>
      <c r="Q40" s="303" t="str">
        <f t="shared" si="101"/>
        <v/>
      </c>
      <c r="R40" s="303" t="str">
        <f t="shared" si="101"/>
        <v/>
      </c>
      <c r="S40" s="303" t="str">
        <f t="shared" si="101"/>
        <v/>
      </c>
      <c r="T40" s="303">
        <f t="shared" si="101"/>
        <v>4.7419780097891335</v>
      </c>
      <c r="U40" s="303">
        <f t="shared" si="101"/>
        <v>4.7419780097891335</v>
      </c>
      <c r="V40" s="303">
        <f t="shared" si="101"/>
        <v>5.4051353781596569</v>
      </c>
      <c r="W40" s="303" t="str">
        <f t="shared" si="101"/>
        <v/>
      </c>
      <c r="X40" s="303" t="str">
        <f t="shared" si="101"/>
        <v/>
      </c>
      <c r="Y40" s="303" t="str">
        <f t="shared" si="101"/>
        <v/>
      </c>
      <c r="Z40" s="303" t="str">
        <f t="shared" si="101"/>
        <v/>
      </c>
      <c r="AA40" s="303" t="str">
        <f t="shared" si="101"/>
        <v/>
      </c>
      <c r="AB40" s="303" t="str">
        <f t="shared" si="101"/>
        <v/>
      </c>
      <c r="AC40" s="303" t="str">
        <f t="shared" si="101"/>
        <v/>
      </c>
      <c r="AD40" s="303" t="str">
        <f t="shared" si="101"/>
        <v/>
      </c>
      <c r="AE40" s="303" t="str">
        <f t="shared" si="101"/>
        <v/>
      </c>
      <c r="AF40" s="303" t="str">
        <f t="shared" si="101"/>
        <v/>
      </c>
      <c r="AG40" s="303" t="str">
        <f t="shared" si="101"/>
        <v/>
      </c>
      <c r="AH40" s="303" t="str">
        <f t="shared" ref="AH40:BM40" si="102">IF(AH$2="-","",(IF(AH201="","",IF(AH$4&lt;$A40,AH201,(AH201-AH$3)/(1+AH$3%)))))</f>
        <v/>
      </c>
      <c r="AI40" s="303" t="str">
        <f t="shared" si="102"/>
        <v/>
      </c>
      <c r="AJ40" s="303" t="str">
        <f t="shared" si="102"/>
        <v/>
      </c>
      <c r="AK40" s="303" t="str">
        <f t="shared" si="102"/>
        <v/>
      </c>
      <c r="AL40" s="303" t="str">
        <f t="shared" si="102"/>
        <v/>
      </c>
      <c r="AM40" s="303" t="str">
        <f t="shared" si="102"/>
        <v/>
      </c>
      <c r="AN40" s="303" t="str">
        <f t="shared" si="102"/>
        <v/>
      </c>
      <c r="AO40" s="303" t="str">
        <f t="shared" si="102"/>
        <v/>
      </c>
      <c r="AP40" s="303" t="str">
        <f t="shared" si="102"/>
        <v/>
      </c>
      <c r="AQ40" s="303" t="str">
        <f t="shared" si="102"/>
        <v/>
      </c>
      <c r="AR40" s="303" t="str">
        <f t="shared" si="102"/>
        <v/>
      </c>
      <c r="AS40" s="303" t="str">
        <f t="shared" si="102"/>
        <v/>
      </c>
      <c r="AT40" s="303" t="str">
        <f t="shared" si="102"/>
        <v/>
      </c>
      <c r="AU40" s="303" t="str">
        <f t="shared" si="102"/>
        <v/>
      </c>
      <c r="AV40" s="303" t="str">
        <f t="shared" si="102"/>
        <v/>
      </c>
      <c r="AW40" s="303" t="str">
        <f t="shared" si="102"/>
        <v/>
      </c>
      <c r="AX40" s="303" t="str">
        <f t="shared" si="102"/>
        <v/>
      </c>
      <c r="AY40" s="303" t="str">
        <f t="shared" si="102"/>
        <v/>
      </c>
      <c r="AZ40" s="303" t="str">
        <f t="shared" si="102"/>
        <v/>
      </c>
      <c r="BA40" s="303" t="str">
        <f t="shared" si="102"/>
        <v/>
      </c>
      <c r="BB40" s="303" t="str">
        <f t="shared" si="102"/>
        <v/>
      </c>
      <c r="BC40" s="303" t="str">
        <f t="shared" si="102"/>
        <v/>
      </c>
      <c r="BD40" s="303" t="str">
        <f t="shared" si="102"/>
        <v/>
      </c>
      <c r="BE40" s="303" t="str">
        <f t="shared" si="102"/>
        <v/>
      </c>
      <c r="BF40" s="303" t="str">
        <f t="shared" si="102"/>
        <v/>
      </c>
      <c r="BG40" s="303" t="str">
        <f t="shared" si="102"/>
        <v/>
      </c>
      <c r="BH40" s="303" t="str">
        <f t="shared" si="102"/>
        <v/>
      </c>
      <c r="BI40" s="303" t="str">
        <f t="shared" si="102"/>
        <v/>
      </c>
      <c r="BJ40" s="303" t="str">
        <f t="shared" si="102"/>
        <v/>
      </c>
      <c r="BK40" s="303" t="str">
        <f t="shared" si="102"/>
        <v/>
      </c>
      <c r="BL40" s="303" t="str">
        <f t="shared" si="102"/>
        <v/>
      </c>
      <c r="BM40" s="303" t="str">
        <f t="shared" si="102"/>
        <v/>
      </c>
      <c r="BN40" s="303" t="str">
        <f t="shared" ref="BN40:BZ40" si="103">IF(BN$2="-","",(IF(BN201="","",IF(BN$4&lt;$A40,BN201,(BN201-BN$3)/(1+BN$3%)))))</f>
        <v/>
      </c>
      <c r="BO40" s="303" t="str">
        <f t="shared" si="103"/>
        <v/>
      </c>
      <c r="BP40" s="303" t="str">
        <f t="shared" si="103"/>
        <v/>
      </c>
      <c r="BQ40" s="303" t="str">
        <f t="shared" si="103"/>
        <v/>
      </c>
      <c r="BR40" s="303" t="str">
        <f t="shared" si="103"/>
        <v/>
      </c>
      <c r="BS40" s="303" t="str">
        <f t="shared" si="103"/>
        <v/>
      </c>
      <c r="BT40" s="303" t="str">
        <f t="shared" si="103"/>
        <v/>
      </c>
      <c r="BU40" s="303" t="str">
        <f t="shared" si="103"/>
        <v/>
      </c>
      <c r="BV40" s="303" t="str">
        <f t="shared" si="103"/>
        <v/>
      </c>
      <c r="BW40" s="303" t="str">
        <f t="shared" si="103"/>
        <v/>
      </c>
      <c r="BX40" s="303">
        <f t="shared" si="103"/>
        <v>-16.903073286052027</v>
      </c>
      <c r="BY40" s="303">
        <f t="shared" si="103"/>
        <v>4.9514619658087122</v>
      </c>
      <c r="BZ40" s="303">
        <f t="shared" si="103"/>
        <v>5.5</v>
      </c>
      <c r="CA40" s="303">
        <f t="shared" si="10"/>
        <v>-4.3955739603323334</v>
      </c>
    </row>
    <row r="41" spans="1:79">
      <c r="A41" s="58">
        <f t="shared" ref="A41:A72" si="104">A40+1</f>
        <v>1904</v>
      </c>
      <c r="B41" s="303">
        <f t="shared" ref="B41:AG41" si="105">IF(B$2="-","",(IF(B202="","",IF(B$4&lt;$A41,B202,(B202-B$3)/(1+B$3%)))))</f>
        <v>30.616275684629546</v>
      </c>
      <c r="C41" s="303" t="str">
        <f t="shared" si="105"/>
        <v/>
      </c>
      <c r="D41" s="303">
        <f t="shared" si="105"/>
        <v>30.616275684629546</v>
      </c>
      <c r="E41" s="303" t="str">
        <f t="shared" si="105"/>
        <v/>
      </c>
      <c r="F41" s="303" t="str">
        <f t="shared" si="105"/>
        <v/>
      </c>
      <c r="G41" s="303" t="str">
        <f t="shared" si="105"/>
        <v/>
      </c>
      <c r="H41" s="303" t="str">
        <f t="shared" si="105"/>
        <v/>
      </c>
      <c r="I41" s="303" t="str">
        <f t="shared" si="105"/>
        <v/>
      </c>
      <c r="J41" s="303" t="str">
        <f t="shared" si="105"/>
        <v/>
      </c>
      <c r="K41" s="303" t="str">
        <f t="shared" si="105"/>
        <v/>
      </c>
      <c r="L41" s="303" t="str">
        <f t="shared" si="105"/>
        <v/>
      </c>
      <c r="M41" s="303" t="str">
        <f t="shared" si="105"/>
        <v/>
      </c>
      <c r="N41" s="303" t="str">
        <f t="shared" si="105"/>
        <v/>
      </c>
      <c r="O41" s="303" t="str">
        <f t="shared" si="105"/>
        <v/>
      </c>
      <c r="P41" s="303" t="str">
        <f t="shared" si="105"/>
        <v/>
      </c>
      <c r="Q41" s="303" t="str">
        <f t="shared" si="105"/>
        <v/>
      </c>
      <c r="R41" s="303" t="str">
        <f t="shared" si="105"/>
        <v/>
      </c>
      <c r="S41" s="303" t="str">
        <f t="shared" si="105"/>
        <v/>
      </c>
      <c r="T41" s="303">
        <f t="shared" si="105"/>
        <v>3.1966968018924651</v>
      </c>
      <c r="U41" s="303">
        <f t="shared" si="105"/>
        <v>3.1966968018924651</v>
      </c>
      <c r="V41" s="303">
        <f t="shared" si="105"/>
        <v>4.2461784394045363</v>
      </c>
      <c r="W41" s="303" t="str">
        <f t="shared" si="105"/>
        <v/>
      </c>
      <c r="X41" s="303" t="str">
        <f t="shared" si="105"/>
        <v/>
      </c>
      <c r="Y41" s="303" t="str">
        <f t="shared" si="105"/>
        <v/>
      </c>
      <c r="Z41" s="303" t="str">
        <f t="shared" si="105"/>
        <v/>
      </c>
      <c r="AA41" s="303" t="str">
        <f t="shared" si="105"/>
        <v/>
      </c>
      <c r="AB41" s="303" t="str">
        <f t="shared" si="105"/>
        <v/>
      </c>
      <c r="AC41" s="303" t="str">
        <f t="shared" si="105"/>
        <v/>
      </c>
      <c r="AD41" s="303" t="str">
        <f t="shared" si="105"/>
        <v/>
      </c>
      <c r="AE41" s="303" t="str">
        <f t="shared" si="105"/>
        <v/>
      </c>
      <c r="AF41" s="303" t="str">
        <f t="shared" si="105"/>
        <v/>
      </c>
      <c r="AG41" s="303" t="str">
        <f t="shared" si="105"/>
        <v/>
      </c>
      <c r="AH41" s="303" t="str">
        <f t="shared" ref="AH41:BM41" si="106">IF(AH$2="-","",(IF(AH202="","",IF(AH$4&lt;$A41,AH202,(AH202-AH$3)/(1+AH$3%)))))</f>
        <v/>
      </c>
      <c r="AI41" s="303" t="str">
        <f t="shared" si="106"/>
        <v/>
      </c>
      <c r="AJ41" s="303" t="str">
        <f t="shared" si="106"/>
        <v/>
      </c>
      <c r="AK41" s="303" t="str">
        <f t="shared" si="106"/>
        <v/>
      </c>
      <c r="AL41" s="303" t="str">
        <f t="shared" si="106"/>
        <v/>
      </c>
      <c r="AM41" s="303" t="str">
        <f t="shared" si="106"/>
        <v/>
      </c>
      <c r="AN41" s="303" t="str">
        <f t="shared" si="106"/>
        <v/>
      </c>
      <c r="AO41" s="303" t="str">
        <f t="shared" si="106"/>
        <v/>
      </c>
      <c r="AP41" s="303" t="str">
        <f t="shared" si="106"/>
        <v/>
      </c>
      <c r="AQ41" s="303" t="str">
        <f t="shared" si="106"/>
        <v/>
      </c>
      <c r="AR41" s="303" t="str">
        <f t="shared" si="106"/>
        <v/>
      </c>
      <c r="AS41" s="303" t="str">
        <f t="shared" si="106"/>
        <v/>
      </c>
      <c r="AT41" s="303" t="str">
        <f t="shared" si="106"/>
        <v/>
      </c>
      <c r="AU41" s="303" t="str">
        <f t="shared" si="106"/>
        <v/>
      </c>
      <c r="AV41" s="303" t="str">
        <f t="shared" si="106"/>
        <v/>
      </c>
      <c r="AW41" s="303" t="str">
        <f t="shared" si="106"/>
        <v/>
      </c>
      <c r="AX41" s="303" t="str">
        <f t="shared" si="106"/>
        <v/>
      </c>
      <c r="AY41" s="303" t="str">
        <f t="shared" si="106"/>
        <v/>
      </c>
      <c r="AZ41" s="303" t="str">
        <f t="shared" si="106"/>
        <v/>
      </c>
      <c r="BA41" s="303" t="str">
        <f t="shared" si="106"/>
        <v/>
      </c>
      <c r="BB41" s="303" t="str">
        <f t="shared" si="106"/>
        <v/>
      </c>
      <c r="BC41" s="303" t="str">
        <f t="shared" si="106"/>
        <v/>
      </c>
      <c r="BD41" s="303" t="str">
        <f t="shared" si="106"/>
        <v/>
      </c>
      <c r="BE41" s="303" t="str">
        <f t="shared" si="106"/>
        <v/>
      </c>
      <c r="BF41" s="303" t="str">
        <f t="shared" si="106"/>
        <v/>
      </c>
      <c r="BG41" s="303" t="str">
        <f t="shared" si="106"/>
        <v/>
      </c>
      <c r="BH41" s="303" t="str">
        <f t="shared" si="106"/>
        <v/>
      </c>
      <c r="BI41" s="303" t="str">
        <f t="shared" si="106"/>
        <v/>
      </c>
      <c r="BJ41" s="303" t="str">
        <f t="shared" si="106"/>
        <v/>
      </c>
      <c r="BK41" s="303" t="str">
        <f t="shared" si="106"/>
        <v/>
      </c>
      <c r="BL41" s="303" t="str">
        <f t="shared" si="106"/>
        <v/>
      </c>
      <c r="BM41" s="303" t="str">
        <f t="shared" si="106"/>
        <v/>
      </c>
      <c r="BN41" s="303" t="str">
        <f t="shared" ref="BN41:BZ41" si="107">IF(BN$2="-","",(IF(BN202="","",IF(BN$4&lt;$A41,BN202,(BN202-BN$3)/(1+BN$3%)))))</f>
        <v/>
      </c>
      <c r="BO41" s="303" t="str">
        <f t="shared" si="107"/>
        <v/>
      </c>
      <c r="BP41" s="303" t="str">
        <f t="shared" si="107"/>
        <v/>
      </c>
      <c r="BQ41" s="303" t="str">
        <f t="shared" si="107"/>
        <v/>
      </c>
      <c r="BR41" s="303" t="str">
        <f t="shared" si="107"/>
        <v/>
      </c>
      <c r="BS41" s="303" t="str">
        <f t="shared" si="107"/>
        <v/>
      </c>
      <c r="BT41" s="303" t="str">
        <f t="shared" si="107"/>
        <v/>
      </c>
      <c r="BU41" s="303" t="str">
        <f t="shared" si="107"/>
        <v/>
      </c>
      <c r="BV41" s="303" t="str">
        <f t="shared" si="107"/>
        <v/>
      </c>
      <c r="BW41" s="303" t="str">
        <f t="shared" si="107"/>
        <v/>
      </c>
      <c r="BX41" s="303">
        <f t="shared" si="107"/>
        <v>30.838323353293418</v>
      </c>
      <c r="BY41" s="303">
        <f t="shared" si="107"/>
        <v>3.40309019549625</v>
      </c>
      <c r="BZ41" s="303">
        <f t="shared" si="107"/>
        <v>4.34</v>
      </c>
      <c r="CA41" s="303">
        <f t="shared" si="10"/>
        <v>2.2983446580251199</v>
      </c>
    </row>
    <row r="42" spans="1:79">
      <c r="A42" s="58">
        <f t="shared" si="104"/>
        <v>1905</v>
      </c>
      <c r="B42" s="303">
        <f t="shared" ref="B42:AG42" si="108">IF(B$2="-","",(IF(B203="","",IF(B$4&lt;$A42,B203,(B203-B$3)/(1+B$3%)))))</f>
        <v>20.791096417229486</v>
      </c>
      <c r="C42" s="303" t="str">
        <f t="shared" si="108"/>
        <v/>
      </c>
      <c r="D42" s="303">
        <f t="shared" si="108"/>
        <v>20.791096417229486</v>
      </c>
      <c r="E42" s="303" t="str">
        <f t="shared" si="108"/>
        <v/>
      </c>
      <c r="F42" s="303" t="str">
        <f t="shared" si="108"/>
        <v/>
      </c>
      <c r="G42" s="303" t="str">
        <f t="shared" si="108"/>
        <v/>
      </c>
      <c r="H42" s="303" t="str">
        <f t="shared" si="108"/>
        <v/>
      </c>
      <c r="I42" s="303" t="str">
        <f t="shared" si="108"/>
        <v/>
      </c>
      <c r="J42" s="303" t="str">
        <f t="shared" si="108"/>
        <v/>
      </c>
      <c r="K42" s="303" t="str">
        <f t="shared" si="108"/>
        <v/>
      </c>
      <c r="L42" s="303" t="str">
        <f t="shared" si="108"/>
        <v/>
      </c>
      <c r="M42" s="303" t="str">
        <f t="shared" si="108"/>
        <v/>
      </c>
      <c r="N42" s="303" t="str">
        <f t="shared" si="108"/>
        <v/>
      </c>
      <c r="O42" s="303" t="str">
        <f t="shared" si="108"/>
        <v/>
      </c>
      <c r="P42" s="303" t="str">
        <f t="shared" si="108"/>
        <v/>
      </c>
      <c r="Q42" s="303" t="str">
        <f t="shared" si="108"/>
        <v/>
      </c>
      <c r="R42" s="303" t="str">
        <f t="shared" si="108"/>
        <v/>
      </c>
      <c r="S42" s="303" t="str">
        <f t="shared" si="108"/>
        <v/>
      </c>
      <c r="T42" s="303">
        <f t="shared" si="108"/>
        <v>1.0134560287833396</v>
      </c>
      <c r="U42" s="303">
        <f t="shared" si="108"/>
        <v>1.0134560287833396</v>
      </c>
      <c r="V42" s="303">
        <f t="shared" si="108"/>
        <v>4.0763313018283549</v>
      </c>
      <c r="W42" s="303" t="str">
        <f t="shared" si="108"/>
        <v/>
      </c>
      <c r="X42" s="303" t="str">
        <f t="shared" si="108"/>
        <v/>
      </c>
      <c r="Y42" s="303" t="str">
        <f t="shared" si="108"/>
        <v/>
      </c>
      <c r="Z42" s="303" t="str">
        <f t="shared" si="108"/>
        <v/>
      </c>
      <c r="AA42" s="303" t="str">
        <f t="shared" si="108"/>
        <v/>
      </c>
      <c r="AB42" s="303" t="str">
        <f t="shared" si="108"/>
        <v/>
      </c>
      <c r="AC42" s="303" t="str">
        <f t="shared" si="108"/>
        <v/>
      </c>
      <c r="AD42" s="303" t="str">
        <f t="shared" si="108"/>
        <v/>
      </c>
      <c r="AE42" s="303" t="str">
        <f t="shared" si="108"/>
        <v/>
      </c>
      <c r="AF42" s="303" t="str">
        <f t="shared" si="108"/>
        <v/>
      </c>
      <c r="AG42" s="303" t="str">
        <f t="shared" si="108"/>
        <v/>
      </c>
      <c r="AH42" s="303" t="str">
        <f t="shared" ref="AH42:BM42" si="109">IF(AH$2="-","",(IF(AH203="","",IF(AH$4&lt;$A42,AH203,(AH203-AH$3)/(1+AH$3%)))))</f>
        <v/>
      </c>
      <c r="AI42" s="303" t="str">
        <f t="shared" si="109"/>
        <v/>
      </c>
      <c r="AJ42" s="303" t="str">
        <f t="shared" si="109"/>
        <v/>
      </c>
      <c r="AK42" s="303" t="str">
        <f t="shared" si="109"/>
        <v/>
      </c>
      <c r="AL42" s="303" t="str">
        <f t="shared" si="109"/>
        <v/>
      </c>
      <c r="AM42" s="303" t="str">
        <f t="shared" si="109"/>
        <v/>
      </c>
      <c r="AN42" s="303" t="str">
        <f t="shared" si="109"/>
        <v/>
      </c>
      <c r="AO42" s="303" t="str">
        <f t="shared" si="109"/>
        <v/>
      </c>
      <c r="AP42" s="303" t="str">
        <f t="shared" si="109"/>
        <v/>
      </c>
      <c r="AQ42" s="303" t="str">
        <f t="shared" si="109"/>
        <v/>
      </c>
      <c r="AR42" s="303" t="str">
        <f t="shared" si="109"/>
        <v/>
      </c>
      <c r="AS42" s="303" t="str">
        <f t="shared" si="109"/>
        <v/>
      </c>
      <c r="AT42" s="303" t="str">
        <f t="shared" si="109"/>
        <v/>
      </c>
      <c r="AU42" s="303" t="str">
        <f t="shared" si="109"/>
        <v/>
      </c>
      <c r="AV42" s="303" t="str">
        <f t="shared" si="109"/>
        <v/>
      </c>
      <c r="AW42" s="303" t="str">
        <f t="shared" si="109"/>
        <v/>
      </c>
      <c r="AX42" s="303" t="str">
        <f t="shared" si="109"/>
        <v/>
      </c>
      <c r="AY42" s="303" t="str">
        <f t="shared" si="109"/>
        <v/>
      </c>
      <c r="AZ42" s="303" t="str">
        <f t="shared" si="109"/>
        <v/>
      </c>
      <c r="BA42" s="303" t="str">
        <f t="shared" si="109"/>
        <v/>
      </c>
      <c r="BB42" s="303" t="str">
        <f t="shared" si="109"/>
        <v/>
      </c>
      <c r="BC42" s="303" t="str">
        <f t="shared" si="109"/>
        <v/>
      </c>
      <c r="BD42" s="303" t="str">
        <f t="shared" si="109"/>
        <v/>
      </c>
      <c r="BE42" s="303" t="str">
        <f t="shared" si="109"/>
        <v/>
      </c>
      <c r="BF42" s="303" t="str">
        <f t="shared" si="109"/>
        <v/>
      </c>
      <c r="BG42" s="303" t="str">
        <f t="shared" si="109"/>
        <v/>
      </c>
      <c r="BH42" s="303" t="str">
        <f t="shared" si="109"/>
        <v/>
      </c>
      <c r="BI42" s="303" t="str">
        <f t="shared" si="109"/>
        <v/>
      </c>
      <c r="BJ42" s="303" t="str">
        <f t="shared" si="109"/>
        <v/>
      </c>
      <c r="BK42" s="303" t="str">
        <f t="shared" si="109"/>
        <v/>
      </c>
      <c r="BL42" s="303" t="str">
        <f t="shared" si="109"/>
        <v/>
      </c>
      <c r="BM42" s="303" t="str">
        <f t="shared" si="109"/>
        <v/>
      </c>
      <c r="BN42" s="303" t="str">
        <f t="shared" ref="BN42:BZ42" si="110">IF(BN$2="-","",(IF(BN203="","",IF(BN$4&lt;$A42,BN203,(BN203-BN$3)/(1+BN$3%)))))</f>
        <v/>
      </c>
      <c r="BO42" s="303" t="str">
        <f t="shared" si="110"/>
        <v/>
      </c>
      <c r="BP42" s="303" t="str">
        <f t="shared" si="110"/>
        <v/>
      </c>
      <c r="BQ42" s="303" t="str">
        <f t="shared" si="110"/>
        <v/>
      </c>
      <c r="BR42" s="303" t="str">
        <f t="shared" si="110"/>
        <v/>
      </c>
      <c r="BS42" s="303" t="str">
        <f t="shared" si="110"/>
        <v/>
      </c>
      <c r="BT42" s="303" t="str">
        <f t="shared" si="110"/>
        <v/>
      </c>
      <c r="BU42" s="303" t="str">
        <f t="shared" si="110"/>
        <v/>
      </c>
      <c r="BV42" s="303" t="str">
        <f t="shared" si="110"/>
        <v/>
      </c>
      <c r="BW42" s="303" t="str">
        <f t="shared" si="110"/>
        <v/>
      </c>
      <c r="BX42" s="303">
        <f t="shared" si="110"/>
        <v>20.996441281138779</v>
      </c>
      <c r="BY42" s="303">
        <f t="shared" si="110"/>
        <v>1.2154829408409062</v>
      </c>
      <c r="BZ42" s="303">
        <f t="shared" si="110"/>
        <v>4.17</v>
      </c>
      <c r="CA42" s="303">
        <f t="shared" si="10"/>
        <v>0</v>
      </c>
    </row>
    <row r="43" spans="1:79">
      <c r="A43" s="58">
        <f t="shared" si="104"/>
        <v>1906</v>
      </c>
      <c r="B43" s="303">
        <f t="shared" ref="B43:AG43" si="111">IF(B$2="-","",(IF(B204="","",IF(B$4&lt;$A43,B204,(B204-B$3)/(1+B$3%)))))</f>
        <v>0.74059509168762117</v>
      </c>
      <c r="C43" s="303" t="str">
        <f t="shared" si="111"/>
        <v/>
      </c>
      <c r="D43" s="303">
        <f t="shared" si="111"/>
        <v>0.74059509168762117</v>
      </c>
      <c r="E43" s="303" t="str">
        <f t="shared" si="111"/>
        <v/>
      </c>
      <c r="F43" s="303" t="str">
        <f t="shared" si="111"/>
        <v/>
      </c>
      <c r="G43" s="303" t="str">
        <f t="shared" si="111"/>
        <v/>
      </c>
      <c r="H43" s="303" t="str">
        <f t="shared" si="111"/>
        <v/>
      </c>
      <c r="I43" s="303" t="str">
        <f t="shared" si="111"/>
        <v/>
      </c>
      <c r="J43" s="303" t="str">
        <f t="shared" si="111"/>
        <v/>
      </c>
      <c r="K43" s="303" t="str">
        <f t="shared" si="111"/>
        <v/>
      </c>
      <c r="L43" s="303" t="str">
        <f t="shared" si="111"/>
        <v/>
      </c>
      <c r="M43" s="303" t="str">
        <f t="shared" si="111"/>
        <v/>
      </c>
      <c r="N43" s="303" t="str">
        <f t="shared" si="111"/>
        <v/>
      </c>
      <c r="O43" s="303" t="str">
        <f t="shared" si="111"/>
        <v/>
      </c>
      <c r="P43" s="303" t="str">
        <f t="shared" si="111"/>
        <v/>
      </c>
      <c r="Q43" s="303" t="str">
        <f t="shared" si="111"/>
        <v/>
      </c>
      <c r="R43" s="303" t="str">
        <f t="shared" si="111"/>
        <v/>
      </c>
      <c r="S43" s="303" t="str">
        <f t="shared" si="111"/>
        <v/>
      </c>
      <c r="T43" s="303">
        <f t="shared" si="111"/>
        <v>1.0304550949491522</v>
      </c>
      <c r="U43" s="303">
        <f t="shared" si="111"/>
        <v>1.0304550949491522</v>
      </c>
      <c r="V43" s="303">
        <f t="shared" si="111"/>
        <v>5.3751623538815068</v>
      </c>
      <c r="W43" s="303" t="str">
        <f t="shared" si="111"/>
        <v/>
      </c>
      <c r="X43" s="303" t="str">
        <f t="shared" si="111"/>
        <v/>
      </c>
      <c r="Y43" s="303" t="str">
        <f t="shared" si="111"/>
        <v/>
      </c>
      <c r="Z43" s="303" t="str">
        <f t="shared" si="111"/>
        <v/>
      </c>
      <c r="AA43" s="303" t="str">
        <f t="shared" si="111"/>
        <v/>
      </c>
      <c r="AB43" s="303" t="str">
        <f t="shared" si="111"/>
        <v/>
      </c>
      <c r="AC43" s="303" t="str">
        <f t="shared" si="111"/>
        <v/>
      </c>
      <c r="AD43" s="303" t="str">
        <f t="shared" si="111"/>
        <v/>
      </c>
      <c r="AE43" s="303" t="str">
        <f t="shared" si="111"/>
        <v/>
      </c>
      <c r="AF43" s="303" t="str">
        <f t="shared" si="111"/>
        <v/>
      </c>
      <c r="AG43" s="303" t="str">
        <f t="shared" si="111"/>
        <v/>
      </c>
      <c r="AH43" s="303" t="str">
        <f t="shared" ref="AH43:BM43" si="112">IF(AH$2="-","",(IF(AH204="","",IF(AH$4&lt;$A43,AH204,(AH204-AH$3)/(1+AH$3%)))))</f>
        <v/>
      </c>
      <c r="AI43" s="303" t="str">
        <f t="shared" si="112"/>
        <v/>
      </c>
      <c r="AJ43" s="303" t="str">
        <f t="shared" si="112"/>
        <v/>
      </c>
      <c r="AK43" s="303" t="str">
        <f t="shared" si="112"/>
        <v/>
      </c>
      <c r="AL43" s="303" t="str">
        <f t="shared" si="112"/>
        <v/>
      </c>
      <c r="AM43" s="303" t="str">
        <f t="shared" si="112"/>
        <v/>
      </c>
      <c r="AN43" s="303" t="str">
        <f t="shared" si="112"/>
        <v/>
      </c>
      <c r="AO43" s="303" t="str">
        <f t="shared" si="112"/>
        <v/>
      </c>
      <c r="AP43" s="303" t="str">
        <f t="shared" si="112"/>
        <v/>
      </c>
      <c r="AQ43" s="303" t="str">
        <f t="shared" si="112"/>
        <v/>
      </c>
      <c r="AR43" s="303" t="str">
        <f t="shared" si="112"/>
        <v/>
      </c>
      <c r="AS43" s="303" t="str">
        <f t="shared" si="112"/>
        <v/>
      </c>
      <c r="AT43" s="303" t="str">
        <f t="shared" si="112"/>
        <v/>
      </c>
      <c r="AU43" s="303" t="str">
        <f t="shared" si="112"/>
        <v/>
      </c>
      <c r="AV43" s="303" t="str">
        <f t="shared" si="112"/>
        <v/>
      </c>
      <c r="AW43" s="303" t="str">
        <f t="shared" si="112"/>
        <v/>
      </c>
      <c r="AX43" s="303" t="str">
        <f t="shared" si="112"/>
        <v/>
      </c>
      <c r="AY43" s="303" t="str">
        <f t="shared" si="112"/>
        <v/>
      </c>
      <c r="AZ43" s="303" t="str">
        <f t="shared" si="112"/>
        <v/>
      </c>
      <c r="BA43" s="303" t="str">
        <f t="shared" si="112"/>
        <v/>
      </c>
      <c r="BB43" s="303" t="str">
        <f t="shared" si="112"/>
        <v/>
      </c>
      <c r="BC43" s="303" t="str">
        <f t="shared" si="112"/>
        <v/>
      </c>
      <c r="BD43" s="303" t="str">
        <f t="shared" si="112"/>
        <v/>
      </c>
      <c r="BE43" s="303" t="str">
        <f t="shared" si="112"/>
        <v/>
      </c>
      <c r="BF43" s="303" t="str">
        <f t="shared" si="112"/>
        <v/>
      </c>
      <c r="BG43" s="303" t="str">
        <f t="shared" si="112"/>
        <v/>
      </c>
      <c r="BH43" s="303" t="str">
        <f t="shared" si="112"/>
        <v/>
      </c>
      <c r="BI43" s="303" t="str">
        <f t="shared" si="112"/>
        <v/>
      </c>
      <c r="BJ43" s="303" t="str">
        <f t="shared" si="112"/>
        <v/>
      </c>
      <c r="BK43" s="303" t="str">
        <f t="shared" si="112"/>
        <v/>
      </c>
      <c r="BL43" s="303" t="str">
        <f t="shared" si="112"/>
        <v/>
      </c>
      <c r="BM43" s="303" t="str">
        <f t="shared" si="112"/>
        <v/>
      </c>
      <c r="BN43" s="303" t="str">
        <f t="shared" ref="BN43:BZ43" si="113">IF(BN$2="-","",(IF(BN204="","",IF(BN$4&lt;$A43,BN204,(BN204-BN$3)/(1+BN$3%)))))</f>
        <v/>
      </c>
      <c r="BO43" s="303" t="str">
        <f t="shared" si="113"/>
        <v/>
      </c>
      <c r="BP43" s="303" t="str">
        <f t="shared" si="113"/>
        <v/>
      </c>
      <c r="BQ43" s="303" t="str">
        <f t="shared" si="113"/>
        <v/>
      </c>
      <c r="BR43" s="303" t="str">
        <f t="shared" si="113"/>
        <v/>
      </c>
      <c r="BS43" s="303" t="str">
        <f t="shared" si="113"/>
        <v/>
      </c>
      <c r="BT43" s="303" t="str">
        <f t="shared" si="113"/>
        <v/>
      </c>
      <c r="BU43" s="303" t="str">
        <f t="shared" si="113"/>
        <v/>
      </c>
      <c r="BV43" s="303" t="str">
        <f t="shared" si="113"/>
        <v/>
      </c>
      <c r="BW43" s="303" t="str">
        <f t="shared" si="113"/>
        <v/>
      </c>
      <c r="BX43" s="303">
        <f t="shared" si="113"/>
        <v>0.91185410334349015</v>
      </c>
      <c r="BY43" s="303">
        <f t="shared" si="113"/>
        <v>1.2325160051390505</v>
      </c>
      <c r="BZ43" s="303">
        <f t="shared" si="113"/>
        <v>5.47</v>
      </c>
      <c r="CA43" s="303">
        <f t="shared" si="10"/>
        <v>4.4943716993183447</v>
      </c>
    </row>
    <row r="44" spans="1:79">
      <c r="A44" s="58">
        <f t="shared" si="104"/>
        <v>1907</v>
      </c>
      <c r="B44" s="303">
        <f t="shared" ref="B44:AG44" si="114">IF(B$2="-","",(IF(B205="","",IF(B$4&lt;$A44,B205,(B205-B$3)/(1+B$3%)))))</f>
        <v>-23.874183762081454</v>
      </c>
      <c r="C44" s="303" t="str">
        <f t="shared" si="114"/>
        <v/>
      </c>
      <c r="D44" s="303">
        <f t="shared" si="114"/>
        <v>-23.874183762081454</v>
      </c>
      <c r="E44" s="303" t="str">
        <f t="shared" si="114"/>
        <v/>
      </c>
      <c r="F44" s="303" t="str">
        <f t="shared" si="114"/>
        <v/>
      </c>
      <c r="G44" s="303" t="str">
        <f t="shared" si="114"/>
        <v/>
      </c>
      <c r="H44" s="303" t="str">
        <f t="shared" si="114"/>
        <v/>
      </c>
      <c r="I44" s="303" t="str">
        <f t="shared" si="114"/>
        <v/>
      </c>
      <c r="J44" s="303" t="str">
        <f t="shared" si="114"/>
        <v/>
      </c>
      <c r="K44" s="303" t="str">
        <f t="shared" si="114"/>
        <v/>
      </c>
      <c r="L44" s="303" t="str">
        <f t="shared" si="114"/>
        <v/>
      </c>
      <c r="M44" s="303" t="str">
        <f t="shared" si="114"/>
        <v/>
      </c>
      <c r="N44" s="303" t="str">
        <f t="shared" si="114"/>
        <v/>
      </c>
      <c r="O44" s="303" t="str">
        <f t="shared" si="114"/>
        <v/>
      </c>
      <c r="P44" s="303" t="str">
        <f t="shared" si="114"/>
        <v/>
      </c>
      <c r="Q44" s="303" t="str">
        <f t="shared" si="114"/>
        <v/>
      </c>
      <c r="R44" s="303" t="str">
        <f t="shared" si="114"/>
        <v/>
      </c>
      <c r="S44" s="303" t="str">
        <f t="shared" si="114"/>
        <v/>
      </c>
      <c r="T44" s="303">
        <f t="shared" si="114"/>
        <v>4.3208949518208959</v>
      </c>
      <c r="U44" s="303">
        <f t="shared" si="114"/>
        <v>4.3208949518208959</v>
      </c>
      <c r="V44" s="303">
        <f t="shared" si="114"/>
        <v>6.134478968927966</v>
      </c>
      <c r="W44" s="303" t="str">
        <f t="shared" si="114"/>
        <v/>
      </c>
      <c r="X44" s="303" t="str">
        <f t="shared" si="114"/>
        <v/>
      </c>
      <c r="Y44" s="303" t="str">
        <f t="shared" si="114"/>
        <v/>
      </c>
      <c r="Z44" s="303" t="str">
        <f t="shared" si="114"/>
        <v/>
      </c>
      <c r="AA44" s="303" t="str">
        <f t="shared" si="114"/>
        <v/>
      </c>
      <c r="AB44" s="303" t="str">
        <f t="shared" si="114"/>
        <v/>
      </c>
      <c r="AC44" s="303" t="str">
        <f t="shared" si="114"/>
        <v/>
      </c>
      <c r="AD44" s="303" t="str">
        <f t="shared" si="114"/>
        <v/>
      </c>
      <c r="AE44" s="303" t="str">
        <f t="shared" si="114"/>
        <v/>
      </c>
      <c r="AF44" s="303" t="str">
        <f t="shared" si="114"/>
        <v/>
      </c>
      <c r="AG44" s="303" t="str">
        <f t="shared" si="114"/>
        <v/>
      </c>
      <c r="AH44" s="303" t="str">
        <f t="shared" ref="AH44:BM44" si="115">IF(AH$2="-","",(IF(AH205="","",IF(AH$4&lt;$A44,AH205,(AH205-AH$3)/(1+AH$3%)))))</f>
        <v/>
      </c>
      <c r="AI44" s="303" t="str">
        <f t="shared" si="115"/>
        <v/>
      </c>
      <c r="AJ44" s="303" t="str">
        <f t="shared" si="115"/>
        <v/>
      </c>
      <c r="AK44" s="303" t="str">
        <f t="shared" si="115"/>
        <v/>
      </c>
      <c r="AL44" s="303" t="str">
        <f t="shared" si="115"/>
        <v/>
      </c>
      <c r="AM44" s="303" t="str">
        <f t="shared" si="115"/>
        <v/>
      </c>
      <c r="AN44" s="303" t="str">
        <f t="shared" si="115"/>
        <v/>
      </c>
      <c r="AO44" s="303" t="str">
        <f t="shared" si="115"/>
        <v/>
      </c>
      <c r="AP44" s="303" t="str">
        <f t="shared" si="115"/>
        <v/>
      </c>
      <c r="AQ44" s="303" t="str">
        <f t="shared" si="115"/>
        <v/>
      </c>
      <c r="AR44" s="303" t="str">
        <f t="shared" si="115"/>
        <v/>
      </c>
      <c r="AS44" s="303" t="str">
        <f t="shared" si="115"/>
        <v/>
      </c>
      <c r="AT44" s="303" t="str">
        <f t="shared" si="115"/>
        <v/>
      </c>
      <c r="AU44" s="303" t="str">
        <f t="shared" si="115"/>
        <v/>
      </c>
      <c r="AV44" s="303" t="str">
        <f t="shared" si="115"/>
        <v/>
      </c>
      <c r="AW44" s="303" t="str">
        <f t="shared" si="115"/>
        <v/>
      </c>
      <c r="AX44" s="303" t="str">
        <f t="shared" si="115"/>
        <v/>
      </c>
      <c r="AY44" s="303" t="str">
        <f t="shared" si="115"/>
        <v/>
      </c>
      <c r="AZ44" s="303" t="str">
        <f t="shared" si="115"/>
        <v/>
      </c>
      <c r="BA44" s="303" t="str">
        <f t="shared" si="115"/>
        <v/>
      </c>
      <c r="BB44" s="303" t="str">
        <f t="shared" si="115"/>
        <v/>
      </c>
      <c r="BC44" s="303" t="str">
        <f t="shared" si="115"/>
        <v/>
      </c>
      <c r="BD44" s="303" t="str">
        <f t="shared" si="115"/>
        <v/>
      </c>
      <c r="BE44" s="303" t="str">
        <f t="shared" si="115"/>
        <v/>
      </c>
      <c r="BF44" s="303" t="str">
        <f t="shared" si="115"/>
        <v/>
      </c>
      <c r="BG44" s="303" t="str">
        <f t="shared" si="115"/>
        <v/>
      </c>
      <c r="BH44" s="303" t="str">
        <f t="shared" si="115"/>
        <v/>
      </c>
      <c r="BI44" s="303" t="str">
        <f t="shared" si="115"/>
        <v/>
      </c>
      <c r="BJ44" s="303" t="str">
        <f t="shared" si="115"/>
        <v/>
      </c>
      <c r="BK44" s="303" t="str">
        <f t="shared" si="115"/>
        <v/>
      </c>
      <c r="BL44" s="303" t="str">
        <f t="shared" si="115"/>
        <v/>
      </c>
      <c r="BM44" s="303" t="str">
        <f t="shared" si="115"/>
        <v/>
      </c>
      <c r="BN44" s="303" t="str">
        <f t="shared" ref="BN44:BZ44" si="116">IF(BN$2="-","",(IF(BN205="","",IF(BN$4&lt;$A44,BN205,(BN205-BN$3)/(1+BN$3%)))))</f>
        <v/>
      </c>
      <c r="BO44" s="303" t="str">
        <f t="shared" si="116"/>
        <v/>
      </c>
      <c r="BP44" s="303" t="str">
        <f t="shared" si="116"/>
        <v/>
      </c>
      <c r="BQ44" s="303" t="str">
        <f t="shared" si="116"/>
        <v/>
      </c>
      <c r="BR44" s="303" t="str">
        <f t="shared" si="116"/>
        <v/>
      </c>
      <c r="BS44" s="303" t="str">
        <f t="shared" si="116"/>
        <v/>
      </c>
      <c r="BT44" s="303" t="str">
        <f t="shared" si="116"/>
        <v/>
      </c>
      <c r="BU44" s="303" t="str">
        <f t="shared" si="116"/>
        <v/>
      </c>
      <c r="BV44" s="303" t="str">
        <f t="shared" si="116"/>
        <v/>
      </c>
      <c r="BW44" s="303" t="str">
        <f t="shared" si="116"/>
        <v/>
      </c>
      <c r="BX44" s="303">
        <f t="shared" si="116"/>
        <v>-23.74476987447699</v>
      </c>
      <c r="BY44" s="303">
        <f t="shared" si="116"/>
        <v>4.529536741724538</v>
      </c>
      <c r="BZ44" s="303">
        <f t="shared" si="116"/>
        <v>6.23</v>
      </c>
      <c r="CA44" s="303">
        <f t="shared" si="10"/>
        <v>-2.1500752030644277</v>
      </c>
    </row>
    <row r="45" spans="1:79">
      <c r="A45" s="58">
        <f t="shared" si="104"/>
        <v>1908</v>
      </c>
      <c r="B45" s="303">
        <f t="shared" ref="B45:AG45" si="117">IF(B$2="-","",(IF(B206="","",IF(B$4&lt;$A45,B206,(B206-B$3)/(1+B$3%)))))</f>
        <v>37.867814496378067</v>
      </c>
      <c r="C45" s="303" t="str">
        <f t="shared" si="117"/>
        <v/>
      </c>
      <c r="D45" s="303">
        <f t="shared" si="117"/>
        <v>37.867814496378067</v>
      </c>
      <c r="E45" s="303" t="str">
        <f t="shared" si="117"/>
        <v/>
      </c>
      <c r="F45" s="303" t="str">
        <f t="shared" si="117"/>
        <v/>
      </c>
      <c r="G45" s="303" t="str">
        <f t="shared" si="117"/>
        <v/>
      </c>
      <c r="H45" s="303" t="str">
        <f t="shared" si="117"/>
        <v/>
      </c>
      <c r="I45" s="303" t="str">
        <f t="shared" si="117"/>
        <v/>
      </c>
      <c r="J45" s="303" t="str">
        <f t="shared" si="117"/>
        <v/>
      </c>
      <c r="K45" s="303" t="str">
        <f t="shared" si="117"/>
        <v/>
      </c>
      <c r="L45" s="303" t="str">
        <f t="shared" si="117"/>
        <v/>
      </c>
      <c r="M45" s="303" t="str">
        <f t="shared" si="117"/>
        <v/>
      </c>
      <c r="N45" s="303" t="str">
        <f t="shared" si="117"/>
        <v/>
      </c>
      <c r="O45" s="303" t="str">
        <f t="shared" si="117"/>
        <v/>
      </c>
      <c r="P45" s="303" t="str">
        <f t="shared" si="117"/>
        <v/>
      </c>
      <c r="Q45" s="303" t="str">
        <f t="shared" si="117"/>
        <v/>
      </c>
      <c r="R45" s="303" t="str">
        <f t="shared" si="117"/>
        <v/>
      </c>
      <c r="S45" s="303" t="str">
        <f t="shared" si="117"/>
        <v/>
      </c>
      <c r="T45" s="303">
        <f t="shared" si="117"/>
        <v>6.9203737864768113</v>
      </c>
      <c r="U45" s="303">
        <f t="shared" si="117"/>
        <v>6.9203737864768113</v>
      </c>
      <c r="V45" s="303">
        <f t="shared" si="117"/>
        <v>5.2252972324907594</v>
      </c>
      <c r="W45" s="303" t="str">
        <f t="shared" si="117"/>
        <v/>
      </c>
      <c r="X45" s="303" t="str">
        <f t="shared" si="117"/>
        <v/>
      </c>
      <c r="Y45" s="303" t="str">
        <f t="shared" si="117"/>
        <v/>
      </c>
      <c r="Z45" s="303" t="str">
        <f t="shared" si="117"/>
        <v/>
      </c>
      <c r="AA45" s="303" t="str">
        <f t="shared" si="117"/>
        <v/>
      </c>
      <c r="AB45" s="303" t="str">
        <f t="shared" si="117"/>
        <v/>
      </c>
      <c r="AC45" s="303" t="str">
        <f t="shared" si="117"/>
        <v/>
      </c>
      <c r="AD45" s="303" t="str">
        <f t="shared" si="117"/>
        <v/>
      </c>
      <c r="AE45" s="303" t="str">
        <f t="shared" si="117"/>
        <v/>
      </c>
      <c r="AF45" s="303" t="str">
        <f t="shared" si="117"/>
        <v/>
      </c>
      <c r="AG45" s="303" t="str">
        <f t="shared" si="117"/>
        <v/>
      </c>
      <c r="AH45" s="303" t="str">
        <f t="shared" ref="AH45:BM45" si="118">IF(AH$2="-","",(IF(AH206="","",IF(AH$4&lt;$A45,AH206,(AH206-AH$3)/(1+AH$3%)))))</f>
        <v/>
      </c>
      <c r="AI45" s="303" t="str">
        <f t="shared" si="118"/>
        <v/>
      </c>
      <c r="AJ45" s="303" t="str">
        <f t="shared" si="118"/>
        <v/>
      </c>
      <c r="AK45" s="303" t="str">
        <f t="shared" si="118"/>
        <v/>
      </c>
      <c r="AL45" s="303" t="str">
        <f t="shared" si="118"/>
        <v/>
      </c>
      <c r="AM45" s="303" t="str">
        <f t="shared" si="118"/>
        <v/>
      </c>
      <c r="AN45" s="303" t="str">
        <f t="shared" si="118"/>
        <v/>
      </c>
      <c r="AO45" s="303" t="str">
        <f t="shared" si="118"/>
        <v/>
      </c>
      <c r="AP45" s="303" t="str">
        <f t="shared" si="118"/>
        <v/>
      </c>
      <c r="AQ45" s="303" t="str">
        <f t="shared" si="118"/>
        <v/>
      </c>
      <c r="AR45" s="303" t="str">
        <f t="shared" si="118"/>
        <v/>
      </c>
      <c r="AS45" s="303" t="str">
        <f t="shared" si="118"/>
        <v/>
      </c>
      <c r="AT45" s="303" t="str">
        <f t="shared" si="118"/>
        <v/>
      </c>
      <c r="AU45" s="303" t="str">
        <f t="shared" si="118"/>
        <v/>
      </c>
      <c r="AV45" s="303" t="str">
        <f t="shared" si="118"/>
        <v/>
      </c>
      <c r="AW45" s="303" t="str">
        <f t="shared" si="118"/>
        <v/>
      </c>
      <c r="AX45" s="303" t="str">
        <f t="shared" si="118"/>
        <v/>
      </c>
      <c r="AY45" s="303" t="str">
        <f t="shared" si="118"/>
        <v/>
      </c>
      <c r="AZ45" s="303" t="str">
        <f t="shared" si="118"/>
        <v/>
      </c>
      <c r="BA45" s="303" t="str">
        <f t="shared" si="118"/>
        <v/>
      </c>
      <c r="BB45" s="303" t="str">
        <f t="shared" si="118"/>
        <v/>
      </c>
      <c r="BC45" s="303" t="str">
        <f t="shared" si="118"/>
        <v/>
      </c>
      <c r="BD45" s="303" t="str">
        <f t="shared" si="118"/>
        <v/>
      </c>
      <c r="BE45" s="303" t="str">
        <f t="shared" si="118"/>
        <v/>
      </c>
      <c r="BF45" s="303" t="str">
        <f t="shared" si="118"/>
        <v/>
      </c>
      <c r="BG45" s="303" t="str">
        <f t="shared" si="118"/>
        <v/>
      </c>
      <c r="BH45" s="303" t="str">
        <f t="shared" si="118"/>
        <v/>
      </c>
      <c r="BI45" s="303" t="str">
        <f t="shared" si="118"/>
        <v/>
      </c>
      <c r="BJ45" s="303" t="str">
        <f t="shared" si="118"/>
        <v/>
      </c>
      <c r="BK45" s="303" t="str">
        <f t="shared" si="118"/>
        <v/>
      </c>
      <c r="BL45" s="303" t="str">
        <f t="shared" si="118"/>
        <v/>
      </c>
      <c r="BM45" s="303" t="str">
        <f t="shared" si="118"/>
        <v/>
      </c>
      <c r="BN45" s="303" t="str">
        <f t="shared" ref="BN45:BZ45" si="119">IF(BN$2="-","",(IF(BN206="","",IF(BN$4&lt;$A45,BN206,(BN206-BN$3)/(1+BN$3%)))))</f>
        <v/>
      </c>
      <c r="BO45" s="303" t="str">
        <f t="shared" si="119"/>
        <v/>
      </c>
      <c r="BP45" s="303" t="str">
        <f t="shared" si="119"/>
        <v/>
      </c>
      <c r="BQ45" s="303" t="str">
        <f t="shared" si="119"/>
        <v/>
      </c>
      <c r="BR45" s="303" t="str">
        <f t="shared" si="119"/>
        <v/>
      </c>
      <c r="BS45" s="303" t="str">
        <f t="shared" si="119"/>
        <v/>
      </c>
      <c r="BT45" s="303" t="str">
        <f t="shared" si="119"/>
        <v/>
      </c>
      <c r="BU45" s="303" t="str">
        <f t="shared" si="119"/>
        <v/>
      </c>
      <c r="BV45" s="303" t="str">
        <f t="shared" si="119"/>
        <v/>
      </c>
      <c r="BW45" s="303" t="str">
        <f t="shared" si="119"/>
        <v/>
      </c>
      <c r="BX45" s="303">
        <f t="shared" si="119"/>
        <v>38.102189781021913</v>
      </c>
      <c r="BY45" s="303">
        <f t="shared" si="119"/>
        <v>7.1342145340497654</v>
      </c>
      <c r="BZ45" s="303">
        <f t="shared" si="119"/>
        <v>5.32</v>
      </c>
      <c r="CA45" s="303">
        <f t="shared" si="10"/>
        <v>3.2964465895252815</v>
      </c>
    </row>
    <row r="46" spans="1:79">
      <c r="A46" s="58">
        <f t="shared" si="104"/>
        <v>1909</v>
      </c>
      <c r="B46" s="303">
        <f t="shared" ref="B46:AG46" si="120">IF(B$2="-","",(IF(B207="","",IF(B$4&lt;$A46,B207,(B207-B$3)/(1+B$3%)))))</f>
        <v>15.917730145727974</v>
      </c>
      <c r="C46" s="303" t="str">
        <f t="shared" si="120"/>
        <v/>
      </c>
      <c r="D46" s="303">
        <f t="shared" si="120"/>
        <v>15.917730145727974</v>
      </c>
      <c r="E46" s="303" t="str">
        <f t="shared" si="120"/>
        <v/>
      </c>
      <c r="F46" s="303" t="str">
        <f t="shared" si="120"/>
        <v/>
      </c>
      <c r="G46" s="303" t="str">
        <f t="shared" si="120"/>
        <v/>
      </c>
      <c r="H46" s="303" t="str">
        <f t="shared" si="120"/>
        <v/>
      </c>
      <c r="I46" s="303" t="str">
        <f t="shared" si="120"/>
        <v/>
      </c>
      <c r="J46" s="303" t="str">
        <f t="shared" si="120"/>
        <v/>
      </c>
      <c r="K46" s="303" t="str">
        <f t="shared" si="120"/>
        <v/>
      </c>
      <c r="L46" s="303" t="str">
        <f t="shared" si="120"/>
        <v/>
      </c>
      <c r="M46" s="303" t="str">
        <f t="shared" si="120"/>
        <v/>
      </c>
      <c r="N46" s="303" t="str">
        <f t="shared" si="120"/>
        <v/>
      </c>
      <c r="O46" s="303" t="str">
        <f t="shared" si="120"/>
        <v/>
      </c>
      <c r="P46" s="303" t="str">
        <f t="shared" si="120"/>
        <v/>
      </c>
      <c r="Q46" s="303" t="str">
        <f t="shared" si="120"/>
        <v/>
      </c>
      <c r="R46" s="303" t="str">
        <f t="shared" si="120"/>
        <v/>
      </c>
      <c r="S46" s="303" t="str">
        <f t="shared" si="120"/>
        <v/>
      </c>
      <c r="T46" s="303">
        <f t="shared" si="120"/>
        <v>0.28632928383040501</v>
      </c>
      <c r="U46" s="303">
        <f t="shared" si="120"/>
        <v>0.28632928383040501</v>
      </c>
      <c r="V46" s="303">
        <f t="shared" si="120"/>
        <v>3.5567988810070941</v>
      </c>
      <c r="W46" s="303" t="str">
        <f t="shared" si="120"/>
        <v/>
      </c>
      <c r="X46" s="303" t="str">
        <f t="shared" si="120"/>
        <v/>
      </c>
      <c r="Y46" s="303" t="str">
        <f t="shared" si="120"/>
        <v/>
      </c>
      <c r="Z46" s="303" t="str">
        <f t="shared" si="120"/>
        <v/>
      </c>
      <c r="AA46" s="303" t="str">
        <f t="shared" si="120"/>
        <v/>
      </c>
      <c r="AB46" s="303" t="str">
        <f t="shared" si="120"/>
        <v/>
      </c>
      <c r="AC46" s="303" t="str">
        <f t="shared" si="120"/>
        <v/>
      </c>
      <c r="AD46" s="303" t="str">
        <f t="shared" si="120"/>
        <v/>
      </c>
      <c r="AE46" s="303" t="str">
        <f t="shared" si="120"/>
        <v/>
      </c>
      <c r="AF46" s="303" t="str">
        <f t="shared" si="120"/>
        <v/>
      </c>
      <c r="AG46" s="303" t="str">
        <f t="shared" si="120"/>
        <v/>
      </c>
      <c r="AH46" s="303" t="str">
        <f t="shared" ref="AH46:BM46" si="121">IF(AH$2="-","",(IF(AH207="","",IF(AH$4&lt;$A46,AH207,(AH207-AH$3)/(1+AH$3%)))))</f>
        <v/>
      </c>
      <c r="AI46" s="303" t="str">
        <f t="shared" si="121"/>
        <v/>
      </c>
      <c r="AJ46" s="303" t="str">
        <f t="shared" si="121"/>
        <v/>
      </c>
      <c r="AK46" s="303" t="str">
        <f t="shared" si="121"/>
        <v/>
      </c>
      <c r="AL46" s="303" t="str">
        <f t="shared" si="121"/>
        <v/>
      </c>
      <c r="AM46" s="303" t="str">
        <f t="shared" si="121"/>
        <v/>
      </c>
      <c r="AN46" s="303" t="str">
        <f t="shared" si="121"/>
        <v/>
      </c>
      <c r="AO46" s="303" t="str">
        <f t="shared" si="121"/>
        <v/>
      </c>
      <c r="AP46" s="303" t="str">
        <f t="shared" si="121"/>
        <v/>
      </c>
      <c r="AQ46" s="303" t="str">
        <f t="shared" si="121"/>
        <v/>
      </c>
      <c r="AR46" s="303" t="str">
        <f t="shared" si="121"/>
        <v/>
      </c>
      <c r="AS46" s="303" t="str">
        <f t="shared" si="121"/>
        <v/>
      </c>
      <c r="AT46" s="303" t="str">
        <f t="shared" si="121"/>
        <v/>
      </c>
      <c r="AU46" s="303" t="str">
        <f t="shared" si="121"/>
        <v/>
      </c>
      <c r="AV46" s="303" t="str">
        <f t="shared" si="121"/>
        <v/>
      </c>
      <c r="AW46" s="303" t="str">
        <f t="shared" si="121"/>
        <v/>
      </c>
      <c r="AX46" s="303" t="str">
        <f t="shared" si="121"/>
        <v/>
      </c>
      <c r="AY46" s="303" t="str">
        <f t="shared" si="121"/>
        <v/>
      </c>
      <c r="AZ46" s="303" t="str">
        <f t="shared" si="121"/>
        <v/>
      </c>
      <c r="BA46" s="303" t="str">
        <f t="shared" si="121"/>
        <v/>
      </c>
      <c r="BB46" s="303" t="str">
        <f t="shared" si="121"/>
        <v/>
      </c>
      <c r="BC46" s="303" t="str">
        <f t="shared" si="121"/>
        <v/>
      </c>
      <c r="BD46" s="303" t="str">
        <f t="shared" si="121"/>
        <v/>
      </c>
      <c r="BE46" s="303" t="str">
        <f t="shared" si="121"/>
        <v/>
      </c>
      <c r="BF46" s="303" t="str">
        <f t="shared" si="121"/>
        <v/>
      </c>
      <c r="BG46" s="303" t="str">
        <f t="shared" si="121"/>
        <v/>
      </c>
      <c r="BH46" s="303" t="str">
        <f t="shared" si="121"/>
        <v/>
      </c>
      <c r="BI46" s="303" t="str">
        <f t="shared" si="121"/>
        <v/>
      </c>
      <c r="BJ46" s="303" t="str">
        <f t="shared" si="121"/>
        <v/>
      </c>
      <c r="BK46" s="303" t="str">
        <f t="shared" si="121"/>
        <v/>
      </c>
      <c r="BL46" s="303" t="str">
        <f t="shared" si="121"/>
        <v/>
      </c>
      <c r="BM46" s="303" t="str">
        <f t="shared" si="121"/>
        <v/>
      </c>
      <c r="BN46" s="303" t="str">
        <f t="shared" ref="BN46:BZ46" si="122">IF(BN$2="-","",(IF(BN207="","",IF(BN$4&lt;$A46,BN207,(BN207-BN$3)/(1+BN$3%)))))</f>
        <v/>
      </c>
      <c r="BO46" s="303" t="str">
        <f t="shared" si="122"/>
        <v/>
      </c>
      <c r="BP46" s="303" t="str">
        <f t="shared" si="122"/>
        <v/>
      </c>
      <c r="BQ46" s="303" t="str">
        <f t="shared" si="122"/>
        <v/>
      </c>
      <c r="BR46" s="303" t="str">
        <f t="shared" si="122"/>
        <v/>
      </c>
      <c r="BS46" s="303" t="str">
        <f t="shared" si="122"/>
        <v/>
      </c>
      <c r="BT46" s="303" t="str">
        <f t="shared" si="122"/>
        <v/>
      </c>
      <c r="BU46" s="303" t="str">
        <f t="shared" si="122"/>
        <v/>
      </c>
      <c r="BV46" s="303" t="str">
        <f t="shared" si="122"/>
        <v/>
      </c>
      <c r="BW46" s="303" t="str">
        <f t="shared" si="122"/>
        <v/>
      </c>
      <c r="BX46" s="303">
        <f t="shared" si="122"/>
        <v>16.114790286975712</v>
      </c>
      <c r="BY46" s="303">
        <f t="shared" si="122"/>
        <v>0.48690194239806583</v>
      </c>
      <c r="BZ46" s="303">
        <f t="shared" si="122"/>
        <v>3.65</v>
      </c>
      <c r="CA46" s="303">
        <f t="shared" si="10"/>
        <v>10.638702365998487</v>
      </c>
    </row>
    <row r="47" spans="1:79">
      <c r="A47" s="58">
        <f t="shared" si="104"/>
        <v>1910</v>
      </c>
      <c r="B47" s="303">
        <f t="shared" ref="B47:AG47" si="123">IF(B$2="-","",(IF(B208="","",IF(B$4&lt;$A47,B208,(B208-B$3)/(1+B$3%)))))</f>
        <v>-3.5370029679703223</v>
      </c>
      <c r="C47" s="303" t="str">
        <f t="shared" si="123"/>
        <v/>
      </c>
      <c r="D47" s="303">
        <f t="shared" si="123"/>
        <v>-3.5370029679703223</v>
      </c>
      <c r="E47" s="303" t="str">
        <f t="shared" si="123"/>
        <v/>
      </c>
      <c r="F47" s="303" t="str">
        <f t="shared" si="123"/>
        <v/>
      </c>
      <c r="G47" s="303" t="str">
        <f t="shared" si="123"/>
        <v/>
      </c>
      <c r="H47" s="303" t="str">
        <f t="shared" si="123"/>
        <v/>
      </c>
      <c r="I47" s="303" t="str">
        <f t="shared" si="123"/>
        <v/>
      </c>
      <c r="J47" s="303" t="str">
        <f t="shared" si="123"/>
        <v/>
      </c>
      <c r="K47" s="303" t="str">
        <f t="shared" si="123"/>
        <v/>
      </c>
      <c r="L47" s="303" t="str">
        <f t="shared" si="123"/>
        <v/>
      </c>
      <c r="M47" s="303" t="str">
        <f t="shared" si="123"/>
        <v/>
      </c>
      <c r="N47" s="303" t="str">
        <f t="shared" si="123"/>
        <v/>
      </c>
      <c r="O47" s="303" t="str">
        <f t="shared" si="123"/>
        <v/>
      </c>
      <c r="P47" s="303" t="str">
        <f t="shared" si="123"/>
        <v/>
      </c>
      <c r="Q47" s="303" t="str">
        <f t="shared" si="123"/>
        <v/>
      </c>
      <c r="R47" s="303" t="str">
        <f t="shared" si="123"/>
        <v/>
      </c>
      <c r="S47" s="303" t="str">
        <f t="shared" si="123"/>
        <v/>
      </c>
      <c r="T47" s="303">
        <f t="shared" si="123"/>
        <v>5.6855960932729515</v>
      </c>
      <c r="U47" s="303">
        <f t="shared" si="123"/>
        <v>5.6855960932729515</v>
      </c>
      <c r="V47" s="303">
        <f t="shared" si="123"/>
        <v>5.165351183934459</v>
      </c>
      <c r="W47" s="303" t="str">
        <f t="shared" si="123"/>
        <v/>
      </c>
      <c r="X47" s="303" t="str">
        <f t="shared" si="123"/>
        <v/>
      </c>
      <c r="Y47" s="303" t="str">
        <f t="shared" si="123"/>
        <v/>
      </c>
      <c r="Z47" s="303" t="str">
        <f t="shared" si="123"/>
        <v/>
      </c>
      <c r="AA47" s="303" t="str">
        <f t="shared" si="123"/>
        <v/>
      </c>
      <c r="AB47" s="303" t="str">
        <f t="shared" si="123"/>
        <v/>
      </c>
      <c r="AC47" s="303" t="str">
        <f t="shared" si="123"/>
        <v/>
      </c>
      <c r="AD47" s="303" t="str">
        <f t="shared" si="123"/>
        <v/>
      </c>
      <c r="AE47" s="303" t="str">
        <f t="shared" si="123"/>
        <v/>
      </c>
      <c r="AF47" s="303" t="str">
        <f t="shared" si="123"/>
        <v/>
      </c>
      <c r="AG47" s="303" t="str">
        <f t="shared" si="123"/>
        <v/>
      </c>
      <c r="AH47" s="303" t="str">
        <f t="shared" ref="AH47:BM47" si="124">IF(AH$2="-","",(IF(AH208="","",IF(AH$4&lt;$A47,AH208,(AH208-AH$3)/(1+AH$3%)))))</f>
        <v/>
      </c>
      <c r="AI47" s="303" t="str">
        <f t="shared" si="124"/>
        <v/>
      </c>
      <c r="AJ47" s="303" t="str">
        <f t="shared" si="124"/>
        <v/>
      </c>
      <c r="AK47" s="303" t="str">
        <f t="shared" si="124"/>
        <v/>
      </c>
      <c r="AL47" s="303" t="str">
        <f t="shared" si="124"/>
        <v/>
      </c>
      <c r="AM47" s="303" t="str">
        <f t="shared" si="124"/>
        <v/>
      </c>
      <c r="AN47" s="303" t="str">
        <f t="shared" si="124"/>
        <v/>
      </c>
      <c r="AO47" s="303" t="str">
        <f t="shared" si="124"/>
        <v/>
      </c>
      <c r="AP47" s="303" t="str">
        <f t="shared" si="124"/>
        <v/>
      </c>
      <c r="AQ47" s="303" t="str">
        <f t="shared" si="124"/>
        <v/>
      </c>
      <c r="AR47" s="303" t="str">
        <f t="shared" si="124"/>
        <v/>
      </c>
      <c r="AS47" s="303" t="str">
        <f t="shared" si="124"/>
        <v/>
      </c>
      <c r="AT47" s="303" t="str">
        <f t="shared" si="124"/>
        <v/>
      </c>
      <c r="AU47" s="303" t="str">
        <f t="shared" si="124"/>
        <v/>
      </c>
      <c r="AV47" s="303" t="str">
        <f t="shared" si="124"/>
        <v/>
      </c>
      <c r="AW47" s="303" t="str">
        <f t="shared" si="124"/>
        <v/>
      </c>
      <c r="AX47" s="303" t="str">
        <f t="shared" si="124"/>
        <v/>
      </c>
      <c r="AY47" s="303" t="str">
        <f t="shared" si="124"/>
        <v/>
      </c>
      <c r="AZ47" s="303" t="str">
        <f t="shared" si="124"/>
        <v/>
      </c>
      <c r="BA47" s="303" t="str">
        <f t="shared" si="124"/>
        <v/>
      </c>
      <c r="BB47" s="303" t="str">
        <f t="shared" si="124"/>
        <v/>
      </c>
      <c r="BC47" s="303" t="str">
        <f t="shared" si="124"/>
        <v/>
      </c>
      <c r="BD47" s="303" t="str">
        <f t="shared" si="124"/>
        <v/>
      </c>
      <c r="BE47" s="303" t="str">
        <f t="shared" si="124"/>
        <v/>
      </c>
      <c r="BF47" s="303" t="str">
        <f t="shared" si="124"/>
        <v/>
      </c>
      <c r="BG47" s="303" t="str">
        <f t="shared" si="124"/>
        <v/>
      </c>
      <c r="BH47" s="303" t="str">
        <f t="shared" si="124"/>
        <v/>
      </c>
      <c r="BI47" s="303" t="str">
        <f t="shared" si="124"/>
        <v/>
      </c>
      <c r="BJ47" s="303" t="str">
        <f t="shared" si="124"/>
        <v/>
      </c>
      <c r="BK47" s="303" t="str">
        <f t="shared" si="124"/>
        <v/>
      </c>
      <c r="BL47" s="303" t="str">
        <f t="shared" si="124"/>
        <v/>
      </c>
      <c r="BM47" s="303" t="str">
        <f t="shared" si="124"/>
        <v/>
      </c>
      <c r="BN47" s="303" t="str">
        <f t="shared" ref="BN47:BZ47" si="125">IF(BN$2="-","",(IF(BN208="","",IF(BN$4&lt;$A47,BN208,(BN208-BN$3)/(1+BN$3%)))))</f>
        <v/>
      </c>
      <c r="BO47" s="303" t="str">
        <f t="shared" si="125"/>
        <v/>
      </c>
      <c r="BP47" s="303" t="str">
        <f t="shared" si="125"/>
        <v/>
      </c>
      <c r="BQ47" s="303" t="str">
        <f t="shared" si="125"/>
        <v/>
      </c>
      <c r="BR47" s="303" t="str">
        <f t="shared" si="125"/>
        <v/>
      </c>
      <c r="BS47" s="303" t="str">
        <f t="shared" si="125"/>
        <v/>
      </c>
      <c r="BT47" s="303" t="str">
        <f t="shared" si="125"/>
        <v/>
      </c>
      <c r="BU47" s="303" t="str">
        <f t="shared" si="125"/>
        <v/>
      </c>
      <c r="BV47" s="303" t="str">
        <f t="shared" si="125"/>
        <v/>
      </c>
      <c r="BW47" s="303" t="str">
        <f t="shared" si="125"/>
        <v/>
      </c>
      <c r="BX47" s="303">
        <f t="shared" si="125"/>
        <v>-3.3730158730158721</v>
      </c>
      <c r="BY47" s="303">
        <f t="shared" si="125"/>
        <v>5.8969672854594979</v>
      </c>
      <c r="BZ47" s="303">
        <f t="shared" si="125"/>
        <v>5.26</v>
      </c>
      <c r="CA47" s="303">
        <f t="shared" si="10"/>
        <v>-6.7313276717065111</v>
      </c>
    </row>
    <row r="48" spans="1:79">
      <c r="A48" s="58">
        <f t="shared" si="104"/>
        <v>1911</v>
      </c>
      <c r="B48" s="303">
        <f t="shared" ref="B48:AG48" si="126">IF(B$2="-","",(IF(B209="","",IF(B$4&lt;$A48,B209,(B209-B$3)/(1+B$3%)))))</f>
        <v>3.2764257612113452</v>
      </c>
      <c r="C48" s="303" t="str">
        <f t="shared" si="126"/>
        <v/>
      </c>
      <c r="D48" s="303">
        <f t="shared" si="126"/>
        <v>3.2764257612113452</v>
      </c>
      <c r="E48" s="303" t="str">
        <f t="shared" si="126"/>
        <v/>
      </c>
      <c r="F48" s="303" t="str">
        <f t="shared" si="126"/>
        <v/>
      </c>
      <c r="G48" s="303" t="str">
        <f t="shared" si="126"/>
        <v/>
      </c>
      <c r="H48" s="303" t="str">
        <f t="shared" si="126"/>
        <v/>
      </c>
      <c r="I48" s="303" t="str">
        <f t="shared" si="126"/>
        <v/>
      </c>
      <c r="J48" s="303" t="str">
        <f t="shared" si="126"/>
        <v/>
      </c>
      <c r="K48" s="303" t="str">
        <f t="shared" si="126"/>
        <v/>
      </c>
      <c r="L48" s="303" t="str">
        <f t="shared" si="126"/>
        <v/>
      </c>
      <c r="M48" s="303" t="str">
        <f t="shared" si="126"/>
        <v/>
      </c>
      <c r="N48" s="303" t="str">
        <f t="shared" si="126"/>
        <v/>
      </c>
      <c r="O48" s="303" t="str">
        <f t="shared" si="126"/>
        <v/>
      </c>
      <c r="P48" s="303" t="str">
        <f t="shared" si="126"/>
        <v/>
      </c>
      <c r="Q48" s="303" t="str">
        <f t="shared" si="126"/>
        <v/>
      </c>
      <c r="R48" s="303" t="str">
        <f t="shared" si="126"/>
        <v/>
      </c>
      <c r="S48" s="303" t="str">
        <f t="shared" si="126"/>
        <v/>
      </c>
      <c r="T48" s="303">
        <f t="shared" si="126"/>
        <v>3.0577878372657628</v>
      </c>
      <c r="U48" s="303">
        <f t="shared" si="126"/>
        <v>3.0577878372657628</v>
      </c>
      <c r="V48" s="303">
        <f t="shared" si="126"/>
        <v>3.9064841642521735</v>
      </c>
      <c r="W48" s="303" t="str">
        <f t="shared" si="126"/>
        <v/>
      </c>
      <c r="X48" s="303" t="str">
        <f t="shared" si="126"/>
        <v/>
      </c>
      <c r="Y48" s="303" t="str">
        <f t="shared" si="126"/>
        <v/>
      </c>
      <c r="Z48" s="303" t="str">
        <f t="shared" si="126"/>
        <v/>
      </c>
      <c r="AA48" s="303" t="str">
        <f t="shared" si="126"/>
        <v/>
      </c>
      <c r="AB48" s="303" t="str">
        <f t="shared" si="126"/>
        <v/>
      </c>
      <c r="AC48" s="303" t="str">
        <f t="shared" si="126"/>
        <v/>
      </c>
      <c r="AD48" s="303" t="str">
        <f t="shared" si="126"/>
        <v/>
      </c>
      <c r="AE48" s="303" t="str">
        <f t="shared" si="126"/>
        <v/>
      </c>
      <c r="AF48" s="303" t="str">
        <f t="shared" si="126"/>
        <v/>
      </c>
      <c r="AG48" s="303" t="str">
        <f t="shared" si="126"/>
        <v/>
      </c>
      <c r="AH48" s="303" t="str">
        <f t="shared" ref="AH48:BM48" si="127">IF(AH$2="-","",(IF(AH209="","",IF(AH$4&lt;$A48,AH209,(AH209-AH$3)/(1+AH$3%)))))</f>
        <v/>
      </c>
      <c r="AI48" s="303" t="str">
        <f t="shared" si="127"/>
        <v/>
      </c>
      <c r="AJ48" s="303" t="str">
        <f t="shared" si="127"/>
        <v/>
      </c>
      <c r="AK48" s="303" t="str">
        <f t="shared" si="127"/>
        <v/>
      </c>
      <c r="AL48" s="303" t="str">
        <f t="shared" si="127"/>
        <v/>
      </c>
      <c r="AM48" s="303" t="str">
        <f t="shared" si="127"/>
        <v/>
      </c>
      <c r="AN48" s="303" t="str">
        <f t="shared" si="127"/>
        <v/>
      </c>
      <c r="AO48" s="303" t="str">
        <f t="shared" si="127"/>
        <v/>
      </c>
      <c r="AP48" s="303" t="str">
        <f t="shared" si="127"/>
        <v/>
      </c>
      <c r="AQ48" s="303" t="str">
        <f t="shared" si="127"/>
        <v/>
      </c>
      <c r="AR48" s="303" t="str">
        <f t="shared" si="127"/>
        <v/>
      </c>
      <c r="AS48" s="303" t="str">
        <f t="shared" si="127"/>
        <v/>
      </c>
      <c r="AT48" s="303" t="str">
        <f t="shared" si="127"/>
        <v/>
      </c>
      <c r="AU48" s="303" t="str">
        <f t="shared" si="127"/>
        <v/>
      </c>
      <c r="AV48" s="303" t="str">
        <f t="shared" si="127"/>
        <v/>
      </c>
      <c r="AW48" s="303" t="str">
        <f t="shared" si="127"/>
        <v/>
      </c>
      <c r="AX48" s="303" t="str">
        <f t="shared" si="127"/>
        <v/>
      </c>
      <c r="AY48" s="303" t="str">
        <f t="shared" si="127"/>
        <v/>
      </c>
      <c r="AZ48" s="303" t="str">
        <f t="shared" si="127"/>
        <v/>
      </c>
      <c r="BA48" s="303" t="str">
        <f t="shared" si="127"/>
        <v/>
      </c>
      <c r="BB48" s="303" t="str">
        <f t="shared" si="127"/>
        <v/>
      </c>
      <c r="BC48" s="303" t="str">
        <f t="shared" si="127"/>
        <v/>
      </c>
      <c r="BD48" s="303" t="str">
        <f t="shared" si="127"/>
        <v/>
      </c>
      <c r="BE48" s="303" t="str">
        <f t="shared" si="127"/>
        <v/>
      </c>
      <c r="BF48" s="303" t="str">
        <f t="shared" si="127"/>
        <v/>
      </c>
      <c r="BG48" s="303" t="str">
        <f t="shared" si="127"/>
        <v/>
      </c>
      <c r="BH48" s="303" t="str">
        <f t="shared" si="127"/>
        <v/>
      </c>
      <c r="BI48" s="303" t="str">
        <f t="shared" si="127"/>
        <v/>
      </c>
      <c r="BJ48" s="303" t="str">
        <f t="shared" si="127"/>
        <v/>
      </c>
      <c r="BK48" s="303" t="str">
        <f t="shared" si="127"/>
        <v/>
      </c>
      <c r="BL48" s="303" t="str">
        <f t="shared" si="127"/>
        <v/>
      </c>
      <c r="BM48" s="303" t="str">
        <f t="shared" si="127"/>
        <v/>
      </c>
      <c r="BN48" s="303" t="str">
        <f t="shared" ref="BN48:BZ48" si="128">IF(BN$2="-","",(IF(BN209="","",IF(BN$4&lt;$A48,BN209,(BN209-BN$3)/(1+BN$3%)))))</f>
        <v/>
      </c>
      <c r="BO48" s="303" t="str">
        <f t="shared" si="128"/>
        <v/>
      </c>
      <c r="BP48" s="303" t="str">
        <f t="shared" si="128"/>
        <v/>
      </c>
      <c r="BQ48" s="303" t="str">
        <f t="shared" si="128"/>
        <v/>
      </c>
      <c r="BR48" s="303" t="str">
        <f t="shared" si="128"/>
        <v/>
      </c>
      <c r="BS48" s="303" t="str">
        <f t="shared" si="128"/>
        <v/>
      </c>
      <c r="BT48" s="303" t="str">
        <f t="shared" si="128"/>
        <v/>
      </c>
      <c r="BU48" s="303" t="str">
        <f t="shared" si="128"/>
        <v/>
      </c>
      <c r="BV48" s="303" t="str">
        <f t="shared" si="128"/>
        <v/>
      </c>
      <c r="BW48" s="303" t="str">
        <f t="shared" si="128"/>
        <v/>
      </c>
      <c r="BX48" s="303">
        <f t="shared" si="128"/>
        <v>3.4519956850054045</v>
      </c>
      <c r="BY48" s="303">
        <f t="shared" si="128"/>
        <v>3.2639034129402944</v>
      </c>
      <c r="BZ48" s="303">
        <f t="shared" si="128"/>
        <v>4</v>
      </c>
      <c r="CA48" s="303">
        <f t="shared" si="10"/>
        <v>-1.0302674176096649</v>
      </c>
    </row>
    <row r="49" spans="1:79">
      <c r="A49" s="58">
        <f t="shared" si="104"/>
        <v>1912</v>
      </c>
      <c r="B49" s="303">
        <f t="shared" ref="B49:AG49" si="129">IF(B$2="-","",(IF(B210="","",IF(B$4&lt;$A49,B210,(B210-B$3)/(1+B$3%)))))</f>
        <v>7.0548488621974501</v>
      </c>
      <c r="C49" s="303" t="str">
        <f t="shared" si="129"/>
        <v/>
      </c>
      <c r="D49" s="303">
        <f t="shared" si="129"/>
        <v>7.0548488621974501</v>
      </c>
      <c r="E49" s="303" t="str">
        <f t="shared" si="129"/>
        <v/>
      </c>
      <c r="F49" s="303" t="str">
        <f t="shared" si="129"/>
        <v/>
      </c>
      <c r="G49" s="303" t="str">
        <f t="shared" si="129"/>
        <v/>
      </c>
      <c r="H49" s="303" t="str">
        <f t="shared" si="129"/>
        <v/>
      </c>
      <c r="I49" s="303" t="str">
        <f t="shared" si="129"/>
        <v/>
      </c>
      <c r="J49" s="303" t="str">
        <f t="shared" si="129"/>
        <v/>
      </c>
      <c r="K49" s="303" t="str">
        <f t="shared" si="129"/>
        <v/>
      </c>
      <c r="L49" s="303" t="str">
        <f t="shared" si="129"/>
        <v/>
      </c>
      <c r="M49" s="303" t="str">
        <f t="shared" si="129"/>
        <v/>
      </c>
      <c r="N49" s="303" t="str">
        <f t="shared" si="129"/>
        <v/>
      </c>
      <c r="O49" s="303" t="str">
        <f t="shared" si="129"/>
        <v/>
      </c>
      <c r="P49" s="303" t="str">
        <f t="shared" si="129"/>
        <v/>
      </c>
      <c r="Q49" s="303" t="str">
        <f t="shared" si="129"/>
        <v/>
      </c>
      <c r="R49" s="303" t="str">
        <f t="shared" si="129"/>
        <v/>
      </c>
      <c r="S49" s="303" t="str">
        <f t="shared" si="129"/>
        <v/>
      </c>
      <c r="T49" s="303">
        <f t="shared" si="129"/>
        <v>0.31110650331028539</v>
      </c>
      <c r="U49" s="303">
        <f t="shared" si="129"/>
        <v>0.31110650331028539</v>
      </c>
      <c r="V49" s="303">
        <f t="shared" si="129"/>
        <v>4.2561694474972525</v>
      </c>
      <c r="W49" s="303" t="str">
        <f t="shared" si="129"/>
        <v/>
      </c>
      <c r="X49" s="303" t="str">
        <f t="shared" si="129"/>
        <v/>
      </c>
      <c r="Y49" s="303" t="str">
        <f t="shared" si="129"/>
        <v/>
      </c>
      <c r="Z49" s="303" t="str">
        <f t="shared" si="129"/>
        <v/>
      </c>
      <c r="AA49" s="303" t="str">
        <f t="shared" si="129"/>
        <v/>
      </c>
      <c r="AB49" s="303" t="str">
        <f t="shared" si="129"/>
        <v/>
      </c>
      <c r="AC49" s="303" t="str">
        <f t="shared" si="129"/>
        <v/>
      </c>
      <c r="AD49" s="303" t="str">
        <f t="shared" si="129"/>
        <v/>
      </c>
      <c r="AE49" s="303" t="str">
        <f t="shared" si="129"/>
        <v/>
      </c>
      <c r="AF49" s="303" t="str">
        <f t="shared" si="129"/>
        <v/>
      </c>
      <c r="AG49" s="303" t="str">
        <f t="shared" si="129"/>
        <v/>
      </c>
      <c r="AH49" s="303" t="str">
        <f t="shared" ref="AH49:BM49" si="130">IF(AH$2="-","",(IF(AH210="","",IF(AH$4&lt;$A49,AH210,(AH210-AH$3)/(1+AH$3%)))))</f>
        <v/>
      </c>
      <c r="AI49" s="303" t="str">
        <f t="shared" si="130"/>
        <v/>
      </c>
      <c r="AJ49" s="303" t="str">
        <f t="shared" si="130"/>
        <v/>
      </c>
      <c r="AK49" s="303" t="str">
        <f t="shared" si="130"/>
        <v/>
      </c>
      <c r="AL49" s="303" t="str">
        <f t="shared" si="130"/>
        <v/>
      </c>
      <c r="AM49" s="303" t="str">
        <f t="shared" si="130"/>
        <v/>
      </c>
      <c r="AN49" s="303" t="str">
        <f t="shared" si="130"/>
        <v/>
      </c>
      <c r="AO49" s="303" t="str">
        <f t="shared" si="130"/>
        <v/>
      </c>
      <c r="AP49" s="303" t="str">
        <f t="shared" si="130"/>
        <v/>
      </c>
      <c r="AQ49" s="303" t="str">
        <f t="shared" si="130"/>
        <v/>
      </c>
      <c r="AR49" s="303" t="str">
        <f t="shared" si="130"/>
        <v/>
      </c>
      <c r="AS49" s="303" t="str">
        <f t="shared" si="130"/>
        <v/>
      </c>
      <c r="AT49" s="303" t="str">
        <f t="shared" si="130"/>
        <v/>
      </c>
      <c r="AU49" s="303" t="str">
        <f t="shared" si="130"/>
        <v/>
      </c>
      <c r="AV49" s="303" t="str">
        <f t="shared" si="130"/>
        <v/>
      </c>
      <c r="AW49" s="303" t="str">
        <f t="shared" si="130"/>
        <v/>
      </c>
      <c r="AX49" s="303" t="str">
        <f t="shared" si="130"/>
        <v/>
      </c>
      <c r="AY49" s="303" t="str">
        <f t="shared" si="130"/>
        <v/>
      </c>
      <c r="AZ49" s="303" t="str">
        <f t="shared" si="130"/>
        <v/>
      </c>
      <c r="BA49" s="303" t="str">
        <f t="shared" si="130"/>
        <v/>
      </c>
      <c r="BB49" s="303" t="str">
        <f t="shared" si="130"/>
        <v/>
      </c>
      <c r="BC49" s="303" t="str">
        <f t="shared" si="130"/>
        <v/>
      </c>
      <c r="BD49" s="303" t="str">
        <f t="shared" si="130"/>
        <v/>
      </c>
      <c r="BE49" s="303" t="str">
        <f t="shared" si="130"/>
        <v/>
      </c>
      <c r="BF49" s="303" t="str">
        <f t="shared" si="130"/>
        <v/>
      </c>
      <c r="BG49" s="303" t="str">
        <f t="shared" si="130"/>
        <v/>
      </c>
      <c r="BH49" s="303" t="str">
        <f t="shared" si="130"/>
        <v/>
      </c>
      <c r="BI49" s="303" t="str">
        <f t="shared" si="130"/>
        <v/>
      </c>
      <c r="BJ49" s="303" t="str">
        <f t="shared" si="130"/>
        <v/>
      </c>
      <c r="BK49" s="303" t="str">
        <f t="shared" si="130"/>
        <v/>
      </c>
      <c r="BL49" s="303" t="str">
        <f t="shared" si="130"/>
        <v/>
      </c>
      <c r="BM49" s="303" t="str">
        <f t="shared" si="130"/>
        <v/>
      </c>
      <c r="BN49" s="303" t="str">
        <f t="shared" ref="BN49:BZ49" si="131">IF(BN$2="-","",(IF(BN210="","",IF(BN$4&lt;$A49,BN210,(BN210-BN$3)/(1+BN$3%)))))</f>
        <v/>
      </c>
      <c r="BO49" s="303" t="str">
        <f t="shared" si="131"/>
        <v/>
      </c>
      <c r="BP49" s="303" t="str">
        <f t="shared" si="131"/>
        <v/>
      </c>
      <c r="BQ49" s="303" t="str">
        <f t="shared" si="131"/>
        <v/>
      </c>
      <c r="BR49" s="303" t="str">
        <f t="shared" si="131"/>
        <v/>
      </c>
      <c r="BS49" s="303" t="str">
        <f t="shared" si="131"/>
        <v/>
      </c>
      <c r="BT49" s="303" t="str">
        <f t="shared" si="131"/>
        <v/>
      </c>
      <c r="BU49" s="303" t="str">
        <f t="shared" si="131"/>
        <v/>
      </c>
      <c r="BV49" s="303" t="str">
        <f t="shared" si="131"/>
        <v/>
      </c>
      <c r="BW49" s="303" t="str">
        <f t="shared" si="131"/>
        <v/>
      </c>
      <c r="BX49" s="303">
        <f t="shared" si="131"/>
        <v>7.2368421052631859</v>
      </c>
      <c r="BY49" s="303">
        <f t="shared" si="131"/>
        <v>0.51172871631690597</v>
      </c>
      <c r="BZ49" s="303">
        <f t="shared" si="131"/>
        <v>4.3499999999999996</v>
      </c>
      <c r="CA49" s="303">
        <f t="shared" si="10"/>
        <v>7.2913798492556081</v>
      </c>
    </row>
    <row r="50" spans="1:79">
      <c r="A50" s="58">
        <f t="shared" si="104"/>
        <v>1913</v>
      </c>
      <c r="B50" s="303">
        <f t="shared" ref="B50:AG50" si="132">IF(B$2="-","",(IF(B211="","",IF(B$4&lt;$A50,B211,(B211-B$3)/(1+B$3%)))))</f>
        <v>-5.0002093215726875</v>
      </c>
      <c r="C50" s="303" t="str">
        <f t="shared" si="132"/>
        <v/>
      </c>
      <c r="D50" s="303">
        <f t="shared" si="132"/>
        <v>-5.0002093215726875</v>
      </c>
      <c r="E50" s="303" t="str">
        <f t="shared" si="132"/>
        <v/>
      </c>
      <c r="F50" s="303" t="str">
        <f t="shared" si="132"/>
        <v/>
      </c>
      <c r="G50" s="303" t="str">
        <f t="shared" si="132"/>
        <v/>
      </c>
      <c r="H50" s="303" t="str">
        <f t="shared" si="132"/>
        <v/>
      </c>
      <c r="I50" s="303" t="str">
        <f t="shared" si="132"/>
        <v/>
      </c>
      <c r="J50" s="303" t="str">
        <f t="shared" si="132"/>
        <v/>
      </c>
      <c r="K50" s="303" t="str">
        <f t="shared" si="132"/>
        <v/>
      </c>
      <c r="L50" s="303" t="str">
        <f t="shared" si="132"/>
        <v/>
      </c>
      <c r="M50" s="303" t="str">
        <f t="shared" si="132"/>
        <v/>
      </c>
      <c r="N50" s="303" t="str">
        <f t="shared" si="132"/>
        <v/>
      </c>
      <c r="O50" s="303" t="str">
        <f t="shared" si="132"/>
        <v/>
      </c>
      <c r="P50" s="303" t="str">
        <f t="shared" si="132"/>
        <v/>
      </c>
      <c r="Q50" s="303" t="str">
        <f t="shared" si="132"/>
        <v/>
      </c>
      <c r="R50" s="303" t="str">
        <f t="shared" si="132"/>
        <v/>
      </c>
      <c r="S50" s="303" t="str">
        <f t="shared" si="132"/>
        <v/>
      </c>
      <c r="T50" s="303">
        <f t="shared" si="132"/>
        <v>6.7635653537570724</v>
      </c>
      <c r="U50" s="303">
        <f t="shared" si="132"/>
        <v>6.7635653537570724</v>
      </c>
      <c r="V50" s="303">
        <f t="shared" si="132"/>
        <v>5.5550004995504061</v>
      </c>
      <c r="W50" s="303" t="str">
        <f t="shared" si="132"/>
        <v/>
      </c>
      <c r="X50" s="303" t="str">
        <f t="shared" si="132"/>
        <v/>
      </c>
      <c r="Y50" s="303" t="str">
        <f t="shared" si="132"/>
        <v/>
      </c>
      <c r="Z50" s="303" t="str">
        <f t="shared" si="132"/>
        <v/>
      </c>
      <c r="AA50" s="303" t="str">
        <f t="shared" si="132"/>
        <v/>
      </c>
      <c r="AB50" s="303" t="str">
        <f t="shared" si="132"/>
        <v/>
      </c>
      <c r="AC50" s="303" t="str">
        <f t="shared" si="132"/>
        <v/>
      </c>
      <c r="AD50" s="303" t="str">
        <f t="shared" si="132"/>
        <v/>
      </c>
      <c r="AE50" s="303" t="str">
        <f t="shared" si="132"/>
        <v/>
      </c>
      <c r="AF50" s="303" t="str">
        <f t="shared" si="132"/>
        <v/>
      </c>
      <c r="AG50" s="303" t="str">
        <f t="shared" si="132"/>
        <v/>
      </c>
      <c r="AH50" s="303" t="str">
        <f t="shared" ref="AH50:BM50" si="133">IF(AH$2="-","",(IF(AH211="","",IF(AH$4&lt;$A50,AH211,(AH211-AH$3)/(1+AH$3%)))))</f>
        <v/>
      </c>
      <c r="AI50" s="303" t="str">
        <f t="shared" si="133"/>
        <v/>
      </c>
      <c r="AJ50" s="303" t="str">
        <f t="shared" si="133"/>
        <v/>
      </c>
      <c r="AK50" s="303" t="str">
        <f t="shared" si="133"/>
        <v/>
      </c>
      <c r="AL50" s="303" t="str">
        <f t="shared" si="133"/>
        <v/>
      </c>
      <c r="AM50" s="303" t="str">
        <f t="shared" si="133"/>
        <v/>
      </c>
      <c r="AN50" s="303" t="str">
        <f t="shared" si="133"/>
        <v/>
      </c>
      <c r="AO50" s="303" t="str">
        <f t="shared" si="133"/>
        <v/>
      </c>
      <c r="AP50" s="303" t="str">
        <f t="shared" si="133"/>
        <v/>
      </c>
      <c r="AQ50" s="303" t="str">
        <f t="shared" si="133"/>
        <v/>
      </c>
      <c r="AR50" s="303" t="str">
        <f t="shared" si="133"/>
        <v/>
      </c>
      <c r="AS50" s="303" t="str">
        <f t="shared" si="133"/>
        <v/>
      </c>
      <c r="AT50" s="303" t="str">
        <f t="shared" si="133"/>
        <v/>
      </c>
      <c r="AU50" s="303" t="str">
        <f t="shared" si="133"/>
        <v/>
      </c>
      <c r="AV50" s="303" t="str">
        <f t="shared" si="133"/>
        <v/>
      </c>
      <c r="AW50" s="303" t="str">
        <f t="shared" si="133"/>
        <v/>
      </c>
      <c r="AX50" s="303" t="str">
        <f t="shared" si="133"/>
        <v/>
      </c>
      <c r="AY50" s="303" t="str">
        <f t="shared" si="133"/>
        <v/>
      </c>
      <c r="AZ50" s="303" t="str">
        <f t="shared" si="133"/>
        <v/>
      </c>
      <c r="BA50" s="303" t="str">
        <f t="shared" si="133"/>
        <v/>
      </c>
      <c r="BB50" s="303" t="str">
        <f t="shared" si="133"/>
        <v/>
      </c>
      <c r="BC50" s="303" t="str">
        <f t="shared" si="133"/>
        <v/>
      </c>
      <c r="BD50" s="303" t="str">
        <f t="shared" si="133"/>
        <v/>
      </c>
      <c r="BE50" s="303" t="str">
        <f t="shared" si="133"/>
        <v/>
      </c>
      <c r="BF50" s="303" t="str">
        <f t="shared" si="133"/>
        <v/>
      </c>
      <c r="BG50" s="303" t="str">
        <f t="shared" si="133"/>
        <v/>
      </c>
      <c r="BH50" s="303" t="str">
        <f t="shared" si="133"/>
        <v/>
      </c>
      <c r="BI50" s="303" t="str">
        <f t="shared" si="133"/>
        <v/>
      </c>
      <c r="BJ50" s="303" t="str">
        <f t="shared" si="133"/>
        <v/>
      </c>
      <c r="BK50" s="303" t="str">
        <f t="shared" si="133"/>
        <v/>
      </c>
      <c r="BL50" s="303" t="str">
        <f t="shared" si="133"/>
        <v/>
      </c>
      <c r="BM50" s="303" t="str">
        <f t="shared" si="133"/>
        <v/>
      </c>
      <c r="BN50" s="303" t="str">
        <f t="shared" ref="BN50:BZ50" si="134">IF(BN$2="-","",(IF(BN211="","",IF(BN$4&lt;$A50,BN211,(BN211-BN$3)/(1+BN$3%)))))</f>
        <v/>
      </c>
      <c r="BO50" s="303" t="str">
        <f t="shared" si="134"/>
        <v/>
      </c>
      <c r="BP50" s="303" t="str">
        <f t="shared" si="134"/>
        <v/>
      </c>
      <c r="BQ50" s="303" t="str">
        <f t="shared" si="134"/>
        <v/>
      </c>
      <c r="BR50" s="303" t="str">
        <f t="shared" si="134"/>
        <v/>
      </c>
      <c r="BS50" s="303" t="str">
        <f t="shared" si="134"/>
        <v/>
      </c>
      <c r="BT50" s="303" t="str">
        <f t="shared" si="134"/>
        <v/>
      </c>
      <c r="BU50" s="303" t="str">
        <f t="shared" si="134"/>
        <v/>
      </c>
      <c r="BV50" s="303" t="str">
        <f t="shared" si="134"/>
        <v/>
      </c>
      <c r="BW50" s="303" t="str">
        <f t="shared" si="134"/>
        <v/>
      </c>
      <c r="BX50" s="303">
        <f t="shared" si="134"/>
        <v>-4.8387096774193612</v>
      </c>
      <c r="BY50" s="303">
        <f t="shared" si="134"/>
        <v>6.9770924844645865</v>
      </c>
      <c r="BZ50" s="303">
        <f t="shared" si="134"/>
        <v>5.65</v>
      </c>
      <c r="CA50" s="303">
        <f t="shared" si="10"/>
        <v>2.0408163265306145</v>
      </c>
    </row>
    <row r="51" spans="1:79">
      <c r="A51" s="58">
        <f t="shared" si="104"/>
        <v>1914</v>
      </c>
      <c r="B51" s="303">
        <f t="shared" ref="B51:AG51" si="135">IF(B$2="-","",(IF(B212="","",IF(B$4&lt;$A51,B212,(B212-B$3)/(1+B$3%)))))</f>
        <v>-5.7754744055774063</v>
      </c>
      <c r="C51" s="303" t="str">
        <f t="shared" si="135"/>
        <v/>
      </c>
      <c r="D51" s="303">
        <f t="shared" si="135"/>
        <v>-5.7754744055774063</v>
      </c>
      <c r="E51" s="303" t="str">
        <f t="shared" si="135"/>
        <v/>
      </c>
      <c r="F51" s="303" t="str">
        <f t="shared" si="135"/>
        <v/>
      </c>
      <c r="G51" s="303" t="str">
        <f t="shared" si="135"/>
        <v/>
      </c>
      <c r="H51" s="303" t="str">
        <f t="shared" si="135"/>
        <v/>
      </c>
      <c r="I51" s="303" t="str">
        <f t="shared" si="135"/>
        <v/>
      </c>
      <c r="J51" s="303" t="str">
        <f t="shared" si="135"/>
        <v/>
      </c>
      <c r="K51" s="303" t="str">
        <f t="shared" si="135"/>
        <v/>
      </c>
      <c r="L51" s="303" t="str">
        <f t="shared" si="135"/>
        <v/>
      </c>
      <c r="M51" s="303" t="str">
        <f t="shared" si="135"/>
        <v/>
      </c>
      <c r="N51" s="303" t="str">
        <f t="shared" si="135"/>
        <v/>
      </c>
      <c r="O51" s="303" t="str">
        <f t="shared" si="135"/>
        <v/>
      </c>
      <c r="P51" s="303" t="str">
        <f t="shared" si="135"/>
        <v/>
      </c>
      <c r="Q51" s="303" t="str">
        <f t="shared" si="135"/>
        <v/>
      </c>
      <c r="R51" s="303" t="str">
        <f t="shared" si="135"/>
        <v/>
      </c>
      <c r="S51" s="303" t="str">
        <f t="shared" si="135"/>
        <v/>
      </c>
      <c r="T51" s="303">
        <f t="shared" si="135"/>
        <v>5.4804065315176533</v>
      </c>
      <c r="U51" s="303">
        <f t="shared" si="135"/>
        <v>5.4804065315176533</v>
      </c>
      <c r="V51" s="303">
        <f t="shared" si="135"/>
        <v>4.5459086821860328</v>
      </c>
      <c r="W51" s="303" t="str">
        <f t="shared" si="135"/>
        <v/>
      </c>
      <c r="X51" s="303" t="str">
        <f t="shared" si="135"/>
        <v/>
      </c>
      <c r="Y51" s="303" t="str">
        <f t="shared" si="135"/>
        <v/>
      </c>
      <c r="Z51" s="303" t="str">
        <f t="shared" si="135"/>
        <v/>
      </c>
      <c r="AA51" s="303" t="str">
        <f t="shared" si="135"/>
        <v/>
      </c>
      <c r="AB51" s="303" t="str">
        <f t="shared" si="135"/>
        <v/>
      </c>
      <c r="AC51" s="303" t="str">
        <f t="shared" si="135"/>
        <v/>
      </c>
      <c r="AD51" s="303" t="str">
        <f t="shared" si="135"/>
        <v/>
      </c>
      <c r="AE51" s="303" t="str">
        <f t="shared" si="135"/>
        <v/>
      </c>
      <c r="AF51" s="303" t="str">
        <f t="shared" si="135"/>
        <v/>
      </c>
      <c r="AG51" s="303" t="str">
        <f t="shared" si="135"/>
        <v/>
      </c>
      <c r="AH51" s="303" t="str">
        <f t="shared" ref="AH51:BM51" si="136">IF(AH$2="-","",(IF(AH212="","",IF(AH$4&lt;$A51,AH212,(AH212-AH$3)/(1+AH$3%)))))</f>
        <v/>
      </c>
      <c r="AI51" s="303" t="str">
        <f t="shared" si="136"/>
        <v/>
      </c>
      <c r="AJ51" s="303" t="str">
        <f t="shared" si="136"/>
        <v/>
      </c>
      <c r="AK51" s="303" t="str">
        <f t="shared" si="136"/>
        <v/>
      </c>
      <c r="AL51" s="303" t="str">
        <f t="shared" si="136"/>
        <v/>
      </c>
      <c r="AM51" s="303" t="str">
        <f t="shared" si="136"/>
        <v/>
      </c>
      <c r="AN51" s="303" t="str">
        <f t="shared" si="136"/>
        <v/>
      </c>
      <c r="AO51" s="303" t="str">
        <f t="shared" si="136"/>
        <v/>
      </c>
      <c r="AP51" s="303" t="str">
        <f t="shared" si="136"/>
        <v/>
      </c>
      <c r="AQ51" s="303" t="str">
        <f t="shared" si="136"/>
        <v/>
      </c>
      <c r="AR51" s="303" t="str">
        <f t="shared" si="136"/>
        <v/>
      </c>
      <c r="AS51" s="303" t="str">
        <f t="shared" si="136"/>
        <v/>
      </c>
      <c r="AT51" s="303" t="str">
        <f t="shared" si="136"/>
        <v/>
      </c>
      <c r="AU51" s="303" t="str">
        <f t="shared" si="136"/>
        <v/>
      </c>
      <c r="AV51" s="303" t="str">
        <f t="shared" si="136"/>
        <v/>
      </c>
      <c r="AW51" s="303" t="str">
        <f t="shared" si="136"/>
        <v/>
      </c>
      <c r="AX51" s="303" t="str">
        <f t="shared" si="136"/>
        <v/>
      </c>
      <c r="AY51" s="303" t="str">
        <f t="shared" si="136"/>
        <v/>
      </c>
      <c r="AZ51" s="303" t="str">
        <f t="shared" si="136"/>
        <v/>
      </c>
      <c r="BA51" s="303" t="str">
        <f t="shared" si="136"/>
        <v/>
      </c>
      <c r="BB51" s="303" t="str">
        <f t="shared" si="136"/>
        <v/>
      </c>
      <c r="BC51" s="303" t="str">
        <f t="shared" si="136"/>
        <v/>
      </c>
      <c r="BD51" s="303" t="str">
        <f t="shared" si="136"/>
        <v/>
      </c>
      <c r="BE51" s="303" t="str">
        <f t="shared" si="136"/>
        <v/>
      </c>
      <c r="BF51" s="303" t="str">
        <f t="shared" si="136"/>
        <v/>
      </c>
      <c r="BG51" s="303" t="str">
        <f t="shared" si="136"/>
        <v/>
      </c>
      <c r="BH51" s="303" t="str">
        <f t="shared" si="136"/>
        <v/>
      </c>
      <c r="BI51" s="303" t="str">
        <f t="shared" si="136"/>
        <v/>
      </c>
      <c r="BJ51" s="303" t="str">
        <f t="shared" si="136"/>
        <v/>
      </c>
      <c r="BK51" s="303" t="str">
        <f t="shared" si="136"/>
        <v/>
      </c>
      <c r="BL51" s="303" t="str">
        <f t="shared" si="136"/>
        <v/>
      </c>
      <c r="BM51" s="303" t="str">
        <f t="shared" si="136"/>
        <v/>
      </c>
      <c r="BN51" s="303" t="str">
        <f t="shared" ref="BN51:BZ51" si="137">IF(BN$2="-","",(IF(BN212="","",IF(BN$4&lt;$A51,BN212,(BN212-BN$3)/(1+BN$3%)))))</f>
        <v/>
      </c>
      <c r="BO51" s="303" t="str">
        <f t="shared" si="137"/>
        <v/>
      </c>
      <c r="BP51" s="303" t="str">
        <f t="shared" si="137"/>
        <v/>
      </c>
      <c r="BQ51" s="303" t="str">
        <f t="shared" si="137"/>
        <v/>
      </c>
      <c r="BR51" s="303" t="str">
        <f t="shared" si="137"/>
        <v/>
      </c>
      <c r="BS51" s="303" t="str">
        <f t="shared" si="137"/>
        <v/>
      </c>
      <c r="BT51" s="303" t="str">
        <f t="shared" si="137"/>
        <v/>
      </c>
      <c r="BU51" s="303" t="str">
        <f t="shared" si="137"/>
        <v/>
      </c>
      <c r="BV51" s="303" t="str">
        <f t="shared" si="137"/>
        <v/>
      </c>
      <c r="BW51" s="303" t="str">
        <f t="shared" si="137"/>
        <v/>
      </c>
      <c r="BX51" s="303">
        <f t="shared" si="137"/>
        <v>-5.6152927120668883</v>
      </c>
      <c r="BY51" s="303">
        <f t="shared" si="137"/>
        <v>5.6913673445806889</v>
      </c>
      <c r="BZ51" s="303">
        <f t="shared" si="137"/>
        <v>4.6399999999999997</v>
      </c>
      <c r="CA51" s="303">
        <f t="shared" si="10"/>
        <v>1.0000000000000009</v>
      </c>
    </row>
    <row r="52" spans="1:79">
      <c r="A52" s="58">
        <f t="shared" si="104"/>
        <v>1915</v>
      </c>
      <c r="B52" s="303">
        <f t="shared" ref="B52:AG52" si="138">IF(B$2="-","",(IF(B213="","",IF(B$4&lt;$A52,B213,(B213-B$3)/(1+B$3%)))))</f>
        <v>30.259841691584185</v>
      </c>
      <c r="C52" s="303" t="str">
        <f t="shared" si="138"/>
        <v/>
      </c>
      <c r="D52" s="303">
        <f t="shared" si="138"/>
        <v>30.259841691584185</v>
      </c>
      <c r="E52" s="303" t="str">
        <f t="shared" si="138"/>
        <v/>
      </c>
      <c r="F52" s="303" t="str">
        <f t="shared" si="138"/>
        <v/>
      </c>
      <c r="G52" s="303" t="str">
        <f t="shared" si="138"/>
        <v/>
      </c>
      <c r="H52" s="303" t="str">
        <f t="shared" si="138"/>
        <v/>
      </c>
      <c r="I52" s="303" t="str">
        <f t="shared" si="138"/>
        <v/>
      </c>
      <c r="J52" s="303" t="str">
        <f t="shared" si="138"/>
        <v/>
      </c>
      <c r="K52" s="303" t="str">
        <f t="shared" si="138"/>
        <v/>
      </c>
      <c r="L52" s="303" t="str">
        <f t="shared" si="138"/>
        <v/>
      </c>
      <c r="M52" s="303" t="str">
        <f t="shared" si="138"/>
        <v/>
      </c>
      <c r="N52" s="303" t="str">
        <f t="shared" si="138"/>
        <v/>
      </c>
      <c r="O52" s="303" t="str">
        <f t="shared" si="138"/>
        <v/>
      </c>
      <c r="P52" s="303" t="str">
        <f t="shared" si="138"/>
        <v/>
      </c>
      <c r="Q52" s="303" t="str">
        <f t="shared" si="138"/>
        <v/>
      </c>
      <c r="R52" s="303" t="str">
        <f t="shared" si="138"/>
        <v/>
      </c>
      <c r="S52" s="303" t="str">
        <f t="shared" si="138"/>
        <v/>
      </c>
      <c r="T52" s="303">
        <f t="shared" si="138"/>
        <v>4.6276784292596389</v>
      </c>
      <c r="U52" s="303">
        <f t="shared" si="138"/>
        <v>4.6276784292596389</v>
      </c>
      <c r="V52" s="303">
        <f t="shared" si="138"/>
        <v>3.5567988810070941</v>
      </c>
      <c r="W52" s="303" t="str">
        <f t="shared" si="138"/>
        <v/>
      </c>
      <c r="X52" s="303" t="str">
        <f t="shared" si="138"/>
        <v/>
      </c>
      <c r="Y52" s="303" t="str">
        <f t="shared" si="138"/>
        <v/>
      </c>
      <c r="Z52" s="303" t="str">
        <f t="shared" si="138"/>
        <v/>
      </c>
      <c r="AA52" s="303" t="str">
        <f t="shared" si="138"/>
        <v/>
      </c>
      <c r="AB52" s="303" t="str">
        <f t="shared" si="138"/>
        <v/>
      </c>
      <c r="AC52" s="303" t="str">
        <f t="shared" si="138"/>
        <v/>
      </c>
      <c r="AD52" s="303" t="str">
        <f t="shared" si="138"/>
        <v/>
      </c>
      <c r="AE52" s="303" t="str">
        <f t="shared" si="138"/>
        <v/>
      </c>
      <c r="AF52" s="303" t="str">
        <f t="shared" si="138"/>
        <v/>
      </c>
      <c r="AG52" s="303" t="str">
        <f t="shared" si="138"/>
        <v/>
      </c>
      <c r="AH52" s="303" t="str">
        <f t="shared" ref="AH52:BM52" si="139">IF(AH$2="-","",(IF(AH213="","",IF(AH$4&lt;$A52,AH213,(AH213-AH$3)/(1+AH$3%)))))</f>
        <v/>
      </c>
      <c r="AI52" s="303" t="str">
        <f t="shared" si="139"/>
        <v/>
      </c>
      <c r="AJ52" s="303" t="str">
        <f t="shared" si="139"/>
        <v/>
      </c>
      <c r="AK52" s="303" t="str">
        <f t="shared" si="139"/>
        <v/>
      </c>
      <c r="AL52" s="303" t="str">
        <f t="shared" si="139"/>
        <v/>
      </c>
      <c r="AM52" s="303" t="str">
        <f t="shared" si="139"/>
        <v/>
      </c>
      <c r="AN52" s="303" t="str">
        <f t="shared" si="139"/>
        <v/>
      </c>
      <c r="AO52" s="303" t="str">
        <f t="shared" si="139"/>
        <v/>
      </c>
      <c r="AP52" s="303" t="str">
        <f t="shared" si="139"/>
        <v/>
      </c>
      <c r="AQ52" s="303" t="str">
        <f t="shared" si="139"/>
        <v/>
      </c>
      <c r="AR52" s="303" t="str">
        <f t="shared" si="139"/>
        <v/>
      </c>
      <c r="AS52" s="303" t="str">
        <f t="shared" si="139"/>
        <v/>
      </c>
      <c r="AT52" s="303" t="str">
        <f t="shared" si="139"/>
        <v/>
      </c>
      <c r="AU52" s="303" t="str">
        <f t="shared" si="139"/>
        <v/>
      </c>
      <c r="AV52" s="303" t="str">
        <f t="shared" si="139"/>
        <v/>
      </c>
      <c r="AW52" s="303" t="str">
        <f t="shared" si="139"/>
        <v/>
      </c>
      <c r="AX52" s="303" t="str">
        <f t="shared" si="139"/>
        <v/>
      </c>
      <c r="AY52" s="303" t="str">
        <f t="shared" si="139"/>
        <v/>
      </c>
      <c r="AZ52" s="303" t="str">
        <f t="shared" si="139"/>
        <v/>
      </c>
      <c r="BA52" s="303" t="str">
        <f t="shared" si="139"/>
        <v/>
      </c>
      <c r="BB52" s="303" t="str">
        <f t="shared" si="139"/>
        <v/>
      </c>
      <c r="BC52" s="303" t="str">
        <f t="shared" si="139"/>
        <v/>
      </c>
      <c r="BD52" s="303" t="str">
        <f t="shared" si="139"/>
        <v/>
      </c>
      <c r="BE52" s="303" t="str">
        <f t="shared" si="139"/>
        <v/>
      </c>
      <c r="BF52" s="303" t="str">
        <f t="shared" si="139"/>
        <v/>
      </c>
      <c r="BG52" s="303" t="str">
        <f t="shared" si="139"/>
        <v/>
      </c>
      <c r="BH52" s="303" t="str">
        <f t="shared" si="139"/>
        <v/>
      </c>
      <c r="BI52" s="303" t="str">
        <f t="shared" si="139"/>
        <v/>
      </c>
      <c r="BJ52" s="303" t="str">
        <f t="shared" si="139"/>
        <v/>
      </c>
      <c r="BK52" s="303" t="str">
        <f t="shared" si="139"/>
        <v/>
      </c>
      <c r="BL52" s="303" t="str">
        <f t="shared" si="139"/>
        <v/>
      </c>
      <c r="BM52" s="303" t="str">
        <f t="shared" si="139"/>
        <v/>
      </c>
      <c r="BN52" s="303" t="str">
        <f t="shared" ref="BN52:BZ52" si="140">IF(BN$2="-","",(IF(BN213="","",IF(BN$4&lt;$A52,BN213,(BN213-BN$3)/(1+BN$3%)))))</f>
        <v/>
      </c>
      <c r="BO52" s="303" t="str">
        <f t="shared" si="140"/>
        <v/>
      </c>
      <c r="BP52" s="303" t="str">
        <f t="shared" si="140"/>
        <v/>
      </c>
      <c r="BQ52" s="303" t="str">
        <f t="shared" si="140"/>
        <v/>
      </c>
      <c r="BR52" s="303" t="str">
        <f t="shared" si="140"/>
        <v/>
      </c>
      <c r="BS52" s="303" t="str">
        <f t="shared" si="140"/>
        <v/>
      </c>
      <c r="BT52" s="303" t="str">
        <f t="shared" si="140"/>
        <v/>
      </c>
      <c r="BU52" s="303" t="str">
        <f t="shared" si="140"/>
        <v/>
      </c>
      <c r="BV52" s="303" t="str">
        <f t="shared" si="140"/>
        <v/>
      </c>
      <c r="BW52" s="303" t="str">
        <f t="shared" si="140"/>
        <v/>
      </c>
      <c r="BX52" s="303">
        <f t="shared" si="140"/>
        <v>30.481283422459882</v>
      </c>
      <c r="BY52" s="303">
        <f t="shared" si="140"/>
        <v>4.8369337861181583</v>
      </c>
      <c r="BZ52" s="303">
        <f t="shared" si="140"/>
        <v>3.65</v>
      </c>
      <c r="CA52" s="303">
        <f t="shared" si="10"/>
        <v>2.9702970297029729</v>
      </c>
    </row>
    <row r="53" spans="1:79">
      <c r="A53" s="58">
        <f t="shared" si="104"/>
        <v>1916</v>
      </c>
      <c r="B53" s="303">
        <f t="shared" ref="B53:AG53" si="141">IF(B$2="-","",(IF(B214="","",IF(B$4&lt;$A53,B214,(B214-B$3)/(1+B$3%)))))</f>
        <v>8.3902275028486049</v>
      </c>
      <c r="C53" s="303" t="str">
        <f t="shared" si="141"/>
        <v/>
      </c>
      <c r="D53" s="303">
        <f t="shared" si="141"/>
        <v>8.3902275028486049</v>
      </c>
      <c r="E53" s="303" t="str">
        <f t="shared" si="141"/>
        <v/>
      </c>
      <c r="F53" s="303" t="str">
        <f t="shared" si="141"/>
        <v/>
      </c>
      <c r="G53" s="303" t="str">
        <f t="shared" si="141"/>
        <v/>
      </c>
      <c r="H53" s="303" t="str">
        <f t="shared" si="141"/>
        <v/>
      </c>
      <c r="I53" s="303" t="str">
        <f t="shared" si="141"/>
        <v/>
      </c>
      <c r="J53" s="303" t="str">
        <f t="shared" si="141"/>
        <v/>
      </c>
      <c r="K53" s="303" t="str">
        <f t="shared" si="141"/>
        <v/>
      </c>
      <c r="L53" s="303" t="str">
        <f t="shared" si="141"/>
        <v/>
      </c>
      <c r="M53" s="303" t="str">
        <f t="shared" si="141"/>
        <v/>
      </c>
      <c r="N53" s="303" t="str">
        <f t="shared" si="141"/>
        <v/>
      </c>
      <c r="O53" s="303" t="str">
        <f t="shared" si="141"/>
        <v/>
      </c>
      <c r="P53" s="303" t="str">
        <f t="shared" si="141"/>
        <v/>
      </c>
      <c r="Q53" s="303" t="str">
        <f t="shared" si="141"/>
        <v/>
      </c>
      <c r="R53" s="303" t="str">
        <f t="shared" si="141"/>
        <v/>
      </c>
      <c r="S53" s="303" t="str">
        <f t="shared" si="141"/>
        <v/>
      </c>
      <c r="T53" s="303">
        <f t="shared" si="141"/>
        <v>2.3017213507744843</v>
      </c>
      <c r="U53" s="303">
        <f t="shared" si="141"/>
        <v>2.3017213507744843</v>
      </c>
      <c r="V53" s="303">
        <f t="shared" si="141"/>
        <v>3.5468078729143775</v>
      </c>
      <c r="W53" s="303" t="str">
        <f t="shared" si="141"/>
        <v/>
      </c>
      <c r="X53" s="303" t="str">
        <f t="shared" si="141"/>
        <v/>
      </c>
      <c r="Y53" s="303" t="str">
        <f t="shared" si="141"/>
        <v/>
      </c>
      <c r="Z53" s="303" t="str">
        <f t="shared" si="141"/>
        <v/>
      </c>
      <c r="AA53" s="303" t="str">
        <f t="shared" si="141"/>
        <v/>
      </c>
      <c r="AB53" s="303" t="str">
        <f t="shared" si="141"/>
        <v/>
      </c>
      <c r="AC53" s="303" t="str">
        <f t="shared" si="141"/>
        <v/>
      </c>
      <c r="AD53" s="303" t="str">
        <f t="shared" si="141"/>
        <v/>
      </c>
      <c r="AE53" s="303" t="str">
        <f t="shared" si="141"/>
        <v/>
      </c>
      <c r="AF53" s="303" t="str">
        <f t="shared" si="141"/>
        <v/>
      </c>
      <c r="AG53" s="303" t="str">
        <f t="shared" si="141"/>
        <v/>
      </c>
      <c r="AH53" s="303" t="str">
        <f t="shared" ref="AH53:BM53" si="142">IF(AH$2="-","",(IF(AH214="","",IF(AH$4&lt;$A53,AH214,(AH214-AH$3)/(1+AH$3%)))))</f>
        <v/>
      </c>
      <c r="AI53" s="303" t="str">
        <f t="shared" si="142"/>
        <v/>
      </c>
      <c r="AJ53" s="303" t="str">
        <f t="shared" si="142"/>
        <v/>
      </c>
      <c r="AK53" s="303" t="str">
        <f t="shared" si="142"/>
        <v/>
      </c>
      <c r="AL53" s="303" t="str">
        <f t="shared" si="142"/>
        <v/>
      </c>
      <c r="AM53" s="303" t="str">
        <f t="shared" si="142"/>
        <v/>
      </c>
      <c r="AN53" s="303" t="str">
        <f t="shared" si="142"/>
        <v/>
      </c>
      <c r="AO53" s="303" t="str">
        <f t="shared" si="142"/>
        <v/>
      </c>
      <c r="AP53" s="303" t="str">
        <f t="shared" si="142"/>
        <v/>
      </c>
      <c r="AQ53" s="303" t="str">
        <f t="shared" si="142"/>
        <v/>
      </c>
      <c r="AR53" s="303" t="str">
        <f t="shared" si="142"/>
        <v/>
      </c>
      <c r="AS53" s="303" t="str">
        <f t="shared" si="142"/>
        <v/>
      </c>
      <c r="AT53" s="303" t="str">
        <f t="shared" si="142"/>
        <v/>
      </c>
      <c r="AU53" s="303" t="str">
        <f t="shared" si="142"/>
        <v/>
      </c>
      <c r="AV53" s="303" t="str">
        <f t="shared" si="142"/>
        <v/>
      </c>
      <c r="AW53" s="303" t="str">
        <f t="shared" si="142"/>
        <v/>
      </c>
      <c r="AX53" s="303" t="str">
        <f t="shared" si="142"/>
        <v/>
      </c>
      <c r="AY53" s="303" t="str">
        <f t="shared" si="142"/>
        <v/>
      </c>
      <c r="AZ53" s="303" t="str">
        <f t="shared" si="142"/>
        <v/>
      </c>
      <c r="BA53" s="303" t="str">
        <f t="shared" si="142"/>
        <v/>
      </c>
      <c r="BB53" s="303" t="str">
        <f t="shared" si="142"/>
        <v/>
      </c>
      <c r="BC53" s="303" t="str">
        <f t="shared" si="142"/>
        <v/>
      </c>
      <c r="BD53" s="303" t="str">
        <f t="shared" si="142"/>
        <v/>
      </c>
      <c r="BE53" s="303" t="str">
        <f t="shared" si="142"/>
        <v/>
      </c>
      <c r="BF53" s="303" t="str">
        <f t="shared" si="142"/>
        <v/>
      </c>
      <c r="BG53" s="303" t="str">
        <f t="shared" si="142"/>
        <v/>
      </c>
      <c r="BH53" s="303" t="str">
        <f t="shared" si="142"/>
        <v/>
      </c>
      <c r="BI53" s="303" t="str">
        <f t="shared" si="142"/>
        <v/>
      </c>
      <c r="BJ53" s="303" t="str">
        <f t="shared" si="142"/>
        <v/>
      </c>
      <c r="BK53" s="303" t="str">
        <f t="shared" si="142"/>
        <v/>
      </c>
      <c r="BL53" s="303" t="str">
        <f t="shared" si="142"/>
        <v/>
      </c>
      <c r="BM53" s="303" t="str">
        <f t="shared" si="142"/>
        <v/>
      </c>
      <c r="BN53" s="303" t="str">
        <f t="shared" ref="BN53:BZ53" si="143">IF(BN$2="-","",(IF(BN214="","",IF(BN$4&lt;$A53,BN214,(BN214-BN$3)/(1+BN$3%)))))</f>
        <v/>
      </c>
      <c r="BO53" s="303" t="str">
        <f t="shared" si="143"/>
        <v/>
      </c>
      <c r="BP53" s="303" t="str">
        <f t="shared" si="143"/>
        <v/>
      </c>
      <c r="BQ53" s="303" t="str">
        <f t="shared" si="143"/>
        <v/>
      </c>
      <c r="BR53" s="303" t="str">
        <f t="shared" si="143"/>
        <v/>
      </c>
      <c r="BS53" s="303" t="str">
        <f t="shared" si="143"/>
        <v/>
      </c>
      <c r="BT53" s="303" t="str">
        <f t="shared" si="143"/>
        <v/>
      </c>
      <c r="BU53" s="303" t="str">
        <f t="shared" si="143"/>
        <v/>
      </c>
      <c r="BV53" s="303" t="str">
        <f t="shared" si="143"/>
        <v/>
      </c>
      <c r="BW53" s="303" t="str">
        <f t="shared" si="143"/>
        <v/>
      </c>
      <c r="BX53" s="303">
        <f t="shared" si="143"/>
        <v>8.5744908896034477</v>
      </c>
      <c r="BY53" s="303">
        <f t="shared" si="143"/>
        <v>2.5063247934760335</v>
      </c>
      <c r="BZ53" s="303">
        <f t="shared" si="143"/>
        <v>3.64</v>
      </c>
      <c r="CA53" s="303">
        <f t="shared" si="10"/>
        <v>12.5</v>
      </c>
    </row>
    <row r="54" spans="1:79">
      <c r="A54" s="58">
        <f t="shared" si="104"/>
        <v>1917</v>
      </c>
      <c r="B54" s="303">
        <f t="shared" ref="B54:AG54" si="144">IF(B$2="-","",(IF(B215="","",IF(B$4&lt;$A54,B215,(B215-B$3)/(1+B$3%)))))</f>
        <v>-17.590461940928215</v>
      </c>
      <c r="C54" s="303" t="str">
        <f t="shared" si="144"/>
        <v/>
      </c>
      <c r="D54" s="303">
        <f t="shared" si="144"/>
        <v>-17.590461940928215</v>
      </c>
      <c r="E54" s="303" t="str">
        <f t="shared" si="144"/>
        <v/>
      </c>
      <c r="F54" s="303" t="str">
        <f t="shared" si="144"/>
        <v/>
      </c>
      <c r="G54" s="303" t="str">
        <f t="shared" si="144"/>
        <v/>
      </c>
      <c r="H54" s="303" t="str">
        <f t="shared" si="144"/>
        <v/>
      </c>
      <c r="I54" s="303" t="str">
        <f t="shared" si="144"/>
        <v/>
      </c>
      <c r="J54" s="303" t="str">
        <f t="shared" si="144"/>
        <v/>
      </c>
      <c r="K54" s="303" t="str">
        <f t="shared" si="144"/>
        <v/>
      </c>
      <c r="L54" s="303" t="str">
        <f t="shared" si="144"/>
        <v/>
      </c>
      <c r="M54" s="303" t="str">
        <f t="shared" si="144"/>
        <v/>
      </c>
      <c r="N54" s="303" t="str">
        <f t="shared" si="144"/>
        <v/>
      </c>
      <c r="O54" s="303" t="str">
        <f t="shared" si="144"/>
        <v/>
      </c>
      <c r="P54" s="303" t="str">
        <f t="shared" si="144"/>
        <v/>
      </c>
      <c r="Q54" s="303" t="str">
        <f t="shared" si="144"/>
        <v/>
      </c>
      <c r="R54" s="303" t="str">
        <f t="shared" si="144"/>
        <v/>
      </c>
      <c r="S54" s="303" t="str">
        <f t="shared" si="144"/>
        <v/>
      </c>
      <c r="T54" s="303">
        <f t="shared" si="144"/>
        <v>9.4872976657081054E-2</v>
      </c>
      <c r="U54" s="303">
        <f t="shared" si="144"/>
        <v>9.4872976657081054E-2</v>
      </c>
      <c r="V54" s="303">
        <f t="shared" si="144"/>
        <v>4.1562593665700875</v>
      </c>
      <c r="W54" s="303" t="str">
        <f t="shared" si="144"/>
        <v/>
      </c>
      <c r="X54" s="303" t="str">
        <f t="shared" si="144"/>
        <v/>
      </c>
      <c r="Y54" s="303" t="str">
        <f t="shared" si="144"/>
        <v/>
      </c>
      <c r="Z54" s="303" t="str">
        <f t="shared" si="144"/>
        <v/>
      </c>
      <c r="AA54" s="303" t="str">
        <f t="shared" si="144"/>
        <v/>
      </c>
      <c r="AB54" s="303" t="str">
        <f t="shared" si="144"/>
        <v/>
      </c>
      <c r="AC54" s="303" t="str">
        <f t="shared" si="144"/>
        <v/>
      </c>
      <c r="AD54" s="303" t="str">
        <f t="shared" si="144"/>
        <v/>
      </c>
      <c r="AE54" s="303" t="str">
        <f t="shared" si="144"/>
        <v/>
      </c>
      <c r="AF54" s="303" t="str">
        <f t="shared" si="144"/>
        <v/>
      </c>
      <c r="AG54" s="303" t="str">
        <f t="shared" si="144"/>
        <v/>
      </c>
      <c r="AH54" s="303" t="str">
        <f t="shared" ref="AH54:BM54" si="145">IF(AH$2="-","",(IF(AH215="","",IF(AH$4&lt;$A54,AH215,(AH215-AH$3)/(1+AH$3%)))))</f>
        <v/>
      </c>
      <c r="AI54" s="303" t="str">
        <f t="shared" si="145"/>
        <v/>
      </c>
      <c r="AJ54" s="303" t="str">
        <f t="shared" si="145"/>
        <v/>
      </c>
      <c r="AK54" s="303" t="str">
        <f t="shared" si="145"/>
        <v/>
      </c>
      <c r="AL54" s="303" t="str">
        <f t="shared" si="145"/>
        <v/>
      </c>
      <c r="AM54" s="303" t="str">
        <f t="shared" si="145"/>
        <v/>
      </c>
      <c r="AN54" s="303" t="str">
        <f t="shared" si="145"/>
        <v/>
      </c>
      <c r="AO54" s="303" t="str">
        <f t="shared" si="145"/>
        <v/>
      </c>
      <c r="AP54" s="303" t="str">
        <f t="shared" si="145"/>
        <v/>
      </c>
      <c r="AQ54" s="303" t="str">
        <f t="shared" si="145"/>
        <v/>
      </c>
      <c r="AR54" s="303" t="str">
        <f t="shared" si="145"/>
        <v/>
      </c>
      <c r="AS54" s="303" t="str">
        <f t="shared" si="145"/>
        <v/>
      </c>
      <c r="AT54" s="303" t="str">
        <f t="shared" si="145"/>
        <v/>
      </c>
      <c r="AU54" s="303" t="str">
        <f t="shared" si="145"/>
        <v/>
      </c>
      <c r="AV54" s="303" t="str">
        <f t="shared" si="145"/>
        <v/>
      </c>
      <c r="AW54" s="303" t="str">
        <f t="shared" si="145"/>
        <v/>
      </c>
      <c r="AX54" s="303" t="str">
        <f t="shared" si="145"/>
        <v/>
      </c>
      <c r="AY54" s="303" t="str">
        <f t="shared" si="145"/>
        <v/>
      </c>
      <c r="AZ54" s="303" t="str">
        <f t="shared" si="145"/>
        <v/>
      </c>
      <c r="BA54" s="303" t="str">
        <f t="shared" si="145"/>
        <v/>
      </c>
      <c r="BB54" s="303" t="str">
        <f t="shared" si="145"/>
        <v/>
      </c>
      <c r="BC54" s="303" t="str">
        <f t="shared" si="145"/>
        <v/>
      </c>
      <c r="BD54" s="303" t="str">
        <f t="shared" si="145"/>
        <v/>
      </c>
      <c r="BE54" s="303" t="str">
        <f t="shared" si="145"/>
        <v/>
      </c>
      <c r="BF54" s="303" t="str">
        <f t="shared" si="145"/>
        <v/>
      </c>
      <c r="BG54" s="303" t="str">
        <f t="shared" si="145"/>
        <v/>
      </c>
      <c r="BH54" s="303" t="str">
        <f t="shared" si="145"/>
        <v/>
      </c>
      <c r="BI54" s="303" t="str">
        <f t="shared" si="145"/>
        <v/>
      </c>
      <c r="BJ54" s="303" t="str">
        <f t="shared" si="145"/>
        <v/>
      </c>
      <c r="BK54" s="303" t="str">
        <f t="shared" si="145"/>
        <v/>
      </c>
      <c r="BL54" s="303" t="str">
        <f t="shared" si="145"/>
        <v/>
      </c>
      <c r="BM54" s="303" t="str">
        <f t="shared" si="145"/>
        <v/>
      </c>
      <c r="BN54" s="303" t="str">
        <f t="shared" ref="BN54:BZ54" si="146">IF(BN$2="-","",(IF(BN215="","",IF(BN$4&lt;$A54,BN215,(BN215-BN$3)/(1+BN$3%)))))</f>
        <v/>
      </c>
      <c r="BO54" s="303" t="str">
        <f t="shared" si="146"/>
        <v/>
      </c>
      <c r="BP54" s="303" t="str">
        <f t="shared" si="146"/>
        <v/>
      </c>
      <c r="BQ54" s="303" t="str">
        <f t="shared" si="146"/>
        <v/>
      </c>
      <c r="BR54" s="303" t="str">
        <f t="shared" si="146"/>
        <v/>
      </c>
      <c r="BS54" s="303" t="str">
        <f t="shared" si="146"/>
        <v/>
      </c>
      <c r="BT54" s="303" t="str">
        <f t="shared" si="146"/>
        <v/>
      </c>
      <c r="BU54" s="303" t="str">
        <f t="shared" si="146"/>
        <v/>
      </c>
      <c r="BV54" s="303" t="str">
        <f t="shared" si="146"/>
        <v/>
      </c>
      <c r="BW54" s="303" t="str">
        <f t="shared" si="146"/>
        <v/>
      </c>
      <c r="BX54" s="303">
        <f t="shared" si="146"/>
        <v>-17.45036572622779</v>
      </c>
      <c r="BY54" s="303">
        <f t="shared" si="146"/>
        <v>0.29506272261039523</v>
      </c>
      <c r="BZ54" s="303">
        <f t="shared" si="146"/>
        <v>4.25</v>
      </c>
      <c r="CA54" s="303">
        <f t="shared" si="10"/>
        <v>19.658119658119656</v>
      </c>
    </row>
    <row r="55" spans="1:79">
      <c r="A55" s="58">
        <f t="shared" si="104"/>
        <v>1918</v>
      </c>
      <c r="B55" s="303">
        <f t="shared" ref="B55:AG55" si="147">IF(B$2="-","",(IF(B216="","",IF(B$4&lt;$A55,B216,(B216-B$3)/(1+B$3%)))))</f>
        <v>16.584053987555407</v>
      </c>
      <c r="C55" s="303" t="str">
        <f t="shared" si="147"/>
        <v/>
      </c>
      <c r="D55" s="303">
        <f t="shared" si="147"/>
        <v>16.584053987555407</v>
      </c>
      <c r="E55" s="303" t="str">
        <f t="shared" si="147"/>
        <v/>
      </c>
      <c r="F55" s="303" t="str">
        <f t="shared" si="147"/>
        <v/>
      </c>
      <c r="G55" s="303" t="str">
        <f t="shared" si="147"/>
        <v/>
      </c>
      <c r="H55" s="303" t="str">
        <f t="shared" si="147"/>
        <v/>
      </c>
      <c r="I55" s="303" t="str">
        <f t="shared" si="147"/>
        <v/>
      </c>
      <c r="J55" s="303" t="str">
        <f t="shared" si="147"/>
        <v/>
      </c>
      <c r="K55" s="303" t="str">
        <f t="shared" si="147"/>
        <v/>
      </c>
      <c r="L55" s="303" t="str">
        <f t="shared" si="147"/>
        <v/>
      </c>
      <c r="M55" s="303" t="str">
        <f t="shared" si="147"/>
        <v/>
      </c>
      <c r="N55" s="303" t="str">
        <f t="shared" si="147"/>
        <v/>
      </c>
      <c r="O55" s="303" t="str">
        <f t="shared" si="147"/>
        <v/>
      </c>
      <c r="P55" s="303" t="str">
        <f t="shared" si="147"/>
        <v/>
      </c>
      <c r="Q55" s="303" t="str">
        <f t="shared" si="147"/>
        <v/>
      </c>
      <c r="R55" s="303" t="str">
        <f t="shared" si="147"/>
        <v/>
      </c>
      <c r="S55" s="303" t="str">
        <f t="shared" si="147"/>
        <v/>
      </c>
      <c r="T55" s="303">
        <f t="shared" si="147"/>
        <v>5.1752463905900106</v>
      </c>
      <c r="U55" s="303">
        <f t="shared" si="147"/>
        <v>5.1752463905900106</v>
      </c>
      <c r="V55" s="303">
        <f t="shared" si="147"/>
        <v>5.8847037666100519</v>
      </c>
      <c r="W55" s="303" t="str">
        <f t="shared" si="147"/>
        <v/>
      </c>
      <c r="X55" s="303" t="str">
        <f t="shared" si="147"/>
        <v/>
      </c>
      <c r="Y55" s="303" t="str">
        <f t="shared" si="147"/>
        <v/>
      </c>
      <c r="Z55" s="303" t="str">
        <f t="shared" si="147"/>
        <v/>
      </c>
      <c r="AA55" s="303" t="str">
        <f t="shared" si="147"/>
        <v/>
      </c>
      <c r="AB55" s="303" t="str">
        <f t="shared" si="147"/>
        <v/>
      </c>
      <c r="AC55" s="303" t="str">
        <f t="shared" si="147"/>
        <v/>
      </c>
      <c r="AD55" s="303" t="str">
        <f t="shared" si="147"/>
        <v/>
      </c>
      <c r="AE55" s="303" t="str">
        <f t="shared" si="147"/>
        <v/>
      </c>
      <c r="AF55" s="303" t="str">
        <f t="shared" si="147"/>
        <v/>
      </c>
      <c r="AG55" s="303" t="str">
        <f t="shared" si="147"/>
        <v/>
      </c>
      <c r="AH55" s="303" t="str">
        <f t="shared" ref="AH55:BM55" si="148">IF(AH$2="-","",(IF(AH216="","",IF(AH$4&lt;$A55,AH216,(AH216-AH$3)/(1+AH$3%)))))</f>
        <v/>
      </c>
      <c r="AI55" s="303" t="str">
        <f t="shared" si="148"/>
        <v/>
      </c>
      <c r="AJ55" s="303" t="str">
        <f t="shared" si="148"/>
        <v/>
      </c>
      <c r="AK55" s="303" t="str">
        <f t="shared" si="148"/>
        <v/>
      </c>
      <c r="AL55" s="303" t="str">
        <f t="shared" si="148"/>
        <v/>
      </c>
      <c r="AM55" s="303" t="str">
        <f t="shared" si="148"/>
        <v/>
      </c>
      <c r="AN55" s="303" t="str">
        <f t="shared" si="148"/>
        <v/>
      </c>
      <c r="AO55" s="303" t="str">
        <f t="shared" si="148"/>
        <v/>
      </c>
      <c r="AP55" s="303" t="str">
        <f t="shared" si="148"/>
        <v/>
      </c>
      <c r="AQ55" s="303" t="str">
        <f t="shared" si="148"/>
        <v/>
      </c>
      <c r="AR55" s="303" t="str">
        <f t="shared" si="148"/>
        <v/>
      </c>
      <c r="AS55" s="303" t="str">
        <f t="shared" si="148"/>
        <v/>
      </c>
      <c r="AT55" s="303" t="str">
        <f t="shared" si="148"/>
        <v/>
      </c>
      <c r="AU55" s="303" t="str">
        <f t="shared" si="148"/>
        <v/>
      </c>
      <c r="AV55" s="303" t="str">
        <f t="shared" si="148"/>
        <v/>
      </c>
      <c r="AW55" s="303" t="str">
        <f t="shared" si="148"/>
        <v/>
      </c>
      <c r="AX55" s="303" t="str">
        <f t="shared" si="148"/>
        <v/>
      </c>
      <c r="AY55" s="303" t="str">
        <f t="shared" si="148"/>
        <v/>
      </c>
      <c r="AZ55" s="303" t="str">
        <f t="shared" si="148"/>
        <v/>
      </c>
      <c r="BA55" s="303" t="str">
        <f t="shared" si="148"/>
        <v/>
      </c>
      <c r="BB55" s="303" t="str">
        <f t="shared" si="148"/>
        <v/>
      </c>
      <c r="BC55" s="303" t="str">
        <f t="shared" si="148"/>
        <v/>
      </c>
      <c r="BD55" s="303" t="str">
        <f t="shared" si="148"/>
        <v/>
      </c>
      <c r="BE55" s="303" t="str">
        <f t="shared" si="148"/>
        <v/>
      </c>
      <c r="BF55" s="303" t="str">
        <f t="shared" si="148"/>
        <v/>
      </c>
      <c r="BG55" s="303" t="str">
        <f t="shared" si="148"/>
        <v/>
      </c>
      <c r="BH55" s="303" t="str">
        <f t="shared" si="148"/>
        <v/>
      </c>
      <c r="BI55" s="303" t="str">
        <f t="shared" si="148"/>
        <v/>
      </c>
      <c r="BJ55" s="303" t="str">
        <f t="shared" si="148"/>
        <v/>
      </c>
      <c r="BK55" s="303" t="str">
        <f t="shared" si="148"/>
        <v/>
      </c>
      <c r="BL55" s="303" t="str">
        <f t="shared" si="148"/>
        <v/>
      </c>
      <c r="BM55" s="303" t="str">
        <f t="shared" si="148"/>
        <v/>
      </c>
      <c r="BN55" s="303" t="str">
        <f t="shared" ref="BN55:BZ55" si="149">IF(BN$2="-","",(IF(BN216="","",IF(BN$4&lt;$A55,BN216,(BN216-BN$3)/(1+BN$3%)))))</f>
        <v/>
      </c>
      <c r="BO55" s="303" t="str">
        <f t="shared" si="149"/>
        <v/>
      </c>
      <c r="BP55" s="303" t="str">
        <f t="shared" si="149"/>
        <v/>
      </c>
      <c r="BQ55" s="303" t="str">
        <f t="shared" si="149"/>
        <v/>
      </c>
      <c r="BR55" s="303" t="str">
        <f t="shared" si="149"/>
        <v/>
      </c>
      <c r="BS55" s="303" t="str">
        <f t="shared" si="149"/>
        <v/>
      </c>
      <c r="BT55" s="303" t="str">
        <f t="shared" si="149"/>
        <v/>
      </c>
      <c r="BU55" s="303" t="str">
        <f t="shared" si="149"/>
        <v/>
      </c>
      <c r="BV55" s="303" t="str">
        <f t="shared" si="149"/>
        <v/>
      </c>
      <c r="BW55" s="303" t="str">
        <f t="shared" si="149"/>
        <v/>
      </c>
      <c r="BX55" s="303">
        <f t="shared" si="149"/>
        <v>16.782246879334252</v>
      </c>
      <c r="BY55" s="303">
        <f t="shared" si="149"/>
        <v>5.3855968833711909</v>
      </c>
      <c r="BZ55" s="303">
        <f t="shared" si="149"/>
        <v>5.98</v>
      </c>
      <c r="CA55" s="303">
        <f t="shared" si="10"/>
        <v>17.857142857142861</v>
      </c>
    </row>
    <row r="56" spans="1:79">
      <c r="A56" s="58">
        <f t="shared" si="104"/>
        <v>1919</v>
      </c>
      <c r="B56" s="303">
        <f t="shared" ref="B56:AG56" si="150">IF(B$2="-","",(IF(B217="","",IF(B$4&lt;$A56,B217,(B217-B$3)/(1+B$3%)))))</f>
        <v>19.033312159138376</v>
      </c>
      <c r="C56" s="303" t="str">
        <f t="shared" si="150"/>
        <v/>
      </c>
      <c r="D56" s="303">
        <f t="shared" si="150"/>
        <v>19.033312159138376</v>
      </c>
      <c r="E56" s="303" t="str">
        <f t="shared" si="150"/>
        <v/>
      </c>
      <c r="F56" s="303" t="str">
        <f t="shared" si="150"/>
        <v/>
      </c>
      <c r="G56" s="303" t="str">
        <f t="shared" si="150"/>
        <v/>
      </c>
      <c r="H56" s="303" t="str">
        <f t="shared" si="150"/>
        <v/>
      </c>
      <c r="I56" s="303" t="str">
        <f t="shared" si="150"/>
        <v/>
      </c>
      <c r="J56" s="303" t="str">
        <f t="shared" si="150"/>
        <v/>
      </c>
      <c r="K56" s="303" t="str">
        <f t="shared" si="150"/>
        <v/>
      </c>
      <c r="L56" s="303" t="str">
        <f t="shared" si="150"/>
        <v/>
      </c>
      <c r="M56" s="303" t="str">
        <f t="shared" si="150"/>
        <v/>
      </c>
      <c r="N56" s="303" t="str">
        <f t="shared" si="150"/>
        <v/>
      </c>
      <c r="O56" s="303" t="str">
        <f t="shared" si="150"/>
        <v/>
      </c>
      <c r="P56" s="303" t="str">
        <f t="shared" si="150"/>
        <v/>
      </c>
      <c r="Q56" s="303" t="str">
        <f t="shared" si="150"/>
        <v/>
      </c>
      <c r="R56" s="303" t="str">
        <f t="shared" si="150"/>
        <v/>
      </c>
      <c r="S56" s="303" t="str">
        <f t="shared" si="150"/>
        <v/>
      </c>
      <c r="T56" s="303">
        <f t="shared" si="150"/>
        <v>-2.0224940621794349E-2</v>
      </c>
      <c r="U56" s="303">
        <f t="shared" si="150"/>
        <v>-2.0224940621794349E-2</v>
      </c>
      <c r="V56" s="303">
        <f t="shared" si="150"/>
        <v>5.4650814267159555</v>
      </c>
      <c r="W56" s="303" t="str">
        <f t="shared" si="150"/>
        <v/>
      </c>
      <c r="X56" s="303" t="str">
        <f t="shared" si="150"/>
        <v/>
      </c>
      <c r="Y56" s="303" t="str">
        <f t="shared" si="150"/>
        <v/>
      </c>
      <c r="Z56" s="303" t="str">
        <f t="shared" si="150"/>
        <v/>
      </c>
      <c r="AA56" s="303" t="str">
        <f t="shared" si="150"/>
        <v/>
      </c>
      <c r="AB56" s="303" t="str">
        <f t="shared" si="150"/>
        <v/>
      </c>
      <c r="AC56" s="303" t="str">
        <f t="shared" si="150"/>
        <v/>
      </c>
      <c r="AD56" s="303" t="str">
        <f t="shared" si="150"/>
        <v/>
      </c>
      <c r="AE56" s="303" t="str">
        <f t="shared" si="150"/>
        <v/>
      </c>
      <c r="AF56" s="303" t="str">
        <f t="shared" si="150"/>
        <v/>
      </c>
      <c r="AG56" s="303" t="str">
        <f t="shared" si="150"/>
        <v/>
      </c>
      <c r="AH56" s="303" t="str">
        <f t="shared" ref="AH56:BM56" si="151">IF(AH$2="-","",(IF(AH217="","",IF(AH$4&lt;$A56,AH217,(AH217-AH$3)/(1+AH$3%)))))</f>
        <v/>
      </c>
      <c r="AI56" s="303" t="str">
        <f t="shared" si="151"/>
        <v/>
      </c>
      <c r="AJ56" s="303" t="str">
        <f t="shared" si="151"/>
        <v/>
      </c>
      <c r="AK56" s="303" t="str">
        <f t="shared" si="151"/>
        <v/>
      </c>
      <c r="AL56" s="303" t="str">
        <f t="shared" si="151"/>
        <v/>
      </c>
      <c r="AM56" s="303" t="str">
        <f t="shared" si="151"/>
        <v/>
      </c>
      <c r="AN56" s="303" t="str">
        <f t="shared" si="151"/>
        <v/>
      </c>
      <c r="AO56" s="303" t="str">
        <f t="shared" si="151"/>
        <v/>
      </c>
      <c r="AP56" s="303" t="str">
        <f t="shared" si="151"/>
        <v/>
      </c>
      <c r="AQ56" s="303" t="str">
        <f t="shared" si="151"/>
        <v/>
      </c>
      <c r="AR56" s="303" t="str">
        <f t="shared" si="151"/>
        <v/>
      </c>
      <c r="AS56" s="303" t="str">
        <f t="shared" si="151"/>
        <v/>
      </c>
      <c r="AT56" s="303" t="str">
        <f t="shared" si="151"/>
        <v/>
      </c>
      <c r="AU56" s="303" t="str">
        <f t="shared" si="151"/>
        <v/>
      </c>
      <c r="AV56" s="303" t="str">
        <f t="shared" si="151"/>
        <v/>
      </c>
      <c r="AW56" s="303" t="str">
        <f t="shared" si="151"/>
        <v/>
      </c>
      <c r="AX56" s="303" t="str">
        <f t="shared" si="151"/>
        <v/>
      </c>
      <c r="AY56" s="303" t="str">
        <f t="shared" si="151"/>
        <v/>
      </c>
      <c r="AZ56" s="303" t="str">
        <f t="shared" si="151"/>
        <v/>
      </c>
      <c r="BA56" s="303" t="str">
        <f t="shared" si="151"/>
        <v/>
      </c>
      <c r="BB56" s="303" t="str">
        <f t="shared" si="151"/>
        <v/>
      </c>
      <c r="BC56" s="303" t="str">
        <f t="shared" si="151"/>
        <v/>
      </c>
      <c r="BD56" s="303" t="str">
        <f t="shared" si="151"/>
        <v/>
      </c>
      <c r="BE56" s="303" t="str">
        <f t="shared" si="151"/>
        <v/>
      </c>
      <c r="BF56" s="303" t="str">
        <f t="shared" si="151"/>
        <v/>
      </c>
      <c r="BG56" s="303" t="str">
        <f t="shared" si="151"/>
        <v/>
      </c>
      <c r="BH56" s="303" t="str">
        <f t="shared" si="151"/>
        <v/>
      </c>
      <c r="BI56" s="303" t="str">
        <f t="shared" si="151"/>
        <v/>
      </c>
      <c r="BJ56" s="303" t="str">
        <f t="shared" si="151"/>
        <v/>
      </c>
      <c r="BK56" s="303" t="str">
        <f t="shared" si="151"/>
        <v/>
      </c>
      <c r="BL56" s="303" t="str">
        <f t="shared" si="151"/>
        <v/>
      </c>
      <c r="BM56" s="303" t="str">
        <f t="shared" si="151"/>
        <v/>
      </c>
      <c r="BN56" s="303" t="str">
        <f t="shared" ref="BN56:BZ56" si="152">IF(BN$2="-","",(IF(BN217="","",IF(BN$4&lt;$A56,BN217,(BN217-BN$3)/(1+BN$3%)))))</f>
        <v/>
      </c>
      <c r="BO56" s="303" t="str">
        <f t="shared" si="152"/>
        <v/>
      </c>
      <c r="BP56" s="303" t="str">
        <f t="shared" si="152"/>
        <v/>
      </c>
      <c r="BQ56" s="303" t="str">
        <f t="shared" si="152"/>
        <v/>
      </c>
      <c r="BR56" s="303" t="str">
        <f t="shared" si="152"/>
        <v/>
      </c>
      <c r="BS56" s="303" t="str">
        <f t="shared" si="152"/>
        <v/>
      </c>
      <c r="BT56" s="303" t="str">
        <f t="shared" si="152"/>
        <v/>
      </c>
      <c r="BU56" s="303" t="str">
        <f t="shared" si="152"/>
        <v/>
      </c>
      <c r="BV56" s="303" t="str">
        <f t="shared" si="152"/>
        <v/>
      </c>
      <c r="BW56" s="303" t="str">
        <f t="shared" si="152"/>
        <v/>
      </c>
      <c r="BX56" s="303">
        <f t="shared" si="152"/>
        <v>19.235668789808912</v>
      </c>
      <c r="BY56" s="303">
        <f t="shared" si="152"/>
        <v>0.17973460949696207</v>
      </c>
      <c r="BZ56" s="303">
        <f t="shared" si="152"/>
        <v>5.56</v>
      </c>
      <c r="CA56" s="303">
        <f t="shared" si="10"/>
        <v>16.969696969696969</v>
      </c>
    </row>
    <row r="57" spans="1:79">
      <c r="A57" s="58">
        <f t="shared" si="104"/>
        <v>1920</v>
      </c>
      <c r="B57" s="303">
        <f t="shared" ref="B57:AG57" si="153">IF(B$2="-","",(IF(B218="","",IF(B$4&lt;$A57,B218,(B218-B$3)/(1+B$3%)))))</f>
        <v>-13.849739700719422</v>
      </c>
      <c r="C57" s="303" t="str">
        <f t="shared" si="153"/>
        <v/>
      </c>
      <c r="D57" s="303">
        <f t="shared" si="153"/>
        <v>-13.849739700719422</v>
      </c>
      <c r="E57" s="303" t="str">
        <f t="shared" si="153"/>
        <v/>
      </c>
      <c r="F57" s="303" t="str">
        <f t="shared" si="153"/>
        <v/>
      </c>
      <c r="G57" s="303" t="str">
        <f t="shared" si="153"/>
        <v/>
      </c>
      <c r="H57" s="303" t="str">
        <f t="shared" si="153"/>
        <v/>
      </c>
      <c r="I57" s="303" t="str">
        <f t="shared" si="153"/>
        <v/>
      </c>
      <c r="J57" s="303" t="str">
        <f t="shared" si="153"/>
        <v/>
      </c>
      <c r="K57" s="303" t="str">
        <f t="shared" si="153"/>
        <v/>
      </c>
      <c r="L57" s="303" t="str">
        <f t="shared" si="153"/>
        <v/>
      </c>
      <c r="M57" s="303" t="str">
        <f t="shared" si="153"/>
        <v/>
      </c>
      <c r="N57" s="303" t="str">
        <f t="shared" si="153"/>
        <v/>
      </c>
      <c r="O57" s="303" t="str">
        <f t="shared" si="153"/>
        <v/>
      </c>
      <c r="P57" s="303" t="str">
        <f t="shared" si="153"/>
        <v/>
      </c>
      <c r="Q57" s="303" t="str">
        <f t="shared" si="153"/>
        <v/>
      </c>
      <c r="R57" s="303" t="str">
        <f t="shared" si="153"/>
        <v/>
      </c>
      <c r="S57" s="303" t="str">
        <f t="shared" si="153"/>
        <v/>
      </c>
      <c r="T57" s="303">
        <f t="shared" si="153"/>
        <v>4.0128866193617716</v>
      </c>
      <c r="U57" s="303">
        <f t="shared" si="153"/>
        <v>4.0128866193617716</v>
      </c>
      <c r="V57" s="303">
        <f t="shared" si="153"/>
        <v>7.2035168348486369</v>
      </c>
      <c r="W57" s="303" t="str">
        <f t="shared" si="153"/>
        <v/>
      </c>
      <c r="X57" s="303" t="str">
        <f t="shared" si="153"/>
        <v/>
      </c>
      <c r="Y57" s="303" t="str">
        <f t="shared" si="153"/>
        <v/>
      </c>
      <c r="Z57" s="303" t="str">
        <f t="shared" si="153"/>
        <v/>
      </c>
      <c r="AA57" s="303" t="str">
        <f t="shared" si="153"/>
        <v/>
      </c>
      <c r="AB57" s="303" t="str">
        <f t="shared" si="153"/>
        <v/>
      </c>
      <c r="AC57" s="303" t="str">
        <f t="shared" si="153"/>
        <v/>
      </c>
      <c r="AD57" s="303" t="str">
        <f t="shared" si="153"/>
        <v/>
      </c>
      <c r="AE57" s="303" t="str">
        <f t="shared" si="153"/>
        <v/>
      </c>
      <c r="AF57" s="303" t="str">
        <f t="shared" si="153"/>
        <v/>
      </c>
      <c r="AG57" s="303" t="str">
        <f t="shared" si="153"/>
        <v/>
      </c>
      <c r="AH57" s="303" t="str">
        <f t="shared" ref="AH57:BM57" si="154">IF(AH$2="-","",(IF(AH218="","",IF(AH$4&lt;$A57,AH218,(AH218-AH$3)/(1+AH$3%)))))</f>
        <v/>
      </c>
      <c r="AI57" s="303" t="str">
        <f t="shared" si="154"/>
        <v/>
      </c>
      <c r="AJ57" s="303" t="str">
        <f t="shared" si="154"/>
        <v/>
      </c>
      <c r="AK57" s="303" t="str">
        <f t="shared" si="154"/>
        <v/>
      </c>
      <c r="AL57" s="303" t="str">
        <f t="shared" si="154"/>
        <v/>
      </c>
      <c r="AM57" s="303" t="str">
        <f t="shared" si="154"/>
        <v/>
      </c>
      <c r="AN57" s="303" t="str">
        <f t="shared" si="154"/>
        <v/>
      </c>
      <c r="AO57" s="303" t="str">
        <f t="shared" si="154"/>
        <v/>
      </c>
      <c r="AP57" s="303" t="str">
        <f t="shared" si="154"/>
        <v/>
      </c>
      <c r="AQ57" s="303" t="str">
        <f t="shared" si="154"/>
        <v/>
      </c>
      <c r="AR57" s="303" t="str">
        <f t="shared" si="154"/>
        <v/>
      </c>
      <c r="AS57" s="303" t="str">
        <f t="shared" si="154"/>
        <v/>
      </c>
      <c r="AT57" s="303" t="str">
        <f t="shared" si="154"/>
        <v/>
      </c>
      <c r="AU57" s="303" t="str">
        <f t="shared" si="154"/>
        <v/>
      </c>
      <c r="AV57" s="303" t="str">
        <f t="shared" si="154"/>
        <v/>
      </c>
      <c r="AW57" s="303" t="str">
        <f t="shared" si="154"/>
        <v/>
      </c>
      <c r="AX57" s="303" t="str">
        <f t="shared" si="154"/>
        <v/>
      </c>
      <c r="AY57" s="303" t="str">
        <f t="shared" si="154"/>
        <v/>
      </c>
      <c r="AZ57" s="303" t="str">
        <f t="shared" si="154"/>
        <v/>
      </c>
      <c r="BA57" s="303" t="str">
        <f t="shared" si="154"/>
        <v/>
      </c>
      <c r="BB57" s="303" t="str">
        <f t="shared" si="154"/>
        <v/>
      </c>
      <c r="BC57" s="303" t="str">
        <f t="shared" si="154"/>
        <v/>
      </c>
      <c r="BD57" s="303" t="str">
        <f t="shared" si="154"/>
        <v/>
      </c>
      <c r="BE57" s="303" t="str">
        <f t="shared" si="154"/>
        <v/>
      </c>
      <c r="BF57" s="303" t="str">
        <f t="shared" si="154"/>
        <v/>
      </c>
      <c r="BG57" s="303" t="str">
        <f t="shared" si="154"/>
        <v/>
      </c>
      <c r="BH57" s="303" t="str">
        <f t="shared" si="154"/>
        <v/>
      </c>
      <c r="BI57" s="303" t="str">
        <f t="shared" si="154"/>
        <v/>
      </c>
      <c r="BJ57" s="303" t="str">
        <f t="shared" si="154"/>
        <v/>
      </c>
      <c r="BK57" s="303" t="str">
        <f t="shared" si="154"/>
        <v/>
      </c>
      <c r="BL57" s="303" t="str">
        <f t="shared" si="154"/>
        <v/>
      </c>
      <c r="BM57" s="303" t="str">
        <f t="shared" si="154"/>
        <v/>
      </c>
      <c r="BN57" s="303" t="str">
        <f t="shared" ref="BN57:BZ57" si="155">IF(BN$2="-","",(IF(BN218="","",IF(BN$4&lt;$A57,BN218,(BN218-BN$3)/(1+BN$3%)))))</f>
        <v/>
      </c>
      <c r="BO57" s="303" t="str">
        <f t="shared" si="155"/>
        <v/>
      </c>
      <c r="BP57" s="303" t="str">
        <f t="shared" si="155"/>
        <v/>
      </c>
      <c r="BQ57" s="303" t="str">
        <f t="shared" si="155"/>
        <v/>
      </c>
      <c r="BR57" s="303" t="str">
        <f t="shared" si="155"/>
        <v/>
      </c>
      <c r="BS57" s="303" t="str">
        <f t="shared" si="155"/>
        <v/>
      </c>
      <c r="BT57" s="303" t="str">
        <f t="shared" si="155"/>
        <v/>
      </c>
      <c r="BU57" s="303" t="str">
        <f t="shared" si="155"/>
        <v/>
      </c>
      <c r="BV57" s="303" t="str">
        <f t="shared" si="155"/>
        <v/>
      </c>
      <c r="BW57" s="303" t="str">
        <f t="shared" si="155"/>
        <v/>
      </c>
      <c r="BX57" s="303">
        <f t="shared" si="155"/>
        <v>-13.703284258210646</v>
      </c>
      <c r="BY57" s="303">
        <f t="shared" si="155"/>
        <v>4.2209123926004954</v>
      </c>
      <c r="BZ57" s="303">
        <f t="shared" si="155"/>
        <v>7.3</v>
      </c>
      <c r="CA57" s="303">
        <f t="shared" si="10"/>
        <v>-1.5544041450777257</v>
      </c>
    </row>
    <row r="58" spans="1:79">
      <c r="A58" s="58">
        <f t="shared" si="104"/>
        <v>1921</v>
      </c>
      <c r="B58" s="303">
        <f t="shared" ref="B58:AG58" si="156">IF(B$2="-","",(IF(B219="","",IF(B$4&lt;$A58,B219,(B219-B$3)/(1+B$3%)))))</f>
        <v>8.9568268402225275</v>
      </c>
      <c r="C58" s="303" t="str">
        <f t="shared" si="156"/>
        <v/>
      </c>
      <c r="D58" s="303">
        <f t="shared" si="156"/>
        <v>8.9568268402225275</v>
      </c>
      <c r="E58" s="303" t="str">
        <f t="shared" si="156"/>
        <v/>
      </c>
      <c r="F58" s="303" t="str">
        <f t="shared" si="156"/>
        <v/>
      </c>
      <c r="G58" s="303" t="str">
        <f t="shared" si="156"/>
        <v/>
      </c>
      <c r="H58" s="303" t="str">
        <f t="shared" si="156"/>
        <v/>
      </c>
      <c r="I58" s="303" t="str">
        <f t="shared" si="156"/>
        <v/>
      </c>
      <c r="J58" s="303" t="str">
        <f t="shared" si="156"/>
        <v/>
      </c>
      <c r="K58" s="303" t="str">
        <f t="shared" si="156"/>
        <v/>
      </c>
      <c r="L58" s="303" t="str">
        <f t="shared" si="156"/>
        <v/>
      </c>
      <c r="M58" s="303" t="str">
        <f t="shared" si="156"/>
        <v/>
      </c>
      <c r="N58" s="303" t="str">
        <f t="shared" si="156"/>
        <v/>
      </c>
      <c r="O58" s="303" t="str">
        <f t="shared" si="156"/>
        <v/>
      </c>
      <c r="P58" s="303" t="str">
        <f t="shared" si="156"/>
        <v/>
      </c>
      <c r="Q58" s="303" t="str">
        <f t="shared" si="156"/>
        <v/>
      </c>
      <c r="R58" s="303" t="str">
        <f t="shared" si="156"/>
        <v/>
      </c>
      <c r="S58" s="303" t="str">
        <f t="shared" si="156"/>
        <v/>
      </c>
      <c r="T58" s="303">
        <f t="shared" si="156"/>
        <v>12.072218619659267</v>
      </c>
      <c r="U58" s="303">
        <f t="shared" si="156"/>
        <v>12.072218619659267</v>
      </c>
      <c r="V58" s="303">
        <f t="shared" si="156"/>
        <v>7.343390948146669</v>
      </c>
      <c r="W58" s="303" t="str">
        <f t="shared" si="156"/>
        <v/>
      </c>
      <c r="X58" s="303" t="str">
        <f t="shared" si="156"/>
        <v/>
      </c>
      <c r="Y58" s="303" t="str">
        <f t="shared" si="156"/>
        <v/>
      </c>
      <c r="Z58" s="303" t="str">
        <f t="shared" si="156"/>
        <v/>
      </c>
      <c r="AA58" s="303" t="str">
        <f t="shared" si="156"/>
        <v/>
      </c>
      <c r="AB58" s="303" t="str">
        <f t="shared" si="156"/>
        <v/>
      </c>
      <c r="AC58" s="303" t="str">
        <f t="shared" si="156"/>
        <v/>
      </c>
      <c r="AD58" s="303" t="str">
        <f t="shared" si="156"/>
        <v/>
      </c>
      <c r="AE58" s="303" t="str">
        <f t="shared" si="156"/>
        <v/>
      </c>
      <c r="AF58" s="303" t="str">
        <f t="shared" si="156"/>
        <v/>
      </c>
      <c r="AG58" s="303" t="str">
        <f t="shared" si="156"/>
        <v/>
      </c>
      <c r="AH58" s="303" t="str">
        <f t="shared" ref="AH58:BM58" si="157">IF(AH$2="-","",(IF(AH219="","",IF(AH$4&lt;$A58,AH219,(AH219-AH$3)/(1+AH$3%)))))</f>
        <v/>
      </c>
      <c r="AI58" s="303" t="str">
        <f t="shared" si="157"/>
        <v/>
      </c>
      <c r="AJ58" s="303" t="str">
        <f t="shared" si="157"/>
        <v/>
      </c>
      <c r="AK58" s="303" t="str">
        <f t="shared" si="157"/>
        <v/>
      </c>
      <c r="AL58" s="303" t="str">
        <f t="shared" si="157"/>
        <v/>
      </c>
      <c r="AM58" s="303" t="str">
        <f t="shared" si="157"/>
        <v/>
      </c>
      <c r="AN58" s="303" t="str">
        <f t="shared" si="157"/>
        <v/>
      </c>
      <c r="AO58" s="303" t="str">
        <f t="shared" si="157"/>
        <v/>
      </c>
      <c r="AP58" s="303" t="str">
        <f t="shared" si="157"/>
        <v/>
      </c>
      <c r="AQ58" s="303" t="str">
        <f t="shared" si="157"/>
        <v/>
      </c>
      <c r="AR58" s="303" t="str">
        <f t="shared" si="157"/>
        <v/>
      </c>
      <c r="AS58" s="303" t="str">
        <f t="shared" si="157"/>
        <v/>
      </c>
      <c r="AT58" s="303" t="str">
        <f t="shared" si="157"/>
        <v/>
      </c>
      <c r="AU58" s="303" t="str">
        <f t="shared" si="157"/>
        <v/>
      </c>
      <c r="AV58" s="303" t="str">
        <f t="shared" si="157"/>
        <v/>
      </c>
      <c r="AW58" s="303" t="str">
        <f t="shared" si="157"/>
        <v/>
      </c>
      <c r="AX58" s="303" t="str">
        <f t="shared" si="157"/>
        <v/>
      </c>
      <c r="AY58" s="303" t="str">
        <f t="shared" si="157"/>
        <v/>
      </c>
      <c r="AZ58" s="303" t="str">
        <f t="shared" si="157"/>
        <v/>
      </c>
      <c r="BA58" s="303" t="str">
        <f t="shared" si="157"/>
        <v/>
      </c>
      <c r="BB58" s="303" t="str">
        <f t="shared" si="157"/>
        <v/>
      </c>
      <c r="BC58" s="303" t="str">
        <f t="shared" si="157"/>
        <v/>
      </c>
      <c r="BD58" s="303" t="str">
        <f t="shared" si="157"/>
        <v/>
      </c>
      <c r="BE58" s="303" t="str">
        <f t="shared" si="157"/>
        <v/>
      </c>
      <c r="BF58" s="303" t="str">
        <f t="shared" si="157"/>
        <v/>
      </c>
      <c r="BG58" s="303" t="str">
        <f t="shared" si="157"/>
        <v/>
      </c>
      <c r="BH58" s="303" t="str">
        <f t="shared" si="157"/>
        <v/>
      </c>
      <c r="BI58" s="303" t="str">
        <f t="shared" si="157"/>
        <v/>
      </c>
      <c r="BJ58" s="303" t="str">
        <f t="shared" si="157"/>
        <v/>
      </c>
      <c r="BK58" s="303" t="str">
        <f t="shared" si="157"/>
        <v/>
      </c>
      <c r="BL58" s="303" t="str">
        <f t="shared" si="157"/>
        <v/>
      </c>
      <c r="BM58" s="303" t="str">
        <f t="shared" si="157"/>
        <v/>
      </c>
      <c r="BN58" s="303" t="str">
        <f t="shared" ref="BN58:BZ58" si="158">IF(BN$2="-","",(IF(BN219="","",IF(BN$4&lt;$A58,BN219,(BN219-BN$3)/(1+BN$3%)))))</f>
        <v/>
      </c>
      <c r="BO58" s="303" t="str">
        <f t="shared" si="158"/>
        <v/>
      </c>
      <c r="BP58" s="303" t="str">
        <f t="shared" si="158"/>
        <v/>
      </c>
      <c r="BQ58" s="303" t="str">
        <f t="shared" si="158"/>
        <v/>
      </c>
      <c r="BR58" s="303" t="str">
        <f t="shared" si="158"/>
        <v/>
      </c>
      <c r="BS58" s="303" t="str">
        <f t="shared" si="158"/>
        <v/>
      </c>
      <c r="BT58" s="303" t="str">
        <f t="shared" si="158"/>
        <v/>
      </c>
      <c r="BU58" s="303" t="str">
        <f t="shared" si="158"/>
        <v/>
      </c>
      <c r="BV58" s="303" t="str">
        <f t="shared" si="158"/>
        <v/>
      </c>
      <c r="BW58" s="303" t="str">
        <f t="shared" si="158"/>
        <v/>
      </c>
      <c r="BX58" s="303">
        <f t="shared" si="158"/>
        <v>9.1420534458509053</v>
      </c>
      <c r="BY58" s="303">
        <f t="shared" si="158"/>
        <v>12.296363056898585</v>
      </c>
      <c r="BZ58" s="303">
        <f t="shared" si="158"/>
        <v>7.44</v>
      </c>
      <c r="CA58" s="303">
        <f t="shared" si="10"/>
        <v>-11.052631578947381</v>
      </c>
    </row>
    <row r="59" spans="1:79">
      <c r="A59" s="58">
        <f t="shared" si="104"/>
        <v>1922</v>
      </c>
      <c r="B59" s="303">
        <f t="shared" ref="B59:AG59" si="159">IF(B$2="-","",(IF(B220="","",IF(B$4&lt;$A59,B220,(B220-B$3)/(1+B$3%)))))</f>
        <v>28.685344503385348</v>
      </c>
      <c r="C59" s="303" t="str">
        <f t="shared" si="159"/>
        <v/>
      </c>
      <c r="D59" s="303">
        <f t="shared" si="159"/>
        <v>28.685344503385348</v>
      </c>
      <c r="E59" s="303" t="str">
        <f t="shared" si="159"/>
        <v/>
      </c>
      <c r="F59" s="303" t="str">
        <f t="shared" si="159"/>
        <v/>
      </c>
      <c r="G59" s="303" t="str">
        <f t="shared" si="159"/>
        <v/>
      </c>
      <c r="H59" s="303" t="str">
        <f t="shared" si="159"/>
        <v/>
      </c>
      <c r="I59" s="303" t="str">
        <f t="shared" si="159"/>
        <v/>
      </c>
      <c r="J59" s="303" t="str">
        <f t="shared" si="159"/>
        <v/>
      </c>
      <c r="K59" s="303" t="str">
        <f t="shared" si="159"/>
        <v/>
      </c>
      <c r="L59" s="303" t="str">
        <f t="shared" si="159"/>
        <v/>
      </c>
      <c r="M59" s="303" t="str">
        <f t="shared" si="159"/>
        <v/>
      </c>
      <c r="N59" s="303" t="str">
        <f t="shared" si="159"/>
        <v/>
      </c>
      <c r="O59" s="303" t="str">
        <f t="shared" si="159"/>
        <v/>
      </c>
      <c r="P59" s="303" t="str">
        <f t="shared" si="159"/>
        <v/>
      </c>
      <c r="Q59" s="303" t="str">
        <f t="shared" si="159"/>
        <v/>
      </c>
      <c r="R59" s="303" t="str">
        <f t="shared" si="159"/>
        <v/>
      </c>
      <c r="S59" s="303" t="str">
        <f t="shared" si="159"/>
        <v/>
      </c>
      <c r="T59" s="303">
        <f t="shared" si="159"/>
        <v>3.2360303946042728</v>
      </c>
      <c r="U59" s="303">
        <f t="shared" si="159"/>
        <v>3.2360303946042728</v>
      </c>
      <c r="V59" s="303">
        <f t="shared" si="159"/>
        <v>4.4859626336297342</v>
      </c>
      <c r="W59" s="303" t="str">
        <f t="shared" si="159"/>
        <v/>
      </c>
      <c r="X59" s="303" t="str">
        <f t="shared" si="159"/>
        <v/>
      </c>
      <c r="Y59" s="303" t="str">
        <f t="shared" si="159"/>
        <v/>
      </c>
      <c r="Z59" s="303" t="str">
        <f t="shared" si="159"/>
        <v/>
      </c>
      <c r="AA59" s="303" t="str">
        <f t="shared" si="159"/>
        <v/>
      </c>
      <c r="AB59" s="303" t="str">
        <f t="shared" si="159"/>
        <v/>
      </c>
      <c r="AC59" s="303" t="str">
        <f t="shared" si="159"/>
        <v/>
      </c>
      <c r="AD59" s="303" t="str">
        <f t="shared" si="159"/>
        <v/>
      </c>
      <c r="AE59" s="303" t="str">
        <f t="shared" si="159"/>
        <v/>
      </c>
      <c r="AF59" s="303" t="str">
        <f t="shared" si="159"/>
        <v/>
      </c>
      <c r="AG59" s="303" t="str">
        <f t="shared" si="159"/>
        <v/>
      </c>
      <c r="AH59" s="303" t="str">
        <f t="shared" ref="AH59:BM59" si="160">IF(AH$2="-","",(IF(AH220="","",IF(AH$4&lt;$A59,AH220,(AH220-AH$3)/(1+AH$3%)))))</f>
        <v/>
      </c>
      <c r="AI59" s="303" t="str">
        <f t="shared" si="160"/>
        <v/>
      </c>
      <c r="AJ59" s="303" t="str">
        <f t="shared" si="160"/>
        <v/>
      </c>
      <c r="AK59" s="303" t="str">
        <f t="shared" si="160"/>
        <v/>
      </c>
      <c r="AL59" s="303" t="str">
        <f t="shared" si="160"/>
        <v/>
      </c>
      <c r="AM59" s="303" t="str">
        <f t="shared" si="160"/>
        <v/>
      </c>
      <c r="AN59" s="303" t="str">
        <f t="shared" si="160"/>
        <v/>
      </c>
      <c r="AO59" s="303" t="str">
        <f t="shared" si="160"/>
        <v/>
      </c>
      <c r="AP59" s="303" t="str">
        <f t="shared" si="160"/>
        <v/>
      </c>
      <c r="AQ59" s="303" t="str">
        <f t="shared" si="160"/>
        <v/>
      </c>
      <c r="AR59" s="303" t="str">
        <f t="shared" si="160"/>
        <v/>
      </c>
      <c r="AS59" s="303" t="str">
        <f t="shared" si="160"/>
        <v/>
      </c>
      <c r="AT59" s="303" t="str">
        <f t="shared" si="160"/>
        <v/>
      </c>
      <c r="AU59" s="303" t="str">
        <f t="shared" si="160"/>
        <v/>
      </c>
      <c r="AV59" s="303" t="str">
        <f t="shared" si="160"/>
        <v/>
      </c>
      <c r="AW59" s="303" t="str">
        <f t="shared" si="160"/>
        <v/>
      </c>
      <c r="AX59" s="303" t="str">
        <f t="shared" si="160"/>
        <v/>
      </c>
      <c r="AY59" s="303" t="str">
        <f t="shared" si="160"/>
        <v/>
      </c>
      <c r="AZ59" s="303" t="str">
        <f t="shared" si="160"/>
        <v/>
      </c>
      <c r="BA59" s="303" t="str">
        <f t="shared" si="160"/>
        <v/>
      </c>
      <c r="BB59" s="303" t="str">
        <f t="shared" si="160"/>
        <v/>
      </c>
      <c r="BC59" s="303" t="str">
        <f t="shared" si="160"/>
        <v/>
      </c>
      <c r="BD59" s="303" t="str">
        <f t="shared" si="160"/>
        <v/>
      </c>
      <c r="BE59" s="303" t="str">
        <f t="shared" si="160"/>
        <v/>
      </c>
      <c r="BF59" s="303" t="str">
        <f t="shared" si="160"/>
        <v/>
      </c>
      <c r="BG59" s="303" t="str">
        <f t="shared" si="160"/>
        <v/>
      </c>
      <c r="BH59" s="303" t="str">
        <f t="shared" si="160"/>
        <v/>
      </c>
      <c r="BI59" s="303" t="str">
        <f t="shared" si="160"/>
        <v/>
      </c>
      <c r="BJ59" s="303" t="str">
        <f t="shared" si="160"/>
        <v/>
      </c>
      <c r="BK59" s="303" t="str">
        <f t="shared" si="160"/>
        <v/>
      </c>
      <c r="BL59" s="303" t="str">
        <f t="shared" si="160"/>
        <v/>
      </c>
      <c r="BM59" s="303" t="str">
        <f t="shared" si="160"/>
        <v/>
      </c>
      <c r="BN59" s="303" t="str">
        <f t="shared" ref="BN59:BZ59" si="161">IF(BN$2="-","",(IF(BN220="","",IF(BN$4&lt;$A59,BN220,(BN220-BN$3)/(1+BN$3%)))))</f>
        <v/>
      </c>
      <c r="BO59" s="303" t="str">
        <f t="shared" si="161"/>
        <v/>
      </c>
      <c r="BP59" s="303" t="str">
        <f t="shared" si="161"/>
        <v/>
      </c>
      <c r="BQ59" s="303" t="str">
        <f t="shared" si="161"/>
        <v/>
      </c>
      <c r="BR59" s="303" t="str">
        <f t="shared" si="161"/>
        <v/>
      </c>
      <c r="BS59" s="303" t="str">
        <f t="shared" si="161"/>
        <v/>
      </c>
      <c r="BT59" s="303" t="str">
        <f t="shared" si="161"/>
        <v/>
      </c>
      <c r="BU59" s="303" t="str">
        <f t="shared" si="161"/>
        <v/>
      </c>
      <c r="BV59" s="303" t="str">
        <f t="shared" si="161"/>
        <v/>
      </c>
      <c r="BW59" s="303" t="str">
        <f t="shared" si="161"/>
        <v/>
      </c>
      <c r="BX59" s="303">
        <f t="shared" si="161"/>
        <v>28.904109589041106</v>
      </c>
      <c r="BY59" s="303">
        <f t="shared" si="161"/>
        <v>3.4425024553934813</v>
      </c>
      <c r="BZ59" s="303">
        <f t="shared" si="161"/>
        <v>4.58</v>
      </c>
      <c r="CA59" s="303">
        <f t="shared" si="10"/>
        <v>-0.59171597633135287</v>
      </c>
    </row>
    <row r="60" spans="1:79">
      <c r="A60" s="58">
        <f t="shared" si="104"/>
        <v>1923</v>
      </c>
      <c r="B60" s="303">
        <f t="shared" ref="B60:AG60" si="162">IF(B$2="-","",(IF(B221="","",IF(B$4&lt;$A60,B221,(B221-B$3)/(1+B$3%)))))</f>
        <v>4.9900562302512643</v>
      </c>
      <c r="C60" s="303" t="str">
        <f t="shared" si="162"/>
        <v/>
      </c>
      <c r="D60" s="303">
        <f t="shared" si="162"/>
        <v>4.9900562302512643</v>
      </c>
      <c r="E60" s="303" t="str">
        <f t="shared" si="162"/>
        <v/>
      </c>
      <c r="F60" s="303" t="str">
        <f t="shared" si="162"/>
        <v/>
      </c>
      <c r="G60" s="303" t="str">
        <f t="shared" si="162"/>
        <v/>
      </c>
      <c r="H60" s="303" t="str">
        <f t="shared" si="162"/>
        <v/>
      </c>
      <c r="I60" s="303" t="str">
        <f t="shared" si="162"/>
        <v/>
      </c>
      <c r="J60" s="303" t="str">
        <f t="shared" si="162"/>
        <v/>
      </c>
      <c r="K60" s="303" t="str">
        <f t="shared" si="162"/>
        <v/>
      </c>
      <c r="L60" s="303" t="str">
        <f t="shared" si="162"/>
        <v/>
      </c>
      <c r="M60" s="303" t="str">
        <f t="shared" si="162"/>
        <v/>
      </c>
      <c r="N60" s="303" t="str">
        <f t="shared" si="162"/>
        <v/>
      </c>
      <c r="O60" s="303" t="str">
        <f t="shared" si="162"/>
        <v/>
      </c>
      <c r="P60" s="303" t="str">
        <f t="shared" si="162"/>
        <v/>
      </c>
      <c r="Q60" s="303" t="str">
        <f t="shared" si="162"/>
        <v/>
      </c>
      <c r="R60" s="303" t="str">
        <f t="shared" si="162"/>
        <v/>
      </c>
      <c r="S60" s="303" t="str">
        <f t="shared" si="162"/>
        <v/>
      </c>
      <c r="T60" s="303">
        <f t="shared" si="162"/>
        <v>6.0319892373046011</v>
      </c>
      <c r="U60" s="303">
        <f t="shared" si="162"/>
        <v>6.0319892373046011</v>
      </c>
      <c r="V60" s="303">
        <f t="shared" si="162"/>
        <v>4.8656209411529625</v>
      </c>
      <c r="W60" s="303" t="str">
        <f t="shared" si="162"/>
        <v/>
      </c>
      <c r="X60" s="303" t="str">
        <f t="shared" si="162"/>
        <v/>
      </c>
      <c r="Y60" s="303" t="str">
        <f t="shared" si="162"/>
        <v/>
      </c>
      <c r="Z60" s="303" t="str">
        <f t="shared" si="162"/>
        <v/>
      </c>
      <c r="AA60" s="303" t="str">
        <f t="shared" si="162"/>
        <v/>
      </c>
      <c r="AB60" s="303" t="str">
        <f t="shared" si="162"/>
        <v/>
      </c>
      <c r="AC60" s="303" t="str">
        <f t="shared" si="162"/>
        <v/>
      </c>
      <c r="AD60" s="303" t="str">
        <f t="shared" si="162"/>
        <v/>
      </c>
      <c r="AE60" s="303" t="str">
        <f t="shared" si="162"/>
        <v/>
      </c>
      <c r="AF60" s="303" t="str">
        <f t="shared" si="162"/>
        <v/>
      </c>
      <c r="AG60" s="303" t="str">
        <f t="shared" si="162"/>
        <v/>
      </c>
      <c r="AH60" s="303" t="str">
        <f t="shared" ref="AH60:BM60" si="163">IF(AH$2="-","",(IF(AH221="","",IF(AH$4&lt;$A60,AH221,(AH221-AH$3)/(1+AH$3%)))))</f>
        <v/>
      </c>
      <c r="AI60" s="303" t="str">
        <f t="shared" si="163"/>
        <v/>
      </c>
      <c r="AJ60" s="303" t="str">
        <f t="shared" si="163"/>
        <v/>
      </c>
      <c r="AK60" s="303" t="str">
        <f t="shared" si="163"/>
        <v/>
      </c>
      <c r="AL60" s="303" t="str">
        <f t="shared" si="163"/>
        <v/>
      </c>
      <c r="AM60" s="303" t="str">
        <f t="shared" si="163"/>
        <v/>
      </c>
      <c r="AN60" s="303" t="str">
        <f t="shared" si="163"/>
        <v/>
      </c>
      <c r="AO60" s="303" t="str">
        <f t="shared" si="163"/>
        <v/>
      </c>
      <c r="AP60" s="303" t="str">
        <f t="shared" si="163"/>
        <v/>
      </c>
      <c r="AQ60" s="303" t="str">
        <f t="shared" si="163"/>
        <v/>
      </c>
      <c r="AR60" s="303" t="str">
        <f t="shared" si="163"/>
        <v/>
      </c>
      <c r="AS60" s="303" t="str">
        <f t="shared" si="163"/>
        <v/>
      </c>
      <c r="AT60" s="303" t="str">
        <f t="shared" si="163"/>
        <v/>
      </c>
      <c r="AU60" s="303" t="str">
        <f t="shared" si="163"/>
        <v/>
      </c>
      <c r="AV60" s="303" t="str">
        <f t="shared" si="163"/>
        <v/>
      </c>
      <c r="AW60" s="303" t="str">
        <f t="shared" si="163"/>
        <v/>
      </c>
      <c r="AX60" s="303" t="str">
        <f t="shared" si="163"/>
        <v/>
      </c>
      <c r="AY60" s="303" t="str">
        <f t="shared" si="163"/>
        <v/>
      </c>
      <c r="AZ60" s="303" t="str">
        <f t="shared" si="163"/>
        <v/>
      </c>
      <c r="BA60" s="303" t="str">
        <f t="shared" si="163"/>
        <v/>
      </c>
      <c r="BB60" s="303" t="str">
        <f t="shared" si="163"/>
        <v/>
      </c>
      <c r="BC60" s="303" t="str">
        <f t="shared" si="163"/>
        <v/>
      </c>
      <c r="BD60" s="303" t="str">
        <f t="shared" si="163"/>
        <v/>
      </c>
      <c r="BE60" s="303" t="str">
        <f t="shared" si="163"/>
        <v/>
      </c>
      <c r="BF60" s="303" t="str">
        <f t="shared" si="163"/>
        <v/>
      </c>
      <c r="BG60" s="303" t="str">
        <f t="shared" si="163"/>
        <v/>
      </c>
      <c r="BH60" s="303" t="str">
        <f t="shared" si="163"/>
        <v/>
      </c>
      <c r="BI60" s="303" t="str">
        <f t="shared" si="163"/>
        <v/>
      </c>
      <c r="BJ60" s="303" t="str">
        <f t="shared" si="163"/>
        <v/>
      </c>
      <c r="BK60" s="303" t="str">
        <f t="shared" si="163"/>
        <v/>
      </c>
      <c r="BL60" s="303" t="str">
        <f t="shared" si="163"/>
        <v/>
      </c>
      <c r="BM60" s="303" t="str">
        <f t="shared" si="163"/>
        <v/>
      </c>
      <c r="BN60" s="303" t="str">
        <f t="shared" ref="BN60:BZ60" si="164">IF(BN$2="-","",(IF(BN221="","",IF(BN$4&lt;$A60,BN221,(BN221-BN$3)/(1+BN$3%)))))</f>
        <v/>
      </c>
      <c r="BO60" s="303" t="str">
        <f t="shared" si="164"/>
        <v/>
      </c>
      <c r="BP60" s="303" t="str">
        <f t="shared" si="164"/>
        <v/>
      </c>
      <c r="BQ60" s="303" t="str">
        <f t="shared" si="164"/>
        <v/>
      </c>
      <c r="BR60" s="303" t="str">
        <f t="shared" si="164"/>
        <v/>
      </c>
      <c r="BS60" s="303" t="str">
        <f t="shared" si="164"/>
        <v/>
      </c>
      <c r="BT60" s="303" t="str">
        <f t="shared" si="164"/>
        <v/>
      </c>
      <c r="BU60" s="303" t="str">
        <f t="shared" si="164"/>
        <v/>
      </c>
      <c r="BV60" s="303" t="str">
        <f t="shared" si="164"/>
        <v/>
      </c>
      <c r="BW60" s="303" t="str">
        <f t="shared" si="164"/>
        <v/>
      </c>
      <c r="BX60" s="303">
        <f t="shared" si="164"/>
        <v>5.1685393258426915</v>
      </c>
      <c r="BY60" s="303">
        <f t="shared" si="164"/>
        <v>6.2440532157792106</v>
      </c>
      <c r="BZ60" s="303">
        <f t="shared" si="164"/>
        <v>4.96</v>
      </c>
      <c r="CA60" s="303">
        <f t="shared" si="10"/>
        <v>2.9761904761904656</v>
      </c>
    </row>
    <row r="61" spans="1:79">
      <c r="A61" s="58">
        <f t="shared" si="104"/>
        <v>1924</v>
      </c>
      <c r="B61" s="303">
        <f t="shared" ref="B61:AG61" si="165">IF(B$2="-","",(IF(B222="","",IF(B$4&lt;$A61,B222,(B222-B$3)/(1+B$3%)))))</f>
        <v>25.833647917453124</v>
      </c>
      <c r="C61" s="303" t="str">
        <f t="shared" si="165"/>
        <v/>
      </c>
      <c r="D61" s="303">
        <f t="shared" si="165"/>
        <v>25.833647917453124</v>
      </c>
      <c r="E61" s="303" t="str">
        <f t="shared" si="165"/>
        <v/>
      </c>
      <c r="F61" s="303" t="str">
        <f t="shared" si="165"/>
        <v/>
      </c>
      <c r="G61" s="303" t="str">
        <f t="shared" si="165"/>
        <v/>
      </c>
      <c r="H61" s="303" t="str">
        <f t="shared" si="165"/>
        <v/>
      </c>
      <c r="I61" s="303" t="str">
        <f t="shared" si="165"/>
        <v/>
      </c>
      <c r="J61" s="303" t="str">
        <f t="shared" si="165"/>
        <v/>
      </c>
      <c r="K61" s="303" t="str">
        <f t="shared" si="165"/>
        <v/>
      </c>
      <c r="L61" s="303" t="str">
        <f t="shared" si="165"/>
        <v/>
      </c>
      <c r="M61" s="303" t="str">
        <f t="shared" si="165"/>
        <v/>
      </c>
      <c r="N61" s="303" t="str">
        <f t="shared" si="165"/>
        <v/>
      </c>
      <c r="O61" s="303" t="str">
        <f t="shared" si="165"/>
        <v/>
      </c>
      <c r="P61" s="303" t="str">
        <f t="shared" si="165"/>
        <v/>
      </c>
      <c r="Q61" s="303" t="str">
        <f t="shared" si="165"/>
        <v/>
      </c>
      <c r="R61" s="303" t="str">
        <f t="shared" si="165"/>
        <v/>
      </c>
      <c r="S61" s="303" t="str">
        <f t="shared" si="165"/>
        <v/>
      </c>
      <c r="T61" s="303">
        <f t="shared" si="165"/>
        <v>5.2229546182131568</v>
      </c>
      <c r="U61" s="303">
        <f t="shared" si="165"/>
        <v>5.2229546182131568</v>
      </c>
      <c r="V61" s="303">
        <f t="shared" si="165"/>
        <v>4.2461784394045363</v>
      </c>
      <c r="W61" s="303" t="str">
        <f t="shared" si="165"/>
        <v/>
      </c>
      <c r="X61" s="303" t="str">
        <f t="shared" si="165"/>
        <v/>
      </c>
      <c r="Y61" s="303" t="str">
        <f t="shared" si="165"/>
        <v/>
      </c>
      <c r="Z61" s="303" t="str">
        <f t="shared" si="165"/>
        <v/>
      </c>
      <c r="AA61" s="303" t="str">
        <f t="shared" si="165"/>
        <v/>
      </c>
      <c r="AB61" s="303" t="str">
        <f t="shared" si="165"/>
        <v/>
      </c>
      <c r="AC61" s="303" t="str">
        <f t="shared" si="165"/>
        <v/>
      </c>
      <c r="AD61" s="303" t="str">
        <f t="shared" si="165"/>
        <v/>
      </c>
      <c r="AE61" s="303" t="str">
        <f t="shared" si="165"/>
        <v/>
      </c>
      <c r="AF61" s="303" t="str">
        <f t="shared" si="165"/>
        <v/>
      </c>
      <c r="AG61" s="303" t="str">
        <f t="shared" si="165"/>
        <v/>
      </c>
      <c r="AH61" s="303" t="str">
        <f t="shared" ref="AH61:BM61" si="166">IF(AH$2="-","",(IF(AH222="","",IF(AH$4&lt;$A61,AH222,(AH222-AH$3)/(1+AH$3%)))))</f>
        <v/>
      </c>
      <c r="AI61" s="303" t="str">
        <f t="shared" si="166"/>
        <v/>
      </c>
      <c r="AJ61" s="303" t="str">
        <f t="shared" si="166"/>
        <v/>
      </c>
      <c r="AK61" s="303" t="str">
        <f t="shared" si="166"/>
        <v/>
      </c>
      <c r="AL61" s="303" t="str">
        <f t="shared" si="166"/>
        <v/>
      </c>
      <c r="AM61" s="303" t="str">
        <f t="shared" si="166"/>
        <v/>
      </c>
      <c r="AN61" s="303" t="str">
        <f t="shared" si="166"/>
        <v/>
      </c>
      <c r="AO61" s="303" t="str">
        <f t="shared" si="166"/>
        <v/>
      </c>
      <c r="AP61" s="303" t="str">
        <f t="shared" si="166"/>
        <v/>
      </c>
      <c r="AQ61" s="303" t="str">
        <f t="shared" si="166"/>
        <v/>
      </c>
      <c r="AR61" s="303" t="str">
        <f t="shared" si="166"/>
        <v/>
      </c>
      <c r="AS61" s="303" t="str">
        <f t="shared" si="166"/>
        <v/>
      </c>
      <c r="AT61" s="303" t="str">
        <f t="shared" si="166"/>
        <v/>
      </c>
      <c r="AU61" s="303" t="str">
        <f t="shared" si="166"/>
        <v/>
      </c>
      <c r="AV61" s="303" t="str">
        <f t="shared" si="166"/>
        <v/>
      </c>
      <c r="AW61" s="303" t="str">
        <f t="shared" si="166"/>
        <v/>
      </c>
      <c r="AX61" s="303" t="str">
        <f t="shared" si="166"/>
        <v/>
      </c>
      <c r="AY61" s="303" t="str">
        <f t="shared" si="166"/>
        <v/>
      </c>
      <c r="AZ61" s="303" t="str">
        <f t="shared" si="166"/>
        <v/>
      </c>
      <c r="BA61" s="303" t="str">
        <f t="shared" si="166"/>
        <v/>
      </c>
      <c r="BB61" s="303" t="str">
        <f t="shared" si="166"/>
        <v/>
      </c>
      <c r="BC61" s="303" t="str">
        <f t="shared" si="166"/>
        <v/>
      </c>
      <c r="BD61" s="303" t="str">
        <f t="shared" si="166"/>
        <v/>
      </c>
      <c r="BE61" s="303" t="str">
        <f t="shared" si="166"/>
        <v/>
      </c>
      <c r="BF61" s="303" t="str">
        <f t="shared" si="166"/>
        <v/>
      </c>
      <c r="BG61" s="303" t="str">
        <f t="shared" si="166"/>
        <v/>
      </c>
      <c r="BH61" s="303" t="str">
        <f t="shared" si="166"/>
        <v/>
      </c>
      <c r="BI61" s="303" t="str">
        <f t="shared" si="166"/>
        <v/>
      </c>
      <c r="BJ61" s="303" t="str">
        <f t="shared" si="166"/>
        <v/>
      </c>
      <c r="BK61" s="303" t="str">
        <f t="shared" si="166"/>
        <v/>
      </c>
      <c r="BL61" s="303" t="str">
        <f t="shared" si="166"/>
        <v/>
      </c>
      <c r="BM61" s="303" t="str">
        <f t="shared" si="166"/>
        <v/>
      </c>
      <c r="BN61" s="303" t="str">
        <f t="shared" ref="BN61:BZ61" si="167">IF(BN$2="-","",(IF(BN222="","",IF(BN$4&lt;$A61,BN222,(BN222-BN$3)/(1+BN$3%)))))</f>
        <v/>
      </c>
      <c r="BO61" s="303" t="str">
        <f t="shared" si="167"/>
        <v/>
      </c>
      <c r="BP61" s="303" t="str">
        <f t="shared" si="167"/>
        <v/>
      </c>
      <c r="BQ61" s="303" t="str">
        <f t="shared" si="167"/>
        <v/>
      </c>
      <c r="BR61" s="303" t="str">
        <f t="shared" si="167"/>
        <v/>
      </c>
      <c r="BS61" s="303" t="str">
        <f t="shared" si="167"/>
        <v/>
      </c>
      <c r="BT61" s="303" t="str">
        <f t="shared" si="167"/>
        <v/>
      </c>
      <c r="BU61" s="303" t="str">
        <f t="shared" si="167"/>
        <v/>
      </c>
      <c r="BV61" s="303" t="str">
        <f t="shared" si="167"/>
        <v/>
      </c>
      <c r="BW61" s="303" t="str">
        <f t="shared" si="167"/>
        <v/>
      </c>
      <c r="BX61" s="303">
        <f t="shared" si="167"/>
        <v>26.047565118912797</v>
      </c>
      <c r="BY61" s="303">
        <f t="shared" si="167"/>
        <v>5.4334005274495834</v>
      </c>
      <c r="BZ61" s="303">
        <f t="shared" si="167"/>
        <v>4.34</v>
      </c>
      <c r="CA61" s="303">
        <f t="shared" si="10"/>
        <v>0</v>
      </c>
    </row>
    <row r="62" spans="1:79">
      <c r="A62" s="58">
        <f t="shared" si="104"/>
        <v>1925</v>
      </c>
      <c r="B62" s="303">
        <f t="shared" ref="B62:AG62" si="168">IF(B$2="-","",(IF(B223="","",IF(B$4&lt;$A62,B223,(B223-B$3)/(1+B$3%)))))</f>
        <v>25.023754513357542</v>
      </c>
      <c r="C62" s="303" t="str">
        <f t="shared" si="168"/>
        <v/>
      </c>
      <c r="D62" s="303">
        <f t="shared" si="168"/>
        <v>25.023754513357542</v>
      </c>
      <c r="E62" s="303" t="str">
        <f t="shared" si="168"/>
        <v/>
      </c>
      <c r="F62" s="303" t="str">
        <f t="shared" si="168"/>
        <v/>
      </c>
      <c r="G62" s="303" t="str">
        <f t="shared" si="168"/>
        <v/>
      </c>
      <c r="H62" s="303" t="str">
        <f t="shared" si="168"/>
        <v/>
      </c>
      <c r="I62" s="303" t="str">
        <f t="shared" si="168"/>
        <v/>
      </c>
      <c r="J62" s="303" t="str">
        <f t="shared" si="168"/>
        <v/>
      </c>
      <c r="K62" s="303" t="str">
        <f t="shared" si="168"/>
        <v/>
      </c>
      <c r="L62" s="303" t="str">
        <f t="shared" si="168"/>
        <v/>
      </c>
      <c r="M62" s="303" t="str">
        <f t="shared" si="168"/>
        <v/>
      </c>
      <c r="N62" s="303" t="str">
        <f t="shared" si="168"/>
        <v/>
      </c>
      <c r="O62" s="303" t="str">
        <f t="shared" si="168"/>
        <v/>
      </c>
      <c r="P62" s="303" t="str">
        <f t="shared" si="168"/>
        <v/>
      </c>
      <c r="Q62" s="303" t="str">
        <f t="shared" si="168"/>
        <v/>
      </c>
      <c r="R62" s="303" t="str">
        <f t="shared" si="168"/>
        <v/>
      </c>
      <c r="S62" s="303" t="str">
        <f t="shared" si="168"/>
        <v/>
      </c>
      <c r="T62" s="303">
        <f t="shared" si="168"/>
        <v>3.4172833346392202</v>
      </c>
      <c r="U62" s="303">
        <f t="shared" si="168"/>
        <v>3.4172833346392202</v>
      </c>
      <c r="V62" s="303">
        <f t="shared" si="168"/>
        <v>3.7766010590468584</v>
      </c>
      <c r="W62" s="303" t="str">
        <f t="shared" si="168"/>
        <v/>
      </c>
      <c r="X62" s="303" t="str">
        <f t="shared" si="168"/>
        <v/>
      </c>
      <c r="Y62" s="303" t="str">
        <f t="shared" si="168"/>
        <v/>
      </c>
      <c r="Z62" s="303" t="str">
        <f t="shared" si="168"/>
        <v/>
      </c>
      <c r="AA62" s="303" t="str">
        <f t="shared" si="168"/>
        <v/>
      </c>
      <c r="AB62" s="303" t="str">
        <f t="shared" si="168"/>
        <v/>
      </c>
      <c r="AC62" s="303" t="str">
        <f t="shared" si="168"/>
        <v/>
      </c>
      <c r="AD62" s="303" t="str">
        <f t="shared" si="168"/>
        <v/>
      </c>
      <c r="AE62" s="303" t="str">
        <f t="shared" si="168"/>
        <v/>
      </c>
      <c r="AF62" s="303" t="str">
        <f t="shared" si="168"/>
        <v/>
      </c>
      <c r="AG62" s="303" t="str">
        <f t="shared" si="168"/>
        <v/>
      </c>
      <c r="AH62" s="303" t="str">
        <f t="shared" ref="AH62:BM62" si="169">IF(AH$2="-","",(IF(AH223="","",IF(AH$4&lt;$A62,AH223,(AH223-AH$3)/(1+AH$3%)))))</f>
        <v/>
      </c>
      <c r="AI62" s="303" t="str">
        <f t="shared" si="169"/>
        <v/>
      </c>
      <c r="AJ62" s="303" t="str">
        <f t="shared" si="169"/>
        <v/>
      </c>
      <c r="AK62" s="303" t="str">
        <f t="shared" si="169"/>
        <v/>
      </c>
      <c r="AL62" s="303" t="str">
        <f t="shared" si="169"/>
        <v/>
      </c>
      <c r="AM62" s="303" t="str">
        <f t="shared" si="169"/>
        <v/>
      </c>
      <c r="AN62" s="303" t="str">
        <f t="shared" si="169"/>
        <v/>
      </c>
      <c r="AO62" s="303" t="str">
        <f t="shared" si="169"/>
        <v/>
      </c>
      <c r="AP62" s="303" t="str">
        <f t="shared" si="169"/>
        <v/>
      </c>
      <c r="AQ62" s="303" t="str">
        <f t="shared" si="169"/>
        <v/>
      </c>
      <c r="AR62" s="303" t="str">
        <f t="shared" si="169"/>
        <v/>
      </c>
      <c r="AS62" s="303" t="str">
        <f t="shared" si="169"/>
        <v/>
      </c>
      <c r="AT62" s="303" t="str">
        <f t="shared" si="169"/>
        <v/>
      </c>
      <c r="AU62" s="303" t="str">
        <f t="shared" si="169"/>
        <v/>
      </c>
      <c r="AV62" s="303" t="str">
        <f t="shared" si="169"/>
        <v/>
      </c>
      <c r="AW62" s="303" t="str">
        <f t="shared" si="169"/>
        <v/>
      </c>
      <c r="AX62" s="303" t="str">
        <f t="shared" si="169"/>
        <v/>
      </c>
      <c r="AY62" s="303" t="str">
        <f t="shared" si="169"/>
        <v/>
      </c>
      <c r="AZ62" s="303" t="str">
        <f t="shared" si="169"/>
        <v/>
      </c>
      <c r="BA62" s="303" t="str">
        <f t="shared" si="169"/>
        <v/>
      </c>
      <c r="BB62" s="303" t="str">
        <f t="shared" si="169"/>
        <v/>
      </c>
      <c r="BC62" s="303" t="str">
        <f t="shared" si="169"/>
        <v/>
      </c>
      <c r="BD62" s="303" t="str">
        <f t="shared" si="169"/>
        <v/>
      </c>
      <c r="BE62" s="303" t="str">
        <f t="shared" si="169"/>
        <v/>
      </c>
      <c r="BF62" s="303" t="str">
        <f t="shared" si="169"/>
        <v/>
      </c>
      <c r="BG62" s="303" t="str">
        <f t="shared" si="169"/>
        <v/>
      </c>
      <c r="BH62" s="303" t="str">
        <f t="shared" si="169"/>
        <v/>
      </c>
      <c r="BI62" s="303" t="str">
        <f t="shared" si="169"/>
        <v/>
      </c>
      <c r="BJ62" s="303" t="str">
        <f t="shared" si="169"/>
        <v/>
      </c>
      <c r="BK62" s="303" t="str">
        <f t="shared" si="169"/>
        <v/>
      </c>
      <c r="BL62" s="303" t="str">
        <f t="shared" si="169"/>
        <v/>
      </c>
      <c r="BM62" s="303" t="str">
        <f t="shared" si="169"/>
        <v/>
      </c>
      <c r="BN62" s="303" t="str">
        <f t="shared" ref="BN62:BZ62" si="170">IF(BN$2="-","",(IF(BN223="","",IF(BN$4&lt;$A62,BN223,(BN223-BN$3)/(1+BN$3%)))))</f>
        <v/>
      </c>
      <c r="BO62" s="303" t="str">
        <f t="shared" si="170"/>
        <v/>
      </c>
      <c r="BP62" s="303" t="str">
        <f t="shared" si="170"/>
        <v/>
      </c>
      <c r="BQ62" s="303" t="str">
        <f t="shared" si="170"/>
        <v/>
      </c>
      <c r="BR62" s="303" t="str">
        <f t="shared" si="170"/>
        <v/>
      </c>
      <c r="BS62" s="303" t="str">
        <f t="shared" si="170"/>
        <v/>
      </c>
      <c r="BT62" s="303" t="str">
        <f t="shared" si="170"/>
        <v/>
      </c>
      <c r="BU62" s="303" t="str">
        <f t="shared" si="170"/>
        <v/>
      </c>
      <c r="BV62" s="303" t="str">
        <f t="shared" si="170"/>
        <v/>
      </c>
      <c r="BW62" s="303" t="str">
        <f t="shared" si="170"/>
        <v/>
      </c>
      <c r="BX62" s="303">
        <f t="shared" si="170"/>
        <v>25.236294896030252</v>
      </c>
      <c r="BY62" s="303">
        <f t="shared" si="170"/>
        <v>3.624117901308499</v>
      </c>
      <c r="BZ62" s="303">
        <f t="shared" si="170"/>
        <v>3.87</v>
      </c>
      <c r="CA62" s="303">
        <f t="shared" si="10"/>
        <v>3.4682080924855363</v>
      </c>
    </row>
    <row r="63" spans="1:79">
      <c r="A63" s="58">
        <f t="shared" si="104"/>
        <v>1926</v>
      </c>
      <c r="B63" s="303">
        <f t="shared" ref="B63:AG63" si="171">IF(B$2="-","",(IF(B224="","",IF(B$4&lt;$A63,B224,(B224-B$3)/(1+B$3%)))))</f>
        <v>11.194368782555822</v>
      </c>
      <c r="C63" s="303" t="str">
        <f t="shared" si="171"/>
        <v/>
      </c>
      <c r="D63" s="303">
        <f t="shared" si="171"/>
        <v>11.194368782555822</v>
      </c>
      <c r="E63" s="303" t="str">
        <f t="shared" si="171"/>
        <v/>
      </c>
      <c r="F63" s="303" t="str">
        <f t="shared" si="171"/>
        <v/>
      </c>
      <c r="G63" s="303" t="str">
        <f t="shared" si="171"/>
        <v/>
      </c>
      <c r="H63" s="303" t="str">
        <f t="shared" si="171"/>
        <v/>
      </c>
      <c r="I63" s="303" t="str">
        <f t="shared" si="171"/>
        <v/>
      </c>
      <c r="J63" s="303" t="str">
        <f t="shared" si="171"/>
        <v/>
      </c>
      <c r="K63" s="303" t="str">
        <f t="shared" si="171"/>
        <v/>
      </c>
      <c r="L63" s="303" t="str">
        <f t="shared" si="171"/>
        <v/>
      </c>
      <c r="M63" s="303" t="str">
        <f t="shared" si="171"/>
        <v/>
      </c>
      <c r="N63" s="303" t="str">
        <f t="shared" si="171"/>
        <v/>
      </c>
      <c r="O63" s="303" t="str">
        <f t="shared" si="171"/>
        <v/>
      </c>
      <c r="P63" s="303" t="str">
        <f t="shared" si="171"/>
        <v/>
      </c>
      <c r="Q63" s="303" t="str">
        <f t="shared" si="171"/>
        <v/>
      </c>
      <c r="R63" s="303" t="str">
        <f t="shared" si="171"/>
        <v/>
      </c>
      <c r="S63" s="303" t="str">
        <f t="shared" si="171"/>
        <v/>
      </c>
      <c r="T63" s="303">
        <f t="shared" si="171"/>
        <v>4.3996766920639896</v>
      </c>
      <c r="U63" s="303">
        <f t="shared" si="171"/>
        <v>4.3996766920639896</v>
      </c>
      <c r="V63" s="303">
        <f t="shared" si="171"/>
        <v>4.1862323908482377</v>
      </c>
      <c r="W63" s="303" t="str">
        <f t="shared" si="171"/>
        <v/>
      </c>
      <c r="X63" s="303" t="str">
        <f t="shared" si="171"/>
        <v/>
      </c>
      <c r="Y63" s="303" t="str">
        <f t="shared" si="171"/>
        <v/>
      </c>
      <c r="Z63" s="303" t="str">
        <f t="shared" si="171"/>
        <v/>
      </c>
      <c r="AA63" s="303" t="str">
        <f t="shared" si="171"/>
        <v/>
      </c>
      <c r="AB63" s="303" t="str">
        <f t="shared" si="171"/>
        <v/>
      </c>
      <c r="AC63" s="303" t="str">
        <f t="shared" si="171"/>
        <v/>
      </c>
      <c r="AD63" s="303" t="str">
        <f t="shared" si="171"/>
        <v/>
      </c>
      <c r="AE63" s="303" t="str">
        <f t="shared" si="171"/>
        <v/>
      </c>
      <c r="AF63" s="303" t="str">
        <f t="shared" si="171"/>
        <v/>
      </c>
      <c r="AG63" s="303" t="str">
        <f t="shared" si="171"/>
        <v/>
      </c>
      <c r="AH63" s="303" t="str">
        <f t="shared" ref="AH63:BM63" si="172">IF(AH$2="-","",(IF(AH224="","",IF(AH$4&lt;$A63,AH224,(AH224-AH$3)/(1+AH$3%)))))</f>
        <v/>
      </c>
      <c r="AI63" s="303" t="str">
        <f t="shared" si="172"/>
        <v/>
      </c>
      <c r="AJ63" s="303" t="str">
        <f t="shared" si="172"/>
        <v/>
      </c>
      <c r="AK63" s="303" t="str">
        <f t="shared" si="172"/>
        <v/>
      </c>
      <c r="AL63" s="303" t="str">
        <f t="shared" si="172"/>
        <v/>
      </c>
      <c r="AM63" s="303" t="str">
        <f t="shared" si="172"/>
        <v/>
      </c>
      <c r="AN63" s="303" t="str">
        <f t="shared" si="172"/>
        <v/>
      </c>
      <c r="AO63" s="303" t="str">
        <f t="shared" si="172"/>
        <v/>
      </c>
      <c r="AP63" s="303" t="str">
        <f t="shared" si="172"/>
        <v/>
      </c>
      <c r="AQ63" s="303" t="str">
        <f t="shared" si="172"/>
        <v/>
      </c>
      <c r="AR63" s="303" t="str">
        <f t="shared" si="172"/>
        <v/>
      </c>
      <c r="AS63" s="303" t="str">
        <f t="shared" si="172"/>
        <v/>
      </c>
      <c r="AT63" s="303" t="str">
        <f t="shared" si="172"/>
        <v/>
      </c>
      <c r="AU63" s="303" t="str">
        <f t="shared" si="172"/>
        <v/>
      </c>
      <c r="AV63" s="303" t="str">
        <f t="shared" si="172"/>
        <v/>
      </c>
      <c r="AW63" s="303" t="str">
        <f t="shared" si="172"/>
        <v/>
      </c>
      <c r="AX63" s="303" t="str">
        <f t="shared" si="172"/>
        <v/>
      </c>
      <c r="AY63" s="303" t="str">
        <f t="shared" si="172"/>
        <v/>
      </c>
      <c r="AZ63" s="303" t="str">
        <f t="shared" si="172"/>
        <v/>
      </c>
      <c r="BA63" s="303" t="str">
        <f t="shared" si="172"/>
        <v/>
      </c>
      <c r="BB63" s="303" t="str">
        <f t="shared" si="172"/>
        <v/>
      </c>
      <c r="BC63" s="303" t="str">
        <f t="shared" si="172"/>
        <v/>
      </c>
      <c r="BD63" s="303" t="str">
        <f t="shared" si="172"/>
        <v/>
      </c>
      <c r="BE63" s="303" t="str">
        <f t="shared" si="172"/>
        <v/>
      </c>
      <c r="BF63" s="303" t="str">
        <f t="shared" si="172"/>
        <v/>
      </c>
      <c r="BG63" s="303" t="str">
        <f t="shared" si="172"/>
        <v/>
      </c>
      <c r="BH63" s="303" t="str">
        <f t="shared" si="172"/>
        <v/>
      </c>
      <c r="BI63" s="303" t="str">
        <f t="shared" si="172"/>
        <v/>
      </c>
      <c r="BJ63" s="303" t="str">
        <f t="shared" si="172"/>
        <v/>
      </c>
      <c r="BK63" s="303" t="str">
        <f t="shared" si="172"/>
        <v/>
      </c>
      <c r="BL63" s="303" t="str">
        <f t="shared" si="172"/>
        <v/>
      </c>
      <c r="BM63" s="303" t="str">
        <f t="shared" si="172"/>
        <v/>
      </c>
      <c r="BN63" s="303" t="str">
        <f t="shared" ref="BN63:BZ63" si="173">IF(BN$2="-","",(IF(BN224="","",IF(BN$4&lt;$A63,BN224,(BN224-BN$3)/(1+BN$3%)))))</f>
        <v/>
      </c>
      <c r="BO63" s="303" t="str">
        <f t="shared" si="173"/>
        <v/>
      </c>
      <c r="BP63" s="303" t="str">
        <f t="shared" si="173"/>
        <v/>
      </c>
      <c r="BQ63" s="303" t="str">
        <f t="shared" si="173"/>
        <v/>
      </c>
      <c r="BR63" s="303" t="str">
        <f t="shared" si="173"/>
        <v/>
      </c>
      <c r="BS63" s="303" t="str">
        <f t="shared" si="173"/>
        <v/>
      </c>
      <c r="BT63" s="303" t="str">
        <f t="shared" si="173"/>
        <v/>
      </c>
      <c r="BU63" s="303" t="str">
        <f t="shared" si="173"/>
        <v/>
      </c>
      <c r="BV63" s="303" t="str">
        <f t="shared" si="173"/>
        <v/>
      </c>
      <c r="BW63" s="303" t="str">
        <f t="shared" si="173"/>
        <v/>
      </c>
      <c r="BX63" s="303">
        <f t="shared" si="173"/>
        <v>11.383399209486168</v>
      </c>
      <c r="BY63" s="303">
        <f t="shared" si="173"/>
        <v>4.6084760454481177</v>
      </c>
      <c r="BZ63" s="303">
        <f t="shared" si="173"/>
        <v>4.28</v>
      </c>
      <c r="CA63" s="303">
        <f t="shared" si="10"/>
        <v>-2.2346368715083775</v>
      </c>
    </row>
    <row r="64" spans="1:79">
      <c r="A64" s="58">
        <f t="shared" si="104"/>
        <v>1927</v>
      </c>
      <c r="B64" s="303">
        <f t="shared" ref="B64:AG64" si="174">IF(B$2="-","",(IF(B225="","",IF(B$4&lt;$A64,B225,(B225-B$3)/(1+B$3%)))))</f>
        <v>36.335394009288684</v>
      </c>
      <c r="C64" s="303" t="str">
        <f t="shared" si="174"/>
        <v/>
      </c>
      <c r="D64" s="303">
        <f t="shared" si="174"/>
        <v>36.335394009288684</v>
      </c>
      <c r="E64" s="303" t="str">
        <f t="shared" si="174"/>
        <v/>
      </c>
      <c r="F64" s="303" t="str">
        <f t="shared" si="174"/>
        <v/>
      </c>
      <c r="G64" s="303" t="str">
        <f t="shared" si="174"/>
        <v/>
      </c>
      <c r="H64" s="303" t="str">
        <f t="shared" si="174"/>
        <v/>
      </c>
      <c r="I64" s="303" t="str">
        <f t="shared" si="174"/>
        <v/>
      </c>
      <c r="J64" s="303" t="str">
        <f t="shared" si="174"/>
        <v/>
      </c>
      <c r="K64" s="303" t="str">
        <f t="shared" si="174"/>
        <v/>
      </c>
      <c r="L64" s="303" t="str">
        <f t="shared" si="174"/>
        <v/>
      </c>
      <c r="M64" s="303" t="str">
        <f t="shared" si="174"/>
        <v/>
      </c>
      <c r="N64" s="303" t="str">
        <f t="shared" si="174"/>
        <v/>
      </c>
      <c r="O64" s="303" t="str">
        <f t="shared" si="174"/>
        <v/>
      </c>
      <c r="P64" s="303" t="str">
        <f t="shared" si="174"/>
        <v/>
      </c>
      <c r="Q64" s="303" t="str">
        <f t="shared" si="174"/>
        <v/>
      </c>
      <c r="R64" s="303" t="str">
        <f t="shared" si="174"/>
        <v/>
      </c>
      <c r="S64" s="303" t="str">
        <f t="shared" si="174"/>
        <v/>
      </c>
      <c r="T64" s="303">
        <f t="shared" si="174"/>
        <v>2.3912064287944301</v>
      </c>
      <c r="U64" s="303">
        <f t="shared" si="174"/>
        <v>2.3912064287944301</v>
      </c>
      <c r="V64" s="303">
        <f t="shared" si="174"/>
        <v>4.1662503746628037</v>
      </c>
      <c r="W64" s="303" t="str">
        <f t="shared" si="174"/>
        <v/>
      </c>
      <c r="X64" s="303" t="str">
        <f t="shared" si="174"/>
        <v/>
      </c>
      <c r="Y64" s="303" t="str">
        <f t="shared" si="174"/>
        <v/>
      </c>
      <c r="Z64" s="303" t="str">
        <f t="shared" si="174"/>
        <v/>
      </c>
      <c r="AA64" s="303" t="str">
        <f t="shared" si="174"/>
        <v/>
      </c>
      <c r="AB64" s="303" t="str">
        <f t="shared" si="174"/>
        <v/>
      </c>
      <c r="AC64" s="303" t="str">
        <f t="shared" si="174"/>
        <v/>
      </c>
      <c r="AD64" s="303" t="str">
        <f t="shared" si="174"/>
        <v/>
      </c>
      <c r="AE64" s="303" t="str">
        <f t="shared" si="174"/>
        <v/>
      </c>
      <c r="AF64" s="303" t="str">
        <f t="shared" si="174"/>
        <v/>
      </c>
      <c r="AG64" s="303" t="str">
        <f t="shared" si="174"/>
        <v/>
      </c>
      <c r="AH64" s="303" t="str">
        <f t="shared" ref="AH64:BM64" si="175">IF(AH$2="-","",(IF(AH225="","",IF(AH$4&lt;$A64,AH225,(AH225-AH$3)/(1+AH$3%)))))</f>
        <v/>
      </c>
      <c r="AI64" s="303" t="str">
        <f t="shared" si="175"/>
        <v/>
      </c>
      <c r="AJ64" s="303" t="str">
        <f t="shared" si="175"/>
        <v/>
      </c>
      <c r="AK64" s="303" t="str">
        <f t="shared" si="175"/>
        <v/>
      </c>
      <c r="AL64" s="303" t="str">
        <f t="shared" si="175"/>
        <v/>
      </c>
      <c r="AM64" s="303" t="str">
        <f t="shared" si="175"/>
        <v/>
      </c>
      <c r="AN64" s="303" t="str">
        <f t="shared" si="175"/>
        <v/>
      </c>
      <c r="AO64" s="303" t="str">
        <f t="shared" si="175"/>
        <v/>
      </c>
      <c r="AP64" s="303" t="str">
        <f t="shared" si="175"/>
        <v/>
      </c>
      <c r="AQ64" s="303" t="str">
        <f t="shared" si="175"/>
        <v/>
      </c>
      <c r="AR64" s="303" t="str">
        <f t="shared" si="175"/>
        <v/>
      </c>
      <c r="AS64" s="303" t="str">
        <f t="shared" si="175"/>
        <v/>
      </c>
      <c r="AT64" s="303" t="str">
        <f t="shared" si="175"/>
        <v/>
      </c>
      <c r="AU64" s="303" t="str">
        <f t="shared" si="175"/>
        <v/>
      </c>
      <c r="AV64" s="303" t="str">
        <f t="shared" si="175"/>
        <v/>
      </c>
      <c r="AW64" s="303" t="str">
        <f t="shared" si="175"/>
        <v/>
      </c>
      <c r="AX64" s="303" t="str">
        <f t="shared" si="175"/>
        <v/>
      </c>
      <c r="AY64" s="303" t="str">
        <f t="shared" si="175"/>
        <v/>
      </c>
      <c r="AZ64" s="303" t="str">
        <f t="shared" si="175"/>
        <v/>
      </c>
      <c r="BA64" s="303" t="str">
        <f t="shared" si="175"/>
        <v/>
      </c>
      <c r="BB64" s="303" t="str">
        <f t="shared" si="175"/>
        <v/>
      </c>
      <c r="BC64" s="303" t="str">
        <f t="shared" si="175"/>
        <v/>
      </c>
      <c r="BD64" s="303" t="str">
        <f t="shared" si="175"/>
        <v/>
      </c>
      <c r="BE64" s="303" t="str">
        <f t="shared" si="175"/>
        <v/>
      </c>
      <c r="BF64" s="303" t="str">
        <f t="shared" si="175"/>
        <v/>
      </c>
      <c r="BG64" s="303" t="str">
        <f t="shared" si="175"/>
        <v/>
      </c>
      <c r="BH64" s="303" t="str">
        <f t="shared" si="175"/>
        <v/>
      </c>
      <c r="BI64" s="303" t="str">
        <f t="shared" si="175"/>
        <v/>
      </c>
      <c r="BJ64" s="303" t="str">
        <f t="shared" si="175"/>
        <v/>
      </c>
      <c r="BK64" s="303" t="str">
        <f t="shared" si="175"/>
        <v/>
      </c>
      <c r="BL64" s="303" t="str">
        <f t="shared" si="175"/>
        <v/>
      </c>
      <c r="BM64" s="303" t="str">
        <f t="shared" si="175"/>
        <v/>
      </c>
      <c r="BN64" s="303" t="str">
        <f t="shared" ref="BN64:BZ64" si="176">IF(BN$2="-","",(IF(BN225="","",IF(BN$4&lt;$A64,BN225,(BN225-BN$3)/(1+BN$3%)))))</f>
        <v/>
      </c>
      <c r="BO64" s="303" t="str">
        <f t="shared" si="176"/>
        <v/>
      </c>
      <c r="BP64" s="303" t="str">
        <f t="shared" si="176"/>
        <v/>
      </c>
      <c r="BQ64" s="303" t="str">
        <f t="shared" si="176"/>
        <v/>
      </c>
      <c r="BR64" s="303" t="str">
        <f t="shared" si="176"/>
        <v/>
      </c>
      <c r="BS64" s="303" t="str">
        <f t="shared" si="176"/>
        <v/>
      </c>
      <c r="BT64" s="303" t="str">
        <f t="shared" si="176"/>
        <v/>
      </c>
      <c r="BU64" s="303" t="str">
        <f t="shared" si="176"/>
        <v/>
      </c>
      <c r="BV64" s="303" t="str">
        <f t="shared" si="176"/>
        <v/>
      </c>
      <c r="BW64" s="303" t="str">
        <f t="shared" si="176"/>
        <v/>
      </c>
      <c r="BX64" s="303">
        <f t="shared" si="176"/>
        <v>36.567164179104481</v>
      </c>
      <c r="BY64" s="303">
        <f t="shared" si="176"/>
        <v>2.5959888416520194</v>
      </c>
      <c r="BZ64" s="303">
        <f t="shared" si="176"/>
        <v>4.26</v>
      </c>
      <c r="CA64" s="303">
        <f t="shared" si="10"/>
        <v>-1.1428571428571344</v>
      </c>
    </row>
    <row r="65" spans="1:79">
      <c r="A65" s="58">
        <f t="shared" si="104"/>
        <v>1928</v>
      </c>
      <c r="B65" s="303">
        <f t="shared" ref="B65:AG65" si="177">IF(B$2="-","",(IF(B226="","",IF(B$4&lt;$A65,B226,(B226-B$3)/(1+B$3%)))))</f>
        <v>46.413959930411494</v>
      </c>
      <c r="C65" s="303" t="str">
        <f t="shared" si="177"/>
        <v/>
      </c>
      <c r="D65" s="303">
        <f t="shared" si="177"/>
        <v>46.413959930411494</v>
      </c>
      <c r="E65" s="303" t="str">
        <f t="shared" si="177"/>
        <v/>
      </c>
      <c r="F65" s="303" t="str">
        <f t="shared" si="177"/>
        <v/>
      </c>
      <c r="G65" s="303" t="str">
        <f t="shared" si="177"/>
        <v/>
      </c>
      <c r="H65" s="303" t="str">
        <f t="shared" si="177"/>
        <v/>
      </c>
      <c r="I65" s="303" t="str">
        <f t="shared" si="177"/>
        <v/>
      </c>
      <c r="J65" s="303" t="str">
        <f t="shared" si="177"/>
        <v/>
      </c>
      <c r="K65" s="303" t="str">
        <f t="shared" si="177"/>
        <v/>
      </c>
      <c r="L65" s="303" t="str">
        <f t="shared" si="177"/>
        <v/>
      </c>
      <c r="M65" s="303" t="str">
        <f t="shared" si="177"/>
        <v/>
      </c>
      <c r="N65" s="303" t="str">
        <f t="shared" si="177"/>
        <v/>
      </c>
      <c r="O65" s="303" t="str">
        <f t="shared" si="177"/>
        <v/>
      </c>
      <c r="P65" s="303" t="str">
        <f t="shared" si="177"/>
        <v/>
      </c>
      <c r="Q65" s="303" t="str">
        <f t="shared" si="177"/>
        <v/>
      </c>
      <c r="R65" s="303" t="str">
        <f t="shared" si="177"/>
        <v/>
      </c>
      <c r="S65" s="303" t="str">
        <f t="shared" si="177"/>
        <v/>
      </c>
      <c r="T65" s="303">
        <f t="shared" si="177"/>
        <v>-0.14607388390509615</v>
      </c>
      <c r="U65" s="303">
        <f t="shared" si="177"/>
        <v>-0.14607388390509615</v>
      </c>
      <c r="V65" s="303">
        <f t="shared" si="177"/>
        <v>4.5459086821860328</v>
      </c>
      <c r="W65" s="303" t="str">
        <f t="shared" si="177"/>
        <v/>
      </c>
      <c r="X65" s="303" t="str">
        <f t="shared" si="177"/>
        <v/>
      </c>
      <c r="Y65" s="303" t="str">
        <f t="shared" si="177"/>
        <v/>
      </c>
      <c r="Z65" s="303" t="str">
        <f t="shared" si="177"/>
        <v/>
      </c>
      <c r="AA65" s="303" t="str">
        <f t="shared" si="177"/>
        <v/>
      </c>
      <c r="AB65" s="303" t="str">
        <f t="shared" si="177"/>
        <v/>
      </c>
      <c r="AC65" s="303" t="str">
        <f t="shared" si="177"/>
        <v/>
      </c>
      <c r="AD65" s="303" t="str">
        <f t="shared" si="177"/>
        <v/>
      </c>
      <c r="AE65" s="303" t="str">
        <f t="shared" si="177"/>
        <v/>
      </c>
      <c r="AF65" s="303" t="str">
        <f t="shared" si="177"/>
        <v/>
      </c>
      <c r="AG65" s="303" t="str">
        <f t="shared" si="177"/>
        <v/>
      </c>
      <c r="AH65" s="303" t="str">
        <f t="shared" ref="AH65:BM65" si="178">IF(AH$2="-","",(IF(AH226="","",IF(AH$4&lt;$A65,AH226,(AH226-AH$3)/(1+AH$3%)))))</f>
        <v/>
      </c>
      <c r="AI65" s="303" t="str">
        <f t="shared" si="178"/>
        <v/>
      </c>
      <c r="AJ65" s="303" t="str">
        <f t="shared" si="178"/>
        <v/>
      </c>
      <c r="AK65" s="303" t="str">
        <f t="shared" si="178"/>
        <v/>
      </c>
      <c r="AL65" s="303" t="str">
        <f t="shared" si="178"/>
        <v/>
      </c>
      <c r="AM65" s="303" t="str">
        <f t="shared" si="178"/>
        <v/>
      </c>
      <c r="AN65" s="303" t="str">
        <f t="shared" si="178"/>
        <v/>
      </c>
      <c r="AO65" s="303" t="str">
        <f t="shared" si="178"/>
        <v/>
      </c>
      <c r="AP65" s="303" t="str">
        <f t="shared" si="178"/>
        <v/>
      </c>
      <c r="AQ65" s="303" t="str">
        <f t="shared" si="178"/>
        <v/>
      </c>
      <c r="AR65" s="303" t="str">
        <f t="shared" si="178"/>
        <v/>
      </c>
      <c r="AS65" s="303" t="str">
        <f t="shared" si="178"/>
        <v/>
      </c>
      <c r="AT65" s="303" t="str">
        <f t="shared" si="178"/>
        <v/>
      </c>
      <c r="AU65" s="303" t="str">
        <f t="shared" si="178"/>
        <v/>
      </c>
      <c r="AV65" s="303" t="str">
        <f t="shared" si="178"/>
        <v/>
      </c>
      <c r="AW65" s="303" t="str">
        <f t="shared" si="178"/>
        <v/>
      </c>
      <c r="AX65" s="303" t="str">
        <f t="shared" si="178"/>
        <v/>
      </c>
      <c r="AY65" s="303" t="str">
        <f t="shared" si="178"/>
        <v/>
      </c>
      <c r="AZ65" s="303" t="str">
        <f t="shared" si="178"/>
        <v/>
      </c>
      <c r="BA65" s="303" t="str">
        <f t="shared" si="178"/>
        <v/>
      </c>
      <c r="BB65" s="303" t="str">
        <f t="shared" si="178"/>
        <v/>
      </c>
      <c r="BC65" s="303" t="str">
        <f t="shared" si="178"/>
        <v/>
      </c>
      <c r="BD65" s="303" t="str">
        <f t="shared" si="178"/>
        <v/>
      </c>
      <c r="BE65" s="303" t="str">
        <f t="shared" si="178"/>
        <v/>
      </c>
      <c r="BF65" s="303" t="str">
        <f t="shared" si="178"/>
        <v/>
      </c>
      <c r="BG65" s="303" t="str">
        <f t="shared" si="178"/>
        <v/>
      </c>
      <c r="BH65" s="303" t="str">
        <f t="shared" si="178"/>
        <v/>
      </c>
      <c r="BI65" s="303" t="str">
        <f t="shared" si="178"/>
        <v/>
      </c>
      <c r="BJ65" s="303" t="str">
        <f t="shared" si="178"/>
        <v/>
      </c>
      <c r="BK65" s="303" t="str">
        <f t="shared" si="178"/>
        <v/>
      </c>
      <c r="BL65" s="303" t="str">
        <f t="shared" si="178"/>
        <v/>
      </c>
      <c r="BM65" s="303" t="str">
        <f t="shared" si="178"/>
        <v/>
      </c>
      <c r="BN65" s="303" t="str">
        <f t="shared" ref="BN65:BZ65" si="179">IF(BN$2="-","",(IF(BN226="","",IF(BN$4&lt;$A65,BN226,(BN226-BN$3)/(1+BN$3%)))))</f>
        <v/>
      </c>
      <c r="BO65" s="303" t="str">
        <f t="shared" si="179"/>
        <v/>
      </c>
      <c r="BP65" s="303" t="str">
        <f t="shared" si="179"/>
        <v/>
      </c>
      <c r="BQ65" s="303" t="str">
        <f t="shared" si="179"/>
        <v/>
      </c>
      <c r="BR65" s="303" t="str">
        <f t="shared" si="179"/>
        <v/>
      </c>
      <c r="BS65" s="303" t="str">
        <f t="shared" si="179"/>
        <v/>
      </c>
      <c r="BT65" s="303" t="str">
        <f t="shared" si="179"/>
        <v/>
      </c>
      <c r="BU65" s="303" t="str">
        <f t="shared" si="179"/>
        <v/>
      </c>
      <c r="BV65" s="303" t="str">
        <f t="shared" si="179"/>
        <v/>
      </c>
      <c r="BW65" s="303" t="str">
        <f t="shared" si="179"/>
        <v/>
      </c>
      <c r="BX65" s="303">
        <f t="shared" si="179"/>
        <v>46.662863662293198</v>
      </c>
      <c r="BY65" s="303">
        <f t="shared" si="179"/>
        <v>5.3633968327093662E-2</v>
      </c>
      <c r="BZ65" s="303">
        <f t="shared" si="179"/>
        <v>4.6399999999999997</v>
      </c>
      <c r="CA65" s="303">
        <f t="shared" si="10"/>
        <v>-1.1560693641618491</v>
      </c>
    </row>
    <row r="66" spans="1:79">
      <c r="A66" s="58">
        <f t="shared" si="104"/>
        <v>1929</v>
      </c>
      <c r="B66" s="303">
        <f t="shared" ref="B66:AG66" si="180">IF(B$2="-","",(IF(B227="","",IF(B$4&lt;$A66,B227,(B227-B$3)/(1+B$3%)))))</f>
        <v>-8.9239363074727933</v>
      </c>
      <c r="C66" s="303" t="str">
        <f t="shared" si="180"/>
        <v/>
      </c>
      <c r="D66" s="303">
        <f t="shared" si="180"/>
        <v>-8.9239363074727933</v>
      </c>
      <c r="E66" s="303" t="str">
        <f t="shared" si="180"/>
        <v/>
      </c>
      <c r="F66" s="303" t="str">
        <f t="shared" si="180"/>
        <v/>
      </c>
      <c r="G66" s="303" t="str">
        <f t="shared" si="180"/>
        <v/>
      </c>
      <c r="H66" s="303" t="str">
        <f t="shared" si="180"/>
        <v/>
      </c>
      <c r="I66" s="303" t="str">
        <f t="shared" si="180"/>
        <v/>
      </c>
      <c r="J66" s="303" t="str">
        <f t="shared" si="180"/>
        <v/>
      </c>
      <c r="K66" s="303" t="str">
        <f t="shared" si="180"/>
        <v/>
      </c>
      <c r="L66" s="303" t="str">
        <f t="shared" si="180"/>
        <v/>
      </c>
      <c r="M66" s="303" t="str">
        <f t="shared" si="180"/>
        <v/>
      </c>
      <c r="N66" s="303" t="str">
        <f t="shared" si="180"/>
        <v/>
      </c>
      <c r="O66" s="303" t="str">
        <f t="shared" si="180"/>
        <v/>
      </c>
      <c r="P66" s="303" t="str">
        <f t="shared" si="180"/>
        <v/>
      </c>
      <c r="Q66" s="303" t="str">
        <f t="shared" si="180"/>
        <v/>
      </c>
      <c r="R66" s="303" t="str">
        <f t="shared" si="180"/>
        <v/>
      </c>
      <c r="S66" s="303" t="str">
        <f t="shared" si="180"/>
        <v/>
      </c>
      <c r="T66" s="303">
        <f t="shared" si="180"/>
        <v>7.4638291762452864</v>
      </c>
      <c r="U66" s="303">
        <f t="shared" si="180"/>
        <v>7.4638291762452864</v>
      </c>
      <c r="V66" s="303">
        <f t="shared" si="180"/>
        <v>5.9146767908882012</v>
      </c>
      <c r="W66" s="303" t="str">
        <f t="shared" si="180"/>
        <v/>
      </c>
      <c r="X66" s="303" t="str">
        <f t="shared" si="180"/>
        <v/>
      </c>
      <c r="Y66" s="303" t="str">
        <f t="shared" si="180"/>
        <v/>
      </c>
      <c r="Z66" s="303" t="str">
        <f t="shared" si="180"/>
        <v/>
      </c>
      <c r="AA66" s="303" t="str">
        <f t="shared" si="180"/>
        <v/>
      </c>
      <c r="AB66" s="303" t="str">
        <f t="shared" si="180"/>
        <v/>
      </c>
      <c r="AC66" s="303" t="str">
        <f t="shared" si="180"/>
        <v/>
      </c>
      <c r="AD66" s="303" t="str">
        <f t="shared" si="180"/>
        <v/>
      </c>
      <c r="AE66" s="303" t="str">
        <f t="shared" si="180"/>
        <v/>
      </c>
      <c r="AF66" s="303" t="str">
        <f t="shared" si="180"/>
        <v/>
      </c>
      <c r="AG66" s="303" t="str">
        <f t="shared" si="180"/>
        <v/>
      </c>
      <c r="AH66" s="303" t="str">
        <f t="shared" ref="AH66:BM66" si="181">IF(AH$2="-","",(IF(AH227="","",IF(AH$4&lt;$A66,AH227,(AH227-AH$3)/(1+AH$3%)))))</f>
        <v/>
      </c>
      <c r="AI66" s="303" t="str">
        <f t="shared" si="181"/>
        <v/>
      </c>
      <c r="AJ66" s="303" t="str">
        <f t="shared" si="181"/>
        <v/>
      </c>
      <c r="AK66" s="303" t="str">
        <f t="shared" si="181"/>
        <v/>
      </c>
      <c r="AL66" s="303" t="str">
        <f t="shared" si="181"/>
        <v/>
      </c>
      <c r="AM66" s="303" t="str">
        <f t="shared" si="181"/>
        <v/>
      </c>
      <c r="AN66" s="303" t="str">
        <f t="shared" si="181"/>
        <v/>
      </c>
      <c r="AO66" s="303" t="str">
        <f t="shared" si="181"/>
        <v/>
      </c>
      <c r="AP66" s="303" t="str">
        <f t="shared" si="181"/>
        <v/>
      </c>
      <c r="AQ66" s="303" t="str">
        <f t="shared" si="181"/>
        <v/>
      </c>
      <c r="AR66" s="303" t="str">
        <f t="shared" si="181"/>
        <v/>
      </c>
      <c r="AS66" s="303" t="str">
        <f t="shared" si="181"/>
        <v/>
      </c>
      <c r="AT66" s="303" t="str">
        <f t="shared" si="181"/>
        <v/>
      </c>
      <c r="AU66" s="303" t="str">
        <f t="shared" si="181"/>
        <v/>
      </c>
      <c r="AV66" s="303" t="str">
        <f t="shared" si="181"/>
        <v/>
      </c>
      <c r="AW66" s="303" t="str">
        <f t="shared" si="181"/>
        <v/>
      </c>
      <c r="AX66" s="303" t="str">
        <f t="shared" si="181"/>
        <v/>
      </c>
      <c r="AY66" s="303" t="str">
        <f t="shared" si="181"/>
        <v/>
      </c>
      <c r="AZ66" s="303" t="str">
        <f t="shared" si="181"/>
        <v/>
      </c>
      <c r="BA66" s="303" t="str">
        <f t="shared" si="181"/>
        <v/>
      </c>
      <c r="BB66" s="303" t="str">
        <f t="shared" si="181"/>
        <v/>
      </c>
      <c r="BC66" s="303" t="str">
        <f t="shared" si="181"/>
        <v/>
      </c>
      <c r="BD66" s="303" t="str">
        <f t="shared" si="181"/>
        <v/>
      </c>
      <c r="BE66" s="303" t="str">
        <f t="shared" si="181"/>
        <v/>
      </c>
      <c r="BF66" s="303" t="str">
        <f t="shared" si="181"/>
        <v/>
      </c>
      <c r="BG66" s="303" t="str">
        <f t="shared" si="181"/>
        <v/>
      </c>
      <c r="BH66" s="303" t="str">
        <f t="shared" si="181"/>
        <v/>
      </c>
      <c r="BI66" s="303" t="str">
        <f t="shared" si="181"/>
        <v/>
      </c>
      <c r="BJ66" s="303" t="str">
        <f t="shared" si="181"/>
        <v/>
      </c>
      <c r="BK66" s="303" t="str">
        <f t="shared" si="181"/>
        <v/>
      </c>
      <c r="BL66" s="303" t="str">
        <f t="shared" si="181"/>
        <v/>
      </c>
      <c r="BM66" s="303" t="str">
        <f t="shared" si="181"/>
        <v/>
      </c>
      <c r="BN66" s="303" t="str">
        <f t="shared" ref="BN66:BZ66" si="182">IF(BN$2="-","",(IF(BN227="","",IF(BN$4&lt;$A66,BN227,(BN227-BN$3)/(1+BN$3%)))))</f>
        <v/>
      </c>
      <c r="BO66" s="303" t="str">
        <f t="shared" si="182"/>
        <v/>
      </c>
      <c r="BP66" s="303" t="str">
        <f t="shared" si="182"/>
        <v/>
      </c>
      <c r="BQ66" s="303" t="str">
        <f t="shared" si="182"/>
        <v/>
      </c>
      <c r="BR66" s="303" t="str">
        <f t="shared" si="182"/>
        <v/>
      </c>
      <c r="BS66" s="303" t="str">
        <f t="shared" si="182"/>
        <v/>
      </c>
      <c r="BT66" s="303" t="str">
        <f t="shared" si="182"/>
        <v/>
      </c>
      <c r="BU66" s="303" t="str">
        <f t="shared" si="182"/>
        <v/>
      </c>
      <c r="BV66" s="303" t="str">
        <f t="shared" si="182"/>
        <v/>
      </c>
      <c r="BW66" s="303" t="str">
        <f t="shared" si="182"/>
        <v/>
      </c>
      <c r="BX66" s="303">
        <f t="shared" si="182"/>
        <v>-8.7691069991954969</v>
      </c>
      <c r="BY66" s="303">
        <f t="shared" si="182"/>
        <v>7.6787568345977775</v>
      </c>
      <c r="BZ66" s="303">
        <f t="shared" si="182"/>
        <v>6.01</v>
      </c>
      <c r="CA66" s="303">
        <f t="shared" si="10"/>
        <v>0</v>
      </c>
    </row>
    <row r="67" spans="1:79">
      <c r="A67" s="58">
        <f t="shared" si="104"/>
        <v>1930</v>
      </c>
      <c r="B67" s="303">
        <f t="shared" ref="B67:AG67" si="183">IF(B$2="-","",(IF(B228="","",IF(B$4&lt;$A67,B228,(B228-B$3)/(1+B$3%)))))</f>
        <v>-22.011898059802249</v>
      </c>
      <c r="C67" s="303" t="str">
        <f t="shared" si="183"/>
        <v/>
      </c>
      <c r="D67" s="303">
        <f t="shared" si="183"/>
        <v>-22.011898059802249</v>
      </c>
      <c r="E67" s="303" t="str">
        <f t="shared" si="183"/>
        <v/>
      </c>
      <c r="F67" s="303" t="str">
        <f t="shared" si="183"/>
        <v/>
      </c>
      <c r="G67" s="303" t="str">
        <f t="shared" si="183"/>
        <v/>
      </c>
      <c r="H67" s="303" t="str">
        <f t="shared" si="183"/>
        <v/>
      </c>
      <c r="I67" s="303" t="str">
        <f t="shared" si="183"/>
        <v/>
      </c>
      <c r="J67" s="303" t="str">
        <f t="shared" si="183"/>
        <v/>
      </c>
      <c r="K67" s="303" t="str">
        <f t="shared" si="183"/>
        <v/>
      </c>
      <c r="L67" s="303" t="str">
        <f t="shared" si="183"/>
        <v/>
      </c>
      <c r="M67" s="303" t="str">
        <f t="shared" si="183"/>
        <v/>
      </c>
      <c r="N67" s="303" t="str">
        <f t="shared" si="183"/>
        <v/>
      </c>
      <c r="O67" s="303" t="str">
        <f t="shared" si="183"/>
        <v/>
      </c>
      <c r="P67" s="303" t="str">
        <f t="shared" si="183"/>
        <v/>
      </c>
      <c r="Q67" s="303" t="str">
        <f t="shared" si="183"/>
        <v/>
      </c>
      <c r="R67" s="303" t="str">
        <f t="shared" si="183"/>
        <v/>
      </c>
      <c r="S67" s="303" t="str">
        <f t="shared" si="183"/>
        <v/>
      </c>
      <c r="T67" s="303">
        <f t="shared" si="183"/>
        <v>6.0594759285127653</v>
      </c>
      <c r="U67" s="303">
        <f t="shared" si="183"/>
        <v>6.0594759285127653</v>
      </c>
      <c r="V67" s="303">
        <f t="shared" si="183"/>
        <v>4.0563492856429226</v>
      </c>
      <c r="W67" s="303" t="str">
        <f t="shared" si="183"/>
        <v/>
      </c>
      <c r="X67" s="303" t="str">
        <f t="shared" si="183"/>
        <v/>
      </c>
      <c r="Y67" s="303" t="str">
        <f t="shared" si="183"/>
        <v/>
      </c>
      <c r="Z67" s="303" t="str">
        <f t="shared" si="183"/>
        <v/>
      </c>
      <c r="AA67" s="303" t="str">
        <f t="shared" si="183"/>
        <v/>
      </c>
      <c r="AB67" s="303" t="str">
        <f t="shared" si="183"/>
        <v/>
      </c>
      <c r="AC67" s="303" t="str">
        <f t="shared" si="183"/>
        <v/>
      </c>
      <c r="AD67" s="303" t="str">
        <f t="shared" si="183"/>
        <v/>
      </c>
      <c r="AE67" s="303" t="str">
        <f t="shared" si="183"/>
        <v/>
      </c>
      <c r="AF67" s="303" t="str">
        <f t="shared" si="183"/>
        <v/>
      </c>
      <c r="AG67" s="303" t="str">
        <f t="shared" si="183"/>
        <v/>
      </c>
      <c r="AH67" s="303" t="str">
        <f t="shared" ref="AH67:BM67" si="184">IF(AH$2="-","",(IF(AH228="","",IF(AH$4&lt;$A67,AH228,(AH228-AH$3)/(1+AH$3%)))))</f>
        <v/>
      </c>
      <c r="AI67" s="303" t="str">
        <f t="shared" si="184"/>
        <v/>
      </c>
      <c r="AJ67" s="303" t="str">
        <f t="shared" si="184"/>
        <v/>
      </c>
      <c r="AK67" s="303" t="str">
        <f t="shared" si="184"/>
        <v/>
      </c>
      <c r="AL67" s="303" t="str">
        <f t="shared" si="184"/>
        <v/>
      </c>
      <c r="AM67" s="303" t="str">
        <f t="shared" si="184"/>
        <v/>
      </c>
      <c r="AN67" s="303" t="str">
        <f t="shared" si="184"/>
        <v/>
      </c>
      <c r="AO67" s="303" t="str">
        <f t="shared" si="184"/>
        <v/>
      </c>
      <c r="AP67" s="303" t="str">
        <f t="shared" si="184"/>
        <v/>
      </c>
      <c r="AQ67" s="303" t="str">
        <f t="shared" si="184"/>
        <v/>
      </c>
      <c r="AR67" s="303" t="str">
        <f t="shared" si="184"/>
        <v/>
      </c>
      <c r="AS67" s="303" t="str">
        <f t="shared" si="184"/>
        <v/>
      </c>
      <c r="AT67" s="303" t="str">
        <f t="shared" si="184"/>
        <v/>
      </c>
      <c r="AU67" s="303" t="str">
        <f t="shared" si="184"/>
        <v/>
      </c>
      <c r="AV67" s="303" t="str">
        <f t="shared" si="184"/>
        <v/>
      </c>
      <c r="AW67" s="303" t="str">
        <f t="shared" si="184"/>
        <v/>
      </c>
      <c r="AX67" s="303" t="str">
        <f t="shared" si="184"/>
        <v/>
      </c>
      <c r="AY67" s="303" t="str">
        <f t="shared" si="184"/>
        <v/>
      </c>
      <c r="AZ67" s="303" t="str">
        <f t="shared" si="184"/>
        <v/>
      </c>
      <c r="BA67" s="303" t="str">
        <f t="shared" si="184"/>
        <v/>
      </c>
      <c r="BB67" s="303" t="str">
        <f t="shared" si="184"/>
        <v/>
      </c>
      <c r="BC67" s="303" t="str">
        <f t="shared" si="184"/>
        <v/>
      </c>
      <c r="BD67" s="303" t="str">
        <f t="shared" si="184"/>
        <v/>
      </c>
      <c r="BE67" s="303" t="str">
        <f t="shared" si="184"/>
        <v/>
      </c>
      <c r="BF67" s="303" t="str">
        <f t="shared" si="184"/>
        <v/>
      </c>
      <c r="BG67" s="303" t="str">
        <f t="shared" si="184"/>
        <v/>
      </c>
      <c r="BH67" s="303" t="str">
        <f t="shared" si="184"/>
        <v/>
      </c>
      <c r="BI67" s="303" t="str">
        <f t="shared" si="184"/>
        <v/>
      </c>
      <c r="BJ67" s="303" t="str">
        <f t="shared" si="184"/>
        <v/>
      </c>
      <c r="BK67" s="303" t="str">
        <f t="shared" si="184"/>
        <v/>
      </c>
      <c r="BL67" s="303" t="str">
        <f t="shared" si="184"/>
        <v/>
      </c>
      <c r="BM67" s="303" t="str">
        <f t="shared" si="184"/>
        <v/>
      </c>
      <c r="BN67" s="303" t="str">
        <f t="shared" ref="BN67:BZ67" si="185">IF(BN$2="-","",(IF(BN228="","",IF(BN$4&lt;$A67,BN228,(BN228-BN$3)/(1+BN$3%)))))</f>
        <v/>
      </c>
      <c r="BO67" s="303" t="str">
        <f t="shared" si="185"/>
        <v/>
      </c>
      <c r="BP67" s="303" t="str">
        <f t="shared" si="185"/>
        <v/>
      </c>
      <c r="BQ67" s="303" t="str">
        <f t="shared" si="185"/>
        <v/>
      </c>
      <c r="BR67" s="303" t="str">
        <f t="shared" si="185"/>
        <v/>
      </c>
      <c r="BS67" s="303" t="str">
        <f t="shared" si="185"/>
        <v/>
      </c>
      <c r="BT67" s="303" t="str">
        <f t="shared" si="185"/>
        <v/>
      </c>
      <c r="BU67" s="303" t="str">
        <f t="shared" si="185"/>
        <v/>
      </c>
      <c r="BV67" s="303" t="str">
        <f t="shared" si="185"/>
        <v/>
      </c>
      <c r="BW67" s="303" t="str">
        <f t="shared" si="185"/>
        <v/>
      </c>
      <c r="BX67" s="303">
        <f t="shared" si="185"/>
        <v>-21.879318286503914</v>
      </c>
      <c r="BY67" s="303">
        <f t="shared" si="185"/>
        <v>6.2715948803697907</v>
      </c>
      <c r="BZ67" s="303">
        <f t="shared" si="185"/>
        <v>4.1500000000000004</v>
      </c>
      <c r="CA67" s="303">
        <f t="shared" si="10"/>
        <v>-7.017543859649134</v>
      </c>
    </row>
    <row r="68" spans="1:79">
      <c r="A68" s="58">
        <f t="shared" si="104"/>
        <v>1931</v>
      </c>
      <c r="B68" s="303">
        <f t="shared" ref="B68:AG68" si="186">IF(B$2="-","",(IF(B229="","",IF(B$4&lt;$A68,B229,(B229-B$3)/(1+B$3%)))))</f>
        <v>-43.025517446373705</v>
      </c>
      <c r="C68" s="303" t="str">
        <f t="shared" si="186"/>
        <v/>
      </c>
      <c r="D68" s="303">
        <f t="shared" si="186"/>
        <v>-43.025517446373705</v>
      </c>
      <c r="E68" s="303" t="str">
        <f t="shared" si="186"/>
        <v/>
      </c>
      <c r="F68" s="303" t="str">
        <f t="shared" si="186"/>
        <v/>
      </c>
      <c r="G68" s="303" t="str">
        <f t="shared" si="186"/>
        <v/>
      </c>
      <c r="H68" s="303" t="str">
        <f t="shared" si="186"/>
        <v/>
      </c>
      <c r="I68" s="303" t="str">
        <f t="shared" si="186"/>
        <v/>
      </c>
      <c r="J68" s="303" t="str">
        <f t="shared" si="186"/>
        <v/>
      </c>
      <c r="K68" s="303" t="str">
        <f t="shared" si="186"/>
        <v/>
      </c>
      <c r="L68" s="303" t="str">
        <f t="shared" si="186"/>
        <v/>
      </c>
      <c r="M68" s="303" t="str">
        <f t="shared" si="186"/>
        <v/>
      </c>
      <c r="N68" s="303" t="str">
        <f t="shared" si="186"/>
        <v/>
      </c>
      <c r="O68" s="303" t="str">
        <f t="shared" si="186"/>
        <v/>
      </c>
      <c r="P68" s="303" t="str">
        <f t="shared" si="186"/>
        <v/>
      </c>
      <c r="Q68" s="303" t="str">
        <f t="shared" si="186"/>
        <v/>
      </c>
      <c r="R68" s="303" t="str">
        <f t="shared" si="186"/>
        <v/>
      </c>
      <c r="S68" s="303" t="str">
        <f t="shared" si="186"/>
        <v/>
      </c>
      <c r="T68" s="303">
        <f t="shared" si="186"/>
        <v>0.60140704613253604</v>
      </c>
      <c r="U68" s="303">
        <f t="shared" si="186"/>
        <v>0.60140704613253604</v>
      </c>
      <c r="V68" s="303">
        <f t="shared" si="186"/>
        <v>2.3378958936956744</v>
      </c>
      <c r="W68" s="303" t="str">
        <f t="shared" si="186"/>
        <v/>
      </c>
      <c r="X68" s="303" t="str">
        <f t="shared" si="186"/>
        <v/>
      </c>
      <c r="Y68" s="303" t="str">
        <f t="shared" si="186"/>
        <v/>
      </c>
      <c r="Z68" s="303" t="str">
        <f t="shared" si="186"/>
        <v/>
      </c>
      <c r="AA68" s="303" t="str">
        <f t="shared" si="186"/>
        <v/>
      </c>
      <c r="AB68" s="303" t="str">
        <f t="shared" si="186"/>
        <v/>
      </c>
      <c r="AC68" s="303" t="str">
        <f t="shared" si="186"/>
        <v/>
      </c>
      <c r="AD68" s="303" t="str">
        <f t="shared" si="186"/>
        <v/>
      </c>
      <c r="AE68" s="303" t="str">
        <f t="shared" si="186"/>
        <v/>
      </c>
      <c r="AF68" s="303" t="str">
        <f t="shared" si="186"/>
        <v/>
      </c>
      <c r="AG68" s="303" t="str">
        <f t="shared" si="186"/>
        <v/>
      </c>
      <c r="AH68" s="303" t="str">
        <f t="shared" ref="AH68:BM68" si="187">IF(AH$2="-","",(IF(AH229="","",IF(AH$4&lt;$A68,AH229,(AH229-AH$3)/(1+AH$3%)))))</f>
        <v/>
      </c>
      <c r="AI68" s="303" t="str">
        <f t="shared" si="187"/>
        <v/>
      </c>
      <c r="AJ68" s="303" t="str">
        <f t="shared" si="187"/>
        <v/>
      </c>
      <c r="AK68" s="303" t="str">
        <f t="shared" si="187"/>
        <v/>
      </c>
      <c r="AL68" s="303" t="str">
        <f t="shared" si="187"/>
        <v/>
      </c>
      <c r="AM68" s="303" t="str">
        <f t="shared" si="187"/>
        <v/>
      </c>
      <c r="AN68" s="303" t="str">
        <f t="shared" si="187"/>
        <v/>
      </c>
      <c r="AO68" s="303" t="str">
        <f t="shared" si="187"/>
        <v/>
      </c>
      <c r="AP68" s="303" t="str">
        <f t="shared" si="187"/>
        <v/>
      </c>
      <c r="AQ68" s="303" t="str">
        <f t="shared" si="187"/>
        <v/>
      </c>
      <c r="AR68" s="303" t="str">
        <f t="shared" si="187"/>
        <v/>
      </c>
      <c r="AS68" s="303" t="str">
        <f t="shared" si="187"/>
        <v/>
      </c>
      <c r="AT68" s="303" t="str">
        <f t="shared" si="187"/>
        <v/>
      </c>
      <c r="AU68" s="303" t="str">
        <f t="shared" si="187"/>
        <v/>
      </c>
      <c r="AV68" s="303" t="str">
        <f t="shared" si="187"/>
        <v/>
      </c>
      <c r="AW68" s="303" t="str">
        <f t="shared" si="187"/>
        <v/>
      </c>
      <c r="AX68" s="303" t="str">
        <f t="shared" si="187"/>
        <v/>
      </c>
      <c r="AY68" s="303" t="str">
        <f t="shared" si="187"/>
        <v/>
      </c>
      <c r="AZ68" s="303" t="str">
        <f t="shared" si="187"/>
        <v/>
      </c>
      <c r="BA68" s="303" t="str">
        <f t="shared" si="187"/>
        <v/>
      </c>
      <c r="BB68" s="303" t="str">
        <f t="shared" si="187"/>
        <v/>
      </c>
      <c r="BC68" s="303" t="str">
        <f t="shared" si="187"/>
        <v/>
      </c>
      <c r="BD68" s="303" t="str">
        <f t="shared" si="187"/>
        <v/>
      </c>
      <c r="BE68" s="303" t="str">
        <f t="shared" si="187"/>
        <v/>
      </c>
      <c r="BF68" s="303" t="str">
        <f t="shared" si="187"/>
        <v/>
      </c>
      <c r="BG68" s="303" t="str">
        <f t="shared" si="187"/>
        <v/>
      </c>
      <c r="BH68" s="303" t="str">
        <f t="shared" si="187"/>
        <v/>
      </c>
      <c r="BI68" s="303" t="str">
        <f t="shared" si="187"/>
        <v/>
      </c>
      <c r="BJ68" s="303" t="str">
        <f t="shared" si="187"/>
        <v/>
      </c>
      <c r="BK68" s="303" t="str">
        <f t="shared" si="187"/>
        <v/>
      </c>
      <c r="BL68" s="303" t="str">
        <f t="shared" si="187"/>
        <v/>
      </c>
      <c r="BM68" s="303" t="str">
        <f t="shared" si="187"/>
        <v/>
      </c>
      <c r="BN68" s="303" t="str">
        <f t="shared" ref="BN68:BZ68" si="188">IF(BN$2="-","",(IF(BN229="","",IF(BN$4&lt;$A68,BN229,(BN229-BN$3)/(1+BN$3%)))))</f>
        <v/>
      </c>
      <c r="BO68" s="303" t="str">
        <f t="shared" si="188"/>
        <v/>
      </c>
      <c r="BP68" s="303" t="str">
        <f t="shared" si="188"/>
        <v/>
      </c>
      <c r="BQ68" s="303" t="str">
        <f t="shared" si="188"/>
        <v/>
      </c>
      <c r="BR68" s="303" t="str">
        <f t="shared" si="188"/>
        <v/>
      </c>
      <c r="BS68" s="303" t="str">
        <f t="shared" si="188"/>
        <v/>
      </c>
      <c r="BT68" s="303" t="str">
        <f t="shared" si="188"/>
        <v/>
      </c>
      <c r="BU68" s="303" t="str">
        <f t="shared" si="188"/>
        <v/>
      </c>
      <c r="BV68" s="303" t="str">
        <f t="shared" si="188"/>
        <v/>
      </c>
      <c r="BW68" s="303" t="str">
        <f t="shared" si="188"/>
        <v/>
      </c>
      <c r="BX68" s="303">
        <f t="shared" si="188"/>
        <v>-42.928660826032541</v>
      </c>
      <c r="BY68" s="303">
        <f t="shared" si="188"/>
        <v>0.80260986022480107</v>
      </c>
      <c r="BZ68" s="303">
        <f t="shared" si="188"/>
        <v>2.4300000000000002</v>
      </c>
      <c r="CA68" s="303">
        <f t="shared" si="10"/>
        <v>-10.062893081761004</v>
      </c>
    </row>
    <row r="69" spans="1:79">
      <c r="A69" s="58">
        <f t="shared" si="104"/>
        <v>1932</v>
      </c>
      <c r="B69" s="303">
        <f t="shared" ref="B69:AG69" si="189">IF(B$2="-","",(IF(B230="","",IF(B$4&lt;$A69,B230,(B230-B$3)/(1+B$3%)))))</f>
        <v>-8.7094108689926006</v>
      </c>
      <c r="C69" s="303" t="str">
        <f t="shared" si="189"/>
        <v/>
      </c>
      <c r="D69" s="303">
        <f t="shared" si="189"/>
        <v>-8.7094108689926006</v>
      </c>
      <c r="E69" s="303" t="str">
        <f t="shared" si="189"/>
        <v/>
      </c>
      <c r="F69" s="303" t="str">
        <f t="shared" si="189"/>
        <v/>
      </c>
      <c r="G69" s="303" t="str">
        <f t="shared" si="189"/>
        <v/>
      </c>
      <c r="H69" s="303" t="str">
        <f t="shared" si="189"/>
        <v/>
      </c>
      <c r="I69" s="303" t="str">
        <f t="shared" si="189"/>
        <v/>
      </c>
      <c r="J69" s="303" t="str">
        <f t="shared" si="189"/>
        <v/>
      </c>
      <c r="K69" s="303" t="str">
        <f t="shared" si="189"/>
        <v/>
      </c>
      <c r="L69" s="303" t="str">
        <f t="shared" si="189"/>
        <v/>
      </c>
      <c r="M69" s="303" t="str">
        <f t="shared" si="189"/>
        <v/>
      </c>
      <c r="N69" s="303" t="str">
        <f t="shared" si="189"/>
        <v/>
      </c>
      <c r="O69" s="303" t="str">
        <f t="shared" si="189"/>
        <v/>
      </c>
      <c r="P69" s="303" t="str">
        <f t="shared" si="189"/>
        <v/>
      </c>
      <c r="Q69" s="303" t="str">
        <f t="shared" si="189"/>
        <v/>
      </c>
      <c r="R69" s="303" t="str">
        <f t="shared" si="189"/>
        <v/>
      </c>
      <c r="S69" s="303" t="str">
        <f t="shared" si="189"/>
        <v/>
      </c>
      <c r="T69" s="303">
        <f t="shared" si="189"/>
        <v>8.1424267688128875</v>
      </c>
      <c r="U69" s="303">
        <f t="shared" si="189"/>
        <v>8.1424267688128875</v>
      </c>
      <c r="V69" s="303">
        <f t="shared" si="189"/>
        <v>3.2670596463183137</v>
      </c>
      <c r="W69" s="303" t="str">
        <f t="shared" si="189"/>
        <v/>
      </c>
      <c r="X69" s="303" t="str">
        <f t="shared" si="189"/>
        <v/>
      </c>
      <c r="Y69" s="303" t="str">
        <f t="shared" si="189"/>
        <v/>
      </c>
      <c r="Z69" s="303" t="str">
        <f t="shared" si="189"/>
        <v/>
      </c>
      <c r="AA69" s="303" t="str">
        <f t="shared" si="189"/>
        <v/>
      </c>
      <c r="AB69" s="303" t="str">
        <f t="shared" si="189"/>
        <v/>
      </c>
      <c r="AC69" s="303" t="str">
        <f t="shared" si="189"/>
        <v/>
      </c>
      <c r="AD69" s="303" t="str">
        <f t="shared" si="189"/>
        <v/>
      </c>
      <c r="AE69" s="303" t="str">
        <f t="shared" si="189"/>
        <v/>
      </c>
      <c r="AF69" s="303" t="str">
        <f t="shared" si="189"/>
        <v/>
      </c>
      <c r="AG69" s="303" t="str">
        <f t="shared" si="189"/>
        <v/>
      </c>
      <c r="AH69" s="303" t="str">
        <f t="shared" ref="AH69:BM69" si="190">IF(AH$2="-","",(IF(AH230="","",IF(AH$4&lt;$A69,AH230,(AH230-AH$3)/(1+AH$3%)))))</f>
        <v/>
      </c>
      <c r="AI69" s="303" t="str">
        <f t="shared" si="190"/>
        <v/>
      </c>
      <c r="AJ69" s="303" t="str">
        <f t="shared" si="190"/>
        <v/>
      </c>
      <c r="AK69" s="303" t="str">
        <f t="shared" si="190"/>
        <v/>
      </c>
      <c r="AL69" s="303" t="str">
        <f t="shared" si="190"/>
        <v/>
      </c>
      <c r="AM69" s="303" t="str">
        <f t="shared" si="190"/>
        <v/>
      </c>
      <c r="AN69" s="303" t="str">
        <f t="shared" si="190"/>
        <v/>
      </c>
      <c r="AO69" s="303" t="str">
        <f t="shared" si="190"/>
        <v/>
      </c>
      <c r="AP69" s="303" t="str">
        <f t="shared" si="190"/>
        <v/>
      </c>
      <c r="AQ69" s="303" t="str">
        <f t="shared" si="190"/>
        <v/>
      </c>
      <c r="AR69" s="303" t="str">
        <f t="shared" si="190"/>
        <v/>
      </c>
      <c r="AS69" s="303" t="str">
        <f t="shared" si="190"/>
        <v/>
      </c>
      <c r="AT69" s="303" t="str">
        <f t="shared" si="190"/>
        <v/>
      </c>
      <c r="AU69" s="303" t="str">
        <f t="shared" si="190"/>
        <v/>
      </c>
      <c r="AV69" s="303" t="str">
        <f t="shared" si="190"/>
        <v/>
      </c>
      <c r="AW69" s="303" t="str">
        <f t="shared" si="190"/>
        <v/>
      </c>
      <c r="AX69" s="303" t="str">
        <f t="shared" si="190"/>
        <v/>
      </c>
      <c r="AY69" s="303" t="str">
        <f t="shared" si="190"/>
        <v/>
      </c>
      <c r="AZ69" s="303" t="str">
        <f t="shared" si="190"/>
        <v/>
      </c>
      <c r="BA69" s="303" t="str">
        <f t="shared" si="190"/>
        <v/>
      </c>
      <c r="BB69" s="303" t="str">
        <f t="shared" si="190"/>
        <v/>
      </c>
      <c r="BC69" s="303" t="str">
        <f t="shared" si="190"/>
        <v/>
      </c>
      <c r="BD69" s="303" t="str">
        <f t="shared" si="190"/>
        <v/>
      </c>
      <c r="BE69" s="303" t="str">
        <f t="shared" si="190"/>
        <v/>
      </c>
      <c r="BF69" s="303" t="str">
        <f t="shared" si="190"/>
        <v/>
      </c>
      <c r="BG69" s="303" t="str">
        <f t="shared" si="190"/>
        <v/>
      </c>
      <c r="BH69" s="303" t="str">
        <f t="shared" si="190"/>
        <v/>
      </c>
      <c r="BI69" s="303" t="str">
        <f t="shared" si="190"/>
        <v/>
      </c>
      <c r="BJ69" s="303" t="str">
        <f t="shared" si="190"/>
        <v/>
      </c>
      <c r="BK69" s="303" t="str">
        <f t="shared" si="190"/>
        <v/>
      </c>
      <c r="BL69" s="303" t="str">
        <f t="shared" si="190"/>
        <v/>
      </c>
      <c r="BM69" s="303" t="str">
        <f t="shared" si="190"/>
        <v/>
      </c>
      <c r="BN69" s="303" t="str">
        <f t="shared" ref="BN69:BZ69" si="191">IF(BN$2="-","",(IF(BN230="","",IF(BN$4&lt;$A69,BN230,(BN230-BN$3)/(1+BN$3%)))))</f>
        <v/>
      </c>
      <c r="BO69" s="303" t="str">
        <f t="shared" si="191"/>
        <v/>
      </c>
      <c r="BP69" s="303" t="str">
        <f t="shared" si="191"/>
        <v/>
      </c>
      <c r="BQ69" s="303" t="str">
        <f t="shared" si="191"/>
        <v/>
      </c>
      <c r="BR69" s="303" t="str">
        <f t="shared" si="191"/>
        <v/>
      </c>
      <c r="BS69" s="303" t="str">
        <f t="shared" si="191"/>
        <v/>
      </c>
      <c r="BT69" s="303" t="str">
        <f t="shared" si="191"/>
        <v/>
      </c>
      <c r="BU69" s="303" t="str">
        <f t="shared" si="191"/>
        <v/>
      </c>
      <c r="BV69" s="303" t="str">
        <f t="shared" si="191"/>
        <v/>
      </c>
      <c r="BW69" s="303" t="str">
        <f t="shared" si="191"/>
        <v/>
      </c>
      <c r="BX69" s="303">
        <f t="shared" si="191"/>
        <v>-8.5542168674698882</v>
      </c>
      <c r="BY69" s="303">
        <f t="shared" si="191"/>
        <v>8.358711622350512</v>
      </c>
      <c r="BZ69" s="303">
        <f t="shared" si="191"/>
        <v>3.36</v>
      </c>
      <c r="CA69" s="303">
        <f t="shared" si="10"/>
        <v>-9.7902097902097918</v>
      </c>
    </row>
    <row r="70" spans="1:79">
      <c r="A70" s="58">
        <f t="shared" si="104"/>
        <v>1933</v>
      </c>
      <c r="B70" s="303">
        <f t="shared" ref="B70:AG70" si="192">IF(B$2="-","",(IF(B231="","",IF(B$4&lt;$A70,B231,(B231-B$3)/(1+B$3%)))))</f>
        <v>54.603183051435956</v>
      </c>
      <c r="C70" s="303" t="str">
        <f t="shared" si="192"/>
        <v/>
      </c>
      <c r="D70" s="303">
        <f t="shared" si="192"/>
        <v>54.603183051435956</v>
      </c>
      <c r="E70" s="303" t="str">
        <f t="shared" si="192"/>
        <v/>
      </c>
      <c r="F70" s="303" t="str">
        <f t="shared" si="192"/>
        <v/>
      </c>
      <c r="G70" s="303" t="str">
        <f t="shared" si="192"/>
        <v/>
      </c>
      <c r="H70" s="303" t="str">
        <f t="shared" si="192"/>
        <v/>
      </c>
      <c r="I70" s="303" t="str">
        <f t="shared" si="192"/>
        <v/>
      </c>
      <c r="J70" s="303" t="str">
        <f t="shared" si="192"/>
        <v/>
      </c>
      <c r="K70" s="303" t="str">
        <f t="shared" si="192"/>
        <v/>
      </c>
      <c r="L70" s="303" t="str">
        <f t="shared" si="192"/>
        <v/>
      </c>
      <c r="M70" s="303" t="str">
        <f t="shared" si="192"/>
        <v/>
      </c>
      <c r="N70" s="303" t="str">
        <f t="shared" si="192"/>
        <v/>
      </c>
      <c r="O70" s="303" t="str">
        <f t="shared" si="192"/>
        <v/>
      </c>
      <c r="P70" s="303" t="str">
        <f t="shared" si="192"/>
        <v/>
      </c>
      <c r="Q70" s="303" t="str">
        <f t="shared" si="192"/>
        <v/>
      </c>
      <c r="R70" s="303" t="str">
        <f t="shared" si="192"/>
        <v/>
      </c>
      <c r="S70" s="303" t="str">
        <f t="shared" si="192"/>
        <v/>
      </c>
      <c r="T70" s="303">
        <f t="shared" si="192"/>
        <v>4.6671632138287729</v>
      </c>
      <c r="U70" s="303">
        <f t="shared" si="192"/>
        <v>4.6671632138287729</v>
      </c>
      <c r="V70" s="303">
        <f t="shared" si="192"/>
        <v>1.3687681087021681</v>
      </c>
      <c r="W70" s="303" t="str">
        <f t="shared" si="192"/>
        <v/>
      </c>
      <c r="X70" s="303" t="str">
        <f t="shared" si="192"/>
        <v/>
      </c>
      <c r="Y70" s="303" t="str">
        <f t="shared" si="192"/>
        <v/>
      </c>
      <c r="Z70" s="303" t="str">
        <f t="shared" si="192"/>
        <v/>
      </c>
      <c r="AA70" s="303" t="str">
        <f t="shared" si="192"/>
        <v/>
      </c>
      <c r="AB70" s="303" t="str">
        <f t="shared" si="192"/>
        <v/>
      </c>
      <c r="AC70" s="303" t="str">
        <f t="shared" si="192"/>
        <v/>
      </c>
      <c r="AD70" s="303" t="str">
        <f t="shared" si="192"/>
        <v/>
      </c>
      <c r="AE70" s="303" t="str">
        <f t="shared" si="192"/>
        <v/>
      </c>
      <c r="AF70" s="303" t="str">
        <f t="shared" si="192"/>
        <v/>
      </c>
      <c r="AG70" s="303" t="str">
        <f t="shared" si="192"/>
        <v/>
      </c>
      <c r="AH70" s="303" t="str">
        <f t="shared" ref="AH70:BM70" si="193">IF(AH$2="-","",(IF(AH231="","",IF(AH$4&lt;$A70,AH231,(AH231-AH$3)/(1+AH$3%)))))</f>
        <v/>
      </c>
      <c r="AI70" s="303" t="str">
        <f t="shared" si="193"/>
        <v/>
      </c>
      <c r="AJ70" s="303" t="str">
        <f t="shared" si="193"/>
        <v/>
      </c>
      <c r="AK70" s="303" t="str">
        <f t="shared" si="193"/>
        <v/>
      </c>
      <c r="AL70" s="303" t="str">
        <f t="shared" si="193"/>
        <v/>
      </c>
      <c r="AM70" s="303" t="str">
        <f t="shared" si="193"/>
        <v/>
      </c>
      <c r="AN70" s="303" t="str">
        <f t="shared" si="193"/>
        <v/>
      </c>
      <c r="AO70" s="303" t="str">
        <f t="shared" si="193"/>
        <v/>
      </c>
      <c r="AP70" s="303" t="str">
        <f t="shared" si="193"/>
        <v/>
      </c>
      <c r="AQ70" s="303" t="str">
        <f t="shared" si="193"/>
        <v/>
      </c>
      <c r="AR70" s="303" t="str">
        <f t="shared" si="193"/>
        <v/>
      </c>
      <c r="AS70" s="303" t="str">
        <f t="shared" si="193"/>
        <v/>
      </c>
      <c r="AT70" s="303" t="str">
        <f t="shared" si="193"/>
        <v/>
      </c>
      <c r="AU70" s="303" t="str">
        <f t="shared" si="193"/>
        <v/>
      </c>
      <c r="AV70" s="303" t="str">
        <f t="shared" si="193"/>
        <v/>
      </c>
      <c r="AW70" s="303" t="str">
        <f t="shared" si="193"/>
        <v/>
      </c>
      <c r="AX70" s="303" t="str">
        <f t="shared" si="193"/>
        <v/>
      </c>
      <c r="AY70" s="303" t="str">
        <f t="shared" si="193"/>
        <v/>
      </c>
      <c r="AZ70" s="303" t="str">
        <f t="shared" si="193"/>
        <v/>
      </c>
      <c r="BA70" s="303" t="str">
        <f t="shared" si="193"/>
        <v/>
      </c>
      <c r="BB70" s="303" t="str">
        <f t="shared" si="193"/>
        <v/>
      </c>
      <c r="BC70" s="303" t="str">
        <f t="shared" si="193"/>
        <v/>
      </c>
      <c r="BD70" s="303" t="str">
        <f t="shared" si="193"/>
        <v/>
      </c>
      <c r="BE70" s="303" t="str">
        <f t="shared" si="193"/>
        <v/>
      </c>
      <c r="BF70" s="303" t="str">
        <f t="shared" si="193"/>
        <v/>
      </c>
      <c r="BG70" s="303" t="str">
        <f t="shared" si="193"/>
        <v/>
      </c>
      <c r="BH70" s="303" t="str">
        <f t="shared" si="193"/>
        <v/>
      </c>
      <c r="BI70" s="303" t="str">
        <f t="shared" si="193"/>
        <v/>
      </c>
      <c r="BJ70" s="303" t="str">
        <f t="shared" si="193"/>
        <v/>
      </c>
      <c r="BK70" s="303" t="str">
        <f t="shared" si="193"/>
        <v/>
      </c>
      <c r="BL70" s="303" t="str">
        <f t="shared" si="193"/>
        <v/>
      </c>
      <c r="BM70" s="303" t="str">
        <f t="shared" si="193"/>
        <v/>
      </c>
      <c r="BN70" s="303" t="str">
        <f t="shared" ref="BN70:BZ70" si="194">IF(BN$2="-","",(IF(BN231="","",IF(BN$4&lt;$A70,BN231,(BN231-BN$3)/(1+BN$3%)))))</f>
        <v/>
      </c>
      <c r="BO70" s="303" t="str">
        <f t="shared" si="194"/>
        <v/>
      </c>
      <c r="BP70" s="303" t="str">
        <f t="shared" si="194"/>
        <v/>
      </c>
      <c r="BQ70" s="303" t="str">
        <f t="shared" si="194"/>
        <v/>
      </c>
      <c r="BR70" s="303" t="str">
        <f t="shared" si="194"/>
        <v/>
      </c>
      <c r="BS70" s="303" t="str">
        <f t="shared" si="194"/>
        <v/>
      </c>
      <c r="BT70" s="303" t="str">
        <f t="shared" si="194"/>
        <v/>
      </c>
      <c r="BU70" s="303" t="str">
        <f t="shared" si="194"/>
        <v/>
      </c>
      <c r="BV70" s="303" t="str">
        <f t="shared" si="194"/>
        <v/>
      </c>
      <c r="BW70" s="303" t="str">
        <f t="shared" si="194"/>
        <v/>
      </c>
      <c r="BX70" s="303">
        <f t="shared" si="194"/>
        <v>54.866008462623398</v>
      </c>
      <c r="BY70" s="303">
        <f t="shared" si="194"/>
        <v>4.8764975402564303</v>
      </c>
      <c r="BZ70" s="303">
        <f t="shared" si="194"/>
        <v>1.46</v>
      </c>
      <c r="CA70" s="303">
        <f t="shared" si="10"/>
        <v>2.3255813953488191</v>
      </c>
    </row>
    <row r="71" spans="1:79">
      <c r="A71" s="58">
        <f t="shared" si="104"/>
        <v>1934</v>
      </c>
      <c r="B71" s="303">
        <f t="shared" ref="B71:AG71" si="195">IF(B$2="-","",(IF(B232="","",IF(B$4&lt;$A71,B232,(B232-B$3)/(1+B$3%)))))</f>
        <v>-8.0311099214826243</v>
      </c>
      <c r="C71" s="303" t="str">
        <f t="shared" si="195"/>
        <v/>
      </c>
      <c r="D71" s="303">
        <f t="shared" si="195"/>
        <v>-8.0311099214826243</v>
      </c>
      <c r="E71" s="303" t="str">
        <f t="shared" si="195"/>
        <v/>
      </c>
      <c r="F71" s="303" t="str">
        <f t="shared" si="195"/>
        <v/>
      </c>
      <c r="G71" s="303" t="str">
        <f t="shared" si="195"/>
        <v/>
      </c>
      <c r="H71" s="303" t="str">
        <f t="shared" si="195"/>
        <v/>
      </c>
      <c r="I71" s="303" t="str">
        <f t="shared" si="195"/>
        <v/>
      </c>
      <c r="J71" s="303" t="str">
        <f t="shared" si="195"/>
        <v/>
      </c>
      <c r="K71" s="303" t="str">
        <f t="shared" si="195"/>
        <v/>
      </c>
      <c r="L71" s="303" t="str">
        <f t="shared" si="195"/>
        <v/>
      </c>
      <c r="M71" s="303" t="str">
        <f t="shared" si="195"/>
        <v/>
      </c>
      <c r="N71" s="303" t="str">
        <f t="shared" si="195"/>
        <v/>
      </c>
      <c r="O71" s="303" t="str">
        <f t="shared" si="195"/>
        <v/>
      </c>
      <c r="P71" s="303" t="str">
        <f t="shared" si="195"/>
        <v/>
      </c>
      <c r="Q71" s="303" t="str">
        <f t="shared" si="195"/>
        <v/>
      </c>
      <c r="R71" s="303" t="str">
        <f t="shared" si="195"/>
        <v/>
      </c>
      <c r="S71" s="303" t="str">
        <f t="shared" si="195"/>
        <v/>
      </c>
      <c r="T71" s="303">
        <f t="shared" si="195"/>
        <v>4.5646959159059657</v>
      </c>
      <c r="U71" s="303">
        <f t="shared" si="195"/>
        <v>4.5646959159059657</v>
      </c>
      <c r="V71" s="303">
        <f t="shared" si="195"/>
        <v>0.91917274452992315</v>
      </c>
      <c r="W71" s="303" t="str">
        <f t="shared" si="195"/>
        <v/>
      </c>
      <c r="X71" s="303" t="str">
        <f t="shared" si="195"/>
        <v/>
      </c>
      <c r="Y71" s="303" t="str">
        <f t="shared" si="195"/>
        <v/>
      </c>
      <c r="Z71" s="303" t="str">
        <f t="shared" si="195"/>
        <v/>
      </c>
      <c r="AA71" s="303" t="str">
        <f t="shared" si="195"/>
        <v/>
      </c>
      <c r="AB71" s="303" t="str">
        <f t="shared" si="195"/>
        <v/>
      </c>
      <c r="AC71" s="303" t="str">
        <f t="shared" si="195"/>
        <v/>
      </c>
      <c r="AD71" s="303" t="str">
        <f t="shared" si="195"/>
        <v/>
      </c>
      <c r="AE71" s="303" t="str">
        <f t="shared" si="195"/>
        <v/>
      </c>
      <c r="AF71" s="303" t="str">
        <f t="shared" si="195"/>
        <v/>
      </c>
      <c r="AG71" s="303" t="str">
        <f t="shared" si="195"/>
        <v/>
      </c>
      <c r="AH71" s="303" t="str">
        <f t="shared" ref="AH71:BM71" si="196">IF(AH$2="-","",(IF(AH232="","",IF(AH$4&lt;$A71,AH232,(AH232-AH$3)/(1+AH$3%)))))</f>
        <v/>
      </c>
      <c r="AI71" s="303" t="str">
        <f t="shared" si="196"/>
        <v/>
      </c>
      <c r="AJ71" s="303" t="str">
        <f t="shared" si="196"/>
        <v/>
      </c>
      <c r="AK71" s="303" t="str">
        <f t="shared" si="196"/>
        <v/>
      </c>
      <c r="AL71" s="303" t="str">
        <f t="shared" si="196"/>
        <v/>
      </c>
      <c r="AM71" s="303" t="str">
        <f t="shared" si="196"/>
        <v/>
      </c>
      <c r="AN71" s="303" t="str">
        <f t="shared" si="196"/>
        <v/>
      </c>
      <c r="AO71" s="303" t="str">
        <f t="shared" si="196"/>
        <v/>
      </c>
      <c r="AP71" s="303" t="str">
        <f t="shared" si="196"/>
        <v/>
      </c>
      <c r="AQ71" s="303" t="str">
        <f t="shared" si="196"/>
        <v/>
      </c>
      <c r="AR71" s="303" t="str">
        <f t="shared" si="196"/>
        <v/>
      </c>
      <c r="AS71" s="303" t="str">
        <f t="shared" si="196"/>
        <v/>
      </c>
      <c r="AT71" s="303" t="str">
        <f t="shared" si="196"/>
        <v/>
      </c>
      <c r="AU71" s="303" t="str">
        <f t="shared" si="196"/>
        <v/>
      </c>
      <c r="AV71" s="303" t="str">
        <f t="shared" si="196"/>
        <v/>
      </c>
      <c r="AW71" s="303" t="str">
        <f t="shared" si="196"/>
        <v/>
      </c>
      <c r="AX71" s="303" t="str">
        <f t="shared" si="196"/>
        <v/>
      </c>
      <c r="AY71" s="303" t="str">
        <f t="shared" si="196"/>
        <v/>
      </c>
      <c r="AZ71" s="303" t="str">
        <f t="shared" si="196"/>
        <v/>
      </c>
      <c r="BA71" s="303" t="str">
        <f t="shared" si="196"/>
        <v/>
      </c>
      <c r="BB71" s="303" t="str">
        <f t="shared" si="196"/>
        <v/>
      </c>
      <c r="BC71" s="303" t="str">
        <f t="shared" si="196"/>
        <v/>
      </c>
      <c r="BD71" s="303" t="str">
        <f t="shared" si="196"/>
        <v/>
      </c>
      <c r="BE71" s="303" t="str">
        <f t="shared" si="196"/>
        <v/>
      </c>
      <c r="BF71" s="303" t="str">
        <f t="shared" si="196"/>
        <v/>
      </c>
      <c r="BG71" s="303" t="str">
        <f t="shared" si="196"/>
        <v/>
      </c>
      <c r="BH71" s="303" t="str">
        <f t="shared" si="196"/>
        <v/>
      </c>
      <c r="BI71" s="303" t="str">
        <f t="shared" si="196"/>
        <v/>
      </c>
      <c r="BJ71" s="303" t="str">
        <f t="shared" si="196"/>
        <v/>
      </c>
      <c r="BK71" s="303" t="str">
        <f t="shared" si="196"/>
        <v/>
      </c>
      <c r="BL71" s="303" t="str">
        <f t="shared" si="196"/>
        <v/>
      </c>
      <c r="BM71" s="303" t="str">
        <f t="shared" si="196"/>
        <v/>
      </c>
      <c r="BN71" s="303" t="str">
        <f t="shared" ref="BN71:BZ71" si="197">IF(BN$2="-","",(IF(BN232="","",IF(BN$4&lt;$A71,BN232,(BN232-BN$3)/(1+BN$3%)))))</f>
        <v/>
      </c>
      <c r="BO71" s="303" t="str">
        <f t="shared" si="197"/>
        <v/>
      </c>
      <c r="BP71" s="303" t="str">
        <f t="shared" si="197"/>
        <v/>
      </c>
      <c r="BQ71" s="303" t="str">
        <f t="shared" si="197"/>
        <v/>
      </c>
      <c r="BR71" s="303" t="str">
        <f t="shared" si="197"/>
        <v/>
      </c>
      <c r="BS71" s="303" t="str">
        <f t="shared" si="197"/>
        <v/>
      </c>
      <c r="BT71" s="303" t="str">
        <f t="shared" si="197"/>
        <v/>
      </c>
      <c r="BU71" s="303" t="str">
        <f t="shared" si="197"/>
        <v/>
      </c>
      <c r="BV71" s="303" t="str">
        <f t="shared" si="197"/>
        <v/>
      </c>
      <c r="BW71" s="303" t="str">
        <f t="shared" si="197"/>
        <v/>
      </c>
      <c r="BX71" s="303">
        <f t="shared" si="197"/>
        <v>-7.8747628083491445</v>
      </c>
      <c r="BY71" s="303">
        <f t="shared" si="197"/>
        <v>4.7738253077377779</v>
      </c>
      <c r="BZ71" s="303">
        <f t="shared" si="197"/>
        <v>1.01</v>
      </c>
      <c r="CA71" s="303">
        <f t="shared" si="10"/>
        <v>3.0303030303030276</v>
      </c>
    </row>
    <row r="72" spans="1:79">
      <c r="A72" s="58">
        <f t="shared" si="104"/>
        <v>1935</v>
      </c>
      <c r="B72" s="303">
        <f t="shared" ref="B72:AG72" si="198">IF(B$2="-","",(IF(B233="","",IF(B$4&lt;$A72,B233,(B233-B$3)/(1+B$3%)))))</f>
        <v>53.41090772037429</v>
      </c>
      <c r="C72" s="303" t="str">
        <f t="shared" si="198"/>
        <v/>
      </c>
      <c r="D72" s="303">
        <f t="shared" si="198"/>
        <v>53.41090772037429</v>
      </c>
      <c r="E72" s="303" t="str">
        <f t="shared" si="198"/>
        <v/>
      </c>
      <c r="F72" s="303" t="str">
        <f t="shared" si="198"/>
        <v/>
      </c>
      <c r="G72" s="303" t="str">
        <f t="shared" si="198"/>
        <v/>
      </c>
      <c r="H72" s="303" t="str">
        <f t="shared" si="198"/>
        <v/>
      </c>
      <c r="I72" s="303" t="str">
        <f t="shared" si="198"/>
        <v/>
      </c>
      <c r="J72" s="303" t="str">
        <f t="shared" si="198"/>
        <v/>
      </c>
      <c r="K72" s="303" t="str">
        <f t="shared" si="198"/>
        <v/>
      </c>
      <c r="L72" s="303" t="str">
        <f t="shared" si="198"/>
        <v/>
      </c>
      <c r="M72" s="303" t="str">
        <f t="shared" si="198"/>
        <v/>
      </c>
      <c r="N72" s="303" t="str">
        <f t="shared" si="198"/>
        <v/>
      </c>
      <c r="O72" s="303" t="str">
        <f t="shared" si="198"/>
        <v/>
      </c>
      <c r="P72" s="303" t="str">
        <f t="shared" si="198"/>
        <v/>
      </c>
      <c r="Q72" s="303" t="str">
        <f t="shared" si="198"/>
        <v/>
      </c>
      <c r="R72" s="303" t="str">
        <f t="shared" si="198"/>
        <v/>
      </c>
      <c r="S72" s="303" t="str">
        <f t="shared" si="198"/>
        <v/>
      </c>
      <c r="T72" s="303">
        <f t="shared" si="198"/>
        <v>3.198957164182354</v>
      </c>
      <c r="U72" s="303">
        <f t="shared" si="198"/>
        <v>3.198957164182354</v>
      </c>
      <c r="V72" s="303">
        <f t="shared" si="198"/>
        <v>0.65940653411929273</v>
      </c>
      <c r="W72" s="303" t="str">
        <f t="shared" si="198"/>
        <v/>
      </c>
      <c r="X72" s="303" t="str">
        <f t="shared" si="198"/>
        <v/>
      </c>
      <c r="Y72" s="303" t="str">
        <f t="shared" si="198"/>
        <v/>
      </c>
      <c r="Z72" s="303" t="str">
        <f t="shared" si="198"/>
        <v/>
      </c>
      <c r="AA72" s="303" t="str">
        <f t="shared" si="198"/>
        <v/>
      </c>
      <c r="AB72" s="303" t="str">
        <f t="shared" si="198"/>
        <v/>
      </c>
      <c r="AC72" s="303" t="str">
        <f t="shared" si="198"/>
        <v/>
      </c>
      <c r="AD72" s="303" t="str">
        <f t="shared" si="198"/>
        <v/>
      </c>
      <c r="AE72" s="303" t="str">
        <f t="shared" si="198"/>
        <v/>
      </c>
      <c r="AF72" s="303" t="str">
        <f t="shared" si="198"/>
        <v/>
      </c>
      <c r="AG72" s="303" t="str">
        <f t="shared" si="198"/>
        <v/>
      </c>
      <c r="AH72" s="303" t="str">
        <f t="shared" ref="AH72:BM72" si="199">IF(AH$2="-","",(IF(AH233="","",IF(AH$4&lt;$A72,AH233,(AH233-AH$3)/(1+AH$3%)))))</f>
        <v/>
      </c>
      <c r="AI72" s="303" t="str">
        <f t="shared" si="199"/>
        <v/>
      </c>
      <c r="AJ72" s="303" t="str">
        <f t="shared" si="199"/>
        <v/>
      </c>
      <c r="AK72" s="303" t="str">
        <f t="shared" si="199"/>
        <v/>
      </c>
      <c r="AL72" s="303" t="str">
        <f t="shared" si="199"/>
        <v/>
      </c>
      <c r="AM72" s="303" t="str">
        <f t="shared" si="199"/>
        <v/>
      </c>
      <c r="AN72" s="303" t="str">
        <f t="shared" si="199"/>
        <v/>
      </c>
      <c r="AO72" s="303" t="str">
        <f t="shared" si="199"/>
        <v/>
      </c>
      <c r="AP72" s="303" t="str">
        <f t="shared" si="199"/>
        <v/>
      </c>
      <c r="AQ72" s="303" t="str">
        <f t="shared" si="199"/>
        <v/>
      </c>
      <c r="AR72" s="303" t="str">
        <f t="shared" si="199"/>
        <v/>
      </c>
      <c r="AS72" s="303" t="str">
        <f t="shared" si="199"/>
        <v/>
      </c>
      <c r="AT72" s="303" t="str">
        <f t="shared" si="199"/>
        <v/>
      </c>
      <c r="AU72" s="303" t="str">
        <f t="shared" si="199"/>
        <v/>
      </c>
      <c r="AV72" s="303" t="str">
        <f t="shared" si="199"/>
        <v/>
      </c>
      <c r="AW72" s="303" t="str">
        <f t="shared" si="199"/>
        <v/>
      </c>
      <c r="AX72" s="303" t="str">
        <f t="shared" si="199"/>
        <v/>
      </c>
      <c r="AY72" s="303" t="str">
        <f t="shared" si="199"/>
        <v/>
      </c>
      <c r="AZ72" s="303" t="str">
        <f t="shared" si="199"/>
        <v/>
      </c>
      <c r="BA72" s="303" t="str">
        <f t="shared" si="199"/>
        <v/>
      </c>
      <c r="BB72" s="303" t="str">
        <f t="shared" si="199"/>
        <v/>
      </c>
      <c r="BC72" s="303" t="str">
        <f t="shared" si="199"/>
        <v/>
      </c>
      <c r="BD72" s="303" t="str">
        <f t="shared" si="199"/>
        <v/>
      </c>
      <c r="BE72" s="303" t="str">
        <f t="shared" si="199"/>
        <v/>
      </c>
      <c r="BF72" s="303" t="str">
        <f t="shared" si="199"/>
        <v/>
      </c>
      <c r="BG72" s="303" t="str">
        <f t="shared" si="199"/>
        <v/>
      </c>
      <c r="BH72" s="303" t="str">
        <f t="shared" si="199"/>
        <v/>
      </c>
      <c r="BI72" s="303" t="str">
        <f t="shared" si="199"/>
        <v/>
      </c>
      <c r="BJ72" s="303" t="str">
        <f t="shared" si="199"/>
        <v/>
      </c>
      <c r="BK72" s="303" t="str">
        <f t="shared" si="199"/>
        <v/>
      </c>
      <c r="BL72" s="303" t="str">
        <f t="shared" si="199"/>
        <v/>
      </c>
      <c r="BM72" s="303" t="str">
        <f t="shared" si="199"/>
        <v/>
      </c>
      <c r="BN72" s="303" t="str">
        <f t="shared" ref="BN72:BZ72" si="200">IF(BN$2="-","",(IF(BN233="","",IF(BN$4&lt;$A72,BN233,(BN233-BN$3)/(1+BN$3%)))))</f>
        <v/>
      </c>
      <c r="BO72" s="303" t="str">
        <f t="shared" si="200"/>
        <v/>
      </c>
      <c r="BP72" s="303" t="str">
        <f t="shared" si="200"/>
        <v/>
      </c>
      <c r="BQ72" s="303" t="str">
        <f t="shared" si="200"/>
        <v/>
      </c>
      <c r="BR72" s="303" t="str">
        <f t="shared" si="200"/>
        <v/>
      </c>
      <c r="BS72" s="303" t="str">
        <f t="shared" si="200"/>
        <v/>
      </c>
      <c r="BT72" s="303" t="str">
        <f t="shared" si="200"/>
        <v/>
      </c>
      <c r="BU72" s="303" t="str">
        <f t="shared" si="200"/>
        <v/>
      </c>
      <c r="BV72" s="303" t="str">
        <f t="shared" si="200"/>
        <v/>
      </c>
      <c r="BW72" s="303" t="str">
        <f t="shared" si="200"/>
        <v/>
      </c>
      <c r="BX72" s="303">
        <f t="shared" si="200"/>
        <v>53.671706263498933</v>
      </c>
      <c r="BY72" s="303">
        <f t="shared" si="200"/>
        <v>3.4053550785107189</v>
      </c>
      <c r="BZ72" s="303">
        <f t="shared" si="200"/>
        <v>0.75</v>
      </c>
      <c r="CA72" s="303">
        <f t="shared" si="10"/>
        <v>1.4705882352941346</v>
      </c>
    </row>
    <row r="73" spans="1:79">
      <c r="A73" s="58">
        <f t="shared" ref="A73:A104" si="201">A72+1</f>
        <v>1936</v>
      </c>
      <c r="B73" s="303">
        <f t="shared" ref="B73:AG73" si="202">IF(B$2="-","",(IF(B234="","",IF(B$4&lt;$A73,B234,(B234-B$3)/(1+B$3%)))))</f>
        <v>32.84103071290432</v>
      </c>
      <c r="C73" s="303" t="str">
        <f t="shared" si="202"/>
        <v/>
      </c>
      <c r="D73" s="303">
        <f t="shared" si="202"/>
        <v>32.84103071290432</v>
      </c>
      <c r="E73" s="303" t="str">
        <f t="shared" si="202"/>
        <v/>
      </c>
      <c r="F73" s="303" t="str">
        <f t="shared" si="202"/>
        <v/>
      </c>
      <c r="G73" s="303" t="str">
        <f t="shared" si="202"/>
        <v/>
      </c>
      <c r="H73" s="303" t="str">
        <f t="shared" si="202"/>
        <v/>
      </c>
      <c r="I73" s="303" t="str">
        <f t="shared" si="202"/>
        <v/>
      </c>
      <c r="J73" s="303" t="str">
        <f t="shared" si="202"/>
        <v/>
      </c>
      <c r="K73" s="303" t="str">
        <f t="shared" si="202"/>
        <v/>
      </c>
      <c r="L73" s="303" t="str">
        <f t="shared" si="202"/>
        <v/>
      </c>
      <c r="M73" s="303" t="str">
        <f t="shared" si="202"/>
        <v/>
      </c>
      <c r="N73" s="303" t="str">
        <f t="shared" si="202"/>
        <v/>
      </c>
      <c r="O73" s="303" t="str">
        <f t="shared" si="202"/>
        <v/>
      </c>
      <c r="P73" s="303" t="str">
        <f t="shared" si="202"/>
        <v/>
      </c>
      <c r="Q73" s="303" t="str">
        <f t="shared" si="202"/>
        <v/>
      </c>
      <c r="R73" s="303" t="str">
        <f t="shared" si="202"/>
        <v/>
      </c>
      <c r="S73" s="303" t="str">
        <f t="shared" si="202"/>
        <v/>
      </c>
      <c r="T73" s="303">
        <f t="shared" si="202"/>
        <v>2.3110418079983979</v>
      </c>
      <c r="U73" s="303">
        <f t="shared" si="202"/>
        <v>2.3110418079983979</v>
      </c>
      <c r="V73" s="303">
        <f t="shared" si="202"/>
        <v>0.65940653411929273</v>
      </c>
      <c r="W73" s="303" t="str">
        <f t="shared" si="202"/>
        <v/>
      </c>
      <c r="X73" s="303" t="str">
        <f t="shared" si="202"/>
        <v/>
      </c>
      <c r="Y73" s="303" t="str">
        <f t="shared" si="202"/>
        <v/>
      </c>
      <c r="Z73" s="303" t="str">
        <f t="shared" si="202"/>
        <v/>
      </c>
      <c r="AA73" s="303" t="str">
        <f t="shared" si="202"/>
        <v/>
      </c>
      <c r="AB73" s="303" t="str">
        <f t="shared" si="202"/>
        <v/>
      </c>
      <c r="AC73" s="303" t="str">
        <f t="shared" si="202"/>
        <v/>
      </c>
      <c r="AD73" s="303" t="str">
        <f t="shared" si="202"/>
        <v/>
      </c>
      <c r="AE73" s="303" t="str">
        <f t="shared" si="202"/>
        <v/>
      </c>
      <c r="AF73" s="303" t="str">
        <f t="shared" si="202"/>
        <v/>
      </c>
      <c r="AG73" s="303" t="str">
        <f t="shared" si="202"/>
        <v/>
      </c>
      <c r="AH73" s="303" t="str">
        <f t="shared" ref="AH73:BM73" si="203">IF(AH$2="-","",(IF(AH234="","",IF(AH$4&lt;$A73,AH234,(AH234-AH$3)/(1+AH$3%)))))</f>
        <v/>
      </c>
      <c r="AI73" s="303" t="str">
        <f t="shared" si="203"/>
        <v/>
      </c>
      <c r="AJ73" s="303" t="str">
        <f t="shared" si="203"/>
        <v/>
      </c>
      <c r="AK73" s="303" t="str">
        <f t="shared" si="203"/>
        <v/>
      </c>
      <c r="AL73" s="303" t="str">
        <f t="shared" si="203"/>
        <v/>
      </c>
      <c r="AM73" s="303" t="str">
        <f t="shared" si="203"/>
        <v/>
      </c>
      <c r="AN73" s="303" t="str">
        <f t="shared" si="203"/>
        <v/>
      </c>
      <c r="AO73" s="303" t="str">
        <f t="shared" si="203"/>
        <v/>
      </c>
      <c r="AP73" s="303" t="str">
        <f t="shared" si="203"/>
        <v/>
      </c>
      <c r="AQ73" s="303" t="str">
        <f t="shared" si="203"/>
        <v/>
      </c>
      <c r="AR73" s="303" t="str">
        <f t="shared" si="203"/>
        <v/>
      </c>
      <c r="AS73" s="303" t="str">
        <f t="shared" si="203"/>
        <v/>
      </c>
      <c r="AT73" s="303" t="str">
        <f t="shared" si="203"/>
        <v/>
      </c>
      <c r="AU73" s="303" t="str">
        <f t="shared" si="203"/>
        <v/>
      </c>
      <c r="AV73" s="303" t="str">
        <f t="shared" si="203"/>
        <v/>
      </c>
      <c r="AW73" s="303" t="str">
        <f t="shared" si="203"/>
        <v/>
      </c>
      <c r="AX73" s="303" t="str">
        <f t="shared" si="203"/>
        <v/>
      </c>
      <c r="AY73" s="303" t="str">
        <f t="shared" si="203"/>
        <v/>
      </c>
      <c r="AZ73" s="303" t="str">
        <f t="shared" si="203"/>
        <v/>
      </c>
      <c r="BA73" s="303" t="str">
        <f t="shared" si="203"/>
        <v/>
      </c>
      <c r="BB73" s="303" t="str">
        <f t="shared" si="203"/>
        <v/>
      </c>
      <c r="BC73" s="303" t="str">
        <f t="shared" si="203"/>
        <v/>
      </c>
      <c r="BD73" s="303" t="str">
        <f t="shared" si="203"/>
        <v/>
      </c>
      <c r="BE73" s="303" t="str">
        <f t="shared" si="203"/>
        <v/>
      </c>
      <c r="BF73" s="303" t="str">
        <f t="shared" si="203"/>
        <v/>
      </c>
      <c r="BG73" s="303" t="str">
        <f t="shared" si="203"/>
        <v/>
      </c>
      <c r="BH73" s="303" t="str">
        <f t="shared" si="203"/>
        <v/>
      </c>
      <c r="BI73" s="303" t="str">
        <f t="shared" si="203"/>
        <v/>
      </c>
      <c r="BJ73" s="303" t="str">
        <f t="shared" si="203"/>
        <v/>
      </c>
      <c r="BK73" s="303" t="str">
        <f t="shared" si="203"/>
        <v/>
      </c>
      <c r="BL73" s="303" t="str">
        <f t="shared" si="203"/>
        <v/>
      </c>
      <c r="BM73" s="303" t="str">
        <f t="shared" si="203"/>
        <v/>
      </c>
      <c r="BN73" s="303" t="str">
        <f t="shared" ref="BN73:BZ73" si="204">IF(BN$2="-","",(IF(BN234="","",IF(BN$4&lt;$A73,BN234,(BN234-BN$3)/(1+BN$3%)))))</f>
        <v/>
      </c>
      <c r="BO73" s="303" t="str">
        <f t="shared" si="204"/>
        <v/>
      </c>
      <c r="BP73" s="303" t="str">
        <f t="shared" si="204"/>
        <v/>
      </c>
      <c r="BQ73" s="303" t="str">
        <f t="shared" si="204"/>
        <v/>
      </c>
      <c r="BR73" s="303" t="str">
        <f t="shared" si="204"/>
        <v/>
      </c>
      <c r="BS73" s="303" t="str">
        <f t="shared" si="204"/>
        <v/>
      </c>
      <c r="BT73" s="303" t="str">
        <f t="shared" si="204"/>
        <v/>
      </c>
      <c r="BU73" s="303" t="str">
        <f t="shared" si="204"/>
        <v/>
      </c>
      <c r="BV73" s="303" t="str">
        <f t="shared" si="204"/>
        <v/>
      </c>
      <c r="BW73" s="303" t="str">
        <f t="shared" si="204"/>
        <v/>
      </c>
      <c r="BX73" s="303">
        <f t="shared" si="204"/>
        <v>33.066860465116264</v>
      </c>
      <c r="BY73" s="303">
        <f t="shared" si="204"/>
        <v>2.5156638916143947</v>
      </c>
      <c r="BZ73" s="303">
        <f t="shared" si="204"/>
        <v>0.75</v>
      </c>
      <c r="CA73" s="303">
        <f t="shared" ref="CA73:CA136" si="205">IF(CA234&lt;&gt;"",CA234,"")</f>
        <v>2.1739130434782483</v>
      </c>
    </row>
    <row r="74" spans="1:79">
      <c r="A74" s="58">
        <f t="shared" si="201"/>
        <v>1937</v>
      </c>
      <c r="B74" s="303">
        <f t="shared" ref="B74:AG74" si="206">IF(B$2="-","",(IF(B235="","",IF(B$4&lt;$A74,B235,(B235-B$3)/(1+B$3%)))))</f>
        <v>-31.270904272287986</v>
      </c>
      <c r="C74" s="303" t="str">
        <f t="shared" si="206"/>
        <v/>
      </c>
      <c r="D74" s="303">
        <f t="shared" si="206"/>
        <v>-31.270904272287986</v>
      </c>
      <c r="E74" s="303" t="str">
        <f t="shared" si="206"/>
        <v/>
      </c>
      <c r="F74" s="303" t="str">
        <f t="shared" si="206"/>
        <v/>
      </c>
      <c r="G74" s="303" t="str">
        <f t="shared" si="206"/>
        <v/>
      </c>
      <c r="H74" s="303" t="str">
        <f t="shared" si="206"/>
        <v/>
      </c>
      <c r="I74" s="303" t="str">
        <f t="shared" si="206"/>
        <v/>
      </c>
      <c r="J74" s="303" t="str">
        <f t="shared" si="206"/>
        <v/>
      </c>
      <c r="K74" s="303" t="str">
        <f t="shared" si="206"/>
        <v/>
      </c>
      <c r="L74" s="303" t="str">
        <f t="shared" si="206"/>
        <v/>
      </c>
      <c r="M74" s="303" t="str">
        <f t="shared" si="206"/>
        <v/>
      </c>
      <c r="N74" s="303" t="str">
        <f t="shared" si="206"/>
        <v/>
      </c>
      <c r="O74" s="303" t="str">
        <f t="shared" si="206"/>
        <v/>
      </c>
      <c r="P74" s="303" t="str">
        <f t="shared" si="206"/>
        <v/>
      </c>
      <c r="Q74" s="303" t="str">
        <f t="shared" si="206"/>
        <v/>
      </c>
      <c r="R74" s="303" t="str">
        <f t="shared" si="206"/>
        <v/>
      </c>
      <c r="S74" s="303" t="str">
        <f t="shared" si="206"/>
        <v/>
      </c>
      <c r="T74" s="303">
        <f t="shared" si="206"/>
        <v>2.9990747497471362</v>
      </c>
      <c r="U74" s="303">
        <f t="shared" si="206"/>
        <v>2.9990747497471362</v>
      </c>
      <c r="V74" s="303">
        <f t="shared" si="206"/>
        <v>0.78928963932460794</v>
      </c>
      <c r="W74" s="303" t="str">
        <f t="shared" si="206"/>
        <v/>
      </c>
      <c r="X74" s="303" t="str">
        <f t="shared" si="206"/>
        <v/>
      </c>
      <c r="Y74" s="303" t="str">
        <f t="shared" si="206"/>
        <v/>
      </c>
      <c r="Z74" s="303" t="str">
        <f t="shared" si="206"/>
        <v/>
      </c>
      <c r="AA74" s="303" t="str">
        <f t="shared" si="206"/>
        <v/>
      </c>
      <c r="AB74" s="303" t="str">
        <f t="shared" si="206"/>
        <v/>
      </c>
      <c r="AC74" s="303" t="str">
        <f t="shared" si="206"/>
        <v/>
      </c>
      <c r="AD74" s="303" t="str">
        <f t="shared" si="206"/>
        <v/>
      </c>
      <c r="AE74" s="303" t="str">
        <f t="shared" si="206"/>
        <v/>
      </c>
      <c r="AF74" s="303" t="str">
        <f t="shared" si="206"/>
        <v/>
      </c>
      <c r="AG74" s="303" t="str">
        <f t="shared" si="206"/>
        <v/>
      </c>
      <c r="AH74" s="303" t="str">
        <f t="shared" ref="AH74:BM74" si="207">IF(AH$2="-","",(IF(AH235="","",IF(AH$4&lt;$A74,AH235,(AH235-AH$3)/(1+AH$3%)))))</f>
        <v/>
      </c>
      <c r="AI74" s="303" t="str">
        <f t="shared" si="207"/>
        <v/>
      </c>
      <c r="AJ74" s="303" t="str">
        <f t="shared" si="207"/>
        <v/>
      </c>
      <c r="AK74" s="303" t="str">
        <f t="shared" si="207"/>
        <v/>
      </c>
      <c r="AL74" s="303" t="str">
        <f t="shared" si="207"/>
        <v/>
      </c>
      <c r="AM74" s="303" t="str">
        <f t="shared" si="207"/>
        <v/>
      </c>
      <c r="AN74" s="303" t="str">
        <f t="shared" si="207"/>
        <v/>
      </c>
      <c r="AO74" s="303" t="str">
        <f t="shared" si="207"/>
        <v/>
      </c>
      <c r="AP74" s="303" t="str">
        <f t="shared" si="207"/>
        <v/>
      </c>
      <c r="AQ74" s="303" t="str">
        <f t="shared" si="207"/>
        <v/>
      </c>
      <c r="AR74" s="303" t="str">
        <f t="shared" si="207"/>
        <v/>
      </c>
      <c r="AS74" s="303" t="str">
        <f t="shared" si="207"/>
        <v/>
      </c>
      <c r="AT74" s="303" t="str">
        <f t="shared" si="207"/>
        <v/>
      </c>
      <c r="AU74" s="303" t="str">
        <f t="shared" si="207"/>
        <v/>
      </c>
      <c r="AV74" s="303" t="str">
        <f t="shared" si="207"/>
        <v/>
      </c>
      <c r="AW74" s="303" t="str">
        <f t="shared" si="207"/>
        <v/>
      </c>
      <c r="AX74" s="303" t="str">
        <f t="shared" si="207"/>
        <v/>
      </c>
      <c r="AY74" s="303" t="str">
        <f t="shared" si="207"/>
        <v/>
      </c>
      <c r="AZ74" s="303" t="str">
        <f t="shared" si="207"/>
        <v/>
      </c>
      <c r="BA74" s="303" t="str">
        <f t="shared" si="207"/>
        <v/>
      </c>
      <c r="BB74" s="303" t="str">
        <f t="shared" si="207"/>
        <v/>
      </c>
      <c r="BC74" s="303" t="str">
        <f t="shared" si="207"/>
        <v/>
      </c>
      <c r="BD74" s="303" t="str">
        <f t="shared" si="207"/>
        <v/>
      </c>
      <c r="BE74" s="303" t="str">
        <f t="shared" si="207"/>
        <v/>
      </c>
      <c r="BF74" s="303" t="str">
        <f t="shared" si="207"/>
        <v/>
      </c>
      <c r="BG74" s="303" t="str">
        <f t="shared" si="207"/>
        <v/>
      </c>
      <c r="BH74" s="303" t="str">
        <f t="shared" si="207"/>
        <v/>
      </c>
      <c r="BI74" s="303" t="str">
        <f t="shared" si="207"/>
        <v/>
      </c>
      <c r="BJ74" s="303" t="str">
        <f t="shared" si="207"/>
        <v/>
      </c>
      <c r="BK74" s="303" t="str">
        <f t="shared" si="207"/>
        <v/>
      </c>
      <c r="BL74" s="303" t="str">
        <f t="shared" si="207"/>
        <v/>
      </c>
      <c r="BM74" s="303" t="str">
        <f t="shared" si="207"/>
        <v/>
      </c>
      <c r="BN74" s="303" t="str">
        <f t="shared" ref="BN74:BZ74" si="208">IF(BN$2="-","",(IF(BN235="","",IF(BN$4&lt;$A74,BN235,(BN235-BN$3)/(1+BN$3%)))))</f>
        <v/>
      </c>
      <c r="BO74" s="303" t="str">
        <f t="shared" si="208"/>
        <v/>
      </c>
      <c r="BP74" s="303" t="str">
        <f t="shared" si="208"/>
        <v/>
      </c>
      <c r="BQ74" s="303" t="str">
        <f t="shared" si="208"/>
        <v/>
      </c>
      <c r="BR74" s="303" t="str">
        <f t="shared" si="208"/>
        <v/>
      </c>
      <c r="BS74" s="303" t="str">
        <f t="shared" si="208"/>
        <v/>
      </c>
      <c r="BT74" s="303" t="str">
        <f t="shared" si="208"/>
        <v/>
      </c>
      <c r="BU74" s="303" t="str">
        <f t="shared" si="208"/>
        <v/>
      </c>
      <c r="BV74" s="303" t="str">
        <f t="shared" si="208"/>
        <v/>
      </c>
      <c r="BW74" s="303" t="str">
        <f t="shared" si="208"/>
        <v/>
      </c>
      <c r="BX74" s="303">
        <f t="shared" si="208"/>
        <v>-31.154064809550874</v>
      </c>
      <c r="BY74" s="303">
        <f t="shared" si="208"/>
        <v>3.2050728992466304</v>
      </c>
      <c r="BZ74" s="303">
        <f t="shared" si="208"/>
        <v>0.88</v>
      </c>
      <c r="CA74" s="303">
        <f t="shared" si="205"/>
        <v>0.70921985815601829</v>
      </c>
    </row>
    <row r="75" spans="1:79">
      <c r="A75" s="58">
        <f t="shared" si="201"/>
        <v>1938</v>
      </c>
      <c r="B75" s="303">
        <f t="shared" ref="B75:AG75" si="209">IF(B$2="-","",(IF(B236="","",IF(B$4&lt;$A75,B236,(B236-B$3)/(1+B$3%)))))</f>
        <v>14.835725332363788</v>
      </c>
      <c r="C75" s="303" t="str">
        <f t="shared" si="209"/>
        <v/>
      </c>
      <c r="D75" s="303">
        <f t="shared" si="209"/>
        <v>14.835725332363788</v>
      </c>
      <c r="E75" s="303" t="str">
        <f t="shared" si="209"/>
        <v/>
      </c>
      <c r="F75" s="303" t="str">
        <f t="shared" si="209"/>
        <v/>
      </c>
      <c r="G75" s="303" t="str">
        <f t="shared" si="209"/>
        <v/>
      </c>
      <c r="H75" s="303" t="str">
        <f t="shared" si="209"/>
        <v/>
      </c>
      <c r="I75" s="303" t="str">
        <f t="shared" si="209"/>
        <v/>
      </c>
      <c r="J75" s="303" t="str">
        <f t="shared" si="209"/>
        <v/>
      </c>
      <c r="K75" s="303" t="str">
        <f t="shared" si="209"/>
        <v/>
      </c>
      <c r="L75" s="303" t="str">
        <f t="shared" si="209"/>
        <v/>
      </c>
      <c r="M75" s="303" t="str">
        <f t="shared" si="209"/>
        <v/>
      </c>
      <c r="N75" s="303" t="str">
        <f t="shared" si="209"/>
        <v/>
      </c>
      <c r="O75" s="303" t="str">
        <f t="shared" si="209"/>
        <v/>
      </c>
      <c r="P75" s="303" t="str">
        <f t="shared" si="209"/>
        <v/>
      </c>
      <c r="Q75" s="303" t="str">
        <f t="shared" si="209"/>
        <v/>
      </c>
      <c r="R75" s="303" t="str">
        <f t="shared" si="209"/>
        <v/>
      </c>
      <c r="S75" s="303" t="str">
        <f t="shared" si="209"/>
        <v/>
      </c>
      <c r="T75" s="303">
        <f t="shared" si="209"/>
        <v>3.7040411180188415</v>
      </c>
      <c r="U75" s="303">
        <f t="shared" si="209"/>
        <v>3.7040411180188415</v>
      </c>
      <c r="V75" s="303">
        <f t="shared" si="209"/>
        <v>0.78928963932460794</v>
      </c>
      <c r="W75" s="303" t="str">
        <f t="shared" si="209"/>
        <v/>
      </c>
      <c r="X75" s="303" t="str">
        <f t="shared" si="209"/>
        <v/>
      </c>
      <c r="Y75" s="303" t="str">
        <f t="shared" si="209"/>
        <v/>
      </c>
      <c r="Z75" s="303" t="str">
        <f t="shared" si="209"/>
        <v/>
      </c>
      <c r="AA75" s="303" t="str">
        <f t="shared" si="209"/>
        <v/>
      </c>
      <c r="AB75" s="303" t="str">
        <f t="shared" si="209"/>
        <v/>
      </c>
      <c r="AC75" s="303" t="str">
        <f t="shared" si="209"/>
        <v/>
      </c>
      <c r="AD75" s="303" t="str">
        <f t="shared" si="209"/>
        <v/>
      </c>
      <c r="AE75" s="303" t="str">
        <f t="shared" si="209"/>
        <v/>
      </c>
      <c r="AF75" s="303" t="str">
        <f t="shared" si="209"/>
        <v/>
      </c>
      <c r="AG75" s="303" t="str">
        <f t="shared" si="209"/>
        <v/>
      </c>
      <c r="AH75" s="303" t="str">
        <f t="shared" ref="AH75:BM75" si="210">IF(AH$2="-","",(IF(AH236="","",IF(AH$4&lt;$A75,AH236,(AH236-AH$3)/(1+AH$3%)))))</f>
        <v/>
      </c>
      <c r="AI75" s="303" t="str">
        <f t="shared" si="210"/>
        <v/>
      </c>
      <c r="AJ75" s="303" t="str">
        <f t="shared" si="210"/>
        <v/>
      </c>
      <c r="AK75" s="303" t="str">
        <f t="shared" si="210"/>
        <v/>
      </c>
      <c r="AL75" s="303" t="str">
        <f t="shared" si="210"/>
        <v/>
      </c>
      <c r="AM75" s="303" t="str">
        <f t="shared" si="210"/>
        <v/>
      </c>
      <c r="AN75" s="303" t="str">
        <f t="shared" si="210"/>
        <v/>
      </c>
      <c r="AO75" s="303" t="str">
        <f t="shared" si="210"/>
        <v/>
      </c>
      <c r="AP75" s="303" t="str">
        <f t="shared" si="210"/>
        <v/>
      </c>
      <c r="AQ75" s="303" t="str">
        <f t="shared" si="210"/>
        <v/>
      </c>
      <c r="AR75" s="303" t="str">
        <f t="shared" si="210"/>
        <v/>
      </c>
      <c r="AS75" s="303" t="str">
        <f t="shared" si="210"/>
        <v/>
      </c>
      <c r="AT75" s="303" t="str">
        <f t="shared" si="210"/>
        <v/>
      </c>
      <c r="AU75" s="303" t="str">
        <f t="shared" si="210"/>
        <v/>
      </c>
      <c r="AV75" s="303" t="str">
        <f t="shared" si="210"/>
        <v/>
      </c>
      <c r="AW75" s="303" t="str">
        <f t="shared" si="210"/>
        <v/>
      </c>
      <c r="AX75" s="303" t="str">
        <f t="shared" si="210"/>
        <v/>
      </c>
      <c r="AY75" s="303" t="str">
        <f t="shared" si="210"/>
        <v/>
      </c>
      <c r="AZ75" s="303" t="str">
        <f t="shared" si="210"/>
        <v/>
      </c>
      <c r="BA75" s="303" t="str">
        <f t="shared" si="210"/>
        <v/>
      </c>
      <c r="BB75" s="303" t="str">
        <f t="shared" si="210"/>
        <v/>
      </c>
      <c r="BC75" s="303" t="str">
        <f t="shared" si="210"/>
        <v/>
      </c>
      <c r="BD75" s="303" t="str">
        <f t="shared" si="210"/>
        <v/>
      </c>
      <c r="BE75" s="303" t="str">
        <f t="shared" si="210"/>
        <v/>
      </c>
      <c r="BF75" s="303" t="str">
        <f t="shared" si="210"/>
        <v/>
      </c>
      <c r="BG75" s="303" t="str">
        <f t="shared" si="210"/>
        <v/>
      </c>
      <c r="BH75" s="303" t="str">
        <f t="shared" si="210"/>
        <v/>
      </c>
      <c r="BI75" s="303" t="str">
        <f t="shared" si="210"/>
        <v/>
      </c>
      <c r="BJ75" s="303" t="str">
        <f t="shared" si="210"/>
        <v/>
      </c>
      <c r="BK75" s="303" t="str">
        <f t="shared" si="210"/>
        <v/>
      </c>
      <c r="BL75" s="303" t="str">
        <f t="shared" si="210"/>
        <v/>
      </c>
      <c r="BM75" s="303" t="str">
        <f t="shared" si="210"/>
        <v/>
      </c>
      <c r="BN75" s="303" t="str">
        <f t="shared" ref="BN75:BZ75" si="211">IF(BN$2="-","",(IF(BN236="","",IF(BN$4&lt;$A75,BN236,(BN236-BN$3)/(1+BN$3%)))))</f>
        <v/>
      </c>
      <c r="BO75" s="303" t="str">
        <f t="shared" si="211"/>
        <v/>
      </c>
      <c r="BP75" s="303" t="str">
        <f t="shared" si="211"/>
        <v/>
      </c>
      <c r="BQ75" s="303" t="str">
        <f t="shared" si="211"/>
        <v/>
      </c>
      <c r="BR75" s="303" t="str">
        <f t="shared" si="211"/>
        <v/>
      </c>
      <c r="BS75" s="303" t="str">
        <f t="shared" si="211"/>
        <v/>
      </c>
      <c r="BT75" s="303" t="str">
        <f t="shared" si="211"/>
        <v/>
      </c>
      <c r="BU75" s="303" t="str">
        <f t="shared" si="211"/>
        <v/>
      </c>
      <c r="BV75" s="303" t="str">
        <f t="shared" si="211"/>
        <v/>
      </c>
      <c r="BW75" s="303" t="str">
        <f t="shared" si="211"/>
        <v/>
      </c>
      <c r="BX75" s="303">
        <f t="shared" si="211"/>
        <v>15.030946065428807</v>
      </c>
      <c r="BY75" s="303">
        <f t="shared" si="211"/>
        <v>3.9114492002548795</v>
      </c>
      <c r="BZ75" s="303">
        <f t="shared" si="211"/>
        <v>0.88</v>
      </c>
      <c r="CA75" s="303">
        <f t="shared" si="205"/>
        <v>-1.4084507042253502</v>
      </c>
    </row>
    <row r="76" spans="1:79">
      <c r="A76" s="58">
        <f t="shared" si="201"/>
        <v>1939</v>
      </c>
      <c r="B76" s="303">
        <f t="shared" ref="B76:AG76" si="212">IF(B$2="-","",(IF(B237="","",IF(B$4&lt;$A76,B237,(B237-B$3)/(1+B$3%)))))</f>
        <v>3.1845862034541352</v>
      </c>
      <c r="C76" s="303" t="str">
        <f t="shared" si="212"/>
        <v/>
      </c>
      <c r="D76" s="303">
        <f t="shared" si="212"/>
        <v>3.1845862034541352</v>
      </c>
      <c r="E76" s="303" t="str">
        <f t="shared" si="212"/>
        <v/>
      </c>
      <c r="F76" s="303" t="str">
        <f t="shared" si="212"/>
        <v/>
      </c>
      <c r="G76" s="303" t="str">
        <f t="shared" si="212"/>
        <v/>
      </c>
      <c r="H76" s="303" t="str">
        <f t="shared" si="212"/>
        <v/>
      </c>
      <c r="I76" s="303" t="str">
        <f t="shared" si="212"/>
        <v/>
      </c>
      <c r="J76" s="303" t="str">
        <f t="shared" si="212"/>
        <v/>
      </c>
      <c r="K76" s="303" t="str">
        <f t="shared" si="212"/>
        <v/>
      </c>
      <c r="L76" s="303" t="str">
        <f t="shared" si="212"/>
        <v/>
      </c>
      <c r="M76" s="303" t="str">
        <f t="shared" si="212"/>
        <v/>
      </c>
      <c r="N76" s="303" t="str">
        <f t="shared" si="212"/>
        <v/>
      </c>
      <c r="O76" s="303" t="str">
        <f t="shared" si="212"/>
        <v/>
      </c>
      <c r="P76" s="303" t="str">
        <f t="shared" si="212"/>
        <v/>
      </c>
      <c r="Q76" s="303" t="str">
        <f t="shared" si="212"/>
        <v/>
      </c>
      <c r="R76" s="303" t="str">
        <f t="shared" si="212"/>
        <v/>
      </c>
      <c r="S76" s="303" t="str">
        <f t="shared" si="212"/>
        <v/>
      </c>
      <c r="T76" s="303">
        <f t="shared" si="212"/>
        <v>2.7579043737854674</v>
      </c>
      <c r="U76" s="303">
        <f t="shared" si="212"/>
        <v>2.7579043737854674</v>
      </c>
      <c r="V76" s="303">
        <f t="shared" si="212"/>
        <v>0.46957738035767821</v>
      </c>
      <c r="W76" s="303" t="str">
        <f t="shared" si="212"/>
        <v/>
      </c>
      <c r="X76" s="303" t="str">
        <f t="shared" si="212"/>
        <v/>
      </c>
      <c r="Y76" s="303" t="str">
        <f t="shared" si="212"/>
        <v/>
      </c>
      <c r="Z76" s="303" t="str">
        <f t="shared" si="212"/>
        <v/>
      </c>
      <c r="AA76" s="303" t="str">
        <f t="shared" si="212"/>
        <v/>
      </c>
      <c r="AB76" s="303" t="str">
        <f t="shared" si="212"/>
        <v/>
      </c>
      <c r="AC76" s="303" t="str">
        <f t="shared" si="212"/>
        <v/>
      </c>
      <c r="AD76" s="303" t="str">
        <f t="shared" si="212"/>
        <v/>
      </c>
      <c r="AE76" s="303" t="str">
        <f t="shared" si="212"/>
        <v/>
      </c>
      <c r="AF76" s="303" t="str">
        <f t="shared" si="212"/>
        <v/>
      </c>
      <c r="AG76" s="303" t="str">
        <f t="shared" si="212"/>
        <v/>
      </c>
      <c r="AH76" s="303" t="str">
        <f t="shared" ref="AH76:BM76" si="213">IF(AH$2="-","",(IF(AH237="","",IF(AH$4&lt;$A76,AH237,(AH237-AH$3)/(1+AH$3%)))))</f>
        <v/>
      </c>
      <c r="AI76" s="303" t="str">
        <f t="shared" si="213"/>
        <v/>
      </c>
      <c r="AJ76" s="303" t="str">
        <f t="shared" si="213"/>
        <v/>
      </c>
      <c r="AK76" s="303" t="str">
        <f t="shared" si="213"/>
        <v/>
      </c>
      <c r="AL76" s="303" t="str">
        <f t="shared" si="213"/>
        <v/>
      </c>
      <c r="AM76" s="303" t="str">
        <f t="shared" si="213"/>
        <v/>
      </c>
      <c r="AN76" s="303" t="str">
        <f t="shared" si="213"/>
        <v/>
      </c>
      <c r="AO76" s="303" t="str">
        <f t="shared" si="213"/>
        <v/>
      </c>
      <c r="AP76" s="303" t="str">
        <f t="shared" si="213"/>
        <v/>
      </c>
      <c r="AQ76" s="303" t="str">
        <f t="shared" si="213"/>
        <v/>
      </c>
      <c r="AR76" s="303" t="str">
        <f t="shared" si="213"/>
        <v/>
      </c>
      <c r="AS76" s="303" t="str">
        <f t="shared" si="213"/>
        <v/>
      </c>
      <c r="AT76" s="303" t="str">
        <f t="shared" si="213"/>
        <v/>
      </c>
      <c r="AU76" s="303" t="str">
        <f t="shared" si="213"/>
        <v/>
      </c>
      <c r="AV76" s="303" t="str">
        <f t="shared" si="213"/>
        <v/>
      </c>
      <c r="AW76" s="303" t="str">
        <f t="shared" si="213"/>
        <v/>
      </c>
      <c r="AX76" s="303" t="str">
        <f t="shared" si="213"/>
        <v/>
      </c>
      <c r="AY76" s="303" t="str">
        <f t="shared" si="213"/>
        <v/>
      </c>
      <c r="AZ76" s="303" t="str">
        <f t="shared" si="213"/>
        <v/>
      </c>
      <c r="BA76" s="303" t="str">
        <f t="shared" si="213"/>
        <v/>
      </c>
      <c r="BB76" s="303" t="str">
        <f t="shared" si="213"/>
        <v/>
      </c>
      <c r="BC76" s="303" t="str">
        <f t="shared" si="213"/>
        <v/>
      </c>
      <c r="BD76" s="303" t="str">
        <f t="shared" si="213"/>
        <v/>
      </c>
      <c r="BE76" s="303" t="str">
        <f t="shared" si="213"/>
        <v/>
      </c>
      <c r="BF76" s="303" t="str">
        <f t="shared" si="213"/>
        <v/>
      </c>
      <c r="BG76" s="303" t="str">
        <f t="shared" si="213"/>
        <v/>
      </c>
      <c r="BH76" s="303" t="str">
        <f t="shared" si="213"/>
        <v/>
      </c>
      <c r="BI76" s="303" t="str">
        <f t="shared" si="213"/>
        <v/>
      </c>
      <c r="BJ76" s="303" t="str">
        <f t="shared" si="213"/>
        <v/>
      </c>
      <c r="BK76" s="303" t="str">
        <f t="shared" si="213"/>
        <v/>
      </c>
      <c r="BL76" s="303" t="str">
        <f t="shared" si="213"/>
        <v/>
      </c>
      <c r="BM76" s="303" t="str">
        <f t="shared" si="213"/>
        <v/>
      </c>
      <c r="BN76" s="303" t="str">
        <f t="shared" ref="BN76:BZ76" si="214">IF(BN$2="-","",(IF(BN237="","",IF(BN$4&lt;$A76,BN237,(BN237-BN$3)/(1+BN$3%)))))</f>
        <v/>
      </c>
      <c r="BO76" s="303" t="str">
        <f t="shared" si="214"/>
        <v/>
      </c>
      <c r="BP76" s="303" t="str">
        <f t="shared" si="214"/>
        <v/>
      </c>
      <c r="BQ76" s="303" t="str">
        <f t="shared" si="214"/>
        <v/>
      </c>
      <c r="BR76" s="303" t="str">
        <f t="shared" si="214"/>
        <v/>
      </c>
      <c r="BS76" s="303" t="str">
        <f t="shared" si="214"/>
        <v/>
      </c>
      <c r="BT76" s="303" t="str">
        <f t="shared" si="214"/>
        <v/>
      </c>
      <c r="BU76" s="303" t="str">
        <f t="shared" si="214"/>
        <v/>
      </c>
      <c r="BV76" s="303" t="str">
        <f t="shared" si="214"/>
        <v/>
      </c>
      <c r="BW76" s="303" t="str">
        <f t="shared" si="214"/>
        <v/>
      </c>
      <c r="BX76" s="303">
        <f t="shared" si="214"/>
        <v>3.3600000000000074</v>
      </c>
      <c r="BY76" s="303">
        <f t="shared" si="214"/>
        <v>2.9634201825330386</v>
      </c>
      <c r="BZ76" s="303">
        <f t="shared" si="214"/>
        <v>0.56000000000000005</v>
      </c>
      <c r="CA76" s="303">
        <f t="shared" si="205"/>
        <v>-0.71428571428571175</v>
      </c>
    </row>
    <row r="77" spans="1:79">
      <c r="A77" s="58">
        <f t="shared" si="201"/>
        <v>1940</v>
      </c>
      <c r="B77" s="303">
        <f t="shared" ref="B77:AG77" si="215">IF(B$2="-","",(IF(B238="","",IF(B$4&lt;$A77,B238,(B238-B$3)/(1+B$3%)))))</f>
        <v>-8.9352977986203914</v>
      </c>
      <c r="C77" s="303" t="str">
        <f t="shared" si="215"/>
        <v/>
      </c>
      <c r="D77" s="303">
        <f t="shared" si="215"/>
        <v>-8.9352977986203914</v>
      </c>
      <c r="E77" s="303" t="str">
        <f t="shared" si="215"/>
        <v/>
      </c>
      <c r="F77" s="303" t="str">
        <f t="shared" si="215"/>
        <v/>
      </c>
      <c r="G77" s="303" t="str">
        <f t="shared" si="215"/>
        <v/>
      </c>
      <c r="H77" s="303" t="str">
        <f t="shared" si="215"/>
        <v/>
      </c>
      <c r="I77" s="303" t="str">
        <f t="shared" si="215"/>
        <v/>
      </c>
      <c r="J77" s="303" t="str">
        <f t="shared" si="215"/>
        <v/>
      </c>
      <c r="K77" s="303" t="str">
        <f t="shared" si="215"/>
        <v/>
      </c>
      <c r="L77" s="303" t="str">
        <f t="shared" si="215"/>
        <v/>
      </c>
      <c r="M77" s="303" t="str">
        <f t="shared" si="215"/>
        <v/>
      </c>
      <c r="N77" s="303" t="str">
        <f t="shared" si="215"/>
        <v/>
      </c>
      <c r="O77" s="303" t="str">
        <f t="shared" si="215"/>
        <v/>
      </c>
      <c r="P77" s="303" t="str">
        <f t="shared" si="215"/>
        <v/>
      </c>
      <c r="Q77" s="303" t="str">
        <f t="shared" si="215"/>
        <v/>
      </c>
      <c r="R77" s="303" t="str">
        <f t="shared" si="215"/>
        <v/>
      </c>
      <c r="S77" s="303" t="str">
        <f t="shared" si="215"/>
        <v/>
      </c>
      <c r="T77" s="303">
        <f t="shared" si="215"/>
        <v>2.9756387231888262</v>
      </c>
      <c r="U77" s="303">
        <f t="shared" si="215"/>
        <v>2.9756387231888262</v>
      </c>
      <c r="V77" s="303">
        <f t="shared" si="215"/>
        <v>0.46957738035767821</v>
      </c>
      <c r="W77" s="303" t="str">
        <f t="shared" si="215"/>
        <v/>
      </c>
      <c r="X77" s="303" t="str">
        <f t="shared" si="215"/>
        <v/>
      </c>
      <c r="Y77" s="303" t="str">
        <f t="shared" si="215"/>
        <v/>
      </c>
      <c r="Z77" s="303" t="str">
        <f t="shared" si="215"/>
        <v/>
      </c>
      <c r="AA77" s="303" t="str">
        <f t="shared" si="215"/>
        <v/>
      </c>
      <c r="AB77" s="303" t="str">
        <f t="shared" si="215"/>
        <v/>
      </c>
      <c r="AC77" s="303" t="str">
        <f t="shared" si="215"/>
        <v/>
      </c>
      <c r="AD77" s="303" t="str">
        <f t="shared" si="215"/>
        <v/>
      </c>
      <c r="AE77" s="303" t="str">
        <f t="shared" si="215"/>
        <v/>
      </c>
      <c r="AF77" s="303" t="str">
        <f t="shared" si="215"/>
        <v/>
      </c>
      <c r="AG77" s="303" t="str">
        <f t="shared" si="215"/>
        <v/>
      </c>
      <c r="AH77" s="303" t="str">
        <f t="shared" ref="AH77:BM77" si="216">IF(AH$2="-","",(IF(AH238="","",IF(AH$4&lt;$A77,AH238,(AH238-AH$3)/(1+AH$3%)))))</f>
        <v/>
      </c>
      <c r="AI77" s="303" t="str">
        <f t="shared" si="216"/>
        <v/>
      </c>
      <c r="AJ77" s="303" t="str">
        <f t="shared" si="216"/>
        <v/>
      </c>
      <c r="AK77" s="303" t="str">
        <f t="shared" si="216"/>
        <v/>
      </c>
      <c r="AL77" s="303" t="str">
        <f t="shared" si="216"/>
        <v/>
      </c>
      <c r="AM77" s="303" t="str">
        <f t="shared" si="216"/>
        <v/>
      </c>
      <c r="AN77" s="303" t="str">
        <f t="shared" si="216"/>
        <v/>
      </c>
      <c r="AO77" s="303" t="str">
        <f t="shared" si="216"/>
        <v/>
      </c>
      <c r="AP77" s="303" t="str">
        <f t="shared" si="216"/>
        <v/>
      </c>
      <c r="AQ77" s="303" t="str">
        <f t="shared" si="216"/>
        <v/>
      </c>
      <c r="AR77" s="303" t="str">
        <f t="shared" si="216"/>
        <v/>
      </c>
      <c r="AS77" s="303" t="str">
        <f t="shared" si="216"/>
        <v/>
      </c>
      <c r="AT77" s="303" t="str">
        <f t="shared" si="216"/>
        <v/>
      </c>
      <c r="AU77" s="303" t="str">
        <f t="shared" si="216"/>
        <v/>
      </c>
      <c r="AV77" s="303" t="str">
        <f t="shared" si="216"/>
        <v/>
      </c>
      <c r="AW77" s="303" t="str">
        <f t="shared" si="216"/>
        <v/>
      </c>
      <c r="AX77" s="303" t="str">
        <f t="shared" si="216"/>
        <v/>
      </c>
      <c r="AY77" s="303" t="str">
        <f t="shared" si="216"/>
        <v/>
      </c>
      <c r="AZ77" s="303" t="str">
        <f t="shared" si="216"/>
        <v/>
      </c>
      <c r="BA77" s="303" t="str">
        <f t="shared" si="216"/>
        <v/>
      </c>
      <c r="BB77" s="303" t="str">
        <f t="shared" si="216"/>
        <v/>
      </c>
      <c r="BC77" s="303" t="str">
        <f t="shared" si="216"/>
        <v/>
      </c>
      <c r="BD77" s="303" t="str">
        <f t="shared" si="216"/>
        <v/>
      </c>
      <c r="BE77" s="303" t="str">
        <f t="shared" si="216"/>
        <v/>
      </c>
      <c r="BF77" s="303" t="str">
        <f t="shared" si="216"/>
        <v/>
      </c>
      <c r="BG77" s="303" t="str">
        <f t="shared" si="216"/>
        <v/>
      </c>
      <c r="BH77" s="303" t="str">
        <f t="shared" si="216"/>
        <v/>
      </c>
      <c r="BI77" s="303" t="str">
        <f t="shared" si="216"/>
        <v/>
      </c>
      <c r="BJ77" s="303" t="str">
        <f t="shared" si="216"/>
        <v/>
      </c>
      <c r="BK77" s="303" t="str">
        <f t="shared" si="216"/>
        <v/>
      </c>
      <c r="BL77" s="303" t="str">
        <f t="shared" si="216"/>
        <v/>
      </c>
      <c r="BM77" s="303" t="str">
        <f t="shared" si="216"/>
        <v/>
      </c>
      <c r="BN77" s="303" t="str">
        <f t="shared" ref="BN77:BZ77" si="217">IF(BN$2="-","",(IF(BN238="","",IF(BN$4&lt;$A77,BN238,(BN238-BN$3)/(1+BN$3%)))))</f>
        <v/>
      </c>
      <c r="BO77" s="303" t="str">
        <f t="shared" si="217"/>
        <v/>
      </c>
      <c r="BP77" s="303" t="str">
        <f t="shared" si="217"/>
        <v/>
      </c>
      <c r="BQ77" s="303" t="str">
        <f t="shared" si="217"/>
        <v/>
      </c>
      <c r="BR77" s="303" t="str">
        <f t="shared" si="217"/>
        <v/>
      </c>
      <c r="BS77" s="303" t="str">
        <f t="shared" si="217"/>
        <v/>
      </c>
      <c r="BT77" s="303" t="str">
        <f t="shared" si="217"/>
        <v/>
      </c>
      <c r="BU77" s="303" t="str">
        <f t="shared" si="217"/>
        <v/>
      </c>
      <c r="BV77" s="303" t="str">
        <f t="shared" si="217"/>
        <v/>
      </c>
      <c r="BW77" s="303" t="str">
        <f t="shared" si="217"/>
        <v/>
      </c>
      <c r="BX77" s="303">
        <f t="shared" si="217"/>
        <v>-8.7804878048780459</v>
      </c>
      <c r="BY77" s="303">
        <f t="shared" si="217"/>
        <v>3.1815900006352038</v>
      </c>
      <c r="BZ77" s="303">
        <f t="shared" si="217"/>
        <v>0.56000000000000005</v>
      </c>
      <c r="CA77" s="303">
        <f t="shared" si="205"/>
        <v>1.4388489208633004</v>
      </c>
    </row>
    <row r="78" spans="1:79">
      <c r="A78" s="58">
        <f t="shared" si="201"/>
        <v>1941</v>
      </c>
      <c r="B78" s="303">
        <f t="shared" ref="B78:AG78" si="218">IF(B$2="-","",(IF(B239="","",IF(B$4&lt;$A78,B239,(B239-B$3)/(1+B$3%)))))</f>
        <v>-8.7806652860752834</v>
      </c>
      <c r="C78" s="303" t="str">
        <f t="shared" si="218"/>
        <v/>
      </c>
      <c r="D78" s="303">
        <f t="shared" si="218"/>
        <v>-8.7806652860752834</v>
      </c>
      <c r="E78" s="303" t="str">
        <f t="shared" si="218"/>
        <v/>
      </c>
      <c r="F78" s="303" t="str">
        <f t="shared" si="218"/>
        <v/>
      </c>
      <c r="G78" s="303" t="str">
        <f t="shared" si="218"/>
        <v/>
      </c>
      <c r="H78" s="303" t="str">
        <f t="shared" si="218"/>
        <v/>
      </c>
      <c r="I78" s="303" t="str">
        <f t="shared" si="218"/>
        <v/>
      </c>
      <c r="J78" s="303" t="str">
        <f t="shared" si="218"/>
        <v/>
      </c>
      <c r="K78" s="303" t="str">
        <f t="shared" si="218"/>
        <v/>
      </c>
      <c r="L78" s="303" t="str">
        <f t="shared" si="218"/>
        <v/>
      </c>
      <c r="M78" s="303" t="str">
        <f t="shared" si="218"/>
        <v/>
      </c>
      <c r="N78" s="303" t="str">
        <f t="shared" si="218"/>
        <v/>
      </c>
      <c r="O78" s="303" t="str">
        <f t="shared" si="218"/>
        <v/>
      </c>
      <c r="P78" s="303" t="str">
        <f t="shared" si="218"/>
        <v/>
      </c>
      <c r="Q78" s="303" t="str">
        <f t="shared" si="218"/>
        <v/>
      </c>
      <c r="R78" s="303" t="str">
        <f t="shared" si="218"/>
        <v/>
      </c>
      <c r="S78" s="303" t="str">
        <f t="shared" si="218"/>
        <v/>
      </c>
      <c r="T78" s="303">
        <f t="shared" si="218"/>
        <v>0.26099178881712726</v>
      </c>
      <c r="U78" s="303">
        <f t="shared" si="218"/>
        <v>0.26099178881712726</v>
      </c>
      <c r="V78" s="303">
        <f t="shared" si="218"/>
        <v>0.43960435607952852</v>
      </c>
      <c r="W78" s="303" t="str">
        <f t="shared" si="218"/>
        <v/>
      </c>
      <c r="X78" s="303" t="str">
        <f t="shared" si="218"/>
        <v/>
      </c>
      <c r="Y78" s="303" t="str">
        <f t="shared" si="218"/>
        <v/>
      </c>
      <c r="Z78" s="303" t="str">
        <f t="shared" si="218"/>
        <v/>
      </c>
      <c r="AA78" s="303" t="str">
        <f t="shared" si="218"/>
        <v/>
      </c>
      <c r="AB78" s="303" t="str">
        <f t="shared" si="218"/>
        <v/>
      </c>
      <c r="AC78" s="303" t="str">
        <f t="shared" si="218"/>
        <v/>
      </c>
      <c r="AD78" s="303" t="str">
        <f t="shared" si="218"/>
        <v/>
      </c>
      <c r="AE78" s="303" t="str">
        <f t="shared" si="218"/>
        <v/>
      </c>
      <c r="AF78" s="303" t="str">
        <f t="shared" si="218"/>
        <v/>
      </c>
      <c r="AG78" s="303" t="str">
        <f t="shared" si="218"/>
        <v/>
      </c>
      <c r="AH78" s="303" t="str">
        <f t="shared" ref="AH78:BM78" si="219">IF(AH$2="-","",(IF(AH239="","",IF(AH$4&lt;$A78,AH239,(AH239-AH$3)/(1+AH$3%)))))</f>
        <v/>
      </c>
      <c r="AI78" s="303" t="str">
        <f t="shared" si="219"/>
        <v/>
      </c>
      <c r="AJ78" s="303" t="str">
        <f t="shared" si="219"/>
        <v/>
      </c>
      <c r="AK78" s="303" t="str">
        <f t="shared" si="219"/>
        <v/>
      </c>
      <c r="AL78" s="303" t="str">
        <f t="shared" si="219"/>
        <v/>
      </c>
      <c r="AM78" s="303" t="str">
        <f t="shared" si="219"/>
        <v/>
      </c>
      <c r="AN78" s="303" t="str">
        <f t="shared" si="219"/>
        <v/>
      </c>
      <c r="AO78" s="303" t="str">
        <f t="shared" si="219"/>
        <v/>
      </c>
      <c r="AP78" s="303" t="str">
        <f t="shared" si="219"/>
        <v/>
      </c>
      <c r="AQ78" s="303" t="str">
        <f t="shared" si="219"/>
        <v/>
      </c>
      <c r="AR78" s="303" t="str">
        <f t="shared" si="219"/>
        <v/>
      </c>
      <c r="AS78" s="303" t="str">
        <f t="shared" si="219"/>
        <v/>
      </c>
      <c r="AT78" s="303" t="str">
        <f t="shared" si="219"/>
        <v/>
      </c>
      <c r="AU78" s="303" t="str">
        <f t="shared" si="219"/>
        <v/>
      </c>
      <c r="AV78" s="303" t="str">
        <f t="shared" si="219"/>
        <v/>
      </c>
      <c r="AW78" s="303" t="str">
        <f t="shared" si="219"/>
        <v/>
      </c>
      <c r="AX78" s="303" t="str">
        <f t="shared" si="219"/>
        <v/>
      </c>
      <c r="AY78" s="303" t="str">
        <f t="shared" si="219"/>
        <v/>
      </c>
      <c r="AZ78" s="303" t="str">
        <f t="shared" si="219"/>
        <v/>
      </c>
      <c r="BA78" s="303" t="str">
        <f t="shared" si="219"/>
        <v/>
      </c>
      <c r="BB78" s="303" t="str">
        <f t="shared" si="219"/>
        <v/>
      </c>
      <c r="BC78" s="303" t="str">
        <f t="shared" si="219"/>
        <v/>
      </c>
      <c r="BD78" s="303" t="str">
        <f t="shared" si="219"/>
        <v/>
      </c>
      <c r="BE78" s="303" t="str">
        <f t="shared" si="219"/>
        <v/>
      </c>
      <c r="BF78" s="303" t="str">
        <f t="shared" si="219"/>
        <v/>
      </c>
      <c r="BG78" s="303" t="str">
        <f t="shared" si="219"/>
        <v/>
      </c>
      <c r="BH78" s="303" t="str">
        <f t="shared" si="219"/>
        <v/>
      </c>
      <c r="BI78" s="303" t="str">
        <f t="shared" si="219"/>
        <v/>
      </c>
      <c r="BJ78" s="303" t="str">
        <f t="shared" si="219"/>
        <v/>
      </c>
      <c r="BK78" s="303" t="str">
        <f t="shared" si="219"/>
        <v/>
      </c>
      <c r="BL78" s="303" t="str">
        <f t="shared" si="219"/>
        <v/>
      </c>
      <c r="BM78" s="303" t="str">
        <f t="shared" si="219"/>
        <v/>
      </c>
      <c r="BN78" s="303" t="str">
        <f t="shared" ref="BN78:BZ78" si="220">IF(BN$2="-","",(IF(BN239="","",IF(BN$4&lt;$A78,BN239,(BN239-BN$3)/(1+BN$3%)))))</f>
        <v/>
      </c>
      <c r="BO78" s="303" t="str">
        <f t="shared" si="220"/>
        <v/>
      </c>
      <c r="BP78" s="303" t="str">
        <f t="shared" si="220"/>
        <v/>
      </c>
      <c r="BQ78" s="303" t="str">
        <f t="shared" si="220"/>
        <v/>
      </c>
      <c r="BR78" s="303" t="str">
        <f t="shared" si="220"/>
        <v/>
      </c>
      <c r="BS78" s="303" t="str">
        <f t="shared" si="220"/>
        <v/>
      </c>
      <c r="BT78" s="303" t="str">
        <f t="shared" si="220"/>
        <v/>
      </c>
      <c r="BU78" s="303" t="str">
        <f t="shared" si="220"/>
        <v/>
      </c>
      <c r="BV78" s="303" t="str">
        <f t="shared" si="220"/>
        <v/>
      </c>
      <c r="BW78" s="303" t="str">
        <f t="shared" si="220"/>
        <v/>
      </c>
      <c r="BX78" s="303">
        <f t="shared" si="220"/>
        <v>-8.6255924170616112</v>
      </c>
      <c r="BY78" s="303">
        <f t="shared" si="220"/>
        <v>0.46151377239476155</v>
      </c>
      <c r="BZ78" s="303">
        <f t="shared" si="220"/>
        <v>0.53</v>
      </c>
      <c r="CA78" s="303">
        <f t="shared" si="205"/>
        <v>11.347517730496449</v>
      </c>
    </row>
    <row r="79" spans="1:79">
      <c r="A79" s="58">
        <f t="shared" si="201"/>
        <v>1942</v>
      </c>
      <c r="B79" s="303">
        <f t="shared" ref="B79:AG79" si="221">IF(B$2="-","",(IF(B240="","",IF(B$4&lt;$A79,B240,(B240-B$3)/(1+B$3%)))))</f>
        <v>19.393894880383069</v>
      </c>
      <c r="C79" s="303" t="str">
        <f t="shared" si="221"/>
        <v/>
      </c>
      <c r="D79" s="303">
        <f t="shared" si="221"/>
        <v>19.393894880383069</v>
      </c>
      <c r="E79" s="303" t="str">
        <f t="shared" si="221"/>
        <v/>
      </c>
      <c r="F79" s="303" t="str">
        <f t="shared" si="221"/>
        <v/>
      </c>
      <c r="G79" s="303" t="str">
        <f t="shared" si="221"/>
        <v/>
      </c>
      <c r="H79" s="303" t="str">
        <f t="shared" si="221"/>
        <v/>
      </c>
      <c r="I79" s="303" t="str">
        <f t="shared" si="221"/>
        <v/>
      </c>
      <c r="J79" s="303" t="str">
        <f t="shared" si="221"/>
        <v/>
      </c>
      <c r="K79" s="303" t="str">
        <f t="shared" si="221"/>
        <v/>
      </c>
      <c r="L79" s="303" t="str">
        <f t="shared" si="221"/>
        <v/>
      </c>
      <c r="M79" s="303" t="str">
        <f t="shared" si="221"/>
        <v/>
      </c>
      <c r="N79" s="303" t="str">
        <f t="shared" si="221"/>
        <v/>
      </c>
      <c r="O79" s="303" t="str">
        <f t="shared" si="221"/>
        <v/>
      </c>
      <c r="P79" s="303" t="str">
        <f t="shared" si="221"/>
        <v/>
      </c>
      <c r="Q79" s="303" t="str">
        <f t="shared" si="221"/>
        <v/>
      </c>
      <c r="R79" s="303" t="str">
        <f t="shared" si="221"/>
        <v/>
      </c>
      <c r="S79" s="303" t="str">
        <f t="shared" si="221"/>
        <v/>
      </c>
      <c r="T79" s="303">
        <f t="shared" si="221"/>
        <v>2.289419312688016</v>
      </c>
      <c r="U79" s="303">
        <f t="shared" si="221"/>
        <v>2.289419312688016</v>
      </c>
      <c r="V79" s="303">
        <f t="shared" si="221"/>
        <v>0.5395144370066941</v>
      </c>
      <c r="W79" s="303" t="str">
        <f t="shared" si="221"/>
        <v/>
      </c>
      <c r="X79" s="303" t="str">
        <f t="shared" si="221"/>
        <v/>
      </c>
      <c r="Y79" s="303" t="str">
        <f t="shared" si="221"/>
        <v/>
      </c>
      <c r="Z79" s="303" t="str">
        <f t="shared" si="221"/>
        <v/>
      </c>
      <c r="AA79" s="303" t="str">
        <f t="shared" si="221"/>
        <v/>
      </c>
      <c r="AB79" s="303" t="str">
        <f t="shared" si="221"/>
        <v/>
      </c>
      <c r="AC79" s="303" t="str">
        <f t="shared" si="221"/>
        <v/>
      </c>
      <c r="AD79" s="303" t="str">
        <f t="shared" si="221"/>
        <v/>
      </c>
      <c r="AE79" s="303" t="str">
        <f t="shared" si="221"/>
        <v/>
      </c>
      <c r="AF79" s="303" t="str">
        <f t="shared" si="221"/>
        <v/>
      </c>
      <c r="AG79" s="303" t="str">
        <f t="shared" si="221"/>
        <v/>
      </c>
      <c r="AH79" s="303" t="str">
        <f t="shared" ref="AH79:BM79" si="222">IF(AH$2="-","",(IF(AH240="","",IF(AH$4&lt;$A79,AH240,(AH240-AH$3)/(1+AH$3%)))))</f>
        <v/>
      </c>
      <c r="AI79" s="303" t="str">
        <f t="shared" si="222"/>
        <v/>
      </c>
      <c r="AJ79" s="303" t="str">
        <f t="shared" si="222"/>
        <v/>
      </c>
      <c r="AK79" s="303" t="str">
        <f t="shared" si="222"/>
        <v/>
      </c>
      <c r="AL79" s="303" t="str">
        <f t="shared" si="222"/>
        <v/>
      </c>
      <c r="AM79" s="303" t="str">
        <f t="shared" si="222"/>
        <v/>
      </c>
      <c r="AN79" s="303" t="str">
        <f t="shared" si="222"/>
        <v/>
      </c>
      <c r="AO79" s="303" t="str">
        <f t="shared" si="222"/>
        <v/>
      </c>
      <c r="AP79" s="303" t="str">
        <f t="shared" si="222"/>
        <v/>
      </c>
      <c r="AQ79" s="303" t="str">
        <f t="shared" si="222"/>
        <v/>
      </c>
      <c r="AR79" s="303" t="str">
        <f t="shared" si="222"/>
        <v/>
      </c>
      <c r="AS79" s="303" t="str">
        <f t="shared" si="222"/>
        <v/>
      </c>
      <c r="AT79" s="303" t="str">
        <f t="shared" si="222"/>
        <v/>
      </c>
      <c r="AU79" s="303" t="str">
        <f t="shared" si="222"/>
        <v/>
      </c>
      <c r="AV79" s="303" t="str">
        <f t="shared" si="222"/>
        <v/>
      </c>
      <c r="AW79" s="303" t="str">
        <f t="shared" si="222"/>
        <v/>
      </c>
      <c r="AX79" s="303" t="str">
        <f t="shared" si="222"/>
        <v/>
      </c>
      <c r="AY79" s="303" t="str">
        <f t="shared" si="222"/>
        <v/>
      </c>
      <c r="AZ79" s="303" t="str">
        <f t="shared" si="222"/>
        <v/>
      </c>
      <c r="BA79" s="303" t="str">
        <f t="shared" si="222"/>
        <v/>
      </c>
      <c r="BB79" s="303" t="str">
        <f t="shared" si="222"/>
        <v/>
      </c>
      <c r="BC79" s="303" t="str">
        <f t="shared" si="222"/>
        <v/>
      </c>
      <c r="BD79" s="303" t="str">
        <f t="shared" si="222"/>
        <v/>
      </c>
      <c r="BE79" s="303" t="str">
        <f t="shared" si="222"/>
        <v/>
      </c>
      <c r="BF79" s="303" t="str">
        <f t="shared" si="222"/>
        <v/>
      </c>
      <c r="BG79" s="303" t="str">
        <f t="shared" si="222"/>
        <v/>
      </c>
      <c r="BH79" s="303" t="str">
        <f t="shared" si="222"/>
        <v/>
      </c>
      <c r="BI79" s="303" t="str">
        <f t="shared" si="222"/>
        <v/>
      </c>
      <c r="BJ79" s="303" t="str">
        <f t="shared" si="222"/>
        <v/>
      </c>
      <c r="BK79" s="303" t="str">
        <f t="shared" si="222"/>
        <v/>
      </c>
      <c r="BL79" s="303" t="str">
        <f t="shared" si="222"/>
        <v/>
      </c>
      <c r="BM79" s="303" t="str">
        <f t="shared" si="222"/>
        <v/>
      </c>
      <c r="BN79" s="303" t="str">
        <f t="shared" ref="BN79:BZ79" si="223">IF(BN$2="-","",(IF(BN240="","",IF(BN$4&lt;$A79,BN240,(BN240-BN$3)/(1+BN$3%)))))</f>
        <v/>
      </c>
      <c r="BO79" s="303" t="str">
        <f t="shared" si="223"/>
        <v/>
      </c>
      <c r="BP79" s="303" t="str">
        <f t="shared" si="223"/>
        <v/>
      </c>
      <c r="BQ79" s="303" t="str">
        <f t="shared" si="223"/>
        <v/>
      </c>
      <c r="BR79" s="303" t="str">
        <f t="shared" si="223"/>
        <v/>
      </c>
      <c r="BS79" s="303" t="str">
        <f t="shared" si="223"/>
        <v/>
      </c>
      <c r="BT79" s="303" t="str">
        <f t="shared" si="223"/>
        <v/>
      </c>
      <c r="BU79" s="303" t="str">
        <f t="shared" si="223"/>
        <v/>
      </c>
      <c r="BV79" s="303" t="str">
        <f t="shared" si="223"/>
        <v/>
      </c>
      <c r="BW79" s="303" t="str">
        <f t="shared" si="223"/>
        <v/>
      </c>
      <c r="BX79" s="303">
        <f t="shared" si="223"/>
        <v>19.596864501679722</v>
      </c>
      <c r="BY79" s="303">
        <f t="shared" si="223"/>
        <v>2.4939981513133924</v>
      </c>
      <c r="BZ79" s="303">
        <f t="shared" si="223"/>
        <v>0.63</v>
      </c>
      <c r="CA79" s="303">
        <f t="shared" si="205"/>
        <v>7.6433121019108263</v>
      </c>
    </row>
    <row r="80" spans="1:79">
      <c r="A80" s="58">
        <f t="shared" si="201"/>
        <v>1943</v>
      </c>
      <c r="B80" s="303">
        <f t="shared" ref="B80:AG80" si="224">IF(B$2="-","",(IF(B241="","",IF(B$4&lt;$A80,B241,(B241-B$3)/(1+B$3%)))))</f>
        <v>23.279028228819719</v>
      </c>
      <c r="C80" s="303" t="str">
        <f t="shared" si="224"/>
        <v/>
      </c>
      <c r="D80" s="303">
        <f t="shared" si="224"/>
        <v>23.279028228819719</v>
      </c>
      <c r="E80" s="303" t="str">
        <f t="shared" si="224"/>
        <v/>
      </c>
      <c r="F80" s="303" t="str">
        <f t="shared" si="224"/>
        <v/>
      </c>
      <c r="G80" s="303" t="str">
        <f t="shared" si="224"/>
        <v/>
      </c>
      <c r="H80" s="303" t="str">
        <f t="shared" si="224"/>
        <v/>
      </c>
      <c r="I80" s="303" t="str">
        <f t="shared" si="224"/>
        <v/>
      </c>
      <c r="J80" s="303" t="str">
        <f t="shared" si="224"/>
        <v/>
      </c>
      <c r="K80" s="303" t="str">
        <f t="shared" si="224"/>
        <v/>
      </c>
      <c r="L80" s="303" t="str">
        <f t="shared" si="224"/>
        <v/>
      </c>
      <c r="M80" s="303" t="str">
        <f t="shared" si="224"/>
        <v/>
      </c>
      <c r="N80" s="303" t="str">
        <f t="shared" si="224"/>
        <v/>
      </c>
      <c r="O80" s="303" t="str">
        <f t="shared" si="224"/>
        <v/>
      </c>
      <c r="P80" s="303" t="str">
        <f t="shared" si="224"/>
        <v/>
      </c>
      <c r="Q80" s="303" t="str">
        <f t="shared" si="224"/>
        <v/>
      </c>
      <c r="R80" s="303" t="str">
        <f t="shared" si="224"/>
        <v/>
      </c>
      <c r="S80" s="303" t="str">
        <f t="shared" si="224"/>
        <v/>
      </c>
      <c r="T80" s="303">
        <f t="shared" si="224"/>
        <v>2.3569338070232884</v>
      </c>
      <c r="U80" s="303">
        <f t="shared" si="224"/>
        <v>2.3569338070232884</v>
      </c>
      <c r="V80" s="303">
        <f t="shared" si="224"/>
        <v>0.59946048556299336</v>
      </c>
      <c r="W80" s="303" t="str">
        <f t="shared" si="224"/>
        <v/>
      </c>
      <c r="X80" s="303" t="str">
        <f t="shared" si="224"/>
        <v/>
      </c>
      <c r="Y80" s="303" t="str">
        <f t="shared" si="224"/>
        <v/>
      </c>
      <c r="Z80" s="303" t="str">
        <f t="shared" si="224"/>
        <v/>
      </c>
      <c r="AA80" s="303" t="str">
        <f t="shared" si="224"/>
        <v/>
      </c>
      <c r="AB80" s="303" t="str">
        <f t="shared" si="224"/>
        <v/>
      </c>
      <c r="AC80" s="303" t="str">
        <f t="shared" si="224"/>
        <v/>
      </c>
      <c r="AD80" s="303" t="str">
        <f t="shared" si="224"/>
        <v/>
      </c>
      <c r="AE80" s="303" t="str">
        <f t="shared" si="224"/>
        <v/>
      </c>
      <c r="AF80" s="303" t="str">
        <f t="shared" si="224"/>
        <v/>
      </c>
      <c r="AG80" s="303" t="str">
        <f t="shared" si="224"/>
        <v/>
      </c>
      <c r="AH80" s="303" t="str">
        <f t="shared" ref="AH80:BM80" si="225">IF(AH$2="-","",(IF(AH241="","",IF(AH$4&lt;$A80,AH241,(AH241-AH$3)/(1+AH$3%)))))</f>
        <v/>
      </c>
      <c r="AI80" s="303" t="str">
        <f t="shared" si="225"/>
        <v/>
      </c>
      <c r="AJ80" s="303" t="str">
        <f t="shared" si="225"/>
        <v/>
      </c>
      <c r="AK80" s="303" t="str">
        <f t="shared" si="225"/>
        <v/>
      </c>
      <c r="AL80" s="303" t="str">
        <f t="shared" si="225"/>
        <v/>
      </c>
      <c r="AM80" s="303" t="str">
        <f t="shared" si="225"/>
        <v/>
      </c>
      <c r="AN80" s="303" t="str">
        <f t="shared" si="225"/>
        <v/>
      </c>
      <c r="AO80" s="303" t="str">
        <f t="shared" si="225"/>
        <v/>
      </c>
      <c r="AP80" s="303" t="str">
        <f t="shared" si="225"/>
        <v/>
      </c>
      <c r="AQ80" s="303" t="str">
        <f t="shared" si="225"/>
        <v/>
      </c>
      <c r="AR80" s="303" t="str">
        <f t="shared" si="225"/>
        <v/>
      </c>
      <c r="AS80" s="303" t="str">
        <f t="shared" si="225"/>
        <v/>
      </c>
      <c r="AT80" s="303" t="str">
        <f t="shared" si="225"/>
        <v/>
      </c>
      <c r="AU80" s="303" t="str">
        <f t="shared" si="225"/>
        <v/>
      </c>
      <c r="AV80" s="303" t="str">
        <f t="shared" si="225"/>
        <v/>
      </c>
      <c r="AW80" s="303" t="str">
        <f t="shared" si="225"/>
        <v/>
      </c>
      <c r="AX80" s="303" t="str">
        <f t="shared" si="225"/>
        <v/>
      </c>
      <c r="AY80" s="303" t="str">
        <f t="shared" si="225"/>
        <v/>
      </c>
      <c r="AZ80" s="303" t="str">
        <f t="shared" si="225"/>
        <v/>
      </c>
      <c r="BA80" s="303" t="str">
        <f t="shared" si="225"/>
        <v/>
      </c>
      <c r="BB80" s="303" t="str">
        <f t="shared" si="225"/>
        <v/>
      </c>
      <c r="BC80" s="303" t="str">
        <f t="shared" si="225"/>
        <v/>
      </c>
      <c r="BD80" s="303" t="str">
        <f t="shared" si="225"/>
        <v/>
      </c>
      <c r="BE80" s="303" t="str">
        <f t="shared" si="225"/>
        <v/>
      </c>
      <c r="BF80" s="303" t="str">
        <f t="shared" si="225"/>
        <v/>
      </c>
      <c r="BG80" s="303" t="str">
        <f t="shared" si="225"/>
        <v/>
      </c>
      <c r="BH80" s="303" t="str">
        <f t="shared" si="225"/>
        <v/>
      </c>
      <c r="BI80" s="303" t="str">
        <f t="shared" si="225"/>
        <v/>
      </c>
      <c r="BJ80" s="303" t="str">
        <f t="shared" si="225"/>
        <v/>
      </c>
      <c r="BK80" s="303" t="str">
        <f t="shared" si="225"/>
        <v/>
      </c>
      <c r="BL80" s="303" t="str">
        <f t="shared" si="225"/>
        <v/>
      </c>
      <c r="BM80" s="303" t="str">
        <f t="shared" si="225"/>
        <v/>
      </c>
      <c r="BN80" s="303" t="str">
        <f t="shared" ref="BN80:BZ80" si="226">IF(BN$2="-","",(IF(BN241="","",IF(BN$4&lt;$A80,BN241,(BN241-BN$3)/(1+BN$3%)))))</f>
        <v/>
      </c>
      <c r="BO80" s="303" t="str">
        <f t="shared" si="226"/>
        <v/>
      </c>
      <c r="BP80" s="303" t="str">
        <f t="shared" si="226"/>
        <v/>
      </c>
      <c r="BQ80" s="303" t="str">
        <f t="shared" si="226"/>
        <v/>
      </c>
      <c r="BR80" s="303" t="str">
        <f t="shared" si="226"/>
        <v/>
      </c>
      <c r="BS80" s="303" t="str">
        <f t="shared" si="226"/>
        <v/>
      </c>
      <c r="BT80" s="303" t="str">
        <f t="shared" si="226"/>
        <v/>
      </c>
      <c r="BU80" s="303" t="str">
        <f t="shared" si="226"/>
        <v/>
      </c>
      <c r="BV80" s="303" t="str">
        <f t="shared" si="226"/>
        <v/>
      </c>
      <c r="BW80" s="303" t="str">
        <f t="shared" si="226"/>
        <v/>
      </c>
      <c r="BX80" s="303">
        <f t="shared" si="226"/>
        <v>23.488602576808717</v>
      </c>
      <c r="BY80" s="303">
        <f t="shared" si="226"/>
        <v>2.5616476746373351</v>
      </c>
      <c r="BZ80" s="303">
        <f t="shared" si="226"/>
        <v>0.69</v>
      </c>
      <c r="CA80" s="303">
        <f t="shared" si="205"/>
        <v>2.9585798816567976</v>
      </c>
    </row>
    <row r="81" spans="1:79">
      <c r="A81" s="58">
        <f t="shared" si="201"/>
        <v>1944</v>
      </c>
      <c r="B81" s="303">
        <f t="shared" ref="B81:AG81" si="227">IF(B$2="-","",(IF(B242="","",IF(B$4&lt;$A81,B242,(B242-B$3)/(1+B$3%)))))</f>
        <v>19.038141488583342</v>
      </c>
      <c r="C81" s="303" t="str">
        <f t="shared" si="227"/>
        <v/>
      </c>
      <c r="D81" s="303">
        <f t="shared" si="227"/>
        <v>19.038141488583342</v>
      </c>
      <c r="E81" s="303" t="str">
        <f t="shared" si="227"/>
        <v/>
      </c>
      <c r="F81" s="303" t="str">
        <f t="shared" si="227"/>
        <v/>
      </c>
      <c r="G81" s="303" t="str">
        <f t="shared" si="227"/>
        <v/>
      </c>
      <c r="H81" s="303" t="str">
        <f t="shared" si="227"/>
        <v/>
      </c>
      <c r="I81" s="303" t="str">
        <f t="shared" si="227"/>
        <v/>
      </c>
      <c r="J81" s="303" t="str">
        <f t="shared" si="227"/>
        <v/>
      </c>
      <c r="K81" s="303" t="str">
        <f t="shared" si="227"/>
        <v/>
      </c>
      <c r="L81" s="303" t="str">
        <f t="shared" si="227"/>
        <v/>
      </c>
      <c r="M81" s="303" t="str">
        <f t="shared" si="227"/>
        <v/>
      </c>
      <c r="N81" s="303" t="str">
        <f t="shared" si="227"/>
        <v/>
      </c>
      <c r="O81" s="303" t="str">
        <f t="shared" si="227"/>
        <v/>
      </c>
      <c r="P81" s="303" t="str">
        <f t="shared" si="227"/>
        <v/>
      </c>
      <c r="Q81" s="303" t="str">
        <f t="shared" si="227"/>
        <v/>
      </c>
      <c r="R81" s="303" t="str">
        <f t="shared" si="227"/>
        <v/>
      </c>
      <c r="S81" s="303" t="str">
        <f t="shared" si="227"/>
        <v/>
      </c>
      <c r="T81" s="303">
        <f t="shared" si="227"/>
        <v>2.7120542105978998</v>
      </c>
      <c r="U81" s="303">
        <f t="shared" si="227"/>
        <v>2.7120542105978998</v>
      </c>
      <c r="V81" s="303">
        <f t="shared" si="227"/>
        <v>0.62943350984114299</v>
      </c>
      <c r="W81" s="303" t="str">
        <f t="shared" si="227"/>
        <v/>
      </c>
      <c r="X81" s="303" t="str">
        <f t="shared" si="227"/>
        <v/>
      </c>
      <c r="Y81" s="303" t="str">
        <f t="shared" si="227"/>
        <v/>
      </c>
      <c r="Z81" s="303" t="str">
        <f t="shared" si="227"/>
        <v/>
      </c>
      <c r="AA81" s="303" t="str">
        <f t="shared" si="227"/>
        <v/>
      </c>
      <c r="AB81" s="303" t="str">
        <f t="shared" si="227"/>
        <v/>
      </c>
      <c r="AC81" s="303" t="str">
        <f t="shared" si="227"/>
        <v/>
      </c>
      <c r="AD81" s="303" t="str">
        <f t="shared" si="227"/>
        <v/>
      </c>
      <c r="AE81" s="303" t="str">
        <f t="shared" si="227"/>
        <v/>
      </c>
      <c r="AF81" s="303" t="str">
        <f t="shared" si="227"/>
        <v/>
      </c>
      <c r="AG81" s="303" t="str">
        <f t="shared" si="227"/>
        <v/>
      </c>
      <c r="AH81" s="303" t="str">
        <f t="shared" ref="AH81:BM81" si="228">IF(AH$2="-","",(IF(AH242="","",IF(AH$4&lt;$A81,AH242,(AH242-AH$3)/(1+AH$3%)))))</f>
        <v/>
      </c>
      <c r="AI81" s="303" t="str">
        <f t="shared" si="228"/>
        <v/>
      </c>
      <c r="AJ81" s="303" t="str">
        <f t="shared" si="228"/>
        <v/>
      </c>
      <c r="AK81" s="303" t="str">
        <f t="shared" si="228"/>
        <v/>
      </c>
      <c r="AL81" s="303" t="str">
        <f t="shared" si="228"/>
        <v/>
      </c>
      <c r="AM81" s="303" t="str">
        <f t="shared" si="228"/>
        <v/>
      </c>
      <c r="AN81" s="303" t="str">
        <f t="shared" si="228"/>
        <v/>
      </c>
      <c r="AO81" s="303" t="str">
        <f t="shared" si="228"/>
        <v/>
      </c>
      <c r="AP81" s="303" t="str">
        <f t="shared" si="228"/>
        <v/>
      </c>
      <c r="AQ81" s="303" t="str">
        <f t="shared" si="228"/>
        <v/>
      </c>
      <c r="AR81" s="303" t="str">
        <f t="shared" si="228"/>
        <v/>
      </c>
      <c r="AS81" s="303" t="str">
        <f t="shared" si="228"/>
        <v/>
      </c>
      <c r="AT81" s="303" t="str">
        <f t="shared" si="228"/>
        <v/>
      </c>
      <c r="AU81" s="303" t="str">
        <f t="shared" si="228"/>
        <v/>
      </c>
      <c r="AV81" s="303" t="str">
        <f t="shared" si="228"/>
        <v/>
      </c>
      <c r="AW81" s="303" t="str">
        <f t="shared" si="228"/>
        <v/>
      </c>
      <c r="AX81" s="303" t="str">
        <f t="shared" si="228"/>
        <v/>
      </c>
      <c r="AY81" s="303" t="str">
        <f t="shared" si="228"/>
        <v/>
      </c>
      <c r="AZ81" s="303" t="str">
        <f t="shared" si="228"/>
        <v/>
      </c>
      <c r="BA81" s="303" t="str">
        <f t="shared" si="228"/>
        <v/>
      </c>
      <c r="BB81" s="303" t="str">
        <f t="shared" si="228"/>
        <v/>
      </c>
      <c r="BC81" s="303" t="str">
        <f t="shared" si="228"/>
        <v/>
      </c>
      <c r="BD81" s="303" t="str">
        <f t="shared" si="228"/>
        <v/>
      </c>
      <c r="BE81" s="303" t="str">
        <f t="shared" si="228"/>
        <v/>
      </c>
      <c r="BF81" s="303" t="str">
        <f t="shared" si="228"/>
        <v/>
      </c>
      <c r="BG81" s="303" t="str">
        <f t="shared" si="228"/>
        <v/>
      </c>
      <c r="BH81" s="303" t="str">
        <f t="shared" si="228"/>
        <v/>
      </c>
      <c r="BI81" s="303" t="str">
        <f t="shared" si="228"/>
        <v/>
      </c>
      <c r="BJ81" s="303" t="str">
        <f t="shared" si="228"/>
        <v/>
      </c>
      <c r="BK81" s="303" t="str">
        <f t="shared" si="228"/>
        <v/>
      </c>
      <c r="BL81" s="303" t="str">
        <f t="shared" si="228"/>
        <v/>
      </c>
      <c r="BM81" s="303" t="str">
        <f t="shared" si="228"/>
        <v/>
      </c>
      <c r="BN81" s="303" t="str">
        <f t="shared" ref="BN81:BZ81" si="229">IF(BN$2="-","",(IF(BN242="","",IF(BN$4&lt;$A81,BN242,(BN242-BN$3)/(1+BN$3%)))))</f>
        <v/>
      </c>
      <c r="BO81" s="303" t="str">
        <f t="shared" si="229"/>
        <v/>
      </c>
      <c r="BP81" s="303" t="str">
        <f t="shared" si="229"/>
        <v/>
      </c>
      <c r="BQ81" s="303" t="str">
        <f t="shared" si="229"/>
        <v/>
      </c>
      <c r="BR81" s="303" t="str">
        <f t="shared" si="229"/>
        <v/>
      </c>
      <c r="BS81" s="303" t="str">
        <f t="shared" si="229"/>
        <v/>
      </c>
      <c r="BT81" s="303" t="str">
        <f t="shared" si="229"/>
        <v/>
      </c>
      <c r="BU81" s="303" t="str">
        <f t="shared" si="229"/>
        <v/>
      </c>
      <c r="BV81" s="303" t="str">
        <f t="shared" si="229"/>
        <v/>
      </c>
      <c r="BW81" s="303" t="str">
        <f t="shared" si="229"/>
        <v/>
      </c>
      <c r="BX81" s="303">
        <f t="shared" si="229"/>
        <v>19.240506329113938</v>
      </c>
      <c r="BY81" s="303">
        <f t="shared" si="229"/>
        <v>2.9174783190190956</v>
      </c>
      <c r="BZ81" s="303">
        <f t="shared" si="229"/>
        <v>0.72</v>
      </c>
      <c r="CA81" s="303">
        <f t="shared" si="205"/>
        <v>2.2988505747126631</v>
      </c>
    </row>
    <row r="82" spans="1:79">
      <c r="A82" s="58">
        <f t="shared" si="201"/>
        <v>1945</v>
      </c>
      <c r="B82" s="303">
        <f t="shared" ref="B82:AG82" si="230">IF(B$2="-","",(IF(B243="","",IF(B$4&lt;$A82,B243,(B243-B$3)/(1+B$3%)))))</f>
        <v>38.237938425358863</v>
      </c>
      <c r="C82" s="303" t="str">
        <f t="shared" si="230"/>
        <v/>
      </c>
      <c r="D82" s="303">
        <f t="shared" si="230"/>
        <v>38.237938425358863</v>
      </c>
      <c r="E82" s="303" t="str">
        <f t="shared" si="230"/>
        <v/>
      </c>
      <c r="F82" s="303" t="str">
        <f t="shared" si="230"/>
        <v/>
      </c>
      <c r="G82" s="303" t="str">
        <f t="shared" si="230"/>
        <v/>
      </c>
      <c r="H82" s="303" t="str">
        <f t="shared" si="230"/>
        <v/>
      </c>
      <c r="I82" s="303" t="str">
        <f t="shared" si="230"/>
        <v/>
      </c>
      <c r="J82" s="303" t="str">
        <f t="shared" si="230"/>
        <v/>
      </c>
      <c r="K82" s="303" t="str">
        <f t="shared" si="230"/>
        <v/>
      </c>
      <c r="L82" s="303" t="str">
        <f t="shared" si="230"/>
        <v/>
      </c>
      <c r="M82" s="303" t="str">
        <f t="shared" si="230"/>
        <v/>
      </c>
      <c r="N82" s="303" t="str">
        <f t="shared" si="230"/>
        <v/>
      </c>
      <c r="O82" s="303" t="str">
        <f t="shared" si="230"/>
        <v/>
      </c>
      <c r="P82" s="303" t="str">
        <f t="shared" si="230"/>
        <v/>
      </c>
      <c r="Q82" s="303" t="str">
        <f t="shared" si="230"/>
        <v/>
      </c>
      <c r="R82" s="303" t="str">
        <f t="shared" si="230"/>
        <v/>
      </c>
      <c r="S82" s="303" t="str">
        <f t="shared" si="230"/>
        <v/>
      </c>
      <c r="T82" s="303">
        <f t="shared" si="230"/>
        <v>2.830661809931049</v>
      </c>
      <c r="U82" s="303">
        <f t="shared" si="230"/>
        <v>2.830661809931049</v>
      </c>
      <c r="V82" s="303">
        <f t="shared" si="230"/>
        <v>0.65940653411929273</v>
      </c>
      <c r="W82" s="303" t="str">
        <f t="shared" si="230"/>
        <v/>
      </c>
      <c r="X82" s="303" t="str">
        <f t="shared" si="230"/>
        <v/>
      </c>
      <c r="Y82" s="303" t="str">
        <f t="shared" si="230"/>
        <v/>
      </c>
      <c r="Z82" s="303" t="str">
        <f t="shared" si="230"/>
        <v/>
      </c>
      <c r="AA82" s="303" t="str">
        <f t="shared" si="230"/>
        <v/>
      </c>
      <c r="AB82" s="303" t="str">
        <f t="shared" si="230"/>
        <v/>
      </c>
      <c r="AC82" s="303" t="str">
        <f t="shared" si="230"/>
        <v/>
      </c>
      <c r="AD82" s="303" t="str">
        <f t="shared" si="230"/>
        <v/>
      </c>
      <c r="AE82" s="303" t="str">
        <f t="shared" si="230"/>
        <v/>
      </c>
      <c r="AF82" s="303" t="str">
        <f t="shared" si="230"/>
        <v/>
      </c>
      <c r="AG82" s="303" t="str">
        <f t="shared" si="230"/>
        <v/>
      </c>
      <c r="AH82" s="303" t="str">
        <f t="shared" ref="AH82:BM82" si="231">IF(AH$2="-","",(IF(AH243="","",IF(AH$4&lt;$A82,AH243,(AH243-AH$3)/(1+AH$3%)))))</f>
        <v/>
      </c>
      <c r="AI82" s="303" t="str">
        <f t="shared" si="231"/>
        <v/>
      </c>
      <c r="AJ82" s="303" t="str">
        <f t="shared" si="231"/>
        <v/>
      </c>
      <c r="AK82" s="303" t="str">
        <f t="shared" si="231"/>
        <v/>
      </c>
      <c r="AL82" s="303" t="str">
        <f t="shared" si="231"/>
        <v/>
      </c>
      <c r="AM82" s="303" t="str">
        <f t="shared" si="231"/>
        <v/>
      </c>
      <c r="AN82" s="303" t="str">
        <f t="shared" si="231"/>
        <v/>
      </c>
      <c r="AO82" s="303" t="str">
        <f t="shared" si="231"/>
        <v/>
      </c>
      <c r="AP82" s="303" t="str">
        <f t="shared" si="231"/>
        <v/>
      </c>
      <c r="AQ82" s="303" t="str">
        <f t="shared" si="231"/>
        <v/>
      </c>
      <c r="AR82" s="303" t="str">
        <f t="shared" si="231"/>
        <v/>
      </c>
      <c r="AS82" s="303" t="str">
        <f t="shared" si="231"/>
        <v/>
      </c>
      <c r="AT82" s="303" t="str">
        <f t="shared" si="231"/>
        <v/>
      </c>
      <c r="AU82" s="303" t="str">
        <f t="shared" si="231"/>
        <v/>
      </c>
      <c r="AV82" s="303" t="str">
        <f t="shared" si="231"/>
        <v/>
      </c>
      <c r="AW82" s="303" t="str">
        <f t="shared" si="231"/>
        <v/>
      </c>
      <c r="AX82" s="303" t="str">
        <f t="shared" si="231"/>
        <v/>
      </c>
      <c r="AY82" s="303" t="str">
        <f t="shared" si="231"/>
        <v/>
      </c>
      <c r="AZ82" s="303" t="str">
        <f t="shared" si="231"/>
        <v/>
      </c>
      <c r="BA82" s="303" t="str">
        <f t="shared" si="231"/>
        <v/>
      </c>
      <c r="BB82" s="303" t="str">
        <f t="shared" si="231"/>
        <v/>
      </c>
      <c r="BC82" s="303" t="str">
        <f t="shared" si="231"/>
        <v/>
      </c>
      <c r="BD82" s="303" t="str">
        <f t="shared" si="231"/>
        <v/>
      </c>
      <c r="BE82" s="303" t="str">
        <f t="shared" si="231"/>
        <v/>
      </c>
      <c r="BF82" s="303" t="str">
        <f t="shared" si="231"/>
        <v/>
      </c>
      <c r="BG82" s="303" t="str">
        <f t="shared" si="231"/>
        <v/>
      </c>
      <c r="BH82" s="303" t="str">
        <f t="shared" si="231"/>
        <v/>
      </c>
      <c r="BI82" s="303" t="str">
        <f t="shared" si="231"/>
        <v/>
      </c>
      <c r="BJ82" s="303" t="str">
        <f t="shared" si="231"/>
        <v/>
      </c>
      <c r="BK82" s="303" t="str">
        <f t="shared" si="231"/>
        <v/>
      </c>
      <c r="BL82" s="303" t="str">
        <f t="shared" si="231"/>
        <v/>
      </c>
      <c r="BM82" s="303" t="str">
        <f t="shared" si="231"/>
        <v/>
      </c>
      <c r="BN82" s="303" t="str">
        <f t="shared" ref="BN82:BZ82" si="232">IF(BN$2="-","",(IF(BN243="","",IF(BN$4&lt;$A82,BN243,(BN243-BN$3)/(1+BN$3%)))))</f>
        <v/>
      </c>
      <c r="BO82" s="303" t="str">
        <f t="shared" si="232"/>
        <v/>
      </c>
      <c r="BP82" s="303" t="str">
        <f t="shared" si="232"/>
        <v/>
      </c>
      <c r="BQ82" s="303" t="str">
        <f t="shared" si="232"/>
        <v/>
      </c>
      <c r="BR82" s="303" t="str">
        <f t="shared" si="232"/>
        <v/>
      </c>
      <c r="BS82" s="303" t="str">
        <f t="shared" si="232"/>
        <v/>
      </c>
      <c r="BT82" s="303" t="str">
        <f t="shared" si="232"/>
        <v/>
      </c>
      <c r="BU82" s="303" t="str">
        <f t="shared" si="232"/>
        <v/>
      </c>
      <c r="BV82" s="303" t="str">
        <f t="shared" si="232"/>
        <v/>
      </c>
      <c r="BW82" s="303" t="str">
        <f t="shared" si="232"/>
        <v/>
      </c>
      <c r="BX82" s="303">
        <f t="shared" si="232"/>
        <v>38.472942920681973</v>
      </c>
      <c r="BY82" s="303">
        <f t="shared" si="232"/>
        <v>3.0363231335509111</v>
      </c>
      <c r="BZ82" s="303">
        <f t="shared" si="232"/>
        <v>0.75</v>
      </c>
      <c r="CA82" s="303">
        <f t="shared" si="205"/>
        <v>2.2471910112359383</v>
      </c>
    </row>
    <row r="83" spans="1:79">
      <c r="A83" s="58">
        <f t="shared" si="201"/>
        <v>1946</v>
      </c>
      <c r="B83" s="303">
        <f t="shared" ref="B83:AG83" si="233">IF(B$2="-","",(IF(B244="","",IF(B$4&lt;$A83,B244,(B244-B$3)/(1+B$3%)))))</f>
        <v>-11.803651882809204</v>
      </c>
      <c r="C83" s="303" t="str">
        <f t="shared" si="233"/>
        <v/>
      </c>
      <c r="D83" s="303">
        <f t="shared" si="233"/>
        <v>-11.803651882809204</v>
      </c>
      <c r="E83" s="303" t="str">
        <f t="shared" si="233"/>
        <v/>
      </c>
      <c r="F83" s="303" t="str">
        <f t="shared" si="233"/>
        <v/>
      </c>
      <c r="G83" s="303" t="str">
        <f t="shared" si="233"/>
        <v/>
      </c>
      <c r="H83" s="303" t="str">
        <f t="shared" si="233"/>
        <v/>
      </c>
      <c r="I83" s="303" t="str">
        <f t="shared" si="233"/>
        <v/>
      </c>
      <c r="J83" s="303" t="str">
        <f t="shared" si="233"/>
        <v/>
      </c>
      <c r="K83" s="303" t="str">
        <f t="shared" si="233"/>
        <v/>
      </c>
      <c r="L83" s="303" t="str">
        <f t="shared" si="233"/>
        <v/>
      </c>
      <c r="M83" s="303" t="str">
        <f t="shared" si="233"/>
        <v/>
      </c>
      <c r="N83" s="303" t="str">
        <f t="shared" si="233"/>
        <v/>
      </c>
      <c r="O83" s="303" t="str">
        <f t="shared" si="233"/>
        <v/>
      </c>
      <c r="P83" s="303" t="str">
        <f t="shared" si="233"/>
        <v/>
      </c>
      <c r="Q83" s="303" t="str">
        <f t="shared" si="233"/>
        <v/>
      </c>
      <c r="R83" s="303" t="str">
        <f t="shared" si="233"/>
        <v/>
      </c>
      <c r="S83" s="303" t="str">
        <f t="shared" si="233"/>
        <v/>
      </c>
      <c r="T83" s="303">
        <f t="shared" si="233"/>
        <v>1.4831906906638304</v>
      </c>
      <c r="U83" s="303">
        <f t="shared" si="233"/>
        <v>1.4831906906638304</v>
      </c>
      <c r="V83" s="303">
        <f t="shared" si="233"/>
        <v>0.66939754221200931</v>
      </c>
      <c r="W83" s="303" t="str">
        <f t="shared" si="233"/>
        <v/>
      </c>
      <c r="X83" s="303" t="str">
        <f t="shared" si="233"/>
        <v/>
      </c>
      <c r="Y83" s="303" t="str">
        <f t="shared" si="233"/>
        <v/>
      </c>
      <c r="Z83" s="303" t="str">
        <f t="shared" si="233"/>
        <v/>
      </c>
      <c r="AA83" s="303" t="str">
        <f t="shared" si="233"/>
        <v/>
      </c>
      <c r="AB83" s="303" t="str">
        <f t="shared" si="233"/>
        <v/>
      </c>
      <c r="AC83" s="303" t="str">
        <f t="shared" si="233"/>
        <v/>
      </c>
      <c r="AD83" s="303" t="str">
        <f t="shared" si="233"/>
        <v/>
      </c>
      <c r="AE83" s="303" t="str">
        <f t="shared" si="233"/>
        <v/>
      </c>
      <c r="AF83" s="303" t="str">
        <f t="shared" si="233"/>
        <v/>
      </c>
      <c r="AG83" s="303" t="str">
        <f t="shared" si="233"/>
        <v/>
      </c>
      <c r="AH83" s="303" t="str">
        <f t="shared" ref="AH83:BM83" si="234">IF(AH$2="-","",(IF(AH244="","",IF(AH$4&lt;$A83,AH244,(AH244-AH$3)/(1+AH$3%)))))</f>
        <v/>
      </c>
      <c r="AI83" s="303" t="str">
        <f t="shared" si="234"/>
        <v/>
      </c>
      <c r="AJ83" s="303" t="str">
        <f t="shared" si="234"/>
        <v/>
      </c>
      <c r="AK83" s="303" t="str">
        <f t="shared" si="234"/>
        <v/>
      </c>
      <c r="AL83" s="303" t="str">
        <f t="shared" si="234"/>
        <v/>
      </c>
      <c r="AM83" s="303" t="str">
        <f t="shared" si="234"/>
        <v/>
      </c>
      <c r="AN83" s="303" t="str">
        <f t="shared" si="234"/>
        <v/>
      </c>
      <c r="AO83" s="303" t="str">
        <f t="shared" si="234"/>
        <v/>
      </c>
      <c r="AP83" s="303" t="str">
        <f t="shared" si="234"/>
        <v/>
      </c>
      <c r="AQ83" s="303" t="str">
        <f t="shared" si="234"/>
        <v/>
      </c>
      <c r="AR83" s="303" t="str">
        <f t="shared" si="234"/>
        <v/>
      </c>
      <c r="AS83" s="303" t="str">
        <f t="shared" si="234"/>
        <v/>
      </c>
      <c r="AT83" s="303" t="str">
        <f t="shared" si="234"/>
        <v/>
      </c>
      <c r="AU83" s="303" t="str">
        <f t="shared" si="234"/>
        <v/>
      </c>
      <c r="AV83" s="303" t="str">
        <f t="shared" si="234"/>
        <v/>
      </c>
      <c r="AW83" s="303" t="str">
        <f t="shared" si="234"/>
        <v/>
      </c>
      <c r="AX83" s="303" t="str">
        <f t="shared" si="234"/>
        <v/>
      </c>
      <c r="AY83" s="303" t="str">
        <f t="shared" si="234"/>
        <v/>
      </c>
      <c r="AZ83" s="303" t="str">
        <f t="shared" si="234"/>
        <v/>
      </c>
      <c r="BA83" s="303" t="str">
        <f t="shared" si="234"/>
        <v/>
      </c>
      <c r="BB83" s="303" t="str">
        <f t="shared" si="234"/>
        <v/>
      </c>
      <c r="BC83" s="303" t="str">
        <f t="shared" si="234"/>
        <v/>
      </c>
      <c r="BD83" s="303" t="str">
        <f t="shared" si="234"/>
        <v/>
      </c>
      <c r="BE83" s="303" t="str">
        <f t="shared" si="234"/>
        <v/>
      </c>
      <c r="BF83" s="303" t="str">
        <f t="shared" si="234"/>
        <v/>
      </c>
      <c r="BG83" s="303" t="str">
        <f t="shared" si="234"/>
        <v/>
      </c>
      <c r="BH83" s="303" t="str">
        <f t="shared" si="234"/>
        <v/>
      </c>
      <c r="BI83" s="303" t="str">
        <f t="shared" si="234"/>
        <v/>
      </c>
      <c r="BJ83" s="303" t="str">
        <f t="shared" si="234"/>
        <v/>
      </c>
      <c r="BK83" s="303" t="str">
        <f t="shared" si="234"/>
        <v/>
      </c>
      <c r="BL83" s="303" t="str">
        <f t="shared" si="234"/>
        <v/>
      </c>
      <c r="BM83" s="303" t="str">
        <f t="shared" si="234"/>
        <v/>
      </c>
      <c r="BN83" s="303" t="str">
        <f t="shared" ref="BN83:BZ83" si="235">IF(BN$2="-","",(IF(BN244="","",IF(BN$4&lt;$A83,BN244,(BN244-BN$3)/(1+BN$3%)))))</f>
        <v/>
      </c>
      <c r="BO83" s="303" t="str">
        <f t="shared" si="235"/>
        <v/>
      </c>
      <c r="BP83" s="303" t="str">
        <f t="shared" si="235"/>
        <v/>
      </c>
      <c r="BQ83" s="303" t="str">
        <f t="shared" si="235"/>
        <v/>
      </c>
      <c r="BR83" s="303" t="str">
        <f t="shared" si="235"/>
        <v/>
      </c>
      <c r="BS83" s="303" t="str">
        <f t="shared" si="235"/>
        <v/>
      </c>
      <c r="BT83" s="303" t="str">
        <f t="shared" si="235"/>
        <v/>
      </c>
      <c r="BU83" s="303" t="str">
        <f t="shared" si="235"/>
        <v/>
      </c>
      <c r="BV83" s="303" t="str">
        <f t="shared" si="235"/>
        <v/>
      </c>
      <c r="BW83" s="303" t="str">
        <f t="shared" si="235"/>
        <v/>
      </c>
      <c r="BX83" s="303">
        <f t="shared" si="235"/>
        <v>-11.65371809100998</v>
      </c>
      <c r="BY83" s="303">
        <f t="shared" si="235"/>
        <v>1.686157072045158</v>
      </c>
      <c r="BZ83" s="303">
        <f t="shared" si="235"/>
        <v>0.76</v>
      </c>
      <c r="CA83" s="303">
        <f t="shared" si="205"/>
        <v>18.131868131868135</v>
      </c>
    </row>
    <row r="84" spans="1:79">
      <c r="A84" s="58">
        <f t="shared" si="201"/>
        <v>1947</v>
      </c>
      <c r="B84" s="303">
        <f t="shared" ref="B84:AG84" si="236">IF(B$2="-","",(IF(B245="","",IF(B$4&lt;$A84,B245,(B245-B$3)/(1+B$3%)))))</f>
        <v>2.8494819818799679</v>
      </c>
      <c r="C84" s="303" t="str">
        <f t="shared" si="236"/>
        <v/>
      </c>
      <c r="D84" s="303">
        <f t="shared" si="236"/>
        <v>2.8494819818799679</v>
      </c>
      <c r="E84" s="303" t="str">
        <f t="shared" si="236"/>
        <v/>
      </c>
      <c r="F84" s="303" t="str">
        <f t="shared" si="236"/>
        <v/>
      </c>
      <c r="G84" s="303" t="str">
        <f t="shared" si="236"/>
        <v/>
      </c>
      <c r="H84" s="303" t="str">
        <f t="shared" si="236"/>
        <v/>
      </c>
      <c r="I84" s="303" t="str">
        <f t="shared" si="236"/>
        <v/>
      </c>
      <c r="J84" s="303" t="str">
        <f t="shared" si="236"/>
        <v/>
      </c>
      <c r="K84" s="303" t="str">
        <f t="shared" si="236"/>
        <v/>
      </c>
      <c r="L84" s="303" t="str">
        <f t="shared" si="236"/>
        <v/>
      </c>
      <c r="M84" s="303" t="str">
        <f t="shared" si="236"/>
        <v/>
      </c>
      <c r="N84" s="303" t="str">
        <f t="shared" si="236"/>
        <v/>
      </c>
      <c r="O84" s="303" t="str">
        <f t="shared" si="236"/>
        <v/>
      </c>
      <c r="P84" s="303" t="str">
        <f t="shared" si="236"/>
        <v/>
      </c>
      <c r="Q84" s="303" t="str">
        <f t="shared" si="236"/>
        <v/>
      </c>
      <c r="R84" s="303" t="str">
        <f t="shared" si="236"/>
        <v/>
      </c>
      <c r="S84" s="303" t="str">
        <f t="shared" si="236"/>
        <v/>
      </c>
      <c r="T84" s="303">
        <f t="shared" si="236"/>
        <v>0.9837178743711239</v>
      </c>
      <c r="U84" s="303">
        <f t="shared" si="236"/>
        <v>0.9837178743711239</v>
      </c>
      <c r="V84" s="303">
        <f t="shared" si="236"/>
        <v>0.91917274452992315</v>
      </c>
      <c r="W84" s="303" t="str">
        <f t="shared" si="236"/>
        <v/>
      </c>
      <c r="X84" s="303" t="str">
        <f t="shared" si="236"/>
        <v/>
      </c>
      <c r="Y84" s="303" t="str">
        <f t="shared" si="236"/>
        <v/>
      </c>
      <c r="Z84" s="303" t="str">
        <f t="shared" si="236"/>
        <v/>
      </c>
      <c r="AA84" s="303" t="str">
        <f t="shared" si="236"/>
        <v/>
      </c>
      <c r="AB84" s="303" t="str">
        <f t="shared" si="236"/>
        <v/>
      </c>
      <c r="AC84" s="303" t="str">
        <f t="shared" si="236"/>
        <v/>
      </c>
      <c r="AD84" s="303" t="str">
        <f t="shared" si="236"/>
        <v/>
      </c>
      <c r="AE84" s="303" t="str">
        <f t="shared" si="236"/>
        <v/>
      </c>
      <c r="AF84" s="303" t="str">
        <f t="shared" si="236"/>
        <v/>
      </c>
      <c r="AG84" s="303" t="str">
        <f t="shared" si="236"/>
        <v/>
      </c>
      <c r="AH84" s="303" t="str">
        <f t="shared" ref="AH84:BM84" si="237">IF(AH$2="-","",(IF(AH245="","",IF(AH$4&lt;$A84,AH245,(AH245-AH$3)/(1+AH$3%)))))</f>
        <v/>
      </c>
      <c r="AI84" s="303" t="str">
        <f t="shared" si="237"/>
        <v/>
      </c>
      <c r="AJ84" s="303" t="str">
        <f t="shared" si="237"/>
        <v/>
      </c>
      <c r="AK84" s="303" t="str">
        <f t="shared" si="237"/>
        <v/>
      </c>
      <c r="AL84" s="303" t="str">
        <f t="shared" si="237"/>
        <v/>
      </c>
      <c r="AM84" s="303" t="str">
        <f t="shared" si="237"/>
        <v/>
      </c>
      <c r="AN84" s="303" t="str">
        <f t="shared" si="237"/>
        <v/>
      </c>
      <c r="AO84" s="303" t="str">
        <f t="shared" si="237"/>
        <v/>
      </c>
      <c r="AP84" s="303" t="str">
        <f t="shared" si="237"/>
        <v/>
      </c>
      <c r="AQ84" s="303" t="str">
        <f t="shared" si="237"/>
        <v/>
      </c>
      <c r="AR84" s="303" t="str">
        <f t="shared" si="237"/>
        <v/>
      </c>
      <c r="AS84" s="303" t="str">
        <f t="shared" si="237"/>
        <v/>
      </c>
      <c r="AT84" s="303" t="str">
        <f t="shared" si="237"/>
        <v/>
      </c>
      <c r="AU84" s="303" t="str">
        <f t="shared" si="237"/>
        <v/>
      </c>
      <c r="AV84" s="303" t="str">
        <f t="shared" si="237"/>
        <v/>
      </c>
      <c r="AW84" s="303" t="str">
        <f t="shared" si="237"/>
        <v/>
      </c>
      <c r="AX84" s="303" t="str">
        <f t="shared" si="237"/>
        <v/>
      </c>
      <c r="AY84" s="303" t="str">
        <f t="shared" si="237"/>
        <v/>
      </c>
      <c r="AZ84" s="303" t="str">
        <f t="shared" si="237"/>
        <v/>
      </c>
      <c r="BA84" s="303" t="str">
        <f t="shared" si="237"/>
        <v/>
      </c>
      <c r="BB84" s="303" t="str">
        <f t="shared" si="237"/>
        <v/>
      </c>
      <c r="BC84" s="303" t="str">
        <f t="shared" si="237"/>
        <v/>
      </c>
      <c r="BD84" s="303" t="str">
        <f t="shared" si="237"/>
        <v/>
      </c>
      <c r="BE84" s="303" t="str">
        <f t="shared" si="237"/>
        <v/>
      </c>
      <c r="BF84" s="303" t="str">
        <f t="shared" si="237"/>
        <v/>
      </c>
      <c r="BG84" s="303" t="str">
        <f t="shared" si="237"/>
        <v/>
      </c>
      <c r="BH84" s="303" t="str">
        <f t="shared" si="237"/>
        <v/>
      </c>
      <c r="BI84" s="303" t="str">
        <f t="shared" si="237"/>
        <v/>
      </c>
      <c r="BJ84" s="303" t="str">
        <f t="shared" si="237"/>
        <v/>
      </c>
      <c r="BK84" s="303" t="str">
        <f t="shared" si="237"/>
        <v/>
      </c>
      <c r="BL84" s="303" t="str">
        <f t="shared" si="237"/>
        <v/>
      </c>
      <c r="BM84" s="303" t="str">
        <f t="shared" si="237"/>
        <v/>
      </c>
      <c r="BN84" s="303" t="str">
        <f t="shared" ref="BN84:BZ84" si="238">IF(BN$2="-","",(IF(BN245="","",IF(BN$4&lt;$A84,BN245,(BN245-BN$3)/(1+BN$3%)))))</f>
        <v/>
      </c>
      <c r="BO84" s="303" t="str">
        <f t="shared" si="238"/>
        <v/>
      </c>
      <c r="BP84" s="303" t="str">
        <f t="shared" si="238"/>
        <v/>
      </c>
      <c r="BQ84" s="303" t="str">
        <f t="shared" si="238"/>
        <v/>
      </c>
      <c r="BR84" s="303" t="str">
        <f t="shared" si="238"/>
        <v/>
      </c>
      <c r="BS84" s="303" t="str">
        <f t="shared" si="238"/>
        <v/>
      </c>
      <c r="BT84" s="303" t="str">
        <f t="shared" si="238"/>
        <v/>
      </c>
      <c r="BU84" s="303" t="str">
        <f t="shared" si="238"/>
        <v/>
      </c>
      <c r="BV84" s="303" t="str">
        <f t="shared" si="238"/>
        <v/>
      </c>
      <c r="BW84" s="303" t="str">
        <f t="shared" si="238"/>
        <v/>
      </c>
      <c r="BX84" s="303">
        <f t="shared" si="238"/>
        <v>3.024326101249164</v>
      </c>
      <c r="BY84" s="303">
        <f t="shared" si="238"/>
        <v>1.1856853101198661</v>
      </c>
      <c r="BZ84" s="303">
        <f t="shared" si="238"/>
        <v>1.01</v>
      </c>
      <c r="CA84" s="303">
        <f t="shared" si="205"/>
        <v>10.232558139534875</v>
      </c>
    </row>
    <row r="85" spans="1:79">
      <c r="A85" s="58">
        <f t="shared" si="201"/>
        <v>1948</v>
      </c>
      <c r="B85" s="303">
        <f t="shared" ref="B85:AG85" si="239">IF(B$2="-","",(IF(B246="","",IF(B$4&lt;$A85,B246,(B246-B$3)/(1+B$3%)))))</f>
        <v>9.6584895360961109</v>
      </c>
      <c r="C85" s="303" t="str">
        <f t="shared" si="239"/>
        <v/>
      </c>
      <c r="D85" s="303">
        <f t="shared" si="239"/>
        <v>9.6584895360961109</v>
      </c>
      <c r="E85" s="303" t="str">
        <f t="shared" si="239"/>
        <v/>
      </c>
      <c r="F85" s="303" t="str">
        <f t="shared" si="239"/>
        <v/>
      </c>
      <c r="G85" s="303" t="str">
        <f t="shared" si="239"/>
        <v/>
      </c>
      <c r="H85" s="303" t="str">
        <f t="shared" si="239"/>
        <v/>
      </c>
      <c r="I85" s="303" t="str">
        <f t="shared" si="239"/>
        <v/>
      </c>
      <c r="J85" s="303" t="str">
        <f t="shared" si="239"/>
        <v/>
      </c>
      <c r="K85" s="303" t="str">
        <f t="shared" si="239"/>
        <v/>
      </c>
      <c r="L85" s="303" t="str">
        <f t="shared" si="239"/>
        <v/>
      </c>
      <c r="M85" s="303" t="str">
        <f t="shared" si="239"/>
        <v/>
      </c>
      <c r="N85" s="303" t="str">
        <f t="shared" si="239"/>
        <v/>
      </c>
      <c r="O85" s="303" t="str">
        <f t="shared" si="239"/>
        <v/>
      </c>
      <c r="P85" s="303" t="str">
        <f t="shared" si="239"/>
        <v/>
      </c>
      <c r="Q85" s="303" t="str">
        <f t="shared" si="239"/>
        <v/>
      </c>
      <c r="R85" s="303" t="str">
        <f t="shared" si="239"/>
        <v/>
      </c>
      <c r="S85" s="303" t="str">
        <f t="shared" si="239"/>
        <v/>
      </c>
      <c r="T85" s="303">
        <f t="shared" si="239"/>
        <v>2.2664570892071834</v>
      </c>
      <c r="U85" s="303">
        <f t="shared" si="239"/>
        <v>2.2664570892071834</v>
      </c>
      <c r="V85" s="303">
        <f t="shared" si="239"/>
        <v>1.258867019682286</v>
      </c>
      <c r="W85" s="303" t="str">
        <f t="shared" si="239"/>
        <v/>
      </c>
      <c r="X85" s="303" t="str">
        <f t="shared" si="239"/>
        <v/>
      </c>
      <c r="Y85" s="303" t="str">
        <f t="shared" si="239"/>
        <v/>
      </c>
      <c r="Z85" s="303" t="str">
        <f t="shared" si="239"/>
        <v/>
      </c>
      <c r="AA85" s="303" t="str">
        <f t="shared" si="239"/>
        <v/>
      </c>
      <c r="AB85" s="303" t="str">
        <f t="shared" si="239"/>
        <v/>
      </c>
      <c r="AC85" s="303" t="str">
        <f t="shared" si="239"/>
        <v/>
      </c>
      <c r="AD85" s="303" t="str">
        <f t="shared" si="239"/>
        <v/>
      </c>
      <c r="AE85" s="303" t="str">
        <f t="shared" si="239"/>
        <v/>
      </c>
      <c r="AF85" s="303" t="str">
        <f t="shared" si="239"/>
        <v/>
      </c>
      <c r="AG85" s="303" t="str">
        <f t="shared" si="239"/>
        <v/>
      </c>
      <c r="AH85" s="303" t="str">
        <f t="shared" ref="AH85:BM85" si="240">IF(AH$2="-","",(IF(AH246="","",IF(AH$4&lt;$A85,AH246,(AH246-AH$3)/(1+AH$3%)))))</f>
        <v/>
      </c>
      <c r="AI85" s="303" t="str">
        <f t="shared" si="240"/>
        <v/>
      </c>
      <c r="AJ85" s="303" t="str">
        <f t="shared" si="240"/>
        <v/>
      </c>
      <c r="AK85" s="303" t="str">
        <f t="shared" si="240"/>
        <v/>
      </c>
      <c r="AL85" s="303" t="str">
        <f t="shared" si="240"/>
        <v/>
      </c>
      <c r="AM85" s="303" t="str">
        <f t="shared" si="240"/>
        <v/>
      </c>
      <c r="AN85" s="303" t="str">
        <f t="shared" si="240"/>
        <v/>
      </c>
      <c r="AO85" s="303" t="str">
        <f t="shared" si="240"/>
        <v/>
      </c>
      <c r="AP85" s="303" t="str">
        <f t="shared" si="240"/>
        <v/>
      </c>
      <c r="AQ85" s="303" t="str">
        <f t="shared" si="240"/>
        <v/>
      </c>
      <c r="AR85" s="303" t="str">
        <f t="shared" si="240"/>
        <v/>
      </c>
      <c r="AS85" s="303" t="str">
        <f t="shared" si="240"/>
        <v/>
      </c>
      <c r="AT85" s="303" t="str">
        <f t="shared" si="240"/>
        <v/>
      </c>
      <c r="AU85" s="303" t="str">
        <f t="shared" si="240"/>
        <v/>
      </c>
      <c r="AV85" s="303" t="str">
        <f t="shared" si="240"/>
        <v/>
      </c>
      <c r="AW85" s="303" t="str">
        <f t="shared" si="240"/>
        <v/>
      </c>
      <c r="AX85" s="303" t="str">
        <f t="shared" si="240"/>
        <v/>
      </c>
      <c r="AY85" s="303" t="str">
        <f t="shared" si="240"/>
        <v/>
      </c>
      <c r="AZ85" s="303" t="str">
        <f t="shared" si="240"/>
        <v/>
      </c>
      <c r="BA85" s="303" t="str">
        <f t="shared" si="240"/>
        <v/>
      </c>
      <c r="BB85" s="303" t="str">
        <f t="shared" si="240"/>
        <v/>
      </c>
      <c r="BC85" s="303" t="str">
        <f t="shared" si="240"/>
        <v/>
      </c>
      <c r="BD85" s="303" t="str">
        <f t="shared" si="240"/>
        <v/>
      </c>
      <c r="BE85" s="303" t="str">
        <f t="shared" si="240"/>
        <v/>
      </c>
      <c r="BF85" s="303" t="str">
        <f t="shared" si="240"/>
        <v/>
      </c>
      <c r="BG85" s="303" t="str">
        <f t="shared" si="240"/>
        <v/>
      </c>
      <c r="BH85" s="303" t="str">
        <f t="shared" si="240"/>
        <v/>
      </c>
      <c r="BI85" s="303" t="str">
        <f t="shared" si="240"/>
        <v/>
      </c>
      <c r="BJ85" s="303" t="str">
        <f t="shared" si="240"/>
        <v/>
      </c>
      <c r="BK85" s="303" t="str">
        <f t="shared" si="240"/>
        <v/>
      </c>
      <c r="BL85" s="303" t="str">
        <f t="shared" si="240"/>
        <v/>
      </c>
      <c r="BM85" s="303" t="str">
        <f t="shared" si="240"/>
        <v/>
      </c>
      <c r="BN85" s="303" t="str">
        <f t="shared" ref="BN85:BZ85" si="241">IF(BN$2="-","",(IF(BN246="","",IF(BN$4&lt;$A85,BN246,(BN246-BN$3)/(1+BN$3%)))))</f>
        <v/>
      </c>
      <c r="BO85" s="303" t="str">
        <f t="shared" si="241"/>
        <v/>
      </c>
      <c r="BP85" s="303" t="str">
        <f t="shared" si="241"/>
        <v/>
      </c>
      <c r="BQ85" s="303" t="str">
        <f t="shared" si="241"/>
        <v/>
      </c>
      <c r="BR85" s="303" t="str">
        <f t="shared" si="241"/>
        <v/>
      </c>
      <c r="BS85" s="303" t="str">
        <f t="shared" si="241"/>
        <v/>
      </c>
      <c r="BT85" s="303" t="str">
        <f t="shared" si="241"/>
        <v/>
      </c>
      <c r="BU85" s="303" t="str">
        <f t="shared" si="241"/>
        <v/>
      </c>
      <c r="BV85" s="303" t="str">
        <f t="shared" si="241"/>
        <v/>
      </c>
      <c r="BW85" s="303" t="str">
        <f t="shared" si="241"/>
        <v/>
      </c>
      <c r="BX85" s="303">
        <f t="shared" si="241"/>
        <v>9.8449089683074753</v>
      </c>
      <c r="BY85" s="303">
        <f t="shared" si="241"/>
        <v>2.470990003385598</v>
      </c>
      <c r="BZ85" s="303">
        <f t="shared" si="241"/>
        <v>1.35</v>
      </c>
      <c r="CA85" s="303">
        <f t="shared" si="205"/>
        <v>1.2658227848101333</v>
      </c>
    </row>
    <row r="86" spans="1:79">
      <c r="A86" s="58">
        <f t="shared" si="201"/>
        <v>1949</v>
      </c>
      <c r="B86" s="303">
        <f t="shared" ref="B86:AG86" si="242">IF(B$2="-","",(IF(B247="","",IF(B$4&lt;$A86,B247,(B247-B$3)/(1+B$3%)))))</f>
        <v>17.118606701940024</v>
      </c>
      <c r="C86" s="303" t="str">
        <f t="shared" si="242"/>
        <v/>
      </c>
      <c r="D86" s="303">
        <f t="shared" si="242"/>
        <v>17.118606701940024</v>
      </c>
      <c r="E86" s="303" t="str">
        <f t="shared" si="242"/>
        <v/>
      </c>
      <c r="F86" s="303" t="str">
        <f t="shared" si="242"/>
        <v/>
      </c>
      <c r="G86" s="303" t="str">
        <f t="shared" si="242"/>
        <v/>
      </c>
      <c r="H86" s="303" t="str">
        <f t="shared" si="242"/>
        <v/>
      </c>
      <c r="I86" s="303" t="str">
        <f t="shared" si="242"/>
        <v/>
      </c>
      <c r="J86" s="303" t="str">
        <f t="shared" si="242"/>
        <v/>
      </c>
      <c r="K86" s="303" t="str">
        <f t="shared" si="242"/>
        <v/>
      </c>
      <c r="L86" s="303" t="str">
        <f t="shared" si="242"/>
        <v/>
      </c>
      <c r="M86" s="303" t="str">
        <f t="shared" si="242"/>
        <v/>
      </c>
      <c r="N86" s="303" t="str">
        <f t="shared" si="242"/>
        <v/>
      </c>
      <c r="O86" s="303" t="str">
        <f t="shared" si="242"/>
        <v/>
      </c>
      <c r="P86" s="303" t="str">
        <f t="shared" si="242"/>
        <v/>
      </c>
      <c r="Q86" s="303" t="str">
        <f t="shared" si="242"/>
        <v/>
      </c>
      <c r="R86" s="303" t="str">
        <f t="shared" si="242"/>
        <v/>
      </c>
      <c r="S86" s="303" t="str">
        <f t="shared" si="242"/>
        <v/>
      </c>
      <c r="T86" s="303">
        <f t="shared" si="242"/>
        <v>2.6464299745080329</v>
      </c>
      <c r="U86" s="303">
        <f t="shared" si="242"/>
        <v>2.6464299745080329</v>
      </c>
      <c r="V86" s="303">
        <f t="shared" si="242"/>
        <v>1.4886602058147669</v>
      </c>
      <c r="W86" s="303" t="str">
        <f t="shared" si="242"/>
        <v/>
      </c>
      <c r="X86" s="303" t="str">
        <f t="shared" si="242"/>
        <v/>
      </c>
      <c r="Y86" s="303" t="str">
        <f t="shared" si="242"/>
        <v/>
      </c>
      <c r="Z86" s="303" t="str">
        <f t="shared" si="242"/>
        <v/>
      </c>
      <c r="AA86" s="303" t="str">
        <f t="shared" si="242"/>
        <v/>
      </c>
      <c r="AB86" s="303" t="str">
        <f t="shared" si="242"/>
        <v/>
      </c>
      <c r="AC86" s="303" t="str">
        <f t="shared" si="242"/>
        <v/>
      </c>
      <c r="AD86" s="303" t="str">
        <f t="shared" si="242"/>
        <v/>
      </c>
      <c r="AE86" s="303" t="str">
        <f t="shared" si="242"/>
        <v/>
      </c>
      <c r="AF86" s="303" t="str">
        <f t="shared" si="242"/>
        <v/>
      </c>
      <c r="AG86" s="303" t="str">
        <f t="shared" si="242"/>
        <v/>
      </c>
      <c r="AH86" s="303" t="str">
        <f t="shared" ref="AH86:BM86" si="243">IF(AH$2="-","",(IF(AH247="","",IF(AH$4&lt;$A86,AH247,(AH247-AH$3)/(1+AH$3%)))))</f>
        <v/>
      </c>
      <c r="AI86" s="303" t="str">
        <f t="shared" si="243"/>
        <v/>
      </c>
      <c r="AJ86" s="303" t="str">
        <f t="shared" si="243"/>
        <v/>
      </c>
      <c r="AK86" s="303" t="str">
        <f t="shared" si="243"/>
        <v/>
      </c>
      <c r="AL86" s="303" t="str">
        <f t="shared" si="243"/>
        <v/>
      </c>
      <c r="AM86" s="303" t="str">
        <f t="shared" si="243"/>
        <v/>
      </c>
      <c r="AN86" s="303" t="str">
        <f t="shared" si="243"/>
        <v/>
      </c>
      <c r="AO86" s="303" t="str">
        <f t="shared" si="243"/>
        <v/>
      </c>
      <c r="AP86" s="303" t="str">
        <f t="shared" si="243"/>
        <v/>
      </c>
      <c r="AQ86" s="303" t="str">
        <f t="shared" si="243"/>
        <v/>
      </c>
      <c r="AR86" s="303" t="str">
        <f t="shared" si="243"/>
        <v/>
      </c>
      <c r="AS86" s="303" t="str">
        <f t="shared" si="243"/>
        <v/>
      </c>
      <c r="AT86" s="303" t="str">
        <f t="shared" si="243"/>
        <v/>
      </c>
      <c r="AU86" s="303" t="str">
        <f t="shared" si="243"/>
        <v/>
      </c>
      <c r="AV86" s="303" t="str">
        <f t="shared" si="243"/>
        <v/>
      </c>
      <c r="AW86" s="303" t="str">
        <f t="shared" si="243"/>
        <v/>
      </c>
      <c r="AX86" s="303" t="str">
        <f t="shared" si="243"/>
        <v/>
      </c>
      <c r="AY86" s="303" t="str">
        <f t="shared" si="243"/>
        <v/>
      </c>
      <c r="AZ86" s="303" t="str">
        <f t="shared" si="243"/>
        <v/>
      </c>
      <c r="BA86" s="303" t="str">
        <f t="shared" si="243"/>
        <v/>
      </c>
      <c r="BB86" s="303" t="str">
        <f t="shared" si="243"/>
        <v/>
      </c>
      <c r="BC86" s="303" t="str">
        <f t="shared" si="243"/>
        <v/>
      </c>
      <c r="BD86" s="303" t="str">
        <f t="shared" si="243"/>
        <v/>
      </c>
      <c r="BE86" s="303" t="str">
        <f t="shared" si="243"/>
        <v/>
      </c>
      <c r="BF86" s="303" t="str">
        <f t="shared" si="243"/>
        <v/>
      </c>
      <c r="BG86" s="303" t="str">
        <f t="shared" si="243"/>
        <v/>
      </c>
      <c r="BH86" s="303" t="str">
        <f t="shared" si="243"/>
        <v/>
      </c>
      <c r="BI86" s="303" t="str">
        <f t="shared" si="243"/>
        <v/>
      </c>
      <c r="BJ86" s="303" t="str">
        <f t="shared" si="243"/>
        <v/>
      </c>
      <c r="BK86" s="303" t="str">
        <f t="shared" si="243"/>
        <v/>
      </c>
      <c r="BL86" s="303" t="str">
        <f t="shared" si="243"/>
        <v/>
      </c>
      <c r="BM86" s="303" t="str">
        <f t="shared" si="243"/>
        <v/>
      </c>
      <c r="BN86" s="303" t="str">
        <f t="shared" ref="BN86:BZ86" si="244">IF(BN$2="-","",(IF(BN247="","",IF(BN$4&lt;$A86,BN247,(BN247-BN$3)/(1+BN$3%)))))</f>
        <v/>
      </c>
      <c r="BO86" s="303" t="str">
        <f t="shared" si="244"/>
        <v/>
      </c>
      <c r="BP86" s="303" t="str">
        <f t="shared" si="244"/>
        <v/>
      </c>
      <c r="BQ86" s="303" t="str">
        <f t="shared" si="244"/>
        <v/>
      </c>
      <c r="BR86" s="303" t="str">
        <f t="shared" si="244"/>
        <v/>
      </c>
      <c r="BS86" s="303" t="str">
        <f t="shared" si="244"/>
        <v/>
      </c>
      <c r="BT86" s="303" t="str">
        <f t="shared" si="244"/>
        <v/>
      </c>
      <c r="BU86" s="303" t="str">
        <f t="shared" si="244"/>
        <v/>
      </c>
      <c r="BV86" s="303" t="str">
        <f t="shared" si="244"/>
        <v/>
      </c>
      <c r="BW86" s="303" t="str">
        <f t="shared" si="244"/>
        <v/>
      </c>
      <c r="BX86" s="303">
        <f t="shared" si="244"/>
        <v>17.317708333333325</v>
      </c>
      <c r="BY86" s="303">
        <f t="shared" si="244"/>
        <v>2.8517228344570489</v>
      </c>
      <c r="BZ86" s="303">
        <f t="shared" si="244"/>
        <v>1.58</v>
      </c>
      <c r="CA86" s="303">
        <f t="shared" si="205"/>
        <v>-2.083333333333337</v>
      </c>
    </row>
    <row r="87" spans="1:79">
      <c r="A87" s="58">
        <f t="shared" si="201"/>
        <v>1950</v>
      </c>
      <c r="B87" s="303">
        <f t="shared" ref="B87:AG87" si="245">IF(B$2="-","",(IF(B248="","",IF(B$4&lt;$A87,B248,(B248-B$3)/(1+B$3%)))))</f>
        <v>34.132164893141379</v>
      </c>
      <c r="C87" s="303" t="str">
        <f t="shared" si="245"/>
        <v/>
      </c>
      <c r="D87" s="303">
        <f t="shared" si="245"/>
        <v>34.132164893141379</v>
      </c>
      <c r="E87" s="303" t="str">
        <f t="shared" si="245"/>
        <v/>
      </c>
      <c r="F87" s="303" t="str">
        <f t="shared" si="245"/>
        <v/>
      </c>
      <c r="G87" s="303" t="str">
        <f t="shared" si="245"/>
        <v/>
      </c>
      <c r="H87" s="303" t="str">
        <f t="shared" si="245"/>
        <v/>
      </c>
      <c r="I87" s="303" t="str">
        <f t="shared" si="245"/>
        <v/>
      </c>
      <c r="J87" s="303" t="str">
        <f t="shared" si="245"/>
        <v/>
      </c>
      <c r="K87" s="303" t="str">
        <f t="shared" si="245"/>
        <v/>
      </c>
      <c r="L87" s="303" t="str">
        <f t="shared" si="245"/>
        <v/>
      </c>
      <c r="M87" s="303" t="str">
        <f t="shared" si="245"/>
        <v/>
      </c>
      <c r="N87" s="303" t="str">
        <f t="shared" si="245"/>
        <v/>
      </c>
      <c r="O87" s="303" t="str">
        <f t="shared" si="245"/>
        <v/>
      </c>
      <c r="P87" s="303" t="str">
        <f t="shared" si="245"/>
        <v/>
      </c>
      <c r="Q87" s="303" t="str">
        <f t="shared" si="245"/>
        <v/>
      </c>
      <c r="R87" s="303" t="str">
        <f t="shared" si="245"/>
        <v/>
      </c>
      <c r="S87" s="303" t="str">
        <f t="shared" si="245"/>
        <v/>
      </c>
      <c r="T87" s="303">
        <f t="shared" si="245"/>
        <v>7.6058472471816655E-3</v>
      </c>
      <c r="U87" s="303">
        <f t="shared" si="245"/>
        <v>7.6058472471816655E-3</v>
      </c>
      <c r="V87" s="303">
        <f t="shared" si="245"/>
        <v>1.2288939954041365</v>
      </c>
      <c r="W87" s="303" t="str">
        <f t="shared" si="245"/>
        <v/>
      </c>
      <c r="X87" s="303" t="str">
        <f t="shared" si="245"/>
        <v/>
      </c>
      <c r="Y87" s="303" t="str">
        <f t="shared" si="245"/>
        <v/>
      </c>
      <c r="Z87" s="303" t="str">
        <f t="shared" si="245"/>
        <v/>
      </c>
      <c r="AA87" s="303" t="str">
        <f t="shared" si="245"/>
        <v/>
      </c>
      <c r="AB87" s="303" t="str">
        <f t="shared" si="245"/>
        <v/>
      </c>
      <c r="AC87" s="303" t="str">
        <f t="shared" si="245"/>
        <v/>
      </c>
      <c r="AD87" s="303" t="str">
        <f t="shared" si="245"/>
        <v/>
      </c>
      <c r="AE87" s="303" t="str">
        <f t="shared" si="245"/>
        <v/>
      </c>
      <c r="AF87" s="303" t="str">
        <f t="shared" si="245"/>
        <v/>
      </c>
      <c r="AG87" s="303" t="str">
        <f t="shared" si="245"/>
        <v/>
      </c>
      <c r="AH87" s="303" t="str">
        <f t="shared" ref="AH87:BM87" si="246">IF(AH$2="-","",(IF(AH248="","",IF(AH$4&lt;$A87,AH248,(AH248-AH$3)/(1+AH$3%)))))</f>
        <v/>
      </c>
      <c r="AI87" s="303" t="str">
        <f t="shared" si="246"/>
        <v/>
      </c>
      <c r="AJ87" s="303" t="str">
        <f t="shared" si="246"/>
        <v/>
      </c>
      <c r="AK87" s="303" t="str">
        <f t="shared" si="246"/>
        <v/>
      </c>
      <c r="AL87" s="303" t="str">
        <f t="shared" si="246"/>
        <v/>
      </c>
      <c r="AM87" s="303" t="str">
        <f t="shared" si="246"/>
        <v/>
      </c>
      <c r="AN87" s="303" t="str">
        <f t="shared" si="246"/>
        <v/>
      </c>
      <c r="AO87" s="303" t="str">
        <f t="shared" si="246"/>
        <v/>
      </c>
      <c r="AP87" s="303" t="str">
        <f t="shared" si="246"/>
        <v/>
      </c>
      <c r="AQ87" s="303" t="str">
        <f t="shared" si="246"/>
        <v/>
      </c>
      <c r="AR87" s="303" t="str">
        <f t="shared" si="246"/>
        <v/>
      </c>
      <c r="AS87" s="303" t="str">
        <f t="shared" si="246"/>
        <v/>
      </c>
      <c r="AT87" s="303" t="str">
        <f t="shared" si="246"/>
        <v/>
      </c>
      <c r="AU87" s="303" t="str">
        <f t="shared" si="246"/>
        <v/>
      </c>
      <c r="AV87" s="303" t="str">
        <f t="shared" si="246"/>
        <v/>
      </c>
      <c r="AW87" s="303" t="str">
        <f t="shared" si="246"/>
        <v/>
      </c>
      <c r="AX87" s="303" t="str">
        <f t="shared" si="246"/>
        <v/>
      </c>
      <c r="AY87" s="303" t="str">
        <f t="shared" si="246"/>
        <v/>
      </c>
      <c r="AZ87" s="303" t="str">
        <f t="shared" si="246"/>
        <v/>
      </c>
      <c r="BA87" s="303" t="str">
        <f t="shared" si="246"/>
        <v/>
      </c>
      <c r="BB87" s="303" t="str">
        <f t="shared" si="246"/>
        <v/>
      </c>
      <c r="BC87" s="303" t="str">
        <f t="shared" si="246"/>
        <v/>
      </c>
      <c r="BD87" s="303" t="str">
        <f t="shared" si="246"/>
        <v/>
      </c>
      <c r="BE87" s="303" t="str">
        <f t="shared" si="246"/>
        <v/>
      </c>
      <c r="BF87" s="303" t="str">
        <f t="shared" si="246"/>
        <v/>
      </c>
      <c r="BG87" s="303" t="str">
        <f t="shared" si="246"/>
        <v/>
      </c>
      <c r="BH87" s="303" t="str">
        <f t="shared" si="246"/>
        <v/>
      </c>
      <c r="BI87" s="303" t="str">
        <f t="shared" si="246"/>
        <v/>
      </c>
      <c r="BJ87" s="303" t="str">
        <f t="shared" si="246"/>
        <v/>
      </c>
      <c r="BK87" s="303" t="str">
        <f t="shared" si="246"/>
        <v/>
      </c>
      <c r="BL87" s="303" t="str">
        <f t="shared" si="246"/>
        <v/>
      </c>
      <c r="BM87" s="303" t="str">
        <f t="shared" si="246"/>
        <v/>
      </c>
      <c r="BN87" s="303" t="str">
        <f t="shared" ref="BN87:BZ87" si="247">IF(BN$2="-","",(IF(BN248="","",IF(BN$4&lt;$A87,BN248,(BN248-BN$3)/(1+BN$3%)))))</f>
        <v/>
      </c>
      <c r="BO87" s="303" t="str">
        <f t="shared" si="247"/>
        <v/>
      </c>
      <c r="BP87" s="303" t="str">
        <f t="shared" si="247"/>
        <v/>
      </c>
      <c r="BQ87" s="303" t="str">
        <f t="shared" si="247"/>
        <v/>
      </c>
      <c r="BR87" s="303" t="str">
        <f t="shared" si="247"/>
        <v/>
      </c>
      <c r="BS87" s="303" t="str">
        <f t="shared" si="247"/>
        <v/>
      </c>
      <c r="BT87" s="303" t="str">
        <f t="shared" si="247"/>
        <v/>
      </c>
      <c r="BU87" s="303" t="str">
        <f t="shared" si="247"/>
        <v/>
      </c>
      <c r="BV87" s="303" t="str">
        <f t="shared" si="247"/>
        <v/>
      </c>
      <c r="BW87" s="303" t="str">
        <f t="shared" si="247"/>
        <v/>
      </c>
      <c r="BX87" s="303">
        <f t="shared" si="247"/>
        <v>34.360189573459721</v>
      </c>
      <c r="BY87" s="303">
        <f t="shared" si="247"/>
        <v>0.20762105894167604</v>
      </c>
      <c r="BZ87" s="303">
        <f t="shared" si="247"/>
        <v>1.32</v>
      </c>
      <c r="CA87" s="303">
        <f t="shared" si="205"/>
        <v>8.085106382978724</v>
      </c>
    </row>
    <row r="88" spans="1:79">
      <c r="A88" s="58">
        <f t="shared" si="201"/>
        <v>1951</v>
      </c>
      <c r="B88" s="303">
        <f t="shared" ref="B88:AG88" si="248">IF(B$2="-","",(IF(B249="","",IF(B$4&lt;$A88,B249,(B249-B$3)/(1+B$3%)))))</f>
        <v>20.492946055825797</v>
      </c>
      <c r="C88" s="303" t="str">
        <f t="shared" si="248"/>
        <v/>
      </c>
      <c r="D88" s="303">
        <f t="shared" si="248"/>
        <v>20.492946055825797</v>
      </c>
      <c r="E88" s="303" t="str">
        <f t="shared" si="248"/>
        <v/>
      </c>
      <c r="F88" s="303" t="str">
        <f t="shared" si="248"/>
        <v/>
      </c>
      <c r="G88" s="303" t="str">
        <f t="shared" si="248"/>
        <v/>
      </c>
      <c r="H88" s="303" t="str">
        <f t="shared" si="248"/>
        <v/>
      </c>
      <c r="I88" s="303" t="str">
        <f t="shared" si="248"/>
        <v/>
      </c>
      <c r="J88" s="303" t="str">
        <f t="shared" si="248"/>
        <v/>
      </c>
      <c r="K88" s="303" t="str">
        <f t="shared" si="248"/>
        <v/>
      </c>
      <c r="L88" s="303" t="str">
        <f t="shared" si="248"/>
        <v/>
      </c>
      <c r="M88" s="303" t="str">
        <f t="shared" si="248"/>
        <v/>
      </c>
      <c r="N88" s="303" t="str">
        <f t="shared" si="248"/>
        <v/>
      </c>
      <c r="O88" s="303" t="str">
        <f t="shared" si="248"/>
        <v/>
      </c>
      <c r="P88" s="303" t="str">
        <f t="shared" si="248"/>
        <v/>
      </c>
      <c r="Q88" s="303" t="str">
        <f t="shared" si="248"/>
        <v/>
      </c>
      <c r="R88" s="303" t="str">
        <f t="shared" si="248"/>
        <v/>
      </c>
      <c r="S88" s="303" t="str">
        <f t="shared" si="248"/>
        <v/>
      </c>
      <c r="T88" s="303">
        <f t="shared" si="248"/>
        <v>1.5904008546201724</v>
      </c>
      <c r="U88" s="303">
        <f t="shared" si="248"/>
        <v>1.5904008546201724</v>
      </c>
      <c r="V88" s="303">
        <f t="shared" si="248"/>
        <v>2.0281746428214613</v>
      </c>
      <c r="W88" s="303" t="str">
        <f t="shared" si="248"/>
        <v/>
      </c>
      <c r="X88" s="303" t="str">
        <f t="shared" si="248"/>
        <v/>
      </c>
      <c r="Y88" s="303" t="str">
        <f t="shared" si="248"/>
        <v/>
      </c>
      <c r="Z88" s="303" t="str">
        <f t="shared" si="248"/>
        <v/>
      </c>
      <c r="AA88" s="303" t="str">
        <f t="shared" si="248"/>
        <v/>
      </c>
      <c r="AB88" s="303" t="str">
        <f t="shared" si="248"/>
        <v/>
      </c>
      <c r="AC88" s="303" t="str">
        <f t="shared" si="248"/>
        <v/>
      </c>
      <c r="AD88" s="303" t="str">
        <f t="shared" si="248"/>
        <v/>
      </c>
      <c r="AE88" s="303" t="str">
        <f t="shared" si="248"/>
        <v/>
      </c>
      <c r="AF88" s="303" t="str">
        <f t="shared" si="248"/>
        <v/>
      </c>
      <c r="AG88" s="303" t="str">
        <f t="shared" si="248"/>
        <v/>
      </c>
      <c r="AH88" s="303" t="str">
        <f t="shared" ref="AH88:BM88" si="249">IF(AH$2="-","",(IF(AH249="","",IF(AH$4&lt;$A88,AH249,(AH249-AH$3)/(1+AH$3%)))))</f>
        <v/>
      </c>
      <c r="AI88" s="303" t="str">
        <f t="shared" si="249"/>
        <v/>
      </c>
      <c r="AJ88" s="303" t="str">
        <f t="shared" si="249"/>
        <v/>
      </c>
      <c r="AK88" s="303" t="str">
        <f t="shared" si="249"/>
        <v/>
      </c>
      <c r="AL88" s="303" t="str">
        <f t="shared" si="249"/>
        <v/>
      </c>
      <c r="AM88" s="303" t="str">
        <f t="shared" si="249"/>
        <v/>
      </c>
      <c r="AN88" s="303" t="str">
        <f t="shared" si="249"/>
        <v/>
      </c>
      <c r="AO88" s="303" t="str">
        <f t="shared" si="249"/>
        <v/>
      </c>
      <c r="AP88" s="303" t="str">
        <f t="shared" si="249"/>
        <v/>
      </c>
      <c r="AQ88" s="303" t="str">
        <f t="shared" si="249"/>
        <v/>
      </c>
      <c r="AR88" s="303" t="str">
        <f t="shared" si="249"/>
        <v/>
      </c>
      <c r="AS88" s="303" t="str">
        <f t="shared" si="249"/>
        <v/>
      </c>
      <c r="AT88" s="303" t="str">
        <f t="shared" si="249"/>
        <v/>
      </c>
      <c r="AU88" s="303" t="str">
        <f t="shared" si="249"/>
        <v/>
      </c>
      <c r="AV88" s="303" t="str">
        <f t="shared" si="249"/>
        <v/>
      </c>
      <c r="AW88" s="303" t="str">
        <f t="shared" si="249"/>
        <v/>
      </c>
      <c r="AX88" s="303" t="str">
        <f t="shared" si="249"/>
        <v/>
      </c>
      <c r="AY88" s="303" t="str">
        <f t="shared" si="249"/>
        <v/>
      </c>
      <c r="AZ88" s="303" t="str">
        <f t="shared" si="249"/>
        <v/>
      </c>
      <c r="BA88" s="303" t="str">
        <f t="shared" si="249"/>
        <v/>
      </c>
      <c r="BB88" s="303" t="str">
        <f t="shared" si="249"/>
        <v/>
      </c>
      <c r="BC88" s="303" t="str">
        <f t="shared" si="249"/>
        <v/>
      </c>
      <c r="BD88" s="303" t="str">
        <f t="shared" si="249"/>
        <v/>
      </c>
      <c r="BE88" s="303" t="str">
        <f t="shared" si="249"/>
        <v/>
      </c>
      <c r="BF88" s="303" t="str">
        <f t="shared" si="249"/>
        <v/>
      </c>
      <c r="BG88" s="303" t="str">
        <f t="shared" si="249"/>
        <v/>
      </c>
      <c r="BH88" s="303" t="str">
        <f t="shared" si="249"/>
        <v/>
      </c>
      <c r="BI88" s="303" t="str">
        <f t="shared" si="249"/>
        <v/>
      </c>
      <c r="BJ88" s="303" t="str">
        <f t="shared" si="249"/>
        <v/>
      </c>
      <c r="BK88" s="303" t="str">
        <f t="shared" si="249"/>
        <v/>
      </c>
      <c r="BL88" s="303" t="str">
        <f t="shared" si="249"/>
        <v/>
      </c>
      <c r="BM88" s="303" t="str">
        <f t="shared" si="249"/>
        <v/>
      </c>
      <c r="BN88" s="303" t="str">
        <f t="shared" ref="BN88:BZ88" si="250">IF(BN$2="-","",(IF(BN249="","",IF(BN$4&lt;$A88,BN249,(BN249-BN$3)/(1+BN$3%)))))</f>
        <v/>
      </c>
      <c r="BO88" s="303" t="str">
        <f t="shared" si="250"/>
        <v/>
      </c>
      <c r="BP88" s="303" t="str">
        <f t="shared" si="250"/>
        <v/>
      </c>
      <c r="BQ88" s="303" t="str">
        <f t="shared" si="250"/>
        <v/>
      </c>
      <c r="BR88" s="303" t="str">
        <f t="shared" si="250"/>
        <v/>
      </c>
      <c r="BS88" s="303" t="str">
        <f t="shared" si="250"/>
        <v/>
      </c>
      <c r="BT88" s="303" t="str">
        <f t="shared" si="250"/>
        <v/>
      </c>
      <c r="BU88" s="303" t="str">
        <f t="shared" si="250"/>
        <v/>
      </c>
      <c r="BV88" s="303" t="str">
        <f t="shared" si="250"/>
        <v/>
      </c>
      <c r="BW88" s="303" t="str">
        <f t="shared" si="250"/>
        <v/>
      </c>
      <c r="BX88" s="303">
        <f t="shared" si="250"/>
        <v>20.697784064120704</v>
      </c>
      <c r="BY88" s="303">
        <f t="shared" si="250"/>
        <v>1.7935816563294127</v>
      </c>
      <c r="BZ88" s="303">
        <f t="shared" si="250"/>
        <v>2.12</v>
      </c>
      <c r="CA88" s="303">
        <f t="shared" si="205"/>
        <v>4.3307086614173373</v>
      </c>
    </row>
    <row r="89" spans="1:79">
      <c r="A89" s="58">
        <f t="shared" si="201"/>
        <v>1952</v>
      </c>
      <c r="B89" s="303">
        <f t="shared" ref="B89:AG89" si="251">IF(B$2="-","",(IF(B250="","",IF(B$4&lt;$A89,B250,(B250-B$3)/(1+B$3%)))))</f>
        <v>13.861829680778706</v>
      </c>
      <c r="C89" s="303" t="str">
        <f t="shared" si="251"/>
        <v/>
      </c>
      <c r="D89" s="303">
        <f t="shared" si="251"/>
        <v>13.861829680778706</v>
      </c>
      <c r="E89" s="303" t="str">
        <f t="shared" si="251"/>
        <v/>
      </c>
      <c r="F89" s="303" t="str">
        <f t="shared" si="251"/>
        <v/>
      </c>
      <c r="G89" s="303" t="str">
        <f t="shared" si="251"/>
        <v/>
      </c>
      <c r="H89" s="303" t="str">
        <f t="shared" si="251"/>
        <v/>
      </c>
      <c r="I89" s="303" t="str">
        <f t="shared" si="251"/>
        <v/>
      </c>
      <c r="J89" s="303" t="str">
        <f t="shared" si="251"/>
        <v/>
      </c>
      <c r="K89" s="303" t="str">
        <f t="shared" si="251"/>
        <v/>
      </c>
      <c r="L89" s="303" t="str">
        <f t="shared" si="251"/>
        <v/>
      </c>
      <c r="M89" s="303" t="str">
        <f t="shared" si="251"/>
        <v/>
      </c>
      <c r="N89" s="303" t="str">
        <f t="shared" si="251"/>
        <v/>
      </c>
      <c r="O89" s="303" t="str">
        <f t="shared" si="251"/>
        <v/>
      </c>
      <c r="P89" s="303" t="str">
        <f t="shared" si="251"/>
        <v/>
      </c>
      <c r="Q89" s="303" t="str">
        <f t="shared" si="251"/>
        <v/>
      </c>
      <c r="R89" s="303" t="str">
        <f t="shared" si="251"/>
        <v/>
      </c>
      <c r="S89" s="303" t="str">
        <f t="shared" si="251"/>
        <v/>
      </c>
      <c r="T89" s="303">
        <f t="shared" si="251"/>
        <v>1.7249552474904435</v>
      </c>
      <c r="U89" s="303">
        <f t="shared" si="251"/>
        <v>1.7249552474904435</v>
      </c>
      <c r="V89" s="303">
        <f t="shared" si="251"/>
        <v>2.2979318613248081</v>
      </c>
      <c r="W89" s="303" t="str">
        <f t="shared" si="251"/>
        <v/>
      </c>
      <c r="X89" s="303" t="str">
        <f t="shared" si="251"/>
        <v/>
      </c>
      <c r="Y89" s="303" t="str">
        <f t="shared" si="251"/>
        <v/>
      </c>
      <c r="Z89" s="303" t="str">
        <f t="shared" si="251"/>
        <v/>
      </c>
      <c r="AA89" s="303" t="str">
        <f t="shared" si="251"/>
        <v/>
      </c>
      <c r="AB89" s="303" t="str">
        <f t="shared" si="251"/>
        <v/>
      </c>
      <c r="AC89" s="303" t="str">
        <f t="shared" si="251"/>
        <v/>
      </c>
      <c r="AD89" s="303" t="str">
        <f t="shared" si="251"/>
        <v/>
      </c>
      <c r="AE89" s="303" t="str">
        <f t="shared" si="251"/>
        <v/>
      </c>
      <c r="AF89" s="303" t="str">
        <f t="shared" si="251"/>
        <v/>
      </c>
      <c r="AG89" s="303" t="str">
        <f t="shared" si="251"/>
        <v/>
      </c>
      <c r="AH89" s="303" t="str">
        <f t="shared" ref="AH89:BM89" si="252">IF(AH$2="-","",(IF(AH250="","",IF(AH$4&lt;$A89,AH250,(AH250-AH$3)/(1+AH$3%)))))</f>
        <v/>
      </c>
      <c r="AI89" s="303" t="str">
        <f t="shared" si="252"/>
        <v/>
      </c>
      <c r="AJ89" s="303" t="str">
        <f t="shared" si="252"/>
        <v/>
      </c>
      <c r="AK89" s="303" t="str">
        <f t="shared" si="252"/>
        <v/>
      </c>
      <c r="AL89" s="303" t="str">
        <f t="shared" si="252"/>
        <v/>
      </c>
      <c r="AM89" s="303" t="str">
        <f t="shared" si="252"/>
        <v/>
      </c>
      <c r="AN89" s="303" t="str">
        <f t="shared" si="252"/>
        <v/>
      </c>
      <c r="AO89" s="303" t="str">
        <f t="shared" si="252"/>
        <v/>
      </c>
      <c r="AP89" s="303" t="str">
        <f t="shared" si="252"/>
        <v/>
      </c>
      <c r="AQ89" s="303" t="str">
        <f t="shared" si="252"/>
        <v/>
      </c>
      <c r="AR89" s="303" t="str">
        <f t="shared" si="252"/>
        <v/>
      </c>
      <c r="AS89" s="303" t="str">
        <f t="shared" si="252"/>
        <v/>
      </c>
      <c r="AT89" s="303" t="str">
        <f t="shared" si="252"/>
        <v/>
      </c>
      <c r="AU89" s="303" t="str">
        <f t="shared" si="252"/>
        <v/>
      </c>
      <c r="AV89" s="303" t="str">
        <f t="shared" si="252"/>
        <v/>
      </c>
      <c r="AW89" s="303" t="str">
        <f t="shared" si="252"/>
        <v/>
      </c>
      <c r="AX89" s="303" t="str">
        <f t="shared" si="252"/>
        <v/>
      </c>
      <c r="AY89" s="303" t="str">
        <f t="shared" si="252"/>
        <v/>
      </c>
      <c r="AZ89" s="303" t="str">
        <f t="shared" si="252"/>
        <v/>
      </c>
      <c r="BA89" s="303" t="str">
        <f t="shared" si="252"/>
        <v/>
      </c>
      <c r="BB89" s="303" t="str">
        <f t="shared" si="252"/>
        <v/>
      </c>
      <c r="BC89" s="303" t="str">
        <f t="shared" si="252"/>
        <v/>
      </c>
      <c r="BD89" s="303" t="str">
        <f t="shared" si="252"/>
        <v/>
      </c>
      <c r="BE89" s="303" t="str">
        <f t="shared" si="252"/>
        <v/>
      </c>
      <c r="BF89" s="303" t="str">
        <f t="shared" si="252"/>
        <v/>
      </c>
      <c r="BG89" s="303" t="str">
        <f t="shared" si="252"/>
        <v/>
      </c>
      <c r="BH89" s="303" t="str">
        <f t="shared" si="252"/>
        <v/>
      </c>
      <c r="BI89" s="303" t="str">
        <f t="shared" si="252"/>
        <v/>
      </c>
      <c r="BJ89" s="303" t="str">
        <f t="shared" si="252"/>
        <v/>
      </c>
      <c r="BK89" s="303" t="str">
        <f t="shared" si="252"/>
        <v/>
      </c>
      <c r="BL89" s="303" t="str">
        <f t="shared" si="252"/>
        <v/>
      </c>
      <c r="BM89" s="303" t="str">
        <f t="shared" si="252"/>
        <v/>
      </c>
      <c r="BN89" s="303" t="str">
        <f t="shared" ref="BN89:BZ89" si="253">IF(BN$2="-","",(IF(BN250="","",IF(BN$4&lt;$A89,BN250,(BN250-BN$3)/(1+BN$3%)))))</f>
        <v/>
      </c>
      <c r="BO89" s="303" t="str">
        <f t="shared" si="253"/>
        <v/>
      </c>
      <c r="BP89" s="303" t="str">
        <f t="shared" si="253"/>
        <v/>
      </c>
      <c r="BQ89" s="303" t="str">
        <f t="shared" si="253"/>
        <v/>
      </c>
      <c r="BR89" s="303" t="str">
        <f t="shared" si="253"/>
        <v/>
      </c>
      <c r="BS89" s="303" t="str">
        <f t="shared" si="253"/>
        <v/>
      </c>
      <c r="BT89" s="303" t="str">
        <f t="shared" si="253"/>
        <v/>
      </c>
      <c r="BU89" s="303" t="str">
        <f t="shared" si="253"/>
        <v/>
      </c>
      <c r="BV89" s="303" t="str">
        <f t="shared" si="253"/>
        <v/>
      </c>
      <c r="BW89" s="303" t="str">
        <f t="shared" si="253"/>
        <v/>
      </c>
      <c r="BX89" s="303">
        <f t="shared" si="253"/>
        <v>14.055394791236031</v>
      </c>
      <c r="BY89" s="303">
        <f t="shared" si="253"/>
        <v>1.9284051579854244</v>
      </c>
      <c r="BZ89" s="303">
        <f t="shared" si="253"/>
        <v>2.39</v>
      </c>
      <c r="CA89" s="303">
        <f t="shared" si="205"/>
        <v>0.37735849056603765</v>
      </c>
    </row>
    <row r="90" spans="1:79">
      <c r="A90" s="58">
        <f t="shared" si="201"/>
        <v>1953</v>
      </c>
      <c r="B90" s="303">
        <f t="shared" ref="B90:AG90" si="254">IF(B$2="-","",(IF(B251="","",IF(B$4&lt;$A90,B251,(B251-B$3)/(1+B$3%)))))</f>
        <v>2.6139443770647115</v>
      </c>
      <c r="C90" s="303" t="str">
        <f t="shared" si="254"/>
        <v/>
      </c>
      <c r="D90" s="303">
        <f t="shared" si="254"/>
        <v>2.6139443770647115</v>
      </c>
      <c r="E90" s="303" t="str">
        <f t="shared" si="254"/>
        <v/>
      </c>
      <c r="F90" s="303" t="str">
        <f t="shared" si="254"/>
        <v/>
      </c>
      <c r="G90" s="303" t="str">
        <f t="shared" si="254"/>
        <v/>
      </c>
      <c r="H90" s="303" t="str">
        <f t="shared" si="254"/>
        <v/>
      </c>
      <c r="I90" s="303" t="str">
        <f t="shared" si="254"/>
        <v/>
      </c>
      <c r="J90" s="303" t="str">
        <f t="shared" si="254"/>
        <v/>
      </c>
      <c r="K90" s="303" t="str">
        <f t="shared" si="254"/>
        <v/>
      </c>
      <c r="L90" s="303" t="str">
        <f t="shared" si="254"/>
        <v/>
      </c>
      <c r="M90" s="303" t="str">
        <f t="shared" si="254"/>
        <v/>
      </c>
      <c r="N90" s="303" t="str">
        <f t="shared" si="254"/>
        <v/>
      </c>
      <c r="O90" s="303" t="str">
        <f t="shared" si="254"/>
        <v/>
      </c>
      <c r="P90" s="303" t="str">
        <f t="shared" si="254"/>
        <v/>
      </c>
      <c r="Q90" s="303" t="str">
        <f t="shared" si="254"/>
        <v/>
      </c>
      <c r="R90" s="303" t="str">
        <f t="shared" si="254"/>
        <v/>
      </c>
      <c r="S90" s="303" t="str">
        <f t="shared" si="254"/>
        <v/>
      </c>
      <c r="T90" s="303">
        <f t="shared" si="254"/>
        <v>5.1108103156749367</v>
      </c>
      <c r="U90" s="303">
        <f t="shared" si="254"/>
        <v>5.1108103156749367</v>
      </c>
      <c r="V90" s="303">
        <f t="shared" si="254"/>
        <v>2.4877610150864227</v>
      </c>
      <c r="W90" s="303" t="str">
        <f t="shared" si="254"/>
        <v/>
      </c>
      <c r="X90" s="303" t="str">
        <f t="shared" si="254"/>
        <v/>
      </c>
      <c r="Y90" s="303" t="str">
        <f t="shared" si="254"/>
        <v/>
      </c>
      <c r="Z90" s="303" t="str">
        <f t="shared" si="254"/>
        <v/>
      </c>
      <c r="AA90" s="303" t="str">
        <f t="shared" si="254"/>
        <v/>
      </c>
      <c r="AB90" s="303" t="str">
        <f t="shared" si="254"/>
        <v/>
      </c>
      <c r="AC90" s="303" t="str">
        <f t="shared" si="254"/>
        <v/>
      </c>
      <c r="AD90" s="303" t="str">
        <f t="shared" si="254"/>
        <v/>
      </c>
      <c r="AE90" s="303" t="str">
        <f t="shared" si="254"/>
        <v/>
      </c>
      <c r="AF90" s="303" t="str">
        <f t="shared" si="254"/>
        <v/>
      </c>
      <c r="AG90" s="303" t="str">
        <f t="shared" si="254"/>
        <v/>
      </c>
      <c r="AH90" s="303" t="str">
        <f t="shared" ref="AH90:BM90" si="255">IF(AH$2="-","",(IF(AH251="","",IF(AH$4&lt;$A90,AH251,(AH251-AH$3)/(1+AH$3%)))))</f>
        <v/>
      </c>
      <c r="AI90" s="303" t="str">
        <f t="shared" si="255"/>
        <v/>
      </c>
      <c r="AJ90" s="303" t="str">
        <f t="shared" si="255"/>
        <v/>
      </c>
      <c r="AK90" s="303" t="str">
        <f t="shared" si="255"/>
        <v/>
      </c>
      <c r="AL90" s="303" t="str">
        <f t="shared" si="255"/>
        <v/>
      </c>
      <c r="AM90" s="303" t="str">
        <f t="shared" si="255"/>
        <v/>
      </c>
      <c r="AN90" s="303" t="str">
        <f t="shared" si="255"/>
        <v/>
      </c>
      <c r="AO90" s="303" t="str">
        <f t="shared" si="255"/>
        <v/>
      </c>
      <c r="AP90" s="303" t="str">
        <f t="shared" si="255"/>
        <v/>
      </c>
      <c r="AQ90" s="303" t="str">
        <f t="shared" si="255"/>
        <v/>
      </c>
      <c r="AR90" s="303" t="str">
        <f t="shared" si="255"/>
        <v/>
      </c>
      <c r="AS90" s="303" t="str">
        <f t="shared" si="255"/>
        <v/>
      </c>
      <c r="AT90" s="303" t="str">
        <f t="shared" si="255"/>
        <v/>
      </c>
      <c r="AU90" s="303" t="str">
        <f t="shared" si="255"/>
        <v/>
      </c>
      <c r="AV90" s="303" t="str">
        <f t="shared" si="255"/>
        <v/>
      </c>
      <c r="AW90" s="303" t="str">
        <f t="shared" si="255"/>
        <v/>
      </c>
      <c r="AX90" s="303" t="str">
        <f t="shared" si="255"/>
        <v/>
      </c>
      <c r="AY90" s="303" t="str">
        <f t="shared" si="255"/>
        <v/>
      </c>
      <c r="AZ90" s="303" t="str">
        <f t="shared" si="255"/>
        <v/>
      </c>
      <c r="BA90" s="303" t="str">
        <f t="shared" si="255"/>
        <v/>
      </c>
      <c r="BB90" s="303" t="str">
        <f t="shared" si="255"/>
        <v/>
      </c>
      <c r="BC90" s="303" t="str">
        <f t="shared" si="255"/>
        <v/>
      </c>
      <c r="BD90" s="303" t="str">
        <f t="shared" si="255"/>
        <v/>
      </c>
      <c r="BE90" s="303" t="str">
        <f t="shared" si="255"/>
        <v/>
      </c>
      <c r="BF90" s="303" t="str">
        <f t="shared" si="255"/>
        <v/>
      </c>
      <c r="BG90" s="303" t="str">
        <f t="shared" si="255"/>
        <v/>
      </c>
      <c r="BH90" s="303" t="str">
        <f t="shared" si="255"/>
        <v/>
      </c>
      <c r="BI90" s="303" t="str">
        <f t="shared" si="255"/>
        <v/>
      </c>
      <c r="BJ90" s="303" t="str">
        <f t="shared" si="255"/>
        <v/>
      </c>
      <c r="BK90" s="303" t="str">
        <f t="shared" si="255"/>
        <v/>
      </c>
      <c r="BL90" s="303" t="str">
        <f t="shared" si="255"/>
        <v/>
      </c>
      <c r="BM90" s="303" t="str">
        <f t="shared" si="255"/>
        <v/>
      </c>
      <c r="BN90" s="303" t="str">
        <f t="shared" ref="BN90:BZ90" si="256">IF(BN$2="-","",(IF(BN251="","",IF(BN$4&lt;$A90,BN251,(BN251-BN$3)/(1+BN$3%)))))</f>
        <v/>
      </c>
      <c r="BO90" s="303" t="str">
        <f t="shared" si="256"/>
        <v/>
      </c>
      <c r="BP90" s="303" t="str">
        <f t="shared" si="256"/>
        <v/>
      </c>
      <c r="BQ90" s="303" t="str">
        <f t="shared" si="256"/>
        <v/>
      </c>
      <c r="BR90" s="303" t="str">
        <f t="shared" si="256"/>
        <v/>
      </c>
      <c r="BS90" s="303" t="str">
        <f t="shared" si="256"/>
        <v/>
      </c>
      <c r="BT90" s="303" t="str">
        <f t="shared" si="256"/>
        <v/>
      </c>
      <c r="BU90" s="303" t="str">
        <f t="shared" si="256"/>
        <v/>
      </c>
      <c r="BV90" s="303" t="str">
        <f t="shared" si="256"/>
        <v/>
      </c>
      <c r="BW90" s="303" t="str">
        <f t="shared" si="256"/>
        <v/>
      </c>
      <c r="BX90" s="303">
        <f t="shared" si="256"/>
        <v>2.7883880825057217</v>
      </c>
      <c r="BY90" s="303">
        <f t="shared" si="256"/>
        <v>5.3210319363062863</v>
      </c>
      <c r="BZ90" s="303">
        <f t="shared" si="256"/>
        <v>2.58</v>
      </c>
      <c r="CA90" s="303">
        <f t="shared" si="205"/>
        <v>1.1278195488721776</v>
      </c>
    </row>
    <row r="91" spans="1:79">
      <c r="A91" s="58">
        <f t="shared" si="201"/>
        <v>1954</v>
      </c>
      <c r="B91" s="303">
        <f t="shared" ref="B91:AG91" si="257">IF(B$2="-","",(IF(B252="","",IF(B$4&lt;$A91,B252,(B252-B$3)/(1+B$3%)))))</f>
        <v>45.628315602674178</v>
      </c>
      <c r="C91" s="303" t="str">
        <f t="shared" si="257"/>
        <v/>
      </c>
      <c r="D91" s="303">
        <f t="shared" si="257"/>
        <v>45.628315602674178</v>
      </c>
      <c r="E91" s="303" t="str">
        <f t="shared" si="257"/>
        <v/>
      </c>
      <c r="F91" s="303" t="str">
        <f t="shared" si="257"/>
        <v/>
      </c>
      <c r="G91" s="303" t="str">
        <f t="shared" si="257"/>
        <v/>
      </c>
      <c r="H91" s="303" t="str">
        <f t="shared" si="257"/>
        <v/>
      </c>
      <c r="I91" s="303" t="str">
        <f t="shared" si="257"/>
        <v/>
      </c>
      <c r="J91" s="303" t="str">
        <f t="shared" si="257"/>
        <v/>
      </c>
      <c r="K91" s="303" t="str">
        <f t="shared" si="257"/>
        <v/>
      </c>
      <c r="L91" s="303" t="str">
        <f t="shared" si="257"/>
        <v/>
      </c>
      <c r="M91" s="303" t="str">
        <f t="shared" si="257"/>
        <v/>
      </c>
      <c r="N91" s="303" t="str">
        <f t="shared" si="257"/>
        <v/>
      </c>
      <c r="O91" s="303" t="str">
        <f t="shared" si="257"/>
        <v/>
      </c>
      <c r="P91" s="303" t="str">
        <f t="shared" si="257"/>
        <v/>
      </c>
      <c r="Q91" s="303" t="str">
        <f t="shared" si="257"/>
        <v/>
      </c>
      <c r="R91" s="303" t="str">
        <f t="shared" si="257"/>
        <v/>
      </c>
      <c r="S91" s="303" t="str">
        <f t="shared" si="257"/>
        <v/>
      </c>
      <c r="T91" s="303">
        <f t="shared" si="257"/>
        <v>1.7730143163856587</v>
      </c>
      <c r="U91" s="303">
        <f t="shared" si="257"/>
        <v>1.7730143163856587</v>
      </c>
      <c r="V91" s="303">
        <f t="shared" si="257"/>
        <v>1.3188130682385852</v>
      </c>
      <c r="W91" s="303" t="str">
        <f t="shared" si="257"/>
        <v/>
      </c>
      <c r="X91" s="303" t="str">
        <f t="shared" si="257"/>
        <v/>
      </c>
      <c r="Y91" s="303" t="str">
        <f t="shared" si="257"/>
        <v/>
      </c>
      <c r="Z91" s="303" t="str">
        <f t="shared" si="257"/>
        <v/>
      </c>
      <c r="AA91" s="303" t="str">
        <f t="shared" si="257"/>
        <v/>
      </c>
      <c r="AB91" s="303" t="str">
        <f t="shared" si="257"/>
        <v/>
      </c>
      <c r="AC91" s="303" t="str">
        <f t="shared" si="257"/>
        <v/>
      </c>
      <c r="AD91" s="303" t="str">
        <f t="shared" si="257"/>
        <v/>
      </c>
      <c r="AE91" s="303" t="str">
        <f t="shared" si="257"/>
        <v/>
      </c>
      <c r="AF91" s="303" t="str">
        <f t="shared" si="257"/>
        <v/>
      </c>
      <c r="AG91" s="303" t="str">
        <f t="shared" si="257"/>
        <v/>
      </c>
      <c r="AH91" s="303" t="str">
        <f t="shared" ref="AH91:BM91" si="258">IF(AH$2="-","",(IF(AH252="","",IF(AH$4&lt;$A91,AH252,(AH252-AH$3)/(1+AH$3%)))))</f>
        <v/>
      </c>
      <c r="AI91" s="303" t="str">
        <f t="shared" si="258"/>
        <v/>
      </c>
      <c r="AJ91" s="303" t="str">
        <f t="shared" si="258"/>
        <v/>
      </c>
      <c r="AK91" s="303" t="str">
        <f t="shared" si="258"/>
        <v/>
      </c>
      <c r="AL91" s="303" t="str">
        <f t="shared" si="258"/>
        <v/>
      </c>
      <c r="AM91" s="303" t="str">
        <f t="shared" si="258"/>
        <v/>
      </c>
      <c r="AN91" s="303" t="str">
        <f t="shared" si="258"/>
        <v/>
      </c>
      <c r="AO91" s="303" t="str">
        <f t="shared" si="258"/>
        <v/>
      </c>
      <c r="AP91" s="303" t="str">
        <f t="shared" si="258"/>
        <v/>
      </c>
      <c r="AQ91" s="303" t="str">
        <f t="shared" si="258"/>
        <v/>
      </c>
      <c r="AR91" s="303" t="str">
        <f t="shared" si="258"/>
        <v/>
      </c>
      <c r="AS91" s="303" t="str">
        <f t="shared" si="258"/>
        <v/>
      </c>
      <c r="AT91" s="303" t="str">
        <f t="shared" si="258"/>
        <v/>
      </c>
      <c r="AU91" s="303" t="str">
        <f t="shared" si="258"/>
        <v/>
      </c>
      <c r="AV91" s="303" t="str">
        <f t="shared" si="258"/>
        <v/>
      </c>
      <c r="AW91" s="303" t="str">
        <f t="shared" si="258"/>
        <v/>
      </c>
      <c r="AX91" s="303" t="str">
        <f t="shared" si="258"/>
        <v/>
      </c>
      <c r="AY91" s="303" t="str">
        <f t="shared" si="258"/>
        <v/>
      </c>
      <c r="AZ91" s="303" t="str">
        <f t="shared" si="258"/>
        <v/>
      </c>
      <c r="BA91" s="303" t="str">
        <f t="shared" si="258"/>
        <v/>
      </c>
      <c r="BB91" s="303" t="str">
        <f t="shared" si="258"/>
        <v/>
      </c>
      <c r="BC91" s="303" t="str">
        <f t="shared" si="258"/>
        <v/>
      </c>
      <c r="BD91" s="303" t="str">
        <f t="shared" si="258"/>
        <v/>
      </c>
      <c r="BE91" s="303" t="str">
        <f t="shared" si="258"/>
        <v/>
      </c>
      <c r="BF91" s="303" t="str">
        <f t="shared" si="258"/>
        <v/>
      </c>
      <c r="BG91" s="303" t="str">
        <f t="shared" si="258"/>
        <v/>
      </c>
      <c r="BH91" s="303" t="str">
        <f t="shared" si="258"/>
        <v/>
      </c>
      <c r="BI91" s="303" t="str">
        <f t="shared" si="258"/>
        <v/>
      </c>
      <c r="BJ91" s="303" t="str">
        <f t="shared" si="258"/>
        <v/>
      </c>
      <c r="BK91" s="303" t="str">
        <f t="shared" si="258"/>
        <v/>
      </c>
      <c r="BL91" s="303" t="str">
        <f t="shared" si="258"/>
        <v/>
      </c>
      <c r="BM91" s="303" t="str">
        <f t="shared" si="258"/>
        <v/>
      </c>
      <c r="BN91" s="303" t="str">
        <f t="shared" ref="BN91:BZ91" si="259">IF(BN$2="-","",(IF(BN252="","",IF(BN$4&lt;$A91,BN252,(BN252-BN$3)/(1+BN$3%)))))</f>
        <v/>
      </c>
      <c r="BO91" s="303" t="str">
        <f t="shared" si="259"/>
        <v/>
      </c>
      <c r="BP91" s="303" t="str">
        <f t="shared" si="259"/>
        <v/>
      </c>
      <c r="BQ91" s="303" t="str">
        <f t="shared" si="259"/>
        <v/>
      </c>
      <c r="BR91" s="303" t="str">
        <f t="shared" si="259"/>
        <v/>
      </c>
      <c r="BS91" s="303" t="str">
        <f t="shared" si="259"/>
        <v/>
      </c>
      <c r="BT91" s="303" t="str">
        <f t="shared" si="259"/>
        <v/>
      </c>
      <c r="BU91" s="303" t="str">
        <f t="shared" si="259"/>
        <v/>
      </c>
      <c r="BV91" s="303" t="str">
        <f t="shared" si="259"/>
        <v/>
      </c>
      <c r="BW91" s="303" t="str">
        <f t="shared" si="259"/>
        <v/>
      </c>
      <c r="BX91" s="303">
        <f t="shared" si="259"/>
        <v>45.875883739198727</v>
      </c>
      <c r="BY91" s="303">
        <f t="shared" si="259"/>
        <v>1.9765603450184299</v>
      </c>
      <c r="BZ91" s="303">
        <f t="shared" si="259"/>
        <v>1.41</v>
      </c>
      <c r="CA91" s="303">
        <f t="shared" si="205"/>
        <v>-0.74349442379182396</v>
      </c>
    </row>
    <row r="92" spans="1:79">
      <c r="A92" s="58">
        <f t="shared" si="201"/>
        <v>1955</v>
      </c>
      <c r="B92" s="303">
        <f t="shared" ref="B92:AG92" si="260">IF(B$2="-","",(IF(B253="","",IF(B$4&lt;$A92,B253,(B253-B$3)/(1+B$3%)))))</f>
        <v>28.405306484594156</v>
      </c>
      <c r="C92" s="303" t="str">
        <f t="shared" si="260"/>
        <v/>
      </c>
      <c r="D92" s="303">
        <f t="shared" si="260"/>
        <v>28.405306484594156</v>
      </c>
      <c r="E92" s="303" t="str">
        <f t="shared" si="260"/>
        <v/>
      </c>
      <c r="F92" s="303" t="str">
        <f t="shared" si="260"/>
        <v/>
      </c>
      <c r="G92" s="303" t="str">
        <f t="shared" si="260"/>
        <v/>
      </c>
      <c r="H92" s="303" t="str">
        <f t="shared" si="260"/>
        <v/>
      </c>
      <c r="I92" s="303" t="str">
        <f t="shared" si="260"/>
        <v/>
      </c>
      <c r="J92" s="303" t="str">
        <f t="shared" si="260"/>
        <v/>
      </c>
      <c r="K92" s="303" t="str">
        <f t="shared" si="260"/>
        <v/>
      </c>
      <c r="L92" s="303" t="str">
        <f t="shared" si="260"/>
        <v/>
      </c>
      <c r="M92" s="303" t="str">
        <f t="shared" si="260"/>
        <v/>
      </c>
      <c r="N92" s="303" t="str">
        <f t="shared" si="260"/>
        <v/>
      </c>
      <c r="O92" s="303" t="str">
        <f t="shared" si="260"/>
        <v/>
      </c>
      <c r="P92" s="303" t="str">
        <f t="shared" si="260"/>
        <v/>
      </c>
      <c r="Q92" s="303" t="str">
        <f t="shared" si="260"/>
        <v/>
      </c>
      <c r="R92" s="303" t="str">
        <f t="shared" si="260"/>
        <v/>
      </c>
      <c r="S92" s="303" t="str">
        <f t="shared" si="260"/>
        <v/>
      </c>
      <c r="T92" s="303">
        <f t="shared" si="260"/>
        <v>0.20260129496536089</v>
      </c>
      <c r="U92" s="303">
        <f t="shared" si="260"/>
        <v>0.20260129496536089</v>
      </c>
      <c r="V92" s="303">
        <f t="shared" si="260"/>
        <v>1.2988310520531521</v>
      </c>
      <c r="W92" s="303" t="str">
        <f t="shared" si="260"/>
        <v/>
      </c>
      <c r="X92" s="303" t="str">
        <f t="shared" si="260"/>
        <v/>
      </c>
      <c r="Y92" s="303" t="str">
        <f t="shared" si="260"/>
        <v/>
      </c>
      <c r="Z92" s="303" t="str">
        <f t="shared" si="260"/>
        <v/>
      </c>
      <c r="AA92" s="303" t="str">
        <f t="shared" si="260"/>
        <v/>
      </c>
      <c r="AB92" s="303" t="str">
        <f t="shared" si="260"/>
        <v/>
      </c>
      <c r="AC92" s="303" t="str">
        <f t="shared" si="260"/>
        <v/>
      </c>
      <c r="AD92" s="303" t="str">
        <f t="shared" si="260"/>
        <v/>
      </c>
      <c r="AE92" s="303" t="str">
        <f t="shared" si="260"/>
        <v/>
      </c>
      <c r="AF92" s="303" t="str">
        <f t="shared" si="260"/>
        <v/>
      </c>
      <c r="AG92" s="303" t="str">
        <f t="shared" si="260"/>
        <v/>
      </c>
      <c r="AH92" s="303" t="str">
        <f t="shared" ref="AH92:BM92" si="261">IF(AH$2="-","",(IF(AH253="","",IF(AH$4&lt;$A92,AH253,(AH253-AH$3)/(1+AH$3%)))))</f>
        <v/>
      </c>
      <c r="AI92" s="303" t="str">
        <f t="shared" si="261"/>
        <v/>
      </c>
      <c r="AJ92" s="303" t="str">
        <f t="shared" si="261"/>
        <v/>
      </c>
      <c r="AK92" s="303" t="str">
        <f t="shared" si="261"/>
        <v/>
      </c>
      <c r="AL92" s="303" t="str">
        <f t="shared" si="261"/>
        <v/>
      </c>
      <c r="AM92" s="303" t="str">
        <f t="shared" si="261"/>
        <v/>
      </c>
      <c r="AN92" s="303" t="str">
        <f t="shared" si="261"/>
        <v/>
      </c>
      <c r="AO92" s="303" t="str">
        <f t="shared" si="261"/>
        <v/>
      </c>
      <c r="AP92" s="303" t="str">
        <f t="shared" si="261"/>
        <v/>
      </c>
      <c r="AQ92" s="303" t="str">
        <f t="shared" si="261"/>
        <v/>
      </c>
      <c r="AR92" s="303" t="str">
        <f t="shared" si="261"/>
        <v/>
      </c>
      <c r="AS92" s="303" t="str">
        <f t="shared" si="261"/>
        <v/>
      </c>
      <c r="AT92" s="303" t="str">
        <f t="shared" si="261"/>
        <v/>
      </c>
      <c r="AU92" s="303" t="str">
        <f t="shared" si="261"/>
        <v/>
      </c>
      <c r="AV92" s="303" t="str">
        <f t="shared" si="261"/>
        <v/>
      </c>
      <c r="AW92" s="303" t="str">
        <f t="shared" si="261"/>
        <v/>
      </c>
      <c r="AX92" s="303" t="str">
        <f t="shared" si="261"/>
        <v/>
      </c>
      <c r="AY92" s="303" t="str">
        <f t="shared" si="261"/>
        <v/>
      </c>
      <c r="AZ92" s="303" t="str">
        <f t="shared" si="261"/>
        <v/>
      </c>
      <c r="BA92" s="303" t="str">
        <f t="shared" si="261"/>
        <v/>
      </c>
      <c r="BB92" s="303" t="str">
        <f t="shared" si="261"/>
        <v/>
      </c>
      <c r="BC92" s="303" t="str">
        <f t="shared" si="261"/>
        <v/>
      </c>
      <c r="BD92" s="303" t="str">
        <f t="shared" si="261"/>
        <v/>
      </c>
      <c r="BE92" s="303" t="str">
        <f t="shared" si="261"/>
        <v/>
      </c>
      <c r="BF92" s="303" t="str">
        <f t="shared" si="261"/>
        <v/>
      </c>
      <c r="BG92" s="303" t="str">
        <f t="shared" si="261"/>
        <v/>
      </c>
      <c r="BH92" s="303" t="str">
        <f t="shared" si="261"/>
        <v/>
      </c>
      <c r="BI92" s="303" t="str">
        <f t="shared" si="261"/>
        <v/>
      </c>
      <c r="BJ92" s="303" t="str">
        <f t="shared" si="261"/>
        <v/>
      </c>
      <c r="BK92" s="303" t="str">
        <f t="shared" si="261"/>
        <v/>
      </c>
      <c r="BL92" s="303" t="str">
        <f t="shared" si="261"/>
        <v/>
      </c>
      <c r="BM92" s="303" t="str">
        <f t="shared" si="261"/>
        <v/>
      </c>
      <c r="BN92" s="303" t="str">
        <f t="shared" ref="BN92:BZ92" si="262">IF(BN$2="-","",(IF(BN253="","",IF(BN$4&lt;$A92,BN253,(BN253-BN$3)/(1+BN$3%)))))</f>
        <v/>
      </c>
      <c r="BO92" s="303" t="str">
        <f t="shared" si="262"/>
        <v/>
      </c>
      <c r="BP92" s="303" t="str">
        <f t="shared" si="262"/>
        <v/>
      </c>
      <c r="BQ92" s="303" t="str">
        <f t="shared" si="262"/>
        <v/>
      </c>
      <c r="BR92" s="303" t="str">
        <f t="shared" si="262"/>
        <v/>
      </c>
      <c r="BS92" s="303" t="str">
        <f t="shared" si="262"/>
        <v/>
      </c>
      <c r="BT92" s="303" t="str">
        <f t="shared" si="262"/>
        <v/>
      </c>
      <c r="BU92" s="303" t="str">
        <f t="shared" si="262"/>
        <v/>
      </c>
      <c r="BV92" s="303" t="str">
        <f t="shared" si="262"/>
        <v/>
      </c>
      <c r="BW92" s="303" t="str">
        <f t="shared" si="262"/>
        <v/>
      </c>
      <c r="BX92" s="303">
        <f t="shared" si="262"/>
        <v>28.623595505617971</v>
      </c>
      <c r="BY92" s="303">
        <f t="shared" si="262"/>
        <v>0.40300649755529161</v>
      </c>
      <c r="BZ92" s="303">
        <f t="shared" si="262"/>
        <v>1.39</v>
      </c>
      <c r="CA92" s="303">
        <f t="shared" si="205"/>
        <v>0.37453183520599342</v>
      </c>
    </row>
    <row r="93" spans="1:79">
      <c r="A93" s="58">
        <f t="shared" si="201"/>
        <v>1956</v>
      </c>
      <c r="B93" s="303">
        <f t="shared" ref="B93:AG93" si="263">IF(B$2="-","",(IF(B254="","",IF(B$4&lt;$A93,B254,(B254-B$3)/(1+B$3%)))))</f>
        <v>6.6589968062221807</v>
      </c>
      <c r="C93" s="303" t="str">
        <f t="shared" si="263"/>
        <v/>
      </c>
      <c r="D93" s="303">
        <f t="shared" si="263"/>
        <v>6.6589968062221807</v>
      </c>
      <c r="E93" s="303" t="str">
        <f t="shared" si="263"/>
        <v/>
      </c>
      <c r="F93" s="303" t="str">
        <f t="shared" si="263"/>
        <v/>
      </c>
      <c r="G93" s="303" t="str">
        <f t="shared" si="263"/>
        <v/>
      </c>
      <c r="H93" s="303" t="str">
        <f t="shared" si="263"/>
        <v/>
      </c>
      <c r="I93" s="303" t="str">
        <f t="shared" si="263"/>
        <v/>
      </c>
      <c r="J93" s="303" t="str">
        <f t="shared" si="263"/>
        <v/>
      </c>
      <c r="K93" s="303" t="str">
        <f t="shared" si="263"/>
        <v/>
      </c>
      <c r="L93" s="303" t="str">
        <f t="shared" si="263"/>
        <v/>
      </c>
      <c r="M93" s="303" t="str">
        <f t="shared" si="263"/>
        <v/>
      </c>
      <c r="N93" s="303" t="str">
        <f t="shared" si="263"/>
        <v/>
      </c>
      <c r="O93" s="303" t="str">
        <f t="shared" si="263"/>
        <v/>
      </c>
      <c r="P93" s="303" t="str">
        <f t="shared" si="263"/>
        <v/>
      </c>
      <c r="Q93" s="303" t="str">
        <f t="shared" si="263"/>
        <v/>
      </c>
      <c r="R93" s="303" t="str">
        <f t="shared" si="263"/>
        <v/>
      </c>
      <c r="S93" s="303" t="str">
        <f t="shared" si="263"/>
        <v/>
      </c>
      <c r="T93" s="303">
        <f t="shared" si="263"/>
        <v>-0.10612389078317781</v>
      </c>
      <c r="U93" s="303">
        <f t="shared" si="263"/>
        <v>-0.10612389078317781</v>
      </c>
      <c r="V93" s="303">
        <f t="shared" si="263"/>
        <v>2.4877610150864227</v>
      </c>
      <c r="W93" s="303" t="str">
        <f t="shared" si="263"/>
        <v/>
      </c>
      <c r="X93" s="303" t="str">
        <f t="shared" si="263"/>
        <v/>
      </c>
      <c r="Y93" s="303" t="str">
        <f t="shared" si="263"/>
        <v/>
      </c>
      <c r="Z93" s="303" t="str">
        <f t="shared" si="263"/>
        <v/>
      </c>
      <c r="AA93" s="303" t="str">
        <f t="shared" si="263"/>
        <v/>
      </c>
      <c r="AB93" s="303" t="str">
        <f t="shared" si="263"/>
        <v/>
      </c>
      <c r="AC93" s="303" t="str">
        <f t="shared" si="263"/>
        <v/>
      </c>
      <c r="AD93" s="303" t="str">
        <f t="shared" si="263"/>
        <v/>
      </c>
      <c r="AE93" s="303" t="str">
        <f t="shared" si="263"/>
        <v/>
      </c>
      <c r="AF93" s="303" t="str">
        <f t="shared" si="263"/>
        <v/>
      </c>
      <c r="AG93" s="303" t="str">
        <f t="shared" si="263"/>
        <v/>
      </c>
      <c r="AH93" s="303" t="str">
        <f t="shared" ref="AH93:BM93" si="264">IF(AH$2="-","",(IF(AH254="","",IF(AH$4&lt;$A93,AH254,(AH254-AH$3)/(1+AH$3%)))))</f>
        <v/>
      </c>
      <c r="AI93" s="303" t="str">
        <f t="shared" si="264"/>
        <v/>
      </c>
      <c r="AJ93" s="303" t="str">
        <f t="shared" si="264"/>
        <v/>
      </c>
      <c r="AK93" s="303" t="str">
        <f t="shared" si="264"/>
        <v/>
      </c>
      <c r="AL93" s="303" t="str">
        <f t="shared" si="264"/>
        <v/>
      </c>
      <c r="AM93" s="303" t="str">
        <f t="shared" si="264"/>
        <v/>
      </c>
      <c r="AN93" s="303" t="str">
        <f t="shared" si="264"/>
        <v/>
      </c>
      <c r="AO93" s="303" t="str">
        <f t="shared" si="264"/>
        <v/>
      </c>
      <c r="AP93" s="303" t="str">
        <f t="shared" si="264"/>
        <v/>
      </c>
      <c r="AQ93" s="303" t="str">
        <f t="shared" si="264"/>
        <v/>
      </c>
      <c r="AR93" s="303" t="str">
        <f t="shared" si="264"/>
        <v/>
      </c>
      <c r="AS93" s="303" t="str">
        <f t="shared" si="264"/>
        <v/>
      </c>
      <c r="AT93" s="303" t="str">
        <f t="shared" si="264"/>
        <v/>
      </c>
      <c r="AU93" s="303" t="str">
        <f t="shared" si="264"/>
        <v/>
      </c>
      <c r="AV93" s="303" t="str">
        <f t="shared" si="264"/>
        <v/>
      </c>
      <c r="AW93" s="303" t="str">
        <f t="shared" si="264"/>
        <v/>
      </c>
      <c r="AX93" s="303" t="str">
        <f t="shared" si="264"/>
        <v/>
      </c>
      <c r="AY93" s="303" t="str">
        <f t="shared" si="264"/>
        <v/>
      </c>
      <c r="AZ93" s="303" t="str">
        <f t="shared" si="264"/>
        <v/>
      </c>
      <c r="BA93" s="303" t="str">
        <f t="shared" si="264"/>
        <v/>
      </c>
      <c r="BB93" s="303" t="str">
        <f t="shared" si="264"/>
        <v/>
      </c>
      <c r="BC93" s="303" t="str">
        <f t="shared" si="264"/>
        <v/>
      </c>
      <c r="BD93" s="303" t="str">
        <f t="shared" si="264"/>
        <v/>
      </c>
      <c r="BE93" s="303" t="str">
        <f t="shared" si="264"/>
        <v/>
      </c>
      <c r="BF93" s="303" t="str">
        <f t="shared" si="264"/>
        <v/>
      </c>
      <c r="BG93" s="303" t="str">
        <f t="shared" si="264"/>
        <v/>
      </c>
      <c r="BH93" s="303" t="str">
        <f t="shared" si="264"/>
        <v/>
      </c>
      <c r="BI93" s="303" t="str">
        <f t="shared" si="264"/>
        <v/>
      </c>
      <c r="BJ93" s="303" t="str">
        <f t="shared" si="264"/>
        <v/>
      </c>
      <c r="BK93" s="303" t="str">
        <f t="shared" si="264"/>
        <v/>
      </c>
      <c r="BL93" s="303" t="str">
        <f t="shared" si="264"/>
        <v/>
      </c>
      <c r="BM93" s="303" t="str">
        <f t="shared" si="264"/>
        <v/>
      </c>
      <c r="BN93" s="303" t="str">
        <f t="shared" ref="BN93:BZ93" si="265">IF(BN$2="-","",(IF(BN254="","",IF(BN$4&lt;$A93,BN254,(BN254-BN$3)/(1+BN$3%)))))</f>
        <v/>
      </c>
      <c r="BO93" s="303" t="str">
        <f t="shared" si="265"/>
        <v/>
      </c>
      <c r="BP93" s="303" t="str">
        <f t="shared" si="265"/>
        <v/>
      </c>
      <c r="BQ93" s="303" t="str">
        <f t="shared" si="265"/>
        <v/>
      </c>
      <c r="BR93" s="303" t="str">
        <f t="shared" si="265"/>
        <v/>
      </c>
      <c r="BS93" s="303" t="str">
        <f t="shared" si="265"/>
        <v/>
      </c>
      <c r="BT93" s="303" t="str">
        <f t="shared" si="265"/>
        <v/>
      </c>
      <c r="BU93" s="303" t="str">
        <f t="shared" si="265"/>
        <v/>
      </c>
      <c r="BV93" s="303" t="str">
        <f t="shared" si="265"/>
        <v/>
      </c>
      <c r="BW93" s="303" t="str">
        <f t="shared" si="265"/>
        <v/>
      </c>
      <c r="BX93" s="303">
        <f t="shared" si="265"/>
        <v>6.8403171007927588</v>
      </c>
      <c r="BY93" s="303">
        <f t="shared" si="265"/>
        <v>9.3663861435255846E-2</v>
      </c>
      <c r="BZ93" s="303">
        <f t="shared" si="265"/>
        <v>2.58</v>
      </c>
      <c r="CA93" s="303">
        <f t="shared" si="205"/>
        <v>2.9850746268656803</v>
      </c>
    </row>
    <row r="94" spans="1:79">
      <c r="A94" s="58">
        <f t="shared" si="201"/>
        <v>1957</v>
      </c>
      <c r="B94" s="303">
        <f t="shared" ref="B94:AG94" si="266">IF(B$2="-","",(IF(B255="","",IF(B$4&lt;$A94,B255,(B255-B$3)/(1+B$3%)))))</f>
        <v>-5.7072929794388134</v>
      </c>
      <c r="C94" s="303" t="str">
        <f t="shared" si="266"/>
        <v/>
      </c>
      <c r="D94" s="303">
        <f t="shared" si="266"/>
        <v>-5.7072929794388134</v>
      </c>
      <c r="E94" s="303" t="str">
        <f t="shared" si="266"/>
        <v/>
      </c>
      <c r="F94" s="303" t="str">
        <f t="shared" si="266"/>
        <v/>
      </c>
      <c r="G94" s="303" t="str">
        <f t="shared" si="266"/>
        <v/>
      </c>
      <c r="H94" s="303" t="str">
        <f t="shared" si="266"/>
        <v/>
      </c>
      <c r="I94" s="303" t="str">
        <f t="shared" si="266"/>
        <v/>
      </c>
      <c r="J94" s="303" t="str">
        <f t="shared" si="266"/>
        <v/>
      </c>
      <c r="K94" s="303" t="str">
        <f t="shared" si="266"/>
        <v/>
      </c>
      <c r="L94" s="303" t="str">
        <f t="shared" si="266"/>
        <v/>
      </c>
      <c r="M94" s="303" t="str">
        <f t="shared" si="266"/>
        <v/>
      </c>
      <c r="N94" s="303" t="str">
        <f t="shared" si="266"/>
        <v/>
      </c>
      <c r="O94" s="303" t="str">
        <f t="shared" si="266"/>
        <v/>
      </c>
      <c r="P94" s="303" t="str">
        <f t="shared" si="266"/>
        <v/>
      </c>
      <c r="Q94" s="303" t="str">
        <f t="shared" si="266"/>
        <v/>
      </c>
      <c r="R94" s="303" t="str">
        <f t="shared" si="266"/>
        <v/>
      </c>
      <c r="S94" s="303" t="str">
        <f t="shared" si="266"/>
        <v/>
      </c>
      <c r="T94" s="303">
        <f t="shared" si="266"/>
        <v>5.7453325444547394</v>
      </c>
      <c r="U94" s="303">
        <f t="shared" si="266"/>
        <v>5.7453325444547394</v>
      </c>
      <c r="V94" s="303">
        <f t="shared" si="266"/>
        <v>3.2770506544110307</v>
      </c>
      <c r="W94" s="303" t="str">
        <f t="shared" si="266"/>
        <v/>
      </c>
      <c r="X94" s="303" t="str">
        <f t="shared" si="266"/>
        <v/>
      </c>
      <c r="Y94" s="303" t="str">
        <f t="shared" si="266"/>
        <v/>
      </c>
      <c r="Z94" s="303" t="str">
        <f t="shared" si="266"/>
        <v/>
      </c>
      <c r="AA94" s="303" t="str">
        <f t="shared" si="266"/>
        <v/>
      </c>
      <c r="AB94" s="303" t="str">
        <f t="shared" si="266"/>
        <v/>
      </c>
      <c r="AC94" s="303" t="str">
        <f t="shared" si="266"/>
        <v/>
      </c>
      <c r="AD94" s="303" t="str">
        <f t="shared" si="266"/>
        <v/>
      </c>
      <c r="AE94" s="303" t="str">
        <f t="shared" si="266"/>
        <v/>
      </c>
      <c r="AF94" s="303" t="str">
        <f t="shared" si="266"/>
        <v/>
      </c>
      <c r="AG94" s="303" t="str">
        <f t="shared" si="266"/>
        <v/>
      </c>
      <c r="AH94" s="303" t="str">
        <f t="shared" ref="AH94:BM94" si="267">IF(AH$2="-","",(IF(AH255="","",IF(AH$4&lt;$A94,AH255,(AH255-AH$3)/(1+AH$3%)))))</f>
        <v/>
      </c>
      <c r="AI94" s="303" t="str">
        <f t="shared" si="267"/>
        <v/>
      </c>
      <c r="AJ94" s="303" t="str">
        <f t="shared" si="267"/>
        <v/>
      </c>
      <c r="AK94" s="303" t="str">
        <f t="shared" si="267"/>
        <v/>
      </c>
      <c r="AL94" s="303" t="str">
        <f t="shared" si="267"/>
        <v/>
      </c>
      <c r="AM94" s="303" t="str">
        <f t="shared" si="267"/>
        <v/>
      </c>
      <c r="AN94" s="303" t="str">
        <f t="shared" si="267"/>
        <v/>
      </c>
      <c r="AO94" s="303" t="str">
        <f t="shared" si="267"/>
        <v/>
      </c>
      <c r="AP94" s="303" t="str">
        <f t="shared" si="267"/>
        <v/>
      </c>
      <c r="AQ94" s="303" t="str">
        <f t="shared" si="267"/>
        <v/>
      </c>
      <c r="AR94" s="303" t="str">
        <f t="shared" si="267"/>
        <v/>
      </c>
      <c r="AS94" s="303" t="str">
        <f t="shared" si="267"/>
        <v/>
      </c>
      <c r="AT94" s="303" t="str">
        <f t="shared" si="267"/>
        <v/>
      </c>
      <c r="AU94" s="303" t="str">
        <f t="shared" si="267"/>
        <v/>
      </c>
      <c r="AV94" s="303" t="str">
        <f t="shared" si="267"/>
        <v/>
      </c>
      <c r="AW94" s="303" t="str">
        <f t="shared" si="267"/>
        <v/>
      </c>
      <c r="AX94" s="303" t="str">
        <f t="shared" si="267"/>
        <v/>
      </c>
      <c r="AY94" s="303" t="str">
        <f t="shared" si="267"/>
        <v/>
      </c>
      <c r="AZ94" s="303" t="str">
        <f t="shared" si="267"/>
        <v/>
      </c>
      <c r="BA94" s="303" t="str">
        <f t="shared" si="267"/>
        <v/>
      </c>
      <c r="BB94" s="303" t="str">
        <f t="shared" si="267"/>
        <v/>
      </c>
      <c r="BC94" s="303" t="str">
        <f t="shared" si="267"/>
        <v/>
      </c>
      <c r="BD94" s="303" t="str">
        <f t="shared" si="267"/>
        <v/>
      </c>
      <c r="BE94" s="303" t="str">
        <f t="shared" si="267"/>
        <v/>
      </c>
      <c r="BF94" s="303" t="str">
        <f t="shared" si="267"/>
        <v/>
      </c>
      <c r="BG94" s="303" t="str">
        <f t="shared" si="267"/>
        <v/>
      </c>
      <c r="BH94" s="303" t="str">
        <f t="shared" si="267"/>
        <v/>
      </c>
      <c r="BI94" s="303" t="str">
        <f t="shared" si="267"/>
        <v/>
      </c>
      <c r="BJ94" s="303" t="str">
        <f t="shared" si="267"/>
        <v/>
      </c>
      <c r="BK94" s="303" t="str">
        <f t="shared" si="267"/>
        <v/>
      </c>
      <c r="BL94" s="303" t="str">
        <f t="shared" si="267"/>
        <v/>
      </c>
      <c r="BM94" s="303" t="str">
        <f t="shared" si="267"/>
        <v/>
      </c>
      <c r="BN94" s="303" t="str">
        <f t="shared" ref="BN94:BZ94" si="268">IF(BN$2="-","",(IF(BN255="","",IF(BN$4&lt;$A94,BN255,(BN255-BN$3)/(1+BN$3%)))))</f>
        <v/>
      </c>
      <c r="BO94" s="303" t="str">
        <f t="shared" si="268"/>
        <v/>
      </c>
      <c r="BP94" s="303" t="str">
        <f t="shared" si="268"/>
        <v/>
      </c>
      <c r="BQ94" s="303" t="str">
        <f t="shared" si="268"/>
        <v/>
      </c>
      <c r="BR94" s="303" t="str">
        <f t="shared" si="268"/>
        <v/>
      </c>
      <c r="BS94" s="303" t="str">
        <f t="shared" si="268"/>
        <v/>
      </c>
      <c r="BT94" s="303" t="str">
        <f t="shared" si="268"/>
        <v/>
      </c>
      <c r="BU94" s="303" t="str">
        <f t="shared" si="268"/>
        <v/>
      </c>
      <c r="BV94" s="303" t="str">
        <f t="shared" si="268"/>
        <v/>
      </c>
      <c r="BW94" s="303" t="str">
        <f t="shared" si="268"/>
        <v/>
      </c>
      <c r="BX94" s="303">
        <f t="shared" si="268"/>
        <v>-5.5469953775038601</v>
      </c>
      <c r="BY94" s="303">
        <f t="shared" si="268"/>
        <v>5.9568232095436491</v>
      </c>
      <c r="BZ94" s="303">
        <f t="shared" si="268"/>
        <v>3.37</v>
      </c>
      <c r="CA94" s="303">
        <f t="shared" si="205"/>
        <v>3.6231884057970953</v>
      </c>
    </row>
    <row r="95" spans="1:79">
      <c r="A95" s="58">
        <f t="shared" si="201"/>
        <v>1958</v>
      </c>
      <c r="B95" s="303">
        <f t="shared" ref="B95:AG95" si="269">IF(B$2="-","",(IF(B256="","",IF(B$4&lt;$A95,B256,(B256-B$3)/(1+B$3%)))))</f>
        <v>39.281703594162288</v>
      </c>
      <c r="C95" s="303" t="str">
        <f t="shared" si="269"/>
        <v/>
      </c>
      <c r="D95" s="303">
        <f t="shared" si="269"/>
        <v>39.281703594162288</v>
      </c>
      <c r="E95" s="303" t="str">
        <f t="shared" si="269"/>
        <v/>
      </c>
      <c r="F95" s="303" t="str">
        <f t="shared" si="269"/>
        <v/>
      </c>
      <c r="G95" s="303" t="str">
        <f t="shared" si="269"/>
        <v/>
      </c>
      <c r="H95" s="303" t="str">
        <f t="shared" si="269"/>
        <v/>
      </c>
      <c r="I95" s="303" t="str">
        <f t="shared" si="269"/>
        <v/>
      </c>
      <c r="J95" s="303" t="str">
        <f t="shared" si="269"/>
        <v/>
      </c>
      <c r="K95" s="303" t="str">
        <f t="shared" si="269"/>
        <v/>
      </c>
      <c r="L95" s="303" t="str">
        <f t="shared" si="269"/>
        <v/>
      </c>
      <c r="M95" s="303" t="str">
        <f t="shared" si="269"/>
        <v/>
      </c>
      <c r="N95" s="303" t="str">
        <f t="shared" si="269"/>
        <v/>
      </c>
      <c r="O95" s="303" t="str">
        <f t="shared" si="269"/>
        <v/>
      </c>
      <c r="P95" s="303" t="str">
        <f t="shared" si="269"/>
        <v/>
      </c>
      <c r="Q95" s="303" t="str">
        <f t="shared" si="269"/>
        <v/>
      </c>
      <c r="R95" s="303" t="str">
        <f t="shared" si="269"/>
        <v/>
      </c>
      <c r="S95" s="303" t="str">
        <f t="shared" si="269"/>
        <v/>
      </c>
      <c r="T95" s="303">
        <f t="shared" si="269"/>
        <v>-1.7474735034486724</v>
      </c>
      <c r="U95" s="303">
        <f t="shared" si="269"/>
        <v>-1.7474735034486724</v>
      </c>
      <c r="V95" s="303">
        <f t="shared" si="269"/>
        <v>2.5576980717354383</v>
      </c>
      <c r="W95" s="303" t="str">
        <f t="shared" si="269"/>
        <v/>
      </c>
      <c r="X95" s="303" t="str">
        <f t="shared" si="269"/>
        <v/>
      </c>
      <c r="Y95" s="303" t="str">
        <f t="shared" si="269"/>
        <v/>
      </c>
      <c r="Z95" s="303" t="str">
        <f t="shared" si="269"/>
        <v/>
      </c>
      <c r="AA95" s="303" t="str">
        <f t="shared" si="269"/>
        <v/>
      </c>
      <c r="AB95" s="303" t="str">
        <f t="shared" si="269"/>
        <v/>
      </c>
      <c r="AC95" s="303" t="str">
        <f t="shared" si="269"/>
        <v/>
      </c>
      <c r="AD95" s="303" t="str">
        <f t="shared" si="269"/>
        <v/>
      </c>
      <c r="AE95" s="303" t="str">
        <f t="shared" si="269"/>
        <v/>
      </c>
      <c r="AF95" s="303" t="str">
        <f t="shared" si="269"/>
        <v/>
      </c>
      <c r="AG95" s="303" t="str">
        <f t="shared" si="269"/>
        <v/>
      </c>
      <c r="AH95" s="303" t="str">
        <f t="shared" ref="AH95:BM95" si="270">IF(AH$2="-","",(IF(AH256="","",IF(AH$4&lt;$A95,AH256,(AH256-AH$3)/(1+AH$3%)))))</f>
        <v/>
      </c>
      <c r="AI95" s="303" t="str">
        <f t="shared" si="270"/>
        <v/>
      </c>
      <c r="AJ95" s="303" t="str">
        <f t="shared" si="270"/>
        <v/>
      </c>
      <c r="AK95" s="303" t="str">
        <f t="shared" si="270"/>
        <v/>
      </c>
      <c r="AL95" s="303" t="str">
        <f t="shared" si="270"/>
        <v/>
      </c>
      <c r="AM95" s="303" t="str">
        <f t="shared" si="270"/>
        <v/>
      </c>
      <c r="AN95" s="303" t="str">
        <f t="shared" si="270"/>
        <v/>
      </c>
      <c r="AO95" s="303" t="str">
        <f t="shared" si="270"/>
        <v/>
      </c>
      <c r="AP95" s="303" t="str">
        <f t="shared" si="270"/>
        <v/>
      </c>
      <c r="AQ95" s="303" t="str">
        <f t="shared" si="270"/>
        <v/>
      </c>
      <c r="AR95" s="303" t="str">
        <f t="shared" si="270"/>
        <v/>
      </c>
      <c r="AS95" s="303" t="str">
        <f t="shared" si="270"/>
        <v/>
      </c>
      <c r="AT95" s="303" t="str">
        <f t="shared" si="270"/>
        <v/>
      </c>
      <c r="AU95" s="303" t="str">
        <f t="shared" si="270"/>
        <v/>
      </c>
      <c r="AV95" s="303" t="str">
        <f t="shared" si="270"/>
        <v/>
      </c>
      <c r="AW95" s="303" t="str">
        <f t="shared" si="270"/>
        <v/>
      </c>
      <c r="AX95" s="303" t="str">
        <f t="shared" si="270"/>
        <v/>
      </c>
      <c r="AY95" s="303" t="str">
        <f t="shared" si="270"/>
        <v/>
      </c>
      <c r="AZ95" s="303" t="str">
        <f t="shared" si="270"/>
        <v/>
      </c>
      <c r="BA95" s="303" t="str">
        <f t="shared" si="270"/>
        <v/>
      </c>
      <c r="BB95" s="303" t="str">
        <f t="shared" si="270"/>
        <v/>
      </c>
      <c r="BC95" s="303" t="str">
        <f t="shared" si="270"/>
        <v/>
      </c>
      <c r="BD95" s="303" t="str">
        <f t="shared" si="270"/>
        <v/>
      </c>
      <c r="BE95" s="303" t="str">
        <f t="shared" si="270"/>
        <v/>
      </c>
      <c r="BF95" s="303" t="str">
        <f t="shared" si="270"/>
        <v/>
      </c>
      <c r="BG95" s="303" t="str">
        <f t="shared" si="270"/>
        <v/>
      </c>
      <c r="BH95" s="303" t="str">
        <f t="shared" si="270"/>
        <v/>
      </c>
      <c r="BI95" s="303" t="str">
        <f t="shared" si="270"/>
        <v/>
      </c>
      <c r="BJ95" s="303" t="str">
        <f t="shared" si="270"/>
        <v/>
      </c>
      <c r="BK95" s="303" t="str">
        <f t="shared" si="270"/>
        <v/>
      </c>
      <c r="BL95" s="303" t="str">
        <f t="shared" si="270"/>
        <v/>
      </c>
      <c r="BM95" s="303" t="str">
        <f t="shared" si="270"/>
        <v/>
      </c>
      <c r="BN95" s="303" t="str">
        <f t="shared" ref="BN95:BZ95" si="271">IF(BN$2="-","",(IF(BN256="","",IF(BN$4&lt;$A95,BN256,(BN256-BN$3)/(1+BN$3%)))))</f>
        <v/>
      </c>
      <c r="BO95" s="303" t="str">
        <f t="shared" si="271"/>
        <v/>
      </c>
      <c r="BP95" s="303" t="str">
        <f t="shared" si="271"/>
        <v/>
      </c>
      <c r="BQ95" s="303" t="str">
        <f t="shared" si="271"/>
        <v/>
      </c>
      <c r="BR95" s="303" t="str">
        <f t="shared" si="271"/>
        <v/>
      </c>
      <c r="BS95" s="303" t="str">
        <f t="shared" si="271"/>
        <v/>
      </c>
      <c r="BT95" s="303" t="str">
        <f t="shared" si="271"/>
        <v/>
      </c>
      <c r="BU95" s="303" t="str">
        <f t="shared" si="271"/>
        <v/>
      </c>
      <c r="BV95" s="303" t="str">
        <f t="shared" si="271"/>
        <v/>
      </c>
      <c r="BW95" s="303" t="str">
        <f t="shared" si="271"/>
        <v/>
      </c>
      <c r="BX95" s="303">
        <f t="shared" si="271"/>
        <v>39.518482490272369</v>
      </c>
      <c r="BY95" s="303">
        <f t="shared" si="271"/>
        <v>-1.5509684504555699</v>
      </c>
      <c r="BZ95" s="303">
        <f t="shared" si="271"/>
        <v>2.65</v>
      </c>
      <c r="CA95" s="303">
        <f t="shared" si="205"/>
        <v>1.3986013986013957</v>
      </c>
    </row>
    <row r="96" spans="1:79">
      <c r="A96" s="58">
        <f t="shared" si="201"/>
        <v>1959</v>
      </c>
      <c r="B96" s="303">
        <f t="shared" ref="B96:AG96" si="272">IF(B$2="-","",(IF(B257="","",IF(B$4&lt;$A96,B257,(B257-B$3)/(1+B$3%)))))</f>
        <v>7.4405082736550243</v>
      </c>
      <c r="C96" s="303" t="str">
        <f t="shared" si="272"/>
        <v/>
      </c>
      <c r="D96" s="303">
        <f t="shared" si="272"/>
        <v>7.4405082736550243</v>
      </c>
      <c r="E96" s="303" t="str">
        <f t="shared" si="272"/>
        <v/>
      </c>
      <c r="F96" s="303" t="str">
        <f t="shared" si="272"/>
        <v/>
      </c>
      <c r="G96" s="303" t="str">
        <f t="shared" si="272"/>
        <v/>
      </c>
      <c r="H96" s="303" t="str">
        <f t="shared" si="272"/>
        <v/>
      </c>
      <c r="I96" s="303" t="str">
        <f t="shared" si="272"/>
        <v/>
      </c>
      <c r="J96" s="303" t="str">
        <f t="shared" si="272"/>
        <v/>
      </c>
      <c r="K96" s="303" t="str">
        <f t="shared" si="272"/>
        <v/>
      </c>
      <c r="L96" s="303" t="str">
        <f t="shared" si="272"/>
        <v/>
      </c>
      <c r="M96" s="303" t="str">
        <f t="shared" si="272"/>
        <v/>
      </c>
      <c r="N96" s="303" t="str">
        <f t="shared" si="272"/>
        <v/>
      </c>
      <c r="O96" s="303" t="str">
        <f t="shared" si="272"/>
        <v/>
      </c>
      <c r="P96" s="303" t="str">
        <f t="shared" si="272"/>
        <v/>
      </c>
      <c r="Q96" s="303" t="str">
        <f t="shared" si="272"/>
        <v/>
      </c>
      <c r="R96" s="303" t="str">
        <f t="shared" si="272"/>
        <v/>
      </c>
      <c r="S96" s="303" t="str">
        <f t="shared" si="272"/>
        <v/>
      </c>
      <c r="T96" s="303">
        <f t="shared" si="272"/>
        <v>-8.1575366899645632E-2</v>
      </c>
      <c r="U96" s="303">
        <f t="shared" si="272"/>
        <v>-8.1575366899645632E-2</v>
      </c>
      <c r="V96" s="303">
        <f t="shared" si="272"/>
        <v>3.2670596463183137</v>
      </c>
      <c r="W96" s="303" t="str">
        <f t="shared" si="272"/>
        <v/>
      </c>
      <c r="X96" s="303" t="str">
        <f t="shared" si="272"/>
        <v/>
      </c>
      <c r="Y96" s="303" t="str">
        <f t="shared" si="272"/>
        <v/>
      </c>
      <c r="Z96" s="303" t="str">
        <f t="shared" si="272"/>
        <v/>
      </c>
      <c r="AA96" s="303" t="str">
        <f t="shared" si="272"/>
        <v/>
      </c>
      <c r="AB96" s="303" t="str">
        <f t="shared" si="272"/>
        <v/>
      </c>
      <c r="AC96" s="303" t="str">
        <f t="shared" si="272"/>
        <v/>
      </c>
      <c r="AD96" s="303" t="str">
        <f t="shared" si="272"/>
        <v/>
      </c>
      <c r="AE96" s="303" t="str">
        <f t="shared" si="272"/>
        <v/>
      </c>
      <c r="AF96" s="303" t="str">
        <f t="shared" si="272"/>
        <v/>
      </c>
      <c r="AG96" s="303" t="str">
        <f t="shared" si="272"/>
        <v/>
      </c>
      <c r="AH96" s="303" t="str">
        <f t="shared" ref="AH96:BM96" si="273">IF(AH$2="-","",(IF(AH257="","",IF(AH$4&lt;$A96,AH257,(AH257-AH$3)/(1+AH$3%)))))</f>
        <v/>
      </c>
      <c r="AI96" s="303" t="str">
        <f t="shared" si="273"/>
        <v/>
      </c>
      <c r="AJ96" s="303" t="str">
        <f t="shared" si="273"/>
        <v/>
      </c>
      <c r="AK96" s="303" t="str">
        <f t="shared" si="273"/>
        <v/>
      </c>
      <c r="AL96" s="303" t="str">
        <f t="shared" si="273"/>
        <v/>
      </c>
      <c r="AM96" s="303" t="str">
        <f t="shared" si="273"/>
        <v/>
      </c>
      <c r="AN96" s="303" t="str">
        <f t="shared" si="273"/>
        <v/>
      </c>
      <c r="AO96" s="303" t="str">
        <f t="shared" si="273"/>
        <v/>
      </c>
      <c r="AP96" s="303" t="str">
        <f t="shared" si="273"/>
        <v/>
      </c>
      <c r="AQ96" s="303" t="str">
        <f t="shared" si="273"/>
        <v/>
      </c>
      <c r="AR96" s="303" t="str">
        <f t="shared" si="273"/>
        <v/>
      </c>
      <c r="AS96" s="303" t="str">
        <f t="shared" si="273"/>
        <v/>
      </c>
      <c r="AT96" s="303" t="str">
        <f t="shared" si="273"/>
        <v/>
      </c>
      <c r="AU96" s="303" t="str">
        <f t="shared" si="273"/>
        <v/>
      </c>
      <c r="AV96" s="303" t="str">
        <f t="shared" si="273"/>
        <v/>
      </c>
      <c r="AW96" s="303" t="str">
        <f t="shared" si="273"/>
        <v/>
      </c>
      <c r="AX96" s="303" t="str">
        <f t="shared" si="273"/>
        <v/>
      </c>
      <c r="AY96" s="303" t="str">
        <f t="shared" si="273"/>
        <v/>
      </c>
      <c r="AZ96" s="303" t="str">
        <f t="shared" si="273"/>
        <v/>
      </c>
      <c r="BA96" s="303" t="str">
        <f t="shared" si="273"/>
        <v/>
      </c>
      <c r="BB96" s="303" t="str">
        <f t="shared" si="273"/>
        <v/>
      </c>
      <c r="BC96" s="303" t="str">
        <f t="shared" si="273"/>
        <v/>
      </c>
      <c r="BD96" s="303" t="str">
        <f t="shared" si="273"/>
        <v/>
      </c>
      <c r="BE96" s="303" t="str">
        <f t="shared" si="273"/>
        <v/>
      </c>
      <c r="BF96" s="303" t="str">
        <f t="shared" si="273"/>
        <v/>
      </c>
      <c r="BG96" s="303" t="str">
        <f t="shared" si="273"/>
        <v/>
      </c>
      <c r="BH96" s="303" t="str">
        <f t="shared" si="273"/>
        <v/>
      </c>
      <c r="BI96" s="303" t="str">
        <f t="shared" si="273"/>
        <v/>
      </c>
      <c r="BJ96" s="303" t="str">
        <f t="shared" si="273"/>
        <v/>
      </c>
      <c r="BK96" s="303" t="str">
        <f t="shared" si="273"/>
        <v/>
      </c>
      <c r="BL96" s="303" t="str">
        <f t="shared" si="273"/>
        <v/>
      </c>
      <c r="BM96" s="303" t="str">
        <f t="shared" si="273"/>
        <v/>
      </c>
      <c r="BN96" s="303" t="str">
        <f t="shared" ref="BN96:BZ96" si="274">IF(BN$2="-","",(IF(BN257="","",IF(BN$4&lt;$A96,BN257,(BN257-BN$3)/(1+BN$3%)))))</f>
        <v/>
      </c>
      <c r="BO96" s="303" t="str">
        <f t="shared" si="274"/>
        <v/>
      </c>
      <c r="BP96" s="303" t="str">
        <f t="shared" si="274"/>
        <v/>
      </c>
      <c r="BQ96" s="303" t="str">
        <f t="shared" si="274"/>
        <v/>
      </c>
      <c r="BR96" s="303" t="str">
        <f t="shared" si="274"/>
        <v/>
      </c>
      <c r="BS96" s="303" t="str">
        <f t="shared" si="274"/>
        <v/>
      </c>
      <c r="BT96" s="303" t="str">
        <f t="shared" si="274"/>
        <v/>
      </c>
      <c r="BU96" s="303" t="str">
        <f t="shared" si="274"/>
        <v/>
      </c>
      <c r="BV96" s="303" t="str">
        <f t="shared" si="274"/>
        <v/>
      </c>
      <c r="BW96" s="303" t="str">
        <f t="shared" si="274"/>
        <v/>
      </c>
      <c r="BX96" s="303">
        <f t="shared" si="274"/>
        <v>7.6231571377202378</v>
      </c>
      <c r="BY96" s="303">
        <f t="shared" si="274"/>
        <v>0.11826148236655509</v>
      </c>
      <c r="BZ96" s="303">
        <f t="shared" si="274"/>
        <v>3.36</v>
      </c>
      <c r="CA96" s="303">
        <f t="shared" si="205"/>
        <v>1.0344827586207028</v>
      </c>
    </row>
    <row r="97" spans="1:79">
      <c r="A97" s="58">
        <f t="shared" si="201"/>
        <v>1960</v>
      </c>
      <c r="B97" s="303">
        <f t="shared" ref="B97:AG97" si="275">IF(B$2="-","",(IF(B258="","",IF(B$4&lt;$A97,B258,(B258-B$3)/(1+B$3%)))))</f>
        <v>6.0922607682741559</v>
      </c>
      <c r="C97" s="303" t="str">
        <f t="shared" si="275"/>
        <v/>
      </c>
      <c r="D97" s="303">
        <f t="shared" si="275"/>
        <v>6.0922607682741559</v>
      </c>
      <c r="E97" s="303" t="str">
        <f t="shared" si="275"/>
        <v/>
      </c>
      <c r="F97" s="303" t="str">
        <f t="shared" si="275"/>
        <v/>
      </c>
      <c r="G97" s="303" t="str">
        <f t="shared" si="275"/>
        <v/>
      </c>
      <c r="H97" s="303" t="str">
        <f t="shared" si="275"/>
        <v/>
      </c>
      <c r="I97" s="303" t="str">
        <f t="shared" si="275"/>
        <v/>
      </c>
      <c r="J97" s="303" t="str">
        <f t="shared" si="275"/>
        <v/>
      </c>
      <c r="K97" s="303" t="str">
        <f t="shared" si="275"/>
        <v/>
      </c>
      <c r="L97" s="303" t="str">
        <f t="shared" si="275"/>
        <v/>
      </c>
      <c r="M97" s="303" t="str">
        <f t="shared" si="275"/>
        <v/>
      </c>
      <c r="N97" s="303" t="str">
        <f t="shared" si="275"/>
        <v/>
      </c>
      <c r="O97" s="303" t="str">
        <f t="shared" si="275"/>
        <v/>
      </c>
      <c r="P97" s="303" t="str">
        <f t="shared" si="275"/>
        <v/>
      </c>
      <c r="Q97" s="303" t="str">
        <f t="shared" si="275"/>
        <v/>
      </c>
      <c r="R97" s="303" t="str">
        <f t="shared" si="275"/>
        <v/>
      </c>
      <c r="S97" s="303" t="str">
        <f t="shared" si="275"/>
        <v/>
      </c>
      <c r="T97" s="303">
        <f t="shared" si="275"/>
        <v>10.116746055645407</v>
      </c>
      <c r="U97" s="303">
        <f t="shared" si="275"/>
        <v>10.116746055645407</v>
      </c>
      <c r="V97" s="303">
        <f t="shared" si="275"/>
        <v>4.935557997801979</v>
      </c>
      <c r="W97" s="303" t="str">
        <f t="shared" si="275"/>
        <v/>
      </c>
      <c r="X97" s="303" t="str">
        <f t="shared" si="275"/>
        <v/>
      </c>
      <c r="Y97" s="303" t="str">
        <f t="shared" si="275"/>
        <v/>
      </c>
      <c r="Z97" s="303" t="str">
        <f t="shared" si="275"/>
        <v/>
      </c>
      <c r="AA97" s="303" t="str">
        <f t="shared" si="275"/>
        <v/>
      </c>
      <c r="AB97" s="303" t="str">
        <f t="shared" si="275"/>
        <v/>
      </c>
      <c r="AC97" s="303" t="str">
        <f t="shared" si="275"/>
        <v/>
      </c>
      <c r="AD97" s="303" t="str">
        <f t="shared" si="275"/>
        <v/>
      </c>
      <c r="AE97" s="303" t="str">
        <f t="shared" si="275"/>
        <v/>
      </c>
      <c r="AF97" s="303" t="str">
        <f t="shared" si="275"/>
        <v/>
      </c>
      <c r="AG97" s="303" t="str">
        <f t="shared" si="275"/>
        <v/>
      </c>
      <c r="AH97" s="303" t="str">
        <f t="shared" ref="AH97:BM97" si="276">IF(AH$2="-","",(IF(AH258="","",IF(AH$4&lt;$A97,AH258,(AH258-AH$3)/(1+AH$3%)))))</f>
        <v/>
      </c>
      <c r="AI97" s="303" t="str">
        <f t="shared" si="276"/>
        <v/>
      </c>
      <c r="AJ97" s="303" t="str">
        <f t="shared" si="276"/>
        <v/>
      </c>
      <c r="AK97" s="303" t="str">
        <f t="shared" si="276"/>
        <v/>
      </c>
      <c r="AL97" s="303" t="str">
        <f t="shared" si="276"/>
        <v/>
      </c>
      <c r="AM97" s="303" t="str">
        <f t="shared" si="276"/>
        <v/>
      </c>
      <c r="AN97" s="303" t="str">
        <f t="shared" si="276"/>
        <v/>
      </c>
      <c r="AO97" s="303" t="str">
        <f t="shared" si="276"/>
        <v/>
      </c>
      <c r="AP97" s="303" t="str">
        <f t="shared" si="276"/>
        <v/>
      </c>
      <c r="AQ97" s="303" t="str">
        <f t="shared" si="276"/>
        <v/>
      </c>
      <c r="AR97" s="303" t="str">
        <f t="shared" si="276"/>
        <v/>
      </c>
      <c r="AS97" s="303" t="str">
        <f t="shared" si="276"/>
        <v/>
      </c>
      <c r="AT97" s="303" t="str">
        <f t="shared" si="276"/>
        <v/>
      </c>
      <c r="AU97" s="303" t="str">
        <f t="shared" si="276"/>
        <v/>
      </c>
      <c r="AV97" s="303" t="str">
        <f t="shared" si="276"/>
        <v/>
      </c>
      <c r="AW97" s="303" t="str">
        <f t="shared" si="276"/>
        <v/>
      </c>
      <c r="AX97" s="303" t="str">
        <f t="shared" si="276"/>
        <v/>
      </c>
      <c r="AY97" s="303" t="str">
        <f t="shared" si="276"/>
        <v/>
      </c>
      <c r="AZ97" s="303" t="str">
        <f t="shared" si="276"/>
        <v/>
      </c>
      <c r="BA97" s="303" t="str">
        <f t="shared" si="276"/>
        <v/>
      </c>
      <c r="BB97" s="303" t="str">
        <f t="shared" si="276"/>
        <v/>
      </c>
      <c r="BC97" s="303" t="str">
        <f t="shared" si="276"/>
        <v/>
      </c>
      <c r="BD97" s="303" t="str">
        <f t="shared" si="276"/>
        <v/>
      </c>
      <c r="BE97" s="303" t="str">
        <f t="shared" si="276"/>
        <v/>
      </c>
      <c r="BF97" s="303" t="str">
        <f t="shared" si="276"/>
        <v/>
      </c>
      <c r="BG97" s="303" t="str">
        <f t="shared" si="276"/>
        <v/>
      </c>
      <c r="BH97" s="303" t="str">
        <f t="shared" si="276"/>
        <v/>
      </c>
      <c r="BI97" s="303" t="str">
        <f t="shared" si="276"/>
        <v/>
      </c>
      <c r="BJ97" s="303" t="str">
        <f t="shared" si="276"/>
        <v/>
      </c>
      <c r="BK97" s="303" t="str">
        <f t="shared" si="276"/>
        <v/>
      </c>
      <c r="BL97" s="303" t="str">
        <f t="shared" si="276"/>
        <v/>
      </c>
      <c r="BM97" s="303" t="str">
        <f t="shared" si="276"/>
        <v/>
      </c>
      <c r="BN97" s="303" t="str">
        <f t="shared" ref="BN97:BZ97" si="277">IF(BN$2="-","",(IF(BN258="","",IF(BN$4&lt;$A97,BN258,(BN258-BN$3)/(1+BN$3%)))))</f>
        <v/>
      </c>
      <c r="BO97" s="303" t="str">
        <f t="shared" si="277"/>
        <v/>
      </c>
      <c r="BP97" s="303" t="str">
        <f t="shared" si="277"/>
        <v/>
      </c>
      <c r="BQ97" s="303" t="str">
        <f t="shared" si="277"/>
        <v/>
      </c>
      <c r="BR97" s="303" t="str">
        <f t="shared" si="277"/>
        <v/>
      </c>
      <c r="BS97" s="303" t="str">
        <f t="shared" si="277"/>
        <v/>
      </c>
      <c r="BT97" s="303" t="str">
        <f t="shared" si="277"/>
        <v/>
      </c>
      <c r="BU97" s="303" t="str">
        <f t="shared" si="277"/>
        <v/>
      </c>
      <c r="BV97" s="303" t="str">
        <f t="shared" si="277"/>
        <v/>
      </c>
      <c r="BW97" s="303" t="str">
        <f t="shared" si="277"/>
        <v/>
      </c>
      <c r="BX97" s="303">
        <f t="shared" si="277"/>
        <v>6.2726176115802224</v>
      </c>
      <c r="BY97" s="303">
        <f t="shared" si="277"/>
        <v>10.336979547756698</v>
      </c>
      <c r="BZ97" s="303">
        <f t="shared" si="277"/>
        <v>5.03</v>
      </c>
      <c r="CA97" s="303">
        <f t="shared" si="205"/>
        <v>1.7064846416382284</v>
      </c>
    </row>
    <row r="98" spans="1:79">
      <c r="A98" s="58">
        <f t="shared" si="201"/>
        <v>1961</v>
      </c>
      <c r="B98" s="303">
        <f t="shared" ref="B98:AG98" si="278">IF(B$2="-","",(IF(B259="","",IF(B$4&lt;$A98,B259,(B259-B$3)/(1+B$3%)))))</f>
        <v>18.836825354031408</v>
      </c>
      <c r="C98" s="303" t="str">
        <f t="shared" si="278"/>
        <v/>
      </c>
      <c r="D98" s="303">
        <f t="shared" si="278"/>
        <v>18.836825354031408</v>
      </c>
      <c r="E98" s="303" t="str">
        <f t="shared" si="278"/>
        <v/>
      </c>
      <c r="F98" s="303" t="str">
        <f t="shared" si="278"/>
        <v/>
      </c>
      <c r="G98" s="303" t="str">
        <f t="shared" si="278"/>
        <v/>
      </c>
      <c r="H98" s="303" t="str">
        <f t="shared" si="278"/>
        <v/>
      </c>
      <c r="I98" s="303" t="str">
        <f t="shared" si="278"/>
        <v/>
      </c>
      <c r="J98" s="303" t="str">
        <f t="shared" si="278"/>
        <v/>
      </c>
      <c r="K98" s="303" t="str">
        <f t="shared" si="278"/>
        <v/>
      </c>
      <c r="L98" s="303" t="str">
        <f t="shared" si="278"/>
        <v/>
      </c>
      <c r="M98" s="303" t="str">
        <f t="shared" si="278"/>
        <v/>
      </c>
      <c r="N98" s="303" t="str">
        <f t="shared" si="278"/>
        <v/>
      </c>
      <c r="O98" s="303" t="str">
        <f t="shared" si="278"/>
        <v/>
      </c>
      <c r="P98" s="303" t="str">
        <f t="shared" si="278"/>
        <v/>
      </c>
      <c r="Q98" s="303" t="str">
        <f t="shared" si="278"/>
        <v/>
      </c>
      <c r="R98" s="303" t="str">
        <f t="shared" si="278"/>
        <v/>
      </c>
      <c r="S98" s="303" t="str">
        <f t="shared" si="278"/>
        <v/>
      </c>
      <c r="T98" s="303">
        <f t="shared" si="278"/>
        <v>2.4553856046661271</v>
      </c>
      <c r="U98" s="303">
        <f t="shared" si="278"/>
        <v>2.4553856046661271</v>
      </c>
      <c r="V98" s="303">
        <f t="shared" si="278"/>
        <v>2.7175542012189036</v>
      </c>
      <c r="W98" s="303" t="str">
        <f t="shared" si="278"/>
        <v/>
      </c>
      <c r="X98" s="303" t="str">
        <f t="shared" si="278"/>
        <v/>
      </c>
      <c r="Y98" s="303" t="str">
        <f t="shared" si="278"/>
        <v/>
      </c>
      <c r="Z98" s="303" t="str">
        <f t="shared" si="278"/>
        <v/>
      </c>
      <c r="AA98" s="303" t="str">
        <f t="shared" si="278"/>
        <v/>
      </c>
      <c r="AB98" s="303" t="str">
        <f t="shared" si="278"/>
        <v/>
      </c>
      <c r="AC98" s="303" t="str">
        <f t="shared" si="278"/>
        <v/>
      </c>
      <c r="AD98" s="303" t="str">
        <f t="shared" si="278"/>
        <v/>
      </c>
      <c r="AE98" s="303" t="str">
        <f t="shared" si="278"/>
        <v/>
      </c>
      <c r="AF98" s="303" t="str">
        <f t="shared" si="278"/>
        <v/>
      </c>
      <c r="AG98" s="303" t="str">
        <f t="shared" si="278"/>
        <v/>
      </c>
      <c r="AH98" s="303" t="str">
        <f t="shared" ref="AH98:BM98" si="279">IF(AH$2="-","",(IF(AH259="","",IF(AH$4&lt;$A98,AH259,(AH259-AH$3)/(1+AH$3%)))))</f>
        <v/>
      </c>
      <c r="AI98" s="303" t="str">
        <f t="shared" si="279"/>
        <v/>
      </c>
      <c r="AJ98" s="303" t="str">
        <f t="shared" si="279"/>
        <v/>
      </c>
      <c r="AK98" s="303" t="str">
        <f t="shared" si="279"/>
        <v/>
      </c>
      <c r="AL98" s="303" t="str">
        <f t="shared" si="279"/>
        <v/>
      </c>
      <c r="AM98" s="303" t="str">
        <f t="shared" si="279"/>
        <v/>
      </c>
      <c r="AN98" s="303" t="str">
        <f t="shared" si="279"/>
        <v/>
      </c>
      <c r="AO98" s="303" t="str">
        <f t="shared" si="279"/>
        <v/>
      </c>
      <c r="AP98" s="303" t="str">
        <f t="shared" si="279"/>
        <v/>
      </c>
      <c r="AQ98" s="303" t="str">
        <f t="shared" si="279"/>
        <v/>
      </c>
      <c r="AR98" s="303" t="str">
        <f t="shared" si="279"/>
        <v/>
      </c>
      <c r="AS98" s="303" t="str">
        <f t="shared" si="279"/>
        <v/>
      </c>
      <c r="AT98" s="303" t="str">
        <f t="shared" si="279"/>
        <v/>
      </c>
      <c r="AU98" s="303" t="str">
        <f t="shared" si="279"/>
        <v/>
      </c>
      <c r="AV98" s="303" t="str">
        <f t="shared" si="279"/>
        <v/>
      </c>
      <c r="AW98" s="303" t="str">
        <f t="shared" si="279"/>
        <v/>
      </c>
      <c r="AX98" s="303" t="str">
        <f t="shared" si="279"/>
        <v/>
      </c>
      <c r="AY98" s="303" t="str">
        <f t="shared" si="279"/>
        <v/>
      </c>
      <c r="AZ98" s="303" t="str">
        <f t="shared" si="279"/>
        <v/>
      </c>
      <c r="BA98" s="303" t="str">
        <f t="shared" si="279"/>
        <v/>
      </c>
      <c r="BB98" s="303" t="str">
        <f t="shared" si="279"/>
        <v/>
      </c>
      <c r="BC98" s="303" t="str">
        <f t="shared" si="279"/>
        <v/>
      </c>
      <c r="BD98" s="303" t="str">
        <f t="shared" si="279"/>
        <v/>
      </c>
      <c r="BE98" s="303" t="str">
        <f t="shared" si="279"/>
        <v/>
      </c>
      <c r="BF98" s="303" t="str">
        <f t="shared" si="279"/>
        <v/>
      </c>
      <c r="BG98" s="303" t="str">
        <f t="shared" si="279"/>
        <v/>
      </c>
      <c r="BH98" s="303" t="str">
        <f t="shared" si="279"/>
        <v/>
      </c>
      <c r="BI98" s="303" t="str">
        <f t="shared" si="279"/>
        <v/>
      </c>
      <c r="BJ98" s="303" t="str">
        <f t="shared" si="279"/>
        <v/>
      </c>
      <c r="BK98" s="303" t="str">
        <f t="shared" si="279"/>
        <v/>
      </c>
      <c r="BL98" s="303" t="str">
        <f t="shared" si="279"/>
        <v/>
      </c>
      <c r="BM98" s="303" t="str">
        <f t="shared" si="279"/>
        <v/>
      </c>
      <c r="BN98" s="303" t="str">
        <f t="shared" ref="BN98:BZ98" si="280">IF(BN$2="-","",(IF(BN259="","",IF(BN$4&lt;$A98,BN259,(BN259-BN$3)/(1+BN$3%)))))</f>
        <v/>
      </c>
      <c r="BO98" s="303" t="str">
        <f t="shared" si="280"/>
        <v/>
      </c>
      <c r="BP98" s="303" t="str">
        <f t="shared" si="280"/>
        <v/>
      </c>
      <c r="BQ98" s="303" t="str">
        <f t="shared" si="280"/>
        <v/>
      </c>
      <c r="BR98" s="303" t="str">
        <f t="shared" si="280"/>
        <v/>
      </c>
      <c r="BS98" s="303" t="str">
        <f t="shared" si="280"/>
        <v/>
      </c>
      <c r="BT98" s="303" t="str">
        <f t="shared" si="280"/>
        <v/>
      </c>
      <c r="BU98" s="303" t="str">
        <f t="shared" si="280"/>
        <v/>
      </c>
      <c r="BV98" s="303" t="str">
        <f t="shared" si="280"/>
        <v/>
      </c>
      <c r="BW98" s="303" t="str">
        <f t="shared" si="280"/>
        <v/>
      </c>
      <c r="BX98" s="303">
        <f t="shared" si="280"/>
        <v>19.038847957133264</v>
      </c>
      <c r="BY98" s="303">
        <f t="shared" si="280"/>
        <v>2.6602963758754594</v>
      </c>
      <c r="BZ98" s="303">
        <f t="shared" si="280"/>
        <v>2.81</v>
      </c>
      <c r="CA98" s="303">
        <f t="shared" si="205"/>
        <v>0.67114093959730337</v>
      </c>
    </row>
    <row r="99" spans="1:79">
      <c r="A99" s="58">
        <f t="shared" si="201"/>
        <v>1962</v>
      </c>
      <c r="B99" s="303">
        <f t="shared" ref="B99:AG99" si="281">IF(B$2="-","",(IF(B260="","",IF(B$4&lt;$A99,B260,(B260-B$3)/(1+B$3%)))))</f>
        <v>-2.8869685108502079</v>
      </c>
      <c r="C99" s="303" t="str">
        <f t="shared" si="281"/>
        <v/>
      </c>
      <c r="D99" s="303">
        <f t="shared" si="281"/>
        <v>-2.8869685108502079</v>
      </c>
      <c r="E99" s="303" t="str">
        <f t="shared" si="281"/>
        <v/>
      </c>
      <c r="F99" s="303" t="str">
        <f t="shared" si="281"/>
        <v/>
      </c>
      <c r="G99" s="303" t="str">
        <f t="shared" si="281"/>
        <v/>
      </c>
      <c r="H99" s="303" t="str">
        <f t="shared" si="281"/>
        <v/>
      </c>
      <c r="I99" s="303" t="str">
        <f t="shared" si="281"/>
        <v/>
      </c>
      <c r="J99" s="303" t="str">
        <f t="shared" si="281"/>
        <v/>
      </c>
      <c r="K99" s="303" t="str">
        <f t="shared" si="281"/>
        <v/>
      </c>
      <c r="L99" s="303" t="str">
        <f t="shared" si="281"/>
        <v/>
      </c>
      <c r="M99" s="303" t="str">
        <f t="shared" si="281"/>
        <v/>
      </c>
      <c r="N99" s="303" t="str">
        <f t="shared" si="281"/>
        <v/>
      </c>
      <c r="O99" s="303" t="str">
        <f t="shared" si="281"/>
        <v/>
      </c>
      <c r="P99" s="303" t="str">
        <f t="shared" si="281"/>
        <v/>
      </c>
      <c r="Q99" s="303" t="str">
        <f t="shared" si="281"/>
        <v/>
      </c>
      <c r="R99" s="303" t="str">
        <f t="shared" si="281"/>
        <v/>
      </c>
      <c r="S99" s="303" t="str">
        <f t="shared" si="281"/>
        <v/>
      </c>
      <c r="T99" s="303">
        <f t="shared" si="281"/>
        <v>5.3968546691152808</v>
      </c>
      <c r="U99" s="303">
        <f t="shared" si="281"/>
        <v>5.3968546691152808</v>
      </c>
      <c r="V99" s="303">
        <f t="shared" si="281"/>
        <v>3.1871315815765815</v>
      </c>
      <c r="W99" s="303" t="str">
        <f t="shared" si="281"/>
        <v/>
      </c>
      <c r="X99" s="303" t="str">
        <f t="shared" si="281"/>
        <v/>
      </c>
      <c r="Y99" s="303" t="str">
        <f t="shared" si="281"/>
        <v/>
      </c>
      <c r="Z99" s="303" t="str">
        <f t="shared" si="281"/>
        <v/>
      </c>
      <c r="AA99" s="303" t="str">
        <f t="shared" si="281"/>
        <v/>
      </c>
      <c r="AB99" s="303" t="str">
        <f t="shared" si="281"/>
        <v/>
      </c>
      <c r="AC99" s="303" t="str">
        <f t="shared" si="281"/>
        <v/>
      </c>
      <c r="AD99" s="303" t="str">
        <f t="shared" si="281"/>
        <v/>
      </c>
      <c r="AE99" s="303" t="str">
        <f t="shared" si="281"/>
        <v/>
      </c>
      <c r="AF99" s="303" t="str">
        <f t="shared" si="281"/>
        <v/>
      </c>
      <c r="AG99" s="303" t="str">
        <f t="shared" si="281"/>
        <v/>
      </c>
      <c r="AH99" s="303" t="str">
        <f t="shared" ref="AH99:BM99" si="282">IF(AH$2="-","",(IF(AH260="","",IF(AH$4&lt;$A99,AH260,(AH260-AH$3)/(1+AH$3%)))))</f>
        <v/>
      </c>
      <c r="AI99" s="303" t="str">
        <f t="shared" si="282"/>
        <v/>
      </c>
      <c r="AJ99" s="303" t="str">
        <f t="shared" si="282"/>
        <v/>
      </c>
      <c r="AK99" s="303" t="str">
        <f t="shared" si="282"/>
        <v/>
      </c>
      <c r="AL99" s="303" t="str">
        <f t="shared" si="282"/>
        <v/>
      </c>
      <c r="AM99" s="303" t="str">
        <f t="shared" si="282"/>
        <v/>
      </c>
      <c r="AN99" s="303" t="str">
        <f t="shared" si="282"/>
        <v/>
      </c>
      <c r="AO99" s="303" t="str">
        <f t="shared" si="282"/>
        <v/>
      </c>
      <c r="AP99" s="303" t="str">
        <f t="shared" si="282"/>
        <v/>
      </c>
      <c r="AQ99" s="303" t="str">
        <f t="shared" si="282"/>
        <v/>
      </c>
      <c r="AR99" s="303" t="str">
        <f t="shared" si="282"/>
        <v/>
      </c>
      <c r="AS99" s="303" t="str">
        <f t="shared" si="282"/>
        <v/>
      </c>
      <c r="AT99" s="303" t="str">
        <f t="shared" si="282"/>
        <v/>
      </c>
      <c r="AU99" s="303" t="str">
        <f t="shared" si="282"/>
        <v/>
      </c>
      <c r="AV99" s="303" t="str">
        <f t="shared" si="282"/>
        <v/>
      </c>
      <c r="AW99" s="303" t="str">
        <f t="shared" si="282"/>
        <v/>
      </c>
      <c r="AX99" s="303" t="str">
        <f t="shared" si="282"/>
        <v/>
      </c>
      <c r="AY99" s="303" t="str">
        <f t="shared" si="282"/>
        <v/>
      </c>
      <c r="AZ99" s="303" t="str">
        <f t="shared" si="282"/>
        <v/>
      </c>
      <c r="BA99" s="303" t="str">
        <f t="shared" si="282"/>
        <v/>
      </c>
      <c r="BB99" s="303" t="str">
        <f t="shared" si="282"/>
        <v/>
      </c>
      <c r="BC99" s="303" t="str">
        <f t="shared" si="282"/>
        <v/>
      </c>
      <c r="BD99" s="303" t="str">
        <f t="shared" si="282"/>
        <v/>
      </c>
      <c r="BE99" s="303" t="str">
        <f t="shared" si="282"/>
        <v/>
      </c>
      <c r="BF99" s="303" t="str">
        <f t="shared" si="282"/>
        <v/>
      </c>
      <c r="BG99" s="303" t="str">
        <f t="shared" si="282"/>
        <v/>
      </c>
      <c r="BH99" s="303" t="str">
        <f t="shared" si="282"/>
        <v/>
      </c>
      <c r="BI99" s="303" t="str">
        <f t="shared" si="282"/>
        <v/>
      </c>
      <c r="BJ99" s="303" t="str">
        <f t="shared" si="282"/>
        <v/>
      </c>
      <c r="BK99" s="303" t="str">
        <f t="shared" si="282"/>
        <v/>
      </c>
      <c r="BL99" s="303" t="str">
        <f t="shared" si="282"/>
        <v/>
      </c>
      <c r="BM99" s="303" t="str">
        <f t="shared" si="282"/>
        <v/>
      </c>
      <c r="BN99" s="303" t="str">
        <f t="shared" ref="BN99:BZ99" si="283">IF(BN$2="-","",(IF(BN260="","",IF(BN$4&lt;$A99,BN260,(BN260-BN$3)/(1+BN$3%)))))</f>
        <v/>
      </c>
      <c r="BO99" s="303" t="str">
        <f t="shared" si="283"/>
        <v/>
      </c>
      <c r="BP99" s="303" t="str">
        <f t="shared" si="283"/>
        <v/>
      </c>
      <c r="BQ99" s="303" t="str">
        <f t="shared" si="283"/>
        <v/>
      </c>
      <c r="BR99" s="303" t="str">
        <f t="shared" si="283"/>
        <v/>
      </c>
      <c r="BS99" s="303" t="str">
        <f t="shared" si="283"/>
        <v/>
      </c>
      <c r="BT99" s="303" t="str">
        <f t="shared" si="283"/>
        <v/>
      </c>
      <c r="BU99" s="303" t="str">
        <f t="shared" si="283"/>
        <v/>
      </c>
      <c r="BV99" s="303" t="str">
        <f t="shared" si="283"/>
        <v/>
      </c>
      <c r="BW99" s="303" t="str">
        <f t="shared" si="283"/>
        <v/>
      </c>
      <c r="BX99" s="303">
        <f t="shared" si="283"/>
        <v>-2.7218763573186533</v>
      </c>
      <c r="BY99" s="303">
        <f t="shared" si="283"/>
        <v>5.6076483784535114</v>
      </c>
      <c r="BZ99" s="303">
        <f t="shared" si="283"/>
        <v>3.28</v>
      </c>
      <c r="CA99" s="303">
        <f t="shared" si="205"/>
        <v>1.3333333333333197</v>
      </c>
    </row>
    <row r="100" spans="1:79">
      <c r="A100" s="58">
        <f t="shared" si="201"/>
        <v>1963</v>
      </c>
      <c r="B100" s="303">
        <f t="shared" ref="B100:AG100" si="284">IF(B$2="-","",(IF(B261="","",IF(B$4&lt;$A100,B261,(B261-B$3)/(1+B$3%)))))</f>
        <v>20.8060039095542</v>
      </c>
      <c r="C100" s="303" t="str">
        <f t="shared" si="284"/>
        <v/>
      </c>
      <c r="D100" s="303">
        <f t="shared" si="284"/>
        <v>20.8060039095542</v>
      </c>
      <c r="E100" s="303" t="str">
        <f t="shared" si="284"/>
        <v/>
      </c>
      <c r="F100" s="303" t="str">
        <f t="shared" si="284"/>
        <v/>
      </c>
      <c r="G100" s="303" t="str">
        <f t="shared" si="284"/>
        <v/>
      </c>
      <c r="H100" s="303" t="str">
        <f t="shared" si="284"/>
        <v/>
      </c>
      <c r="I100" s="303" t="str">
        <f t="shared" si="284"/>
        <v/>
      </c>
      <c r="J100" s="303" t="str">
        <f t="shared" si="284"/>
        <v/>
      </c>
      <c r="K100" s="303" t="str">
        <f t="shared" si="284"/>
        <v/>
      </c>
      <c r="L100" s="303" t="str">
        <f t="shared" si="284"/>
        <v/>
      </c>
      <c r="M100" s="303" t="str">
        <f t="shared" si="284"/>
        <v/>
      </c>
      <c r="N100" s="303" t="str">
        <f t="shared" si="284"/>
        <v/>
      </c>
      <c r="O100" s="303" t="str">
        <f t="shared" si="284"/>
        <v/>
      </c>
      <c r="P100" s="303" t="str">
        <f t="shared" si="284"/>
        <v/>
      </c>
      <c r="Q100" s="303" t="str">
        <f t="shared" si="284"/>
        <v/>
      </c>
      <c r="R100" s="303" t="str">
        <f t="shared" si="284"/>
        <v/>
      </c>
      <c r="S100" s="303" t="str">
        <f t="shared" si="284"/>
        <v/>
      </c>
      <c r="T100" s="303">
        <f t="shared" si="284"/>
        <v>1.5990945536872012</v>
      </c>
      <c r="U100" s="303">
        <f t="shared" si="284"/>
        <v>1.5990945536872012</v>
      </c>
      <c r="V100" s="303">
        <f t="shared" si="284"/>
        <v>2.947347387351384</v>
      </c>
      <c r="W100" s="303" t="str">
        <f t="shared" si="284"/>
        <v/>
      </c>
      <c r="X100" s="303" t="str">
        <f t="shared" si="284"/>
        <v/>
      </c>
      <c r="Y100" s="303" t="str">
        <f t="shared" si="284"/>
        <v/>
      </c>
      <c r="Z100" s="303" t="str">
        <f t="shared" si="284"/>
        <v/>
      </c>
      <c r="AA100" s="303" t="str">
        <f t="shared" si="284"/>
        <v/>
      </c>
      <c r="AB100" s="303" t="str">
        <f t="shared" si="284"/>
        <v/>
      </c>
      <c r="AC100" s="303" t="str">
        <f t="shared" si="284"/>
        <v/>
      </c>
      <c r="AD100" s="303" t="str">
        <f t="shared" si="284"/>
        <v/>
      </c>
      <c r="AE100" s="303" t="str">
        <f t="shared" si="284"/>
        <v/>
      </c>
      <c r="AF100" s="303" t="str">
        <f t="shared" si="284"/>
        <v/>
      </c>
      <c r="AG100" s="303" t="str">
        <f t="shared" si="284"/>
        <v/>
      </c>
      <c r="AH100" s="303" t="str">
        <f t="shared" ref="AH100:BM100" si="285">IF(AH$2="-","",(IF(AH261="","",IF(AH$4&lt;$A100,AH261,(AH261-AH$3)/(1+AH$3%)))))</f>
        <v/>
      </c>
      <c r="AI100" s="303" t="str">
        <f t="shared" si="285"/>
        <v/>
      </c>
      <c r="AJ100" s="303" t="str">
        <f t="shared" si="285"/>
        <v/>
      </c>
      <c r="AK100" s="303" t="str">
        <f t="shared" si="285"/>
        <v/>
      </c>
      <c r="AL100" s="303" t="str">
        <f t="shared" si="285"/>
        <v/>
      </c>
      <c r="AM100" s="303" t="str">
        <f t="shared" si="285"/>
        <v/>
      </c>
      <c r="AN100" s="303" t="str">
        <f t="shared" si="285"/>
        <v/>
      </c>
      <c r="AO100" s="303" t="str">
        <f t="shared" si="285"/>
        <v/>
      </c>
      <c r="AP100" s="303" t="str">
        <f t="shared" si="285"/>
        <v/>
      </c>
      <c r="AQ100" s="303" t="str">
        <f t="shared" si="285"/>
        <v/>
      </c>
      <c r="AR100" s="303" t="str">
        <f t="shared" si="285"/>
        <v/>
      </c>
      <c r="AS100" s="303" t="str">
        <f t="shared" si="285"/>
        <v/>
      </c>
      <c r="AT100" s="303" t="str">
        <f t="shared" si="285"/>
        <v/>
      </c>
      <c r="AU100" s="303" t="str">
        <f t="shared" si="285"/>
        <v/>
      </c>
      <c r="AV100" s="303" t="str">
        <f t="shared" si="285"/>
        <v/>
      </c>
      <c r="AW100" s="303" t="str">
        <f t="shared" si="285"/>
        <v/>
      </c>
      <c r="AX100" s="303" t="str">
        <f t="shared" si="285"/>
        <v/>
      </c>
      <c r="AY100" s="303" t="str">
        <f t="shared" si="285"/>
        <v/>
      </c>
      <c r="AZ100" s="303" t="str">
        <f t="shared" si="285"/>
        <v/>
      </c>
      <c r="BA100" s="303" t="str">
        <f t="shared" si="285"/>
        <v/>
      </c>
      <c r="BB100" s="303" t="str">
        <f t="shared" si="285"/>
        <v/>
      </c>
      <c r="BC100" s="303" t="str">
        <f t="shared" si="285"/>
        <v/>
      </c>
      <c r="BD100" s="303" t="str">
        <f t="shared" si="285"/>
        <v/>
      </c>
      <c r="BE100" s="303" t="str">
        <f t="shared" si="285"/>
        <v/>
      </c>
      <c r="BF100" s="303" t="str">
        <f t="shared" si="285"/>
        <v/>
      </c>
      <c r="BG100" s="303" t="str">
        <f t="shared" si="285"/>
        <v/>
      </c>
      <c r="BH100" s="303" t="str">
        <f t="shared" si="285"/>
        <v/>
      </c>
      <c r="BI100" s="303" t="str">
        <f t="shared" si="285"/>
        <v/>
      </c>
      <c r="BJ100" s="303" t="str">
        <f t="shared" si="285"/>
        <v/>
      </c>
      <c r="BK100" s="303" t="str">
        <f t="shared" si="285"/>
        <v/>
      </c>
      <c r="BL100" s="303" t="str">
        <f t="shared" si="285"/>
        <v/>
      </c>
      <c r="BM100" s="303" t="str">
        <f t="shared" si="285"/>
        <v/>
      </c>
      <c r="BN100" s="303" t="str">
        <f t="shared" ref="BN100:BZ100" si="286">IF(BN$2="-","",(IF(BN261="","",IF(BN$4&lt;$A100,BN261,(BN261-BN$3)/(1+BN$3%)))))</f>
        <v/>
      </c>
      <c r="BO100" s="303" t="str">
        <f t="shared" si="286"/>
        <v/>
      </c>
      <c r="BP100" s="303" t="str">
        <f t="shared" si="286"/>
        <v/>
      </c>
      <c r="BQ100" s="303" t="str">
        <f t="shared" si="286"/>
        <v/>
      </c>
      <c r="BR100" s="303" t="str">
        <f t="shared" si="286"/>
        <v/>
      </c>
      <c r="BS100" s="303" t="str">
        <f t="shared" si="286"/>
        <v/>
      </c>
      <c r="BT100" s="303" t="str">
        <f t="shared" si="286"/>
        <v/>
      </c>
      <c r="BU100" s="303" t="str">
        <f t="shared" si="286"/>
        <v/>
      </c>
      <c r="BV100" s="303" t="str">
        <f t="shared" si="286"/>
        <v/>
      </c>
      <c r="BW100" s="303" t="str">
        <f t="shared" si="286"/>
        <v/>
      </c>
      <c r="BX100" s="303">
        <f t="shared" si="286"/>
        <v>21.011374116200443</v>
      </c>
      <c r="BY100" s="303">
        <f t="shared" si="286"/>
        <v>1.8022927427945756</v>
      </c>
      <c r="BZ100" s="303">
        <f t="shared" si="286"/>
        <v>3.04</v>
      </c>
      <c r="CA100" s="303">
        <f t="shared" si="205"/>
        <v>1.6447368421052655</v>
      </c>
    </row>
    <row r="101" spans="1:79">
      <c r="A101" s="58">
        <f t="shared" si="201"/>
        <v>1964</v>
      </c>
      <c r="B101" s="303">
        <f t="shared" ref="B101:AG101" si="287">IF(B$2="-","",(IF(B262="","",IF(B$4&lt;$A101,B262,(B262-B$3)/(1+B$3%)))))</f>
        <v>15.722173547611318</v>
      </c>
      <c r="C101" s="303" t="str">
        <f t="shared" si="287"/>
        <v/>
      </c>
      <c r="D101" s="303">
        <f t="shared" si="287"/>
        <v>15.722173547611318</v>
      </c>
      <c r="E101" s="303" t="str">
        <f t="shared" si="287"/>
        <v/>
      </c>
      <c r="F101" s="303" t="str">
        <f t="shared" si="287"/>
        <v/>
      </c>
      <c r="G101" s="303" t="str">
        <f t="shared" si="287"/>
        <v/>
      </c>
      <c r="H101" s="303" t="str">
        <f t="shared" si="287"/>
        <v/>
      </c>
      <c r="I101" s="303" t="str">
        <f t="shared" si="287"/>
        <v/>
      </c>
      <c r="J101" s="303" t="str">
        <f t="shared" si="287"/>
        <v/>
      </c>
      <c r="K101" s="303" t="str">
        <f t="shared" si="287"/>
        <v/>
      </c>
      <c r="L101" s="303" t="str">
        <f t="shared" si="287"/>
        <v/>
      </c>
      <c r="M101" s="303" t="str">
        <f t="shared" si="287"/>
        <v/>
      </c>
      <c r="N101" s="303" t="str">
        <f t="shared" si="287"/>
        <v/>
      </c>
      <c r="O101" s="303" t="str">
        <f t="shared" si="287"/>
        <v/>
      </c>
      <c r="P101" s="303" t="str">
        <f t="shared" si="287"/>
        <v/>
      </c>
      <c r="Q101" s="303" t="str">
        <f t="shared" si="287"/>
        <v/>
      </c>
      <c r="R101" s="303" t="str">
        <f t="shared" si="287"/>
        <v/>
      </c>
      <c r="S101" s="303" t="str">
        <f t="shared" si="287"/>
        <v/>
      </c>
      <c r="T101" s="303">
        <f t="shared" si="287"/>
        <v>3.877646614973997</v>
      </c>
      <c r="U101" s="303">
        <f t="shared" si="287"/>
        <v>3.877646614973997</v>
      </c>
      <c r="V101" s="303">
        <f t="shared" si="287"/>
        <v>3.6966729943051257</v>
      </c>
      <c r="W101" s="303" t="str">
        <f t="shared" si="287"/>
        <v/>
      </c>
      <c r="X101" s="303" t="str">
        <f t="shared" si="287"/>
        <v/>
      </c>
      <c r="Y101" s="303" t="str">
        <f t="shared" si="287"/>
        <v/>
      </c>
      <c r="Z101" s="303" t="str">
        <f t="shared" si="287"/>
        <v/>
      </c>
      <c r="AA101" s="303" t="str">
        <f t="shared" si="287"/>
        <v/>
      </c>
      <c r="AB101" s="303" t="str">
        <f t="shared" si="287"/>
        <v/>
      </c>
      <c r="AC101" s="303" t="str">
        <f t="shared" si="287"/>
        <v/>
      </c>
      <c r="AD101" s="303" t="str">
        <f t="shared" si="287"/>
        <v/>
      </c>
      <c r="AE101" s="303" t="str">
        <f t="shared" si="287"/>
        <v/>
      </c>
      <c r="AF101" s="303" t="str">
        <f t="shared" si="287"/>
        <v/>
      </c>
      <c r="AG101" s="303" t="str">
        <f t="shared" si="287"/>
        <v/>
      </c>
      <c r="AH101" s="303" t="str">
        <f t="shared" ref="AH101:BM101" si="288">IF(AH$2="-","",(IF(AH262="","",IF(AH$4&lt;$A101,AH262,(AH262-AH$3)/(1+AH$3%)))))</f>
        <v/>
      </c>
      <c r="AI101" s="303" t="str">
        <f t="shared" si="288"/>
        <v/>
      </c>
      <c r="AJ101" s="303" t="str">
        <f t="shared" si="288"/>
        <v/>
      </c>
      <c r="AK101" s="303" t="str">
        <f t="shared" si="288"/>
        <v/>
      </c>
      <c r="AL101" s="303" t="str">
        <f t="shared" si="288"/>
        <v/>
      </c>
      <c r="AM101" s="303" t="str">
        <f t="shared" si="288"/>
        <v/>
      </c>
      <c r="AN101" s="303" t="str">
        <f t="shared" si="288"/>
        <v/>
      </c>
      <c r="AO101" s="303" t="str">
        <f t="shared" si="288"/>
        <v/>
      </c>
      <c r="AP101" s="303" t="str">
        <f t="shared" si="288"/>
        <v/>
      </c>
      <c r="AQ101" s="303" t="str">
        <f t="shared" si="288"/>
        <v/>
      </c>
      <c r="AR101" s="303" t="str">
        <f t="shared" si="288"/>
        <v/>
      </c>
      <c r="AS101" s="303" t="str">
        <f t="shared" si="288"/>
        <v/>
      </c>
      <c r="AT101" s="303" t="str">
        <f t="shared" si="288"/>
        <v/>
      </c>
      <c r="AU101" s="303" t="str">
        <f t="shared" si="288"/>
        <v/>
      </c>
      <c r="AV101" s="303" t="str">
        <f t="shared" si="288"/>
        <v/>
      </c>
      <c r="AW101" s="303" t="str">
        <f t="shared" si="288"/>
        <v/>
      </c>
      <c r="AX101" s="303" t="str">
        <f t="shared" si="288"/>
        <v/>
      </c>
      <c r="AY101" s="303" t="str">
        <f t="shared" si="288"/>
        <v/>
      </c>
      <c r="AZ101" s="303" t="str">
        <f t="shared" si="288"/>
        <v/>
      </c>
      <c r="BA101" s="303" t="str">
        <f t="shared" si="288"/>
        <v/>
      </c>
      <c r="BB101" s="303" t="str">
        <f t="shared" si="288"/>
        <v/>
      </c>
      <c r="BC101" s="303" t="str">
        <f t="shared" si="288"/>
        <v/>
      </c>
      <c r="BD101" s="303" t="str">
        <f t="shared" si="288"/>
        <v/>
      </c>
      <c r="BE101" s="303" t="str">
        <f t="shared" si="288"/>
        <v/>
      </c>
      <c r="BF101" s="303" t="str">
        <f t="shared" si="288"/>
        <v/>
      </c>
      <c r="BG101" s="303" t="str">
        <f t="shared" si="288"/>
        <v/>
      </c>
      <c r="BH101" s="303" t="str">
        <f t="shared" si="288"/>
        <v/>
      </c>
      <c r="BI101" s="303" t="str">
        <f t="shared" si="288"/>
        <v/>
      </c>
      <c r="BJ101" s="303" t="str">
        <f t="shared" si="288"/>
        <v/>
      </c>
      <c r="BK101" s="303" t="str">
        <f t="shared" si="288"/>
        <v/>
      </c>
      <c r="BL101" s="303" t="str">
        <f t="shared" si="288"/>
        <v/>
      </c>
      <c r="BM101" s="303" t="str">
        <f t="shared" si="288"/>
        <v/>
      </c>
      <c r="BN101" s="303" t="str">
        <f t="shared" ref="BN101:BZ101" si="289">IF(BN$2="-","",(IF(BN262="","",IF(BN$4&lt;$A101,BN262,(BN262-BN$3)/(1+BN$3%)))))</f>
        <v/>
      </c>
      <c r="BO101" s="303" t="str">
        <f t="shared" si="289"/>
        <v/>
      </c>
      <c r="BP101" s="303" t="str">
        <f t="shared" si="289"/>
        <v/>
      </c>
      <c r="BQ101" s="303" t="str">
        <f t="shared" si="289"/>
        <v/>
      </c>
      <c r="BR101" s="303" t="str">
        <f t="shared" si="289"/>
        <v/>
      </c>
      <c r="BS101" s="303" t="str">
        <f t="shared" si="289"/>
        <v/>
      </c>
      <c r="BT101" s="303" t="str">
        <f t="shared" si="289"/>
        <v/>
      </c>
      <c r="BU101" s="303" t="str">
        <f t="shared" si="289"/>
        <v/>
      </c>
      <c r="BV101" s="303" t="str">
        <f t="shared" si="289"/>
        <v/>
      </c>
      <c r="BW101" s="303" t="str">
        <f t="shared" si="289"/>
        <v/>
      </c>
      <c r="BX101" s="303">
        <f t="shared" si="289"/>
        <v>15.918901242642258</v>
      </c>
      <c r="BY101" s="303">
        <f t="shared" si="289"/>
        <v>4.085401908203945</v>
      </c>
      <c r="BZ101" s="303">
        <f t="shared" si="289"/>
        <v>3.79</v>
      </c>
      <c r="CA101" s="303">
        <f t="shared" si="205"/>
        <v>0.97087378640776656</v>
      </c>
    </row>
    <row r="102" spans="1:79">
      <c r="A102" s="58">
        <f t="shared" si="201"/>
        <v>1965</v>
      </c>
      <c r="B102" s="303">
        <f t="shared" ref="B102:AG102" si="290">IF(B$2="-","",(IF(B263="","",IF(B$4&lt;$A102,B263,(B263-B$3)/(1+B$3%)))))</f>
        <v>11.329550725216265</v>
      </c>
      <c r="C102" s="303" t="str">
        <f t="shared" si="290"/>
        <v/>
      </c>
      <c r="D102" s="303">
        <f t="shared" si="290"/>
        <v>11.329550725216265</v>
      </c>
      <c r="E102" s="303" t="str">
        <f t="shared" si="290"/>
        <v/>
      </c>
      <c r="F102" s="303" t="str">
        <f t="shared" si="290"/>
        <v/>
      </c>
      <c r="G102" s="303" t="str">
        <f t="shared" si="290"/>
        <v/>
      </c>
      <c r="H102" s="303" t="str">
        <f t="shared" si="290"/>
        <v/>
      </c>
      <c r="I102" s="303" t="str">
        <f t="shared" si="290"/>
        <v/>
      </c>
      <c r="J102" s="303" t="str">
        <f t="shared" si="290"/>
        <v/>
      </c>
      <c r="K102" s="303" t="str">
        <f t="shared" si="290"/>
        <v/>
      </c>
      <c r="L102" s="303" t="str">
        <f t="shared" si="290"/>
        <v/>
      </c>
      <c r="M102" s="303" t="str">
        <f t="shared" si="290"/>
        <v/>
      </c>
      <c r="N102" s="303" t="str">
        <f t="shared" si="290"/>
        <v/>
      </c>
      <c r="O102" s="303" t="str">
        <f t="shared" si="290"/>
        <v/>
      </c>
      <c r="P102" s="303" t="str">
        <f t="shared" si="290"/>
        <v/>
      </c>
      <c r="Q102" s="303" t="str">
        <f t="shared" si="290"/>
        <v/>
      </c>
      <c r="R102" s="303" t="str">
        <f t="shared" si="290"/>
        <v/>
      </c>
      <c r="S102" s="303" t="str">
        <f t="shared" si="290"/>
        <v/>
      </c>
      <c r="T102" s="303">
        <f t="shared" si="290"/>
        <v>1.0856479085834529</v>
      </c>
      <c r="U102" s="303">
        <f t="shared" si="290"/>
        <v>1.0856479085834529</v>
      </c>
      <c r="V102" s="303">
        <f t="shared" si="290"/>
        <v>3.846538115695874</v>
      </c>
      <c r="W102" s="303" t="str">
        <f t="shared" si="290"/>
        <v/>
      </c>
      <c r="X102" s="303" t="str">
        <f t="shared" si="290"/>
        <v/>
      </c>
      <c r="Y102" s="303" t="str">
        <f t="shared" si="290"/>
        <v/>
      </c>
      <c r="Z102" s="303" t="str">
        <f t="shared" si="290"/>
        <v/>
      </c>
      <c r="AA102" s="303" t="str">
        <f t="shared" si="290"/>
        <v/>
      </c>
      <c r="AB102" s="303" t="str">
        <f t="shared" si="290"/>
        <v/>
      </c>
      <c r="AC102" s="303" t="str">
        <f t="shared" si="290"/>
        <v/>
      </c>
      <c r="AD102" s="303" t="str">
        <f t="shared" si="290"/>
        <v/>
      </c>
      <c r="AE102" s="303" t="str">
        <f t="shared" si="290"/>
        <v/>
      </c>
      <c r="AF102" s="303" t="str">
        <f t="shared" si="290"/>
        <v/>
      </c>
      <c r="AG102" s="303" t="str">
        <f t="shared" si="290"/>
        <v/>
      </c>
      <c r="AH102" s="303" t="str">
        <f t="shared" ref="AH102:BM102" si="291">IF(AH$2="-","",(IF(AH263="","",IF(AH$4&lt;$A102,AH263,(AH263-AH$3)/(1+AH$3%)))))</f>
        <v/>
      </c>
      <c r="AI102" s="303" t="str">
        <f t="shared" si="291"/>
        <v/>
      </c>
      <c r="AJ102" s="303" t="str">
        <f t="shared" si="291"/>
        <v/>
      </c>
      <c r="AK102" s="303" t="str">
        <f t="shared" si="291"/>
        <v/>
      </c>
      <c r="AL102" s="303" t="str">
        <f t="shared" si="291"/>
        <v/>
      </c>
      <c r="AM102" s="303" t="str">
        <f t="shared" si="291"/>
        <v/>
      </c>
      <c r="AN102" s="303" t="str">
        <f t="shared" si="291"/>
        <v/>
      </c>
      <c r="AO102" s="303" t="str">
        <f t="shared" si="291"/>
        <v/>
      </c>
      <c r="AP102" s="303" t="str">
        <f t="shared" si="291"/>
        <v/>
      </c>
      <c r="AQ102" s="303" t="str">
        <f t="shared" si="291"/>
        <v/>
      </c>
      <c r="AR102" s="303" t="str">
        <f t="shared" si="291"/>
        <v/>
      </c>
      <c r="AS102" s="303" t="str">
        <f t="shared" si="291"/>
        <v/>
      </c>
      <c r="AT102" s="303" t="str">
        <f t="shared" si="291"/>
        <v/>
      </c>
      <c r="AU102" s="303" t="str">
        <f t="shared" si="291"/>
        <v/>
      </c>
      <c r="AV102" s="303" t="str">
        <f t="shared" si="291"/>
        <v/>
      </c>
      <c r="AW102" s="303" t="str">
        <f t="shared" si="291"/>
        <v/>
      </c>
      <c r="AX102" s="303" t="str">
        <f t="shared" si="291"/>
        <v/>
      </c>
      <c r="AY102" s="303" t="str">
        <f t="shared" si="291"/>
        <v/>
      </c>
      <c r="AZ102" s="303" t="str">
        <f t="shared" si="291"/>
        <v/>
      </c>
      <c r="BA102" s="303" t="str">
        <f t="shared" si="291"/>
        <v/>
      </c>
      <c r="BB102" s="303" t="str">
        <f t="shared" si="291"/>
        <v/>
      </c>
      <c r="BC102" s="303" t="str">
        <f t="shared" si="291"/>
        <v/>
      </c>
      <c r="BD102" s="303" t="str">
        <f t="shared" si="291"/>
        <v/>
      </c>
      <c r="BE102" s="303" t="str">
        <f t="shared" si="291"/>
        <v/>
      </c>
      <c r="BF102" s="303" t="str">
        <f t="shared" si="291"/>
        <v/>
      </c>
      <c r="BG102" s="303" t="str">
        <f t="shared" si="291"/>
        <v/>
      </c>
      <c r="BH102" s="303" t="str">
        <f t="shared" si="291"/>
        <v/>
      </c>
      <c r="BI102" s="303" t="str">
        <f t="shared" si="291"/>
        <v/>
      </c>
      <c r="BJ102" s="303" t="str">
        <f t="shared" si="291"/>
        <v/>
      </c>
      <c r="BK102" s="303" t="str">
        <f t="shared" si="291"/>
        <v/>
      </c>
      <c r="BL102" s="303" t="str">
        <f t="shared" si="291"/>
        <v/>
      </c>
      <c r="BM102" s="303" t="str">
        <f t="shared" si="291"/>
        <v/>
      </c>
      <c r="BN102" s="303" t="str">
        <f t="shared" ref="BN102:BZ102" si="292">IF(BN$2="-","",(IF(BN263="","",IF(BN$4&lt;$A102,BN263,(BN263-BN$3)/(1+BN$3%)))))</f>
        <v/>
      </c>
      <c r="BO102" s="303" t="str">
        <f t="shared" si="292"/>
        <v/>
      </c>
      <c r="BP102" s="303" t="str">
        <f t="shared" si="292"/>
        <v/>
      </c>
      <c r="BQ102" s="303" t="str">
        <f t="shared" si="292"/>
        <v/>
      </c>
      <c r="BR102" s="303" t="str">
        <f t="shared" si="292"/>
        <v/>
      </c>
      <c r="BS102" s="303" t="str">
        <f t="shared" si="292"/>
        <v/>
      </c>
      <c r="BT102" s="303" t="str">
        <f t="shared" si="292"/>
        <v/>
      </c>
      <c r="BU102" s="303" t="str">
        <f t="shared" si="292"/>
        <v/>
      </c>
      <c r="BV102" s="303" t="str">
        <f t="shared" si="292"/>
        <v/>
      </c>
      <c r="BW102" s="303" t="str">
        <f t="shared" si="292"/>
        <v/>
      </c>
      <c r="BX102" s="303">
        <f t="shared" si="292"/>
        <v>11.518810961449134</v>
      </c>
      <c r="BY102" s="303">
        <f t="shared" si="292"/>
        <v>1.2878192044006198</v>
      </c>
      <c r="BZ102" s="303">
        <f t="shared" si="292"/>
        <v>3.94</v>
      </c>
      <c r="CA102" s="303">
        <f t="shared" si="205"/>
        <v>1.9230769230769384</v>
      </c>
    </row>
    <row r="103" spans="1:79">
      <c r="A103" s="58">
        <f t="shared" si="201"/>
        <v>1966</v>
      </c>
      <c r="B103" s="303">
        <f t="shared" ref="B103:AG103" si="293">IF(B$2="-","",(IF(B264="","",IF(B$4&lt;$A103,B264,(B264-B$3)/(1+B$3%)))))</f>
        <v>-6.5882898344139331</v>
      </c>
      <c r="C103" s="303" t="str">
        <f t="shared" si="293"/>
        <v/>
      </c>
      <c r="D103" s="303">
        <f t="shared" si="293"/>
        <v>-6.5882898344139331</v>
      </c>
      <c r="E103" s="303" t="str">
        <f t="shared" si="293"/>
        <v/>
      </c>
      <c r="F103" s="303" t="str">
        <f t="shared" si="293"/>
        <v/>
      </c>
      <c r="G103" s="303" t="str">
        <f t="shared" si="293"/>
        <v/>
      </c>
      <c r="H103" s="303" t="str">
        <f t="shared" si="293"/>
        <v/>
      </c>
      <c r="I103" s="303" t="str">
        <f t="shared" si="293"/>
        <v/>
      </c>
      <c r="J103" s="303" t="str">
        <f t="shared" si="293"/>
        <v/>
      </c>
      <c r="K103" s="303" t="str">
        <f t="shared" si="293"/>
        <v/>
      </c>
      <c r="L103" s="303" t="str">
        <f t="shared" si="293"/>
        <v/>
      </c>
      <c r="M103" s="303" t="str">
        <f t="shared" si="293"/>
        <v/>
      </c>
      <c r="N103" s="303" t="str">
        <f t="shared" si="293"/>
        <v/>
      </c>
      <c r="O103" s="303" t="str">
        <f t="shared" si="293"/>
        <v/>
      </c>
      <c r="P103" s="303" t="str">
        <f t="shared" si="293"/>
        <v/>
      </c>
      <c r="Q103" s="303" t="str">
        <f t="shared" si="293"/>
        <v/>
      </c>
      <c r="R103" s="303" t="str">
        <f t="shared" si="293"/>
        <v/>
      </c>
      <c r="S103" s="303" t="str">
        <f t="shared" si="293"/>
        <v/>
      </c>
      <c r="T103" s="303">
        <f t="shared" si="293"/>
        <v>4.8735972926080144</v>
      </c>
      <c r="U103" s="303">
        <f t="shared" si="293"/>
        <v>4.8735972926080144</v>
      </c>
      <c r="V103" s="303">
        <f t="shared" si="293"/>
        <v>4.7856928764112308</v>
      </c>
      <c r="W103" s="303" t="str">
        <f t="shared" si="293"/>
        <v/>
      </c>
      <c r="X103" s="303" t="str">
        <f t="shared" si="293"/>
        <v/>
      </c>
      <c r="Y103" s="303" t="str">
        <f t="shared" si="293"/>
        <v/>
      </c>
      <c r="Z103" s="303" t="str">
        <f t="shared" si="293"/>
        <v/>
      </c>
      <c r="AA103" s="303" t="str">
        <f t="shared" si="293"/>
        <v/>
      </c>
      <c r="AB103" s="303" t="str">
        <f t="shared" si="293"/>
        <v/>
      </c>
      <c r="AC103" s="303" t="str">
        <f t="shared" si="293"/>
        <v/>
      </c>
      <c r="AD103" s="303" t="str">
        <f t="shared" si="293"/>
        <v/>
      </c>
      <c r="AE103" s="303" t="str">
        <f t="shared" si="293"/>
        <v/>
      </c>
      <c r="AF103" s="303" t="str">
        <f t="shared" si="293"/>
        <v/>
      </c>
      <c r="AG103" s="303" t="str">
        <f t="shared" si="293"/>
        <v/>
      </c>
      <c r="AH103" s="303" t="str">
        <f t="shared" ref="AH103:BM103" si="294">IF(AH$2="-","",(IF(AH264="","",IF(AH$4&lt;$A103,AH264,(AH264-AH$3)/(1+AH$3%)))))</f>
        <v/>
      </c>
      <c r="AI103" s="303" t="str">
        <f t="shared" si="294"/>
        <v/>
      </c>
      <c r="AJ103" s="303" t="str">
        <f t="shared" si="294"/>
        <v/>
      </c>
      <c r="AK103" s="303" t="str">
        <f t="shared" si="294"/>
        <v/>
      </c>
      <c r="AL103" s="303" t="str">
        <f t="shared" si="294"/>
        <v/>
      </c>
      <c r="AM103" s="303" t="str">
        <f t="shared" si="294"/>
        <v/>
      </c>
      <c r="AN103" s="303" t="str">
        <f t="shared" si="294"/>
        <v/>
      </c>
      <c r="AO103" s="303" t="str">
        <f t="shared" si="294"/>
        <v/>
      </c>
      <c r="AP103" s="303" t="str">
        <f t="shared" si="294"/>
        <v/>
      </c>
      <c r="AQ103" s="303" t="str">
        <f t="shared" si="294"/>
        <v/>
      </c>
      <c r="AR103" s="303" t="str">
        <f t="shared" si="294"/>
        <v/>
      </c>
      <c r="AS103" s="303" t="str">
        <f t="shared" si="294"/>
        <v/>
      </c>
      <c r="AT103" s="303" t="str">
        <f t="shared" si="294"/>
        <v/>
      </c>
      <c r="AU103" s="303" t="str">
        <f t="shared" si="294"/>
        <v/>
      </c>
      <c r="AV103" s="303" t="str">
        <f t="shared" si="294"/>
        <v/>
      </c>
      <c r="AW103" s="303" t="str">
        <f t="shared" si="294"/>
        <v/>
      </c>
      <c r="AX103" s="303" t="str">
        <f t="shared" si="294"/>
        <v/>
      </c>
      <c r="AY103" s="303" t="str">
        <f t="shared" si="294"/>
        <v/>
      </c>
      <c r="AZ103" s="303" t="str">
        <f t="shared" si="294"/>
        <v/>
      </c>
      <c r="BA103" s="303" t="str">
        <f t="shared" si="294"/>
        <v/>
      </c>
      <c r="BB103" s="303" t="str">
        <f t="shared" si="294"/>
        <v/>
      </c>
      <c r="BC103" s="303" t="str">
        <f t="shared" si="294"/>
        <v/>
      </c>
      <c r="BD103" s="303" t="str">
        <f t="shared" si="294"/>
        <v/>
      </c>
      <c r="BE103" s="303" t="str">
        <f t="shared" si="294"/>
        <v/>
      </c>
      <c r="BF103" s="303" t="str">
        <f t="shared" si="294"/>
        <v/>
      </c>
      <c r="BG103" s="303" t="str">
        <f t="shared" si="294"/>
        <v/>
      </c>
      <c r="BH103" s="303" t="str">
        <f t="shared" si="294"/>
        <v/>
      </c>
      <c r="BI103" s="303" t="str">
        <f t="shared" si="294"/>
        <v/>
      </c>
      <c r="BJ103" s="303" t="str">
        <f t="shared" si="294"/>
        <v/>
      </c>
      <c r="BK103" s="303" t="str">
        <f t="shared" si="294"/>
        <v/>
      </c>
      <c r="BL103" s="303" t="str">
        <f t="shared" si="294"/>
        <v/>
      </c>
      <c r="BM103" s="303" t="str">
        <f t="shared" si="294"/>
        <v/>
      </c>
      <c r="BN103" s="303" t="str">
        <f t="shared" ref="BN103:BZ103" si="295">IF(BN$2="-","",(IF(BN264="","",IF(BN$4&lt;$A103,BN264,(BN264-BN$3)/(1+BN$3%)))))</f>
        <v/>
      </c>
      <c r="BO103" s="303" t="str">
        <f t="shared" si="295"/>
        <v/>
      </c>
      <c r="BP103" s="303" t="str">
        <f t="shared" si="295"/>
        <v/>
      </c>
      <c r="BQ103" s="303" t="str">
        <f t="shared" si="295"/>
        <v/>
      </c>
      <c r="BR103" s="303" t="str">
        <f t="shared" si="295"/>
        <v/>
      </c>
      <c r="BS103" s="303" t="str">
        <f t="shared" si="295"/>
        <v/>
      </c>
      <c r="BT103" s="303" t="str">
        <f t="shared" si="295"/>
        <v/>
      </c>
      <c r="BU103" s="303" t="str">
        <f t="shared" si="295"/>
        <v/>
      </c>
      <c r="BV103" s="303" t="str">
        <f t="shared" si="295"/>
        <v/>
      </c>
      <c r="BW103" s="303" t="str">
        <f t="shared" si="295"/>
        <v/>
      </c>
      <c r="BX103" s="303">
        <f t="shared" si="295"/>
        <v>-6.4294899271324368</v>
      </c>
      <c r="BY103" s="303">
        <f t="shared" si="295"/>
        <v>5.083344487193231</v>
      </c>
      <c r="BZ103" s="303">
        <f t="shared" si="295"/>
        <v>4.88</v>
      </c>
      <c r="CA103" s="303">
        <f t="shared" si="205"/>
        <v>3.459119496855334</v>
      </c>
    </row>
    <row r="104" spans="1:79">
      <c r="A104" s="58">
        <f t="shared" si="201"/>
        <v>1967</v>
      </c>
      <c r="B104" s="303">
        <f t="shared" ref="B104:AG104" si="296">IF(B$2="-","",(IF(B265="","",IF(B$4&lt;$A104,B265,(B265-B$3)/(1+B$3%)))))</f>
        <v>15.800770425031748</v>
      </c>
      <c r="C104" s="303" t="str">
        <f t="shared" si="296"/>
        <v/>
      </c>
      <c r="D104" s="303">
        <f t="shared" si="296"/>
        <v>15.800770425031748</v>
      </c>
      <c r="E104" s="303" t="str">
        <f t="shared" si="296"/>
        <v/>
      </c>
      <c r="F104" s="303" t="str">
        <f t="shared" si="296"/>
        <v/>
      </c>
      <c r="G104" s="303" t="str">
        <f t="shared" si="296"/>
        <v/>
      </c>
      <c r="H104" s="303" t="str">
        <f t="shared" si="296"/>
        <v/>
      </c>
      <c r="I104" s="303" t="str">
        <f t="shared" si="296"/>
        <v/>
      </c>
      <c r="J104" s="303" t="str">
        <f t="shared" si="296"/>
        <v/>
      </c>
      <c r="K104" s="303" t="str">
        <f t="shared" si="296"/>
        <v/>
      </c>
      <c r="L104" s="303" t="str">
        <f t="shared" si="296"/>
        <v/>
      </c>
      <c r="M104" s="303" t="str">
        <f t="shared" si="296"/>
        <v/>
      </c>
      <c r="N104" s="303" t="str">
        <f t="shared" si="296"/>
        <v/>
      </c>
      <c r="O104" s="303" t="str">
        <f t="shared" si="296"/>
        <v/>
      </c>
      <c r="P104" s="303" t="str">
        <f t="shared" si="296"/>
        <v/>
      </c>
      <c r="Q104" s="303" t="str">
        <f t="shared" si="296"/>
        <v/>
      </c>
      <c r="R104" s="303" t="str">
        <f t="shared" si="296"/>
        <v/>
      </c>
      <c r="S104" s="303" t="str">
        <f t="shared" si="296"/>
        <v/>
      </c>
      <c r="T104" s="303">
        <f t="shared" si="296"/>
        <v>0.58618329675231884</v>
      </c>
      <c r="U104" s="303">
        <f t="shared" si="296"/>
        <v>0.58618329675231884</v>
      </c>
      <c r="V104" s="303">
        <f t="shared" si="296"/>
        <v>4.6558097712059157</v>
      </c>
      <c r="W104" s="303" t="str">
        <f t="shared" si="296"/>
        <v/>
      </c>
      <c r="X104" s="303" t="str">
        <f t="shared" si="296"/>
        <v/>
      </c>
      <c r="Y104" s="303" t="str">
        <f t="shared" si="296"/>
        <v/>
      </c>
      <c r="Z104" s="303" t="str">
        <f t="shared" si="296"/>
        <v/>
      </c>
      <c r="AA104" s="303" t="str">
        <f t="shared" si="296"/>
        <v/>
      </c>
      <c r="AB104" s="303" t="str">
        <f t="shared" si="296"/>
        <v/>
      </c>
      <c r="AC104" s="303" t="str">
        <f t="shared" si="296"/>
        <v/>
      </c>
      <c r="AD104" s="303" t="str">
        <f t="shared" si="296"/>
        <v/>
      </c>
      <c r="AE104" s="303" t="str">
        <f t="shared" si="296"/>
        <v/>
      </c>
      <c r="AF104" s="303" t="str">
        <f t="shared" si="296"/>
        <v/>
      </c>
      <c r="AG104" s="303" t="str">
        <f t="shared" si="296"/>
        <v/>
      </c>
      <c r="AH104" s="303" t="str">
        <f t="shared" ref="AH104:BM104" si="297">IF(AH$2="-","",(IF(AH265="","",IF(AH$4&lt;$A104,AH265,(AH265-AH$3)/(1+AH$3%)))))</f>
        <v/>
      </c>
      <c r="AI104" s="303" t="str">
        <f t="shared" si="297"/>
        <v/>
      </c>
      <c r="AJ104" s="303" t="str">
        <f t="shared" si="297"/>
        <v/>
      </c>
      <c r="AK104" s="303" t="str">
        <f t="shared" si="297"/>
        <v/>
      </c>
      <c r="AL104" s="303" t="str">
        <f t="shared" si="297"/>
        <v/>
      </c>
      <c r="AM104" s="303" t="str">
        <f t="shared" si="297"/>
        <v/>
      </c>
      <c r="AN104" s="303" t="str">
        <f t="shared" si="297"/>
        <v/>
      </c>
      <c r="AO104" s="303" t="str">
        <f t="shared" si="297"/>
        <v/>
      </c>
      <c r="AP104" s="303" t="str">
        <f t="shared" si="297"/>
        <v/>
      </c>
      <c r="AQ104" s="303" t="str">
        <f t="shared" si="297"/>
        <v/>
      </c>
      <c r="AR104" s="303" t="str">
        <f t="shared" si="297"/>
        <v/>
      </c>
      <c r="AS104" s="303" t="str">
        <f t="shared" si="297"/>
        <v/>
      </c>
      <c r="AT104" s="303" t="str">
        <f t="shared" si="297"/>
        <v/>
      </c>
      <c r="AU104" s="303" t="str">
        <f t="shared" si="297"/>
        <v/>
      </c>
      <c r="AV104" s="303" t="str">
        <f t="shared" si="297"/>
        <v/>
      </c>
      <c r="AW104" s="303" t="str">
        <f t="shared" si="297"/>
        <v/>
      </c>
      <c r="AX104" s="303" t="str">
        <f t="shared" si="297"/>
        <v/>
      </c>
      <c r="AY104" s="303" t="str">
        <f t="shared" si="297"/>
        <v/>
      </c>
      <c r="AZ104" s="303" t="str">
        <f t="shared" si="297"/>
        <v/>
      </c>
      <c r="BA104" s="303" t="str">
        <f t="shared" si="297"/>
        <v/>
      </c>
      <c r="BB104" s="303" t="str">
        <f t="shared" si="297"/>
        <v/>
      </c>
      <c r="BC104" s="303" t="str">
        <f t="shared" si="297"/>
        <v/>
      </c>
      <c r="BD104" s="303" t="str">
        <f t="shared" si="297"/>
        <v/>
      </c>
      <c r="BE104" s="303" t="str">
        <f t="shared" si="297"/>
        <v/>
      </c>
      <c r="BF104" s="303" t="str">
        <f t="shared" si="297"/>
        <v/>
      </c>
      <c r="BG104" s="303" t="str">
        <f t="shared" si="297"/>
        <v/>
      </c>
      <c r="BH104" s="303" t="str">
        <f t="shared" si="297"/>
        <v/>
      </c>
      <c r="BI104" s="303" t="str">
        <f t="shared" si="297"/>
        <v/>
      </c>
      <c r="BJ104" s="303" t="str">
        <f t="shared" si="297"/>
        <v/>
      </c>
      <c r="BK104" s="303" t="str">
        <f t="shared" si="297"/>
        <v/>
      </c>
      <c r="BL104" s="303" t="str">
        <f t="shared" si="297"/>
        <v/>
      </c>
      <c r="BM104" s="303" t="str">
        <f t="shared" si="297"/>
        <v/>
      </c>
      <c r="BN104" s="303" t="str">
        <f t="shared" ref="BN104:BZ104" si="298">IF(BN$2="-","",(IF(BN265="","",IF(BN$4&lt;$A104,BN265,(BN265-BN$3)/(1+BN$3%)))))</f>
        <v/>
      </c>
      <c r="BO104" s="303" t="str">
        <f t="shared" si="298"/>
        <v/>
      </c>
      <c r="BP104" s="303" t="str">
        <f t="shared" si="298"/>
        <v/>
      </c>
      <c r="BQ104" s="303" t="str">
        <f t="shared" si="298"/>
        <v/>
      </c>
      <c r="BR104" s="303" t="str">
        <f t="shared" si="298"/>
        <v/>
      </c>
      <c r="BS104" s="303" t="str">
        <f t="shared" si="298"/>
        <v/>
      </c>
      <c r="BT104" s="303" t="str">
        <f t="shared" si="298"/>
        <v/>
      </c>
      <c r="BU104" s="303" t="str">
        <f t="shared" si="298"/>
        <v/>
      </c>
      <c r="BV104" s="303" t="str">
        <f t="shared" si="298"/>
        <v/>
      </c>
      <c r="BW104" s="303" t="str">
        <f t="shared" si="298"/>
        <v/>
      </c>
      <c r="BX104" s="303">
        <f t="shared" si="298"/>
        <v>15.997631734754304</v>
      </c>
      <c r="BY104" s="303">
        <f t="shared" si="298"/>
        <v>0.78735566334582341</v>
      </c>
      <c r="BZ104" s="303">
        <f t="shared" si="298"/>
        <v>4.75</v>
      </c>
      <c r="CA104" s="303">
        <f t="shared" si="205"/>
        <v>3.6474164133738718</v>
      </c>
    </row>
    <row r="105" spans="1:79">
      <c r="A105" s="58">
        <f t="shared" ref="A105:A136" si="299">A104+1</f>
        <v>1968</v>
      </c>
      <c r="B105" s="303">
        <f t="shared" ref="B105:AG105" si="300">IF(B$2="-","",(IF(B266="","",IF(B$4&lt;$A105,B266,(B266-B$3)/(1+B$3%)))))</f>
        <v>10.407845383386952</v>
      </c>
      <c r="C105" s="303" t="str">
        <f t="shared" si="300"/>
        <v/>
      </c>
      <c r="D105" s="303">
        <f t="shared" si="300"/>
        <v>10.407845383386952</v>
      </c>
      <c r="E105" s="303" t="str">
        <f t="shared" si="300"/>
        <v/>
      </c>
      <c r="F105" s="303" t="str">
        <f t="shared" si="300"/>
        <v/>
      </c>
      <c r="G105" s="303" t="str">
        <f t="shared" si="300"/>
        <v/>
      </c>
      <c r="H105" s="303" t="str">
        <f t="shared" si="300"/>
        <v/>
      </c>
      <c r="I105" s="303" t="str">
        <f t="shared" si="300"/>
        <v/>
      </c>
      <c r="J105" s="303" t="str">
        <f t="shared" si="300"/>
        <v/>
      </c>
      <c r="K105" s="303" t="str">
        <f t="shared" si="300"/>
        <v/>
      </c>
      <c r="L105" s="303" t="str">
        <f t="shared" si="300"/>
        <v/>
      </c>
      <c r="M105" s="303" t="str">
        <f t="shared" si="300"/>
        <v/>
      </c>
      <c r="N105" s="303" t="str">
        <f t="shared" si="300"/>
        <v/>
      </c>
      <c r="O105" s="303" t="str">
        <f t="shared" si="300"/>
        <v/>
      </c>
      <c r="P105" s="303" t="str">
        <f t="shared" si="300"/>
        <v/>
      </c>
      <c r="Q105" s="303" t="str">
        <f t="shared" si="300"/>
        <v/>
      </c>
      <c r="R105" s="303" t="str">
        <f t="shared" si="300"/>
        <v/>
      </c>
      <c r="S105" s="303" t="str">
        <f t="shared" si="300"/>
        <v/>
      </c>
      <c r="T105" s="303">
        <f t="shared" si="300"/>
        <v>2.5473105126592803</v>
      </c>
      <c r="U105" s="303">
        <f t="shared" si="300"/>
        <v>2.5473105126592803</v>
      </c>
      <c r="V105" s="303">
        <f t="shared" si="300"/>
        <v>5.3351983215106404</v>
      </c>
      <c r="W105" s="303" t="str">
        <f t="shared" si="300"/>
        <v/>
      </c>
      <c r="X105" s="303" t="str">
        <f t="shared" si="300"/>
        <v/>
      </c>
      <c r="Y105" s="303" t="str">
        <f t="shared" si="300"/>
        <v/>
      </c>
      <c r="Z105" s="303" t="str">
        <f t="shared" si="300"/>
        <v/>
      </c>
      <c r="AA105" s="303" t="str">
        <f t="shared" si="300"/>
        <v/>
      </c>
      <c r="AB105" s="303" t="str">
        <f t="shared" si="300"/>
        <v/>
      </c>
      <c r="AC105" s="303" t="str">
        <f t="shared" si="300"/>
        <v/>
      </c>
      <c r="AD105" s="303" t="str">
        <f t="shared" si="300"/>
        <v/>
      </c>
      <c r="AE105" s="303" t="str">
        <f t="shared" si="300"/>
        <v/>
      </c>
      <c r="AF105" s="303" t="str">
        <f t="shared" si="300"/>
        <v/>
      </c>
      <c r="AG105" s="303" t="str">
        <f t="shared" si="300"/>
        <v/>
      </c>
      <c r="AH105" s="303" t="str">
        <f t="shared" ref="AH105:BM105" si="301">IF(AH$2="-","",(IF(AH266="","",IF(AH$4&lt;$A105,AH266,(AH266-AH$3)/(1+AH$3%)))))</f>
        <v/>
      </c>
      <c r="AI105" s="303" t="str">
        <f t="shared" si="301"/>
        <v/>
      </c>
      <c r="AJ105" s="303" t="str">
        <f t="shared" si="301"/>
        <v/>
      </c>
      <c r="AK105" s="303" t="str">
        <f t="shared" si="301"/>
        <v/>
      </c>
      <c r="AL105" s="303" t="str">
        <f t="shared" si="301"/>
        <v/>
      </c>
      <c r="AM105" s="303" t="str">
        <f t="shared" si="301"/>
        <v/>
      </c>
      <c r="AN105" s="303" t="str">
        <f t="shared" si="301"/>
        <v/>
      </c>
      <c r="AO105" s="303" t="str">
        <f t="shared" si="301"/>
        <v/>
      </c>
      <c r="AP105" s="303" t="str">
        <f t="shared" si="301"/>
        <v/>
      </c>
      <c r="AQ105" s="303" t="str">
        <f t="shared" si="301"/>
        <v/>
      </c>
      <c r="AR105" s="303" t="str">
        <f t="shared" si="301"/>
        <v/>
      </c>
      <c r="AS105" s="303" t="str">
        <f t="shared" si="301"/>
        <v/>
      </c>
      <c r="AT105" s="303" t="str">
        <f t="shared" si="301"/>
        <v/>
      </c>
      <c r="AU105" s="303" t="str">
        <f t="shared" si="301"/>
        <v/>
      </c>
      <c r="AV105" s="303" t="str">
        <f t="shared" si="301"/>
        <v/>
      </c>
      <c r="AW105" s="303" t="str">
        <f t="shared" si="301"/>
        <v/>
      </c>
      <c r="AX105" s="303" t="str">
        <f t="shared" si="301"/>
        <v/>
      </c>
      <c r="AY105" s="303" t="str">
        <f t="shared" si="301"/>
        <v/>
      </c>
      <c r="AZ105" s="303" t="str">
        <f t="shared" si="301"/>
        <v/>
      </c>
      <c r="BA105" s="303" t="str">
        <f t="shared" si="301"/>
        <v/>
      </c>
      <c r="BB105" s="303" t="str">
        <f t="shared" si="301"/>
        <v/>
      </c>
      <c r="BC105" s="303" t="str">
        <f t="shared" si="301"/>
        <v/>
      </c>
      <c r="BD105" s="303" t="str">
        <f t="shared" si="301"/>
        <v/>
      </c>
      <c r="BE105" s="303" t="str">
        <f t="shared" si="301"/>
        <v/>
      </c>
      <c r="BF105" s="303" t="str">
        <f t="shared" si="301"/>
        <v/>
      </c>
      <c r="BG105" s="303" t="str">
        <f t="shared" si="301"/>
        <v/>
      </c>
      <c r="BH105" s="303" t="str">
        <f t="shared" si="301"/>
        <v/>
      </c>
      <c r="BI105" s="303" t="str">
        <f t="shared" si="301"/>
        <v/>
      </c>
      <c r="BJ105" s="303" t="str">
        <f t="shared" si="301"/>
        <v/>
      </c>
      <c r="BK105" s="303" t="str">
        <f t="shared" si="301"/>
        <v/>
      </c>
      <c r="BL105" s="303" t="str">
        <f t="shared" si="301"/>
        <v/>
      </c>
      <c r="BM105" s="303" t="str">
        <f t="shared" si="301"/>
        <v/>
      </c>
      <c r="BN105" s="303" t="str">
        <f t="shared" ref="BN105:BZ105" si="302">IF(BN$2="-","",(IF(BN266="","",IF(BN$4&lt;$A105,BN266,(BN266-BN$3)/(1+BN$3%)))))</f>
        <v/>
      </c>
      <c r="BO105" s="303" t="str">
        <f t="shared" si="302"/>
        <v/>
      </c>
      <c r="BP105" s="303" t="str">
        <f t="shared" si="302"/>
        <v/>
      </c>
      <c r="BQ105" s="303" t="str">
        <f t="shared" si="302"/>
        <v/>
      </c>
      <c r="BR105" s="303" t="str">
        <f t="shared" si="302"/>
        <v/>
      </c>
      <c r="BS105" s="303" t="str">
        <f t="shared" si="302"/>
        <v/>
      </c>
      <c r="BT105" s="303" t="str">
        <f t="shared" si="302"/>
        <v/>
      </c>
      <c r="BU105" s="303" t="str">
        <f t="shared" si="302"/>
        <v/>
      </c>
      <c r="BV105" s="303" t="str">
        <f t="shared" si="302"/>
        <v/>
      </c>
      <c r="BW105" s="303" t="str">
        <f t="shared" si="302"/>
        <v/>
      </c>
      <c r="BX105" s="303">
        <f t="shared" si="302"/>
        <v>10.595538720538711</v>
      </c>
      <c r="BY105" s="303">
        <f t="shared" si="302"/>
        <v>2.7524051336845989</v>
      </c>
      <c r="BZ105" s="303">
        <f t="shared" si="302"/>
        <v>5.43</v>
      </c>
      <c r="CA105" s="303">
        <f t="shared" si="205"/>
        <v>4.3988269794721369</v>
      </c>
    </row>
    <row r="106" spans="1:79">
      <c r="A106" s="58">
        <f t="shared" si="299"/>
        <v>1969</v>
      </c>
      <c r="B106" s="303">
        <f t="shared" ref="B106:AG106" si="303">IF(B$2="-","",(IF(B267="","",IF(B$4&lt;$A106,B267,(B267-B$3)/(1+B$3%)))))</f>
        <v>-8.5541251765374025</v>
      </c>
      <c r="C106" s="303" t="str">
        <f t="shared" si="303"/>
        <v/>
      </c>
      <c r="D106" s="303">
        <f t="shared" si="303"/>
        <v>-8.5541251765374025</v>
      </c>
      <c r="E106" s="303" t="str">
        <f t="shared" si="303"/>
        <v/>
      </c>
      <c r="F106" s="303" t="str">
        <f t="shared" si="303"/>
        <v/>
      </c>
      <c r="G106" s="303" t="str">
        <f t="shared" si="303"/>
        <v/>
      </c>
      <c r="H106" s="303" t="str">
        <f t="shared" si="303"/>
        <v/>
      </c>
      <c r="I106" s="303" t="str">
        <f t="shared" si="303"/>
        <v/>
      </c>
      <c r="J106" s="303" t="str">
        <f t="shared" si="303"/>
        <v/>
      </c>
      <c r="K106" s="303" t="str">
        <f t="shared" si="303"/>
        <v/>
      </c>
      <c r="L106" s="303" t="str">
        <f t="shared" si="303"/>
        <v/>
      </c>
      <c r="M106" s="303" t="str">
        <f t="shared" si="303"/>
        <v/>
      </c>
      <c r="N106" s="303" t="str">
        <f t="shared" si="303"/>
        <v/>
      </c>
      <c r="O106" s="303" t="str">
        <f t="shared" si="303"/>
        <v/>
      </c>
      <c r="P106" s="303" t="str">
        <f t="shared" si="303"/>
        <v/>
      </c>
      <c r="Q106" s="303" t="str">
        <f t="shared" si="303"/>
        <v/>
      </c>
      <c r="R106" s="303" t="str">
        <f t="shared" si="303"/>
        <v/>
      </c>
      <c r="S106" s="303" t="str">
        <f t="shared" si="303"/>
        <v/>
      </c>
      <c r="T106" s="303">
        <f t="shared" si="303"/>
        <v>-1.3984466913308344</v>
      </c>
      <c r="U106" s="303">
        <f t="shared" si="303"/>
        <v>-1.3984466913308344</v>
      </c>
      <c r="V106" s="303">
        <f t="shared" si="303"/>
        <v>6.2443800579478479</v>
      </c>
      <c r="W106" s="303" t="str">
        <f t="shared" si="303"/>
        <v/>
      </c>
      <c r="X106" s="303" t="str">
        <f t="shared" si="303"/>
        <v/>
      </c>
      <c r="Y106" s="303" t="str">
        <f t="shared" si="303"/>
        <v/>
      </c>
      <c r="Z106" s="303" t="str">
        <f t="shared" si="303"/>
        <v/>
      </c>
      <c r="AA106" s="303" t="str">
        <f t="shared" si="303"/>
        <v/>
      </c>
      <c r="AB106" s="303" t="str">
        <f t="shared" si="303"/>
        <v/>
      </c>
      <c r="AC106" s="303" t="str">
        <f t="shared" si="303"/>
        <v/>
      </c>
      <c r="AD106" s="303" t="str">
        <f t="shared" si="303"/>
        <v/>
      </c>
      <c r="AE106" s="303" t="str">
        <f t="shared" si="303"/>
        <v/>
      </c>
      <c r="AF106" s="303" t="str">
        <f t="shared" si="303"/>
        <v/>
      </c>
      <c r="AG106" s="303" t="str">
        <f t="shared" si="303"/>
        <v/>
      </c>
      <c r="AH106" s="303" t="str">
        <f t="shared" ref="AH106:BM106" si="304">IF(AH$2="-","",(IF(AH267="","",IF(AH$4&lt;$A106,AH267,(AH267-AH$3)/(1+AH$3%)))))</f>
        <v/>
      </c>
      <c r="AI106" s="303" t="str">
        <f t="shared" si="304"/>
        <v/>
      </c>
      <c r="AJ106" s="303" t="str">
        <f t="shared" si="304"/>
        <v/>
      </c>
      <c r="AK106" s="303" t="str">
        <f t="shared" si="304"/>
        <v/>
      </c>
      <c r="AL106" s="303" t="str">
        <f t="shared" si="304"/>
        <v/>
      </c>
      <c r="AM106" s="303" t="str">
        <f t="shared" si="304"/>
        <v/>
      </c>
      <c r="AN106" s="303" t="str">
        <f t="shared" si="304"/>
        <v/>
      </c>
      <c r="AO106" s="303" t="str">
        <f t="shared" si="304"/>
        <v/>
      </c>
      <c r="AP106" s="303" t="str">
        <f t="shared" si="304"/>
        <v/>
      </c>
      <c r="AQ106" s="303" t="str">
        <f t="shared" si="304"/>
        <v/>
      </c>
      <c r="AR106" s="303" t="str">
        <f t="shared" si="304"/>
        <v/>
      </c>
      <c r="AS106" s="303" t="str">
        <f t="shared" si="304"/>
        <v/>
      </c>
      <c r="AT106" s="303" t="str">
        <f t="shared" si="304"/>
        <v/>
      </c>
      <c r="AU106" s="303" t="str">
        <f t="shared" si="304"/>
        <v/>
      </c>
      <c r="AV106" s="303" t="str">
        <f t="shared" si="304"/>
        <v/>
      </c>
      <c r="AW106" s="303" t="str">
        <f t="shared" si="304"/>
        <v/>
      </c>
      <c r="AX106" s="303" t="str">
        <f t="shared" si="304"/>
        <v/>
      </c>
      <c r="AY106" s="303" t="str">
        <f t="shared" si="304"/>
        <v/>
      </c>
      <c r="AZ106" s="303" t="str">
        <f t="shared" si="304"/>
        <v/>
      </c>
      <c r="BA106" s="303" t="str">
        <f t="shared" si="304"/>
        <v/>
      </c>
      <c r="BB106" s="303" t="str">
        <f t="shared" si="304"/>
        <v/>
      </c>
      <c r="BC106" s="303" t="str">
        <f t="shared" si="304"/>
        <v/>
      </c>
      <c r="BD106" s="303" t="str">
        <f t="shared" si="304"/>
        <v/>
      </c>
      <c r="BE106" s="303" t="str">
        <f t="shared" si="304"/>
        <v/>
      </c>
      <c r="BF106" s="303" t="str">
        <f t="shared" si="304"/>
        <v/>
      </c>
      <c r="BG106" s="303" t="str">
        <f t="shared" si="304"/>
        <v/>
      </c>
      <c r="BH106" s="303" t="str">
        <f t="shared" si="304"/>
        <v/>
      </c>
      <c r="BI106" s="303" t="str">
        <f t="shared" si="304"/>
        <v/>
      </c>
      <c r="BJ106" s="303" t="str">
        <f t="shared" si="304"/>
        <v/>
      </c>
      <c r="BK106" s="303" t="str">
        <f t="shared" si="304"/>
        <v/>
      </c>
      <c r="BL106" s="303" t="str">
        <f t="shared" si="304"/>
        <v/>
      </c>
      <c r="BM106" s="303" t="str">
        <f t="shared" si="304"/>
        <v/>
      </c>
      <c r="BN106" s="303" t="str">
        <f t="shared" ref="BN106:BZ106" si="305">IF(BN$2="-","",(IF(BN267="","",IF(BN$4&lt;$A106,BN267,(BN267-BN$3)/(1+BN$3%)))))</f>
        <v/>
      </c>
      <c r="BO106" s="303" t="str">
        <f t="shared" si="305"/>
        <v/>
      </c>
      <c r="BP106" s="303" t="str">
        <f t="shared" si="305"/>
        <v/>
      </c>
      <c r="BQ106" s="303" t="str">
        <f t="shared" si="305"/>
        <v/>
      </c>
      <c r="BR106" s="303" t="str">
        <f t="shared" si="305"/>
        <v/>
      </c>
      <c r="BS106" s="303" t="str">
        <f t="shared" si="305"/>
        <v/>
      </c>
      <c r="BT106" s="303" t="str">
        <f t="shared" si="305"/>
        <v/>
      </c>
      <c r="BU106" s="303" t="str">
        <f t="shared" si="305"/>
        <v/>
      </c>
      <c r="BV106" s="303" t="str">
        <f t="shared" si="305"/>
        <v/>
      </c>
      <c r="BW106" s="303" t="str">
        <f t="shared" si="305"/>
        <v/>
      </c>
      <c r="BX106" s="303">
        <f t="shared" si="305"/>
        <v>-8.398667189337516</v>
      </c>
      <c r="BY106" s="303">
        <f t="shared" si="305"/>
        <v>-1.2012435847134961</v>
      </c>
      <c r="BZ106" s="303">
        <f t="shared" si="305"/>
        <v>6.34</v>
      </c>
      <c r="CA106" s="303">
        <f t="shared" si="205"/>
        <v>6.1797752808988582</v>
      </c>
    </row>
    <row r="107" spans="1:79">
      <c r="A107" s="58">
        <f t="shared" si="299"/>
        <v>1970</v>
      </c>
      <c r="B107" s="303">
        <f t="shared" ref="B107:AG107" si="306">IF(B$2="-","",(IF(B268="","",IF(B$4&lt;$A107,B268,(B268-B$3)/(1+B$3%)))))</f>
        <v>6.816529494809549</v>
      </c>
      <c r="C107" s="303" t="str">
        <f t="shared" si="306"/>
        <v/>
      </c>
      <c r="D107" s="303">
        <f t="shared" si="306"/>
        <v>6.816529494809549</v>
      </c>
      <c r="E107" s="303" t="str">
        <f t="shared" si="306"/>
        <v/>
      </c>
      <c r="F107" s="303" t="str">
        <f t="shared" si="306"/>
        <v/>
      </c>
      <c r="G107" s="303" t="str">
        <f t="shared" si="306"/>
        <v/>
      </c>
      <c r="H107" s="303" t="str">
        <f t="shared" si="306"/>
        <v/>
      </c>
      <c r="I107" s="303" t="str">
        <f t="shared" si="306"/>
        <v/>
      </c>
      <c r="J107" s="303" t="str">
        <f t="shared" si="306"/>
        <v/>
      </c>
      <c r="K107" s="303" t="str">
        <f t="shared" si="306"/>
        <v/>
      </c>
      <c r="L107" s="303" t="str">
        <f t="shared" si="306"/>
        <v/>
      </c>
      <c r="M107" s="303" t="str">
        <f t="shared" si="306"/>
        <v/>
      </c>
      <c r="N107" s="303" t="str">
        <f t="shared" si="306"/>
        <v/>
      </c>
      <c r="O107" s="303" t="str">
        <f t="shared" si="306"/>
        <v/>
      </c>
      <c r="P107" s="303" t="str">
        <f t="shared" si="306"/>
        <v/>
      </c>
      <c r="Q107" s="303" t="str">
        <f t="shared" si="306"/>
        <v/>
      </c>
      <c r="R107" s="303" t="str">
        <f t="shared" si="306"/>
        <v/>
      </c>
      <c r="S107" s="303" t="str">
        <f t="shared" si="306"/>
        <v/>
      </c>
      <c r="T107" s="303">
        <f t="shared" si="306"/>
        <v>16.264670259047453</v>
      </c>
      <c r="U107" s="303">
        <f t="shared" si="306"/>
        <v>16.264670259047453</v>
      </c>
      <c r="V107" s="303">
        <f t="shared" si="306"/>
        <v>8.0027974822659615</v>
      </c>
      <c r="W107" s="303" t="str">
        <f t="shared" si="306"/>
        <v/>
      </c>
      <c r="X107" s="303" t="str">
        <f t="shared" si="306"/>
        <v/>
      </c>
      <c r="Y107" s="303" t="str">
        <f t="shared" si="306"/>
        <v/>
      </c>
      <c r="Z107" s="303" t="str">
        <f t="shared" si="306"/>
        <v/>
      </c>
      <c r="AA107" s="303" t="str">
        <f t="shared" si="306"/>
        <v/>
      </c>
      <c r="AB107" s="303" t="str">
        <f t="shared" si="306"/>
        <v/>
      </c>
      <c r="AC107" s="303" t="str">
        <f t="shared" si="306"/>
        <v/>
      </c>
      <c r="AD107" s="303" t="str">
        <f t="shared" si="306"/>
        <v/>
      </c>
      <c r="AE107" s="303" t="str">
        <f t="shared" si="306"/>
        <v/>
      </c>
      <c r="AF107" s="303" t="str">
        <f t="shared" si="306"/>
        <v/>
      </c>
      <c r="AG107" s="303" t="str">
        <f t="shared" si="306"/>
        <v/>
      </c>
      <c r="AH107" s="303" t="str">
        <f t="shared" ref="AH107:BM107" si="307">IF(AH$2="-","",(IF(AH268="","",IF(AH$4&lt;$A107,AH268,(AH268-AH$3)/(1+AH$3%)))))</f>
        <v/>
      </c>
      <c r="AI107" s="303" t="str">
        <f t="shared" si="307"/>
        <v/>
      </c>
      <c r="AJ107" s="303" t="str">
        <f t="shared" si="307"/>
        <v/>
      </c>
      <c r="AK107" s="303" t="str">
        <f t="shared" si="307"/>
        <v/>
      </c>
      <c r="AL107" s="303" t="str">
        <f t="shared" si="307"/>
        <v/>
      </c>
      <c r="AM107" s="303" t="str">
        <f t="shared" si="307"/>
        <v/>
      </c>
      <c r="AN107" s="303" t="str">
        <f t="shared" si="307"/>
        <v/>
      </c>
      <c r="AO107" s="303" t="str">
        <f t="shared" si="307"/>
        <v/>
      </c>
      <c r="AP107" s="303" t="str">
        <f t="shared" si="307"/>
        <v/>
      </c>
      <c r="AQ107" s="303" t="str">
        <f t="shared" si="307"/>
        <v/>
      </c>
      <c r="AR107" s="303" t="str">
        <f t="shared" si="307"/>
        <v/>
      </c>
      <c r="AS107" s="303" t="str">
        <f t="shared" si="307"/>
        <v/>
      </c>
      <c r="AT107" s="303" t="str">
        <f t="shared" si="307"/>
        <v/>
      </c>
      <c r="AU107" s="303" t="str">
        <f t="shared" si="307"/>
        <v/>
      </c>
      <c r="AV107" s="303" t="str">
        <f t="shared" si="307"/>
        <v/>
      </c>
      <c r="AW107" s="303" t="str">
        <f t="shared" si="307"/>
        <v/>
      </c>
      <c r="AX107" s="303" t="str">
        <f t="shared" si="307"/>
        <v/>
      </c>
      <c r="AY107" s="303" t="str">
        <f t="shared" si="307"/>
        <v/>
      </c>
      <c r="AZ107" s="303" t="str">
        <f t="shared" si="307"/>
        <v/>
      </c>
      <c r="BA107" s="303" t="str">
        <f t="shared" si="307"/>
        <v/>
      </c>
      <c r="BB107" s="303" t="str">
        <f t="shared" si="307"/>
        <v/>
      </c>
      <c r="BC107" s="303" t="str">
        <f t="shared" si="307"/>
        <v/>
      </c>
      <c r="BD107" s="303" t="str">
        <f t="shared" si="307"/>
        <v/>
      </c>
      <c r="BE107" s="303" t="str">
        <f t="shared" si="307"/>
        <v/>
      </c>
      <c r="BF107" s="303" t="str">
        <f t="shared" si="307"/>
        <v/>
      </c>
      <c r="BG107" s="303" t="str">
        <f t="shared" si="307"/>
        <v/>
      </c>
      <c r="BH107" s="303" t="str">
        <f t="shared" si="307"/>
        <v/>
      </c>
      <c r="BI107" s="303" t="str">
        <f t="shared" si="307"/>
        <v/>
      </c>
      <c r="BJ107" s="303" t="str">
        <f t="shared" si="307"/>
        <v/>
      </c>
      <c r="BK107" s="303" t="str">
        <f t="shared" si="307"/>
        <v/>
      </c>
      <c r="BL107" s="303" t="str">
        <f t="shared" si="307"/>
        <v/>
      </c>
      <c r="BM107" s="303" t="str">
        <f t="shared" si="307"/>
        <v/>
      </c>
      <c r="BN107" s="303" t="str">
        <f t="shared" ref="BN107:BZ107" si="308">IF(BN$2="-","",(IF(BN268="","",IF(BN$4&lt;$A107,BN268,(BN268-BN$3)/(1+BN$3%)))))</f>
        <v/>
      </c>
      <c r="BO107" s="303" t="str">
        <f t="shared" si="308"/>
        <v/>
      </c>
      <c r="BP107" s="303" t="str">
        <f t="shared" si="308"/>
        <v/>
      </c>
      <c r="BQ107" s="303" t="str">
        <f t="shared" si="308"/>
        <v/>
      </c>
      <c r="BR107" s="303" t="str">
        <f t="shared" si="308"/>
        <v/>
      </c>
      <c r="BS107" s="303" t="str">
        <f t="shared" si="308"/>
        <v/>
      </c>
      <c r="BT107" s="303" t="str">
        <f t="shared" si="308"/>
        <v/>
      </c>
      <c r="BU107" s="303" t="str">
        <f t="shared" si="308"/>
        <v/>
      </c>
      <c r="BV107" s="303" t="str">
        <f t="shared" si="308"/>
        <v/>
      </c>
      <c r="BW107" s="303" t="str">
        <f t="shared" si="308"/>
        <v/>
      </c>
      <c r="BX107" s="303">
        <f t="shared" si="308"/>
        <v>6.9981175949507257</v>
      </c>
      <c r="BY107" s="303">
        <f t="shared" si="308"/>
        <v>16.497199599565548</v>
      </c>
      <c r="BZ107" s="303">
        <f t="shared" si="308"/>
        <v>8.1</v>
      </c>
      <c r="CA107" s="303">
        <f t="shared" si="205"/>
        <v>5.2910052910053018</v>
      </c>
    </row>
    <row r="108" spans="1:79">
      <c r="A108" s="58">
        <f t="shared" si="299"/>
        <v>1971</v>
      </c>
      <c r="B108" s="303">
        <f t="shared" ref="B108:AG108" si="309">IF(B$2="-","",(IF(B269="","",IF(B$4&lt;$A108,B269,(B269-B$3)/(1+B$3%)))))</f>
        <v>13.583782102461326</v>
      </c>
      <c r="C108" s="303" t="str">
        <f t="shared" si="309"/>
        <v/>
      </c>
      <c r="D108" s="303">
        <f t="shared" si="309"/>
        <v>13.583782102461326</v>
      </c>
      <c r="E108" s="303" t="str">
        <f t="shared" si="309"/>
        <v/>
      </c>
      <c r="F108" s="303" t="str">
        <f t="shared" si="309"/>
        <v/>
      </c>
      <c r="G108" s="303" t="str">
        <f t="shared" si="309"/>
        <v/>
      </c>
      <c r="H108" s="303" t="str">
        <f t="shared" si="309"/>
        <v/>
      </c>
      <c r="I108" s="303" t="str">
        <f t="shared" si="309"/>
        <v/>
      </c>
      <c r="J108" s="303" t="str">
        <f t="shared" si="309"/>
        <v/>
      </c>
      <c r="K108" s="303" t="str">
        <f t="shared" si="309"/>
        <v/>
      </c>
      <c r="L108" s="303" t="str">
        <f t="shared" si="309"/>
        <v/>
      </c>
      <c r="M108" s="303" t="str">
        <f t="shared" si="309"/>
        <v/>
      </c>
      <c r="N108" s="303" t="str">
        <f t="shared" si="309"/>
        <v/>
      </c>
      <c r="O108" s="303" t="str">
        <f t="shared" si="309"/>
        <v/>
      </c>
      <c r="P108" s="303" t="str">
        <f t="shared" si="309"/>
        <v/>
      </c>
      <c r="Q108" s="303" t="str">
        <f t="shared" si="309"/>
        <v/>
      </c>
      <c r="R108" s="303" t="str">
        <f t="shared" si="309"/>
        <v/>
      </c>
      <c r="S108" s="303" t="str">
        <f t="shared" si="309"/>
        <v/>
      </c>
      <c r="T108" s="303">
        <f t="shared" si="309"/>
        <v>7.4729579263986672</v>
      </c>
      <c r="U108" s="303">
        <f t="shared" si="309"/>
        <v>7.4729579263986672</v>
      </c>
      <c r="V108" s="303">
        <f t="shared" si="309"/>
        <v>4.4759716255370172</v>
      </c>
      <c r="W108" s="303" t="str">
        <f t="shared" si="309"/>
        <v/>
      </c>
      <c r="X108" s="303" t="str">
        <f t="shared" si="309"/>
        <v/>
      </c>
      <c r="Y108" s="303" t="str">
        <f t="shared" si="309"/>
        <v/>
      </c>
      <c r="Z108" s="303" t="str">
        <f t="shared" si="309"/>
        <v/>
      </c>
      <c r="AA108" s="303" t="str">
        <f t="shared" si="309"/>
        <v/>
      </c>
      <c r="AB108" s="303" t="str">
        <f t="shared" si="309"/>
        <v/>
      </c>
      <c r="AC108" s="303" t="str">
        <f t="shared" si="309"/>
        <v/>
      </c>
      <c r="AD108" s="303" t="str">
        <f t="shared" si="309"/>
        <v/>
      </c>
      <c r="AE108" s="303" t="str">
        <f t="shared" si="309"/>
        <v/>
      </c>
      <c r="AF108" s="303" t="str">
        <f t="shared" si="309"/>
        <v/>
      </c>
      <c r="AG108" s="303" t="str">
        <f t="shared" si="309"/>
        <v/>
      </c>
      <c r="AH108" s="303" t="str">
        <f t="shared" ref="AH108:BM108" si="310">IF(AH$2="-","",(IF(AH269="","",IF(AH$4&lt;$A108,AH269,(AH269-AH$3)/(1+AH$3%)))))</f>
        <v/>
      </c>
      <c r="AI108" s="303" t="str">
        <f t="shared" si="310"/>
        <v/>
      </c>
      <c r="AJ108" s="303" t="str">
        <f t="shared" si="310"/>
        <v/>
      </c>
      <c r="AK108" s="303" t="str">
        <f t="shared" si="310"/>
        <v/>
      </c>
      <c r="AL108" s="303" t="str">
        <f t="shared" si="310"/>
        <v/>
      </c>
      <c r="AM108" s="303" t="str">
        <f t="shared" si="310"/>
        <v/>
      </c>
      <c r="AN108" s="303" t="str">
        <f t="shared" si="310"/>
        <v/>
      </c>
      <c r="AO108" s="303" t="str">
        <f t="shared" si="310"/>
        <v/>
      </c>
      <c r="AP108" s="303" t="str">
        <f t="shared" si="310"/>
        <v/>
      </c>
      <c r="AQ108" s="303" t="str">
        <f t="shared" si="310"/>
        <v/>
      </c>
      <c r="AR108" s="303" t="str">
        <f t="shared" si="310"/>
        <v/>
      </c>
      <c r="AS108" s="303" t="str">
        <f t="shared" si="310"/>
        <v/>
      </c>
      <c r="AT108" s="303" t="str">
        <f t="shared" si="310"/>
        <v/>
      </c>
      <c r="AU108" s="303" t="str">
        <f t="shared" si="310"/>
        <v/>
      </c>
      <c r="AV108" s="303" t="str">
        <f t="shared" si="310"/>
        <v/>
      </c>
      <c r="AW108" s="303" t="str">
        <f t="shared" si="310"/>
        <v/>
      </c>
      <c r="AX108" s="303" t="str">
        <f t="shared" si="310"/>
        <v/>
      </c>
      <c r="AY108" s="303" t="str">
        <f t="shared" si="310"/>
        <v/>
      </c>
      <c r="AZ108" s="303" t="str">
        <f t="shared" si="310"/>
        <v/>
      </c>
      <c r="BA108" s="303" t="str">
        <f t="shared" si="310"/>
        <v/>
      </c>
      <c r="BB108" s="303" t="str">
        <f t="shared" si="310"/>
        <v/>
      </c>
      <c r="BC108" s="303" t="str">
        <f t="shared" si="310"/>
        <v/>
      </c>
      <c r="BD108" s="303" t="str">
        <f t="shared" si="310"/>
        <v/>
      </c>
      <c r="BE108" s="303" t="str">
        <f t="shared" si="310"/>
        <v/>
      </c>
      <c r="BF108" s="303" t="str">
        <f t="shared" si="310"/>
        <v/>
      </c>
      <c r="BG108" s="303" t="str">
        <f t="shared" si="310"/>
        <v/>
      </c>
      <c r="BH108" s="303" t="str">
        <f t="shared" si="310"/>
        <v/>
      </c>
      <c r="BI108" s="303" t="str">
        <f t="shared" si="310"/>
        <v/>
      </c>
      <c r="BJ108" s="303" t="str">
        <f t="shared" si="310"/>
        <v/>
      </c>
      <c r="BK108" s="303" t="str">
        <f t="shared" si="310"/>
        <v/>
      </c>
      <c r="BL108" s="303" t="str">
        <f t="shared" si="310"/>
        <v/>
      </c>
      <c r="BM108" s="303" t="str">
        <f t="shared" si="310"/>
        <v/>
      </c>
      <c r="BN108" s="303" t="str">
        <f t="shared" ref="BN108:BZ108" si="311">IF(BN$2="-","",(IF(BN269="","",IF(BN$4&lt;$A108,BN269,(BN269-BN$3)/(1+BN$3%)))))</f>
        <v/>
      </c>
      <c r="BO108" s="303" t="str">
        <f t="shared" si="311"/>
        <v/>
      </c>
      <c r="BP108" s="303" t="str">
        <f t="shared" si="311"/>
        <v/>
      </c>
      <c r="BQ108" s="303" t="str">
        <f t="shared" si="311"/>
        <v/>
      </c>
      <c r="BR108" s="303" t="str">
        <f t="shared" si="311"/>
        <v/>
      </c>
      <c r="BS108" s="303" t="str">
        <f t="shared" si="311"/>
        <v/>
      </c>
      <c r="BT108" s="303" t="str">
        <f t="shared" si="311"/>
        <v/>
      </c>
      <c r="BU108" s="303" t="str">
        <f t="shared" si="311"/>
        <v/>
      </c>
      <c r="BV108" s="303" t="str">
        <f t="shared" si="311"/>
        <v/>
      </c>
      <c r="BW108" s="303" t="str">
        <f t="shared" si="311"/>
        <v/>
      </c>
      <c r="BX108" s="303">
        <f t="shared" si="311"/>
        <v>13.77687453203551</v>
      </c>
      <c r="BY108" s="303">
        <f t="shared" si="311"/>
        <v>7.6879038422514645</v>
      </c>
      <c r="BZ108" s="303">
        <f t="shared" si="311"/>
        <v>4.57</v>
      </c>
      <c r="CA108" s="303">
        <f t="shared" si="205"/>
        <v>3.2663316582914659</v>
      </c>
    </row>
    <row r="109" spans="1:79">
      <c r="A109" s="58">
        <f t="shared" si="299"/>
        <v>1972</v>
      </c>
      <c r="B109" s="303">
        <f t="shared" ref="B109:AG109" si="312">IF(B$2="-","",(IF(B270="","",IF(B$4&lt;$A109,B270,(B270-B$3)/(1+B$3%)))))</f>
        <v>16.701607267644999</v>
      </c>
      <c r="C109" s="303">
        <f t="shared" si="312"/>
        <v>17.908809737603512</v>
      </c>
      <c r="D109" s="303">
        <f t="shared" si="312"/>
        <v>18.798043326345212</v>
      </c>
      <c r="E109" s="303">
        <f t="shared" si="312"/>
        <v>21.111443679537064</v>
      </c>
      <c r="F109" s="303">
        <f t="shared" si="312"/>
        <v>8.8496458146263581</v>
      </c>
      <c r="G109" s="303">
        <f t="shared" si="312"/>
        <v>6.9440287339120026</v>
      </c>
      <c r="H109" s="303">
        <f t="shared" si="312"/>
        <v>7.1136386311483593</v>
      </c>
      <c r="I109" s="303">
        <f t="shared" si="312"/>
        <v>0.1596328444577472</v>
      </c>
      <c r="J109" s="303">
        <f t="shared" si="312"/>
        <v>-0.97241516173844011</v>
      </c>
      <c r="K109" s="303">
        <f t="shared" si="312"/>
        <v>7.7199281867145428</v>
      </c>
      <c r="L109" s="303">
        <f t="shared" si="312"/>
        <v>36.177440303726641</v>
      </c>
      <c r="M109" s="303">
        <f t="shared" si="312"/>
        <v>49.705970298016545</v>
      </c>
      <c r="N109" s="303">
        <f t="shared" si="312"/>
        <v>38.081221313111158</v>
      </c>
      <c r="O109" s="303">
        <f t="shared" si="312"/>
        <v>107.01176939956115</v>
      </c>
      <c r="P109" s="303">
        <f t="shared" si="312"/>
        <v>15.300219429483343</v>
      </c>
      <c r="Q109" s="303">
        <f t="shared" si="312"/>
        <v>36.350059737156521</v>
      </c>
      <c r="R109" s="303">
        <f t="shared" si="312"/>
        <v>38.69</v>
      </c>
      <c r="S109" s="303">
        <f t="shared" si="312"/>
        <v>-2.9495947923513608</v>
      </c>
      <c r="T109" s="303">
        <f t="shared" si="312"/>
        <v>3.0746145672198071</v>
      </c>
      <c r="U109" s="303">
        <f t="shared" si="312"/>
        <v>5.4890219560878242</v>
      </c>
      <c r="V109" s="303">
        <f t="shared" si="312"/>
        <v>3.7066640023978423</v>
      </c>
      <c r="W109" s="303">
        <f t="shared" si="312"/>
        <v>-2.5948103792415171</v>
      </c>
      <c r="X109" s="303">
        <f t="shared" si="312"/>
        <v>10.702174346698584</v>
      </c>
      <c r="Y109" s="303">
        <f t="shared" si="312"/>
        <v>9.4763092269326688</v>
      </c>
      <c r="Z109" s="303">
        <f t="shared" si="312"/>
        <v>9.782825263996811</v>
      </c>
      <c r="AA109" s="303">
        <f t="shared" si="312"/>
        <v>3.6926147704590817</v>
      </c>
      <c r="AB109" s="303">
        <f t="shared" si="312"/>
        <v>48.659094963429872</v>
      </c>
      <c r="AC109" s="303">
        <f t="shared" si="312"/>
        <v>63.642946099432116</v>
      </c>
      <c r="AD109" s="303" t="str">
        <f t="shared" si="312"/>
        <v/>
      </c>
      <c r="AE109" s="303" t="str">
        <f t="shared" si="312"/>
        <v/>
      </c>
      <c r="AF109" s="303" t="str">
        <f t="shared" si="312"/>
        <v/>
      </c>
      <c r="AG109" s="303" t="str">
        <f t="shared" si="312"/>
        <v/>
      </c>
      <c r="AH109" s="303" t="str">
        <f t="shared" ref="AH109:BM109" si="313">IF(AH$2="-","",(IF(AH270="","",IF(AH$4&lt;$A109,AH270,(AH270-AH$3)/(1+AH$3%)))))</f>
        <v/>
      </c>
      <c r="AI109" s="303" t="str">
        <f t="shared" si="313"/>
        <v/>
      </c>
      <c r="AJ109" s="303" t="str">
        <f t="shared" si="313"/>
        <v/>
      </c>
      <c r="AK109" s="303" t="str">
        <f t="shared" si="313"/>
        <v/>
      </c>
      <c r="AL109" s="303" t="str">
        <f t="shared" si="313"/>
        <v/>
      </c>
      <c r="AM109" s="303" t="str">
        <f t="shared" si="313"/>
        <v/>
      </c>
      <c r="AN109" s="303" t="str">
        <f t="shared" si="313"/>
        <v/>
      </c>
      <c r="AO109" s="303" t="str">
        <f t="shared" si="313"/>
        <v/>
      </c>
      <c r="AP109" s="303" t="str">
        <f t="shared" si="313"/>
        <v/>
      </c>
      <c r="AQ109" s="303" t="str">
        <f t="shared" si="313"/>
        <v/>
      </c>
      <c r="AR109" s="303" t="str">
        <f t="shared" si="313"/>
        <v/>
      </c>
      <c r="AS109" s="303" t="str">
        <f t="shared" si="313"/>
        <v/>
      </c>
      <c r="AT109" s="303" t="str">
        <f t="shared" si="313"/>
        <v/>
      </c>
      <c r="AU109" s="303" t="str">
        <f t="shared" si="313"/>
        <v/>
      </c>
      <c r="AV109" s="303" t="str">
        <f t="shared" si="313"/>
        <v/>
      </c>
      <c r="AW109" s="303" t="str">
        <f t="shared" si="313"/>
        <v/>
      </c>
      <c r="AX109" s="303" t="str">
        <f t="shared" si="313"/>
        <v/>
      </c>
      <c r="AY109" s="303" t="str">
        <f t="shared" si="313"/>
        <v/>
      </c>
      <c r="AZ109" s="303" t="str">
        <f t="shared" si="313"/>
        <v/>
      </c>
      <c r="BA109" s="303" t="str">
        <f t="shared" si="313"/>
        <v/>
      </c>
      <c r="BB109" s="303" t="str">
        <f t="shared" si="313"/>
        <v/>
      </c>
      <c r="BC109" s="303" t="str">
        <f t="shared" si="313"/>
        <v/>
      </c>
      <c r="BD109" s="303" t="str">
        <f t="shared" si="313"/>
        <v/>
      </c>
      <c r="BE109" s="303" t="str">
        <f t="shared" si="313"/>
        <v/>
      </c>
      <c r="BF109" s="303" t="str">
        <f t="shared" si="313"/>
        <v/>
      </c>
      <c r="BG109" s="303" t="str">
        <f t="shared" si="313"/>
        <v/>
      </c>
      <c r="BH109" s="303" t="str">
        <f t="shared" si="313"/>
        <v/>
      </c>
      <c r="BI109" s="303" t="str">
        <f t="shared" si="313"/>
        <v/>
      </c>
      <c r="BJ109" s="303" t="str">
        <f t="shared" si="313"/>
        <v/>
      </c>
      <c r="BK109" s="303" t="str">
        <f t="shared" si="313"/>
        <v/>
      </c>
      <c r="BL109" s="303" t="str">
        <f t="shared" si="313"/>
        <v/>
      </c>
      <c r="BM109" s="303" t="str">
        <f t="shared" si="313"/>
        <v/>
      </c>
      <c r="BN109" s="303" t="str">
        <f t="shared" ref="BN109:BZ109" si="314">IF(BN$2="-","",(IF(BN270="","",IF(BN$4&lt;$A109,BN270,(BN270-BN$3)/(1+BN$3%)))))</f>
        <v/>
      </c>
      <c r="BO109" s="303" t="str">
        <f t="shared" si="314"/>
        <v/>
      </c>
      <c r="BP109" s="303" t="str">
        <f t="shared" si="314"/>
        <v/>
      </c>
      <c r="BQ109" s="303" t="str">
        <f t="shared" si="314"/>
        <v/>
      </c>
      <c r="BR109" s="303" t="str">
        <f t="shared" si="314"/>
        <v/>
      </c>
      <c r="BS109" s="303" t="str">
        <f t="shared" si="314"/>
        <v/>
      </c>
      <c r="BT109" s="303" t="str">
        <f t="shared" si="314"/>
        <v/>
      </c>
      <c r="BU109" s="303" t="str">
        <f t="shared" si="314"/>
        <v/>
      </c>
      <c r="BV109" s="303" t="str">
        <f t="shared" si="314"/>
        <v/>
      </c>
      <c r="BW109" s="303" t="str">
        <f t="shared" si="314"/>
        <v/>
      </c>
      <c r="BX109" s="303">
        <f t="shared" si="314"/>
        <v>17.686350435624409</v>
      </c>
      <c r="BY109" s="303">
        <f t="shared" si="314"/>
        <v>3.2807637963542469</v>
      </c>
      <c r="BZ109" s="303">
        <f t="shared" si="314"/>
        <v>4.28</v>
      </c>
      <c r="CA109" s="303">
        <f t="shared" si="205"/>
        <v>3.4063260340632562</v>
      </c>
    </row>
    <row r="110" spans="1:79">
      <c r="A110" s="58">
        <f t="shared" si="299"/>
        <v>1973</v>
      </c>
      <c r="B110" s="303">
        <f t="shared" ref="B110:AG110" si="315">IF(B$2="-","",(IF(B271="","",IF(B$4&lt;$A110,B271,(B271-B$3)/(1+B$3%)))))</f>
        <v>-18.238993710691826</v>
      </c>
      <c r="C110" s="303">
        <f t="shared" si="315"/>
        <v>-4.2302703781303004</v>
      </c>
      <c r="D110" s="303">
        <f t="shared" si="315"/>
        <v>-14.844763901367674</v>
      </c>
      <c r="E110" s="303">
        <f t="shared" si="315"/>
        <v>-22.478299910206527</v>
      </c>
      <c r="F110" s="303">
        <f t="shared" si="315"/>
        <v>-26.66866207722239</v>
      </c>
      <c r="G110" s="303">
        <f t="shared" si="315"/>
        <v>-27.556619774518609</v>
      </c>
      <c r="H110" s="303">
        <f t="shared" si="315"/>
        <v>-33.07392996108949</v>
      </c>
      <c r="I110" s="303">
        <f t="shared" si="315"/>
        <v>-45.605108251022642</v>
      </c>
      <c r="J110" s="303">
        <f t="shared" si="315"/>
        <v>-42.151220480254018</v>
      </c>
      <c r="K110" s="303">
        <f t="shared" si="315"/>
        <v>-15.719130261320567</v>
      </c>
      <c r="L110" s="303">
        <f t="shared" si="315"/>
        <v>-14.976521130982118</v>
      </c>
      <c r="M110" s="303">
        <f t="shared" si="315"/>
        <v>-14.083524369580385</v>
      </c>
      <c r="N110" s="303">
        <f t="shared" si="315"/>
        <v>-14.922171223308721</v>
      </c>
      <c r="O110" s="303">
        <f t="shared" si="315"/>
        <v>-21.154997007779773</v>
      </c>
      <c r="P110" s="303">
        <f t="shared" si="315"/>
        <v>-7.9393576700578503</v>
      </c>
      <c r="Q110" s="303">
        <f t="shared" si="315"/>
        <v>-14.954201513341298</v>
      </c>
      <c r="R110" s="303">
        <f t="shared" si="315"/>
        <v>68.400000000000006</v>
      </c>
      <c r="S110" s="303">
        <f t="shared" si="315"/>
        <v>-0.97707459298491428</v>
      </c>
      <c r="T110" s="303">
        <f t="shared" si="315"/>
        <v>3.7388518936181594</v>
      </c>
      <c r="U110" s="303">
        <f t="shared" si="315"/>
        <v>3.1936127744510974</v>
      </c>
      <c r="V110" s="303">
        <f t="shared" si="315"/>
        <v>6.8038765111399755</v>
      </c>
      <c r="W110" s="303">
        <f t="shared" si="315"/>
        <v>-3.992015968063872</v>
      </c>
      <c r="X110" s="303">
        <f t="shared" si="315"/>
        <v>-11.83</v>
      </c>
      <c r="Y110" s="303">
        <f t="shared" si="315"/>
        <v>-3.49</v>
      </c>
      <c r="Z110" s="303">
        <f t="shared" si="315"/>
        <v>-25</v>
      </c>
      <c r="AA110" s="303">
        <f t="shared" si="315"/>
        <v>5.8882235528942113</v>
      </c>
      <c r="AB110" s="303">
        <f t="shared" si="315"/>
        <v>71.238124425375418</v>
      </c>
      <c r="AC110" s="303">
        <f t="shared" si="315"/>
        <v>-14.006057586928364</v>
      </c>
      <c r="AD110" s="303" t="str">
        <f t="shared" si="315"/>
        <v/>
      </c>
      <c r="AE110" s="303" t="str">
        <f t="shared" si="315"/>
        <v/>
      </c>
      <c r="AF110" s="303" t="str">
        <f t="shared" si="315"/>
        <v/>
      </c>
      <c r="AG110" s="303" t="str">
        <f t="shared" si="315"/>
        <v/>
      </c>
      <c r="AH110" s="303" t="str">
        <f t="shared" ref="AH110:BM110" si="316">IF(AH$2="-","",(IF(AH271="","",IF(AH$4&lt;$A110,AH271,(AH271-AH$3)/(1+AH$3%)))))</f>
        <v/>
      </c>
      <c r="AI110" s="303" t="str">
        <f t="shared" si="316"/>
        <v/>
      </c>
      <c r="AJ110" s="303" t="str">
        <f t="shared" si="316"/>
        <v/>
      </c>
      <c r="AK110" s="303" t="str">
        <f t="shared" si="316"/>
        <v/>
      </c>
      <c r="AL110" s="303" t="str">
        <f t="shared" si="316"/>
        <v/>
      </c>
      <c r="AM110" s="303" t="str">
        <f t="shared" si="316"/>
        <v/>
      </c>
      <c r="AN110" s="303" t="str">
        <f t="shared" si="316"/>
        <v/>
      </c>
      <c r="AO110" s="303" t="str">
        <f t="shared" si="316"/>
        <v/>
      </c>
      <c r="AP110" s="303" t="str">
        <f t="shared" si="316"/>
        <v/>
      </c>
      <c r="AQ110" s="303" t="str">
        <f t="shared" si="316"/>
        <v/>
      </c>
      <c r="AR110" s="303" t="str">
        <f t="shared" si="316"/>
        <v/>
      </c>
      <c r="AS110" s="303" t="str">
        <f t="shared" si="316"/>
        <v/>
      </c>
      <c r="AT110" s="303" t="str">
        <f t="shared" si="316"/>
        <v/>
      </c>
      <c r="AU110" s="303" t="str">
        <f t="shared" si="316"/>
        <v/>
      </c>
      <c r="AV110" s="303" t="str">
        <f t="shared" si="316"/>
        <v/>
      </c>
      <c r="AW110" s="303" t="str">
        <f t="shared" si="316"/>
        <v/>
      </c>
      <c r="AX110" s="303" t="str">
        <f t="shared" si="316"/>
        <v/>
      </c>
      <c r="AY110" s="303" t="str">
        <f t="shared" si="316"/>
        <v/>
      </c>
      <c r="AZ110" s="303" t="str">
        <f t="shared" si="316"/>
        <v/>
      </c>
      <c r="BA110" s="303" t="str">
        <f t="shared" si="316"/>
        <v/>
      </c>
      <c r="BB110" s="303" t="str">
        <f t="shared" si="316"/>
        <v/>
      </c>
      <c r="BC110" s="303" t="str">
        <f t="shared" si="316"/>
        <v/>
      </c>
      <c r="BD110" s="303" t="str">
        <f t="shared" si="316"/>
        <v/>
      </c>
      <c r="BE110" s="303" t="str">
        <f t="shared" si="316"/>
        <v/>
      </c>
      <c r="BF110" s="303" t="str">
        <f t="shared" si="316"/>
        <v/>
      </c>
      <c r="BG110" s="303" t="str">
        <f t="shared" si="316"/>
        <v/>
      </c>
      <c r="BH110" s="303" t="str">
        <f t="shared" si="316"/>
        <v/>
      </c>
      <c r="BI110" s="303" t="str">
        <f t="shared" si="316"/>
        <v/>
      </c>
      <c r="BJ110" s="303" t="str">
        <f t="shared" si="316"/>
        <v/>
      </c>
      <c r="BK110" s="303" t="str">
        <f t="shared" si="316"/>
        <v/>
      </c>
      <c r="BL110" s="303" t="str">
        <f t="shared" si="316"/>
        <v/>
      </c>
      <c r="BM110" s="303" t="str">
        <f t="shared" si="316"/>
        <v/>
      </c>
      <c r="BN110" s="303" t="str">
        <f t="shared" ref="BN110:BZ110" si="317">IF(BN$2="-","",(IF(BN271="","",IF(BN$4&lt;$A110,BN271,(BN271-BN$3)/(1+BN$3%)))))</f>
        <v/>
      </c>
      <c r="BO110" s="303" t="str">
        <f t="shared" si="317"/>
        <v/>
      </c>
      <c r="BP110" s="303" t="str">
        <f t="shared" si="317"/>
        <v/>
      </c>
      <c r="BQ110" s="303" t="str">
        <f t="shared" si="317"/>
        <v/>
      </c>
      <c r="BR110" s="303" t="str">
        <f t="shared" si="317"/>
        <v/>
      </c>
      <c r="BS110" s="303" t="str">
        <f t="shared" si="317"/>
        <v/>
      </c>
      <c r="BT110" s="303" t="str">
        <f t="shared" si="317"/>
        <v/>
      </c>
      <c r="BU110" s="303" t="str">
        <f t="shared" si="317"/>
        <v/>
      </c>
      <c r="BV110" s="303" t="str">
        <f t="shared" si="317"/>
        <v/>
      </c>
      <c r="BW110" s="303" t="str">
        <f t="shared" si="317"/>
        <v/>
      </c>
      <c r="BX110" s="303">
        <f t="shared" si="317"/>
        <v>-15.985475426448236</v>
      </c>
      <c r="BY110" s="303">
        <f t="shared" si="317"/>
        <v>3.9463295974053958</v>
      </c>
      <c r="BZ110" s="303">
        <f t="shared" si="317"/>
        <v>5.89</v>
      </c>
      <c r="CA110" s="303">
        <f t="shared" si="205"/>
        <v>8.7058823529411846</v>
      </c>
    </row>
    <row r="111" spans="1:79">
      <c r="A111" s="58">
        <f t="shared" si="299"/>
        <v>1974</v>
      </c>
      <c r="B111" s="303">
        <f t="shared" ref="B111:AG111" si="318">IF(B$2="-","",(IF(B272="","",IF(B$4&lt;$A111,B272,(B272-B$3)/(1+B$3%)))))</f>
        <v>-27.323549965059399</v>
      </c>
      <c r="C111" s="303">
        <f t="shared" si="318"/>
        <v>-23.39618876583857</v>
      </c>
      <c r="D111" s="303">
        <f t="shared" si="318"/>
        <v>-26.624737945492662</v>
      </c>
      <c r="E111" s="303">
        <f t="shared" si="318"/>
        <v>-29.362466327446874</v>
      </c>
      <c r="F111" s="303">
        <f t="shared" si="318"/>
        <v>-25.371645216003195</v>
      </c>
      <c r="G111" s="303">
        <f t="shared" si="318"/>
        <v>-18.726928065449467</v>
      </c>
      <c r="H111" s="303">
        <f t="shared" si="318"/>
        <v>-26.1398782799561</v>
      </c>
      <c r="I111" s="303">
        <f t="shared" si="318"/>
        <v>-32.754664272173997</v>
      </c>
      <c r="J111" s="303">
        <f t="shared" si="318"/>
        <v>-29.450287755507045</v>
      </c>
      <c r="K111" s="303">
        <f t="shared" si="318"/>
        <v>-21.603830041891086</v>
      </c>
      <c r="L111" s="303">
        <f t="shared" si="318"/>
        <v>-23.269057847936857</v>
      </c>
      <c r="M111" s="303">
        <f t="shared" si="318"/>
        <v>-25.545699192664205</v>
      </c>
      <c r="N111" s="303">
        <f t="shared" si="318"/>
        <v>-23.682897625224506</v>
      </c>
      <c r="O111" s="303">
        <f t="shared" si="318"/>
        <v>-21.14502294035508</v>
      </c>
      <c r="P111" s="303">
        <f t="shared" si="318"/>
        <v>-23.000199481348499</v>
      </c>
      <c r="Q111" s="303">
        <f t="shared" si="318"/>
        <v>-22.869374751095183</v>
      </c>
      <c r="R111" s="303">
        <f t="shared" si="318"/>
        <v>4.0999999999999996</v>
      </c>
      <c r="S111" s="303">
        <f t="shared" si="318"/>
        <v>2.864031736294812</v>
      </c>
      <c r="T111" s="303">
        <f t="shared" si="318"/>
        <v>4.8385265561246955</v>
      </c>
      <c r="U111" s="303">
        <f t="shared" si="318"/>
        <v>6.7864271457085827</v>
      </c>
      <c r="V111" s="303">
        <f t="shared" si="318"/>
        <v>7.9028874013387957</v>
      </c>
      <c r="W111" s="303">
        <f t="shared" si="318"/>
        <v>4.9900199600798407</v>
      </c>
      <c r="X111" s="303">
        <f t="shared" si="318"/>
        <v>-17.73</v>
      </c>
      <c r="Y111" s="303">
        <f t="shared" si="318"/>
        <v>-6.43</v>
      </c>
      <c r="Z111" s="303">
        <f t="shared" si="318"/>
        <v>-16.8</v>
      </c>
      <c r="AA111" s="303">
        <f t="shared" si="318"/>
        <v>8.8822355289421164</v>
      </c>
      <c r="AB111" s="303">
        <f t="shared" si="318"/>
        <v>72.018859684305269</v>
      </c>
      <c r="AC111" s="303">
        <f t="shared" si="318"/>
        <v>-28.892706984158611</v>
      </c>
      <c r="AD111" s="303" t="str">
        <f t="shared" si="318"/>
        <v/>
      </c>
      <c r="AE111" s="303" t="str">
        <f t="shared" si="318"/>
        <v/>
      </c>
      <c r="AF111" s="303" t="str">
        <f t="shared" si="318"/>
        <v/>
      </c>
      <c r="AG111" s="303" t="str">
        <f t="shared" si="318"/>
        <v/>
      </c>
      <c r="AH111" s="303" t="str">
        <f t="shared" ref="AH111:BM111" si="319">IF(AH$2="-","",(IF(AH272="","",IF(AH$4&lt;$A111,AH272,(AH272-AH$3)/(1+AH$3%)))))</f>
        <v/>
      </c>
      <c r="AI111" s="303" t="str">
        <f t="shared" si="319"/>
        <v/>
      </c>
      <c r="AJ111" s="303" t="str">
        <f t="shared" si="319"/>
        <v/>
      </c>
      <c r="AK111" s="303" t="str">
        <f t="shared" si="319"/>
        <v/>
      </c>
      <c r="AL111" s="303" t="str">
        <f t="shared" si="319"/>
        <v/>
      </c>
      <c r="AM111" s="303" t="str">
        <f t="shared" si="319"/>
        <v/>
      </c>
      <c r="AN111" s="303" t="str">
        <f t="shared" si="319"/>
        <v/>
      </c>
      <c r="AO111" s="303" t="str">
        <f t="shared" si="319"/>
        <v/>
      </c>
      <c r="AP111" s="303" t="str">
        <f t="shared" si="319"/>
        <v/>
      </c>
      <c r="AQ111" s="303" t="str">
        <f t="shared" si="319"/>
        <v/>
      </c>
      <c r="AR111" s="303" t="str">
        <f t="shared" si="319"/>
        <v/>
      </c>
      <c r="AS111" s="303" t="str">
        <f t="shared" si="319"/>
        <v/>
      </c>
      <c r="AT111" s="303" t="str">
        <f t="shared" si="319"/>
        <v/>
      </c>
      <c r="AU111" s="303" t="str">
        <f t="shared" si="319"/>
        <v/>
      </c>
      <c r="AV111" s="303" t="str">
        <f t="shared" si="319"/>
        <v/>
      </c>
      <c r="AW111" s="303" t="str">
        <f t="shared" si="319"/>
        <v/>
      </c>
      <c r="AX111" s="303" t="str">
        <f t="shared" si="319"/>
        <v/>
      </c>
      <c r="AY111" s="303" t="str">
        <f t="shared" si="319"/>
        <v/>
      </c>
      <c r="AZ111" s="303" t="str">
        <f t="shared" si="319"/>
        <v/>
      </c>
      <c r="BA111" s="303" t="str">
        <f t="shared" si="319"/>
        <v/>
      </c>
      <c r="BB111" s="303" t="str">
        <f t="shared" si="319"/>
        <v/>
      </c>
      <c r="BC111" s="303" t="str">
        <f t="shared" si="319"/>
        <v/>
      </c>
      <c r="BD111" s="303" t="str">
        <f t="shared" si="319"/>
        <v/>
      </c>
      <c r="BE111" s="303" t="str">
        <f t="shared" si="319"/>
        <v/>
      </c>
      <c r="BF111" s="303" t="str">
        <f t="shared" si="319"/>
        <v/>
      </c>
      <c r="BG111" s="303" t="str">
        <f t="shared" si="319"/>
        <v/>
      </c>
      <c r="BH111" s="303" t="str">
        <f t="shared" si="319"/>
        <v/>
      </c>
      <c r="BI111" s="303" t="str">
        <f t="shared" si="319"/>
        <v/>
      </c>
      <c r="BJ111" s="303" t="str">
        <f t="shared" si="319"/>
        <v/>
      </c>
      <c r="BK111" s="303" t="str">
        <f t="shared" si="319"/>
        <v/>
      </c>
      <c r="BL111" s="303" t="str">
        <f t="shared" si="319"/>
        <v/>
      </c>
      <c r="BM111" s="303" t="str">
        <f t="shared" si="319"/>
        <v/>
      </c>
      <c r="BN111" s="303" t="str">
        <f t="shared" ref="BN111:BZ111" si="320">IF(BN$2="-","",(IF(BN272="","",IF(BN$4&lt;$A111,BN272,(BN272-BN$3)/(1+BN$3%)))))</f>
        <v/>
      </c>
      <c r="BO111" s="303" t="str">
        <f t="shared" si="320"/>
        <v/>
      </c>
      <c r="BP111" s="303" t="str">
        <f t="shared" si="320"/>
        <v/>
      </c>
      <c r="BQ111" s="303" t="str">
        <f t="shared" si="320"/>
        <v/>
      </c>
      <c r="BR111" s="303" t="str">
        <f t="shared" si="320"/>
        <v/>
      </c>
      <c r="BS111" s="303" t="str">
        <f t="shared" si="320"/>
        <v/>
      </c>
      <c r="BT111" s="303" t="str">
        <f t="shared" si="320"/>
        <v/>
      </c>
      <c r="BU111" s="303" t="str">
        <f t="shared" si="320"/>
        <v/>
      </c>
      <c r="BV111" s="303" t="str">
        <f t="shared" si="320"/>
        <v/>
      </c>
      <c r="BW111" s="303" t="str">
        <f t="shared" si="320"/>
        <v/>
      </c>
      <c r="BX111" s="303">
        <f t="shared" si="320"/>
        <v>-20.75746540422433</v>
      </c>
      <c r="BY111" s="303">
        <f t="shared" si="320"/>
        <v>5.0482036092369453</v>
      </c>
      <c r="BZ111" s="303">
        <f t="shared" si="320"/>
        <v>7.42</v>
      </c>
      <c r="CA111" s="303">
        <f t="shared" si="205"/>
        <v>12.337662337662337</v>
      </c>
    </row>
    <row r="112" spans="1:79">
      <c r="A112" s="58">
        <f t="shared" si="299"/>
        <v>1975</v>
      </c>
      <c r="B112" s="303">
        <f t="shared" ref="B112:AG112" si="321">IF(B$2="-","",(IF(B273="","",IF(B$4&lt;$A112,B273,(B273-B$3)/(1+B$3%)))))</f>
        <v>38.464610162723368</v>
      </c>
      <c r="C112" s="303">
        <f t="shared" si="321"/>
        <v>55.143170707373045</v>
      </c>
      <c r="D112" s="303">
        <f t="shared" si="321"/>
        <v>36.967155835080362</v>
      </c>
      <c r="E112" s="303">
        <f t="shared" si="321"/>
        <v>33.902025341714065</v>
      </c>
      <c r="F112" s="303">
        <f t="shared" si="321"/>
        <v>57.038810735308793</v>
      </c>
      <c r="G112" s="303">
        <f t="shared" si="321"/>
        <v>57.926768432605016</v>
      </c>
      <c r="H112" s="303">
        <f t="shared" si="321"/>
        <v>57.597525690910913</v>
      </c>
      <c r="I112" s="303">
        <f t="shared" si="321"/>
        <v>61.408759852339628</v>
      </c>
      <c r="J112" s="303">
        <f t="shared" si="321"/>
        <v>71.065687636435797</v>
      </c>
      <c r="K112" s="303">
        <f t="shared" si="321"/>
        <v>18.990624376620787</v>
      </c>
      <c r="L112" s="303">
        <f t="shared" si="321"/>
        <v>35.278249575382155</v>
      </c>
      <c r="M112" s="303">
        <f t="shared" si="321"/>
        <v>43.725705172929331</v>
      </c>
      <c r="N112" s="303">
        <f t="shared" si="321"/>
        <v>36.419876272201158</v>
      </c>
      <c r="O112" s="303">
        <f t="shared" si="321"/>
        <v>26.391382405745063</v>
      </c>
      <c r="P112" s="303">
        <f t="shared" si="321"/>
        <v>43.526830241372437</v>
      </c>
      <c r="Q112" s="303">
        <f t="shared" si="321"/>
        <v>38.381123058542421</v>
      </c>
      <c r="R112" s="303">
        <f t="shared" si="321"/>
        <v>5.1100000000000003</v>
      </c>
      <c r="S112" s="303">
        <f t="shared" si="321"/>
        <v>6.2831606106026916</v>
      </c>
      <c r="T112" s="303">
        <f t="shared" si="321"/>
        <v>6.9982801163783721</v>
      </c>
      <c r="U112" s="303">
        <f t="shared" si="321"/>
        <v>8.0838323353293422</v>
      </c>
      <c r="V112" s="303">
        <f t="shared" si="321"/>
        <v>5.7048656209411535</v>
      </c>
      <c r="W112" s="303">
        <f t="shared" si="321"/>
        <v>16.167664670658681</v>
      </c>
      <c r="X112" s="303">
        <f t="shared" si="321"/>
        <v>25.18</v>
      </c>
      <c r="Y112" s="303">
        <f t="shared" si="321"/>
        <v>17.46</v>
      </c>
      <c r="Z112" s="303">
        <f t="shared" si="321"/>
        <v>54.5</v>
      </c>
      <c r="AA112" s="303">
        <f t="shared" si="321"/>
        <v>7.6846307385229542</v>
      </c>
      <c r="AB112" s="303">
        <f t="shared" si="321"/>
        <v>-27.621121730693805</v>
      </c>
      <c r="AC112" s="303">
        <f t="shared" si="321"/>
        <v>49.30756202052406</v>
      </c>
      <c r="AD112" s="303" t="str">
        <f t="shared" si="321"/>
        <v/>
      </c>
      <c r="AE112" s="303" t="str">
        <f t="shared" si="321"/>
        <v/>
      </c>
      <c r="AF112" s="303" t="str">
        <f t="shared" si="321"/>
        <v/>
      </c>
      <c r="AG112" s="303" t="str">
        <f t="shared" si="321"/>
        <v/>
      </c>
      <c r="AH112" s="303" t="str">
        <f t="shared" ref="AH112:BM112" si="322">IF(AH$2="-","",(IF(AH273="","",IF(AH$4&lt;$A112,AH273,(AH273-AH$3)/(1+AH$3%)))))</f>
        <v/>
      </c>
      <c r="AI112" s="303" t="str">
        <f t="shared" si="322"/>
        <v/>
      </c>
      <c r="AJ112" s="303" t="str">
        <f t="shared" si="322"/>
        <v/>
      </c>
      <c r="AK112" s="303" t="str">
        <f t="shared" si="322"/>
        <v/>
      </c>
      <c r="AL112" s="303" t="str">
        <f t="shared" si="322"/>
        <v/>
      </c>
      <c r="AM112" s="303" t="str">
        <f t="shared" si="322"/>
        <v/>
      </c>
      <c r="AN112" s="303" t="str">
        <f t="shared" si="322"/>
        <v/>
      </c>
      <c r="AO112" s="303" t="str">
        <f t="shared" si="322"/>
        <v/>
      </c>
      <c r="AP112" s="303" t="str">
        <f t="shared" si="322"/>
        <v/>
      </c>
      <c r="AQ112" s="303" t="str">
        <f t="shared" si="322"/>
        <v/>
      </c>
      <c r="AR112" s="303" t="str">
        <f t="shared" si="322"/>
        <v/>
      </c>
      <c r="AS112" s="303" t="str">
        <f t="shared" si="322"/>
        <v/>
      </c>
      <c r="AT112" s="303" t="str">
        <f t="shared" si="322"/>
        <v/>
      </c>
      <c r="AU112" s="303" t="str">
        <f t="shared" si="322"/>
        <v/>
      </c>
      <c r="AV112" s="303" t="str">
        <f t="shared" si="322"/>
        <v/>
      </c>
      <c r="AW112" s="303" t="str">
        <f t="shared" si="322"/>
        <v/>
      </c>
      <c r="AX112" s="303" t="str">
        <f t="shared" si="322"/>
        <v/>
      </c>
      <c r="AY112" s="303" t="str">
        <f t="shared" si="322"/>
        <v/>
      </c>
      <c r="AZ112" s="303" t="str">
        <f t="shared" si="322"/>
        <v/>
      </c>
      <c r="BA112" s="303" t="str">
        <f t="shared" si="322"/>
        <v/>
      </c>
      <c r="BB112" s="303" t="str">
        <f t="shared" si="322"/>
        <v/>
      </c>
      <c r="BC112" s="303" t="str">
        <f t="shared" si="322"/>
        <v/>
      </c>
      <c r="BD112" s="303" t="str">
        <f t="shared" si="322"/>
        <v/>
      </c>
      <c r="BE112" s="303" t="str">
        <f t="shared" si="322"/>
        <v/>
      </c>
      <c r="BF112" s="303" t="str">
        <f t="shared" si="322"/>
        <v/>
      </c>
      <c r="BG112" s="303" t="str">
        <f t="shared" si="322"/>
        <v/>
      </c>
      <c r="BH112" s="303" t="str">
        <f t="shared" si="322"/>
        <v/>
      </c>
      <c r="BI112" s="303" t="str">
        <f t="shared" si="322"/>
        <v/>
      </c>
      <c r="BJ112" s="303" t="str">
        <f t="shared" si="322"/>
        <v/>
      </c>
      <c r="BK112" s="303" t="str">
        <f t="shared" si="322"/>
        <v/>
      </c>
      <c r="BL112" s="303" t="str">
        <f t="shared" si="322"/>
        <v/>
      </c>
      <c r="BM112" s="303" t="str">
        <f t="shared" si="322"/>
        <v/>
      </c>
      <c r="BN112" s="303" t="str">
        <f t="shared" ref="BN112:BZ112" si="323">IF(BN$2="-","",(IF(BN273="","",IF(BN$4&lt;$A112,BN273,(BN273-BN$3)/(1+BN$3%)))))</f>
        <v/>
      </c>
      <c r="BO112" s="303" t="str">
        <f t="shared" si="323"/>
        <v/>
      </c>
      <c r="BP112" s="303" t="str">
        <f t="shared" si="323"/>
        <v/>
      </c>
      <c r="BQ112" s="303" t="str">
        <f t="shared" si="323"/>
        <v/>
      </c>
      <c r="BR112" s="303" t="str">
        <f t="shared" si="323"/>
        <v/>
      </c>
      <c r="BS112" s="303" t="str">
        <f t="shared" si="323"/>
        <v/>
      </c>
      <c r="BT112" s="303" t="str">
        <f t="shared" si="323"/>
        <v/>
      </c>
      <c r="BU112" s="303" t="str">
        <f t="shared" si="323"/>
        <v/>
      </c>
      <c r="BV112" s="303" t="str">
        <f t="shared" si="323"/>
        <v/>
      </c>
      <c r="BW112" s="303" t="str">
        <f t="shared" si="323"/>
        <v/>
      </c>
      <c r="BX112" s="303">
        <f t="shared" si="323"/>
        <v>38.561190738699011</v>
      </c>
      <c r="BY112" s="303">
        <f t="shared" si="323"/>
        <v>7.212276676611129</v>
      </c>
      <c r="BZ112" s="303">
        <f t="shared" si="323"/>
        <v>6.83</v>
      </c>
      <c r="CA112" s="303">
        <f t="shared" si="205"/>
        <v>6.9364161849710948</v>
      </c>
    </row>
    <row r="113" spans="1:79">
      <c r="A113" s="58">
        <f t="shared" si="299"/>
        <v>1976</v>
      </c>
      <c r="B113" s="303">
        <f t="shared" ref="B113:AG113" si="324">IF(B$2="-","",(IF(B274="","",IF(B$4&lt;$A113,B274,(B274-B$3)/(1+B$3%)))))</f>
        <v>26.484975541579313</v>
      </c>
      <c r="C113" s="303">
        <f t="shared" si="324"/>
        <v>44.148458545345704</v>
      </c>
      <c r="D113" s="303">
        <f t="shared" si="324"/>
        <v>23.689727463312366</v>
      </c>
      <c r="E113" s="303">
        <f t="shared" si="324"/>
        <v>17.030829093085902</v>
      </c>
      <c r="F113" s="303">
        <f t="shared" si="324"/>
        <v>40.077821011673151</v>
      </c>
      <c r="G113" s="303">
        <f t="shared" si="324"/>
        <v>60.251421730020951</v>
      </c>
      <c r="H113" s="303">
        <f t="shared" si="324"/>
        <v>46.981941534470721</v>
      </c>
      <c r="I113" s="303">
        <f t="shared" si="324"/>
        <v>38.012571086501048</v>
      </c>
      <c r="J113" s="303">
        <f t="shared" si="324"/>
        <v>54.494939472117487</v>
      </c>
      <c r="K113" s="303">
        <f t="shared" si="324"/>
        <v>47.217235188509882</v>
      </c>
      <c r="L113" s="303">
        <f t="shared" si="324"/>
        <v>2.40783295034469</v>
      </c>
      <c r="M113" s="303">
        <f t="shared" si="324"/>
        <v>6.9470746536429777</v>
      </c>
      <c r="N113" s="303">
        <f t="shared" si="324"/>
        <v>2.9934144881261222</v>
      </c>
      <c r="O113" s="303">
        <f t="shared" si="324"/>
        <v>21.324556153999602</v>
      </c>
      <c r="P113" s="303">
        <f t="shared" si="324"/>
        <v>-6.642728904847397</v>
      </c>
      <c r="Q113" s="303">
        <f t="shared" si="324"/>
        <v>2.8773397052966949</v>
      </c>
      <c r="R113" s="303">
        <f t="shared" si="324"/>
        <v>-5.55</v>
      </c>
      <c r="S113" s="303">
        <f t="shared" si="324"/>
        <v>13.645072104891241</v>
      </c>
      <c r="T113" s="303">
        <f t="shared" si="324"/>
        <v>10.771135165825145</v>
      </c>
      <c r="U113" s="303">
        <f t="shared" si="324"/>
        <v>11.477045908183634</v>
      </c>
      <c r="V113" s="303">
        <f t="shared" si="324"/>
        <v>5.0054950544509946</v>
      </c>
      <c r="W113" s="303">
        <f t="shared" si="324"/>
        <v>-0.29940119760479045</v>
      </c>
      <c r="X113" s="303">
        <f t="shared" si="324"/>
        <v>23.36</v>
      </c>
      <c r="Y113" s="303">
        <f t="shared" si="324"/>
        <v>23.28</v>
      </c>
      <c r="Z113" s="303">
        <f t="shared" si="324"/>
        <v>46.4</v>
      </c>
      <c r="AA113" s="303">
        <f t="shared" si="324"/>
        <v>8.6826347305389238</v>
      </c>
      <c r="AB113" s="303">
        <f t="shared" si="324"/>
        <v>-4.4818941701997712</v>
      </c>
      <c r="AC113" s="303">
        <f t="shared" si="324"/>
        <v>11.049118262429014</v>
      </c>
      <c r="AD113" s="303" t="str">
        <f t="shared" si="324"/>
        <v/>
      </c>
      <c r="AE113" s="303" t="str">
        <f t="shared" si="324"/>
        <v/>
      </c>
      <c r="AF113" s="303" t="str">
        <f t="shared" si="324"/>
        <v/>
      </c>
      <c r="AG113" s="303" t="str">
        <f t="shared" si="324"/>
        <v/>
      </c>
      <c r="AH113" s="303" t="str">
        <f t="shared" ref="AH113:BM113" si="325">IF(AH$2="-","",(IF(AH274="","",IF(AH$4&lt;$A113,AH274,(AH274-AH$3)/(1+AH$3%)))))</f>
        <v/>
      </c>
      <c r="AI113" s="303" t="str">
        <f t="shared" si="325"/>
        <v/>
      </c>
      <c r="AJ113" s="303" t="str">
        <f t="shared" si="325"/>
        <v/>
      </c>
      <c r="AK113" s="303" t="str">
        <f t="shared" si="325"/>
        <v/>
      </c>
      <c r="AL113" s="303" t="str">
        <f t="shared" si="325"/>
        <v/>
      </c>
      <c r="AM113" s="303" t="str">
        <f t="shared" si="325"/>
        <v/>
      </c>
      <c r="AN113" s="303" t="str">
        <f t="shared" si="325"/>
        <v/>
      </c>
      <c r="AO113" s="303" t="str">
        <f t="shared" si="325"/>
        <v/>
      </c>
      <c r="AP113" s="303" t="str">
        <f t="shared" si="325"/>
        <v/>
      </c>
      <c r="AQ113" s="303" t="str">
        <f t="shared" si="325"/>
        <v/>
      </c>
      <c r="AR113" s="303" t="str">
        <f t="shared" si="325"/>
        <v/>
      </c>
      <c r="AS113" s="303" t="str">
        <f t="shared" si="325"/>
        <v/>
      </c>
      <c r="AT113" s="303" t="str">
        <f t="shared" si="325"/>
        <v/>
      </c>
      <c r="AU113" s="303" t="str">
        <f t="shared" si="325"/>
        <v/>
      </c>
      <c r="AV113" s="303" t="str">
        <f t="shared" si="325"/>
        <v/>
      </c>
      <c r="AW113" s="303" t="str">
        <f t="shared" si="325"/>
        <v/>
      </c>
      <c r="AX113" s="303" t="str">
        <f t="shared" si="325"/>
        <v/>
      </c>
      <c r="AY113" s="303" t="str">
        <f t="shared" si="325"/>
        <v/>
      </c>
      <c r="AZ113" s="303" t="str">
        <f t="shared" si="325"/>
        <v/>
      </c>
      <c r="BA113" s="303" t="str">
        <f t="shared" si="325"/>
        <v/>
      </c>
      <c r="BB113" s="303" t="str">
        <f t="shared" si="325"/>
        <v/>
      </c>
      <c r="BC113" s="303" t="str">
        <f t="shared" si="325"/>
        <v/>
      </c>
      <c r="BD113" s="303" t="str">
        <f t="shared" si="325"/>
        <v/>
      </c>
      <c r="BE113" s="303" t="str">
        <f t="shared" si="325"/>
        <v/>
      </c>
      <c r="BF113" s="303" t="str">
        <f t="shared" si="325"/>
        <v/>
      </c>
      <c r="BG113" s="303" t="str">
        <f t="shared" si="325"/>
        <v/>
      </c>
      <c r="BH113" s="303" t="str">
        <f t="shared" si="325"/>
        <v/>
      </c>
      <c r="BI113" s="303" t="str">
        <f t="shared" si="325"/>
        <v/>
      </c>
      <c r="BJ113" s="303" t="str">
        <f t="shared" si="325"/>
        <v/>
      </c>
      <c r="BK113" s="303" t="str">
        <f t="shared" si="325"/>
        <v/>
      </c>
      <c r="BL113" s="303" t="str">
        <f t="shared" si="325"/>
        <v/>
      </c>
      <c r="BM113" s="303" t="str">
        <f t="shared" si="325"/>
        <v/>
      </c>
      <c r="BN113" s="303" t="str">
        <f t="shared" ref="BN113:BZ113" si="326">IF(BN$2="-","",(IF(BN274="","",IF(BN$4&lt;$A113,BN274,(BN274-BN$3)/(1+BN$3%)))))</f>
        <v/>
      </c>
      <c r="BO113" s="303" t="str">
        <f t="shared" si="326"/>
        <v/>
      </c>
      <c r="BP113" s="303" t="str">
        <f t="shared" si="326"/>
        <v/>
      </c>
      <c r="BQ113" s="303" t="str">
        <f t="shared" si="326"/>
        <v/>
      </c>
      <c r="BR113" s="303" t="str">
        <f t="shared" si="326"/>
        <v/>
      </c>
      <c r="BS113" s="303" t="str">
        <f t="shared" si="326"/>
        <v/>
      </c>
      <c r="BT113" s="303" t="str">
        <f t="shared" si="326"/>
        <v/>
      </c>
      <c r="BU113" s="303" t="str">
        <f t="shared" si="326"/>
        <v/>
      </c>
      <c r="BV113" s="303" t="str">
        <f t="shared" si="326"/>
        <v/>
      </c>
      <c r="BW113" s="303" t="str">
        <f t="shared" si="326"/>
        <v/>
      </c>
      <c r="BX113" s="303">
        <f t="shared" si="326"/>
        <v>11.356597150526525</v>
      </c>
      <c r="BY113" s="303">
        <f t="shared" si="326"/>
        <v>10.992677436156795</v>
      </c>
      <c r="BZ113" s="303">
        <f t="shared" si="326"/>
        <v>5.81</v>
      </c>
      <c r="CA113" s="303">
        <f t="shared" si="205"/>
        <v>4.8648648648648596</v>
      </c>
    </row>
    <row r="114" spans="1:79">
      <c r="A114" s="58">
        <f t="shared" si="299"/>
        <v>1977</v>
      </c>
      <c r="B114" s="303">
        <f t="shared" ref="B114:AG114" si="327">IF(B$2="-","",(IF(B275="","",IF(B$4&lt;$A114,B275,(B275-B$3)/(1+B$3%)))))</f>
        <v>-4.3625836078666271</v>
      </c>
      <c r="C114" s="303">
        <f t="shared" si="327"/>
        <v>1.1174299112042305</v>
      </c>
      <c r="D114" s="303">
        <f t="shared" si="327"/>
        <v>-7.9564739942098424</v>
      </c>
      <c r="E114" s="303">
        <f t="shared" si="327"/>
        <v>-9.3484984535568199</v>
      </c>
      <c r="F114" s="303">
        <f t="shared" si="327"/>
        <v>3.7613488975356679</v>
      </c>
      <c r="G114" s="303">
        <f t="shared" si="327"/>
        <v>22.91729023246533</v>
      </c>
      <c r="H114" s="303">
        <f t="shared" si="327"/>
        <v>17.908809737603512</v>
      </c>
      <c r="I114" s="303">
        <f t="shared" si="327"/>
        <v>18.477501745984238</v>
      </c>
      <c r="J114" s="303">
        <f t="shared" si="327"/>
        <v>22.24647747568962</v>
      </c>
      <c r="K114" s="303">
        <f t="shared" si="327"/>
        <v>22.082585278276479</v>
      </c>
      <c r="L114" s="303">
        <f t="shared" si="327"/>
        <v>17.99380557498252</v>
      </c>
      <c r="M114" s="303">
        <f t="shared" si="327"/>
        <v>50.104654639689024</v>
      </c>
      <c r="N114" s="303">
        <f t="shared" si="327"/>
        <v>22.705048892436643</v>
      </c>
      <c r="O114" s="303">
        <f t="shared" si="327"/>
        <v>13.395172551366448</v>
      </c>
      <c r="P114" s="303">
        <f t="shared" si="327"/>
        <v>23.578695391980848</v>
      </c>
      <c r="Q114" s="303">
        <f t="shared" si="327"/>
        <v>29.420549581839904</v>
      </c>
      <c r="R114" s="303">
        <f t="shared" si="327"/>
        <v>3.05</v>
      </c>
      <c r="S114" s="303">
        <f t="shared" si="327"/>
        <v>0.63628730833342284</v>
      </c>
      <c r="T114" s="303">
        <f t="shared" si="327"/>
        <v>2.8351778036121869</v>
      </c>
      <c r="U114" s="303">
        <f t="shared" si="327"/>
        <v>2.7944111776447103</v>
      </c>
      <c r="V114" s="303">
        <f t="shared" si="327"/>
        <v>5.0054950544509946</v>
      </c>
      <c r="W114" s="303">
        <f t="shared" si="327"/>
        <v>7.7844311377245505</v>
      </c>
      <c r="X114" s="303">
        <f t="shared" si="327"/>
        <v>-4.38</v>
      </c>
      <c r="Y114" s="303">
        <f t="shared" si="327"/>
        <v>4.2699999999999996</v>
      </c>
      <c r="Z114" s="303">
        <f t="shared" si="327"/>
        <v>1</v>
      </c>
      <c r="AA114" s="303">
        <f t="shared" si="327"/>
        <v>3.4930139720558881</v>
      </c>
      <c r="AB114" s="303">
        <f t="shared" si="327"/>
        <v>22.150801996475057</v>
      </c>
      <c r="AC114" s="303">
        <f t="shared" si="327"/>
        <v>73.438278370030872</v>
      </c>
      <c r="AD114" s="303" t="str">
        <f t="shared" si="327"/>
        <v/>
      </c>
      <c r="AE114" s="303" t="str">
        <f t="shared" si="327"/>
        <v/>
      </c>
      <c r="AF114" s="303" t="str">
        <f t="shared" si="327"/>
        <v/>
      </c>
      <c r="AG114" s="303" t="str">
        <f t="shared" si="327"/>
        <v/>
      </c>
      <c r="AH114" s="303" t="str">
        <f t="shared" ref="AH114:BM114" si="328">IF(AH$2="-","",(IF(AH275="","",IF(AH$4&lt;$A114,AH275,(AH275-AH$3)/(1+AH$3%)))))</f>
        <v/>
      </c>
      <c r="AI114" s="303" t="str">
        <f t="shared" si="328"/>
        <v/>
      </c>
      <c r="AJ114" s="303" t="str">
        <f t="shared" si="328"/>
        <v/>
      </c>
      <c r="AK114" s="303" t="str">
        <f t="shared" si="328"/>
        <v/>
      </c>
      <c r="AL114" s="303" t="str">
        <f t="shared" si="328"/>
        <v/>
      </c>
      <c r="AM114" s="303" t="str">
        <f t="shared" si="328"/>
        <v/>
      </c>
      <c r="AN114" s="303" t="str">
        <f t="shared" si="328"/>
        <v/>
      </c>
      <c r="AO114" s="303" t="str">
        <f t="shared" si="328"/>
        <v/>
      </c>
      <c r="AP114" s="303" t="str">
        <f t="shared" si="328"/>
        <v/>
      </c>
      <c r="AQ114" s="303" t="str">
        <f t="shared" si="328"/>
        <v/>
      </c>
      <c r="AR114" s="303" t="str">
        <f t="shared" si="328"/>
        <v/>
      </c>
      <c r="AS114" s="303" t="str">
        <f t="shared" si="328"/>
        <v/>
      </c>
      <c r="AT114" s="303" t="str">
        <f t="shared" si="328"/>
        <v/>
      </c>
      <c r="AU114" s="303" t="str">
        <f t="shared" si="328"/>
        <v/>
      </c>
      <c r="AV114" s="303" t="str">
        <f t="shared" si="328"/>
        <v/>
      </c>
      <c r="AW114" s="303" t="str">
        <f t="shared" si="328"/>
        <v/>
      </c>
      <c r="AX114" s="303" t="str">
        <f t="shared" si="328"/>
        <v/>
      </c>
      <c r="AY114" s="303" t="str">
        <f t="shared" si="328"/>
        <v/>
      </c>
      <c r="AZ114" s="303" t="str">
        <f t="shared" si="328"/>
        <v/>
      </c>
      <c r="BA114" s="303" t="str">
        <f t="shared" si="328"/>
        <v/>
      </c>
      <c r="BB114" s="303" t="str">
        <f t="shared" si="328"/>
        <v/>
      </c>
      <c r="BC114" s="303" t="str">
        <f t="shared" si="328"/>
        <v/>
      </c>
      <c r="BD114" s="303" t="str">
        <f t="shared" si="328"/>
        <v/>
      </c>
      <c r="BE114" s="303" t="str">
        <f t="shared" si="328"/>
        <v/>
      </c>
      <c r="BF114" s="303" t="str">
        <f t="shared" si="328"/>
        <v/>
      </c>
      <c r="BG114" s="303" t="str">
        <f t="shared" si="328"/>
        <v/>
      </c>
      <c r="BH114" s="303" t="str">
        <f t="shared" si="328"/>
        <v/>
      </c>
      <c r="BI114" s="303" t="str">
        <f t="shared" si="328"/>
        <v/>
      </c>
      <c r="BJ114" s="303" t="str">
        <f t="shared" si="328"/>
        <v/>
      </c>
      <c r="BK114" s="303" t="str">
        <f t="shared" si="328"/>
        <v/>
      </c>
      <c r="BL114" s="303" t="str">
        <f t="shared" si="328"/>
        <v/>
      </c>
      <c r="BM114" s="303" t="str">
        <f t="shared" si="328"/>
        <v/>
      </c>
      <c r="BN114" s="303" t="str">
        <f t="shared" ref="BN114:BZ114" si="329">IF(BN$2="-","",(IF(BN275="","",IF(BN$4&lt;$A114,BN275,(BN275-BN$3)/(1+BN$3%)))))</f>
        <v/>
      </c>
      <c r="BO114" s="303" t="str">
        <f t="shared" si="329"/>
        <v/>
      </c>
      <c r="BP114" s="303" t="str">
        <f t="shared" si="329"/>
        <v/>
      </c>
      <c r="BQ114" s="303" t="str">
        <f t="shared" si="329"/>
        <v/>
      </c>
      <c r="BR114" s="303" t="str">
        <f t="shared" si="329"/>
        <v/>
      </c>
      <c r="BS114" s="303" t="str">
        <f t="shared" si="329"/>
        <v/>
      </c>
      <c r="BT114" s="303" t="str">
        <f t="shared" si="329"/>
        <v/>
      </c>
      <c r="BU114" s="303" t="str">
        <f t="shared" si="329"/>
        <v/>
      </c>
      <c r="BV114" s="303" t="str">
        <f t="shared" si="329"/>
        <v/>
      </c>
      <c r="BW114" s="303" t="str">
        <f t="shared" si="329"/>
        <v/>
      </c>
      <c r="BX114" s="303">
        <f t="shared" si="329"/>
        <v>-8.5637221847606249</v>
      </c>
      <c r="BY114" s="303">
        <f t="shared" si="329"/>
        <v>3.0408481592194114</v>
      </c>
      <c r="BZ114" s="303">
        <f t="shared" si="329"/>
        <v>5.29</v>
      </c>
      <c r="CA114" s="303">
        <f t="shared" si="205"/>
        <v>6.7010309278350499</v>
      </c>
    </row>
    <row r="115" spans="1:79">
      <c r="A115" s="58">
        <f t="shared" si="299"/>
        <v>1978</v>
      </c>
      <c r="B115" s="303">
        <f t="shared" ref="B115:AG115" si="330">IF(B$2="-","",(IF(B276="","",IF(B$4&lt;$A115,B276,(B276-B$3)/(1+B$3%)))))</f>
        <v>7.3175601477488268</v>
      </c>
      <c r="C115" s="303">
        <f t="shared" si="330"/>
        <v>3.5318766836276567</v>
      </c>
      <c r="D115" s="303">
        <f t="shared" si="330"/>
        <v>5.9</v>
      </c>
      <c r="E115" s="303">
        <f t="shared" si="330"/>
        <v>6.8043499950114734</v>
      </c>
      <c r="F115" s="303">
        <f t="shared" si="330"/>
        <v>10.645515314776015</v>
      </c>
      <c r="G115" s="303">
        <f t="shared" si="330"/>
        <v>21.799860321261097</v>
      </c>
      <c r="H115" s="303">
        <f t="shared" si="330"/>
        <v>20.662476304499652</v>
      </c>
      <c r="I115" s="303">
        <f t="shared" si="330"/>
        <v>17.499750573680533</v>
      </c>
      <c r="J115" s="303">
        <f t="shared" si="330"/>
        <v>27.406231395118077</v>
      </c>
      <c r="K115" s="303">
        <f t="shared" si="330"/>
        <v>10.013963694394576</v>
      </c>
      <c r="L115" s="303">
        <f t="shared" si="330"/>
        <v>32.480767309421523</v>
      </c>
      <c r="M115" s="303">
        <f t="shared" si="330"/>
        <v>53.094787202232631</v>
      </c>
      <c r="N115" s="303">
        <f t="shared" si="330"/>
        <v>35.452005587707049</v>
      </c>
      <c r="O115" s="303">
        <f t="shared" si="330"/>
        <v>48.384201077199293</v>
      </c>
      <c r="P115" s="303">
        <f t="shared" si="330"/>
        <v>23.977658088968681</v>
      </c>
      <c r="Q115" s="303">
        <f t="shared" si="330"/>
        <v>42.045001991238557</v>
      </c>
      <c r="R115" s="303">
        <f t="shared" si="330"/>
        <v>26.37</v>
      </c>
      <c r="S115" s="303">
        <f t="shared" si="330"/>
        <v>-0.31021369670267662</v>
      </c>
      <c r="T115" s="303">
        <f t="shared" si="330"/>
        <v>2.0875732817006716</v>
      </c>
      <c r="U115" s="303">
        <f t="shared" si="330"/>
        <v>1.996007984031936</v>
      </c>
      <c r="V115" s="303">
        <f t="shared" si="330"/>
        <v>7.103606753921472</v>
      </c>
      <c r="W115" s="303">
        <f t="shared" si="330"/>
        <v>9.6806387225548907</v>
      </c>
      <c r="X115" s="303">
        <f t="shared" si="330"/>
        <v>5.32</v>
      </c>
      <c r="Y115" s="303">
        <f t="shared" si="330"/>
        <v>3.61</v>
      </c>
      <c r="Z115" s="303">
        <f t="shared" si="330"/>
        <v>8.8000000000000007</v>
      </c>
      <c r="AA115" s="303">
        <f t="shared" si="330"/>
        <v>5.2894211576846306</v>
      </c>
      <c r="AB115" s="303">
        <f t="shared" si="330"/>
        <v>36.465354103440745</v>
      </c>
      <c r="AC115" s="303">
        <f t="shared" si="330"/>
        <v>64.919796752017533</v>
      </c>
      <c r="AD115" s="303" t="str">
        <f t="shared" si="330"/>
        <v/>
      </c>
      <c r="AE115" s="303" t="str">
        <f t="shared" si="330"/>
        <v/>
      </c>
      <c r="AF115" s="303" t="str">
        <f t="shared" si="330"/>
        <v/>
      </c>
      <c r="AG115" s="303" t="str">
        <f t="shared" si="330"/>
        <v/>
      </c>
      <c r="AH115" s="303" t="str">
        <f t="shared" ref="AH115:BM115" si="331">IF(AH$2="-","",(IF(AH276="","",IF(AH$4&lt;$A115,AH276,(AH276-AH$3)/(1+AH$3%)))))</f>
        <v/>
      </c>
      <c r="AI115" s="303" t="str">
        <f t="shared" si="331"/>
        <v/>
      </c>
      <c r="AJ115" s="303" t="str">
        <f t="shared" si="331"/>
        <v/>
      </c>
      <c r="AK115" s="303" t="str">
        <f t="shared" si="331"/>
        <v/>
      </c>
      <c r="AL115" s="303" t="str">
        <f t="shared" si="331"/>
        <v/>
      </c>
      <c r="AM115" s="303" t="str">
        <f t="shared" si="331"/>
        <v/>
      </c>
      <c r="AN115" s="303" t="str">
        <f t="shared" si="331"/>
        <v/>
      </c>
      <c r="AO115" s="303" t="str">
        <f t="shared" si="331"/>
        <v/>
      </c>
      <c r="AP115" s="303" t="str">
        <f t="shared" si="331"/>
        <v/>
      </c>
      <c r="AQ115" s="303" t="str">
        <f t="shared" si="331"/>
        <v/>
      </c>
      <c r="AR115" s="303" t="str">
        <f t="shared" si="331"/>
        <v/>
      </c>
      <c r="AS115" s="303" t="str">
        <f t="shared" si="331"/>
        <v/>
      </c>
      <c r="AT115" s="303" t="str">
        <f t="shared" si="331"/>
        <v/>
      </c>
      <c r="AU115" s="303" t="str">
        <f t="shared" si="331"/>
        <v/>
      </c>
      <c r="AV115" s="303" t="str">
        <f t="shared" si="331"/>
        <v/>
      </c>
      <c r="AW115" s="303" t="str">
        <f t="shared" si="331"/>
        <v/>
      </c>
      <c r="AX115" s="303" t="str">
        <f t="shared" si="331"/>
        <v/>
      </c>
      <c r="AY115" s="303" t="str">
        <f t="shared" si="331"/>
        <v/>
      </c>
      <c r="AZ115" s="303" t="str">
        <f t="shared" si="331"/>
        <v/>
      </c>
      <c r="BA115" s="303" t="str">
        <f t="shared" si="331"/>
        <v/>
      </c>
      <c r="BB115" s="303" t="str">
        <f t="shared" si="331"/>
        <v/>
      </c>
      <c r="BC115" s="303" t="str">
        <f t="shared" si="331"/>
        <v/>
      </c>
      <c r="BD115" s="303" t="str">
        <f t="shared" si="331"/>
        <v/>
      </c>
      <c r="BE115" s="303" t="str">
        <f t="shared" si="331"/>
        <v/>
      </c>
      <c r="BF115" s="303" t="str">
        <f t="shared" si="331"/>
        <v/>
      </c>
      <c r="BG115" s="303" t="str">
        <f t="shared" si="331"/>
        <v/>
      </c>
      <c r="BH115" s="303" t="str">
        <f t="shared" si="331"/>
        <v/>
      </c>
      <c r="BI115" s="303" t="str">
        <f t="shared" si="331"/>
        <v/>
      </c>
      <c r="BJ115" s="303" t="str">
        <f t="shared" si="331"/>
        <v/>
      </c>
      <c r="BK115" s="303" t="str">
        <f t="shared" si="331"/>
        <v/>
      </c>
      <c r="BL115" s="303" t="str">
        <f t="shared" si="331"/>
        <v/>
      </c>
      <c r="BM115" s="303" t="str">
        <f t="shared" si="331"/>
        <v/>
      </c>
      <c r="BN115" s="303" t="str">
        <f t="shared" ref="BN115:BZ115" si="332">IF(BN$2="-","",(IF(BN276="","",IF(BN$4&lt;$A115,BN276,(BN276-BN$3)/(1+BN$3%)))))</f>
        <v/>
      </c>
      <c r="BO115" s="303" t="str">
        <f t="shared" si="332"/>
        <v/>
      </c>
      <c r="BP115" s="303" t="str">
        <f t="shared" si="332"/>
        <v/>
      </c>
      <c r="BQ115" s="303" t="str">
        <f t="shared" si="332"/>
        <v/>
      </c>
      <c r="BR115" s="303" t="str">
        <f t="shared" si="332"/>
        <v/>
      </c>
      <c r="BS115" s="303" t="str">
        <f t="shared" si="332"/>
        <v/>
      </c>
      <c r="BT115" s="303" t="str">
        <f t="shared" si="332"/>
        <v/>
      </c>
      <c r="BU115" s="303" t="str">
        <f t="shared" si="332"/>
        <v/>
      </c>
      <c r="BV115" s="303" t="str">
        <f t="shared" si="332"/>
        <v/>
      </c>
      <c r="BW115" s="303" t="str">
        <f t="shared" si="332"/>
        <v/>
      </c>
      <c r="BX115" s="303">
        <f t="shared" si="332"/>
        <v>16.09972299168976</v>
      </c>
      <c r="BY115" s="303">
        <f t="shared" si="332"/>
        <v>2.2917484282640732</v>
      </c>
      <c r="BZ115" s="303">
        <f t="shared" si="332"/>
        <v>7.28</v>
      </c>
      <c r="CA115" s="303">
        <f t="shared" si="205"/>
        <v>9.0177133655394481</v>
      </c>
    </row>
    <row r="116" spans="1:79">
      <c r="A116" s="58">
        <f t="shared" si="299"/>
        <v>1979</v>
      </c>
      <c r="B116" s="303">
        <f t="shared" ref="B116:AG116" si="333">IF(B$2="-","",(IF(B277="","",IF(B$4&lt;$A116,B277,(B277-B$3)/(1+B$3%)))))</f>
        <v>22.791254866726561</v>
      </c>
      <c r="C116" s="303">
        <f t="shared" si="333"/>
        <v>20.223485982240845</v>
      </c>
      <c r="D116" s="303">
        <f t="shared" si="333"/>
        <v>18</v>
      </c>
      <c r="E116" s="303">
        <f t="shared" si="333"/>
        <v>23.615683926967971</v>
      </c>
      <c r="F116" s="303">
        <f t="shared" si="333"/>
        <v>32.195949316571891</v>
      </c>
      <c r="G116" s="303">
        <f t="shared" si="333"/>
        <v>35.089294622368556</v>
      </c>
      <c r="H116" s="303">
        <f t="shared" si="333"/>
        <v>42.77162526189764</v>
      </c>
      <c r="I116" s="303">
        <f t="shared" si="333"/>
        <v>50.453955901426717</v>
      </c>
      <c r="J116" s="303">
        <f t="shared" si="333"/>
        <v>41.09942448898591</v>
      </c>
      <c r="K116" s="303">
        <f t="shared" si="333"/>
        <v>35.547576301615798</v>
      </c>
      <c r="L116" s="303">
        <f t="shared" si="333"/>
        <v>4.7057648116694981</v>
      </c>
      <c r="M116" s="303">
        <f t="shared" si="333"/>
        <v>2.2625336389913286</v>
      </c>
      <c r="N116" s="303">
        <f t="shared" si="333"/>
        <v>4.2406705248453402</v>
      </c>
      <c r="O116" s="303">
        <f t="shared" si="333"/>
        <v>-3.7303012168362262</v>
      </c>
      <c r="P116" s="303">
        <f t="shared" si="333"/>
        <v>14.402553361260722</v>
      </c>
      <c r="Q116" s="303">
        <f t="shared" si="333"/>
        <v>5.5256869772998805</v>
      </c>
      <c r="R116" s="303">
        <f t="shared" si="333"/>
        <v>34.26</v>
      </c>
      <c r="S116" s="303">
        <f t="shared" si="333"/>
        <v>-5.807819546648143</v>
      </c>
      <c r="T116" s="303">
        <f t="shared" si="333"/>
        <v>2.5717107632387983</v>
      </c>
      <c r="U116" s="303">
        <f t="shared" si="333"/>
        <v>6.3872255489021947</v>
      </c>
      <c r="V116" s="303">
        <f t="shared" si="333"/>
        <v>10.300729343590771</v>
      </c>
      <c r="W116" s="303">
        <f t="shared" si="333"/>
        <v>9.780439121756487</v>
      </c>
      <c r="X116" s="303">
        <f t="shared" si="333"/>
        <v>13.54</v>
      </c>
      <c r="Y116" s="303">
        <f t="shared" si="333"/>
        <v>6.2</v>
      </c>
      <c r="Z116" s="303">
        <f t="shared" si="333"/>
        <v>22.6</v>
      </c>
      <c r="AA116" s="303">
        <f t="shared" si="333"/>
        <v>10.179640718562876</v>
      </c>
      <c r="AB116" s="303">
        <f t="shared" si="333"/>
        <v>125.6460882135176</v>
      </c>
      <c r="AC116" s="303">
        <f t="shared" si="333"/>
        <v>-1.1457606854637838</v>
      </c>
      <c r="AD116" s="303" t="str">
        <f t="shared" si="333"/>
        <v/>
      </c>
      <c r="AE116" s="303" t="str">
        <f t="shared" si="333"/>
        <v/>
      </c>
      <c r="AF116" s="303" t="str">
        <f t="shared" si="333"/>
        <v/>
      </c>
      <c r="AG116" s="303" t="str">
        <f t="shared" si="333"/>
        <v/>
      </c>
      <c r="AH116" s="303" t="str">
        <f t="shared" ref="AH116:BM116" si="334">IF(AH$2="-","",(IF(AH277="","",IF(AH$4&lt;$A116,AH277,(AH277-AH$3)/(1+AH$3%)))))</f>
        <v/>
      </c>
      <c r="AI116" s="303" t="str">
        <f t="shared" si="334"/>
        <v/>
      </c>
      <c r="AJ116" s="303" t="str">
        <f t="shared" si="334"/>
        <v/>
      </c>
      <c r="AK116" s="303" t="str">
        <f t="shared" si="334"/>
        <v/>
      </c>
      <c r="AL116" s="303" t="str">
        <f t="shared" si="334"/>
        <v/>
      </c>
      <c r="AM116" s="303" t="str">
        <f t="shared" si="334"/>
        <v/>
      </c>
      <c r="AN116" s="303" t="str">
        <f t="shared" si="334"/>
        <v/>
      </c>
      <c r="AO116" s="303" t="str">
        <f t="shared" si="334"/>
        <v/>
      </c>
      <c r="AP116" s="303" t="str">
        <f t="shared" si="334"/>
        <v/>
      </c>
      <c r="AQ116" s="303" t="str">
        <f t="shared" si="334"/>
        <v/>
      </c>
      <c r="AR116" s="303" t="str">
        <f t="shared" si="334"/>
        <v/>
      </c>
      <c r="AS116" s="303" t="str">
        <f t="shared" si="334"/>
        <v/>
      </c>
      <c r="AT116" s="303" t="str">
        <f t="shared" si="334"/>
        <v/>
      </c>
      <c r="AU116" s="303" t="str">
        <f t="shared" si="334"/>
        <v/>
      </c>
      <c r="AV116" s="303" t="str">
        <f t="shared" si="334"/>
        <v/>
      </c>
      <c r="AW116" s="303" t="str">
        <f t="shared" si="334"/>
        <v/>
      </c>
      <c r="AX116" s="303" t="str">
        <f t="shared" si="334"/>
        <v/>
      </c>
      <c r="AY116" s="303" t="str">
        <f t="shared" si="334"/>
        <v/>
      </c>
      <c r="AZ116" s="303" t="str">
        <f t="shared" si="334"/>
        <v/>
      </c>
      <c r="BA116" s="303" t="str">
        <f t="shared" si="334"/>
        <v/>
      </c>
      <c r="BB116" s="303" t="str">
        <f t="shared" si="334"/>
        <v/>
      </c>
      <c r="BC116" s="303" t="str">
        <f t="shared" si="334"/>
        <v/>
      </c>
      <c r="BD116" s="303" t="str">
        <f t="shared" si="334"/>
        <v/>
      </c>
      <c r="BE116" s="303" t="str">
        <f t="shared" si="334"/>
        <v/>
      </c>
      <c r="BF116" s="303" t="str">
        <f t="shared" si="334"/>
        <v/>
      </c>
      <c r="BG116" s="303" t="str">
        <f t="shared" si="334"/>
        <v/>
      </c>
      <c r="BH116" s="303" t="str">
        <f t="shared" si="334"/>
        <v/>
      </c>
      <c r="BI116" s="303" t="str">
        <f t="shared" si="334"/>
        <v/>
      </c>
      <c r="BJ116" s="303" t="str">
        <f t="shared" si="334"/>
        <v/>
      </c>
      <c r="BK116" s="303" t="str">
        <f t="shared" si="334"/>
        <v/>
      </c>
      <c r="BL116" s="303" t="str">
        <f t="shared" si="334"/>
        <v/>
      </c>
      <c r="BM116" s="303" t="str">
        <f t="shared" si="334"/>
        <v/>
      </c>
      <c r="BN116" s="303" t="str">
        <f t="shared" ref="BN116:BZ116" si="335">IF(BN$2="-","",(IF(BN277="","",IF(BN$4&lt;$A116,BN277,(BN277-BN$3)/(1+BN$3%)))))</f>
        <v/>
      </c>
      <c r="BO116" s="303" t="str">
        <f t="shared" si="335"/>
        <v/>
      </c>
      <c r="BP116" s="303" t="str">
        <f t="shared" si="335"/>
        <v/>
      </c>
      <c r="BQ116" s="303" t="str">
        <f t="shared" si="335"/>
        <v/>
      </c>
      <c r="BR116" s="303" t="str">
        <f t="shared" si="335"/>
        <v/>
      </c>
      <c r="BS116" s="303" t="str">
        <f t="shared" si="335"/>
        <v/>
      </c>
      <c r="BT116" s="303" t="str">
        <f t="shared" si="335"/>
        <v/>
      </c>
      <c r="BU116" s="303" t="str">
        <f t="shared" si="335"/>
        <v/>
      </c>
      <c r="BV116" s="303" t="str">
        <f t="shared" si="335"/>
        <v/>
      </c>
      <c r="BW116" s="303" t="str">
        <f t="shared" si="335"/>
        <v/>
      </c>
      <c r="BX116" s="303">
        <f t="shared" si="335"/>
        <v>16.858890783271498</v>
      </c>
      <c r="BY116" s="303">
        <f t="shared" si="335"/>
        <v>2.7768541847652761</v>
      </c>
      <c r="BZ116" s="303">
        <f t="shared" si="335"/>
        <v>10.41</v>
      </c>
      <c r="CA116" s="303">
        <f t="shared" si="205"/>
        <v>13.293943870014768</v>
      </c>
    </row>
    <row r="117" spans="1:79">
      <c r="A117" s="58">
        <f t="shared" si="299"/>
        <v>1980</v>
      </c>
      <c r="B117" s="303">
        <f t="shared" ref="B117:AG117" si="336">IF(B$2="-","",(IF(B278="","",IF(B$4&lt;$A117,B278,(B278-B$3)/(1+B$3%)))))</f>
        <v>32.474792852151346</v>
      </c>
      <c r="C117" s="303">
        <f t="shared" si="336"/>
        <v>24.114536565898433</v>
      </c>
      <c r="D117" s="303">
        <f t="shared" si="336"/>
        <v>31.9</v>
      </c>
      <c r="E117" s="303">
        <f t="shared" si="336"/>
        <v>39.279656789384418</v>
      </c>
      <c r="F117" s="303">
        <f t="shared" si="336"/>
        <v>32.195949316571891</v>
      </c>
      <c r="G117" s="303">
        <f t="shared" si="336"/>
        <v>25.112241843759353</v>
      </c>
      <c r="H117" s="303">
        <f t="shared" si="336"/>
        <v>38.281951511523502</v>
      </c>
      <c r="I117" s="303">
        <f t="shared" si="336"/>
        <v>51.950513818218099</v>
      </c>
      <c r="J117" s="303">
        <f t="shared" si="336"/>
        <v>29.489978170271879</v>
      </c>
      <c r="K117" s="303">
        <f t="shared" si="336"/>
        <v>24.077398763215637</v>
      </c>
      <c r="L117" s="303">
        <f t="shared" si="336"/>
        <v>22.489759216704968</v>
      </c>
      <c r="M117" s="303">
        <f t="shared" si="336"/>
        <v>26.382936310176419</v>
      </c>
      <c r="N117" s="303">
        <f t="shared" si="336"/>
        <v>22.959489123927362</v>
      </c>
      <c r="O117" s="303">
        <f t="shared" si="336"/>
        <v>36.026331538001202</v>
      </c>
      <c r="P117" s="303">
        <f t="shared" si="336"/>
        <v>14.203072012766807</v>
      </c>
      <c r="Q117" s="303">
        <f t="shared" si="336"/>
        <v>18.22978892871366</v>
      </c>
      <c r="R117" s="303">
        <f t="shared" si="336"/>
        <v>6.12</v>
      </c>
      <c r="S117" s="303">
        <f t="shared" si="336"/>
        <v>-2.5423968619251474</v>
      </c>
      <c r="T117" s="303">
        <f t="shared" si="336"/>
        <v>3.3145455292665074</v>
      </c>
      <c r="U117" s="303">
        <f t="shared" si="336"/>
        <v>6.3872255489021947</v>
      </c>
      <c r="V117" s="303">
        <f t="shared" si="336"/>
        <v>11.19992007193526</v>
      </c>
      <c r="W117" s="303">
        <f t="shared" si="336"/>
        <v>15.169660678642716</v>
      </c>
      <c r="X117" s="303">
        <f t="shared" si="336"/>
        <v>22.58</v>
      </c>
      <c r="Y117" s="303">
        <f t="shared" si="336"/>
        <v>11.88</v>
      </c>
      <c r="Z117" s="303">
        <f t="shared" si="336"/>
        <v>22.6</v>
      </c>
      <c r="AA117" s="303">
        <f t="shared" si="336"/>
        <v>13.872255489021956</v>
      </c>
      <c r="AB117" s="303">
        <f t="shared" si="336"/>
        <v>14.726640313745019</v>
      </c>
      <c r="AC117" s="303">
        <f t="shared" si="336"/>
        <v>34.960645611238419</v>
      </c>
      <c r="AD117" s="303" t="str">
        <f t="shared" si="336"/>
        <v/>
      </c>
      <c r="AE117" s="303" t="str">
        <f t="shared" si="336"/>
        <v/>
      </c>
      <c r="AF117" s="303" t="str">
        <f t="shared" si="336"/>
        <v/>
      </c>
      <c r="AG117" s="303" t="str">
        <f t="shared" si="336"/>
        <v/>
      </c>
      <c r="AH117" s="303" t="str">
        <f t="shared" ref="AH117:BM117" si="337">IF(AH$2="-","",(IF(AH278="","",IF(AH$4&lt;$A117,AH278,(AH278-AH$3)/(1+AH$3%)))))</f>
        <v/>
      </c>
      <c r="AI117" s="303" t="str">
        <f t="shared" si="337"/>
        <v/>
      </c>
      <c r="AJ117" s="303" t="str">
        <f t="shared" si="337"/>
        <v/>
      </c>
      <c r="AK117" s="303" t="str">
        <f t="shared" si="337"/>
        <v/>
      </c>
      <c r="AL117" s="303" t="str">
        <f t="shared" si="337"/>
        <v/>
      </c>
      <c r="AM117" s="303" t="str">
        <f t="shared" si="337"/>
        <v/>
      </c>
      <c r="AN117" s="303" t="str">
        <f t="shared" si="337"/>
        <v/>
      </c>
      <c r="AO117" s="303" t="str">
        <f t="shared" si="337"/>
        <v/>
      </c>
      <c r="AP117" s="303" t="str">
        <f t="shared" si="337"/>
        <v/>
      </c>
      <c r="AQ117" s="303" t="str">
        <f t="shared" si="337"/>
        <v/>
      </c>
      <c r="AR117" s="303" t="str">
        <f t="shared" si="337"/>
        <v/>
      </c>
      <c r="AS117" s="303" t="str">
        <f t="shared" si="337"/>
        <v/>
      </c>
      <c r="AT117" s="303" t="str">
        <f t="shared" si="337"/>
        <v/>
      </c>
      <c r="AU117" s="303" t="str">
        <f t="shared" si="337"/>
        <v/>
      </c>
      <c r="AV117" s="303" t="str">
        <f t="shared" si="337"/>
        <v/>
      </c>
      <c r="AW117" s="303" t="str">
        <f t="shared" si="337"/>
        <v/>
      </c>
      <c r="AX117" s="303" t="str">
        <f t="shared" si="337"/>
        <v/>
      </c>
      <c r="AY117" s="303" t="str">
        <f t="shared" si="337"/>
        <v/>
      </c>
      <c r="AZ117" s="303" t="str">
        <f t="shared" si="337"/>
        <v/>
      </c>
      <c r="BA117" s="303" t="str">
        <f t="shared" si="337"/>
        <v/>
      </c>
      <c r="BB117" s="303" t="str">
        <f t="shared" si="337"/>
        <v/>
      </c>
      <c r="BC117" s="303" t="str">
        <f t="shared" si="337"/>
        <v/>
      </c>
      <c r="BD117" s="303" t="str">
        <f t="shared" si="337"/>
        <v/>
      </c>
      <c r="BE117" s="303" t="str">
        <f t="shared" si="337"/>
        <v/>
      </c>
      <c r="BF117" s="303" t="str">
        <f t="shared" si="337"/>
        <v/>
      </c>
      <c r="BG117" s="303" t="str">
        <f t="shared" si="337"/>
        <v/>
      </c>
      <c r="BH117" s="303" t="str">
        <f t="shared" si="337"/>
        <v/>
      </c>
      <c r="BI117" s="303" t="str">
        <f t="shared" si="337"/>
        <v/>
      </c>
      <c r="BJ117" s="303" t="str">
        <f t="shared" si="337"/>
        <v/>
      </c>
      <c r="BK117" s="303" t="str">
        <f t="shared" si="337"/>
        <v/>
      </c>
      <c r="BL117" s="303" t="str">
        <f t="shared" si="337"/>
        <v/>
      </c>
      <c r="BM117" s="303" t="str">
        <f t="shared" si="337"/>
        <v/>
      </c>
      <c r="BN117" s="303" t="str">
        <f t="shared" ref="BN117:BZ117" si="338">IF(BN$2="-","",(IF(BN278="","",IF(BN$4&lt;$A117,BN278,(BN278-BN$3)/(1+BN$3%)))))</f>
        <v/>
      </c>
      <c r="BO117" s="303" t="str">
        <f t="shared" si="338"/>
        <v/>
      </c>
      <c r="BP117" s="303" t="str">
        <f t="shared" si="338"/>
        <v/>
      </c>
      <c r="BQ117" s="303" t="str">
        <f t="shared" si="338"/>
        <v/>
      </c>
      <c r="BR117" s="303" t="str">
        <f t="shared" si="338"/>
        <v/>
      </c>
      <c r="BS117" s="303" t="str">
        <f t="shared" si="338"/>
        <v/>
      </c>
      <c r="BT117" s="303" t="str">
        <f t="shared" si="338"/>
        <v/>
      </c>
      <c r="BU117" s="303" t="str">
        <f t="shared" si="338"/>
        <v/>
      </c>
      <c r="BV117" s="303" t="str">
        <f t="shared" si="338"/>
        <v/>
      </c>
      <c r="BW117" s="303" t="str">
        <f t="shared" si="338"/>
        <v/>
      </c>
      <c r="BX117" s="303">
        <f t="shared" si="338"/>
        <v>25.48931180662035</v>
      </c>
      <c r="BY117" s="303">
        <f t="shared" si="338"/>
        <v>3.5211746203250405</v>
      </c>
      <c r="BZ117" s="303">
        <f t="shared" si="338"/>
        <v>12.06</v>
      </c>
      <c r="CA117" s="303">
        <f t="shared" si="205"/>
        <v>12.516297262059961</v>
      </c>
    </row>
    <row r="118" spans="1:79">
      <c r="A118" s="58">
        <f t="shared" si="299"/>
        <v>1981</v>
      </c>
      <c r="B118" s="303">
        <f t="shared" ref="B118:AG118" si="339">IF(B$2="-","",(IF(B279="","",IF(B$4&lt;$A118,B279,(B279-B$3)/(1+B$3%)))))</f>
        <v>-3.8634321653189576</v>
      </c>
      <c r="C118" s="303">
        <f t="shared" si="339"/>
        <v>1.0675446473111845</v>
      </c>
      <c r="D118" s="303">
        <f t="shared" si="339"/>
        <v>-5.2</v>
      </c>
      <c r="E118" s="303">
        <f t="shared" si="339"/>
        <v>-11.503541853736408</v>
      </c>
      <c r="F118" s="303">
        <f t="shared" si="339"/>
        <v>2.165020452958196</v>
      </c>
      <c r="G118" s="303">
        <f t="shared" si="339"/>
        <v>14.636336426219694</v>
      </c>
      <c r="H118" s="303">
        <f t="shared" si="339"/>
        <v>1.7659383418138284</v>
      </c>
      <c r="I118" s="303">
        <f t="shared" si="339"/>
        <v>-9.4083607702284748</v>
      </c>
      <c r="J118" s="303">
        <f t="shared" si="339"/>
        <v>6.9656677912284177</v>
      </c>
      <c r="K118" s="303">
        <f t="shared" si="339"/>
        <v>5.725114701775385</v>
      </c>
      <c r="L118" s="303">
        <f t="shared" si="339"/>
        <v>-1.0890198821061048</v>
      </c>
      <c r="M118" s="303">
        <f t="shared" si="339"/>
        <v>4.2559553473537317</v>
      </c>
      <c r="N118" s="303">
        <f t="shared" si="339"/>
        <v>-0.37916583516264218</v>
      </c>
      <c r="O118" s="303">
        <f t="shared" si="339"/>
        <v>8.029124276880113</v>
      </c>
      <c r="P118" s="303">
        <f t="shared" si="339"/>
        <v>-10.632355874725715</v>
      </c>
      <c r="Q118" s="303">
        <f t="shared" si="339"/>
        <v>8.5125448028673851</v>
      </c>
      <c r="R118" s="303">
        <f t="shared" si="339"/>
        <v>-22.52</v>
      </c>
      <c r="S118" s="303">
        <f t="shared" si="339"/>
        <v>-3.284578774402616</v>
      </c>
      <c r="T118" s="303">
        <f t="shared" si="339"/>
        <v>5.4748658733656557</v>
      </c>
      <c r="U118" s="303">
        <f t="shared" si="339"/>
        <v>10.578842315369263</v>
      </c>
      <c r="V118" s="303">
        <f t="shared" si="339"/>
        <v>14.596862823458888</v>
      </c>
      <c r="W118" s="303">
        <f t="shared" si="339"/>
        <v>5.788423153692615</v>
      </c>
      <c r="X118" s="303">
        <f t="shared" si="339"/>
        <v>2.9</v>
      </c>
      <c r="Y118" s="303">
        <f t="shared" si="339"/>
        <v>8.67</v>
      </c>
      <c r="Z118" s="303">
        <f t="shared" si="339"/>
        <v>16.8</v>
      </c>
      <c r="AA118" s="303">
        <f t="shared" si="339"/>
        <v>18.662674650698602</v>
      </c>
      <c r="AB118" s="303">
        <f t="shared" si="339"/>
        <v>-32.867090349918676</v>
      </c>
      <c r="AC118" s="303">
        <f t="shared" si="339"/>
        <v>-0.26900468267410582</v>
      </c>
      <c r="AD118" s="303" t="str">
        <f t="shared" si="339"/>
        <v/>
      </c>
      <c r="AE118" s="303" t="str">
        <f t="shared" si="339"/>
        <v/>
      </c>
      <c r="AF118" s="303" t="str">
        <f t="shared" si="339"/>
        <v/>
      </c>
      <c r="AG118" s="303" t="str">
        <f t="shared" si="339"/>
        <v/>
      </c>
      <c r="AH118" s="303" t="str">
        <f t="shared" ref="AH118:BM118" si="340">IF(AH$2="-","",(IF(AH279="","",IF(AH$4&lt;$A118,AH279,(AH279-AH$3)/(1+AH$3%)))))</f>
        <v/>
      </c>
      <c r="AI118" s="303" t="str">
        <f t="shared" si="340"/>
        <v/>
      </c>
      <c r="AJ118" s="303" t="str">
        <f t="shared" si="340"/>
        <v/>
      </c>
      <c r="AK118" s="303" t="str">
        <f t="shared" si="340"/>
        <v/>
      </c>
      <c r="AL118" s="303" t="str">
        <f t="shared" si="340"/>
        <v/>
      </c>
      <c r="AM118" s="303" t="str">
        <f t="shared" si="340"/>
        <v/>
      </c>
      <c r="AN118" s="303" t="str">
        <f t="shared" si="340"/>
        <v/>
      </c>
      <c r="AO118" s="303" t="str">
        <f t="shared" si="340"/>
        <v/>
      </c>
      <c r="AP118" s="303" t="str">
        <f t="shared" si="340"/>
        <v/>
      </c>
      <c r="AQ118" s="303" t="str">
        <f t="shared" si="340"/>
        <v/>
      </c>
      <c r="AR118" s="303" t="str">
        <f t="shared" si="340"/>
        <v/>
      </c>
      <c r="AS118" s="303" t="str">
        <f t="shared" si="340"/>
        <v/>
      </c>
      <c r="AT118" s="303" t="str">
        <f t="shared" si="340"/>
        <v/>
      </c>
      <c r="AU118" s="303" t="str">
        <f t="shared" si="340"/>
        <v/>
      </c>
      <c r="AV118" s="303" t="str">
        <f t="shared" si="340"/>
        <v/>
      </c>
      <c r="AW118" s="303" t="str">
        <f t="shared" si="340"/>
        <v/>
      </c>
      <c r="AX118" s="303" t="str">
        <f t="shared" si="340"/>
        <v/>
      </c>
      <c r="AY118" s="303" t="str">
        <f t="shared" si="340"/>
        <v/>
      </c>
      <c r="AZ118" s="303" t="str">
        <f t="shared" si="340"/>
        <v/>
      </c>
      <c r="BA118" s="303" t="str">
        <f t="shared" si="340"/>
        <v/>
      </c>
      <c r="BB118" s="303" t="str">
        <f t="shared" si="340"/>
        <v/>
      </c>
      <c r="BC118" s="303" t="str">
        <f t="shared" si="340"/>
        <v/>
      </c>
      <c r="BD118" s="303" t="str">
        <f t="shared" si="340"/>
        <v/>
      </c>
      <c r="BE118" s="303" t="str">
        <f t="shared" si="340"/>
        <v/>
      </c>
      <c r="BF118" s="303" t="str">
        <f t="shared" si="340"/>
        <v/>
      </c>
      <c r="BG118" s="303" t="str">
        <f t="shared" si="340"/>
        <v/>
      </c>
      <c r="BH118" s="303" t="str">
        <f t="shared" si="340"/>
        <v/>
      </c>
      <c r="BI118" s="303" t="str">
        <f t="shared" si="340"/>
        <v/>
      </c>
      <c r="BJ118" s="303" t="str">
        <f t="shared" si="340"/>
        <v/>
      </c>
      <c r="BK118" s="303" t="str">
        <f t="shared" si="340"/>
        <v/>
      </c>
      <c r="BL118" s="303" t="str">
        <f t="shared" si="340"/>
        <v/>
      </c>
      <c r="BM118" s="303" t="str">
        <f t="shared" si="340"/>
        <v/>
      </c>
      <c r="BN118" s="303" t="str">
        <f t="shared" ref="BN118:BZ118" si="341">IF(BN$2="-","",(IF(BN279="","",IF(BN$4&lt;$A118,BN279,(BN279-BN$3)/(1+BN$3%)))))</f>
        <v/>
      </c>
      <c r="BO118" s="303" t="str">
        <f t="shared" si="341"/>
        <v/>
      </c>
      <c r="BP118" s="303" t="str">
        <f t="shared" si="341"/>
        <v/>
      </c>
      <c r="BQ118" s="303" t="str">
        <f t="shared" si="341"/>
        <v/>
      </c>
      <c r="BR118" s="303" t="str">
        <f t="shared" si="341"/>
        <v/>
      </c>
      <c r="BS118" s="303" t="str">
        <f t="shared" si="341"/>
        <v/>
      </c>
      <c r="BT118" s="303" t="str">
        <f t="shared" si="341"/>
        <v/>
      </c>
      <c r="BU118" s="303" t="str">
        <f t="shared" si="341"/>
        <v/>
      </c>
      <c r="BV118" s="303" t="str">
        <f t="shared" si="341"/>
        <v/>
      </c>
      <c r="BW118" s="303" t="str">
        <f t="shared" si="341"/>
        <v/>
      </c>
      <c r="BX118" s="303">
        <f t="shared" si="341"/>
        <v>-6.813566969993234</v>
      </c>
      <c r="BY118" s="303">
        <f t="shared" si="341"/>
        <v>5.6858156051123876</v>
      </c>
      <c r="BZ118" s="303">
        <f t="shared" si="341"/>
        <v>14.08</v>
      </c>
      <c r="CA118" s="303">
        <f t="shared" si="205"/>
        <v>8.9223638470451903</v>
      </c>
    </row>
    <row r="119" spans="1:79">
      <c r="A119" s="58">
        <f t="shared" si="299"/>
        <v>1982</v>
      </c>
      <c r="B119" s="303">
        <f t="shared" ref="B119:AG119" si="342">IF(B$2="-","",(IF(B280="","",IF(B$4&lt;$A119,B280,(B280-B$3)/(1+B$3%)))))</f>
        <v>20.594988519516821</v>
      </c>
      <c r="C119" s="303">
        <f t="shared" si="342"/>
        <v>19.724633343310387</v>
      </c>
      <c r="D119" s="303">
        <f t="shared" si="342"/>
        <v>20.9</v>
      </c>
      <c r="E119" s="303">
        <f t="shared" si="342"/>
        <v>20.223485982240845</v>
      </c>
      <c r="F119" s="303">
        <f t="shared" si="342"/>
        <v>23.017060760251422</v>
      </c>
      <c r="G119" s="303">
        <f t="shared" si="342"/>
        <v>28.205128205128204</v>
      </c>
      <c r="H119" s="303">
        <f t="shared" si="342"/>
        <v>24.613389204828891</v>
      </c>
      <c r="I119" s="303">
        <f t="shared" si="342"/>
        <v>20.722338621171307</v>
      </c>
      <c r="J119" s="303">
        <f t="shared" si="342"/>
        <v>27.009327247469734</v>
      </c>
      <c r="K119" s="303">
        <f t="shared" si="342"/>
        <v>21.284659884300819</v>
      </c>
      <c r="L119" s="303">
        <f t="shared" si="342"/>
        <v>-0.9891098011789391</v>
      </c>
      <c r="M119" s="303">
        <f t="shared" si="342"/>
        <v>-1.4252965214791189</v>
      </c>
      <c r="N119" s="303">
        <f t="shared" si="342"/>
        <v>-1.1474755537816805</v>
      </c>
      <c r="O119" s="303">
        <f t="shared" si="342"/>
        <v>-6.5030919609016555</v>
      </c>
      <c r="P119" s="303">
        <f t="shared" si="342"/>
        <v>5.4258926790345114</v>
      </c>
      <c r="Q119" s="303">
        <f t="shared" si="342"/>
        <v>-2.6284348864994027</v>
      </c>
      <c r="R119" s="303">
        <f t="shared" si="342"/>
        <v>3.84</v>
      </c>
      <c r="S119" s="303">
        <f t="shared" si="342"/>
        <v>48.298206186686997</v>
      </c>
      <c r="T119" s="303">
        <f t="shared" si="342"/>
        <v>33.054218629262486</v>
      </c>
      <c r="U119" s="303">
        <f t="shared" si="342"/>
        <v>25.149700598802394</v>
      </c>
      <c r="V119" s="303">
        <f t="shared" si="342"/>
        <v>10.400639424517935</v>
      </c>
      <c r="W119" s="303">
        <f t="shared" si="342"/>
        <v>-7.7844311377245505</v>
      </c>
      <c r="X119" s="303">
        <f t="shared" si="342"/>
        <v>24.55</v>
      </c>
      <c r="Y119" s="303">
        <f t="shared" si="342"/>
        <v>23.3</v>
      </c>
      <c r="Z119" s="303">
        <f t="shared" si="342"/>
        <v>21.7</v>
      </c>
      <c r="AA119" s="303">
        <f t="shared" si="342"/>
        <v>19.261477045908183</v>
      </c>
      <c r="AB119" s="303">
        <f t="shared" si="342"/>
        <v>14.485454408779969</v>
      </c>
      <c r="AC119" s="303">
        <f t="shared" si="342"/>
        <v>-0.3287835010461293</v>
      </c>
      <c r="AD119" s="303" t="str">
        <f t="shared" si="342"/>
        <v/>
      </c>
      <c r="AE119" s="303" t="str">
        <f t="shared" si="342"/>
        <v/>
      </c>
      <c r="AF119" s="303" t="str">
        <f t="shared" si="342"/>
        <v/>
      </c>
      <c r="AG119" s="303" t="str">
        <f t="shared" si="342"/>
        <v/>
      </c>
      <c r="AH119" s="303" t="str">
        <f t="shared" ref="AH119:BM119" si="343">IF(AH$2="-","",(IF(AH280="","",IF(AH$4&lt;$A119,AH280,(AH280-AH$3)/(1+AH$3%)))))</f>
        <v/>
      </c>
      <c r="AI119" s="303" t="str">
        <f t="shared" si="343"/>
        <v/>
      </c>
      <c r="AJ119" s="303" t="str">
        <f t="shared" si="343"/>
        <v/>
      </c>
      <c r="AK119" s="303" t="str">
        <f t="shared" si="343"/>
        <v/>
      </c>
      <c r="AL119" s="303" t="str">
        <f t="shared" si="343"/>
        <v/>
      </c>
      <c r="AM119" s="303" t="str">
        <f t="shared" si="343"/>
        <v/>
      </c>
      <c r="AN119" s="303" t="str">
        <f t="shared" si="343"/>
        <v/>
      </c>
      <c r="AO119" s="303" t="str">
        <f t="shared" si="343"/>
        <v/>
      </c>
      <c r="AP119" s="303" t="str">
        <f t="shared" si="343"/>
        <v/>
      </c>
      <c r="AQ119" s="303" t="str">
        <f t="shared" si="343"/>
        <v/>
      </c>
      <c r="AR119" s="303" t="str">
        <f t="shared" si="343"/>
        <v/>
      </c>
      <c r="AS119" s="303" t="str">
        <f t="shared" si="343"/>
        <v/>
      </c>
      <c r="AT119" s="303" t="str">
        <f t="shared" si="343"/>
        <v/>
      </c>
      <c r="AU119" s="303" t="str">
        <f t="shared" si="343"/>
        <v/>
      </c>
      <c r="AV119" s="303" t="str">
        <f t="shared" si="343"/>
        <v/>
      </c>
      <c r="AW119" s="303" t="str">
        <f t="shared" si="343"/>
        <v/>
      </c>
      <c r="AX119" s="303" t="str">
        <f t="shared" si="343"/>
        <v/>
      </c>
      <c r="AY119" s="303" t="str">
        <f t="shared" si="343"/>
        <v/>
      </c>
      <c r="AZ119" s="303" t="str">
        <f t="shared" si="343"/>
        <v/>
      </c>
      <c r="BA119" s="303" t="str">
        <f t="shared" si="343"/>
        <v/>
      </c>
      <c r="BB119" s="303" t="str">
        <f t="shared" si="343"/>
        <v/>
      </c>
      <c r="BC119" s="303" t="str">
        <f t="shared" si="343"/>
        <v/>
      </c>
      <c r="BD119" s="303" t="str">
        <f t="shared" si="343"/>
        <v/>
      </c>
      <c r="BE119" s="303" t="str">
        <f t="shared" si="343"/>
        <v/>
      </c>
      <c r="BF119" s="303" t="str">
        <f t="shared" si="343"/>
        <v/>
      </c>
      <c r="BG119" s="303" t="str">
        <f t="shared" si="343"/>
        <v/>
      </c>
      <c r="BH119" s="303" t="str">
        <f t="shared" si="343"/>
        <v/>
      </c>
      <c r="BI119" s="303" t="str">
        <f t="shared" si="343"/>
        <v/>
      </c>
      <c r="BJ119" s="303" t="str">
        <f t="shared" si="343"/>
        <v/>
      </c>
      <c r="BK119" s="303" t="str">
        <f t="shared" si="343"/>
        <v/>
      </c>
      <c r="BL119" s="303" t="str">
        <f t="shared" si="343"/>
        <v/>
      </c>
      <c r="BM119" s="303" t="str">
        <f t="shared" si="343"/>
        <v/>
      </c>
      <c r="BN119" s="303" t="str">
        <f t="shared" ref="BN119:BZ119" si="344">IF(BN$2="-","",(IF(BN280="","",IF(BN$4&lt;$A119,BN280,(BN280-BN$3)/(1+BN$3%)))))</f>
        <v/>
      </c>
      <c r="BO119" s="303" t="str">
        <f t="shared" si="344"/>
        <v/>
      </c>
      <c r="BP119" s="303" t="str">
        <f t="shared" si="344"/>
        <v/>
      </c>
      <c r="BQ119" s="303" t="str">
        <f t="shared" si="344"/>
        <v/>
      </c>
      <c r="BR119" s="303" t="str">
        <f t="shared" si="344"/>
        <v/>
      </c>
      <c r="BS119" s="303" t="str">
        <f t="shared" si="344"/>
        <v/>
      </c>
      <c r="BT119" s="303" t="str">
        <f t="shared" si="344"/>
        <v/>
      </c>
      <c r="BU119" s="303" t="str">
        <f t="shared" si="344"/>
        <v/>
      </c>
      <c r="BV119" s="303" t="str">
        <f t="shared" si="344"/>
        <v/>
      </c>
      <c r="BW119" s="303" t="str">
        <f t="shared" si="344"/>
        <v/>
      </c>
      <c r="BX119" s="303">
        <f t="shared" si="344"/>
        <v>28.87107776261939</v>
      </c>
      <c r="BY119" s="303">
        <f t="shared" si="344"/>
        <v>33.320327066521017</v>
      </c>
      <c r="BZ119" s="303">
        <f t="shared" si="344"/>
        <v>14.32</v>
      </c>
      <c r="CA119" s="303">
        <f t="shared" si="205"/>
        <v>3.8297872340425476</v>
      </c>
    </row>
    <row r="120" spans="1:79">
      <c r="A120" s="58">
        <f t="shared" si="299"/>
        <v>1983</v>
      </c>
      <c r="B120" s="303">
        <f t="shared" ref="B120:AG120" si="345">IF(B$2="-","",(IF(B281="","",IF(B$4&lt;$A120,B281,(B281-B$3)/(1+B$3%)))))</f>
        <v>21.792951981631223</v>
      </c>
      <c r="C120" s="303">
        <f t="shared" si="345"/>
        <v>28.005587149556021</v>
      </c>
      <c r="D120" s="303">
        <f t="shared" si="345"/>
        <v>21.3</v>
      </c>
      <c r="E120" s="303">
        <f t="shared" si="345"/>
        <v>15.733812231866708</v>
      </c>
      <c r="F120" s="303">
        <f t="shared" si="345"/>
        <v>23.515913399181883</v>
      </c>
      <c r="G120" s="303">
        <f t="shared" si="345"/>
        <v>38.281951511523502</v>
      </c>
      <c r="H120" s="303">
        <f t="shared" si="345"/>
        <v>28.803751371844758</v>
      </c>
      <c r="I120" s="303">
        <f t="shared" si="345"/>
        <v>19.824403871096479</v>
      </c>
      <c r="J120" s="303">
        <f t="shared" si="345"/>
        <v>36.237348680293707</v>
      </c>
      <c r="K120" s="303">
        <f t="shared" si="345"/>
        <v>30.261320566527033</v>
      </c>
      <c r="L120" s="303">
        <f t="shared" si="345"/>
        <v>24.48796083524828</v>
      </c>
      <c r="M120" s="303">
        <f t="shared" si="345"/>
        <v>32.163859264427387</v>
      </c>
      <c r="N120" s="303">
        <f t="shared" si="345"/>
        <v>25.523847535422075</v>
      </c>
      <c r="O120" s="303">
        <f t="shared" si="345"/>
        <v>26.092160383004192</v>
      </c>
      <c r="P120" s="303">
        <f t="shared" si="345"/>
        <v>22.082585278276479</v>
      </c>
      <c r="Q120" s="303">
        <f t="shared" si="345"/>
        <v>28.783353245718839</v>
      </c>
      <c r="R120" s="303">
        <f t="shared" si="345"/>
        <v>12.24</v>
      </c>
      <c r="S120" s="303">
        <f t="shared" si="345"/>
        <v>1.684420110022552</v>
      </c>
      <c r="T120" s="303">
        <f t="shared" si="345"/>
        <v>5.6117355738323598</v>
      </c>
      <c r="U120" s="303">
        <f t="shared" si="345"/>
        <v>7.9840319361277432</v>
      </c>
      <c r="V120" s="303">
        <f t="shared" si="345"/>
        <v>8.7021680487561213</v>
      </c>
      <c r="W120" s="303">
        <f t="shared" si="345"/>
        <v>16.866267465069864</v>
      </c>
      <c r="X120" s="303">
        <f t="shared" si="345"/>
        <v>23.57</v>
      </c>
      <c r="Y120" s="303">
        <f t="shared" si="345"/>
        <v>18.600000000000001</v>
      </c>
      <c r="Z120" s="303">
        <f t="shared" si="345"/>
        <v>30.1</v>
      </c>
      <c r="AA120" s="303">
        <f t="shared" si="345"/>
        <v>8.3832335329341312</v>
      </c>
      <c r="AB120" s="303">
        <f t="shared" si="345"/>
        <v>-16.638981391134955</v>
      </c>
      <c r="AC120" s="303">
        <f t="shared" si="345"/>
        <v>35.618212613330677</v>
      </c>
      <c r="AD120" s="303" t="str">
        <f t="shared" si="345"/>
        <v/>
      </c>
      <c r="AE120" s="303" t="str">
        <f t="shared" si="345"/>
        <v/>
      </c>
      <c r="AF120" s="303" t="str">
        <f t="shared" si="345"/>
        <v/>
      </c>
      <c r="AG120" s="303" t="str">
        <f t="shared" si="345"/>
        <v/>
      </c>
      <c r="AH120" s="303" t="str">
        <f t="shared" ref="AH120:BM120" si="346">IF(AH$2="-","",(IF(AH281="","",IF(AH$4&lt;$A120,AH281,(AH281-AH$3)/(1+AH$3%)))))</f>
        <v/>
      </c>
      <c r="AI120" s="303" t="str">
        <f t="shared" si="346"/>
        <v/>
      </c>
      <c r="AJ120" s="303" t="str">
        <f t="shared" si="346"/>
        <v/>
      </c>
      <c r="AK120" s="303" t="str">
        <f t="shared" si="346"/>
        <v/>
      </c>
      <c r="AL120" s="303" t="str">
        <f t="shared" si="346"/>
        <v/>
      </c>
      <c r="AM120" s="303" t="str">
        <f t="shared" si="346"/>
        <v/>
      </c>
      <c r="AN120" s="303" t="str">
        <f t="shared" si="346"/>
        <v/>
      </c>
      <c r="AO120" s="303" t="str">
        <f t="shared" si="346"/>
        <v/>
      </c>
      <c r="AP120" s="303" t="str">
        <f t="shared" si="346"/>
        <v/>
      </c>
      <c r="AQ120" s="303" t="str">
        <f t="shared" si="346"/>
        <v/>
      </c>
      <c r="AR120" s="303" t="str">
        <f t="shared" si="346"/>
        <v/>
      </c>
      <c r="AS120" s="303" t="str">
        <f t="shared" si="346"/>
        <v/>
      </c>
      <c r="AT120" s="303" t="str">
        <f t="shared" si="346"/>
        <v/>
      </c>
      <c r="AU120" s="303" t="str">
        <f t="shared" si="346"/>
        <v/>
      </c>
      <c r="AV120" s="303" t="str">
        <f t="shared" si="346"/>
        <v/>
      </c>
      <c r="AW120" s="303" t="str">
        <f t="shared" si="346"/>
        <v/>
      </c>
      <c r="AX120" s="303" t="str">
        <f t="shared" si="346"/>
        <v/>
      </c>
      <c r="AY120" s="303" t="str">
        <f t="shared" si="346"/>
        <v/>
      </c>
      <c r="AZ120" s="303" t="str">
        <f t="shared" si="346"/>
        <v/>
      </c>
      <c r="BA120" s="303" t="str">
        <f t="shared" si="346"/>
        <v/>
      </c>
      <c r="BB120" s="303" t="str">
        <f t="shared" si="346"/>
        <v/>
      </c>
      <c r="BC120" s="303" t="str">
        <f t="shared" si="346"/>
        <v/>
      </c>
      <c r="BD120" s="303" t="str">
        <f t="shared" si="346"/>
        <v/>
      </c>
      <c r="BE120" s="303" t="str">
        <f t="shared" si="346"/>
        <v/>
      </c>
      <c r="BF120" s="303" t="str">
        <f t="shared" si="346"/>
        <v/>
      </c>
      <c r="BG120" s="303" t="str">
        <f t="shared" si="346"/>
        <v/>
      </c>
      <c r="BH120" s="303" t="str">
        <f t="shared" si="346"/>
        <v/>
      </c>
      <c r="BI120" s="303" t="str">
        <f t="shared" si="346"/>
        <v/>
      </c>
      <c r="BJ120" s="303" t="str">
        <f t="shared" si="346"/>
        <v/>
      </c>
      <c r="BK120" s="303" t="str">
        <f t="shared" si="346"/>
        <v/>
      </c>
      <c r="BL120" s="303" t="str">
        <f t="shared" si="346"/>
        <v/>
      </c>
      <c r="BM120" s="303" t="str">
        <f t="shared" si="346"/>
        <v/>
      </c>
      <c r="BN120" s="303" t="str">
        <f t="shared" ref="BN120:BZ120" si="347">IF(BN$2="-","",(IF(BN281="","",IF(BN$4&lt;$A120,BN281,(BN281-BN$3)/(1+BN$3%)))))</f>
        <v/>
      </c>
      <c r="BO120" s="303" t="str">
        <f t="shared" si="347"/>
        <v/>
      </c>
      <c r="BP120" s="303" t="str">
        <f t="shared" si="347"/>
        <v/>
      </c>
      <c r="BQ120" s="303" t="str">
        <f t="shared" si="347"/>
        <v/>
      </c>
      <c r="BR120" s="303" t="str">
        <f t="shared" si="347"/>
        <v/>
      </c>
      <c r="BS120" s="303" t="str">
        <f t="shared" si="347"/>
        <v/>
      </c>
      <c r="BT120" s="303" t="str">
        <f t="shared" si="347"/>
        <v/>
      </c>
      <c r="BU120" s="303" t="str">
        <f t="shared" si="347"/>
        <v/>
      </c>
      <c r="BV120" s="303" t="str">
        <f t="shared" si="347"/>
        <v/>
      </c>
      <c r="BW120" s="303" t="str">
        <f t="shared" si="347"/>
        <v/>
      </c>
      <c r="BX120" s="303">
        <f t="shared" si="347"/>
        <v>20.246759548069583</v>
      </c>
      <c r="BY120" s="303">
        <f t="shared" si="347"/>
        <v>5.822959044980025</v>
      </c>
      <c r="BZ120" s="303">
        <f t="shared" si="347"/>
        <v>8.6199999999999992</v>
      </c>
      <c r="CA120" s="303">
        <f t="shared" si="205"/>
        <v>3.7909836065573854</v>
      </c>
    </row>
    <row r="121" spans="1:79">
      <c r="A121" s="58">
        <f t="shared" si="299"/>
        <v>1984</v>
      </c>
      <c r="B121" s="303">
        <f t="shared" ref="B121:AG121" si="348">IF(B$2="-","",(IF(B282="","",IF(B$4&lt;$A121,B282,(B282-B$3)/(1+B$3%)))))</f>
        <v>4.3226514924628132</v>
      </c>
      <c r="C121" s="303">
        <f t="shared" si="348"/>
        <v>9.847351092487278</v>
      </c>
      <c r="D121" s="303">
        <f t="shared" si="348"/>
        <v>6.21</v>
      </c>
      <c r="E121" s="303">
        <f t="shared" si="348"/>
        <v>-1.2271774917689315</v>
      </c>
      <c r="F121" s="303">
        <f t="shared" si="348"/>
        <v>1.1673151750972763</v>
      </c>
      <c r="G121" s="303">
        <f t="shared" si="348"/>
        <v>2.0652499251721039</v>
      </c>
      <c r="H121" s="303">
        <f t="shared" si="348"/>
        <v>-7.5127207422927276</v>
      </c>
      <c r="I121" s="303">
        <f t="shared" si="348"/>
        <v>-15.993215604110548</v>
      </c>
      <c r="J121" s="303">
        <f t="shared" si="348"/>
        <v>-20.123040285770987</v>
      </c>
      <c r="K121" s="303">
        <f t="shared" si="348"/>
        <v>20.586475164572111</v>
      </c>
      <c r="L121" s="303">
        <f t="shared" si="348"/>
        <v>7.8029773204116308</v>
      </c>
      <c r="M121" s="303">
        <f t="shared" si="348"/>
        <v>9.9372072161865841</v>
      </c>
      <c r="N121" s="303">
        <f t="shared" si="348"/>
        <v>8.0223508281780074</v>
      </c>
      <c r="O121" s="303">
        <f t="shared" si="348"/>
        <v>13.185717135447836</v>
      </c>
      <c r="P121" s="303">
        <f t="shared" si="348"/>
        <v>1.0373030121683624</v>
      </c>
      <c r="Q121" s="303">
        <f t="shared" si="348"/>
        <v>8.5324571883711666</v>
      </c>
      <c r="R121" s="303">
        <f t="shared" si="348"/>
        <v>-3.51</v>
      </c>
      <c r="S121" s="303">
        <f t="shared" si="348"/>
        <v>13.761486467913771</v>
      </c>
      <c r="T121" s="303">
        <f t="shared" si="348"/>
        <v>13.014248038014982</v>
      </c>
      <c r="U121" s="303">
        <f t="shared" si="348"/>
        <v>14.071856287425151</v>
      </c>
      <c r="V121" s="303">
        <f t="shared" si="348"/>
        <v>9.7012688580277775</v>
      </c>
      <c r="W121" s="303">
        <f t="shared" si="348"/>
        <v>15.568862275449103</v>
      </c>
      <c r="X121" s="303">
        <f t="shared" si="348"/>
        <v>10.7</v>
      </c>
      <c r="Y121" s="303">
        <f t="shared" si="348"/>
        <v>16.64</v>
      </c>
      <c r="Z121" s="303">
        <f t="shared" si="348"/>
        <v>19.47</v>
      </c>
      <c r="AA121" s="303">
        <f t="shared" si="348"/>
        <v>12.574850299401199</v>
      </c>
      <c r="AB121" s="303">
        <f t="shared" si="348"/>
        <v>-19.516494690693289</v>
      </c>
      <c r="AC121" s="303">
        <f t="shared" si="348"/>
        <v>11.208528444754409</v>
      </c>
      <c r="AD121" s="303" t="str">
        <f t="shared" si="348"/>
        <v/>
      </c>
      <c r="AE121" s="303" t="str">
        <f t="shared" si="348"/>
        <v/>
      </c>
      <c r="AF121" s="303" t="str">
        <f t="shared" si="348"/>
        <v/>
      </c>
      <c r="AG121" s="303" t="str">
        <f t="shared" si="348"/>
        <v/>
      </c>
      <c r="AH121" s="303" t="str">
        <f t="shared" ref="AH121:BM121" si="349">IF(AH$2="-","",(IF(AH282="","",IF(AH$4&lt;$A121,AH282,(AH282-AH$3)/(1+AH$3%)))))</f>
        <v/>
      </c>
      <c r="AI121" s="303" t="str">
        <f t="shared" si="349"/>
        <v/>
      </c>
      <c r="AJ121" s="303" t="str">
        <f t="shared" si="349"/>
        <v/>
      </c>
      <c r="AK121" s="303" t="str">
        <f t="shared" si="349"/>
        <v/>
      </c>
      <c r="AL121" s="303" t="str">
        <f t="shared" si="349"/>
        <v/>
      </c>
      <c r="AM121" s="303" t="str">
        <f t="shared" si="349"/>
        <v/>
      </c>
      <c r="AN121" s="303" t="str">
        <f t="shared" si="349"/>
        <v/>
      </c>
      <c r="AO121" s="303" t="str">
        <f t="shared" si="349"/>
        <v/>
      </c>
      <c r="AP121" s="303" t="str">
        <f t="shared" si="349"/>
        <v/>
      </c>
      <c r="AQ121" s="303" t="str">
        <f t="shared" si="349"/>
        <v/>
      </c>
      <c r="AR121" s="303" t="str">
        <f t="shared" si="349"/>
        <v/>
      </c>
      <c r="AS121" s="303" t="str">
        <f t="shared" si="349"/>
        <v/>
      </c>
      <c r="AT121" s="303" t="str">
        <f t="shared" si="349"/>
        <v/>
      </c>
      <c r="AU121" s="303" t="str">
        <f t="shared" si="349"/>
        <v/>
      </c>
      <c r="AV121" s="303" t="str">
        <f t="shared" si="349"/>
        <v/>
      </c>
      <c r="AW121" s="303" t="str">
        <f t="shared" si="349"/>
        <v/>
      </c>
      <c r="AX121" s="303" t="str">
        <f t="shared" si="349"/>
        <v/>
      </c>
      <c r="AY121" s="303" t="str">
        <f t="shared" si="349"/>
        <v/>
      </c>
      <c r="AZ121" s="303" t="str">
        <f t="shared" si="349"/>
        <v/>
      </c>
      <c r="BA121" s="303" t="str">
        <f t="shared" si="349"/>
        <v/>
      </c>
      <c r="BB121" s="303" t="str">
        <f t="shared" si="349"/>
        <v/>
      </c>
      <c r="BC121" s="303" t="str">
        <f t="shared" si="349"/>
        <v/>
      </c>
      <c r="BD121" s="303" t="str">
        <f t="shared" si="349"/>
        <v/>
      </c>
      <c r="BE121" s="303" t="str">
        <f t="shared" si="349"/>
        <v/>
      </c>
      <c r="BF121" s="303" t="str">
        <f t="shared" si="349"/>
        <v/>
      </c>
      <c r="BG121" s="303" t="str">
        <f t="shared" si="349"/>
        <v/>
      </c>
      <c r="BH121" s="303" t="str">
        <f t="shared" si="349"/>
        <v/>
      </c>
      <c r="BI121" s="303" t="str">
        <f t="shared" si="349"/>
        <v/>
      </c>
      <c r="BJ121" s="303" t="str">
        <f t="shared" si="349"/>
        <v/>
      </c>
      <c r="BK121" s="303" t="str">
        <f t="shared" si="349"/>
        <v/>
      </c>
      <c r="BL121" s="303" t="str">
        <f t="shared" si="349"/>
        <v/>
      </c>
      <c r="BM121" s="303" t="str">
        <f t="shared" si="349"/>
        <v/>
      </c>
      <c r="BN121" s="303" t="str">
        <f t="shared" ref="BN121:BZ121" si="350">IF(BN$2="-","",(IF(BN282="","",IF(BN$4&lt;$A121,BN282,(BN282-BN$3)/(1+BN$3%)))))</f>
        <v/>
      </c>
      <c r="BO121" s="303" t="str">
        <f t="shared" si="350"/>
        <v/>
      </c>
      <c r="BP121" s="303" t="str">
        <f t="shared" si="350"/>
        <v/>
      </c>
      <c r="BQ121" s="303" t="str">
        <f t="shared" si="350"/>
        <v/>
      </c>
      <c r="BR121" s="303" t="str">
        <f t="shared" si="350"/>
        <v/>
      </c>
      <c r="BS121" s="303" t="str">
        <f t="shared" si="350"/>
        <v/>
      </c>
      <c r="BT121" s="303" t="str">
        <f t="shared" si="350"/>
        <v/>
      </c>
      <c r="BU121" s="303" t="str">
        <f t="shared" si="350"/>
        <v/>
      </c>
      <c r="BV121" s="303" t="str">
        <f t="shared" si="350"/>
        <v/>
      </c>
      <c r="BW121" s="303" t="str">
        <f t="shared" si="350"/>
        <v/>
      </c>
      <c r="BX121" s="303">
        <f t="shared" si="350"/>
        <v>7.6627201153915747</v>
      </c>
      <c r="BY121" s="303">
        <f t="shared" si="350"/>
        <v>13.240276534091011</v>
      </c>
      <c r="BZ121" s="303">
        <f t="shared" si="350"/>
        <v>9.9</v>
      </c>
      <c r="CA121" s="303">
        <f t="shared" si="205"/>
        <v>3.948667324777877</v>
      </c>
    </row>
    <row r="122" spans="1:79">
      <c r="A122" s="58">
        <f t="shared" si="299"/>
        <v>1985</v>
      </c>
      <c r="B122" s="303">
        <f t="shared" ref="B122:AG122" si="351">IF(B$2="-","",(IF(B283="","",IF(B$4&lt;$A122,B283,(B283-B$3)/(1+B$3%)))))</f>
        <v>31.975641409603675</v>
      </c>
      <c r="C122" s="303">
        <f t="shared" si="351"/>
        <v>31.198244038710964</v>
      </c>
      <c r="D122" s="303">
        <f t="shared" si="351"/>
        <v>31.23</v>
      </c>
      <c r="E122" s="303">
        <f t="shared" si="351"/>
        <v>32.595031427716258</v>
      </c>
      <c r="F122" s="303">
        <f t="shared" si="351"/>
        <v>31.697096677641426</v>
      </c>
      <c r="G122" s="303">
        <f t="shared" si="351"/>
        <v>30.699391399780506</v>
      </c>
      <c r="H122" s="303">
        <f t="shared" si="351"/>
        <v>30.799161927566598</v>
      </c>
      <c r="I122" s="303">
        <f t="shared" si="351"/>
        <v>30.699391399780506</v>
      </c>
      <c r="J122" s="303">
        <f t="shared" si="351"/>
        <v>24.727128398491761</v>
      </c>
      <c r="K122" s="303">
        <f t="shared" si="351"/>
        <v>18.791143028126871</v>
      </c>
      <c r="L122" s="303">
        <f t="shared" si="351"/>
        <v>56.559096812868425</v>
      </c>
      <c r="M122" s="303">
        <f t="shared" si="351"/>
        <v>60.370776437755403</v>
      </c>
      <c r="N122" s="303">
        <f t="shared" si="351"/>
        <v>56.984633805627617</v>
      </c>
      <c r="O122" s="303">
        <f t="shared" si="351"/>
        <v>39.028525832834632</v>
      </c>
      <c r="P122" s="303">
        <f t="shared" si="351"/>
        <v>79.33373229603032</v>
      </c>
      <c r="Q122" s="303">
        <f t="shared" si="351"/>
        <v>54.430505774591801</v>
      </c>
      <c r="R122" s="303">
        <f t="shared" si="351"/>
        <v>13.03</v>
      </c>
      <c r="S122" s="303">
        <f t="shared" si="351"/>
        <v>30.404367572343421</v>
      </c>
      <c r="T122" s="303">
        <f t="shared" si="351"/>
        <v>20.345943656572945</v>
      </c>
      <c r="U122" s="303">
        <f t="shared" si="351"/>
        <v>17.764471057884233</v>
      </c>
      <c r="V122" s="303">
        <f t="shared" si="351"/>
        <v>7.37</v>
      </c>
      <c r="W122" s="303">
        <f t="shared" si="351"/>
        <v>8.6826347305389238</v>
      </c>
      <c r="X122" s="303">
        <f t="shared" si="351"/>
        <v>28.53</v>
      </c>
      <c r="Y122" s="303">
        <f t="shared" si="351"/>
        <v>27.41</v>
      </c>
      <c r="Z122" s="303">
        <f t="shared" si="351"/>
        <v>28.03</v>
      </c>
      <c r="AA122" s="303">
        <f t="shared" si="351"/>
        <v>12.974051896207584</v>
      </c>
      <c r="AB122" s="303">
        <f t="shared" si="351"/>
        <v>5.2585773411209571</v>
      </c>
      <c r="AC122" s="303">
        <f t="shared" si="351"/>
        <v>66.882534621898969</v>
      </c>
      <c r="AD122" s="303">
        <f t="shared" si="351"/>
        <v>14.008169771844177</v>
      </c>
      <c r="AE122" s="303">
        <f t="shared" si="351"/>
        <v>45.266095276061385</v>
      </c>
      <c r="AF122" s="303">
        <f t="shared" si="351"/>
        <v>-5.3046166118257059</v>
      </c>
      <c r="AG122" s="303">
        <f t="shared" si="351"/>
        <v>10.721402949382224</v>
      </c>
      <c r="AH122" s="303">
        <f t="shared" ref="AH122:BM122" si="352">IF(AH$2="-","",(IF(AH283="","",IF(AH$4&lt;$A122,AH283,(AH283-AH$3)/(1+AH$3%)))))</f>
        <v>6.7365269461077846</v>
      </c>
      <c r="AI122" s="303">
        <f t="shared" si="352"/>
        <v>17.095808383233532</v>
      </c>
      <c r="AJ122" s="303">
        <f t="shared" si="352"/>
        <v>20.528942115768462</v>
      </c>
      <c r="AK122" s="303">
        <f t="shared" si="352"/>
        <v>21.710066846253614</v>
      </c>
      <c r="AL122" s="303">
        <f t="shared" si="352"/>
        <v>31.697096677641426</v>
      </c>
      <c r="AM122" s="303">
        <f t="shared" si="352"/>
        <v>31.697096677641426</v>
      </c>
      <c r="AN122" s="303">
        <f t="shared" si="352"/>
        <v>31.298014566497059</v>
      </c>
      <c r="AO122" s="303">
        <f t="shared" si="352"/>
        <v>1.65</v>
      </c>
      <c r="AP122" s="303">
        <f t="shared" si="352"/>
        <v>14.9</v>
      </c>
      <c r="AQ122" s="303" t="str">
        <f t="shared" si="352"/>
        <v/>
      </c>
      <c r="AR122" s="303" t="str">
        <f t="shared" si="352"/>
        <v/>
      </c>
      <c r="AS122" s="303" t="str">
        <f t="shared" si="352"/>
        <v/>
      </c>
      <c r="AT122" s="303" t="str">
        <f t="shared" si="352"/>
        <v/>
      </c>
      <c r="AU122" s="303" t="str">
        <f t="shared" si="352"/>
        <v/>
      </c>
      <c r="AV122" s="303" t="str">
        <f t="shared" si="352"/>
        <v/>
      </c>
      <c r="AW122" s="303" t="str">
        <f t="shared" si="352"/>
        <v/>
      </c>
      <c r="AX122" s="303" t="str">
        <f t="shared" si="352"/>
        <v/>
      </c>
      <c r="AY122" s="303" t="str">
        <f t="shared" si="352"/>
        <v/>
      </c>
      <c r="AZ122" s="303" t="str">
        <f t="shared" si="352"/>
        <v/>
      </c>
      <c r="BA122" s="303" t="str">
        <f t="shared" si="352"/>
        <v/>
      </c>
      <c r="BB122" s="303" t="str">
        <f t="shared" si="352"/>
        <v/>
      </c>
      <c r="BC122" s="303" t="str">
        <f t="shared" si="352"/>
        <v/>
      </c>
      <c r="BD122" s="303" t="str">
        <f t="shared" si="352"/>
        <v/>
      </c>
      <c r="BE122" s="303" t="str">
        <f t="shared" si="352"/>
        <v/>
      </c>
      <c r="BF122" s="303" t="str">
        <f t="shared" si="352"/>
        <v/>
      </c>
      <c r="BG122" s="303" t="str">
        <f t="shared" si="352"/>
        <v/>
      </c>
      <c r="BH122" s="303" t="str">
        <f t="shared" si="352"/>
        <v/>
      </c>
      <c r="BI122" s="303" t="str">
        <f t="shared" si="352"/>
        <v/>
      </c>
      <c r="BJ122" s="303" t="str">
        <f t="shared" si="352"/>
        <v/>
      </c>
      <c r="BK122" s="303" t="str">
        <f t="shared" si="352"/>
        <v/>
      </c>
      <c r="BL122" s="303" t="str">
        <f t="shared" si="352"/>
        <v/>
      </c>
      <c r="BM122" s="303" t="str">
        <f t="shared" si="352"/>
        <v/>
      </c>
      <c r="BN122" s="303" t="str">
        <f t="shared" ref="BN122:BZ122" si="353">IF(BN$2="-","",(IF(BN283="","",IF(BN$4&lt;$A122,BN283,(BN283-BN$3)/(1+BN$3%)))))</f>
        <v/>
      </c>
      <c r="BO122" s="303" t="str">
        <f t="shared" si="353"/>
        <v/>
      </c>
      <c r="BP122" s="303" t="str">
        <f t="shared" si="353"/>
        <v/>
      </c>
      <c r="BQ122" s="303" t="str">
        <f t="shared" si="353"/>
        <v/>
      </c>
      <c r="BR122" s="303" t="str">
        <f t="shared" si="353"/>
        <v/>
      </c>
      <c r="BS122" s="303" t="str">
        <f t="shared" si="353"/>
        <v/>
      </c>
      <c r="BT122" s="303" t="str">
        <f t="shared" si="353"/>
        <v/>
      </c>
      <c r="BU122" s="303" t="str">
        <f t="shared" si="353"/>
        <v/>
      </c>
      <c r="BV122" s="303" t="str">
        <f t="shared" si="353"/>
        <v/>
      </c>
      <c r="BW122" s="303" t="str">
        <f t="shared" si="353"/>
        <v/>
      </c>
      <c r="BX122" s="303">
        <f t="shared" si="353"/>
        <v>25.919235475788117</v>
      </c>
      <c r="BY122" s="303">
        <f t="shared" si="353"/>
        <v>20.586635543886089</v>
      </c>
      <c r="BZ122" s="303">
        <f t="shared" si="353"/>
        <v>9.02</v>
      </c>
      <c r="CA122" s="303">
        <f t="shared" si="205"/>
        <v>3.7986704653371284</v>
      </c>
    </row>
    <row r="123" spans="1:79">
      <c r="A123" s="58">
        <f t="shared" si="299"/>
        <v>1986</v>
      </c>
      <c r="B123" s="303">
        <f t="shared" ref="B123:AG123" si="354">IF(B$2="-","",(IF(B284="","",IF(B$4&lt;$A123,B284,(B284-B$3)/(1+B$3%)))))</f>
        <v>15.902964959568735</v>
      </c>
      <c r="C123" s="303">
        <f t="shared" si="354"/>
        <v>19.724633343310387</v>
      </c>
      <c r="D123" s="303">
        <f t="shared" si="354"/>
        <v>18.059999999999999</v>
      </c>
      <c r="E123" s="303">
        <f t="shared" si="354"/>
        <v>15.135189065150154</v>
      </c>
      <c r="F123" s="303">
        <f t="shared" si="354"/>
        <v>17.928763843160731</v>
      </c>
      <c r="G123" s="303">
        <f t="shared" si="354"/>
        <v>7.1535468422627959</v>
      </c>
      <c r="H123" s="303">
        <f t="shared" si="354"/>
        <v>5.4574478698992319</v>
      </c>
      <c r="I123" s="303">
        <f t="shared" si="354"/>
        <v>3.3622667863913001</v>
      </c>
      <c r="J123" s="303">
        <f t="shared" si="354"/>
        <v>-0.47628497717801155</v>
      </c>
      <c r="K123" s="303">
        <f t="shared" si="354"/>
        <v>18.890883702373827</v>
      </c>
      <c r="L123" s="303">
        <f t="shared" si="354"/>
        <v>69.747227495254279</v>
      </c>
      <c r="M123" s="303">
        <f t="shared" si="354"/>
        <v>62.164855975281569</v>
      </c>
      <c r="N123" s="303">
        <f t="shared" si="354"/>
        <v>68.449411295150682</v>
      </c>
      <c r="O123" s="303">
        <f t="shared" si="354"/>
        <v>93.317374825453811</v>
      </c>
      <c r="P123" s="303">
        <f t="shared" si="354"/>
        <v>44.125274286854186</v>
      </c>
      <c r="Q123" s="303">
        <f t="shared" si="354"/>
        <v>64.645559538032671</v>
      </c>
      <c r="R123" s="303">
        <f t="shared" si="354"/>
        <v>-6.19</v>
      </c>
      <c r="S123" s="303">
        <f t="shared" si="354"/>
        <v>30.668014733727887</v>
      </c>
      <c r="T123" s="303">
        <f t="shared" si="354"/>
        <v>18.021296035046223</v>
      </c>
      <c r="U123" s="303">
        <f t="shared" si="354"/>
        <v>12.874251497005988</v>
      </c>
      <c r="V123" s="303">
        <f t="shared" si="354"/>
        <v>6</v>
      </c>
      <c r="W123" s="303">
        <f t="shared" si="354"/>
        <v>21.956087824351297</v>
      </c>
      <c r="X123" s="303">
        <f t="shared" si="354"/>
        <v>18.399999999999999</v>
      </c>
      <c r="Y123" s="303">
        <f t="shared" si="354"/>
        <v>18.34</v>
      </c>
      <c r="Z123" s="303">
        <f t="shared" si="354"/>
        <v>20.27</v>
      </c>
      <c r="AA123" s="303">
        <f t="shared" si="354"/>
        <v>11.676646706586828</v>
      </c>
      <c r="AB123" s="303">
        <f t="shared" si="354"/>
        <v>20.824312610223625</v>
      </c>
      <c r="AC123" s="303">
        <f t="shared" si="354"/>
        <v>58.951878051210521</v>
      </c>
      <c r="AD123" s="303">
        <f t="shared" si="354"/>
        <v>12.7</v>
      </c>
      <c r="AE123" s="303">
        <f t="shared" si="354"/>
        <v>21.42</v>
      </c>
      <c r="AF123" s="303">
        <f t="shared" si="354"/>
        <v>49.88</v>
      </c>
      <c r="AG123" s="303">
        <f t="shared" si="354"/>
        <v>21.41</v>
      </c>
      <c r="AH123" s="303">
        <f t="shared" ref="AH123:BM123" si="355">IF(AH$2="-","",(IF(AH284="","",IF(AH$4&lt;$A123,AH284,(AH284-AH$3)/(1+AH$3%)))))</f>
        <v>7.39</v>
      </c>
      <c r="AI123" s="303">
        <f t="shared" si="355"/>
        <v>16.21</v>
      </c>
      <c r="AJ123" s="303">
        <f t="shared" si="355"/>
        <v>19.38</v>
      </c>
      <c r="AK123" s="303">
        <f t="shared" si="355"/>
        <v>16.86</v>
      </c>
      <c r="AL123" s="303">
        <f t="shared" si="355"/>
        <v>17.330140676444181</v>
      </c>
      <c r="AM123" s="303">
        <f t="shared" si="355"/>
        <v>17.629452259802452</v>
      </c>
      <c r="AN123" s="303">
        <f t="shared" si="355"/>
        <v>12.321660181582361</v>
      </c>
      <c r="AO123" s="303">
        <f t="shared" si="355"/>
        <v>1.65</v>
      </c>
      <c r="AP123" s="303">
        <f t="shared" si="355"/>
        <v>11.4</v>
      </c>
      <c r="AQ123" s="303" t="str">
        <f t="shared" si="355"/>
        <v/>
      </c>
      <c r="AR123" s="303" t="str">
        <f t="shared" si="355"/>
        <v/>
      </c>
      <c r="AS123" s="303" t="str">
        <f t="shared" si="355"/>
        <v/>
      </c>
      <c r="AT123" s="303" t="str">
        <f t="shared" si="355"/>
        <v/>
      </c>
      <c r="AU123" s="303" t="str">
        <f t="shared" si="355"/>
        <v/>
      </c>
      <c r="AV123" s="303" t="str">
        <f t="shared" si="355"/>
        <v/>
      </c>
      <c r="AW123" s="303" t="str">
        <f t="shared" si="355"/>
        <v/>
      </c>
      <c r="AX123" s="303" t="str">
        <f t="shared" si="355"/>
        <v/>
      </c>
      <c r="AY123" s="303" t="str">
        <f t="shared" si="355"/>
        <v/>
      </c>
      <c r="AZ123" s="303" t="str">
        <f t="shared" si="355"/>
        <v/>
      </c>
      <c r="BA123" s="303" t="str">
        <f t="shared" si="355"/>
        <v/>
      </c>
      <c r="BB123" s="303" t="str">
        <f t="shared" si="355"/>
        <v/>
      </c>
      <c r="BC123" s="303" t="str">
        <f t="shared" si="355"/>
        <v/>
      </c>
      <c r="BD123" s="303" t="str">
        <f t="shared" si="355"/>
        <v/>
      </c>
      <c r="BE123" s="303" t="str">
        <f t="shared" si="355"/>
        <v/>
      </c>
      <c r="BF123" s="303" t="str">
        <f t="shared" si="355"/>
        <v/>
      </c>
      <c r="BG123" s="303" t="str">
        <f t="shared" si="355"/>
        <v/>
      </c>
      <c r="BH123" s="303" t="str">
        <f t="shared" si="355"/>
        <v/>
      </c>
      <c r="BI123" s="303" t="str">
        <f t="shared" si="355"/>
        <v/>
      </c>
      <c r="BJ123" s="303" t="str">
        <f t="shared" si="355"/>
        <v/>
      </c>
      <c r="BK123" s="303" t="str">
        <f t="shared" si="355"/>
        <v/>
      </c>
      <c r="BL123" s="303" t="str">
        <f t="shared" si="355"/>
        <v/>
      </c>
      <c r="BM123" s="303" t="str">
        <f t="shared" si="355"/>
        <v/>
      </c>
      <c r="BN123" s="303" t="str">
        <f t="shared" ref="BN123:BZ123" si="356">IF(BN$2="-","",(IF(BN284="","",IF(BN$4&lt;$A123,BN284,(BN284-BN$3)/(1+BN$3%)))))</f>
        <v/>
      </c>
      <c r="BO123" s="303" t="str">
        <f t="shared" si="356"/>
        <v/>
      </c>
      <c r="BP123" s="303" t="str">
        <f t="shared" si="356"/>
        <v/>
      </c>
      <c r="BQ123" s="303" t="str">
        <f t="shared" si="356"/>
        <v/>
      </c>
      <c r="BR123" s="303" t="str">
        <f t="shared" si="356"/>
        <v/>
      </c>
      <c r="BS123" s="303" t="str">
        <f t="shared" si="356"/>
        <v/>
      </c>
      <c r="BT123" s="303" t="str">
        <f t="shared" si="356"/>
        <v/>
      </c>
      <c r="BU123" s="303" t="str">
        <f t="shared" si="356"/>
        <v/>
      </c>
      <c r="BV123" s="303" t="str">
        <f t="shared" si="356"/>
        <v/>
      </c>
      <c r="BW123" s="303" t="str">
        <f t="shared" si="356"/>
        <v/>
      </c>
      <c r="BX123" s="303">
        <f t="shared" si="356"/>
        <v>31.029348191555783</v>
      </c>
      <c r="BY123" s="303">
        <f t="shared" si="356"/>
        <v>18.257338627116315</v>
      </c>
      <c r="BZ123" s="303">
        <f t="shared" si="356"/>
        <v>7.73</v>
      </c>
      <c r="CA123" s="303">
        <f t="shared" si="205"/>
        <v>1.0978956999085021</v>
      </c>
    </row>
    <row r="124" spans="1:79">
      <c r="A124" s="58">
        <f t="shared" si="299"/>
        <v>1987</v>
      </c>
      <c r="B124" s="303">
        <f t="shared" ref="B124:AG124" si="357">IF(B$2="-","",(IF(B285="","",IF(B$4&lt;$A124,B285,(B285-B$3)/(1+B$3%)))))</f>
        <v>1.527403414195867</v>
      </c>
      <c r="C124" s="303">
        <f t="shared" si="357"/>
        <v>0.26938042502244841</v>
      </c>
      <c r="D124" s="303">
        <f t="shared" si="357"/>
        <v>4.71</v>
      </c>
      <c r="E124" s="303">
        <f t="shared" si="357"/>
        <v>5.0583657587548636</v>
      </c>
      <c r="F124" s="303">
        <f t="shared" si="357"/>
        <v>-2.9931158335827598E-2</v>
      </c>
      <c r="G124" s="303">
        <f t="shared" si="357"/>
        <v>-7.3131796867205434</v>
      </c>
      <c r="H124" s="303">
        <f t="shared" si="357"/>
        <v>-9.0092786590841083</v>
      </c>
      <c r="I124" s="303">
        <f t="shared" si="357"/>
        <v>-10.705377631447671</v>
      </c>
      <c r="J124" s="303">
        <f t="shared" si="357"/>
        <v>-15.558642587815042</v>
      </c>
      <c r="K124" s="303">
        <f t="shared" si="357"/>
        <v>-3.8499900259325757</v>
      </c>
      <c r="L124" s="303">
        <f t="shared" si="357"/>
        <v>24.787691078029773</v>
      </c>
      <c r="M124" s="303">
        <f t="shared" si="357"/>
        <v>37.247084620751522</v>
      </c>
      <c r="N124" s="303">
        <f t="shared" si="357"/>
        <v>26.541608461384953</v>
      </c>
      <c r="O124" s="303">
        <f t="shared" si="357"/>
        <v>39.487332934370642</v>
      </c>
      <c r="P124" s="303">
        <f t="shared" si="357"/>
        <v>3.8300418910831837</v>
      </c>
      <c r="Q124" s="303">
        <f t="shared" si="357"/>
        <v>34.428514536041426</v>
      </c>
      <c r="R124" s="303">
        <f t="shared" si="357"/>
        <v>17.91</v>
      </c>
      <c r="S124" s="303">
        <f t="shared" si="357"/>
        <v>-3.1237524950099802</v>
      </c>
      <c r="T124" s="303">
        <f t="shared" si="357"/>
        <v>0.83785628444033255</v>
      </c>
      <c r="U124" s="303">
        <f t="shared" si="357"/>
        <v>0.9381237524950099</v>
      </c>
      <c r="V124" s="303">
        <f t="shared" si="357"/>
        <v>6.12</v>
      </c>
      <c r="W124" s="303">
        <f t="shared" si="357"/>
        <v>8.1836327345309385</v>
      </c>
      <c r="X124" s="303">
        <f t="shared" si="357"/>
        <v>2.2799999999999998</v>
      </c>
      <c r="Y124" s="303">
        <f t="shared" si="357"/>
        <v>-1.92</v>
      </c>
      <c r="Z124" s="303">
        <f t="shared" si="357"/>
        <v>1.23</v>
      </c>
      <c r="AA124" s="303">
        <f t="shared" si="357"/>
        <v>5.788423153692615</v>
      </c>
      <c r="AB124" s="303">
        <f t="shared" si="357"/>
        <v>21.720474273858553</v>
      </c>
      <c r="AC124" s="303">
        <f t="shared" si="357"/>
        <v>40.151439673209126</v>
      </c>
      <c r="AD124" s="303">
        <f t="shared" si="357"/>
        <v>6.13</v>
      </c>
      <c r="AE124" s="303">
        <f t="shared" si="357"/>
        <v>-0.5</v>
      </c>
      <c r="AF124" s="303">
        <f t="shared" si="357"/>
        <v>38.729999999999997</v>
      </c>
      <c r="AG124" s="303">
        <f t="shared" si="357"/>
        <v>-2.14</v>
      </c>
      <c r="AH124" s="303">
        <f t="shared" ref="AH124:BM124" si="358">IF(AH$2="-","",(IF(AH285="","",IF(AH$4&lt;$A124,AH285,(AH285-AH$3)/(1+AH$3%)))))</f>
        <v>4.1100000000000003</v>
      </c>
      <c r="AI124" s="303">
        <f t="shared" si="358"/>
        <v>1.64</v>
      </c>
      <c r="AJ124" s="303">
        <f t="shared" si="358"/>
        <v>-1.1399999999999999</v>
      </c>
      <c r="AK124" s="303">
        <f t="shared" si="358"/>
        <v>2.65</v>
      </c>
      <c r="AL124" s="303">
        <f t="shared" si="358"/>
        <v>2.5641025641025639</v>
      </c>
      <c r="AM124" s="303">
        <f t="shared" si="358"/>
        <v>-2.4244238252020356</v>
      </c>
      <c r="AN124" s="303">
        <f t="shared" si="358"/>
        <v>-4.0706375336725538</v>
      </c>
      <c r="AO124" s="303">
        <f t="shared" si="358"/>
        <v>1.65</v>
      </c>
      <c r="AP124" s="303">
        <f t="shared" si="358"/>
        <v>4.46</v>
      </c>
      <c r="AQ124" s="303" t="str">
        <f t="shared" si="358"/>
        <v/>
      </c>
      <c r="AR124" s="303" t="str">
        <f t="shared" si="358"/>
        <v/>
      </c>
      <c r="AS124" s="303" t="str">
        <f t="shared" si="358"/>
        <v/>
      </c>
      <c r="AT124" s="303" t="str">
        <f t="shared" si="358"/>
        <v/>
      </c>
      <c r="AU124" s="303" t="str">
        <f t="shared" si="358"/>
        <v/>
      </c>
      <c r="AV124" s="303" t="str">
        <f t="shared" si="358"/>
        <v/>
      </c>
      <c r="AW124" s="303" t="str">
        <f t="shared" si="358"/>
        <v/>
      </c>
      <c r="AX124" s="303" t="str">
        <f t="shared" si="358"/>
        <v/>
      </c>
      <c r="AY124" s="303" t="str">
        <f t="shared" si="358"/>
        <v/>
      </c>
      <c r="AZ124" s="303" t="str">
        <f t="shared" si="358"/>
        <v/>
      </c>
      <c r="BA124" s="303" t="str">
        <f t="shared" si="358"/>
        <v/>
      </c>
      <c r="BB124" s="303" t="str">
        <f t="shared" si="358"/>
        <v/>
      </c>
      <c r="BC124" s="303" t="str">
        <f t="shared" si="358"/>
        <v/>
      </c>
      <c r="BD124" s="303" t="str">
        <f t="shared" si="358"/>
        <v/>
      </c>
      <c r="BE124" s="303" t="str">
        <f t="shared" si="358"/>
        <v/>
      </c>
      <c r="BF124" s="303" t="str">
        <f t="shared" si="358"/>
        <v/>
      </c>
      <c r="BG124" s="303" t="str">
        <f t="shared" si="358"/>
        <v/>
      </c>
      <c r="BH124" s="303" t="str">
        <f t="shared" si="358"/>
        <v/>
      </c>
      <c r="BI124" s="303" t="str">
        <f t="shared" si="358"/>
        <v/>
      </c>
      <c r="BJ124" s="303" t="str">
        <f t="shared" si="358"/>
        <v/>
      </c>
      <c r="BK124" s="303" t="str">
        <f t="shared" si="358"/>
        <v/>
      </c>
      <c r="BL124" s="303" t="str">
        <f t="shared" si="358"/>
        <v/>
      </c>
      <c r="BM124" s="303" t="str">
        <f t="shared" si="358"/>
        <v/>
      </c>
      <c r="BN124" s="303" t="str">
        <f t="shared" ref="BN124:BZ124" si="359">IF(BN$2="-","",(IF(BN285="","",IF(BN$4&lt;$A124,BN285,(BN285-BN$3)/(1+BN$3%)))))</f>
        <v/>
      </c>
      <c r="BO124" s="303" t="str">
        <f t="shared" si="359"/>
        <v/>
      </c>
      <c r="BP124" s="303" t="str">
        <f t="shared" si="359"/>
        <v/>
      </c>
      <c r="BQ124" s="303" t="str">
        <f t="shared" si="359"/>
        <v/>
      </c>
      <c r="BR124" s="303" t="str">
        <f t="shared" si="359"/>
        <v/>
      </c>
      <c r="BS124" s="303" t="str">
        <f t="shared" si="359"/>
        <v/>
      </c>
      <c r="BT124" s="303" t="str">
        <f t="shared" si="359"/>
        <v/>
      </c>
      <c r="BU124" s="303" t="str">
        <f t="shared" si="359"/>
        <v/>
      </c>
      <c r="BV124" s="303" t="str">
        <f t="shared" si="359"/>
        <v/>
      </c>
      <c r="BW124" s="303" t="str">
        <f t="shared" si="359"/>
        <v/>
      </c>
      <c r="BX124" s="303">
        <f t="shared" si="359"/>
        <v>-1.973460360666901</v>
      </c>
      <c r="BY124" s="303">
        <f t="shared" si="359"/>
        <v>1.0395319970092132</v>
      </c>
      <c r="BZ124" s="303">
        <f t="shared" si="359"/>
        <v>5.78</v>
      </c>
      <c r="CA124" s="303">
        <f t="shared" si="205"/>
        <v>4.4343891402714997</v>
      </c>
    </row>
    <row r="125" spans="1:79">
      <c r="A125" s="58">
        <f t="shared" si="299"/>
        <v>1988</v>
      </c>
      <c r="B125" s="303">
        <f t="shared" ref="B125:AG125" si="360">IF(B$2="-","",(IF(B286="","",IF(B$4&lt;$A125,B286,(B286-B$3)/(1+B$3%)))))</f>
        <v>17.799740441249874</v>
      </c>
      <c r="C125" s="303">
        <f t="shared" si="360"/>
        <v>22.91729023246533</v>
      </c>
      <c r="D125" s="303">
        <f t="shared" si="360"/>
        <v>16.22</v>
      </c>
      <c r="E125" s="303">
        <f t="shared" si="360"/>
        <v>11.044597425920383</v>
      </c>
      <c r="F125" s="303">
        <f t="shared" si="360"/>
        <v>19.525092287738204</v>
      </c>
      <c r="G125" s="303">
        <f t="shared" si="360"/>
        <v>29.202833482989124</v>
      </c>
      <c r="H125" s="303">
        <f t="shared" si="360"/>
        <v>24.613389204828891</v>
      </c>
      <c r="I125" s="303">
        <f t="shared" si="360"/>
        <v>20.123715454454754</v>
      </c>
      <c r="J125" s="303">
        <f t="shared" si="360"/>
        <v>19.865052589799561</v>
      </c>
      <c r="K125" s="303">
        <f t="shared" si="360"/>
        <v>13.205665270297228</v>
      </c>
      <c r="L125" s="303">
        <f t="shared" si="360"/>
        <v>28.484364072334902</v>
      </c>
      <c r="M125" s="303">
        <f t="shared" si="360"/>
        <v>39.93820392704076</v>
      </c>
      <c r="N125" s="303">
        <f t="shared" si="360"/>
        <v>30.083815605667535</v>
      </c>
      <c r="O125" s="303">
        <f t="shared" si="360"/>
        <v>34.839417514462397</v>
      </c>
      <c r="P125" s="303">
        <f t="shared" si="360"/>
        <v>16.098144823459005</v>
      </c>
      <c r="Q125" s="303">
        <f t="shared" si="360"/>
        <v>37.992831541218642</v>
      </c>
      <c r="R125" s="303">
        <f t="shared" si="360"/>
        <v>18.5</v>
      </c>
      <c r="S125" s="303">
        <f t="shared" si="360"/>
        <v>9.15</v>
      </c>
      <c r="T125" s="303">
        <f t="shared" si="360"/>
        <v>5.4199927741934681</v>
      </c>
      <c r="U125" s="303">
        <f t="shared" si="360"/>
        <v>7.35</v>
      </c>
      <c r="V125" s="303">
        <f t="shared" si="360"/>
        <v>7.18</v>
      </c>
      <c r="W125" s="303">
        <f t="shared" si="360"/>
        <v>18.662674650698602</v>
      </c>
      <c r="X125" s="303">
        <f t="shared" si="360"/>
        <v>16.11</v>
      </c>
      <c r="Y125" s="303">
        <f t="shared" si="360"/>
        <v>13.61</v>
      </c>
      <c r="Z125" s="303">
        <f t="shared" si="360"/>
        <v>28.7</v>
      </c>
      <c r="AA125" s="303">
        <f t="shared" si="360"/>
        <v>5.6886227544910177</v>
      </c>
      <c r="AB125" s="303">
        <f t="shared" si="360"/>
        <v>-15.592741613591084</v>
      </c>
      <c r="AC125" s="303">
        <f t="shared" si="360"/>
        <v>25.475739762877353</v>
      </c>
      <c r="AD125" s="303">
        <f t="shared" si="360"/>
        <v>21.37</v>
      </c>
      <c r="AE125" s="303">
        <f t="shared" si="360"/>
        <v>28.4</v>
      </c>
      <c r="AF125" s="303">
        <f t="shared" si="360"/>
        <v>-14.19</v>
      </c>
      <c r="AG125" s="303">
        <f t="shared" si="360"/>
        <v>24.72</v>
      </c>
      <c r="AH125" s="303">
        <f t="shared" ref="AH125:BM125" si="361">IF(AH$2="-","",(IF(AH286="","",IF(AH$4&lt;$A125,AH286,(AH286-AH$3)/(1+AH$3%)))))</f>
        <v>5.61</v>
      </c>
      <c r="AI125" s="303">
        <f t="shared" si="361"/>
        <v>10</v>
      </c>
      <c r="AJ125" s="303">
        <f t="shared" si="361"/>
        <v>12.24</v>
      </c>
      <c r="AK125" s="303">
        <f t="shared" si="361"/>
        <v>13.55</v>
      </c>
      <c r="AL125" s="303">
        <f t="shared" si="361"/>
        <v>12.640925870497854</v>
      </c>
      <c r="AM125" s="303">
        <f t="shared" si="361"/>
        <v>24.31407762147062</v>
      </c>
      <c r="AN125" s="303">
        <f t="shared" si="361"/>
        <v>19.475207023845158</v>
      </c>
      <c r="AO125" s="303">
        <f t="shared" si="361"/>
        <v>6.25</v>
      </c>
      <c r="AP125" s="303">
        <f t="shared" si="361"/>
        <v>6.95</v>
      </c>
      <c r="AQ125" s="303" t="str">
        <f t="shared" si="361"/>
        <v/>
      </c>
      <c r="AR125" s="303" t="str">
        <f t="shared" si="361"/>
        <v/>
      </c>
      <c r="AS125" s="303" t="str">
        <f t="shared" si="361"/>
        <v/>
      </c>
      <c r="AT125" s="303" t="str">
        <f t="shared" si="361"/>
        <v/>
      </c>
      <c r="AU125" s="303" t="str">
        <f t="shared" si="361"/>
        <v/>
      </c>
      <c r="AV125" s="303" t="str">
        <f t="shared" si="361"/>
        <v/>
      </c>
      <c r="AW125" s="303" t="str">
        <f t="shared" si="361"/>
        <v/>
      </c>
      <c r="AX125" s="303" t="str">
        <f t="shared" si="361"/>
        <v/>
      </c>
      <c r="AY125" s="303" t="str">
        <f t="shared" si="361"/>
        <v/>
      </c>
      <c r="AZ125" s="303" t="str">
        <f t="shared" si="361"/>
        <v/>
      </c>
      <c r="BA125" s="303" t="str">
        <f t="shared" si="361"/>
        <v/>
      </c>
      <c r="BB125" s="303" t="str">
        <f t="shared" si="361"/>
        <v/>
      </c>
      <c r="BC125" s="303" t="str">
        <f t="shared" si="361"/>
        <v/>
      </c>
      <c r="BD125" s="303" t="str">
        <f t="shared" si="361"/>
        <v/>
      </c>
      <c r="BE125" s="303" t="str">
        <f t="shared" si="361"/>
        <v/>
      </c>
      <c r="BF125" s="303" t="str">
        <f t="shared" si="361"/>
        <v/>
      </c>
      <c r="BG125" s="303" t="str">
        <f t="shared" si="361"/>
        <v/>
      </c>
      <c r="BH125" s="303" t="str">
        <f t="shared" si="361"/>
        <v/>
      </c>
      <c r="BI125" s="303" t="str">
        <f t="shared" si="361"/>
        <v/>
      </c>
      <c r="BJ125" s="303" t="str">
        <f t="shared" si="361"/>
        <v/>
      </c>
      <c r="BK125" s="303" t="str">
        <f t="shared" si="361"/>
        <v/>
      </c>
      <c r="BL125" s="303" t="str">
        <f t="shared" si="361"/>
        <v/>
      </c>
      <c r="BM125" s="303" t="str">
        <f t="shared" si="361"/>
        <v/>
      </c>
      <c r="BN125" s="303" t="str">
        <f t="shared" ref="BN125:BZ125" si="362">IF(BN$2="-","",(IF(BN286="","",IF(BN$4&lt;$A125,BN286,(BN286-BN$3)/(1+BN$3%)))))</f>
        <v/>
      </c>
      <c r="BO125" s="303" t="str">
        <f t="shared" si="362"/>
        <v/>
      </c>
      <c r="BP125" s="303" t="str">
        <f t="shared" si="362"/>
        <v/>
      </c>
      <c r="BQ125" s="303" t="str">
        <f t="shared" si="362"/>
        <v/>
      </c>
      <c r="BR125" s="303" t="str">
        <f t="shared" si="362"/>
        <v/>
      </c>
      <c r="BS125" s="303" t="str">
        <f t="shared" si="362"/>
        <v/>
      </c>
      <c r="BT125" s="303" t="str">
        <f t="shared" si="362"/>
        <v/>
      </c>
      <c r="BU125" s="303" t="str">
        <f t="shared" si="362"/>
        <v/>
      </c>
      <c r="BV125" s="303" t="str">
        <f t="shared" si="362"/>
        <v/>
      </c>
      <c r="BW125" s="303" t="str">
        <f t="shared" si="362"/>
        <v/>
      </c>
      <c r="BX125" s="303">
        <f t="shared" si="362"/>
        <v>17.829766847652539</v>
      </c>
      <c r="BY125" s="303">
        <f t="shared" si="362"/>
        <v>5.630832759741855</v>
      </c>
      <c r="BZ125" s="303">
        <f t="shared" si="362"/>
        <v>6.99</v>
      </c>
      <c r="CA125" s="303">
        <f t="shared" si="205"/>
        <v>4.4194107452339537</v>
      </c>
    </row>
    <row r="126" spans="1:79">
      <c r="A126" s="58">
        <f t="shared" si="299"/>
        <v>1989</v>
      </c>
      <c r="B126" s="303">
        <f t="shared" ref="B126:AG126" si="363">IF(B$2="-","",(IF(B287="","",IF(B$4&lt;$A126,B287,(B287-B$3)/(1+B$3%)))))</f>
        <v>28.681241888789053</v>
      </c>
      <c r="C126" s="303">
        <f t="shared" si="363"/>
        <v>24.91270078818717</v>
      </c>
      <c r="D126" s="303">
        <f t="shared" si="363"/>
        <v>31.36</v>
      </c>
      <c r="E126" s="303">
        <f t="shared" si="363"/>
        <v>35.588147261299014</v>
      </c>
      <c r="F126" s="303">
        <f t="shared" si="363"/>
        <v>26.010176593834181</v>
      </c>
      <c r="G126" s="303">
        <f t="shared" si="363"/>
        <v>12.142073231567394</v>
      </c>
      <c r="H126" s="303">
        <f t="shared" si="363"/>
        <v>15.933353287438891</v>
      </c>
      <c r="I126" s="303">
        <f t="shared" si="363"/>
        <v>19.92417439888257</v>
      </c>
      <c r="J126" s="303">
        <f t="shared" si="363"/>
        <v>4.6834689422504461</v>
      </c>
      <c r="K126" s="303">
        <f t="shared" si="363"/>
        <v>8.5178535806902076</v>
      </c>
      <c r="L126" s="303">
        <f t="shared" si="363"/>
        <v>10.700369667299432</v>
      </c>
      <c r="M126" s="303">
        <f t="shared" si="363"/>
        <v>64.457290939898328</v>
      </c>
      <c r="N126" s="303">
        <f t="shared" si="363"/>
        <v>18.66892835761325</v>
      </c>
      <c r="O126" s="303">
        <f t="shared" si="363"/>
        <v>2.4137243167763813</v>
      </c>
      <c r="P126" s="303">
        <f t="shared" si="363"/>
        <v>28.765210452822664</v>
      </c>
      <c r="Q126" s="303">
        <f t="shared" si="363"/>
        <v>17.642373556352052</v>
      </c>
      <c r="R126" s="303">
        <f t="shared" si="363"/>
        <v>27.72</v>
      </c>
      <c r="S126" s="303">
        <f t="shared" si="363"/>
        <v>17.93</v>
      </c>
      <c r="T126" s="303">
        <f t="shared" si="363"/>
        <v>12.889459258961228</v>
      </c>
      <c r="U126" s="303">
        <f t="shared" si="363"/>
        <v>13.64</v>
      </c>
      <c r="V126" s="303">
        <f t="shared" si="363"/>
        <v>8.8699999999999992</v>
      </c>
      <c r="W126" s="303">
        <f t="shared" si="363"/>
        <v>5.8882235528942113</v>
      </c>
      <c r="X126" s="303">
        <f t="shared" si="363"/>
        <v>21.6</v>
      </c>
      <c r="Y126" s="303">
        <f t="shared" si="363"/>
        <v>20.93</v>
      </c>
      <c r="Z126" s="303">
        <f t="shared" si="363"/>
        <v>15.02</v>
      </c>
      <c r="AA126" s="303">
        <f t="shared" si="363"/>
        <v>8.4830339321357293</v>
      </c>
      <c r="AB126" s="303">
        <f t="shared" si="363"/>
        <v>-3.2268245725203943</v>
      </c>
      <c r="AC126" s="303">
        <f t="shared" si="363"/>
        <v>30.287934641825245</v>
      </c>
      <c r="AD126" s="303">
        <f t="shared" si="363"/>
        <v>43.45</v>
      </c>
      <c r="AE126" s="303">
        <f t="shared" si="363"/>
        <v>32.950000000000003</v>
      </c>
      <c r="AF126" s="303">
        <f t="shared" si="363"/>
        <v>30.4</v>
      </c>
      <c r="AG126" s="303">
        <f t="shared" si="363"/>
        <v>27.83</v>
      </c>
      <c r="AH126" s="303">
        <f t="shared" ref="AH126:BM126" si="364">IF(AH$2="-","",(IF(AH287="","",IF(AH$4&lt;$A126,AH287,(AH287-AH$3)/(1+AH$3%)))))</f>
        <v>7.08</v>
      </c>
      <c r="AI126" s="303">
        <f t="shared" si="364"/>
        <v>10</v>
      </c>
      <c r="AJ126" s="303">
        <f t="shared" si="364"/>
        <v>11.54</v>
      </c>
      <c r="AK126" s="303">
        <f t="shared" si="364"/>
        <v>1.89</v>
      </c>
      <c r="AL126" s="303">
        <f t="shared" si="364"/>
        <v>31.198244038710964</v>
      </c>
      <c r="AM126" s="303">
        <f t="shared" si="364"/>
        <v>22.418437593534868</v>
      </c>
      <c r="AN126" s="303">
        <f t="shared" si="364"/>
        <v>24.1</v>
      </c>
      <c r="AO126" s="303">
        <f t="shared" si="364"/>
        <v>13.45</v>
      </c>
      <c r="AP126" s="303">
        <f t="shared" si="364"/>
        <v>11.45</v>
      </c>
      <c r="AQ126" s="303" t="str">
        <f t="shared" si="364"/>
        <v/>
      </c>
      <c r="AR126" s="303" t="str">
        <f t="shared" si="364"/>
        <v/>
      </c>
      <c r="AS126" s="303" t="str">
        <f t="shared" si="364"/>
        <v/>
      </c>
      <c r="AT126" s="303" t="str">
        <f t="shared" si="364"/>
        <v/>
      </c>
      <c r="AU126" s="303" t="str">
        <f t="shared" si="364"/>
        <v/>
      </c>
      <c r="AV126" s="303" t="str">
        <f t="shared" si="364"/>
        <v/>
      </c>
      <c r="AW126" s="303" t="str">
        <f t="shared" si="364"/>
        <v/>
      </c>
      <c r="AX126" s="303" t="str">
        <f t="shared" si="364"/>
        <v/>
      </c>
      <c r="AY126" s="303" t="str">
        <f t="shared" si="364"/>
        <v/>
      </c>
      <c r="AZ126" s="303" t="str">
        <f t="shared" si="364"/>
        <v/>
      </c>
      <c r="BA126" s="303" t="str">
        <f t="shared" si="364"/>
        <v/>
      </c>
      <c r="BB126" s="303" t="str">
        <f t="shared" si="364"/>
        <v/>
      </c>
      <c r="BC126" s="303" t="str">
        <f t="shared" si="364"/>
        <v/>
      </c>
      <c r="BD126" s="303" t="str">
        <f t="shared" si="364"/>
        <v/>
      </c>
      <c r="BE126" s="303" t="str">
        <f t="shared" si="364"/>
        <v/>
      </c>
      <c r="BF126" s="303" t="str">
        <f t="shared" si="364"/>
        <v/>
      </c>
      <c r="BG126" s="303" t="str">
        <f t="shared" si="364"/>
        <v/>
      </c>
      <c r="BH126" s="303" t="str">
        <f t="shared" si="364"/>
        <v/>
      </c>
      <c r="BI126" s="303" t="str">
        <f t="shared" si="364"/>
        <v/>
      </c>
      <c r="BJ126" s="303" t="str">
        <f t="shared" si="364"/>
        <v/>
      </c>
      <c r="BK126" s="303" t="str">
        <f t="shared" si="364"/>
        <v/>
      </c>
      <c r="BL126" s="303" t="str">
        <f t="shared" si="364"/>
        <v/>
      </c>
      <c r="BM126" s="303" t="str">
        <f t="shared" si="364"/>
        <v/>
      </c>
      <c r="BN126" s="303" t="str">
        <f t="shared" ref="BN126:BZ126" si="365">IF(BN$2="-","",(IF(BN287="","",IF(BN$4&lt;$A126,BN287,(BN287-BN$3)/(1+BN$3%)))))</f>
        <v/>
      </c>
      <c r="BO126" s="303" t="str">
        <f t="shared" si="365"/>
        <v/>
      </c>
      <c r="BP126" s="303" t="str">
        <f t="shared" si="365"/>
        <v/>
      </c>
      <c r="BQ126" s="303" t="str">
        <f t="shared" si="365"/>
        <v/>
      </c>
      <c r="BR126" s="303" t="str">
        <f t="shared" si="365"/>
        <v/>
      </c>
      <c r="BS126" s="303" t="str">
        <f t="shared" si="365"/>
        <v/>
      </c>
      <c r="BT126" s="303" t="str">
        <f t="shared" si="365"/>
        <v/>
      </c>
      <c r="BU126" s="303" t="str">
        <f t="shared" si="365"/>
        <v/>
      </c>
      <c r="BV126" s="303" t="str">
        <f t="shared" si="365"/>
        <v/>
      </c>
      <c r="BW126" s="303" t="str">
        <f t="shared" si="365"/>
        <v/>
      </c>
      <c r="BX126" s="303">
        <f t="shared" si="365"/>
        <v>22.987982201044122</v>
      </c>
      <c r="BY126" s="303">
        <f t="shared" si="365"/>
        <v>13.115238177479149</v>
      </c>
      <c r="BZ126" s="303">
        <f t="shared" si="365"/>
        <v>9.0500000000000007</v>
      </c>
      <c r="CA126" s="303">
        <f t="shared" si="205"/>
        <v>4.647302904564321</v>
      </c>
    </row>
    <row r="127" spans="1:79">
      <c r="A127" s="58">
        <f t="shared" si="299"/>
        <v>1990</v>
      </c>
      <c r="B127" s="303">
        <f t="shared" ref="B127:AG127" si="366">IF(B$2="-","",(IF(B288="","",IF(B$4&lt;$A127,B288,(B288-B$3)/(1+B$3%)))))</f>
        <v>-6.1595288010382347</v>
      </c>
      <c r="C127" s="303">
        <f t="shared" si="366"/>
        <v>-8.3108849645814633</v>
      </c>
      <c r="D127" s="303">
        <f t="shared" si="366"/>
        <v>-3.32</v>
      </c>
      <c r="E127" s="303">
        <f t="shared" si="366"/>
        <v>-0.52878379726628755</v>
      </c>
      <c r="F127" s="303">
        <f t="shared" si="366"/>
        <v>-11.703082909308591</v>
      </c>
      <c r="G127" s="303">
        <f t="shared" si="366"/>
        <v>-21.979447271276065</v>
      </c>
      <c r="H127" s="303">
        <f t="shared" si="366"/>
        <v>-19.68472513219595</v>
      </c>
      <c r="I127" s="303">
        <f t="shared" si="366"/>
        <v>-17.589544048688015</v>
      </c>
      <c r="J127" s="303">
        <f t="shared" si="366"/>
        <v>-31.8317126413971</v>
      </c>
      <c r="K127" s="303">
        <f t="shared" si="366"/>
        <v>-15.619389587073609</v>
      </c>
      <c r="L127" s="303">
        <f t="shared" si="366"/>
        <v>-23.269057847936857</v>
      </c>
      <c r="M127" s="303">
        <f t="shared" si="366"/>
        <v>-10.894049636200537</v>
      </c>
      <c r="N127" s="303">
        <f t="shared" si="366"/>
        <v>-21.482737976451805</v>
      </c>
      <c r="O127" s="303">
        <f t="shared" si="366"/>
        <v>-34.46040295232396</v>
      </c>
      <c r="P127" s="303">
        <f t="shared" si="366"/>
        <v>-3.6505086774386597</v>
      </c>
      <c r="Q127" s="303">
        <f t="shared" si="366"/>
        <v>-21.973317403424932</v>
      </c>
      <c r="R127" s="303">
        <f t="shared" si="366"/>
        <v>25.13</v>
      </c>
      <c r="S127" s="303">
        <f t="shared" si="366"/>
        <v>5.78</v>
      </c>
      <c r="T127" s="303">
        <f t="shared" si="366"/>
        <v>9.4182578819516376</v>
      </c>
      <c r="U127" s="303">
        <f t="shared" si="366"/>
        <v>8.65</v>
      </c>
      <c r="V127" s="303">
        <f t="shared" si="366"/>
        <v>7.94</v>
      </c>
      <c r="W127" s="303">
        <f t="shared" si="366"/>
        <v>5.9880239520958085</v>
      </c>
      <c r="X127" s="303">
        <f t="shared" si="366"/>
        <v>-2.81</v>
      </c>
      <c r="Y127" s="303">
        <f t="shared" si="366"/>
        <v>3.76</v>
      </c>
      <c r="Z127" s="303">
        <f t="shared" si="366"/>
        <v>-15.5</v>
      </c>
      <c r="AA127" s="303">
        <f t="shared" si="366"/>
        <v>8.6826347305389238</v>
      </c>
      <c r="AB127" s="303">
        <f t="shared" si="366"/>
        <v>-1.8601959447708469</v>
      </c>
      <c r="AC127" s="303">
        <f t="shared" si="366"/>
        <v>-18.242502739862509</v>
      </c>
      <c r="AD127" s="303">
        <f t="shared" si="366"/>
        <v>-1.37</v>
      </c>
      <c r="AE127" s="303">
        <f t="shared" si="366"/>
        <v>16.79</v>
      </c>
      <c r="AF127" s="303">
        <f t="shared" si="366"/>
        <v>-19.86</v>
      </c>
      <c r="AG127" s="303">
        <f t="shared" si="366"/>
        <v>-9.98</v>
      </c>
      <c r="AH127" s="303">
        <f t="shared" ref="AH127:BM127" si="367">IF(AH$2="-","",(IF(AH288="","",IF(AH$4&lt;$A127,AH288,(AH288-AH$3)/(1+AH$3%)))))</f>
        <v>6.57</v>
      </c>
      <c r="AI127" s="303">
        <f t="shared" si="367"/>
        <v>7.2</v>
      </c>
      <c r="AJ127" s="303">
        <f t="shared" si="367"/>
        <v>6.82</v>
      </c>
      <c r="AK127" s="303">
        <f t="shared" si="367"/>
        <v>-5.85</v>
      </c>
      <c r="AL127" s="303">
        <f t="shared" si="367"/>
        <v>-5.3177691309987036</v>
      </c>
      <c r="AM127" s="303">
        <f t="shared" si="367"/>
        <v>-16.292527187468824</v>
      </c>
      <c r="AN127" s="303">
        <f t="shared" si="367"/>
        <v>-14.05</v>
      </c>
      <c r="AO127" s="303">
        <f t="shared" si="367"/>
        <v>8.0500000000000007</v>
      </c>
      <c r="AP127" s="303">
        <f t="shared" si="367"/>
        <v>9.23</v>
      </c>
      <c r="AQ127" s="303" t="str">
        <f t="shared" si="367"/>
        <v/>
      </c>
      <c r="AR127" s="303" t="str">
        <f t="shared" si="367"/>
        <v/>
      </c>
      <c r="AS127" s="303" t="str">
        <f t="shared" si="367"/>
        <v/>
      </c>
      <c r="AT127" s="303" t="str">
        <f t="shared" si="367"/>
        <v/>
      </c>
      <c r="AU127" s="303" t="str">
        <f t="shared" si="367"/>
        <v/>
      </c>
      <c r="AV127" s="303" t="str">
        <f t="shared" si="367"/>
        <v/>
      </c>
      <c r="AW127" s="303" t="str">
        <f t="shared" si="367"/>
        <v/>
      </c>
      <c r="AX127" s="303" t="str">
        <f t="shared" si="367"/>
        <v/>
      </c>
      <c r="AY127" s="303" t="str">
        <f t="shared" si="367"/>
        <v/>
      </c>
      <c r="AZ127" s="303" t="str">
        <f t="shared" si="367"/>
        <v/>
      </c>
      <c r="BA127" s="303" t="str">
        <f t="shared" si="367"/>
        <v/>
      </c>
      <c r="BB127" s="303" t="str">
        <f t="shared" si="367"/>
        <v/>
      </c>
      <c r="BC127" s="303" t="str">
        <f t="shared" si="367"/>
        <v/>
      </c>
      <c r="BD127" s="303" t="str">
        <f t="shared" si="367"/>
        <v/>
      </c>
      <c r="BE127" s="303" t="str">
        <f t="shared" si="367"/>
        <v/>
      </c>
      <c r="BF127" s="303" t="str">
        <f t="shared" si="367"/>
        <v/>
      </c>
      <c r="BG127" s="303" t="str">
        <f t="shared" si="367"/>
        <v/>
      </c>
      <c r="BH127" s="303" t="str">
        <f t="shared" si="367"/>
        <v/>
      </c>
      <c r="BI127" s="303" t="str">
        <f t="shared" si="367"/>
        <v/>
      </c>
      <c r="BJ127" s="303" t="str">
        <f t="shared" si="367"/>
        <v/>
      </c>
      <c r="BK127" s="303" t="str">
        <f t="shared" si="367"/>
        <v/>
      </c>
      <c r="BL127" s="303" t="str">
        <f t="shared" si="367"/>
        <v/>
      </c>
      <c r="BM127" s="303" t="str">
        <f t="shared" si="367"/>
        <v/>
      </c>
      <c r="BN127" s="303" t="str">
        <f t="shared" ref="BN127:BZ127" si="368">IF(BN$2="-","",(IF(BN288="","",IF(BN$4&lt;$A127,BN288,(BN288-BN$3)/(1+BN$3%)))))</f>
        <v/>
      </c>
      <c r="BO127" s="303" t="str">
        <f t="shared" si="368"/>
        <v/>
      </c>
      <c r="BP127" s="303" t="str">
        <f t="shared" si="368"/>
        <v/>
      </c>
      <c r="BQ127" s="303" t="str">
        <f t="shared" si="368"/>
        <v/>
      </c>
      <c r="BR127" s="303" t="str">
        <f t="shared" si="368"/>
        <v/>
      </c>
      <c r="BS127" s="303" t="str">
        <f t="shared" si="368"/>
        <v/>
      </c>
      <c r="BT127" s="303" t="str">
        <f t="shared" si="368"/>
        <v/>
      </c>
      <c r="BU127" s="303" t="str">
        <f t="shared" si="368"/>
        <v/>
      </c>
      <c r="BV127" s="303" t="str">
        <f t="shared" si="368"/>
        <v/>
      </c>
      <c r="BW127" s="303" t="str">
        <f t="shared" si="368"/>
        <v/>
      </c>
      <c r="BX127" s="303">
        <f t="shared" si="368"/>
        <v>-0.69712033414712771</v>
      </c>
      <c r="BY127" s="303">
        <f t="shared" si="368"/>
        <v>9.6370943977155399</v>
      </c>
      <c r="BZ127" s="303">
        <f t="shared" si="368"/>
        <v>7.92</v>
      </c>
      <c r="CA127" s="303">
        <f t="shared" si="205"/>
        <v>6.1062648691514898</v>
      </c>
    </row>
    <row r="128" spans="1:79">
      <c r="A128" s="58">
        <f t="shared" si="299"/>
        <v>1991</v>
      </c>
      <c r="B128" s="303">
        <f t="shared" ref="B128:AG128" si="369">IF(B$2="-","",(IF(B289="","",IF(B$4&lt;$A128,B289,(B289-B$3)/(1+B$3%)))))</f>
        <v>34.471398622342015</v>
      </c>
      <c r="C128" s="303">
        <f t="shared" si="369"/>
        <v>24.31407762147062</v>
      </c>
      <c r="D128" s="303">
        <f t="shared" si="369"/>
        <v>30.22</v>
      </c>
      <c r="E128" s="303">
        <f t="shared" si="369"/>
        <v>40.875985233961892</v>
      </c>
      <c r="F128" s="303">
        <f t="shared" si="369"/>
        <v>41.175296817320167</v>
      </c>
      <c r="G128" s="303">
        <f t="shared" si="369"/>
        <v>41.374837872892357</v>
      </c>
      <c r="H128" s="303">
        <f t="shared" si="369"/>
        <v>45.764741095480403</v>
      </c>
      <c r="I128" s="303">
        <f t="shared" si="369"/>
        <v>50.853038012571091</v>
      </c>
      <c r="J128" s="303">
        <f t="shared" si="369"/>
        <v>47.152212740623135</v>
      </c>
      <c r="K128" s="303">
        <f t="shared" si="369"/>
        <v>35.348094953121887</v>
      </c>
      <c r="L128" s="303">
        <f t="shared" si="369"/>
        <v>12.398841043061246</v>
      </c>
      <c r="M128" s="303">
        <f t="shared" si="369"/>
        <v>59.3740655835742</v>
      </c>
      <c r="N128" s="303">
        <f t="shared" si="369"/>
        <v>19.347435641588508</v>
      </c>
      <c r="O128" s="303">
        <f t="shared" si="369"/>
        <v>10.363056054258928</v>
      </c>
      <c r="P128" s="303">
        <f t="shared" si="369"/>
        <v>12.108517853580691</v>
      </c>
      <c r="Q128" s="303">
        <f t="shared" si="369"/>
        <v>10.314615690959778</v>
      </c>
      <c r="R128" s="303">
        <f t="shared" si="369"/>
        <v>3.77</v>
      </c>
      <c r="S128" s="303">
        <f t="shared" si="369"/>
        <v>17.43</v>
      </c>
      <c r="T128" s="303">
        <f t="shared" si="369"/>
        <v>13.965086138411433</v>
      </c>
      <c r="U128" s="303">
        <f t="shared" si="369"/>
        <v>15.25</v>
      </c>
      <c r="V128" s="303">
        <f t="shared" si="369"/>
        <v>5.73</v>
      </c>
      <c r="W128" s="303">
        <f t="shared" si="369"/>
        <v>15.668662674650699</v>
      </c>
      <c r="X128" s="303">
        <f t="shared" si="369"/>
        <v>23.65</v>
      </c>
      <c r="Y128" s="303">
        <f t="shared" si="369"/>
        <v>21.57</v>
      </c>
      <c r="Z128" s="303">
        <f t="shared" si="369"/>
        <v>28.55</v>
      </c>
      <c r="AA128" s="303">
        <f t="shared" si="369"/>
        <v>10.479041916167665</v>
      </c>
      <c r="AB128" s="303">
        <f t="shared" si="369"/>
        <v>-10.428305872626622</v>
      </c>
      <c r="AC128" s="303">
        <f t="shared" si="369"/>
        <v>5.4398724718541391</v>
      </c>
      <c r="AD128" s="303">
        <f t="shared" si="369"/>
        <v>0.28000000000000003</v>
      </c>
      <c r="AE128" s="303">
        <f t="shared" si="369"/>
        <v>46.32</v>
      </c>
      <c r="AF128" s="303">
        <f t="shared" si="369"/>
        <v>4.37</v>
      </c>
      <c r="AG128" s="303">
        <f t="shared" si="369"/>
        <v>28.7</v>
      </c>
      <c r="AH128" s="303">
        <f t="shared" ref="AH128:BM128" si="370">IF(AH$2="-","",(IF(AH289="","",IF(AH$4&lt;$A128,AH289,(AH289-AH$3)/(1+AH$3%)))))</f>
        <v>7.2</v>
      </c>
      <c r="AI128" s="303">
        <f t="shared" si="370"/>
        <v>12.16</v>
      </c>
      <c r="AJ128" s="303">
        <f t="shared" si="370"/>
        <v>13.5</v>
      </c>
      <c r="AK128" s="303">
        <f t="shared" si="370"/>
        <v>29.01</v>
      </c>
      <c r="AL128" s="303">
        <f t="shared" si="370"/>
        <v>46.662675845555228</v>
      </c>
      <c r="AM128" s="303">
        <f t="shared" si="370"/>
        <v>37.583557817020854</v>
      </c>
      <c r="AN128" s="303">
        <f t="shared" si="370"/>
        <v>41.85</v>
      </c>
      <c r="AO128" s="303">
        <f t="shared" si="370"/>
        <v>14.95</v>
      </c>
      <c r="AP128" s="303">
        <f t="shared" si="370"/>
        <v>13.08</v>
      </c>
      <c r="AQ128" s="303" t="str">
        <f t="shared" si="370"/>
        <v/>
      </c>
      <c r="AR128" s="303" t="str">
        <f t="shared" si="370"/>
        <v/>
      </c>
      <c r="AS128" s="303" t="str">
        <f t="shared" si="370"/>
        <v/>
      </c>
      <c r="AT128" s="303" t="str">
        <f t="shared" si="370"/>
        <v/>
      </c>
      <c r="AU128" s="303" t="str">
        <f t="shared" si="370"/>
        <v/>
      </c>
      <c r="AV128" s="303" t="str">
        <f t="shared" si="370"/>
        <v/>
      </c>
      <c r="AW128" s="303" t="str">
        <f t="shared" si="370"/>
        <v/>
      </c>
      <c r="AX128" s="303" t="str">
        <f t="shared" si="370"/>
        <v/>
      </c>
      <c r="AY128" s="303" t="str">
        <f t="shared" si="370"/>
        <v/>
      </c>
      <c r="AZ128" s="303" t="str">
        <f t="shared" si="370"/>
        <v/>
      </c>
      <c r="BA128" s="303" t="str">
        <f t="shared" si="370"/>
        <v/>
      </c>
      <c r="BB128" s="303" t="str">
        <f t="shared" si="370"/>
        <v/>
      </c>
      <c r="BC128" s="303" t="str">
        <f t="shared" si="370"/>
        <v/>
      </c>
      <c r="BD128" s="303" t="str">
        <f t="shared" si="370"/>
        <v/>
      </c>
      <c r="BE128" s="303" t="str">
        <f t="shared" si="370"/>
        <v/>
      </c>
      <c r="BF128" s="303" t="str">
        <f t="shared" si="370"/>
        <v/>
      </c>
      <c r="BG128" s="303" t="str">
        <f t="shared" si="370"/>
        <v/>
      </c>
      <c r="BH128" s="303" t="str">
        <f t="shared" si="370"/>
        <v/>
      </c>
      <c r="BI128" s="303" t="str">
        <f t="shared" si="370"/>
        <v/>
      </c>
      <c r="BJ128" s="303" t="str">
        <f t="shared" si="370"/>
        <v/>
      </c>
      <c r="BK128" s="303" t="str">
        <f t="shared" si="370"/>
        <v/>
      </c>
      <c r="BL128" s="303" t="str">
        <f t="shared" si="370"/>
        <v/>
      </c>
      <c r="BM128" s="303" t="str">
        <f t="shared" si="370"/>
        <v/>
      </c>
      <c r="BN128" s="303" t="str">
        <f t="shared" ref="BN128:BZ128" si="371">IF(BN$2="-","",(IF(BN289="","",IF(BN$4&lt;$A128,BN289,(BN289-BN$3)/(1+BN$3%)))))</f>
        <v/>
      </c>
      <c r="BO128" s="303" t="str">
        <f t="shared" si="371"/>
        <v/>
      </c>
      <c r="BP128" s="303" t="str">
        <f t="shared" si="371"/>
        <v/>
      </c>
      <c r="BQ128" s="303" t="str">
        <f t="shared" si="371"/>
        <v/>
      </c>
      <c r="BR128" s="303" t="str">
        <f t="shared" si="371"/>
        <v/>
      </c>
      <c r="BS128" s="303" t="str">
        <f t="shared" si="371"/>
        <v/>
      </c>
      <c r="BT128" s="303" t="str">
        <f t="shared" si="371"/>
        <v/>
      </c>
      <c r="BU128" s="303" t="str">
        <f t="shared" si="371"/>
        <v/>
      </c>
      <c r="BV128" s="303" t="str">
        <f t="shared" si="371"/>
        <v/>
      </c>
      <c r="BW128" s="303" t="str">
        <f t="shared" si="371"/>
        <v/>
      </c>
      <c r="BX128" s="303">
        <f t="shared" si="371"/>
        <v>31.576036866359438</v>
      </c>
      <c r="BY128" s="303">
        <f t="shared" si="371"/>
        <v>14.193016310688256</v>
      </c>
      <c r="BZ128" s="303">
        <f t="shared" si="371"/>
        <v>6.64</v>
      </c>
      <c r="CA128" s="303">
        <f t="shared" si="205"/>
        <v>3.0642750373692129</v>
      </c>
    </row>
    <row r="129" spans="1:80">
      <c r="A129" s="58">
        <f t="shared" si="299"/>
        <v>1992</v>
      </c>
      <c r="B129" s="303">
        <f t="shared" ref="B129:AG129" si="372">IF(B$2="-","",(IF(B290="","",IF(B$4&lt;$A129,B290,(B290-B$3)/(1+B$3%)))))</f>
        <v>9.6136567834681053</v>
      </c>
      <c r="C129" s="303">
        <f t="shared" si="372"/>
        <v>13.538860620572683</v>
      </c>
      <c r="D129" s="303">
        <f t="shared" si="372"/>
        <v>7.42</v>
      </c>
      <c r="E129" s="303">
        <f t="shared" si="372"/>
        <v>4.7590541753965878</v>
      </c>
      <c r="F129" s="303">
        <f t="shared" si="372"/>
        <v>16.132894343011074</v>
      </c>
      <c r="G129" s="303">
        <f t="shared" si="372"/>
        <v>28.803751371844758</v>
      </c>
      <c r="H129" s="303">
        <f t="shared" si="372"/>
        <v>17.928763843160731</v>
      </c>
      <c r="I129" s="303">
        <f t="shared" si="372"/>
        <v>7.5526289534071633</v>
      </c>
      <c r="J129" s="303">
        <f t="shared" si="372"/>
        <v>32.565985314546538</v>
      </c>
      <c r="K129" s="303">
        <f t="shared" si="372"/>
        <v>14.302812687013764</v>
      </c>
      <c r="L129" s="303">
        <f t="shared" si="372"/>
        <v>-11.879308622239986</v>
      </c>
      <c r="M129" s="303">
        <f t="shared" si="372"/>
        <v>11.033589155785906</v>
      </c>
      <c r="N129" s="303">
        <f t="shared" si="372"/>
        <v>-8.5212532428656971</v>
      </c>
      <c r="O129" s="303">
        <f t="shared" si="372"/>
        <v>-18.170000000000002</v>
      </c>
      <c r="P129" s="303">
        <f t="shared" si="372"/>
        <v>-3.32</v>
      </c>
      <c r="Q129" s="303">
        <f t="shared" si="372"/>
        <v>-10.8</v>
      </c>
      <c r="R129" s="303">
        <f t="shared" si="372"/>
        <v>6.5877883645331323</v>
      </c>
      <c r="S129" s="303">
        <f t="shared" si="372"/>
        <v>7.4</v>
      </c>
      <c r="T129" s="303">
        <f t="shared" si="372"/>
        <v>7.5648702594810384</v>
      </c>
      <c r="U129" s="303">
        <f t="shared" si="372"/>
        <v>7.14</v>
      </c>
      <c r="V129" s="303">
        <f t="shared" si="372"/>
        <v>3.53</v>
      </c>
      <c r="W129" s="303">
        <f t="shared" si="372"/>
        <v>7.2854291417165671</v>
      </c>
      <c r="X129" s="303">
        <f t="shared" si="372"/>
        <v>7.93</v>
      </c>
      <c r="Y129" s="303">
        <f t="shared" si="372"/>
        <v>8.67</v>
      </c>
      <c r="Z129" s="303">
        <f t="shared" si="372"/>
        <v>16.5</v>
      </c>
      <c r="AA129" s="303">
        <f t="shared" si="372"/>
        <v>6.536926147704591</v>
      </c>
      <c r="AB129" s="303">
        <f t="shared" si="372"/>
        <v>-6.1229600285156129</v>
      </c>
      <c r="AC129" s="303">
        <f t="shared" si="372"/>
        <v>-20.872770748231542</v>
      </c>
      <c r="AD129" s="303">
        <f t="shared" si="372"/>
        <v>6.1</v>
      </c>
      <c r="AE129" s="303">
        <f t="shared" si="372"/>
        <v>-1.57</v>
      </c>
      <c r="AF129" s="303">
        <f t="shared" si="372"/>
        <v>-19.41</v>
      </c>
      <c r="AG129" s="303">
        <f t="shared" si="372"/>
        <v>11.99</v>
      </c>
      <c r="AH129" s="303">
        <f t="shared" ref="AH129:BM129" si="373">IF(AH$2="-","",(IF(AH290="","",IF(AH$4&lt;$A129,AH290,(AH290-AH$3)/(1+AH$3%)))))</f>
        <v>4.71</v>
      </c>
      <c r="AI129" s="303">
        <f t="shared" si="373"/>
        <v>8.85</v>
      </c>
      <c r="AJ129" s="303">
        <f t="shared" si="373"/>
        <v>9.3000000000000007</v>
      </c>
      <c r="AK129" s="303">
        <f t="shared" si="373"/>
        <v>14.24</v>
      </c>
      <c r="AL129" s="303">
        <f t="shared" si="373"/>
        <v>8.4505637034819898</v>
      </c>
      <c r="AM129" s="303">
        <f t="shared" si="373"/>
        <v>21.420732315673948</v>
      </c>
      <c r="AN129" s="303">
        <f t="shared" si="373"/>
        <v>12.47</v>
      </c>
      <c r="AO129" s="303">
        <f t="shared" si="373"/>
        <v>4.05</v>
      </c>
      <c r="AP129" s="303">
        <f t="shared" si="373"/>
        <v>7.2</v>
      </c>
      <c r="AQ129" s="303" t="str">
        <f t="shared" si="373"/>
        <v/>
      </c>
      <c r="AR129" s="303" t="str">
        <f t="shared" si="373"/>
        <v/>
      </c>
      <c r="AS129" s="303" t="str">
        <f t="shared" si="373"/>
        <v/>
      </c>
      <c r="AT129" s="303" t="str">
        <f t="shared" si="373"/>
        <v/>
      </c>
      <c r="AU129" s="303" t="str">
        <f t="shared" si="373"/>
        <v/>
      </c>
      <c r="AV129" s="303" t="str">
        <f t="shared" si="373"/>
        <v/>
      </c>
      <c r="AW129" s="303" t="str">
        <f t="shared" si="373"/>
        <v/>
      </c>
      <c r="AX129" s="303" t="str">
        <f t="shared" si="373"/>
        <v/>
      </c>
      <c r="AY129" s="303" t="str">
        <f t="shared" si="373"/>
        <v/>
      </c>
      <c r="AZ129" s="303" t="str">
        <f t="shared" si="373"/>
        <v/>
      </c>
      <c r="BA129" s="303" t="str">
        <f t="shared" si="373"/>
        <v/>
      </c>
      <c r="BB129" s="303" t="str">
        <f t="shared" si="373"/>
        <v/>
      </c>
      <c r="BC129" s="303" t="str">
        <f t="shared" si="373"/>
        <v/>
      </c>
      <c r="BD129" s="303" t="str">
        <f t="shared" si="373"/>
        <v/>
      </c>
      <c r="BE129" s="303" t="str">
        <f t="shared" si="373"/>
        <v/>
      </c>
      <c r="BF129" s="303" t="str">
        <f t="shared" si="373"/>
        <v/>
      </c>
      <c r="BG129" s="303" t="str">
        <f t="shared" si="373"/>
        <v/>
      </c>
      <c r="BH129" s="303" t="str">
        <f t="shared" si="373"/>
        <v/>
      </c>
      <c r="BI129" s="303" t="str">
        <f t="shared" si="373"/>
        <v/>
      </c>
      <c r="BJ129" s="303" t="str">
        <f t="shared" si="373"/>
        <v/>
      </c>
      <c r="BK129" s="303" t="str">
        <f t="shared" si="373"/>
        <v/>
      </c>
      <c r="BL129" s="303" t="str">
        <f t="shared" si="373"/>
        <v/>
      </c>
      <c r="BM129" s="303" t="str">
        <f t="shared" si="373"/>
        <v/>
      </c>
      <c r="BN129" s="303" t="str">
        <f t="shared" ref="BN129:BZ129" si="374">IF(BN$2="-","",(IF(BN290="","",IF(BN$4&lt;$A129,BN290,(BN290-BN$3)/(1+BN$3%)))))</f>
        <v/>
      </c>
      <c r="BO129" s="303" t="str">
        <f t="shared" si="374"/>
        <v/>
      </c>
      <c r="BP129" s="303" t="str">
        <f t="shared" si="374"/>
        <v/>
      </c>
      <c r="BQ129" s="303" t="str">
        <f t="shared" si="374"/>
        <v/>
      </c>
      <c r="BR129" s="303" t="str">
        <f t="shared" si="374"/>
        <v/>
      </c>
      <c r="BS129" s="303" t="str">
        <f t="shared" si="374"/>
        <v/>
      </c>
      <c r="BT129" s="303" t="str">
        <f t="shared" si="374"/>
        <v/>
      </c>
      <c r="BU129" s="303" t="str">
        <f t="shared" si="374"/>
        <v/>
      </c>
      <c r="BV129" s="303" t="str">
        <f t="shared" si="374"/>
        <v/>
      </c>
      <c r="BW129" s="303" t="str">
        <f t="shared" si="374"/>
        <v/>
      </c>
      <c r="BX129" s="303">
        <f t="shared" si="374"/>
        <v>7.5778696404537715</v>
      </c>
      <c r="BY129" s="303">
        <f t="shared" si="374"/>
        <v>9.1624268278883481</v>
      </c>
      <c r="BZ129" s="303">
        <f t="shared" si="374"/>
        <v>4.1500000000000004</v>
      </c>
      <c r="CA129" s="303">
        <f t="shared" si="205"/>
        <v>2.9006526468455363</v>
      </c>
    </row>
    <row r="130" spans="1:80">
      <c r="A130" s="58">
        <f t="shared" si="299"/>
        <v>1993</v>
      </c>
      <c r="B130" s="303">
        <f t="shared" ref="B130:AG130" si="375">IF(B$2="-","",(IF(B291="","",IF(B$4&lt;$A130,B291,(B291-B$3)/(1+B$3%)))))</f>
        <v>10.43226514924628</v>
      </c>
      <c r="C130" s="303">
        <f t="shared" si="375"/>
        <v>18.078419634839872</v>
      </c>
      <c r="D130" s="303">
        <f t="shared" si="375"/>
        <v>9.89</v>
      </c>
      <c r="E130" s="303">
        <f t="shared" si="375"/>
        <v>1.53</v>
      </c>
      <c r="F130" s="303">
        <f t="shared" si="375"/>
        <v>14.037713259503143</v>
      </c>
      <c r="G130" s="303">
        <f t="shared" si="375"/>
        <v>23.515913399181883</v>
      </c>
      <c r="H130" s="303">
        <f t="shared" si="375"/>
        <v>18.7</v>
      </c>
      <c r="I130" s="303">
        <f t="shared" si="375"/>
        <v>13.139778509428314</v>
      </c>
      <c r="J130" s="303">
        <f t="shared" si="375"/>
        <v>24.429450287755504</v>
      </c>
      <c r="K130" s="303">
        <f t="shared" si="375"/>
        <v>19.389587073608617</v>
      </c>
      <c r="L130" s="303">
        <f t="shared" si="375"/>
        <v>32.780497552203016</v>
      </c>
      <c r="M130" s="303">
        <f t="shared" si="375"/>
        <v>74.225057310874107</v>
      </c>
      <c r="N130" s="303">
        <f t="shared" si="375"/>
        <v>38.879465176611454</v>
      </c>
      <c r="O130" s="303">
        <f t="shared" si="375"/>
        <v>35.46</v>
      </c>
      <c r="P130" s="303">
        <f t="shared" si="375"/>
        <v>29.13</v>
      </c>
      <c r="Q130" s="303">
        <f t="shared" si="375"/>
        <v>40.4</v>
      </c>
      <c r="R130" s="303">
        <f t="shared" si="375"/>
        <v>6.4207720209574068</v>
      </c>
      <c r="S130" s="303">
        <f t="shared" si="375"/>
        <v>16.79</v>
      </c>
      <c r="T130" s="303">
        <f t="shared" si="375"/>
        <v>11.43</v>
      </c>
      <c r="U130" s="303">
        <f t="shared" si="375"/>
        <v>9.68</v>
      </c>
      <c r="V130" s="303">
        <f t="shared" si="375"/>
        <v>2.86</v>
      </c>
      <c r="W130" s="303">
        <f t="shared" si="375"/>
        <v>15.469061876247505</v>
      </c>
      <c r="X130" s="303">
        <f t="shared" si="375"/>
        <v>13.52</v>
      </c>
      <c r="Y130" s="303">
        <f t="shared" si="375"/>
        <v>14.65</v>
      </c>
      <c r="Z130" s="303">
        <f t="shared" si="375"/>
        <v>19.37</v>
      </c>
      <c r="AA130" s="303">
        <f t="shared" si="375"/>
        <v>6.41</v>
      </c>
      <c r="AB130" s="303">
        <f t="shared" si="375"/>
        <v>17.209144796602125</v>
      </c>
      <c r="AC130" s="303">
        <f t="shared" si="375"/>
        <v>33.894590016937336</v>
      </c>
      <c r="AD130" s="303">
        <f t="shared" si="375"/>
        <v>26.52</v>
      </c>
      <c r="AE130" s="303">
        <f t="shared" si="375"/>
        <v>11.81</v>
      </c>
      <c r="AF130" s="303">
        <f t="shared" si="375"/>
        <v>93.36</v>
      </c>
      <c r="AG130" s="303">
        <f t="shared" si="375"/>
        <v>13.6</v>
      </c>
      <c r="AH130" s="303">
        <f t="shared" ref="AH130:BM130" si="376">IF(AH$2="-","",(IF(AH291="","",IF(AH$4&lt;$A130,AH291,(AH291-AH$3)/(1+AH$3%)))))</f>
        <v>3.82</v>
      </c>
      <c r="AI130" s="303">
        <f t="shared" si="376"/>
        <v>11.55</v>
      </c>
      <c r="AJ130" s="303">
        <f t="shared" si="376"/>
        <v>13.45</v>
      </c>
      <c r="AK130" s="303">
        <f t="shared" si="376"/>
        <v>18.239999999999998</v>
      </c>
      <c r="AL130" s="303">
        <f t="shared" si="376"/>
        <v>10.94482689813429</v>
      </c>
      <c r="AM130" s="303">
        <f t="shared" si="376"/>
        <v>15.334730120722337</v>
      </c>
      <c r="AN130" s="303">
        <f t="shared" si="376"/>
        <v>14.49</v>
      </c>
      <c r="AO130" s="303">
        <f t="shared" si="376"/>
        <v>11.75</v>
      </c>
      <c r="AP130" s="303">
        <f t="shared" si="376"/>
        <v>7.07</v>
      </c>
      <c r="AQ130" s="303" t="str">
        <f t="shared" si="376"/>
        <v/>
      </c>
      <c r="AR130" s="303" t="str">
        <f t="shared" si="376"/>
        <v/>
      </c>
      <c r="AS130" s="303" t="str">
        <f t="shared" si="376"/>
        <v/>
      </c>
      <c r="AT130" s="303" t="str">
        <f t="shared" si="376"/>
        <v/>
      </c>
      <c r="AU130" s="303" t="str">
        <f t="shared" si="376"/>
        <v/>
      </c>
      <c r="AV130" s="303" t="str">
        <f t="shared" si="376"/>
        <v/>
      </c>
      <c r="AW130" s="303" t="str">
        <f t="shared" si="376"/>
        <v/>
      </c>
      <c r="AX130" s="303" t="str">
        <f t="shared" si="376"/>
        <v/>
      </c>
      <c r="AY130" s="303" t="str">
        <f t="shared" si="376"/>
        <v/>
      </c>
      <c r="AZ130" s="303" t="str">
        <f t="shared" si="376"/>
        <v/>
      </c>
      <c r="BA130" s="303" t="str">
        <f t="shared" si="376"/>
        <v/>
      </c>
      <c r="BB130" s="303" t="str">
        <f t="shared" si="376"/>
        <v/>
      </c>
      <c r="BC130" s="303" t="str">
        <f t="shared" si="376"/>
        <v/>
      </c>
      <c r="BD130" s="303" t="str">
        <f t="shared" si="376"/>
        <v/>
      </c>
      <c r="BE130" s="303" t="str">
        <f t="shared" si="376"/>
        <v/>
      </c>
      <c r="BF130" s="303" t="str">
        <f t="shared" si="376"/>
        <v/>
      </c>
      <c r="BG130" s="303" t="str">
        <f t="shared" si="376"/>
        <v/>
      </c>
      <c r="BH130" s="303" t="str">
        <f t="shared" si="376"/>
        <v/>
      </c>
      <c r="BI130" s="303" t="str">
        <f t="shared" si="376"/>
        <v/>
      </c>
      <c r="BJ130" s="303" t="str">
        <f t="shared" si="376"/>
        <v/>
      </c>
      <c r="BK130" s="303" t="str">
        <f t="shared" si="376"/>
        <v/>
      </c>
      <c r="BL130" s="303" t="str">
        <f t="shared" si="376"/>
        <v/>
      </c>
      <c r="BM130" s="303" t="str">
        <f t="shared" si="376"/>
        <v/>
      </c>
      <c r="BN130" s="303" t="str">
        <f t="shared" ref="BN130:BZ130" si="377">IF(BN$2="-","",(IF(BN291="","",IF(BN$4&lt;$A130,BN291,(BN291-BN$3)/(1+BN$3%)))))</f>
        <v/>
      </c>
      <c r="BO130" s="303" t="str">
        <f t="shared" si="377"/>
        <v/>
      </c>
      <c r="BP130" s="303" t="str">
        <f t="shared" si="377"/>
        <v/>
      </c>
      <c r="BQ130" s="303" t="str">
        <f t="shared" si="377"/>
        <v/>
      </c>
      <c r="BR130" s="303" t="str">
        <f t="shared" si="377"/>
        <v/>
      </c>
      <c r="BS130" s="303" t="str">
        <f t="shared" si="377"/>
        <v/>
      </c>
      <c r="BT130" s="303" t="str">
        <f t="shared" si="377"/>
        <v/>
      </c>
      <c r="BU130" s="303" t="str">
        <f t="shared" si="377"/>
        <v/>
      </c>
      <c r="BV130" s="303" t="str">
        <f t="shared" si="377"/>
        <v/>
      </c>
      <c r="BW130" s="303" t="str">
        <f t="shared" si="377"/>
        <v/>
      </c>
      <c r="BX130" s="303">
        <f t="shared" si="377"/>
        <v>11.56629827907083</v>
      </c>
      <c r="BY130" s="303">
        <f t="shared" si="377"/>
        <v>10.129743300659989</v>
      </c>
      <c r="BZ130" s="303">
        <f t="shared" si="377"/>
        <v>3.5</v>
      </c>
      <c r="CA130" s="303">
        <f t="shared" si="205"/>
        <v>2.748414376321362</v>
      </c>
    </row>
    <row r="131" spans="1:80">
      <c r="A131" s="58">
        <f t="shared" si="299"/>
        <v>1994</v>
      </c>
      <c r="B131" s="303">
        <f t="shared" ref="B131:AG131" si="378">IF(B$2="-","",(IF(B292="","",IF(B$4&lt;$A131,B292,(B292-B$3)/(1+B$3%)))))</f>
        <v>-0.17</v>
      </c>
      <c r="C131" s="303">
        <f t="shared" si="378"/>
        <v>-0.73</v>
      </c>
      <c r="D131" s="303">
        <f t="shared" si="378"/>
        <v>1.18</v>
      </c>
      <c r="E131" s="303">
        <f t="shared" si="378"/>
        <v>2.89</v>
      </c>
      <c r="F131" s="303">
        <f t="shared" si="378"/>
        <v>-2.3246532974159435</v>
      </c>
      <c r="G131" s="303">
        <f t="shared" si="378"/>
        <v>-1.7260301306993915</v>
      </c>
      <c r="H131" s="303">
        <f t="shared" si="378"/>
        <v>-0.51</v>
      </c>
      <c r="I131" s="303">
        <f t="shared" si="378"/>
        <v>-2.6239648807742193</v>
      </c>
      <c r="J131" s="303">
        <f t="shared" si="378"/>
        <v>-3.6515181583647545</v>
      </c>
      <c r="K131" s="303">
        <f t="shared" si="378"/>
        <v>2.9323758228605632</v>
      </c>
      <c r="L131" s="303">
        <f t="shared" si="378"/>
        <v>8.0027974822659615</v>
      </c>
      <c r="M131" s="303">
        <f t="shared" si="378"/>
        <v>-7.6049038174025707</v>
      </c>
      <c r="N131" s="303">
        <f t="shared" si="378"/>
        <v>5.5577728996208347</v>
      </c>
      <c r="O131" s="303">
        <f t="shared" si="378"/>
        <v>13.04</v>
      </c>
      <c r="P131" s="303">
        <f t="shared" si="378"/>
        <v>1.88</v>
      </c>
      <c r="Q131" s="303">
        <f t="shared" si="378"/>
        <v>11.4</v>
      </c>
      <c r="R131" s="303">
        <f t="shared" si="378"/>
        <v>5.8917653646927146</v>
      </c>
      <c r="S131" s="303">
        <f t="shared" si="378"/>
        <v>-7.03</v>
      </c>
      <c r="T131" s="303">
        <f t="shared" si="378"/>
        <v>-4.33</v>
      </c>
      <c r="U131" s="303">
        <f t="shared" si="378"/>
        <v>-2.66</v>
      </c>
      <c r="V131" s="303">
        <f t="shared" si="378"/>
        <v>3.81</v>
      </c>
      <c r="W131" s="303">
        <f t="shared" si="378"/>
        <v>2.9940119760479043</v>
      </c>
      <c r="X131" s="303">
        <f t="shared" si="378"/>
        <v>-0.49</v>
      </c>
      <c r="Y131" s="303">
        <f t="shared" si="378"/>
        <v>-4.4400000000000004</v>
      </c>
      <c r="Z131" s="303">
        <f t="shared" si="378"/>
        <v>-0.15</v>
      </c>
      <c r="AA131" s="303">
        <f t="shared" si="378"/>
        <v>-0.57999999999999996</v>
      </c>
      <c r="AB131" s="303">
        <f t="shared" si="378"/>
        <v>-2.5595130645255608</v>
      </c>
      <c r="AC131" s="303">
        <f t="shared" si="378"/>
        <v>15.48271395835409</v>
      </c>
      <c r="AD131" s="303">
        <f t="shared" si="378"/>
        <v>-1.63</v>
      </c>
      <c r="AE131" s="303">
        <f t="shared" si="378"/>
        <v>9.5399999999999991</v>
      </c>
      <c r="AF131" s="303">
        <f t="shared" si="378"/>
        <v>-5.42</v>
      </c>
      <c r="AG131" s="303">
        <f t="shared" si="378"/>
        <v>-1.1599999999999999</v>
      </c>
      <c r="AH131" s="303">
        <f t="shared" ref="AH131:BM131" si="379">IF(AH$2="-","",(IF(AH292="","",IF(AH$4&lt;$A131,AH292,(AH292-AH$3)/(1+AH$3%)))))</f>
        <v>1.7</v>
      </c>
      <c r="AI131" s="303">
        <f t="shared" si="379"/>
        <v>-2.12</v>
      </c>
      <c r="AJ131" s="303">
        <f t="shared" si="379"/>
        <v>-5.75</v>
      </c>
      <c r="AK131" s="303">
        <f t="shared" si="379"/>
        <v>-1.71</v>
      </c>
      <c r="AL131" s="303">
        <f t="shared" si="379"/>
        <v>-2.4244238252020356</v>
      </c>
      <c r="AM131" s="303">
        <f t="shared" si="379"/>
        <v>-2.3246532974159435</v>
      </c>
      <c r="AN131" s="303">
        <f t="shared" si="379"/>
        <v>-1.76</v>
      </c>
      <c r="AO131" s="303">
        <f t="shared" si="379"/>
        <v>0.75</v>
      </c>
      <c r="AP131" s="303">
        <f t="shared" si="379"/>
        <v>-0.08</v>
      </c>
      <c r="AQ131" s="303" t="str">
        <f t="shared" si="379"/>
        <v/>
      </c>
      <c r="AR131" s="303" t="str">
        <f t="shared" si="379"/>
        <v/>
      </c>
      <c r="AS131" s="303" t="str">
        <f t="shared" si="379"/>
        <v/>
      </c>
      <c r="AT131" s="303" t="str">
        <f t="shared" si="379"/>
        <v/>
      </c>
      <c r="AU131" s="303" t="str">
        <f t="shared" si="379"/>
        <v/>
      </c>
      <c r="AV131" s="303" t="str">
        <f t="shared" si="379"/>
        <v/>
      </c>
      <c r="AW131" s="303" t="str">
        <f t="shared" si="379"/>
        <v/>
      </c>
      <c r="AX131" s="303" t="str">
        <f t="shared" si="379"/>
        <v/>
      </c>
      <c r="AY131" s="303" t="str">
        <f t="shared" si="379"/>
        <v/>
      </c>
      <c r="AZ131" s="303" t="str">
        <f t="shared" si="379"/>
        <v/>
      </c>
      <c r="BA131" s="303" t="str">
        <f t="shared" si="379"/>
        <v/>
      </c>
      <c r="BB131" s="303" t="str">
        <f t="shared" si="379"/>
        <v/>
      </c>
      <c r="BC131" s="303" t="str">
        <f t="shared" si="379"/>
        <v/>
      </c>
      <c r="BD131" s="303" t="str">
        <f t="shared" si="379"/>
        <v/>
      </c>
      <c r="BE131" s="303" t="str">
        <f t="shared" si="379"/>
        <v/>
      </c>
      <c r="BF131" s="303" t="str">
        <f t="shared" si="379"/>
        <v/>
      </c>
      <c r="BG131" s="303" t="str">
        <f t="shared" si="379"/>
        <v/>
      </c>
      <c r="BH131" s="303" t="str">
        <f t="shared" si="379"/>
        <v/>
      </c>
      <c r="BI131" s="303" t="str">
        <f t="shared" si="379"/>
        <v/>
      </c>
      <c r="BJ131" s="303" t="str">
        <f t="shared" si="379"/>
        <v/>
      </c>
      <c r="BK131" s="303" t="str">
        <f t="shared" si="379"/>
        <v/>
      </c>
      <c r="BL131" s="303" t="str">
        <f t="shared" si="379"/>
        <v/>
      </c>
      <c r="BM131" s="303" t="str">
        <f t="shared" si="379"/>
        <v/>
      </c>
      <c r="BN131" s="303" t="str">
        <f t="shared" ref="BN131:BZ131" si="380">IF(BN$2="-","",(IF(BN292="","",IF(BN$4&lt;$A131,BN292,(BN292-BN$3)/(1+BN$3%)))))</f>
        <v/>
      </c>
      <c r="BO131" s="303" t="str">
        <f t="shared" si="380"/>
        <v/>
      </c>
      <c r="BP131" s="303" t="str">
        <f t="shared" si="380"/>
        <v/>
      </c>
      <c r="BQ131" s="303" t="str">
        <f t="shared" si="380"/>
        <v/>
      </c>
      <c r="BR131" s="303" t="str">
        <f t="shared" si="380"/>
        <v/>
      </c>
      <c r="BS131" s="303" t="str">
        <f t="shared" si="380"/>
        <v/>
      </c>
      <c r="BT131" s="303" t="str">
        <f t="shared" si="380"/>
        <v/>
      </c>
      <c r="BU131" s="303" t="str">
        <f t="shared" si="380"/>
        <v/>
      </c>
      <c r="BV131" s="303" t="str">
        <f t="shared" si="380"/>
        <v/>
      </c>
      <c r="BW131" s="303" t="str">
        <f t="shared" si="380"/>
        <v/>
      </c>
      <c r="BX131" s="303">
        <f t="shared" si="380"/>
        <v>1.1501300238905721</v>
      </c>
      <c r="BY131" s="303">
        <f t="shared" si="380"/>
        <v>-4.1563270838444577</v>
      </c>
      <c r="BZ131" s="303">
        <f t="shared" si="380"/>
        <v>3.54</v>
      </c>
      <c r="CA131" s="303">
        <f t="shared" si="205"/>
        <v>2.6748971193415461</v>
      </c>
      <c r="CB131" s="304"/>
    </row>
    <row r="132" spans="1:80">
      <c r="A132" s="58">
        <f t="shared" si="299"/>
        <v>1995</v>
      </c>
      <c r="B132" s="303">
        <f t="shared" ref="B132:AG132" si="381">IF(B$2="-","",(IF(B293="","",IF(B$4&lt;$A132,B293,(B293-B$3)/(1+B$3%)))))</f>
        <v>35.79</v>
      </c>
      <c r="C132" s="303">
        <f t="shared" si="381"/>
        <v>36.94</v>
      </c>
      <c r="D132" s="303">
        <f t="shared" si="381"/>
        <v>37.450000000000003</v>
      </c>
      <c r="E132" s="303">
        <f t="shared" si="381"/>
        <v>38.06</v>
      </c>
      <c r="F132" s="303">
        <f t="shared" si="381"/>
        <v>34.091589344507632</v>
      </c>
      <c r="G132" s="303">
        <f t="shared" si="381"/>
        <v>25.511323954903723</v>
      </c>
      <c r="H132" s="303">
        <f t="shared" si="381"/>
        <v>28.74</v>
      </c>
      <c r="I132" s="303">
        <f t="shared" si="381"/>
        <v>30.699391399780506</v>
      </c>
      <c r="J132" s="303">
        <f t="shared" si="381"/>
        <v>29.093074022623536</v>
      </c>
      <c r="K132" s="303">
        <f t="shared" si="381"/>
        <v>15.000997406742471</v>
      </c>
      <c r="L132" s="303">
        <f t="shared" si="381"/>
        <v>11.499650314716757</v>
      </c>
      <c r="M132" s="303">
        <f t="shared" si="381"/>
        <v>0.22924349646167649</v>
      </c>
      <c r="N132" s="303">
        <f t="shared" si="381"/>
        <v>9.7026541608461372</v>
      </c>
      <c r="O132" s="303">
        <f t="shared" si="381"/>
        <v>2.75</v>
      </c>
      <c r="P132" s="303">
        <f t="shared" si="381"/>
        <v>22.28</v>
      </c>
      <c r="Q132" s="303">
        <f t="shared" si="381"/>
        <v>11.7</v>
      </c>
      <c r="R132" s="303">
        <f t="shared" si="381"/>
        <v>24.288496846677518</v>
      </c>
      <c r="S132" s="303">
        <f t="shared" si="381"/>
        <v>30.11</v>
      </c>
      <c r="T132" s="303">
        <f t="shared" si="381"/>
        <v>20.440000000000001</v>
      </c>
      <c r="U132" s="303">
        <f t="shared" si="381"/>
        <v>18.18</v>
      </c>
      <c r="V132" s="303">
        <f t="shared" si="381"/>
        <v>5.49</v>
      </c>
      <c r="W132" s="303">
        <f t="shared" si="381"/>
        <v>0.5988023952095809</v>
      </c>
      <c r="X132" s="303">
        <f t="shared" si="381"/>
        <v>32.92</v>
      </c>
      <c r="Y132" s="303">
        <f t="shared" si="381"/>
        <v>28.91</v>
      </c>
      <c r="Z132" s="303">
        <f t="shared" si="381"/>
        <v>30.15</v>
      </c>
      <c r="AA132" s="303">
        <f t="shared" si="381"/>
        <v>12.11</v>
      </c>
      <c r="AB132" s="303">
        <f t="shared" si="381"/>
        <v>0.57616890559094336</v>
      </c>
      <c r="AC132" s="303">
        <f t="shared" si="381"/>
        <v>2.2815582345322305</v>
      </c>
      <c r="AD132" s="303">
        <f t="shared" si="381"/>
        <v>25.32</v>
      </c>
      <c r="AE132" s="303">
        <f t="shared" si="381"/>
        <v>45.17</v>
      </c>
      <c r="AF132" s="303">
        <f t="shared" si="381"/>
        <v>-4.4800000000000004</v>
      </c>
      <c r="AG132" s="303">
        <f t="shared" si="381"/>
        <v>38.83</v>
      </c>
      <c r="AH132" s="303">
        <f t="shared" ref="AH132:BM132" si="382">IF(AH$2="-","",(IF(AH293="","",IF(AH$4&lt;$A132,AH293,(AH293-AH$3)/(1+AH$3%)))))</f>
        <v>5.92</v>
      </c>
      <c r="AI132" s="303">
        <f t="shared" si="382"/>
        <v>13.65</v>
      </c>
      <c r="AJ132" s="303">
        <f t="shared" si="382"/>
        <v>18.72</v>
      </c>
      <c r="AK132" s="303">
        <f t="shared" si="382"/>
        <v>19.149999999999999</v>
      </c>
      <c r="AL132" s="303">
        <f t="shared" si="382"/>
        <v>33.692507233363266</v>
      </c>
      <c r="AM132" s="303">
        <f t="shared" si="382"/>
        <v>34.590441983438097</v>
      </c>
      <c r="AN132" s="303">
        <f t="shared" si="382"/>
        <v>33.799999999999997</v>
      </c>
      <c r="AO132" s="303">
        <f t="shared" si="382"/>
        <v>18.75</v>
      </c>
      <c r="AP132" s="303">
        <f t="shared" si="382"/>
        <v>12.74</v>
      </c>
      <c r="AQ132" s="303" t="str">
        <f t="shared" si="382"/>
        <v/>
      </c>
      <c r="AR132" s="303" t="str">
        <f t="shared" si="382"/>
        <v/>
      </c>
      <c r="AS132" s="303" t="str">
        <f t="shared" si="382"/>
        <v/>
      </c>
      <c r="AT132" s="303" t="str">
        <f t="shared" si="382"/>
        <v/>
      </c>
      <c r="AU132" s="303" t="str">
        <f t="shared" si="382"/>
        <v/>
      </c>
      <c r="AV132" s="303" t="str">
        <f t="shared" si="382"/>
        <v/>
      </c>
      <c r="AW132" s="303" t="str">
        <f t="shared" si="382"/>
        <v/>
      </c>
      <c r="AX132" s="303" t="str">
        <f t="shared" si="382"/>
        <v/>
      </c>
      <c r="AY132" s="303" t="str">
        <f t="shared" si="382"/>
        <v/>
      </c>
      <c r="AZ132" s="303" t="str">
        <f t="shared" si="382"/>
        <v/>
      </c>
      <c r="BA132" s="303" t="str">
        <f t="shared" si="382"/>
        <v/>
      </c>
      <c r="BB132" s="303" t="str">
        <f t="shared" si="382"/>
        <v/>
      </c>
      <c r="BC132" s="303" t="str">
        <f t="shared" si="382"/>
        <v/>
      </c>
      <c r="BD132" s="303" t="str">
        <f t="shared" si="382"/>
        <v/>
      </c>
      <c r="BE132" s="303" t="str">
        <f t="shared" si="382"/>
        <v/>
      </c>
      <c r="BF132" s="303" t="str">
        <f t="shared" si="382"/>
        <v/>
      </c>
      <c r="BG132" s="303" t="str">
        <f t="shared" si="382"/>
        <v/>
      </c>
      <c r="BH132" s="303" t="str">
        <f t="shared" si="382"/>
        <v/>
      </c>
      <c r="BI132" s="303" t="str">
        <f t="shared" si="382"/>
        <v/>
      </c>
      <c r="BJ132" s="303" t="str">
        <f t="shared" si="382"/>
        <v/>
      </c>
      <c r="BK132" s="303" t="str">
        <f t="shared" si="382"/>
        <v/>
      </c>
      <c r="BL132" s="303" t="str">
        <f t="shared" si="382"/>
        <v/>
      </c>
      <c r="BM132" s="303" t="str">
        <f t="shared" si="382"/>
        <v/>
      </c>
      <c r="BN132" s="303" t="str">
        <f t="shared" ref="BN132:BZ132" si="383">IF(BN$2="-","",(IF(BN293="","",IF(BN$4&lt;$A132,BN293,(BN293-BN$3)/(1+BN$3%)))))</f>
        <v/>
      </c>
      <c r="BO132" s="303" t="str">
        <f t="shared" si="383"/>
        <v/>
      </c>
      <c r="BP132" s="303" t="str">
        <f t="shared" si="383"/>
        <v/>
      </c>
      <c r="BQ132" s="303" t="str">
        <f t="shared" si="383"/>
        <v/>
      </c>
      <c r="BR132" s="303" t="str">
        <f t="shared" si="383"/>
        <v/>
      </c>
      <c r="BS132" s="303" t="str">
        <f t="shared" si="383"/>
        <v/>
      </c>
      <c r="BT132" s="303" t="str">
        <f t="shared" si="383"/>
        <v/>
      </c>
      <c r="BU132" s="303" t="str">
        <f t="shared" si="383"/>
        <v/>
      </c>
      <c r="BV132" s="303" t="str">
        <f t="shared" si="383"/>
        <v/>
      </c>
      <c r="BW132" s="303" t="str">
        <f t="shared" si="383"/>
        <v/>
      </c>
      <c r="BX132" s="303">
        <f t="shared" si="383"/>
        <v>35.026329930145074</v>
      </c>
      <c r="BY132" s="303">
        <f t="shared" si="383"/>
        <v>18.153013985514722</v>
      </c>
      <c r="BZ132" s="303">
        <f t="shared" si="383"/>
        <v>7.05</v>
      </c>
      <c r="CA132" s="303">
        <f t="shared" si="205"/>
        <v>2.5384101536406245</v>
      </c>
      <c r="CB132" s="305"/>
    </row>
    <row r="133" spans="1:80">
      <c r="A133" s="58">
        <f t="shared" si="299"/>
        <v>1996</v>
      </c>
      <c r="B133" s="303">
        <f t="shared" ref="B133:AG133" si="384">IF(B$2="-","",(IF(B294="","",IF(B$4&lt;$A133,B294,(B294-B$3)/(1+B$3%)))))</f>
        <v>20.96</v>
      </c>
      <c r="C133" s="303">
        <f t="shared" si="384"/>
        <v>21.86</v>
      </c>
      <c r="D133" s="303">
        <f t="shared" si="384"/>
        <v>22.88</v>
      </c>
      <c r="E133" s="303">
        <f t="shared" si="384"/>
        <v>23.74</v>
      </c>
      <c r="F133" s="303">
        <f t="shared" si="384"/>
        <v>18.726928065449467</v>
      </c>
      <c r="G133" s="303">
        <f t="shared" si="384"/>
        <v>21.121420732315674</v>
      </c>
      <c r="H133" s="303">
        <f t="shared" si="384"/>
        <v>18.12</v>
      </c>
      <c r="I133" s="303">
        <f t="shared" si="384"/>
        <v>11.044597425920383</v>
      </c>
      <c r="J133" s="303">
        <f t="shared" si="384"/>
        <v>15.896011113316133</v>
      </c>
      <c r="K133" s="303">
        <f t="shared" si="384"/>
        <v>34.94913225613405</v>
      </c>
      <c r="L133" s="303">
        <f t="shared" si="384"/>
        <v>6.3043261065041474</v>
      </c>
      <c r="M133" s="303">
        <f t="shared" si="384"/>
        <v>15.83</v>
      </c>
      <c r="N133" s="303">
        <f t="shared" si="384"/>
        <v>7.5778287766912804</v>
      </c>
      <c r="O133" s="303">
        <f t="shared" si="384"/>
        <v>-7.82</v>
      </c>
      <c r="P133" s="303">
        <f t="shared" si="384"/>
        <v>21.26</v>
      </c>
      <c r="Q133" s="303">
        <f t="shared" si="384"/>
        <v>9.1999999999999993</v>
      </c>
      <c r="R133" s="303">
        <f t="shared" si="384"/>
        <v>18.346666411050315</v>
      </c>
      <c r="S133" s="303">
        <f t="shared" si="384"/>
        <v>-1.25</v>
      </c>
      <c r="T133" s="303">
        <f t="shared" si="384"/>
        <v>1.92</v>
      </c>
      <c r="U133" s="303">
        <f t="shared" si="384"/>
        <v>3.58</v>
      </c>
      <c r="V133" s="303">
        <f t="shared" si="384"/>
        <v>5.09</v>
      </c>
      <c r="W133" s="303">
        <f t="shared" si="384"/>
        <v>3.8922155688622748</v>
      </c>
      <c r="X133" s="303">
        <f t="shared" si="384"/>
        <v>16.190000000000001</v>
      </c>
      <c r="Y133" s="303">
        <f t="shared" si="384"/>
        <v>9.42</v>
      </c>
      <c r="Z133" s="303">
        <f t="shared" si="384"/>
        <v>26.36</v>
      </c>
      <c r="AA133" s="303">
        <f t="shared" si="384"/>
        <v>4.3899999999999997</v>
      </c>
      <c r="AB133" s="303">
        <f t="shared" si="384"/>
        <v>-4.9666965214079086</v>
      </c>
      <c r="AC133" s="303">
        <f t="shared" si="384"/>
        <v>4.0151439673209124</v>
      </c>
      <c r="AD133" s="303">
        <f t="shared" si="384"/>
        <v>34</v>
      </c>
      <c r="AE133" s="303">
        <f t="shared" si="384"/>
        <v>21.36</v>
      </c>
      <c r="AF133" s="303">
        <f t="shared" si="384"/>
        <v>-0.75</v>
      </c>
      <c r="AG133" s="303">
        <f t="shared" si="384"/>
        <v>24.18</v>
      </c>
      <c r="AH133" s="303">
        <f t="shared" ref="AH133:BM133" si="385">IF(AH$2="-","",(IF(AH294="","",IF(AH$4&lt;$A133,AH294,(AH294-AH$3)/(1+AH$3%)))))</f>
        <v>3.69</v>
      </c>
      <c r="AI133" s="303">
        <f t="shared" si="385"/>
        <v>4.2</v>
      </c>
      <c r="AJ133" s="303">
        <f t="shared" si="385"/>
        <v>4.41</v>
      </c>
      <c r="AK133" s="303">
        <f t="shared" si="385"/>
        <v>9.5399999999999991</v>
      </c>
      <c r="AL133" s="303">
        <f t="shared" si="385"/>
        <v>18.657088695999203</v>
      </c>
      <c r="AM133" s="303">
        <f t="shared" si="385"/>
        <v>21.181283048987328</v>
      </c>
      <c r="AN133" s="303">
        <f t="shared" si="385"/>
        <v>17.649999999999999</v>
      </c>
      <c r="AO133" s="303">
        <f t="shared" si="385"/>
        <v>3.85</v>
      </c>
      <c r="AP133" s="303">
        <f t="shared" si="385"/>
        <v>4.79</v>
      </c>
      <c r="AQ133" s="303" t="str">
        <f t="shared" si="385"/>
        <v/>
      </c>
      <c r="AR133" s="303" t="str">
        <f t="shared" si="385"/>
        <v/>
      </c>
      <c r="AS133" s="303" t="str">
        <f t="shared" si="385"/>
        <v/>
      </c>
      <c r="AT133" s="303" t="str">
        <f t="shared" si="385"/>
        <v/>
      </c>
      <c r="AU133" s="303" t="str">
        <f t="shared" si="385"/>
        <v/>
      </c>
      <c r="AV133" s="303" t="str">
        <f t="shared" si="385"/>
        <v/>
      </c>
      <c r="AW133" s="303" t="str">
        <f t="shared" si="385"/>
        <v/>
      </c>
      <c r="AX133" s="303" t="str">
        <f t="shared" si="385"/>
        <v/>
      </c>
      <c r="AY133" s="303" t="str">
        <f t="shared" si="385"/>
        <v/>
      </c>
      <c r="AZ133" s="303" t="str">
        <f t="shared" si="385"/>
        <v/>
      </c>
      <c r="BA133" s="303" t="str">
        <f t="shared" si="385"/>
        <v/>
      </c>
      <c r="BB133" s="303" t="str">
        <f t="shared" si="385"/>
        <v/>
      </c>
      <c r="BC133" s="303" t="str">
        <f t="shared" si="385"/>
        <v/>
      </c>
      <c r="BD133" s="303" t="str">
        <f t="shared" si="385"/>
        <v/>
      </c>
      <c r="BE133" s="303" t="str">
        <f t="shared" si="385"/>
        <v/>
      </c>
      <c r="BF133" s="303" t="str">
        <f t="shared" si="385"/>
        <v/>
      </c>
      <c r="BG133" s="303" t="str">
        <f t="shared" si="385"/>
        <v/>
      </c>
      <c r="BH133" s="303" t="str">
        <f t="shared" si="385"/>
        <v/>
      </c>
      <c r="BI133" s="303" t="str">
        <f t="shared" si="385"/>
        <v/>
      </c>
      <c r="BJ133" s="303" t="str">
        <f t="shared" si="385"/>
        <v/>
      </c>
      <c r="BK133" s="303" t="str">
        <f t="shared" si="385"/>
        <v/>
      </c>
      <c r="BL133" s="303" t="str">
        <f t="shared" si="385"/>
        <v/>
      </c>
      <c r="BM133" s="303" t="str">
        <f t="shared" si="385"/>
        <v/>
      </c>
      <c r="BN133" s="303" t="str">
        <f t="shared" ref="BN133:BZ133" si="386">IF(BN$2="-","",(IF(BN294="","",IF(BN$4&lt;$A133,BN294,(BN294-BN$3)/(1+BN$3%)))))</f>
        <v/>
      </c>
      <c r="BO133" s="303" t="str">
        <f t="shared" si="386"/>
        <v/>
      </c>
      <c r="BP133" s="303" t="str">
        <f t="shared" si="386"/>
        <v/>
      </c>
      <c r="BQ133" s="303" t="str">
        <f t="shared" si="386"/>
        <v/>
      </c>
      <c r="BR133" s="303" t="str">
        <f t="shared" si="386"/>
        <v/>
      </c>
      <c r="BS133" s="303" t="str">
        <f t="shared" si="386"/>
        <v/>
      </c>
      <c r="BT133" s="303" t="str">
        <f t="shared" si="386"/>
        <v/>
      </c>
      <c r="BU133" s="303" t="str">
        <f t="shared" si="386"/>
        <v/>
      </c>
      <c r="BV133" s="303" t="str">
        <f t="shared" si="386"/>
        <v/>
      </c>
      <c r="BW133" s="303" t="str">
        <f t="shared" si="386"/>
        <v/>
      </c>
      <c r="BX133" s="303">
        <f t="shared" si="386"/>
        <v>27.131278278701878</v>
      </c>
      <c r="BY133" s="303">
        <f t="shared" si="386"/>
        <v>1.7518610686592773</v>
      </c>
      <c r="BZ133" s="303">
        <f t="shared" si="386"/>
        <v>5.09</v>
      </c>
      <c r="CA133" s="303">
        <f t="shared" si="205"/>
        <v>3.3224755700325792</v>
      </c>
      <c r="CB133" s="305"/>
    </row>
    <row r="134" spans="1:80">
      <c r="A134" s="58">
        <f t="shared" si="299"/>
        <v>1997</v>
      </c>
      <c r="B134" s="303">
        <f t="shared" ref="B134:AG134" si="387">IF(B$2="-","",(IF(B295="","",IF(B$4&lt;$A134,B295,(B295-B$3)/(1+B$3%)))))</f>
        <v>30.99</v>
      </c>
      <c r="C134" s="303">
        <f t="shared" si="387"/>
        <v>29.77</v>
      </c>
      <c r="D134" s="303">
        <f t="shared" si="387"/>
        <v>33.19</v>
      </c>
      <c r="E134" s="303">
        <f t="shared" si="387"/>
        <v>36.340000000000003</v>
      </c>
      <c r="F134" s="303">
        <f t="shared" si="387"/>
        <v>28.703980844058666</v>
      </c>
      <c r="G134" s="303">
        <f t="shared" si="387"/>
        <v>31.497555622069243</v>
      </c>
      <c r="H134" s="303">
        <f t="shared" si="387"/>
        <v>24.59</v>
      </c>
      <c r="I134" s="303">
        <f t="shared" si="387"/>
        <v>12.640925870497854</v>
      </c>
      <c r="J134" s="303">
        <f t="shared" si="387"/>
        <v>20.55963484818416</v>
      </c>
      <c r="K134" s="303">
        <f t="shared" si="387"/>
        <v>18.461998803111907</v>
      </c>
      <c r="L134" s="303">
        <f t="shared" si="387"/>
        <v>2.0081926266360282</v>
      </c>
      <c r="M134" s="303">
        <f t="shared" si="387"/>
        <v>-16.82</v>
      </c>
      <c r="N134" s="303">
        <f t="shared" si="387"/>
        <v>-0.98782678108162048</v>
      </c>
      <c r="O134" s="303">
        <f t="shared" si="387"/>
        <v>-25.67</v>
      </c>
      <c r="P134" s="303">
        <f t="shared" si="387"/>
        <v>24.23</v>
      </c>
      <c r="Q134" s="303">
        <f t="shared" si="387"/>
        <v>-4.58</v>
      </c>
      <c r="R134" s="303">
        <f t="shared" si="387"/>
        <v>-1.0029287797843425</v>
      </c>
      <c r="S134" s="303">
        <f t="shared" si="387"/>
        <v>13.9</v>
      </c>
      <c r="T134" s="303">
        <f t="shared" si="387"/>
        <v>8.9600000000000009</v>
      </c>
      <c r="U134" s="303">
        <f t="shared" si="387"/>
        <v>9.44</v>
      </c>
      <c r="V134" s="303">
        <f t="shared" si="387"/>
        <v>5.12</v>
      </c>
      <c r="W134" s="303">
        <f t="shared" si="387"/>
        <v>7.7844311377245505</v>
      </c>
      <c r="X134" s="303">
        <f t="shared" si="387"/>
        <v>23.23</v>
      </c>
      <c r="Y134" s="303">
        <f t="shared" si="387"/>
        <v>20.190000000000001</v>
      </c>
      <c r="Z134" s="303">
        <f t="shared" si="387"/>
        <v>21.97</v>
      </c>
      <c r="AA134" s="303">
        <f t="shared" si="387"/>
        <v>6.39</v>
      </c>
      <c r="AB134" s="303">
        <f t="shared" si="387"/>
        <v>-21.721374488505017</v>
      </c>
      <c r="AC134" s="303">
        <f t="shared" si="387"/>
        <v>-14.446547773239015</v>
      </c>
      <c r="AD134" s="303">
        <f t="shared" si="387"/>
        <v>14.89</v>
      </c>
      <c r="AE134" s="303">
        <f t="shared" si="387"/>
        <v>28.57</v>
      </c>
      <c r="AF134" s="303">
        <f t="shared" si="387"/>
        <v>-38.92</v>
      </c>
      <c r="AG134" s="303">
        <f t="shared" si="387"/>
        <v>32.369999999999997</v>
      </c>
      <c r="AH134" s="303">
        <f t="shared" ref="AH134:BM134" si="388">IF(AH$2="-","",(IF(AH295="","",IF(AH$4&lt;$A134,AH295,(AH295-AH$3)/(1+AH$3%)))))</f>
        <v>4.07</v>
      </c>
      <c r="AI134" s="303">
        <f t="shared" si="388"/>
        <v>7.08</v>
      </c>
      <c r="AJ134" s="303">
        <f t="shared" si="388"/>
        <v>9.2899999999999991</v>
      </c>
      <c r="AK134" s="303">
        <f t="shared" si="388"/>
        <v>11.91</v>
      </c>
      <c r="AL134" s="303">
        <f t="shared" si="388"/>
        <v>20.32325651002694</v>
      </c>
      <c r="AM134" s="303">
        <f t="shared" si="388"/>
        <v>36.765439489174902</v>
      </c>
      <c r="AN134" s="303">
        <f t="shared" si="388"/>
        <v>26.73</v>
      </c>
      <c r="AO134" s="303">
        <f t="shared" si="388"/>
        <v>-0.9</v>
      </c>
      <c r="AP134" s="303">
        <f t="shared" si="388"/>
        <v>6.95</v>
      </c>
      <c r="AQ134" s="303" t="str">
        <f t="shared" si="388"/>
        <v/>
      </c>
      <c r="AR134" s="303" t="str">
        <f t="shared" si="388"/>
        <v/>
      </c>
      <c r="AS134" s="303" t="str">
        <f t="shared" si="388"/>
        <v/>
      </c>
      <c r="AT134" s="303" t="str">
        <f t="shared" si="388"/>
        <v/>
      </c>
      <c r="AU134" s="303" t="str">
        <f t="shared" si="388"/>
        <v/>
      </c>
      <c r="AV134" s="303" t="str">
        <f t="shared" si="388"/>
        <v/>
      </c>
      <c r="AW134" s="303" t="str">
        <f t="shared" si="388"/>
        <v/>
      </c>
      <c r="AX134" s="303" t="str">
        <f t="shared" si="388"/>
        <v/>
      </c>
      <c r="AY134" s="303" t="str">
        <f t="shared" si="388"/>
        <v/>
      </c>
      <c r="AZ134" s="303" t="str">
        <f t="shared" si="388"/>
        <v/>
      </c>
      <c r="BA134" s="303" t="str">
        <f t="shared" si="388"/>
        <v/>
      </c>
      <c r="BB134" s="303" t="str">
        <f t="shared" si="388"/>
        <v/>
      </c>
      <c r="BC134" s="303" t="str">
        <f t="shared" si="388"/>
        <v/>
      </c>
      <c r="BD134" s="303" t="str">
        <f t="shared" si="388"/>
        <v/>
      </c>
      <c r="BE134" s="303" t="str">
        <f t="shared" si="388"/>
        <v/>
      </c>
      <c r="BF134" s="303" t="str">
        <f t="shared" si="388"/>
        <v/>
      </c>
      <c r="BG134" s="303" t="str">
        <f t="shared" si="388"/>
        <v/>
      </c>
      <c r="BH134" s="303" t="str">
        <f t="shared" si="388"/>
        <v/>
      </c>
      <c r="BI134" s="303" t="str">
        <f t="shared" si="388"/>
        <v/>
      </c>
      <c r="BJ134" s="303" t="str">
        <f t="shared" si="388"/>
        <v/>
      </c>
      <c r="BK134" s="303" t="str">
        <f t="shared" si="388"/>
        <v/>
      </c>
      <c r="BL134" s="303" t="str">
        <f t="shared" si="388"/>
        <v/>
      </c>
      <c r="BM134" s="303" t="str">
        <f t="shared" si="388"/>
        <v/>
      </c>
      <c r="BN134" s="303" t="str">
        <f t="shared" ref="BN134:BZ134" si="389">IF(BN$2="-","",(IF(BN295="","",IF(BN$4&lt;$A134,BN295,(BN295-BN$3)/(1+BN$3%)))))</f>
        <v/>
      </c>
      <c r="BO134" s="303" t="str">
        <f t="shared" si="389"/>
        <v/>
      </c>
      <c r="BP134" s="303" t="str">
        <f t="shared" si="389"/>
        <v/>
      </c>
      <c r="BQ134" s="303" t="str">
        <f t="shared" si="389"/>
        <v/>
      </c>
      <c r="BR134" s="303" t="str">
        <f t="shared" si="389"/>
        <v/>
      </c>
      <c r="BS134" s="303" t="str">
        <f t="shared" si="389"/>
        <v/>
      </c>
      <c r="BT134" s="303" t="str">
        <f t="shared" si="389"/>
        <v/>
      </c>
      <c r="BU134" s="303" t="str">
        <f t="shared" si="389"/>
        <v/>
      </c>
      <c r="BV134" s="303" t="str">
        <f t="shared" si="389"/>
        <v/>
      </c>
      <c r="BW134" s="303" t="str">
        <f t="shared" si="389"/>
        <v/>
      </c>
      <c r="BX134" s="303">
        <f t="shared" si="389"/>
        <v>27.751820625929891</v>
      </c>
      <c r="BY134" s="303">
        <f t="shared" si="389"/>
        <v>10.728035978418937</v>
      </c>
      <c r="BZ134" s="303">
        <f t="shared" si="389"/>
        <v>5.61</v>
      </c>
      <c r="CA134" s="303">
        <f t="shared" si="205"/>
        <v>1.7023959646910614</v>
      </c>
      <c r="CB134" s="305"/>
    </row>
    <row r="135" spans="1:80">
      <c r="A135" s="58">
        <f t="shared" si="299"/>
        <v>1998</v>
      </c>
      <c r="B135" s="303">
        <f t="shared" ref="B135:AG135" si="390">IF(B$2="-","",(IF(B296="","",IF(B$4&lt;$A135,B296,(B296-B$3)/(1+B$3%)))))</f>
        <v>23.26</v>
      </c>
      <c r="C135" s="303">
        <f t="shared" si="390"/>
        <v>14.64</v>
      </c>
      <c r="D135" s="303">
        <f t="shared" si="390"/>
        <v>28.62</v>
      </c>
      <c r="E135" s="303">
        <f t="shared" si="390"/>
        <v>42.21</v>
      </c>
      <c r="F135" s="303">
        <f t="shared" si="390"/>
        <v>9.847351092487278</v>
      </c>
      <c r="G135" s="303">
        <f t="shared" si="390"/>
        <v>-6.7145565200039918</v>
      </c>
      <c r="H135" s="303">
        <f t="shared" si="390"/>
        <v>-2.61</v>
      </c>
      <c r="I135" s="303">
        <f t="shared" si="390"/>
        <v>0.96777411952509229</v>
      </c>
      <c r="J135" s="303">
        <f t="shared" si="390"/>
        <v>-2.56995435602302</v>
      </c>
      <c r="K135" s="303">
        <f t="shared" si="390"/>
        <v>-16.32</v>
      </c>
      <c r="L135" s="303">
        <f t="shared" si="390"/>
        <v>20.191827355380159</v>
      </c>
      <c r="M135" s="303">
        <f t="shared" si="390"/>
        <v>-18.12</v>
      </c>
      <c r="N135" s="303">
        <f t="shared" si="390"/>
        <v>15.6</v>
      </c>
      <c r="O135" s="303">
        <f t="shared" si="390"/>
        <v>2.41</v>
      </c>
      <c r="P135" s="303">
        <f t="shared" si="390"/>
        <v>28.86</v>
      </c>
      <c r="Q135" s="303">
        <f t="shared" si="390"/>
        <v>19.46</v>
      </c>
      <c r="R135" s="303">
        <f t="shared" si="390"/>
        <v>-25.303110444349187</v>
      </c>
      <c r="S135" s="303">
        <f t="shared" si="390"/>
        <v>13.05</v>
      </c>
      <c r="T135" s="303">
        <f t="shared" si="390"/>
        <v>10.61</v>
      </c>
      <c r="U135" s="303">
        <f t="shared" si="390"/>
        <v>8.58</v>
      </c>
      <c r="V135" s="303">
        <f t="shared" si="390"/>
        <v>5</v>
      </c>
      <c r="W135" s="303">
        <f t="shared" si="390"/>
        <v>2.5948103792415167</v>
      </c>
      <c r="X135" s="303">
        <f t="shared" si="390"/>
        <v>12.06</v>
      </c>
      <c r="Y135" s="303">
        <f t="shared" si="390"/>
        <v>11.84</v>
      </c>
      <c r="Z135" s="303">
        <f t="shared" si="390"/>
        <v>0.81</v>
      </c>
      <c r="AA135" s="303">
        <f t="shared" si="390"/>
        <v>7.36</v>
      </c>
      <c r="AB135" s="303">
        <f t="shared" si="390"/>
        <v>-1.2221273417700587</v>
      </c>
      <c r="AC135" s="303">
        <f t="shared" si="390"/>
        <v>25.98</v>
      </c>
      <c r="AD135" s="303">
        <f t="shared" si="390"/>
        <v>-20.53</v>
      </c>
      <c r="AE135" s="303">
        <f t="shared" si="390"/>
        <v>40.799999999999997</v>
      </c>
      <c r="AF135" s="303">
        <f t="shared" si="390"/>
        <v>-3.91</v>
      </c>
      <c r="AG135" s="303">
        <f t="shared" si="390"/>
        <v>16.36</v>
      </c>
      <c r="AH135" s="303">
        <f t="shared" ref="AH135:BM135" si="391">IF(AH$2="-","",(IF(AH296="","",IF(AH$4&lt;$A135,AH296,(AH296-AH$3)/(1+AH$3%)))))</f>
        <v>4.32</v>
      </c>
      <c r="AI135" s="303">
        <f t="shared" si="391"/>
        <v>5.76</v>
      </c>
      <c r="AJ135" s="303">
        <f t="shared" si="391"/>
        <v>6.02</v>
      </c>
      <c r="AK135" s="303">
        <f t="shared" si="391"/>
        <v>5.62</v>
      </c>
      <c r="AL135" s="303">
        <f t="shared" si="391"/>
        <v>16.990920881971466</v>
      </c>
      <c r="AM135" s="303">
        <f t="shared" si="391"/>
        <v>1.2870398084405867</v>
      </c>
      <c r="AN135" s="303">
        <f t="shared" si="391"/>
        <v>8.32</v>
      </c>
      <c r="AO135" s="303">
        <f t="shared" si="391"/>
        <v>12.5</v>
      </c>
      <c r="AP135" s="303">
        <f t="shared" si="391"/>
        <v>6.57</v>
      </c>
      <c r="AQ135" s="303" t="str">
        <f t="shared" si="391"/>
        <v/>
      </c>
      <c r="AR135" s="303" t="str">
        <f t="shared" si="391"/>
        <v/>
      </c>
      <c r="AS135" s="303" t="str">
        <f t="shared" si="391"/>
        <v/>
      </c>
      <c r="AT135" s="303" t="str">
        <f t="shared" si="391"/>
        <v/>
      </c>
      <c r="AU135" s="303" t="str">
        <f t="shared" si="391"/>
        <v/>
      </c>
      <c r="AV135" s="303" t="str">
        <f t="shared" si="391"/>
        <v/>
      </c>
      <c r="AW135" s="303" t="str">
        <f t="shared" si="391"/>
        <v/>
      </c>
      <c r="AX135" s="303" t="str">
        <f t="shared" si="391"/>
        <v/>
      </c>
      <c r="AY135" s="303" t="str">
        <f t="shared" si="391"/>
        <v/>
      </c>
      <c r="AZ135" s="303" t="str">
        <f t="shared" si="391"/>
        <v/>
      </c>
      <c r="BA135" s="303" t="str">
        <f t="shared" si="391"/>
        <v/>
      </c>
      <c r="BB135" s="303" t="str">
        <f t="shared" si="391"/>
        <v/>
      </c>
      <c r="BC135" s="303" t="str">
        <f t="shared" si="391"/>
        <v/>
      </c>
      <c r="BD135" s="303" t="str">
        <f t="shared" si="391"/>
        <v/>
      </c>
      <c r="BE135" s="303" t="str">
        <f t="shared" si="391"/>
        <v/>
      </c>
      <c r="BF135" s="303" t="str">
        <f t="shared" si="391"/>
        <v/>
      </c>
      <c r="BG135" s="303" t="str">
        <f t="shared" si="391"/>
        <v/>
      </c>
      <c r="BH135" s="303" t="str">
        <f t="shared" si="391"/>
        <v/>
      </c>
      <c r="BI135" s="303" t="str">
        <f t="shared" si="391"/>
        <v/>
      </c>
      <c r="BJ135" s="303" t="str">
        <f t="shared" si="391"/>
        <v/>
      </c>
      <c r="BK135" s="303" t="str">
        <f t="shared" si="391"/>
        <v/>
      </c>
      <c r="BL135" s="303" t="str">
        <f t="shared" si="391"/>
        <v/>
      </c>
      <c r="BM135" s="303" t="str">
        <f t="shared" si="391"/>
        <v/>
      </c>
      <c r="BN135" s="303" t="str">
        <f t="shared" ref="BN135:BZ135" si="392">IF(BN$2="-","",(IF(BN296="","",IF(BN$4&lt;$A135,BN296,(BN296-BN$3)/(1+BN$3%)))))</f>
        <v/>
      </c>
      <c r="BO135" s="303" t="str">
        <f t="shared" si="392"/>
        <v/>
      </c>
      <c r="BP135" s="303" t="str">
        <f t="shared" si="392"/>
        <v/>
      </c>
      <c r="BQ135" s="303" t="str">
        <f t="shared" si="392"/>
        <v/>
      </c>
      <c r="BR135" s="303" t="str">
        <f t="shared" si="392"/>
        <v/>
      </c>
      <c r="BS135" s="303" t="str">
        <f t="shared" si="392"/>
        <v/>
      </c>
      <c r="BT135" s="303" t="str">
        <f t="shared" si="392"/>
        <v/>
      </c>
      <c r="BU135" s="303" t="str">
        <f t="shared" si="392"/>
        <v/>
      </c>
      <c r="BV135" s="303" t="str">
        <f t="shared" si="392"/>
        <v/>
      </c>
      <c r="BW135" s="303" t="str">
        <f t="shared" si="392"/>
        <v/>
      </c>
      <c r="BX135" s="303">
        <f t="shared" si="392"/>
        <v>31.308129878757683</v>
      </c>
      <c r="BY135" s="303">
        <f t="shared" si="392"/>
        <v>9.0302049951934684</v>
      </c>
      <c r="BZ135" s="303">
        <f t="shared" si="392"/>
        <v>5.24</v>
      </c>
      <c r="CA135" s="303">
        <f t="shared" si="205"/>
        <v>1.6119032858028515</v>
      </c>
      <c r="CB135" s="305"/>
    </row>
    <row r="136" spans="1:80">
      <c r="A136" s="58">
        <f t="shared" si="299"/>
        <v>1999</v>
      </c>
      <c r="B136" s="303">
        <f t="shared" ref="B136:AG136" si="393">IF(B$2="-","",(IF(B297="","",IF(B$4&lt;$A136,B297,(B297-B$3)/(1+B$3%)))))</f>
        <v>23.81</v>
      </c>
      <c r="C136" s="303">
        <f t="shared" si="393"/>
        <v>12.57</v>
      </c>
      <c r="D136" s="303">
        <f t="shared" si="393"/>
        <v>21.07</v>
      </c>
      <c r="E136" s="303">
        <f t="shared" si="393"/>
        <v>28.76</v>
      </c>
      <c r="F136" s="303">
        <f t="shared" si="393"/>
        <v>15.055372642921281</v>
      </c>
      <c r="G136" s="303">
        <f t="shared" si="393"/>
        <v>3.1128404669260701</v>
      </c>
      <c r="H136" s="303">
        <f t="shared" si="393"/>
        <v>23.13</v>
      </c>
      <c r="I136" s="303">
        <f t="shared" si="393"/>
        <v>19.525092287738204</v>
      </c>
      <c r="J136" s="303">
        <f t="shared" si="393"/>
        <v>31.49</v>
      </c>
      <c r="K136" s="303">
        <f t="shared" si="393"/>
        <v>-4.04</v>
      </c>
      <c r="L136" s="303">
        <f t="shared" si="393"/>
        <v>27.185533020281749</v>
      </c>
      <c r="M136" s="303">
        <f t="shared" si="393"/>
        <v>61.57</v>
      </c>
      <c r="N136" s="303">
        <f t="shared" si="393"/>
        <v>29.92</v>
      </c>
      <c r="O136" s="303">
        <f t="shared" si="393"/>
        <v>57.05</v>
      </c>
      <c r="P136" s="303">
        <f t="shared" si="393"/>
        <v>16.62</v>
      </c>
      <c r="Q136" s="303">
        <f t="shared" si="393"/>
        <v>21.81</v>
      </c>
      <c r="R136" s="303">
        <f t="shared" si="393"/>
        <v>19.658254566019316</v>
      </c>
      <c r="S136" s="303">
        <f t="shared" si="393"/>
        <v>-8.66</v>
      </c>
      <c r="T136" s="303">
        <f t="shared" si="393"/>
        <v>-3.52</v>
      </c>
      <c r="U136" s="303">
        <f t="shared" si="393"/>
        <v>-0.76</v>
      </c>
      <c r="V136" s="303">
        <f t="shared" si="393"/>
        <v>4.55</v>
      </c>
      <c r="W136" s="303">
        <f t="shared" si="393"/>
        <v>7.6846307385229542</v>
      </c>
      <c r="X136" s="303">
        <f t="shared" si="393"/>
        <v>4.41</v>
      </c>
      <c r="Y136" s="303">
        <f t="shared" si="393"/>
        <v>-4.1399999999999997</v>
      </c>
      <c r="Z136" s="303">
        <f t="shared" si="393"/>
        <v>11.57</v>
      </c>
      <c r="AA136" s="303">
        <f t="shared" si="393"/>
        <v>1.85</v>
      </c>
      <c r="AB136" s="303">
        <f t="shared" si="393"/>
        <v>0.44948766435300785</v>
      </c>
      <c r="AC136" s="303">
        <f t="shared" si="393"/>
        <v>90.29</v>
      </c>
      <c r="AD136" s="303">
        <f t="shared" si="393"/>
        <v>20.98</v>
      </c>
      <c r="AE136" s="303">
        <f t="shared" si="393"/>
        <v>7.05</v>
      </c>
      <c r="AF136" s="303">
        <f t="shared" si="393"/>
        <v>28.82</v>
      </c>
      <c r="AG136" s="303">
        <f t="shared" si="393"/>
        <v>-5.81</v>
      </c>
      <c r="AH136" s="303">
        <f t="shared" ref="AH136:BM136" si="394">IF(AH$2="-","",(IF(AH297="","",IF(AH$4&lt;$A136,AH297,(AH297-AH$3)/(1+AH$3%)))))</f>
        <v>2.58</v>
      </c>
      <c r="AI136" s="303">
        <f t="shared" si="394"/>
        <v>-0.5</v>
      </c>
      <c r="AJ136" s="303">
        <f t="shared" si="394"/>
        <v>-3.53</v>
      </c>
      <c r="AK136" s="303">
        <f t="shared" si="394"/>
        <v>2.5499999999999998</v>
      </c>
      <c r="AL136" s="303">
        <f t="shared" si="394"/>
        <v>70.13868103362266</v>
      </c>
      <c r="AM136" s="303">
        <f t="shared" si="394"/>
        <v>1.9654793973860125</v>
      </c>
      <c r="AN136" s="303">
        <f t="shared" si="394"/>
        <v>36.22</v>
      </c>
      <c r="AO136" s="303">
        <f t="shared" si="394"/>
        <v>-4.29</v>
      </c>
      <c r="AP136" s="303">
        <f t="shared" si="394"/>
        <v>3.3</v>
      </c>
      <c r="AQ136" s="303" t="str">
        <f t="shared" si="394"/>
        <v/>
      </c>
      <c r="AR136" s="303" t="str">
        <f t="shared" si="394"/>
        <v/>
      </c>
      <c r="AS136" s="303" t="str">
        <f t="shared" si="394"/>
        <v/>
      </c>
      <c r="AT136" s="303" t="str">
        <f t="shared" si="394"/>
        <v/>
      </c>
      <c r="AU136" s="303" t="str">
        <f t="shared" si="394"/>
        <v/>
      </c>
      <c r="AV136" s="303" t="str">
        <f t="shared" si="394"/>
        <v/>
      </c>
      <c r="AW136" s="303" t="str">
        <f t="shared" si="394"/>
        <v/>
      </c>
      <c r="AX136" s="303" t="str">
        <f t="shared" si="394"/>
        <v/>
      </c>
      <c r="AY136" s="303" t="str">
        <f t="shared" si="394"/>
        <v/>
      </c>
      <c r="AZ136" s="303" t="str">
        <f t="shared" si="394"/>
        <v/>
      </c>
      <c r="BA136" s="303" t="str">
        <f t="shared" si="394"/>
        <v/>
      </c>
      <c r="BB136" s="303" t="str">
        <f t="shared" si="394"/>
        <v/>
      </c>
      <c r="BC136" s="303" t="str">
        <f t="shared" si="394"/>
        <v/>
      </c>
      <c r="BD136" s="303" t="str">
        <f t="shared" si="394"/>
        <v/>
      </c>
      <c r="BE136" s="303" t="str">
        <f t="shared" si="394"/>
        <v/>
      </c>
      <c r="BF136" s="303" t="str">
        <f t="shared" si="394"/>
        <v/>
      </c>
      <c r="BG136" s="303" t="str">
        <f t="shared" si="394"/>
        <v/>
      </c>
      <c r="BH136" s="303" t="str">
        <f t="shared" si="394"/>
        <v/>
      </c>
      <c r="BI136" s="303" t="str">
        <f t="shared" si="394"/>
        <v/>
      </c>
      <c r="BJ136" s="303" t="str">
        <f t="shared" si="394"/>
        <v/>
      </c>
      <c r="BK136" s="303" t="str">
        <f t="shared" si="394"/>
        <v/>
      </c>
      <c r="BL136" s="303" t="str">
        <f t="shared" si="394"/>
        <v/>
      </c>
      <c r="BM136" s="303" t="str">
        <f t="shared" si="394"/>
        <v/>
      </c>
      <c r="BN136" s="303" t="str">
        <f t="shared" ref="BN136:BZ136" si="395">IF(BN$2="-","",(IF(BN297="","",IF(BN$4&lt;$A136,BN297,(BN297-BN$3)/(1+BN$3%)))))</f>
        <v/>
      </c>
      <c r="BO136" s="303" t="str">
        <f t="shared" si="395"/>
        <v/>
      </c>
      <c r="BP136" s="303" t="str">
        <f t="shared" si="395"/>
        <v/>
      </c>
      <c r="BQ136" s="303" t="str">
        <f t="shared" si="395"/>
        <v/>
      </c>
      <c r="BR136" s="303" t="str">
        <f t="shared" si="395"/>
        <v/>
      </c>
      <c r="BS136" s="303" t="str">
        <f t="shared" si="395"/>
        <v/>
      </c>
      <c r="BT136" s="303" t="str">
        <f t="shared" si="395"/>
        <v/>
      </c>
      <c r="BU136" s="303" t="str">
        <f t="shared" si="395"/>
        <v/>
      </c>
      <c r="BV136" s="303" t="str">
        <f t="shared" si="395"/>
        <v/>
      </c>
      <c r="BW136" s="303" t="str">
        <f t="shared" si="395"/>
        <v/>
      </c>
      <c r="BX136" s="303">
        <f t="shared" si="395"/>
        <v>15.496048111341555</v>
      </c>
      <c r="BY136" s="303">
        <f t="shared" si="395"/>
        <v>-3.2210735755244135</v>
      </c>
      <c r="BZ136" s="303">
        <f t="shared" si="395"/>
        <v>4.51</v>
      </c>
      <c r="CA136" s="303">
        <f t="shared" si="205"/>
        <v>2.6845637583892579</v>
      </c>
      <c r="CB136" s="57"/>
    </row>
    <row r="137" spans="1:80">
      <c r="A137" s="58">
        <f t="shared" ref="A137:A153" si="396">A136+1</f>
        <v>2000</v>
      </c>
      <c r="B137" s="303">
        <f t="shared" ref="B137:AG137" si="397">IF(B$2="-","",(IF(B298="","",IF(B$4&lt;$A137,B298,(B298-B$3)/(1+B$3%)))))</f>
        <v>-10.57</v>
      </c>
      <c r="C137" s="303">
        <f t="shared" si="397"/>
        <v>6.08</v>
      </c>
      <c r="D137" s="303">
        <f t="shared" si="397"/>
        <v>-9.06</v>
      </c>
      <c r="E137" s="303">
        <f t="shared" si="397"/>
        <v>-22.21</v>
      </c>
      <c r="F137" s="303">
        <f t="shared" si="397"/>
        <v>18.100000000000001</v>
      </c>
      <c r="G137" s="303">
        <f t="shared" si="397"/>
        <v>21.88</v>
      </c>
      <c r="H137" s="303">
        <f t="shared" si="397"/>
        <v>-2.67</v>
      </c>
      <c r="I137" s="303">
        <f t="shared" si="397"/>
        <v>1.59</v>
      </c>
      <c r="J137" s="303">
        <f t="shared" si="397"/>
        <v>0.67</v>
      </c>
      <c r="K137" s="303">
        <f t="shared" si="397"/>
        <v>26.35</v>
      </c>
      <c r="L137" s="303">
        <f t="shared" si="397"/>
        <v>-14.367069637326408</v>
      </c>
      <c r="M137" s="303">
        <f t="shared" si="397"/>
        <v>-27.56</v>
      </c>
      <c r="N137" s="303">
        <f t="shared" si="397"/>
        <v>-15.61</v>
      </c>
      <c r="O137" s="303">
        <f t="shared" si="397"/>
        <v>-25.74</v>
      </c>
      <c r="P137" s="303">
        <f t="shared" si="397"/>
        <v>-8.18</v>
      </c>
      <c r="Q137" s="303">
        <f t="shared" si="397"/>
        <v>-7.48</v>
      </c>
      <c r="R137" s="303">
        <f t="shared" si="397"/>
        <v>35.83076587950972</v>
      </c>
      <c r="S137" s="303">
        <f t="shared" si="397"/>
        <v>19.72</v>
      </c>
      <c r="T137" s="303">
        <f t="shared" si="397"/>
        <v>14.03</v>
      </c>
      <c r="U137" s="303">
        <f t="shared" si="397"/>
        <v>11.39</v>
      </c>
      <c r="V137" s="303">
        <f t="shared" si="397"/>
        <v>5.8</v>
      </c>
      <c r="W137" s="303">
        <f t="shared" si="397"/>
        <v>4.5908183632734527</v>
      </c>
      <c r="X137" s="303">
        <f t="shared" si="397"/>
        <v>10.4</v>
      </c>
      <c r="Y137" s="303">
        <f t="shared" si="397"/>
        <v>16.170000000000002</v>
      </c>
      <c r="Z137" s="303">
        <f t="shared" si="397"/>
        <v>15.89</v>
      </c>
      <c r="AA137" s="303">
        <f t="shared" si="397"/>
        <v>8.83</v>
      </c>
      <c r="AB137" s="303">
        <f t="shared" si="397"/>
        <v>-5.8203019103602864</v>
      </c>
      <c r="AC137" s="303">
        <f t="shared" si="397"/>
        <v>-2.68</v>
      </c>
      <c r="AD137" s="303">
        <f t="shared" si="397"/>
        <v>36.43</v>
      </c>
      <c r="AE137" s="303">
        <f t="shared" si="397"/>
        <v>60.53</v>
      </c>
      <c r="AF137" s="303">
        <f t="shared" si="397"/>
        <v>-7.34</v>
      </c>
      <c r="AG137" s="303">
        <f t="shared" si="397"/>
        <v>16.86</v>
      </c>
      <c r="AH137" s="303">
        <f t="shared" ref="AH137:BM137" si="398">IF(AH$2="-","",(IF(AH298="","",IF(AH$4&lt;$A137,AH298,(AH298-AH$3)/(1+AH$3%)))))</f>
        <v>4.91</v>
      </c>
      <c r="AI137" s="303">
        <f t="shared" si="398"/>
        <v>9.24</v>
      </c>
      <c r="AJ137" s="303">
        <f t="shared" si="398"/>
        <v>13.32</v>
      </c>
      <c r="AK137" s="303">
        <f t="shared" si="398"/>
        <v>-0.88</v>
      </c>
      <c r="AL137" s="303">
        <f t="shared" si="398"/>
        <v>-26.459143968871597</v>
      </c>
      <c r="AM137" s="303">
        <f t="shared" si="398"/>
        <v>22.188965379626858</v>
      </c>
      <c r="AN137" s="303">
        <f t="shared" si="398"/>
        <v>-15.55</v>
      </c>
      <c r="AO137" s="303">
        <f t="shared" si="398"/>
        <v>0.43</v>
      </c>
      <c r="AP137" s="303">
        <f t="shared" si="398"/>
        <v>8.17</v>
      </c>
      <c r="AQ137" s="303" t="str">
        <f t="shared" si="398"/>
        <v/>
      </c>
      <c r="AR137" s="303" t="str">
        <f t="shared" si="398"/>
        <v/>
      </c>
      <c r="AS137" s="303" t="str">
        <f t="shared" si="398"/>
        <v/>
      </c>
      <c r="AT137" s="303" t="str">
        <f t="shared" si="398"/>
        <v/>
      </c>
      <c r="AU137" s="303" t="str">
        <f t="shared" si="398"/>
        <v/>
      </c>
      <c r="AV137" s="303" t="str">
        <f t="shared" si="398"/>
        <v/>
      </c>
      <c r="AW137" s="303" t="str">
        <f t="shared" si="398"/>
        <v/>
      </c>
      <c r="AX137" s="303" t="str">
        <f t="shared" si="398"/>
        <v/>
      </c>
      <c r="AY137" s="303" t="str">
        <f t="shared" si="398"/>
        <v/>
      </c>
      <c r="AZ137" s="303" t="str">
        <f t="shared" si="398"/>
        <v/>
      </c>
      <c r="BA137" s="303" t="str">
        <f t="shared" si="398"/>
        <v/>
      </c>
      <c r="BB137" s="303" t="str">
        <f t="shared" si="398"/>
        <v/>
      </c>
      <c r="BC137" s="303" t="str">
        <f t="shared" si="398"/>
        <v/>
      </c>
      <c r="BD137" s="303" t="str">
        <f t="shared" si="398"/>
        <v/>
      </c>
      <c r="BE137" s="303" t="str">
        <f t="shared" si="398"/>
        <v/>
      </c>
      <c r="BF137" s="303" t="str">
        <f t="shared" si="398"/>
        <v/>
      </c>
      <c r="BG137" s="303" t="str">
        <f t="shared" si="398"/>
        <v/>
      </c>
      <c r="BH137" s="303" t="str">
        <f t="shared" si="398"/>
        <v/>
      </c>
      <c r="BI137" s="303" t="str">
        <f t="shared" si="398"/>
        <v/>
      </c>
      <c r="BJ137" s="303" t="str">
        <f t="shared" si="398"/>
        <v/>
      </c>
      <c r="BK137" s="303" t="str">
        <f t="shared" si="398"/>
        <v/>
      </c>
      <c r="BL137" s="303" t="str">
        <f t="shared" si="398"/>
        <v/>
      </c>
      <c r="BM137" s="303" t="str">
        <f t="shared" si="398"/>
        <v/>
      </c>
      <c r="BN137" s="303" t="str">
        <f t="shared" ref="BN137:BZ137" si="399">IF(BN$2="-","",(IF(BN298="","",IF(BN$4&lt;$A137,BN298,(BN298-BN$3)/(1+BN$3%)))))</f>
        <v/>
      </c>
      <c r="BO137" s="303" t="str">
        <f t="shared" si="399"/>
        <v/>
      </c>
      <c r="BP137" s="303" t="str">
        <f t="shared" si="399"/>
        <v/>
      </c>
      <c r="BQ137" s="303" t="str">
        <f t="shared" si="399"/>
        <v/>
      </c>
      <c r="BR137" s="303" t="str">
        <f t="shared" si="399"/>
        <v/>
      </c>
      <c r="BS137" s="303" t="str">
        <f t="shared" si="399"/>
        <v/>
      </c>
      <c r="BT137" s="303" t="str">
        <f t="shared" si="399"/>
        <v/>
      </c>
      <c r="BU137" s="303" t="str">
        <f t="shared" si="399"/>
        <v/>
      </c>
      <c r="BV137" s="303" t="str">
        <f t="shared" si="399"/>
        <v/>
      </c>
      <c r="BW137" s="303" t="str">
        <f t="shared" si="399"/>
        <v/>
      </c>
      <c r="BX137" s="303">
        <f t="shared" si="399"/>
        <v>-5.1690878864189438</v>
      </c>
      <c r="BY137" s="303">
        <f t="shared" si="399"/>
        <v>13.971489278111871</v>
      </c>
      <c r="BZ137" s="303">
        <f t="shared" si="399"/>
        <v>6.12</v>
      </c>
      <c r="CA137" s="303">
        <f t="shared" ref="CA137:CA153" si="400">IF(CA298&lt;&gt;"",CA298,"")</f>
        <v>3.3868092691621943</v>
      </c>
      <c r="CB137" s="57"/>
    </row>
    <row r="138" spans="1:80">
      <c r="A138" s="58">
        <f t="shared" si="396"/>
        <v>2001</v>
      </c>
      <c r="B138" s="303">
        <f t="shared" ref="B138:AG138" si="401">IF(B$2="-","",(IF(B299="","",IF(B$4&lt;$A138,B299,(B299-B$3)/(1+B$3%)))))</f>
        <v>-10.97</v>
      </c>
      <c r="C138" s="303">
        <f t="shared" si="401"/>
        <v>-11.88</v>
      </c>
      <c r="D138" s="303">
        <f t="shared" si="401"/>
        <v>-12.02</v>
      </c>
      <c r="E138" s="303">
        <f t="shared" si="401"/>
        <v>-12.93</v>
      </c>
      <c r="F138" s="303">
        <f t="shared" si="401"/>
        <v>-0.5</v>
      </c>
      <c r="G138" s="303">
        <f t="shared" si="401"/>
        <v>13.7</v>
      </c>
      <c r="H138" s="303">
        <f t="shared" si="401"/>
        <v>3.1</v>
      </c>
      <c r="I138" s="303">
        <f t="shared" si="401"/>
        <v>-0.78</v>
      </c>
      <c r="J138" s="303">
        <f t="shared" si="401"/>
        <v>23.98</v>
      </c>
      <c r="K138" s="303">
        <f t="shared" si="401"/>
        <v>12.35</v>
      </c>
      <c r="L138" s="303">
        <f t="shared" si="401"/>
        <v>-22.010190828254576</v>
      </c>
      <c r="M138" s="303">
        <f t="shared" si="401"/>
        <v>-2.88</v>
      </c>
      <c r="N138" s="303">
        <f t="shared" si="401"/>
        <v>-20.149999999999999</v>
      </c>
      <c r="O138" s="303">
        <f t="shared" si="401"/>
        <v>-26.34</v>
      </c>
      <c r="P138" s="303">
        <f t="shared" si="401"/>
        <v>-20.3</v>
      </c>
      <c r="Q138" s="303">
        <f t="shared" si="401"/>
        <v>-14.02</v>
      </c>
      <c r="R138" s="303">
        <f t="shared" si="401"/>
        <v>-15.248585151771607</v>
      </c>
      <c r="S138" s="303">
        <f t="shared" si="401"/>
        <v>4.3099999999999996</v>
      </c>
      <c r="T138" s="303">
        <f t="shared" si="401"/>
        <v>7.55</v>
      </c>
      <c r="U138" s="303">
        <f t="shared" si="401"/>
        <v>8.43</v>
      </c>
      <c r="V138" s="303">
        <f t="shared" si="401"/>
        <v>3.99</v>
      </c>
      <c r="W138" s="303">
        <f t="shared" si="401"/>
        <v>7.3952095808383236</v>
      </c>
      <c r="X138" s="303">
        <f t="shared" si="401"/>
        <v>4.1900000000000004</v>
      </c>
      <c r="Y138" s="303">
        <f t="shared" si="401"/>
        <v>7.39</v>
      </c>
      <c r="Z138" s="303">
        <f t="shared" si="401"/>
        <v>5.72</v>
      </c>
      <c r="AA138" s="303">
        <f t="shared" si="401"/>
        <v>7.8</v>
      </c>
      <c r="AB138" s="303">
        <f t="shared" si="401"/>
        <v>0.43629453764465242</v>
      </c>
      <c r="AC138" s="303">
        <f t="shared" si="401"/>
        <v>-22.52</v>
      </c>
      <c r="AD138" s="303">
        <f t="shared" si="401"/>
        <v>-2.5499999999999998</v>
      </c>
      <c r="AE138" s="303">
        <f t="shared" si="401"/>
        <v>-6.87</v>
      </c>
      <c r="AF138" s="303">
        <f t="shared" si="401"/>
        <v>18.329999999999998</v>
      </c>
      <c r="AG138" s="303">
        <f t="shared" si="401"/>
        <v>-3.4</v>
      </c>
      <c r="AH138" s="303">
        <f t="shared" ref="AH138:BM138" si="402">IF(AH$2="-","",(IF(AH299="","",IF(AH$4&lt;$A138,AH299,(AH299-AH$3)/(1+AH$3%)))))</f>
        <v>4.75</v>
      </c>
      <c r="AI138" s="303">
        <f t="shared" si="402"/>
        <v>5.05</v>
      </c>
      <c r="AJ138" s="303">
        <f t="shared" si="402"/>
        <v>4.54</v>
      </c>
      <c r="AK138" s="303">
        <f t="shared" si="402"/>
        <v>2.9</v>
      </c>
      <c r="AL138" s="303">
        <f t="shared" si="402"/>
        <v>-20.612591040606606</v>
      </c>
      <c r="AM138" s="303">
        <f t="shared" si="402"/>
        <v>8.5403571784894741</v>
      </c>
      <c r="AN138" s="303">
        <f t="shared" si="402"/>
        <v>-9.1300000000000008</v>
      </c>
      <c r="AO138" s="303">
        <f t="shared" si="402"/>
        <v>2.48</v>
      </c>
      <c r="AP138" s="303">
        <f t="shared" si="402"/>
        <v>8.14</v>
      </c>
      <c r="AQ138" s="303" t="str">
        <f t="shared" si="402"/>
        <v/>
      </c>
      <c r="AR138" s="303" t="str">
        <f t="shared" si="402"/>
        <v/>
      </c>
      <c r="AS138" s="303" t="str">
        <f t="shared" si="402"/>
        <v/>
      </c>
      <c r="AT138" s="303" t="str">
        <f t="shared" si="402"/>
        <v/>
      </c>
      <c r="AU138" s="303" t="str">
        <f t="shared" si="402"/>
        <v/>
      </c>
      <c r="AV138" s="303" t="str">
        <f t="shared" si="402"/>
        <v/>
      </c>
      <c r="AW138" s="303" t="str">
        <f t="shared" si="402"/>
        <v/>
      </c>
      <c r="AX138" s="303" t="str">
        <f t="shared" si="402"/>
        <v/>
      </c>
      <c r="AY138" s="303" t="str">
        <f t="shared" si="402"/>
        <v/>
      </c>
      <c r="AZ138" s="303" t="str">
        <f t="shared" si="402"/>
        <v/>
      </c>
      <c r="BA138" s="303" t="str">
        <f t="shared" si="402"/>
        <v/>
      </c>
      <c r="BB138" s="303" t="str">
        <f t="shared" si="402"/>
        <v/>
      </c>
      <c r="BC138" s="303" t="str">
        <f t="shared" si="402"/>
        <v/>
      </c>
      <c r="BD138" s="303" t="str">
        <f t="shared" si="402"/>
        <v/>
      </c>
      <c r="BE138" s="303" t="str">
        <f t="shared" si="402"/>
        <v/>
      </c>
      <c r="BF138" s="303" t="str">
        <f t="shared" si="402"/>
        <v/>
      </c>
      <c r="BG138" s="303" t="str">
        <f t="shared" si="402"/>
        <v/>
      </c>
      <c r="BH138" s="303" t="str">
        <f t="shared" si="402"/>
        <v/>
      </c>
      <c r="BI138" s="303" t="str">
        <f t="shared" si="402"/>
        <v/>
      </c>
      <c r="BJ138" s="303" t="str">
        <f t="shared" si="402"/>
        <v/>
      </c>
      <c r="BK138" s="303" t="str">
        <f t="shared" si="402"/>
        <v/>
      </c>
      <c r="BL138" s="303" t="str">
        <f t="shared" si="402"/>
        <v/>
      </c>
      <c r="BM138" s="303" t="str">
        <f t="shared" si="402"/>
        <v/>
      </c>
      <c r="BN138" s="303" t="str">
        <f t="shared" ref="BN138:BZ138" si="403">IF(BN$2="-","",(IF(BN299="","",IF(BN$4&lt;$A138,BN299,(BN299-BN$3)/(1+BN$3%)))))</f>
        <v/>
      </c>
      <c r="BO138" s="303" t="str">
        <f t="shared" si="403"/>
        <v/>
      </c>
      <c r="BP138" s="303" t="str">
        <f t="shared" si="403"/>
        <v/>
      </c>
      <c r="BQ138" s="303" t="str">
        <f t="shared" si="403"/>
        <v/>
      </c>
      <c r="BR138" s="303" t="str">
        <f t="shared" si="403"/>
        <v/>
      </c>
      <c r="BS138" s="303" t="str">
        <f t="shared" si="403"/>
        <v/>
      </c>
      <c r="BT138" s="303" t="str">
        <f t="shared" si="403"/>
        <v/>
      </c>
      <c r="BU138" s="303" t="str">
        <f t="shared" si="403"/>
        <v/>
      </c>
      <c r="BV138" s="303" t="str">
        <f t="shared" si="403"/>
        <v/>
      </c>
      <c r="BW138" s="303" t="str">
        <f t="shared" si="403"/>
        <v/>
      </c>
      <c r="BX138" s="303">
        <f t="shared" si="403"/>
        <v>-13.452827504623288</v>
      </c>
      <c r="BY138" s="303">
        <f t="shared" si="403"/>
        <v>7.5120687984538748</v>
      </c>
      <c r="BZ138" s="303">
        <f t="shared" si="403"/>
        <v>4.8099999999999996</v>
      </c>
      <c r="CA138" s="303">
        <f t="shared" si="400"/>
        <v>1.551724137931032</v>
      </c>
      <c r="CB138" s="57"/>
    </row>
    <row r="139" spans="1:80">
      <c r="A139" s="58">
        <f t="shared" si="396"/>
        <v>2002</v>
      </c>
      <c r="B139" s="303">
        <f t="shared" ref="B139:AG139" si="404">IF(B$2="-","",(IF(B300="","",IF(B$4&lt;$A139,B300,(B300-B$3)/(1+B$3%)))))</f>
        <v>-20.96</v>
      </c>
      <c r="C139" s="303">
        <f t="shared" si="404"/>
        <v>-20.91</v>
      </c>
      <c r="D139" s="303">
        <f t="shared" si="404"/>
        <v>-22.15</v>
      </c>
      <c r="E139" s="303">
        <f t="shared" si="404"/>
        <v>-23.68</v>
      </c>
      <c r="F139" s="303">
        <f t="shared" si="404"/>
        <v>-14.61</v>
      </c>
      <c r="G139" s="303">
        <f t="shared" si="404"/>
        <v>-14.2</v>
      </c>
      <c r="H139" s="303">
        <f t="shared" si="404"/>
        <v>-20.02</v>
      </c>
      <c r="I139" s="303">
        <f t="shared" si="404"/>
        <v>-15.41</v>
      </c>
      <c r="J139" s="303">
        <f t="shared" si="404"/>
        <v>4.9000000000000004</v>
      </c>
      <c r="K139" s="303">
        <f t="shared" si="404"/>
        <v>3.75</v>
      </c>
      <c r="L139" s="303">
        <f t="shared" si="404"/>
        <v>-15.620000000000001</v>
      </c>
      <c r="M139" s="303">
        <f t="shared" si="404"/>
        <v>-7.43</v>
      </c>
      <c r="N139" s="303">
        <f t="shared" si="404"/>
        <v>-15.08</v>
      </c>
      <c r="O139" s="303">
        <f t="shared" si="404"/>
        <v>-9.32</v>
      </c>
      <c r="P139" s="303">
        <f t="shared" si="404"/>
        <v>-17.95</v>
      </c>
      <c r="Q139" s="303">
        <f t="shared" si="404"/>
        <v>-13.35</v>
      </c>
      <c r="R139" s="303">
        <f t="shared" si="404"/>
        <v>39.929692473577198</v>
      </c>
      <c r="S139" s="303">
        <f t="shared" si="404"/>
        <v>16.670000000000002</v>
      </c>
      <c r="T139" s="303">
        <f t="shared" si="404"/>
        <v>14.15</v>
      </c>
      <c r="U139" s="303">
        <f t="shared" si="404"/>
        <v>8.26</v>
      </c>
      <c r="V139" s="303">
        <f t="shared" si="404"/>
        <v>1.51</v>
      </c>
      <c r="W139" s="303">
        <f t="shared" si="404"/>
        <v>16.61</v>
      </c>
      <c r="X139" s="303">
        <f t="shared" si="404"/>
        <v>-6.9</v>
      </c>
      <c r="Y139" s="303">
        <f t="shared" si="404"/>
        <v>4.6399999999999997</v>
      </c>
      <c r="Z139" s="303">
        <f t="shared" si="404"/>
        <v>-22.25</v>
      </c>
      <c r="AA139" s="303">
        <f t="shared" si="404"/>
        <v>8.02</v>
      </c>
      <c r="AB139" s="303">
        <f t="shared" si="404"/>
        <v>24.956362445430557</v>
      </c>
      <c r="AC139" s="303">
        <f t="shared" si="404"/>
        <v>-13.88</v>
      </c>
      <c r="AD139" s="303">
        <f t="shared" si="404"/>
        <v>-0.62</v>
      </c>
      <c r="AE139" s="303">
        <f t="shared" si="404"/>
        <v>-11.36</v>
      </c>
      <c r="AF139" s="303">
        <f t="shared" si="404"/>
        <v>33.35</v>
      </c>
      <c r="AG139" s="303">
        <f t="shared" si="404"/>
        <v>-16.86</v>
      </c>
      <c r="AH139" s="303">
        <f t="shared" ref="AH139:BM139" si="405">IF(AH$2="-","",(IF(AH300="","",IF(AH$4&lt;$A139,AH300,(AH300-AH$3)/(1+AH$3%)))))</f>
        <v>3.49</v>
      </c>
      <c r="AI139" s="303">
        <f t="shared" si="405"/>
        <v>7.91</v>
      </c>
      <c r="AJ139" s="303">
        <f t="shared" si="405"/>
        <v>10.11</v>
      </c>
      <c r="AK139" s="303">
        <f t="shared" si="405"/>
        <v>1.73</v>
      </c>
      <c r="AL139" s="303">
        <f t="shared" si="405"/>
        <v>-23.505936346403271</v>
      </c>
      <c r="AM139" s="303">
        <f t="shared" si="405"/>
        <v>-9.8972363563803256</v>
      </c>
      <c r="AN139" s="303">
        <f t="shared" si="405"/>
        <v>-18.059999999999999</v>
      </c>
      <c r="AO139" s="303">
        <f t="shared" si="405"/>
        <v>21.33</v>
      </c>
      <c r="AP139" s="303">
        <f t="shared" si="405"/>
        <v>5.22</v>
      </c>
      <c r="AQ139" s="303" t="str">
        <f t="shared" si="405"/>
        <v/>
      </c>
      <c r="AR139" s="303" t="str">
        <f t="shared" si="405"/>
        <v/>
      </c>
      <c r="AS139" s="303" t="str">
        <f t="shared" si="405"/>
        <v/>
      </c>
      <c r="AT139" s="303" t="str">
        <f t="shared" si="405"/>
        <v/>
      </c>
      <c r="AU139" s="303" t="str">
        <f t="shared" si="405"/>
        <v/>
      </c>
      <c r="AV139" s="303" t="str">
        <f t="shared" si="405"/>
        <v/>
      </c>
      <c r="AW139" s="303" t="str">
        <f t="shared" si="405"/>
        <v/>
      </c>
      <c r="AX139" s="303" t="str">
        <f t="shared" si="405"/>
        <v/>
      </c>
      <c r="AY139" s="303" t="str">
        <f t="shared" si="405"/>
        <v/>
      </c>
      <c r="AZ139" s="303" t="str">
        <f t="shared" si="405"/>
        <v/>
      </c>
      <c r="BA139" s="303" t="str">
        <f t="shared" si="405"/>
        <v/>
      </c>
      <c r="BB139" s="303" t="str">
        <f t="shared" si="405"/>
        <v/>
      </c>
      <c r="BC139" s="303" t="str">
        <f t="shared" si="405"/>
        <v/>
      </c>
      <c r="BD139" s="303" t="str">
        <f t="shared" si="405"/>
        <v/>
      </c>
      <c r="BE139" s="303" t="str">
        <f t="shared" si="405"/>
        <v/>
      </c>
      <c r="BF139" s="303" t="str">
        <f t="shared" si="405"/>
        <v/>
      </c>
      <c r="BG139" s="303" t="str">
        <f t="shared" si="405"/>
        <v/>
      </c>
      <c r="BH139" s="303" t="str">
        <f t="shared" si="405"/>
        <v/>
      </c>
      <c r="BI139" s="303" t="str">
        <f t="shared" si="405"/>
        <v/>
      </c>
      <c r="BJ139" s="303" t="str">
        <f t="shared" si="405"/>
        <v/>
      </c>
      <c r="BK139" s="303" t="str">
        <f t="shared" si="405"/>
        <v/>
      </c>
      <c r="BL139" s="303" t="str">
        <f t="shared" si="405"/>
        <v/>
      </c>
      <c r="BM139" s="303" t="str">
        <f t="shared" si="405"/>
        <v/>
      </c>
      <c r="BN139" s="303" t="str">
        <f t="shared" ref="BN139:BZ139" si="406">IF(BN$2="-","",(IF(BN300="","",IF(BN$4&lt;$A139,BN300,(BN300-BN$3)/(1+BN$3%)))))</f>
        <v/>
      </c>
      <c r="BO139" s="303" t="str">
        <f t="shared" si="406"/>
        <v/>
      </c>
      <c r="BP139" s="303" t="str">
        <f t="shared" si="406"/>
        <v/>
      </c>
      <c r="BQ139" s="303" t="str">
        <f t="shared" si="406"/>
        <v/>
      </c>
      <c r="BR139" s="303" t="str">
        <f t="shared" si="406"/>
        <v/>
      </c>
      <c r="BS139" s="303" t="str">
        <f t="shared" si="406"/>
        <v/>
      </c>
      <c r="BT139" s="303" t="str">
        <f t="shared" si="406"/>
        <v/>
      </c>
      <c r="BU139" s="303" t="str">
        <f t="shared" si="406"/>
        <v/>
      </c>
      <c r="BV139" s="303" t="str">
        <f t="shared" si="406"/>
        <v/>
      </c>
      <c r="BW139" s="303" t="str">
        <f t="shared" si="406"/>
        <v/>
      </c>
      <c r="BX139" s="303">
        <f t="shared" si="406"/>
        <v>-20.022627410740125</v>
      </c>
      <c r="BY139" s="303">
        <f t="shared" si="406"/>
        <v>10.79573211714273</v>
      </c>
      <c r="BZ139" s="303">
        <f t="shared" si="406"/>
        <v>2.16</v>
      </c>
      <c r="CA139" s="303">
        <f t="shared" si="400"/>
        <v>2.3769100169779289</v>
      </c>
      <c r="CB139" s="57"/>
    </row>
    <row r="140" spans="1:80">
      <c r="A140" s="58">
        <f t="shared" si="396"/>
        <v>2003</v>
      </c>
      <c r="B140" s="303">
        <f t="shared" ref="B140:AG140" si="407">IF(B$2="-","",(IF(B301="","",IF(B$4&lt;$A140,B301,(B301-B$3)/(1+B$3%)))))</f>
        <v>31.35</v>
      </c>
      <c r="C140" s="303">
        <f t="shared" si="407"/>
        <v>32.25</v>
      </c>
      <c r="D140" s="303">
        <f t="shared" si="407"/>
        <v>28.5</v>
      </c>
      <c r="E140" s="303">
        <f t="shared" si="407"/>
        <v>25.92</v>
      </c>
      <c r="F140" s="303">
        <f t="shared" si="407"/>
        <v>34.14</v>
      </c>
      <c r="G140" s="303">
        <f t="shared" si="407"/>
        <v>37.19</v>
      </c>
      <c r="H140" s="303">
        <f t="shared" si="407"/>
        <v>45.63</v>
      </c>
      <c r="I140" s="303">
        <f t="shared" si="407"/>
        <v>42.88</v>
      </c>
      <c r="J140" s="303">
        <f t="shared" si="407"/>
        <v>79.430000000000007</v>
      </c>
      <c r="K140" s="303">
        <f t="shared" si="407"/>
        <v>35.65</v>
      </c>
      <c r="L140" s="303">
        <f t="shared" si="407"/>
        <v>38.67</v>
      </c>
      <c r="M140" s="303">
        <f t="shared" si="407"/>
        <v>57.65</v>
      </c>
      <c r="N140" s="303">
        <f t="shared" si="407"/>
        <v>40.340000000000003</v>
      </c>
      <c r="O140" s="303">
        <f t="shared" si="407"/>
        <v>38.42</v>
      </c>
      <c r="P140" s="303">
        <f t="shared" si="407"/>
        <v>38.700000000000003</v>
      </c>
      <c r="Q140" s="303">
        <f t="shared" si="407"/>
        <v>41.9</v>
      </c>
      <c r="R140" s="303">
        <f t="shared" si="407"/>
        <v>29.82</v>
      </c>
      <c r="S140" s="303">
        <f t="shared" si="407"/>
        <v>2.68</v>
      </c>
      <c r="T140" s="303">
        <f t="shared" si="407"/>
        <v>2.37</v>
      </c>
      <c r="U140" s="303">
        <f t="shared" si="407"/>
        <v>3.97</v>
      </c>
      <c r="V140" s="303">
        <f t="shared" si="407"/>
        <v>0.82</v>
      </c>
      <c r="W140" s="303">
        <f t="shared" si="407"/>
        <v>8</v>
      </c>
      <c r="X140" s="303">
        <f t="shared" si="407"/>
        <v>20.75</v>
      </c>
      <c r="Y140" s="303">
        <f t="shared" si="407"/>
        <v>9.66</v>
      </c>
      <c r="Z140" s="303">
        <f t="shared" si="407"/>
        <v>37.01</v>
      </c>
      <c r="AA140" s="303">
        <f t="shared" si="407"/>
        <v>2.38</v>
      </c>
      <c r="AB140" s="303">
        <f t="shared" si="407"/>
        <v>19.123161730956365</v>
      </c>
      <c r="AC140" s="303">
        <f t="shared" si="407"/>
        <v>57.37</v>
      </c>
      <c r="AD140" s="303">
        <f t="shared" si="407"/>
        <v>33.799999999999997</v>
      </c>
      <c r="AE140" s="303">
        <f t="shared" si="407"/>
        <v>26.58</v>
      </c>
      <c r="AF140" s="303">
        <f t="shared" si="407"/>
        <v>59.45</v>
      </c>
      <c r="AG140" s="303">
        <f t="shared" si="407"/>
        <v>30.08</v>
      </c>
      <c r="AH140" s="303">
        <f t="shared" ref="AH140:BM140" si="408">IF(AH$2="-","",(IF(AH301="","",IF(AH$4&lt;$A140,AH301,(AH301-AH$3)/(1+AH$3%)))))</f>
        <v>1.64</v>
      </c>
      <c r="AI140" s="303">
        <f t="shared" si="408"/>
        <v>4.46</v>
      </c>
      <c r="AJ140" s="303">
        <f t="shared" si="408"/>
        <v>5.21</v>
      </c>
      <c r="AK140" s="303">
        <f t="shared" si="408"/>
        <v>17.2</v>
      </c>
      <c r="AL140" s="303">
        <f t="shared" si="408"/>
        <v>39.938142272772623</v>
      </c>
      <c r="AM140" s="303">
        <f t="shared" si="408"/>
        <v>37.593534869799463</v>
      </c>
      <c r="AN140" s="303">
        <f t="shared" si="408"/>
        <v>43.43</v>
      </c>
      <c r="AO140" s="303">
        <f t="shared" si="408"/>
        <v>16.59</v>
      </c>
      <c r="AP140" s="303">
        <f t="shared" si="408"/>
        <v>4.2</v>
      </c>
      <c r="AQ140" s="303" t="str">
        <f t="shared" si="408"/>
        <v/>
      </c>
      <c r="AR140" s="303" t="str">
        <f t="shared" si="408"/>
        <v/>
      </c>
      <c r="AS140" s="303" t="str">
        <f t="shared" si="408"/>
        <v/>
      </c>
      <c r="AT140" s="303" t="str">
        <f t="shared" si="408"/>
        <v/>
      </c>
      <c r="AU140" s="303" t="str">
        <f t="shared" si="408"/>
        <v/>
      </c>
      <c r="AV140" s="303" t="str">
        <f t="shared" si="408"/>
        <v/>
      </c>
      <c r="AW140" s="303" t="str">
        <f t="shared" si="408"/>
        <v/>
      </c>
      <c r="AX140" s="303" t="str">
        <f t="shared" si="408"/>
        <v/>
      </c>
      <c r="AY140" s="303" t="str">
        <f t="shared" si="408"/>
        <v/>
      </c>
      <c r="AZ140" s="303" t="str">
        <f t="shared" si="408"/>
        <v/>
      </c>
      <c r="BA140" s="303" t="str">
        <f t="shared" si="408"/>
        <v/>
      </c>
      <c r="BB140" s="303" t="str">
        <f t="shared" si="408"/>
        <v/>
      </c>
      <c r="BC140" s="303" t="str">
        <f t="shared" si="408"/>
        <v/>
      </c>
      <c r="BD140" s="303" t="str">
        <f t="shared" si="408"/>
        <v/>
      </c>
      <c r="BE140" s="303" t="str">
        <f t="shared" si="408"/>
        <v/>
      </c>
      <c r="BF140" s="303" t="str">
        <f t="shared" si="408"/>
        <v/>
      </c>
      <c r="BG140" s="303" t="str">
        <f t="shared" si="408"/>
        <v/>
      </c>
      <c r="BH140" s="303" t="str">
        <f t="shared" si="408"/>
        <v/>
      </c>
      <c r="BI140" s="303" t="str">
        <f t="shared" si="408"/>
        <v/>
      </c>
      <c r="BJ140" s="303" t="str">
        <f t="shared" si="408"/>
        <v/>
      </c>
      <c r="BK140" s="303" t="str">
        <f t="shared" si="408"/>
        <v/>
      </c>
      <c r="BL140" s="303" t="str">
        <f t="shared" si="408"/>
        <v/>
      </c>
      <c r="BM140" s="303" t="str">
        <f t="shared" si="408"/>
        <v/>
      </c>
      <c r="BN140" s="303" t="str">
        <f t="shared" ref="BN140:BZ140" si="409">IF(BN$2="-","",(IF(BN301="","",IF(BN$4&lt;$A140,BN301,(BN301-BN$3)/(1+BN$3%)))))</f>
        <v/>
      </c>
      <c r="BO140" s="303" t="str">
        <f t="shared" si="409"/>
        <v/>
      </c>
      <c r="BP140" s="303" t="str">
        <f t="shared" si="409"/>
        <v/>
      </c>
      <c r="BQ140" s="303" t="str">
        <f t="shared" si="409"/>
        <v/>
      </c>
      <c r="BR140" s="303" t="str">
        <f t="shared" si="409"/>
        <v/>
      </c>
      <c r="BS140" s="303" t="str">
        <f t="shared" si="409"/>
        <v/>
      </c>
      <c r="BT140" s="303" t="str">
        <f t="shared" si="409"/>
        <v/>
      </c>
      <c r="BU140" s="303" t="str">
        <f t="shared" si="409"/>
        <v/>
      </c>
      <c r="BV140" s="303" t="str">
        <f t="shared" si="409"/>
        <v/>
      </c>
      <c r="BW140" s="303" t="str">
        <f t="shared" si="409"/>
        <v/>
      </c>
      <c r="BX140" s="303">
        <f t="shared" si="409"/>
        <v>28.361091266297557</v>
      </c>
      <c r="BY140" s="303">
        <f t="shared" si="409"/>
        <v>4.0137883676302444</v>
      </c>
      <c r="BZ140" s="303">
        <f t="shared" si="409"/>
        <v>1.36</v>
      </c>
      <c r="CA140" s="303">
        <f t="shared" si="400"/>
        <v>1.8794914317302513</v>
      </c>
      <c r="CB140" s="57"/>
    </row>
    <row r="141" spans="1:80">
      <c r="A141" s="58">
        <f t="shared" si="396"/>
        <v>2004</v>
      </c>
      <c r="B141" s="303">
        <f t="shared" ref="B141:AG141" si="410">IF(B$2="-","",(IF(B302="","",IF(B$4&lt;$A141,B302,(B302-B$3)/(1+B$3%)))))</f>
        <v>12.52</v>
      </c>
      <c r="C141" s="303">
        <f t="shared" si="410"/>
        <v>15.29</v>
      </c>
      <c r="D141" s="303">
        <f t="shared" si="410"/>
        <v>10.74</v>
      </c>
      <c r="E141" s="303">
        <f t="shared" si="410"/>
        <v>7.2</v>
      </c>
      <c r="F141" s="303">
        <f t="shared" si="410"/>
        <v>20.350000000000001</v>
      </c>
      <c r="G141" s="303">
        <f t="shared" si="410"/>
        <v>23.55</v>
      </c>
      <c r="H141" s="303">
        <f t="shared" si="410"/>
        <v>19.899999999999999</v>
      </c>
      <c r="I141" s="303">
        <f t="shared" si="410"/>
        <v>16.059999999999999</v>
      </c>
      <c r="J141" s="303">
        <f t="shared" si="410"/>
        <v>20.12</v>
      </c>
      <c r="K141" s="303">
        <f t="shared" si="410"/>
        <v>30.76</v>
      </c>
      <c r="L141" s="303">
        <f t="shared" si="410"/>
        <v>20.25</v>
      </c>
      <c r="M141" s="303">
        <f t="shared" si="410"/>
        <v>26.12</v>
      </c>
      <c r="N141" s="303">
        <f t="shared" si="410"/>
        <v>20.84</v>
      </c>
      <c r="O141" s="303">
        <f t="shared" si="410"/>
        <v>18.829999999999998</v>
      </c>
      <c r="P141" s="303">
        <f t="shared" si="410"/>
        <v>20.86</v>
      </c>
      <c r="Q141" s="303">
        <f t="shared" si="410"/>
        <v>19.77</v>
      </c>
      <c r="R141" s="303">
        <f t="shared" si="410"/>
        <v>16.36</v>
      </c>
      <c r="S141" s="303">
        <f t="shared" si="410"/>
        <v>7.12</v>
      </c>
      <c r="T141" s="303">
        <f t="shared" si="410"/>
        <v>3.4</v>
      </c>
      <c r="U141" s="303">
        <f t="shared" si="410"/>
        <v>4.24</v>
      </c>
      <c r="V141" s="303">
        <f t="shared" si="410"/>
        <v>1</v>
      </c>
      <c r="W141" s="303">
        <f t="shared" si="410"/>
        <v>8.27</v>
      </c>
      <c r="X141" s="303">
        <f t="shared" si="410"/>
        <v>11.17</v>
      </c>
      <c r="Y141" s="303">
        <f t="shared" si="410"/>
        <v>7.57</v>
      </c>
      <c r="Z141" s="303">
        <f t="shared" si="410"/>
        <v>13.38</v>
      </c>
      <c r="AA141" s="303">
        <f t="shared" si="410"/>
        <v>1.03</v>
      </c>
      <c r="AB141" s="303">
        <f t="shared" si="410"/>
        <v>4.4827313263502333</v>
      </c>
      <c r="AC141" s="303">
        <f t="shared" si="410"/>
        <v>31.77</v>
      </c>
      <c r="AD141" s="303">
        <f t="shared" si="410"/>
        <v>36.65</v>
      </c>
      <c r="AE141" s="303">
        <f t="shared" si="410"/>
        <v>9.51</v>
      </c>
      <c r="AF141" s="303">
        <f t="shared" si="410"/>
        <v>8.09</v>
      </c>
      <c r="AG141" s="303">
        <f t="shared" si="410"/>
        <v>18.309999999999999</v>
      </c>
      <c r="AH141" s="303">
        <f t="shared" ref="AH141:BM141" si="411">IF(AH$2="-","",(IF(AH302="","",IF(AH$4&lt;$A141,AH302,(AH302-AH$3)/(1+AH$3%)))))</f>
        <v>1.1200000000000001</v>
      </c>
      <c r="AI141" s="303">
        <f t="shared" si="411"/>
        <v>3.23</v>
      </c>
      <c r="AJ141" s="303">
        <f t="shared" si="411"/>
        <v>4.12</v>
      </c>
      <c r="AK141" s="303">
        <f t="shared" si="411"/>
        <v>8.52</v>
      </c>
      <c r="AL141" s="303">
        <f t="shared" si="411"/>
        <v>13.558814726129901</v>
      </c>
      <c r="AM141" s="303">
        <f t="shared" si="411"/>
        <v>26.878180185573182</v>
      </c>
      <c r="AN141" s="303">
        <f t="shared" si="411"/>
        <v>18.71</v>
      </c>
      <c r="AO141" s="303">
        <f t="shared" si="411"/>
        <v>11.56</v>
      </c>
      <c r="AP141" s="303">
        <f t="shared" si="411"/>
        <v>2.11</v>
      </c>
      <c r="AQ141" s="303" t="str">
        <f t="shared" si="411"/>
        <v/>
      </c>
      <c r="AR141" s="303" t="str">
        <f t="shared" si="411"/>
        <v/>
      </c>
      <c r="AS141" s="303" t="str">
        <f t="shared" si="411"/>
        <v/>
      </c>
      <c r="AT141" s="303" t="str">
        <f t="shared" si="411"/>
        <v/>
      </c>
      <c r="AU141" s="303" t="str">
        <f t="shared" si="411"/>
        <v/>
      </c>
      <c r="AV141" s="303" t="str">
        <f t="shared" si="411"/>
        <v/>
      </c>
      <c r="AW141" s="303" t="str">
        <f t="shared" si="411"/>
        <v/>
      </c>
      <c r="AX141" s="303" t="str">
        <f t="shared" si="411"/>
        <v/>
      </c>
      <c r="AY141" s="303" t="str">
        <f t="shared" si="411"/>
        <v/>
      </c>
      <c r="AZ141" s="303" t="str">
        <f t="shared" si="411"/>
        <v/>
      </c>
      <c r="BA141" s="303" t="str">
        <f t="shared" si="411"/>
        <v/>
      </c>
      <c r="BB141" s="303" t="str">
        <f t="shared" si="411"/>
        <v/>
      </c>
      <c r="BC141" s="303" t="str">
        <f t="shared" si="411"/>
        <v/>
      </c>
      <c r="BD141" s="303" t="str">
        <f t="shared" si="411"/>
        <v/>
      </c>
      <c r="BE141" s="303" t="str">
        <f t="shared" si="411"/>
        <v/>
      </c>
      <c r="BF141" s="303" t="str">
        <f t="shared" si="411"/>
        <v/>
      </c>
      <c r="BG141" s="303" t="str">
        <f t="shared" si="411"/>
        <v/>
      </c>
      <c r="BH141" s="303" t="str">
        <f t="shared" si="411"/>
        <v/>
      </c>
      <c r="BI141" s="303" t="str">
        <f t="shared" si="411"/>
        <v/>
      </c>
      <c r="BJ141" s="303" t="str">
        <f t="shared" si="411"/>
        <v/>
      </c>
      <c r="BK141" s="303" t="str">
        <f t="shared" si="411"/>
        <v/>
      </c>
      <c r="BL141" s="303" t="str">
        <f t="shared" si="411"/>
        <v/>
      </c>
      <c r="BM141" s="303" t="str">
        <f t="shared" si="411"/>
        <v/>
      </c>
      <c r="BN141" s="303" t="str">
        <f t="shared" ref="BN141:BZ141" si="412">IF(BN$2="-","",(IF(BN302="","",IF(BN$4&lt;$A141,BN302,(BN302-BN$3)/(1+BN$3%)))))</f>
        <v/>
      </c>
      <c r="BO141" s="303" t="str">
        <f t="shared" si="412"/>
        <v/>
      </c>
      <c r="BP141" s="303" t="str">
        <f t="shared" si="412"/>
        <v/>
      </c>
      <c r="BQ141" s="303" t="str">
        <f t="shared" si="412"/>
        <v/>
      </c>
      <c r="BR141" s="303" t="str">
        <f t="shared" si="412"/>
        <v/>
      </c>
      <c r="BS141" s="303" t="str">
        <f t="shared" si="412"/>
        <v/>
      </c>
      <c r="BT141" s="303" t="str">
        <f t="shared" si="412"/>
        <v/>
      </c>
      <c r="BU141" s="303" t="str">
        <f t="shared" si="412"/>
        <v/>
      </c>
      <c r="BV141" s="303" t="str">
        <f t="shared" si="412"/>
        <v/>
      </c>
      <c r="BW141" s="303" t="str">
        <f t="shared" si="412"/>
        <v/>
      </c>
      <c r="BX141" s="303">
        <f t="shared" si="412"/>
        <v>6.0334475329354209</v>
      </c>
      <c r="BY141" s="303">
        <f t="shared" si="412"/>
        <v>2.2674634484761258</v>
      </c>
      <c r="BZ141" s="303">
        <f t="shared" si="412"/>
        <v>1.24</v>
      </c>
      <c r="CA141" s="303">
        <f t="shared" si="400"/>
        <v>3.255561584373301</v>
      </c>
      <c r="CB141" s="57"/>
    </row>
    <row r="142" spans="1:80">
      <c r="A142" s="58">
        <f t="shared" si="396"/>
        <v>2005</v>
      </c>
      <c r="B142" s="303">
        <f t="shared" ref="B142:AG142" si="413">IF(B$2="-","",(IF(B303="","",IF(B$4&lt;$A142,B303,(B303-B$3)/(1+B$3%)))))</f>
        <v>5.98</v>
      </c>
      <c r="C142" s="303">
        <f t="shared" si="413"/>
        <v>7.09</v>
      </c>
      <c r="D142" s="303">
        <f t="shared" si="413"/>
        <v>4.7699999999999996</v>
      </c>
      <c r="E142" s="303">
        <f t="shared" si="413"/>
        <v>5.09</v>
      </c>
      <c r="F142" s="303">
        <f t="shared" si="413"/>
        <v>13.93</v>
      </c>
      <c r="G142" s="303">
        <f t="shared" si="413"/>
        <v>6.07</v>
      </c>
      <c r="H142" s="303">
        <f t="shared" si="413"/>
        <v>7.36</v>
      </c>
      <c r="I142" s="303">
        <f t="shared" si="413"/>
        <v>8.64</v>
      </c>
      <c r="J142" s="303">
        <f t="shared" si="413"/>
        <v>4.08</v>
      </c>
      <c r="K142" s="303">
        <f t="shared" si="413"/>
        <v>11.89</v>
      </c>
      <c r="L142" s="303">
        <f t="shared" si="413"/>
        <v>13.600000000000001</v>
      </c>
      <c r="M142" s="303">
        <f t="shared" si="413"/>
        <v>32.049999999999997</v>
      </c>
      <c r="N142" s="303">
        <f t="shared" si="413"/>
        <v>15.57</v>
      </c>
      <c r="O142" s="303">
        <f t="shared" si="413"/>
        <v>22.59</v>
      </c>
      <c r="P142" s="303">
        <f t="shared" si="413"/>
        <v>9.26</v>
      </c>
      <c r="Q142" s="303">
        <f t="shared" si="413"/>
        <v>17.96</v>
      </c>
      <c r="R142" s="303">
        <f t="shared" si="413"/>
        <v>20.5</v>
      </c>
      <c r="S142" s="303">
        <f t="shared" si="413"/>
        <v>6.61</v>
      </c>
      <c r="T142" s="303">
        <f t="shared" si="413"/>
        <v>2.3199999999999998</v>
      </c>
      <c r="U142" s="303">
        <f t="shared" si="413"/>
        <v>2.4</v>
      </c>
      <c r="V142" s="303">
        <f t="shared" si="413"/>
        <v>2.77</v>
      </c>
      <c r="W142" s="303">
        <f t="shared" si="413"/>
        <v>2.59</v>
      </c>
      <c r="X142" s="303">
        <f t="shared" si="413"/>
        <v>6.82</v>
      </c>
      <c r="Y142" s="303">
        <f t="shared" si="413"/>
        <v>3.48</v>
      </c>
      <c r="Z142" s="303">
        <f t="shared" si="413"/>
        <v>4.99</v>
      </c>
      <c r="AA142" s="303">
        <f t="shared" si="413"/>
        <v>1.77</v>
      </c>
      <c r="AB142" s="303">
        <f t="shared" si="413"/>
        <v>18.04</v>
      </c>
      <c r="AC142" s="303">
        <f t="shared" si="413"/>
        <v>20.49</v>
      </c>
      <c r="AD142" s="303">
        <f t="shared" si="413"/>
        <v>44.6</v>
      </c>
      <c r="AE142" s="303">
        <f t="shared" si="413"/>
        <v>15.41</v>
      </c>
      <c r="AF142" s="303">
        <f t="shared" si="413"/>
        <v>43.79</v>
      </c>
      <c r="AG142" s="303">
        <f t="shared" si="413"/>
        <v>7.01</v>
      </c>
      <c r="AH142" s="303">
        <f t="shared" ref="AH142:BM142" si="414">IF(AH$2="-","",(IF(AH303="","",IF(AH$4&lt;$A142,AH303,(AH303-AH$3)/(1+AH$3%)))))</f>
        <v>1.65</v>
      </c>
      <c r="AI142" s="303">
        <f t="shared" si="414"/>
        <v>2.2400000000000002</v>
      </c>
      <c r="AJ142" s="303">
        <f t="shared" si="414"/>
        <v>3.07</v>
      </c>
      <c r="AK142" s="303">
        <f t="shared" si="414"/>
        <v>2.77</v>
      </c>
      <c r="AL142" s="303">
        <f t="shared" si="414"/>
        <v>14.756061059563004</v>
      </c>
      <c r="AM142" s="303">
        <f t="shared" si="414"/>
        <v>12.591040606604809</v>
      </c>
      <c r="AN142" s="303">
        <f t="shared" si="414"/>
        <v>10.29</v>
      </c>
      <c r="AO142" s="303">
        <f t="shared" si="414"/>
        <v>-6.36</v>
      </c>
      <c r="AP142" s="303">
        <f t="shared" si="414"/>
        <v>2.2000000000000002</v>
      </c>
      <c r="AQ142" s="303" t="str">
        <f t="shared" si="414"/>
        <v/>
      </c>
      <c r="AR142" s="303" t="str">
        <f t="shared" si="414"/>
        <v/>
      </c>
      <c r="AS142" s="303" t="str">
        <f t="shared" si="414"/>
        <v/>
      </c>
      <c r="AT142" s="303" t="str">
        <f t="shared" si="414"/>
        <v/>
      </c>
      <c r="AU142" s="303" t="str">
        <f t="shared" si="414"/>
        <v/>
      </c>
      <c r="AV142" s="303" t="str">
        <f t="shared" si="414"/>
        <v/>
      </c>
      <c r="AW142" s="303" t="str">
        <f t="shared" si="414"/>
        <v/>
      </c>
      <c r="AX142" s="303" t="str">
        <f t="shared" si="414"/>
        <v/>
      </c>
      <c r="AY142" s="303" t="str">
        <f t="shared" si="414"/>
        <v/>
      </c>
      <c r="AZ142" s="303" t="str">
        <f t="shared" si="414"/>
        <v/>
      </c>
      <c r="BA142" s="303" t="str">
        <f t="shared" si="414"/>
        <v/>
      </c>
      <c r="BB142" s="303" t="str">
        <f t="shared" si="414"/>
        <v/>
      </c>
      <c r="BC142" s="303" t="str">
        <f t="shared" si="414"/>
        <v/>
      </c>
      <c r="BD142" s="303" t="str">
        <f t="shared" si="414"/>
        <v/>
      </c>
      <c r="BE142" s="303" t="str">
        <f t="shared" si="414"/>
        <v/>
      </c>
      <c r="BF142" s="303" t="str">
        <f t="shared" si="414"/>
        <v/>
      </c>
      <c r="BG142" s="303" t="str">
        <f t="shared" si="414"/>
        <v/>
      </c>
      <c r="BH142" s="303" t="str">
        <f t="shared" si="414"/>
        <v/>
      </c>
      <c r="BI142" s="303" t="str">
        <f t="shared" si="414"/>
        <v/>
      </c>
      <c r="BJ142" s="303" t="str">
        <f t="shared" si="414"/>
        <v/>
      </c>
      <c r="BK142" s="303" t="str">
        <f t="shared" si="414"/>
        <v/>
      </c>
      <c r="BL142" s="303" t="str">
        <f t="shared" si="414"/>
        <v/>
      </c>
      <c r="BM142" s="303" t="str">
        <f t="shared" si="414"/>
        <v/>
      </c>
      <c r="BN142" s="303" t="str">
        <f t="shared" ref="BN142:BZ142" si="415">IF(BN$2="-","",(IF(BN303="","",IF(BN$4&lt;$A142,BN303,(BN303-BN$3)/(1+BN$3%)))))</f>
        <v/>
      </c>
      <c r="BO142" s="303" t="str">
        <f t="shared" si="415"/>
        <v/>
      </c>
      <c r="BP142" s="303" t="str">
        <f t="shared" si="415"/>
        <v/>
      </c>
      <c r="BQ142" s="303" t="str">
        <f t="shared" si="415"/>
        <v/>
      </c>
      <c r="BR142" s="303" t="str">
        <f t="shared" si="415"/>
        <v/>
      </c>
      <c r="BS142" s="303" t="str">
        <f t="shared" si="415"/>
        <v/>
      </c>
      <c r="BT142" s="303" t="str">
        <f t="shared" si="415"/>
        <v/>
      </c>
      <c r="BU142" s="303" t="str">
        <f t="shared" si="415"/>
        <v/>
      </c>
      <c r="BV142" s="303" t="str">
        <f t="shared" si="415"/>
        <v/>
      </c>
      <c r="BW142" s="303" t="str">
        <f t="shared" si="415"/>
        <v/>
      </c>
      <c r="BX142" s="303">
        <f t="shared" si="415"/>
        <v>10.118417822771097</v>
      </c>
      <c r="BY142" s="303">
        <f t="shared" si="415"/>
        <v>2.007809649622061</v>
      </c>
      <c r="BZ142" s="303">
        <f t="shared" si="415"/>
        <v>2.86</v>
      </c>
      <c r="CA142" s="303">
        <f t="shared" si="400"/>
        <v>3.4156594850236477</v>
      </c>
      <c r="CB142" s="57"/>
    </row>
    <row r="143" spans="1:80">
      <c r="A143" s="58">
        <f t="shared" si="396"/>
        <v>2006</v>
      </c>
      <c r="B143" s="303">
        <f t="shared" ref="B143:AG143" si="416">IF(B$2="-","",(IF(B304="","",IF(B$4&lt;$A143,B304,(B304-B$3)/(1+B$3%)))))</f>
        <v>15.51</v>
      </c>
      <c r="C143" s="303">
        <f t="shared" si="416"/>
        <v>22.15</v>
      </c>
      <c r="D143" s="303">
        <f t="shared" si="416"/>
        <v>15.64</v>
      </c>
      <c r="E143" s="303">
        <f t="shared" si="416"/>
        <v>9.01</v>
      </c>
      <c r="F143" s="303">
        <f t="shared" si="416"/>
        <v>13.6</v>
      </c>
      <c r="G143" s="303">
        <f t="shared" si="416"/>
        <v>19.239999999999998</v>
      </c>
      <c r="H143" s="303">
        <f t="shared" si="416"/>
        <v>15.64</v>
      </c>
      <c r="I143" s="303">
        <f t="shared" si="416"/>
        <v>11.94</v>
      </c>
      <c r="J143" s="303">
        <f t="shared" si="416"/>
        <v>11.48</v>
      </c>
      <c r="K143" s="303">
        <f t="shared" si="416"/>
        <v>35.07</v>
      </c>
      <c r="L143" s="303">
        <f t="shared" si="416"/>
        <v>26.27</v>
      </c>
      <c r="M143" s="303">
        <f t="shared" si="416"/>
        <v>29.39</v>
      </c>
      <c r="N143" s="303">
        <f t="shared" si="416"/>
        <v>26.64</v>
      </c>
      <c r="O143" s="303">
        <f t="shared" si="416"/>
        <v>11.99</v>
      </c>
      <c r="P143" s="303">
        <f t="shared" si="416"/>
        <v>33.42</v>
      </c>
      <c r="Q143" s="303">
        <f t="shared" si="416"/>
        <v>27.37</v>
      </c>
      <c r="R143" s="303">
        <f t="shared" si="416"/>
        <v>-3.04</v>
      </c>
      <c r="S143" s="303">
        <f t="shared" si="416"/>
        <v>1.74</v>
      </c>
      <c r="T143" s="303">
        <f t="shared" si="416"/>
        <v>3.14</v>
      </c>
      <c r="U143" s="303">
        <f t="shared" si="416"/>
        <v>4.2699999999999996</v>
      </c>
      <c r="V143" s="303">
        <f t="shared" si="416"/>
        <v>4.55</v>
      </c>
      <c r="W143" s="303">
        <f t="shared" si="416"/>
        <v>0.43</v>
      </c>
      <c r="X143" s="303">
        <f t="shared" si="416"/>
        <v>14.97</v>
      </c>
      <c r="Y143" s="303">
        <f t="shared" si="416"/>
        <v>11.28</v>
      </c>
      <c r="Z143" s="303">
        <f t="shared" si="416"/>
        <v>19.350000000000001</v>
      </c>
      <c r="AA143" s="303">
        <f t="shared" si="416"/>
        <v>3.77</v>
      </c>
      <c r="AB143" s="303">
        <f t="shared" si="416"/>
        <v>22.17</v>
      </c>
      <c r="AC143" s="303">
        <f t="shared" si="416"/>
        <v>30.34</v>
      </c>
      <c r="AD143" s="303">
        <f t="shared" si="416"/>
        <v>19.66</v>
      </c>
      <c r="AE143" s="303">
        <f t="shared" si="416"/>
        <v>10.87</v>
      </c>
      <c r="AF143" s="303">
        <f t="shared" si="416"/>
        <v>34.299999999999997</v>
      </c>
      <c r="AG143" s="303">
        <f t="shared" si="416"/>
        <v>18.25</v>
      </c>
      <c r="AH143" s="303">
        <f t="shared" ref="AH143:BM143" si="417">IF(AH$2="-","",(IF(AH304="","",IF(AH$4&lt;$A143,AH304,(AH304-AH$3)/(1+AH$3%)))))</f>
        <v>3.26</v>
      </c>
      <c r="AI143" s="303">
        <f t="shared" si="417"/>
        <v>4.43</v>
      </c>
      <c r="AJ143" s="303">
        <f t="shared" si="417"/>
        <v>5.16</v>
      </c>
      <c r="AK143" s="303">
        <f t="shared" si="417"/>
        <v>8.24</v>
      </c>
      <c r="AL143" s="303">
        <f t="shared" si="417"/>
        <v>9.418337823007084</v>
      </c>
      <c r="AM143" s="303">
        <f t="shared" si="417"/>
        <v>17.549635837573582</v>
      </c>
      <c r="AN143" s="303">
        <f t="shared" si="417"/>
        <v>14.27</v>
      </c>
      <c r="AO143" s="303">
        <f t="shared" si="417"/>
        <v>5.85</v>
      </c>
      <c r="AP143" s="303">
        <f t="shared" si="417"/>
        <v>4.99</v>
      </c>
      <c r="AQ143" s="303" t="str">
        <f t="shared" si="417"/>
        <v/>
      </c>
      <c r="AR143" s="303" t="str">
        <f t="shared" si="417"/>
        <v/>
      </c>
      <c r="AS143" s="303" t="str">
        <f t="shared" si="417"/>
        <v/>
      </c>
      <c r="AT143" s="303" t="str">
        <f t="shared" si="417"/>
        <v/>
      </c>
      <c r="AU143" s="303" t="str">
        <f t="shared" si="417"/>
        <v/>
      </c>
      <c r="AV143" s="303" t="str">
        <f t="shared" si="417"/>
        <v/>
      </c>
      <c r="AW143" s="303" t="str">
        <f t="shared" si="417"/>
        <v/>
      </c>
      <c r="AX143" s="303" t="str">
        <f t="shared" si="417"/>
        <v/>
      </c>
      <c r="AY143" s="303" t="str">
        <f t="shared" si="417"/>
        <v/>
      </c>
      <c r="AZ143" s="303" t="str">
        <f t="shared" si="417"/>
        <v/>
      </c>
      <c r="BA143" s="303" t="str">
        <f t="shared" si="417"/>
        <v/>
      </c>
      <c r="BB143" s="303" t="str">
        <f t="shared" si="417"/>
        <v/>
      </c>
      <c r="BC143" s="303" t="str">
        <f t="shared" si="417"/>
        <v/>
      </c>
      <c r="BD143" s="303" t="str">
        <f t="shared" si="417"/>
        <v/>
      </c>
      <c r="BE143" s="303" t="str">
        <f t="shared" si="417"/>
        <v/>
      </c>
      <c r="BF143" s="303" t="str">
        <f t="shared" si="417"/>
        <v/>
      </c>
      <c r="BG143" s="303" t="str">
        <f t="shared" si="417"/>
        <v/>
      </c>
      <c r="BH143" s="303" t="str">
        <f t="shared" si="417"/>
        <v/>
      </c>
      <c r="BI143" s="303" t="str">
        <f t="shared" si="417"/>
        <v/>
      </c>
      <c r="BJ143" s="303" t="str">
        <f t="shared" si="417"/>
        <v/>
      </c>
      <c r="BK143" s="303" t="str">
        <f t="shared" si="417"/>
        <v/>
      </c>
      <c r="BL143" s="303" t="str">
        <f t="shared" si="417"/>
        <v/>
      </c>
      <c r="BM143" s="303" t="str">
        <f t="shared" si="417"/>
        <v/>
      </c>
      <c r="BN143" s="303" t="str">
        <f t="shared" ref="BN143:BZ143" si="418">IF(BN$2="-","",(IF(BN304="","",IF(BN$4&lt;$A143,BN304,(BN304-BN$3)/(1+BN$3%)))))</f>
        <v/>
      </c>
      <c r="BO143" s="303" t="str">
        <f t="shared" si="418"/>
        <v/>
      </c>
      <c r="BP143" s="303" t="str">
        <f t="shared" si="418"/>
        <v/>
      </c>
      <c r="BQ143" s="303" t="str">
        <f t="shared" si="418"/>
        <v/>
      </c>
      <c r="BR143" s="303" t="str">
        <f t="shared" si="418"/>
        <v/>
      </c>
      <c r="BS143" s="303" t="str">
        <f t="shared" si="418"/>
        <v/>
      </c>
      <c r="BT143" s="303" t="str">
        <f t="shared" si="418"/>
        <v/>
      </c>
      <c r="BU143" s="303" t="str">
        <f t="shared" si="418"/>
        <v/>
      </c>
      <c r="BV143" s="303" t="str">
        <f t="shared" si="418"/>
        <v/>
      </c>
      <c r="BW143" s="303" t="str">
        <f t="shared" si="418"/>
        <v/>
      </c>
      <c r="BX143" s="303">
        <f t="shared" si="418"/>
        <v>13.318683381167261</v>
      </c>
      <c r="BY143" s="303">
        <f t="shared" si="418"/>
        <v>2.6749635625406221</v>
      </c>
      <c r="BZ143" s="303">
        <f t="shared" si="418"/>
        <v>4.45</v>
      </c>
      <c r="CA143" s="303">
        <f t="shared" si="400"/>
        <v>2.5406504065040636</v>
      </c>
      <c r="CB143" s="57"/>
    </row>
    <row r="144" spans="1:80">
      <c r="A144" s="58">
        <f t="shared" si="396"/>
        <v>2007</v>
      </c>
      <c r="B144" s="303">
        <f t="shared" ref="B144:AG144" si="419">IF(B$2="-","",(IF(B305="","",IF(B$4&lt;$A144,B305,(B305-B$3)/(1+B$3%)))))</f>
        <v>5.49</v>
      </c>
      <c r="C144" s="303">
        <f t="shared" si="419"/>
        <v>0.09</v>
      </c>
      <c r="D144" s="303">
        <f t="shared" si="419"/>
        <v>5.39</v>
      </c>
      <c r="E144" s="303">
        <f t="shared" si="419"/>
        <v>12.56</v>
      </c>
      <c r="F144" s="303">
        <f t="shared" si="419"/>
        <v>6.02</v>
      </c>
      <c r="G144" s="303">
        <f t="shared" si="419"/>
        <v>-7.07</v>
      </c>
      <c r="H144" s="303">
        <f t="shared" si="419"/>
        <v>1.1599999999999999</v>
      </c>
      <c r="I144" s="303">
        <f t="shared" si="419"/>
        <v>9.6300000000000008</v>
      </c>
      <c r="J144" s="303">
        <f t="shared" si="419"/>
        <v>-5.4</v>
      </c>
      <c r="K144" s="303">
        <f t="shared" si="419"/>
        <v>-16.46</v>
      </c>
      <c r="L144" s="303">
        <f t="shared" si="419"/>
        <v>11.15</v>
      </c>
      <c r="M144" s="303">
        <f t="shared" si="419"/>
        <v>38.9</v>
      </c>
      <c r="N144" s="303">
        <f t="shared" si="419"/>
        <v>15.52</v>
      </c>
      <c r="O144" s="303">
        <f t="shared" si="419"/>
        <v>4.78</v>
      </c>
      <c r="P144" s="303">
        <f t="shared" si="419"/>
        <v>13.82</v>
      </c>
      <c r="Q144" s="303">
        <f t="shared" si="419"/>
        <v>12.66</v>
      </c>
      <c r="R144" s="303">
        <f t="shared" si="419"/>
        <v>23.8</v>
      </c>
      <c r="S144" s="303">
        <f t="shared" si="419"/>
        <v>9.24</v>
      </c>
      <c r="T144" s="303">
        <f t="shared" si="419"/>
        <v>9.98</v>
      </c>
      <c r="U144" s="303">
        <f t="shared" si="419"/>
        <v>6.92</v>
      </c>
      <c r="V144" s="303">
        <f t="shared" si="419"/>
        <v>4.6500000000000004</v>
      </c>
      <c r="W144" s="303">
        <f t="shared" si="419"/>
        <v>11.59</v>
      </c>
      <c r="X144" s="303">
        <f t="shared" si="419"/>
        <v>8.34</v>
      </c>
      <c r="Y144" s="303">
        <f t="shared" si="419"/>
        <v>5.61</v>
      </c>
      <c r="Z144" s="303">
        <f t="shared" si="419"/>
        <v>-3.3</v>
      </c>
      <c r="AA144" s="303">
        <f t="shared" si="419"/>
        <v>7.89</v>
      </c>
      <c r="AB144" s="303">
        <f t="shared" si="419"/>
        <v>30.56</v>
      </c>
      <c r="AC144" s="303">
        <f t="shared" si="419"/>
        <v>5.15</v>
      </c>
      <c r="AD144" s="303">
        <f t="shared" si="419"/>
        <v>37</v>
      </c>
      <c r="AE144" s="303">
        <f t="shared" si="419"/>
        <v>4.42</v>
      </c>
      <c r="AF144" s="303">
        <f t="shared" si="419"/>
        <v>36.130000000000003</v>
      </c>
      <c r="AG144" s="303">
        <f t="shared" si="419"/>
        <v>2.23</v>
      </c>
      <c r="AH144" s="303">
        <f t="shared" ref="AH144:BM144" si="420">IF(AH$2="-","",(IF(AH305="","",IF(AH$4&lt;$A144,AH305,(AH305-AH$3)/(1+AH$3%)))))</f>
        <v>4.1900000000000004</v>
      </c>
      <c r="AI144" s="303">
        <f t="shared" si="420"/>
        <v>3.43</v>
      </c>
      <c r="AJ144" s="303">
        <f t="shared" si="420"/>
        <v>2.54</v>
      </c>
      <c r="AK144" s="303">
        <f t="shared" si="420"/>
        <v>2.04</v>
      </c>
      <c r="AL144" s="303">
        <f t="shared" si="420"/>
        <v>17.030829093085902</v>
      </c>
      <c r="AM144" s="303">
        <f t="shared" si="420"/>
        <v>-4.589444278160232</v>
      </c>
      <c r="AN144" s="303">
        <f t="shared" si="420"/>
        <v>4.33</v>
      </c>
      <c r="AO144" s="303">
        <f t="shared" si="420"/>
        <v>9.26</v>
      </c>
      <c r="AP144" s="303">
        <f t="shared" si="420"/>
        <v>5.86</v>
      </c>
      <c r="AQ144" s="303" t="str">
        <f t="shared" si="420"/>
        <v/>
      </c>
      <c r="AR144" s="303" t="str">
        <f t="shared" si="420"/>
        <v/>
      </c>
      <c r="AS144" s="303" t="str">
        <f t="shared" si="420"/>
        <v/>
      </c>
      <c r="AT144" s="303" t="str">
        <f t="shared" si="420"/>
        <v/>
      </c>
      <c r="AU144" s="303" t="str">
        <f t="shared" si="420"/>
        <v/>
      </c>
      <c r="AV144" s="303" t="str">
        <f t="shared" si="420"/>
        <v/>
      </c>
      <c r="AW144" s="303" t="str">
        <f t="shared" si="420"/>
        <v/>
      </c>
      <c r="AX144" s="303" t="str">
        <f t="shared" si="420"/>
        <v/>
      </c>
      <c r="AY144" s="303" t="str">
        <f t="shared" si="420"/>
        <v/>
      </c>
      <c r="AZ144" s="303" t="str">
        <f t="shared" si="420"/>
        <v/>
      </c>
      <c r="BA144" s="303" t="str">
        <f t="shared" si="420"/>
        <v/>
      </c>
      <c r="BB144" s="303" t="str">
        <f t="shared" si="420"/>
        <v/>
      </c>
      <c r="BC144" s="303" t="str">
        <f t="shared" si="420"/>
        <v/>
      </c>
      <c r="BD144" s="303" t="str">
        <f t="shared" si="420"/>
        <v/>
      </c>
      <c r="BE144" s="303" t="str">
        <f t="shared" si="420"/>
        <v/>
      </c>
      <c r="BF144" s="303" t="str">
        <f t="shared" si="420"/>
        <v/>
      </c>
      <c r="BG144" s="303" t="str">
        <f t="shared" si="420"/>
        <v/>
      </c>
      <c r="BH144" s="303" t="str">
        <f t="shared" si="420"/>
        <v/>
      </c>
      <c r="BI144" s="303" t="str">
        <f t="shared" si="420"/>
        <v/>
      </c>
      <c r="BJ144" s="303" t="str">
        <f t="shared" si="420"/>
        <v/>
      </c>
      <c r="BK144" s="303" t="str">
        <f t="shared" si="420"/>
        <v/>
      </c>
      <c r="BL144" s="303" t="str">
        <f t="shared" si="420"/>
        <v/>
      </c>
      <c r="BM144" s="303" t="str">
        <f t="shared" si="420"/>
        <v/>
      </c>
      <c r="BN144" s="303" t="str">
        <f t="shared" ref="BN144:BZ144" si="421">IF(BN$2="-","",(IF(BN305="","",IF(BN$4&lt;$A144,BN305,(BN305-BN$3)/(1+BN$3%)))))</f>
        <v/>
      </c>
      <c r="BO144" s="303" t="str">
        <f t="shared" si="421"/>
        <v/>
      </c>
      <c r="BP144" s="303" t="str">
        <f t="shared" si="421"/>
        <v/>
      </c>
      <c r="BQ144" s="303" t="str">
        <f t="shared" si="421"/>
        <v/>
      </c>
      <c r="BR144" s="303" t="str">
        <f t="shared" si="421"/>
        <v/>
      </c>
      <c r="BS144" s="303" t="str">
        <f t="shared" si="421"/>
        <v/>
      </c>
      <c r="BT144" s="303" t="str">
        <f t="shared" si="421"/>
        <v/>
      </c>
      <c r="BU144" s="303" t="str">
        <f t="shared" si="421"/>
        <v/>
      </c>
      <c r="BV144" s="303" t="str">
        <f t="shared" si="421"/>
        <v/>
      </c>
      <c r="BW144" s="303" t="str">
        <f t="shared" si="421"/>
        <v/>
      </c>
      <c r="BX144" s="303">
        <f t="shared" si="421"/>
        <v>-1.2407313784968066</v>
      </c>
      <c r="BY144" s="303">
        <f t="shared" si="421"/>
        <v>12.137498737814933</v>
      </c>
      <c r="BZ144" s="303">
        <f t="shared" si="421"/>
        <v>5.0599999999999996</v>
      </c>
      <c r="CA144" s="303">
        <f t="shared" si="400"/>
        <v>4.0812685827551931</v>
      </c>
      <c r="CB144" s="57"/>
    </row>
    <row r="145" spans="1:81">
      <c r="A145" s="58">
        <f t="shared" si="396"/>
        <v>2008</v>
      </c>
      <c r="B145" s="303">
        <f t="shared" ref="B145:AG145" si="422">IF(B$2="-","",(IF(B306="","",IF(B$4&lt;$A145,B306,(B306-B$3)/(1+B$3%)))))</f>
        <v>-37.04</v>
      </c>
      <c r="C145" s="303">
        <f t="shared" si="422"/>
        <v>-35.97</v>
      </c>
      <c r="D145" s="303">
        <f t="shared" si="422"/>
        <v>-37.020000000000003</v>
      </c>
      <c r="E145" s="303">
        <f t="shared" si="422"/>
        <v>-38.32</v>
      </c>
      <c r="F145" s="303">
        <f t="shared" si="422"/>
        <v>-41.82</v>
      </c>
      <c r="G145" s="303">
        <f t="shared" si="422"/>
        <v>-32.049999999999997</v>
      </c>
      <c r="H145" s="303">
        <f t="shared" si="422"/>
        <v>-36.07</v>
      </c>
      <c r="I145" s="303">
        <f t="shared" si="422"/>
        <v>-40</v>
      </c>
      <c r="J145" s="303">
        <f t="shared" si="422"/>
        <v>-39.49</v>
      </c>
      <c r="K145" s="303">
        <f t="shared" si="422"/>
        <v>-37.049999999999997</v>
      </c>
      <c r="L145" s="303">
        <f t="shared" si="422"/>
        <v>-41.27</v>
      </c>
      <c r="M145" s="303">
        <f t="shared" si="422"/>
        <v>-52.81</v>
      </c>
      <c r="N145" s="303">
        <f t="shared" si="422"/>
        <v>-44.1</v>
      </c>
      <c r="O145" s="303">
        <f t="shared" si="422"/>
        <v>-34.36</v>
      </c>
      <c r="P145" s="303">
        <f t="shared" si="422"/>
        <v>-44.73</v>
      </c>
      <c r="Q145" s="303">
        <f t="shared" si="422"/>
        <v>-41.74</v>
      </c>
      <c r="R145" s="303">
        <f t="shared" si="422"/>
        <v>-43.33</v>
      </c>
      <c r="S145" s="303">
        <f t="shared" si="422"/>
        <v>22.52</v>
      </c>
      <c r="T145" s="303">
        <f t="shared" si="422"/>
        <v>13.32</v>
      </c>
      <c r="U145" s="303">
        <f t="shared" si="422"/>
        <v>5.05</v>
      </c>
      <c r="V145" s="303">
        <f t="shared" si="422"/>
        <v>1.97</v>
      </c>
      <c r="W145" s="303">
        <f t="shared" si="422"/>
        <v>-2.85</v>
      </c>
      <c r="X145" s="303">
        <f t="shared" si="422"/>
        <v>-22.3</v>
      </c>
      <c r="Y145" s="303">
        <f t="shared" si="422"/>
        <v>-9.84</v>
      </c>
      <c r="Z145" s="303">
        <f t="shared" si="422"/>
        <v>-41.1</v>
      </c>
      <c r="AA145" s="303">
        <f t="shared" si="422"/>
        <v>6.68</v>
      </c>
      <c r="AB145" s="303">
        <f t="shared" si="422"/>
        <v>4.96</v>
      </c>
      <c r="AC145" s="303">
        <f t="shared" si="422"/>
        <v>-46.62</v>
      </c>
      <c r="AD145" s="303">
        <f t="shared" si="422"/>
        <v>-42.87</v>
      </c>
      <c r="AE145" s="303">
        <f t="shared" si="422"/>
        <v>-18.45</v>
      </c>
      <c r="AF145" s="303">
        <f t="shared" si="422"/>
        <v>-56.02</v>
      </c>
      <c r="AG145" s="303">
        <f t="shared" si="422"/>
        <v>-36.700000000000003</v>
      </c>
      <c r="AH145" s="303">
        <f t="shared" ref="AH145:BM145" si="423">IF(AH$2="-","",(IF(AH306="","",IF(AH$4&lt;$A145,AH306,(AH306-AH$3)/(1+AH$3%)))))</f>
        <v>3.74</v>
      </c>
      <c r="AI145" s="303">
        <f t="shared" si="423"/>
        <v>-0.14000000000000001</v>
      </c>
      <c r="AJ145" s="303">
        <f t="shared" si="423"/>
        <v>-4.87</v>
      </c>
      <c r="AK145" s="303">
        <f t="shared" si="423"/>
        <v>-21.29</v>
      </c>
      <c r="AL145" s="303">
        <f t="shared" si="423"/>
        <v>-47.07</v>
      </c>
      <c r="AM145" s="303">
        <f t="shared" si="423"/>
        <v>-36.64</v>
      </c>
      <c r="AN145" s="303">
        <f t="shared" si="423"/>
        <v>-38.729999999999997</v>
      </c>
      <c r="AO145" s="303">
        <f t="shared" si="423"/>
        <v>-2.67</v>
      </c>
      <c r="AP145" s="303">
        <f t="shared" si="423"/>
        <v>-4.74</v>
      </c>
      <c r="AQ145" s="303" t="str">
        <f t="shared" si="423"/>
        <v/>
      </c>
      <c r="AR145" s="303" t="str">
        <f t="shared" si="423"/>
        <v/>
      </c>
      <c r="AS145" s="303" t="str">
        <f t="shared" si="423"/>
        <v/>
      </c>
      <c r="AT145" s="303" t="str">
        <f t="shared" si="423"/>
        <v/>
      </c>
      <c r="AU145" s="303" t="str">
        <f t="shared" si="423"/>
        <v/>
      </c>
      <c r="AV145" s="303" t="str">
        <f t="shared" si="423"/>
        <v/>
      </c>
      <c r="AW145" s="303" t="str">
        <f t="shared" si="423"/>
        <v/>
      </c>
      <c r="AX145" s="303" t="str">
        <f t="shared" si="423"/>
        <v/>
      </c>
      <c r="AY145" s="303" t="str">
        <f t="shared" si="423"/>
        <v/>
      </c>
      <c r="AZ145" s="303" t="str">
        <f t="shared" si="423"/>
        <v/>
      </c>
      <c r="BA145" s="303" t="str">
        <f t="shared" si="423"/>
        <v/>
      </c>
      <c r="BB145" s="303" t="str">
        <f t="shared" si="423"/>
        <v/>
      </c>
      <c r="BC145" s="303" t="str">
        <f t="shared" si="423"/>
        <v/>
      </c>
      <c r="BD145" s="303" t="str">
        <f t="shared" si="423"/>
        <v/>
      </c>
      <c r="BE145" s="303" t="str">
        <f t="shared" si="423"/>
        <v/>
      </c>
      <c r="BF145" s="303" t="str">
        <f t="shared" si="423"/>
        <v/>
      </c>
      <c r="BG145" s="303" t="str">
        <f t="shared" si="423"/>
        <v/>
      </c>
      <c r="BH145" s="303" t="str">
        <f t="shared" si="423"/>
        <v/>
      </c>
      <c r="BI145" s="303" t="str">
        <f t="shared" si="423"/>
        <v/>
      </c>
      <c r="BJ145" s="303" t="str">
        <f t="shared" si="423"/>
        <v/>
      </c>
      <c r="BK145" s="303" t="str">
        <f t="shared" si="423"/>
        <v/>
      </c>
      <c r="BL145" s="303" t="str">
        <f t="shared" si="423"/>
        <v/>
      </c>
      <c r="BM145" s="303" t="str">
        <f t="shared" si="423"/>
        <v/>
      </c>
      <c r="BN145" s="303" t="str">
        <f t="shared" ref="BN145:BZ145" si="424">IF(BN$2="-","",(IF(BN306="","",IF(BN$4&lt;$A145,BN306,(BN306-BN$3)/(1+BN$3%)))))</f>
        <v/>
      </c>
      <c r="BO145" s="303" t="str">
        <f t="shared" si="424"/>
        <v/>
      </c>
      <c r="BP145" s="303" t="str">
        <f t="shared" si="424"/>
        <v/>
      </c>
      <c r="BQ145" s="303" t="str">
        <f t="shared" si="424"/>
        <v/>
      </c>
      <c r="BR145" s="303" t="str">
        <f t="shared" si="424"/>
        <v/>
      </c>
      <c r="BS145" s="303" t="str">
        <f t="shared" si="424"/>
        <v/>
      </c>
      <c r="BT145" s="303" t="str">
        <f t="shared" si="424"/>
        <v/>
      </c>
      <c r="BU145" s="303" t="str">
        <f t="shared" si="424"/>
        <v/>
      </c>
      <c r="BV145" s="303" t="str">
        <f t="shared" si="424"/>
        <v/>
      </c>
      <c r="BW145" s="303" t="str">
        <f t="shared" si="424"/>
        <v/>
      </c>
      <c r="BX145" s="303">
        <f t="shared" si="424"/>
        <v>-35.161304360439814</v>
      </c>
      <c r="BY145" s="303">
        <f t="shared" si="424"/>
        <v>10.34709527387454</v>
      </c>
      <c r="BZ145" s="303">
        <f t="shared" si="424"/>
        <v>2.71</v>
      </c>
      <c r="CA145" s="303">
        <f t="shared" si="400"/>
        <v>9.1412900645604367E-2</v>
      </c>
      <c r="CB145" s="57"/>
    </row>
    <row r="146" spans="1:81">
      <c r="A146" s="58">
        <f t="shared" si="396"/>
        <v>2009</v>
      </c>
      <c r="B146" s="303">
        <f t="shared" ref="B146:AG146" si="425">IF(B$2="-","",(IF(B307="","",IF(B$4&lt;$A146,B307,(B307-B$3)/(1+B$3%)))))</f>
        <v>28.7</v>
      </c>
      <c r="C146" s="303">
        <f t="shared" si="425"/>
        <v>19.579999999999998</v>
      </c>
      <c r="D146" s="303">
        <f t="shared" si="425"/>
        <v>26.49</v>
      </c>
      <c r="E146" s="303">
        <f t="shared" si="425"/>
        <v>36.29</v>
      </c>
      <c r="F146" s="303">
        <f t="shared" si="425"/>
        <v>40.22</v>
      </c>
      <c r="G146" s="303">
        <f t="shared" si="425"/>
        <v>30.34</v>
      </c>
      <c r="H146" s="303">
        <f t="shared" si="425"/>
        <v>36.119999999999997</v>
      </c>
      <c r="I146" s="303">
        <f t="shared" si="425"/>
        <v>41.85</v>
      </c>
      <c r="J146" s="303">
        <f t="shared" si="425"/>
        <v>25.95</v>
      </c>
      <c r="K146" s="303">
        <f t="shared" si="425"/>
        <v>29.58</v>
      </c>
      <c r="L146" s="303">
        <f t="shared" si="425"/>
        <v>28.27</v>
      </c>
      <c r="M146" s="303">
        <f t="shared" si="425"/>
        <v>75.98</v>
      </c>
      <c r="N146" s="303">
        <f t="shared" si="425"/>
        <v>36.729999999999997</v>
      </c>
      <c r="O146" s="303">
        <f t="shared" si="425"/>
        <v>21.18</v>
      </c>
      <c r="P146" s="303">
        <f t="shared" si="425"/>
        <v>31.91</v>
      </c>
      <c r="Q146" s="303">
        <f t="shared" si="425"/>
        <v>33.770000000000003</v>
      </c>
      <c r="R146" s="303">
        <f t="shared" si="425"/>
        <v>39.92</v>
      </c>
      <c r="S146" s="303">
        <f t="shared" si="425"/>
        <v>-12.05</v>
      </c>
      <c r="T146" s="303">
        <f t="shared" si="425"/>
        <v>-1.69</v>
      </c>
      <c r="U146" s="303">
        <f t="shared" si="425"/>
        <v>5.93</v>
      </c>
      <c r="V146" s="303">
        <f t="shared" si="425"/>
        <v>0.53</v>
      </c>
      <c r="W146" s="303">
        <f t="shared" si="425"/>
        <v>10.8</v>
      </c>
      <c r="X146" s="303">
        <f t="shared" si="425"/>
        <v>22.2</v>
      </c>
      <c r="Y146" s="303">
        <f t="shared" si="425"/>
        <v>16.02</v>
      </c>
      <c r="Z146" s="303">
        <f t="shared" si="425"/>
        <v>34.69</v>
      </c>
      <c r="AA146" s="303">
        <f t="shared" si="425"/>
        <v>1.44</v>
      </c>
      <c r="AB146" s="303">
        <f t="shared" si="425"/>
        <v>23.99</v>
      </c>
      <c r="AC146" s="303">
        <f t="shared" si="425"/>
        <v>47.12</v>
      </c>
      <c r="AD146" s="303">
        <f t="shared" si="425"/>
        <v>38.36</v>
      </c>
      <c r="AE146" s="303">
        <f t="shared" si="425"/>
        <v>20.96</v>
      </c>
      <c r="AF146" s="303">
        <f t="shared" si="425"/>
        <v>76.459999999999994</v>
      </c>
      <c r="AG146" s="303">
        <f t="shared" si="425"/>
        <v>27.05</v>
      </c>
      <c r="AH146" s="303">
        <f t="shared" ref="AH146:BM146" si="426">IF(AH$2="-","",(IF(AH307="","",IF(AH$4&lt;$A146,AH307,(AH307-AH$3)/(1+AH$3%)))))</f>
        <v>3.07</v>
      </c>
      <c r="AI146" s="303">
        <f t="shared" si="426"/>
        <v>10.220000000000001</v>
      </c>
      <c r="AJ146" s="303">
        <f t="shared" si="426"/>
        <v>14.08</v>
      </c>
      <c r="AK146" s="303">
        <f t="shared" si="426"/>
        <v>20.13</v>
      </c>
      <c r="AL146" s="303">
        <f t="shared" si="426"/>
        <v>42.54</v>
      </c>
      <c r="AM146" s="303">
        <f t="shared" si="426"/>
        <v>37.61</v>
      </c>
      <c r="AN146" s="303">
        <f t="shared" si="426"/>
        <v>37.43</v>
      </c>
      <c r="AO146" s="303">
        <f t="shared" si="426"/>
        <v>17.170000000000002</v>
      </c>
      <c r="AP146" s="303">
        <f t="shared" si="426"/>
        <v>14.03</v>
      </c>
      <c r="AQ146" s="303" t="str">
        <f t="shared" si="426"/>
        <v/>
      </c>
      <c r="AR146" s="303" t="str">
        <f t="shared" si="426"/>
        <v/>
      </c>
      <c r="AS146" s="303" t="str">
        <f t="shared" si="426"/>
        <v/>
      </c>
      <c r="AT146" s="303" t="str">
        <f t="shared" si="426"/>
        <v/>
      </c>
      <c r="AU146" s="303" t="str">
        <f t="shared" si="426"/>
        <v/>
      </c>
      <c r="AV146" s="303" t="str">
        <f t="shared" si="426"/>
        <v/>
      </c>
      <c r="AW146" s="303" t="str">
        <f t="shared" si="426"/>
        <v/>
      </c>
      <c r="AX146" s="303" t="str">
        <f t="shared" si="426"/>
        <v/>
      </c>
      <c r="AY146" s="303" t="str">
        <f t="shared" si="426"/>
        <v/>
      </c>
      <c r="AZ146" s="303" t="str">
        <f t="shared" si="426"/>
        <v/>
      </c>
      <c r="BA146" s="303" t="str">
        <f t="shared" si="426"/>
        <v/>
      </c>
      <c r="BB146" s="303" t="str">
        <f t="shared" si="426"/>
        <v/>
      </c>
      <c r="BC146" s="303" t="str">
        <f t="shared" si="426"/>
        <v/>
      </c>
      <c r="BD146" s="303" t="str">
        <f t="shared" si="426"/>
        <v/>
      </c>
      <c r="BE146" s="303" t="str">
        <f t="shared" si="426"/>
        <v/>
      </c>
      <c r="BF146" s="303" t="str">
        <f t="shared" si="426"/>
        <v/>
      </c>
      <c r="BG146" s="303" t="str">
        <f t="shared" si="426"/>
        <v/>
      </c>
      <c r="BH146" s="303" t="str">
        <f t="shared" si="426"/>
        <v/>
      </c>
      <c r="BI146" s="303" t="str">
        <f t="shared" si="426"/>
        <v/>
      </c>
      <c r="BJ146" s="303" t="str">
        <f t="shared" si="426"/>
        <v/>
      </c>
      <c r="BK146" s="303" t="str">
        <f t="shared" si="426"/>
        <v/>
      </c>
      <c r="BL146" s="303" t="str">
        <f t="shared" si="426"/>
        <v/>
      </c>
      <c r="BM146" s="303" t="str">
        <f t="shared" si="426"/>
        <v/>
      </c>
      <c r="BN146" s="303" t="str">
        <f t="shared" ref="BN146:BZ146" si="427">IF(BN$2="-","",(IF(BN307="","",IF(BN$4&lt;$A146,BN307,(BN307-BN$3)/(1+BN$3%)))))</f>
        <v/>
      </c>
      <c r="BO146" s="303" t="str">
        <f t="shared" si="427"/>
        <v/>
      </c>
      <c r="BP146" s="303" t="str">
        <f t="shared" si="427"/>
        <v/>
      </c>
      <c r="BQ146" s="303" t="str">
        <f t="shared" si="427"/>
        <v/>
      </c>
      <c r="BR146" s="303" t="str">
        <f t="shared" si="427"/>
        <v/>
      </c>
      <c r="BS146" s="303" t="str">
        <f t="shared" si="427"/>
        <v/>
      </c>
      <c r="BT146" s="303" t="str">
        <f t="shared" si="427"/>
        <v/>
      </c>
      <c r="BU146" s="303" t="str">
        <f t="shared" si="427"/>
        <v/>
      </c>
      <c r="BV146" s="303" t="str">
        <f t="shared" si="427"/>
        <v/>
      </c>
      <c r="BW146" s="303" t="str">
        <f t="shared" si="427"/>
        <v/>
      </c>
      <c r="BX146" s="303">
        <f t="shared" si="427"/>
        <v>32.395619122438134</v>
      </c>
      <c r="BY146" s="303">
        <f t="shared" si="427"/>
        <v>-1.7407048735977204</v>
      </c>
      <c r="BZ146" s="303">
        <f t="shared" si="427"/>
        <v>0.44</v>
      </c>
      <c r="CA146" s="303">
        <f t="shared" si="400"/>
        <v>2.7213311262058282</v>
      </c>
      <c r="CB146" s="57"/>
    </row>
    <row r="147" spans="1:81">
      <c r="A147" s="58">
        <f t="shared" si="396"/>
        <v>2010</v>
      </c>
      <c r="B147" s="303">
        <f t="shared" ref="B147:AG147" si="428">IF(B$2="-","",(IF(B308="","",IF(B$4&lt;$A147,B308,(B308-B$3)/(1+B$3%)))))</f>
        <v>17.09</v>
      </c>
      <c r="C147" s="303">
        <f t="shared" si="428"/>
        <v>14.28</v>
      </c>
      <c r="D147" s="303">
        <f t="shared" si="428"/>
        <v>14.91</v>
      </c>
      <c r="E147" s="303">
        <f t="shared" si="428"/>
        <v>16.96</v>
      </c>
      <c r="F147" s="303">
        <f t="shared" si="428"/>
        <v>25.46</v>
      </c>
      <c r="G147" s="303">
        <f t="shared" si="428"/>
        <v>24.82</v>
      </c>
      <c r="H147" s="303">
        <f t="shared" si="428"/>
        <v>27.72</v>
      </c>
      <c r="I147" s="303">
        <f t="shared" si="428"/>
        <v>30.69</v>
      </c>
      <c r="J147" s="303">
        <f t="shared" si="428"/>
        <v>24.86</v>
      </c>
      <c r="K147" s="303">
        <f t="shared" si="428"/>
        <v>28.3</v>
      </c>
      <c r="L147" s="303">
        <f t="shared" si="428"/>
        <v>8.36</v>
      </c>
      <c r="M147" s="303">
        <f t="shared" si="428"/>
        <v>18.86</v>
      </c>
      <c r="N147" s="303">
        <f t="shared" si="428"/>
        <v>11.12</v>
      </c>
      <c r="O147" s="303">
        <f t="shared" si="428"/>
        <v>15.77</v>
      </c>
      <c r="P147" s="303">
        <f t="shared" si="428"/>
        <v>4.91</v>
      </c>
      <c r="Q147" s="303">
        <f t="shared" si="428"/>
        <v>7.31</v>
      </c>
      <c r="R147" s="303">
        <f t="shared" si="428"/>
        <v>24.13</v>
      </c>
      <c r="S147" s="303">
        <f t="shared" si="428"/>
        <v>8.93</v>
      </c>
      <c r="T147" s="303">
        <f t="shared" si="428"/>
        <v>7.35</v>
      </c>
      <c r="U147" s="303">
        <f t="shared" si="428"/>
        <v>6.42</v>
      </c>
      <c r="V147" s="303">
        <f t="shared" si="428"/>
        <v>0.01</v>
      </c>
      <c r="W147" s="303">
        <f t="shared" si="428"/>
        <v>6.17</v>
      </c>
      <c r="X147" s="303">
        <f t="shared" si="428"/>
        <v>10.94</v>
      </c>
      <c r="Y147" s="303">
        <f t="shared" si="428"/>
        <v>10.65</v>
      </c>
      <c r="Z147" s="303">
        <f t="shared" si="428"/>
        <v>14.82</v>
      </c>
      <c r="AA147" s="303">
        <f t="shared" si="428"/>
        <v>2.64</v>
      </c>
      <c r="AB147" s="303">
        <f t="shared" si="428"/>
        <v>29.27</v>
      </c>
      <c r="AC147" s="303">
        <f t="shared" si="428"/>
        <v>24.97</v>
      </c>
      <c r="AD147" s="303">
        <f t="shared" si="428"/>
        <v>13.43</v>
      </c>
      <c r="AE147" s="303">
        <f t="shared" si="428"/>
        <v>6.16</v>
      </c>
      <c r="AF147" s="303">
        <f t="shared" si="428"/>
        <v>37.450000000000003</v>
      </c>
      <c r="AG147" s="303">
        <f t="shared" si="428"/>
        <v>10.62</v>
      </c>
      <c r="AH147" s="303">
        <f t="shared" ref="AH147:BM147" si="429">IF(AH$2="-","",(IF(AH308="","",IF(AH$4&lt;$A147,AH308,(AH308-AH$3)/(1+AH$3%)))))</f>
        <v>0.95</v>
      </c>
      <c r="AI147" s="303">
        <f t="shared" si="429"/>
        <v>2.13</v>
      </c>
      <c r="AJ147" s="303">
        <f t="shared" si="429"/>
        <v>1.5</v>
      </c>
      <c r="AK147" s="303">
        <f t="shared" si="429"/>
        <v>12.4</v>
      </c>
      <c r="AL147" s="303">
        <f t="shared" si="429"/>
        <v>28.93</v>
      </c>
      <c r="AM147" s="303">
        <f t="shared" si="429"/>
        <v>21.63</v>
      </c>
      <c r="AN147" s="303">
        <f t="shared" si="429"/>
        <v>27.37</v>
      </c>
      <c r="AO147" s="303">
        <f t="shared" si="429"/>
        <v>11.24</v>
      </c>
      <c r="AP147" s="303">
        <f t="shared" si="429"/>
        <v>5.21</v>
      </c>
      <c r="AQ147" s="303" t="str">
        <f t="shared" si="429"/>
        <v/>
      </c>
      <c r="AR147" s="303" t="str">
        <f t="shared" si="429"/>
        <v/>
      </c>
      <c r="AS147" s="303" t="str">
        <f t="shared" si="429"/>
        <v/>
      </c>
      <c r="AT147" s="303" t="str">
        <f t="shared" si="429"/>
        <v/>
      </c>
      <c r="AU147" s="303" t="str">
        <f t="shared" si="429"/>
        <v/>
      </c>
      <c r="AV147" s="303" t="str">
        <f t="shared" si="429"/>
        <v/>
      </c>
      <c r="AW147" s="303" t="str">
        <f t="shared" si="429"/>
        <v/>
      </c>
      <c r="AX147" s="303" t="str">
        <f t="shared" si="429"/>
        <v/>
      </c>
      <c r="AY147" s="303" t="str">
        <f t="shared" si="429"/>
        <v/>
      </c>
      <c r="AZ147" s="303" t="str">
        <f t="shared" si="429"/>
        <v/>
      </c>
      <c r="BA147" s="303" t="str">
        <f t="shared" si="429"/>
        <v/>
      </c>
      <c r="BB147" s="303" t="str">
        <f t="shared" si="429"/>
        <v/>
      </c>
      <c r="BC147" s="303" t="str">
        <f t="shared" si="429"/>
        <v/>
      </c>
      <c r="BD147" s="303" t="str">
        <f t="shared" si="429"/>
        <v/>
      </c>
      <c r="BE147" s="303" t="str">
        <f t="shared" si="429"/>
        <v/>
      </c>
      <c r="BF147" s="303" t="str">
        <f t="shared" si="429"/>
        <v/>
      </c>
      <c r="BG147" s="303" t="str">
        <f t="shared" si="429"/>
        <v/>
      </c>
      <c r="BH147" s="303" t="str">
        <f t="shared" si="429"/>
        <v/>
      </c>
      <c r="BI147" s="303" t="str">
        <f t="shared" si="429"/>
        <v/>
      </c>
      <c r="BJ147" s="303" t="str">
        <f t="shared" si="429"/>
        <v/>
      </c>
      <c r="BK147" s="303" t="str">
        <f t="shared" si="429"/>
        <v/>
      </c>
      <c r="BL147" s="303" t="str">
        <f t="shared" si="429"/>
        <v/>
      </c>
      <c r="BM147" s="303" t="str">
        <f t="shared" si="429"/>
        <v/>
      </c>
      <c r="BN147" s="303" t="str">
        <f t="shared" ref="BN147:BZ147" si="430">IF(BN$2="-","",(IF(BN308="","",IF(BN$4&lt;$A147,BN308,(BN308-BN$3)/(1+BN$3%)))))</f>
        <v/>
      </c>
      <c r="BO147" s="303" t="str">
        <f t="shared" si="430"/>
        <v/>
      </c>
      <c r="BP147" s="303" t="str">
        <f t="shared" si="430"/>
        <v/>
      </c>
      <c r="BQ147" s="303" t="str">
        <f t="shared" si="430"/>
        <v/>
      </c>
      <c r="BR147" s="303" t="str">
        <f t="shared" si="430"/>
        <v/>
      </c>
      <c r="BS147" s="303" t="str">
        <f t="shared" si="430"/>
        <v/>
      </c>
      <c r="BT147" s="303" t="str">
        <f t="shared" si="430"/>
        <v/>
      </c>
      <c r="BU147" s="303" t="str">
        <f t="shared" si="430"/>
        <v/>
      </c>
      <c r="BV147" s="303" t="str">
        <f t="shared" si="430"/>
        <v/>
      </c>
      <c r="BW147" s="303" t="str">
        <f t="shared" si="430"/>
        <v/>
      </c>
      <c r="BX147" s="303">
        <f t="shared" si="430"/>
        <v>16.177753252994886</v>
      </c>
      <c r="BY147" s="303">
        <f t="shared" si="430"/>
        <v>6.1146138488488821</v>
      </c>
      <c r="BZ147" s="303">
        <f t="shared" si="430"/>
        <v>0.35</v>
      </c>
      <c r="CA147" s="303">
        <f t="shared" si="400"/>
        <v>1.4957235273143077</v>
      </c>
      <c r="CB147" s="57"/>
    </row>
    <row r="148" spans="1:81">
      <c r="A148" s="58">
        <f t="shared" si="396"/>
        <v>2011</v>
      </c>
      <c r="B148" s="303">
        <f t="shared" ref="B148:AG148" si="431">IF(B$2="-","",(IF(B309="","",IF(B$4&lt;$A148,B309,(B309-B$3)/(1+B$3%)))))</f>
        <v>0.96</v>
      </c>
      <c r="C148" s="303">
        <f t="shared" si="431"/>
        <v>1</v>
      </c>
      <c r="D148" s="303">
        <f t="shared" si="431"/>
        <v>1.97</v>
      </c>
      <c r="E148" s="303">
        <f t="shared" si="431"/>
        <v>1.71</v>
      </c>
      <c r="F148" s="303">
        <f t="shared" si="431"/>
        <v>-2.11</v>
      </c>
      <c r="G148" s="303">
        <f t="shared" si="431"/>
        <v>-4.16</v>
      </c>
      <c r="H148" s="303">
        <f t="shared" si="431"/>
        <v>-2.8</v>
      </c>
      <c r="I148" s="303">
        <f t="shared" si="431"/>
        <v>-1.58</v>
      </c>
      <c r="J148" s="303">
        <f t="shared" si="431"/>
        <v>-7.86</v>
      </c>
      <c r="K148" s="303">
        <f t="shared" si="431"/>
        <v>8.4700000000000006</v>
      </c>
      <c r="L148" s="303">
        <f t="shared" si="431"/>
        <v>-12.509999999999998</v>
      </c>
      <c r="M148" s="303">
        <f t="shared" si="431"/>
        <v>-19.18</v>
      </c>
      <c r="N148" s="303">
        <f t="shared" si="431"/>
        <v>-14.56</v>
      </c>
      <c r="O148" s="303">
        <f t="shared" si="431"/>
        <v>-14</v>
      </c>
      <c r="P148" s="303">
        <f t="shared" si="431"/>
        <v>-11.6</v>
      </c>
      <c r="Q148" s="303">
        <f t="shared" si="431"/>
        <v>-14.58</v>
      </c>
      <c r="R148" s="303">
        <f t="shared" si="431"/>
        <v>-7.56</v>
      </c>
      <c r="S148" s="303">
        <f t="shared" si="431"/>
        <v>29.28</v>
      </c>
      <c r="T148" s="303">
        <f t="shared" si="431"/>
        <v>9.8000000000000007</v>
      </c>
      <c r="U148" s="303">
        <f t="shared" si="431"/>
        <v>7.56</v>
      </c>
      <c r="V148" s="303">
        <f t="shared" si="431"/>
        <v>0.02</v>
      </c>
      <c r="W148" s="303">
        <f t="shared" si="431"/>
        <v>13.24</v>
      </c>
      <c r="X148" s="303">
        <f t="shared" si="431"/>
        <v>3.85</v>
      </c>
      <c r="Y148" s="303">
        <f t="shared" si="431"/>
        <v>9.6300000000000008</v>
      </c>
      <c r="Z148" s="303">
        <f t="shared" si="431"/>
        <v>-4</v>
      </c>
      <c r="AA148" s="303">
        <f t="shared" si="431"/>
        <v>2.2599999999999998</v>
      </c>
      <c r="AB148" s="303">
        <f t="shared" si="431"/>
        <v>9.57</v>
      </c>
      <c r="AC148" s="303">
        <f t="shared" si="431"/>
        <v>-19.09</v>
      </c>
      <c r="AD148" s="303">
        <f t="shared" si="431"/>
        <v>-1.74</v>
      </c>
      <c r="AE148" s="303">
        <f t="shared" si="431"/>
        <v>11.45</v>
      </c>
      <c r="AF148" s="303">
        <f t="shared" si="431"/>
        <v>-21.7</v>
      </c>
      <c r="AG148" s="303">
        <f t="shared" si="431"/>
        <v>2.7</v>
      </c>
      <c r="AH148" s="303">
        <f t="shared" ref="AH148:BM148" si="432">IF(AH$2="-","",(IF(AH309="","",IF(AH$4&lt;$A148,AH309,(AH309-AH$3)/(1+AH$3%)))))</f>
        <v>1.6</v>
      </c>
      <c r="AI148" s="303">
        <f t="shared" si="432"/>
        <v>9.6199999999999992</v>
      </c>
      <c r="AJ148" s="303">
        <f t="shared" si="432"/>
        <v>10.69</v>
      </c>
      <c r="AK148" s="303">
        <f t="shared" si="432"/>
        <v>7.13</v>
      </c>
      <c r="AL148" s="303">
        <f t="shared" si="432"/>
        <v>-3.84</v>
      </c>
      <c r="AM148" s="303">
        <f t="shared" si="432"/>
        <v>-0.44</v>
      </c>
      <c r="AN148" s="303">
        <f t="shared" si="432"/>
        <v>-3.73</v>
      </c>
      <c r="AO148" s="303">
        <f t="shared" si="432"/>
        <v>9.1999999999999993</v>
      </c>
      <c r="AP148" s="303">
        <f t="shared" si="432"/>
        <v>1.93</v>
      </c>
      <c r="AQ148" s="303" t="str">
        <f t="shared" si="432"/>
        <v/>
      </c>
      <c r="AR148" s="303" t="str">
        <f t="shared" si="432"/>
        <v/>
      </c>
      <c r="AS148" s="303" t="str">
        <f t="shared" si="432"/>
        <v/>
      </c>
      <c r="AT148" s="303" t="str">
        <f t="shared" si="432"/>
        <v/>
      </c>
      <c r="AU148" s="303" t="str">
        <f t="shared" si="432"/>
        <v/>
      </c>
      <c r="AV148" s="303" t="str">
        <f t="shared" si="432"/>
        <v/>
      </c>
      <c r="AW148" s="303" t="str">
        <f t="shared" si="432"/>
        <v/>
      </c>
      <c r="AX148" s="303" t="str">
        <f t="shared" si="432"/>
        <v/>
      </c>
      <c r="AY148" s="303" t="str">
        <f t="shared" si="432"/>
        <v/>
      </c>
      <c r="AZ148" s="303" t="str">
        <f t="shared" si="432"/>
        <v/>
      </c>
      <c r="BA148" s="303" t="str">
        <f t="shared" si="432"/>
        <v/>
      </c>
      <c r="BB148" s="303" t="str">
        <f t="shared" si="432"/>
        <v/>
      </c>
      <c r="BC148" s="303" t="str">
        <f t="shared" si="432"/>
        <v/>
      </c>
      <c r="BD148" s="303" t="str">
        <f t="shared" si="432"/>
        <v/>
      </c>
      <c r="BE148" s="303" t="str">
        <f t="shared" si="432"/>
        <v/>
      </c>
      <c r="BF148" s="303" t="str">
        <f t="shared" si="432"/>
        <v/>
      </c>
      <c r="BG148" s="303" t="str">
        <f t="shared" si="432"/>
        <v/>
      </c>
      <c r="BH148" s="303" t="str">
        <f t="shared" si="432"/>
        <v/>
      </c>
      <c r="BI148" s="303" t="str">
        <f t="shared" si="432"/>
        <v/>
      </c>
      <c r="BJ148" s="303" t="str">
        <f t="shared" si="432"/>
        <v/>
      </c>
      <c r="BK148" s="303" t="str">
        <f t="shared" si="432"/>
        <v/>
      </c>
      <c r="BL148" s="303" t="str">
        <f t="shared" si="432"/>
        <v/>
      </c>
      <c r="BM148" s="303" t="str">
        <f t="shared" si="432"/>
        <v/>
      </c>
      <c r="BN148" s="303" t="str">
        <f t="shared" ref="BN148:BZ148" si="433">IF(BN$2="-","",(IF(BN309="","",IF(BN$4&lt;$A148,BN309,(BN309-BN$3)/(1+BN$3%)))))</f>
        <v/>
      </c>
      <c r="BO148" s="303" t="str">
        <f t="shared" si="433"/>
        <v/>
      </c>
      <c r="BP148" s="303" t="str">
        <f t="shared" si="433"/>
        <v/>
      </c>
      <c r="BQ148" s="303" t="str">
        <f t="shared" si="433"/>
        <v/>
      </c>
      <c r="BR148" s="303" t="str">
        <f t="shared" si="433"/>
        <v/>
      </c>
      <c r="BS148" s="303" t="str">
        <f t="shared" si="433"/>
        <v/>
      </c>
      <c r="BT148" s="303" t="str">
        <f t="shared" si="433"/>
        <v/>
      </c>
      <c r="BU148" s="303" t="str">
        <f t="shared" si="433"/>
        <v/>
      </c>
      <c r="BV148" s="303" t="str">
        <f t="shared" si="433"/>
        <v/>
      </c>
      <c r="BW148" s="303" t="str">
        <f t="shared" si="433"/>
        <v/>
      </c>
      <c r="BX148" s="303">
        <f t="shared" si="433"/>
        <v>3.4608847515242402</v>
      </c>
      <c r="BY148" s="303">
        <f t="shared" si="433"/>
        <v>9.4864101767692777</v>
      </c>
      <c r="BZ148" s="303">
        <f t="shared" si="433"/>
        <v>0.27</v>
      </c>
      <c r="CA148" s="303">
        <f t="shared" si="400"/>
        <v>2.9624188448710953</v>
      </c>
      <c r="CB148" s="57"/>
    </row>
    <row r="149" spans="1:81">
      <c r="A149" s="58">
        <f t="shared" si="396"/>
        <v>2012</v>
      </c>
      <c r="B149" s="303">
        <f t="shared" ref="B149:AG149" si="434">IF(B$2="-","",(IF(B310="","",IF(B$4&lt;$A149,B310,(B310-B$3)/(1+B$3%)))))</f>
        <v>16.25</v>
      </c>
      <c r="C149" s="303">
        <f t="shared" si="434"/>
        <v>15</v>
      </c>
      <c r="D149" s="303">
        <f t="shared" si="434"/>
        <v>15.82</v>
      </c>
      <c r="E149" s="303">
        <f t="shared" si="434"/>
        <v>16.89</v>
      </c>
      <c r="F149" s="303">
        <f t="shared" si="434"/>
        <v>15.8</v>
      </c>
      <c r="G149" s="303">
        <f t="shared" si="434"/>
        <v>18.559999999999999</v>
      </c>
      <c r="H149" s="303">
        <f t="shared" si="434"/>
        <v>18.04</v>
      </c>
      <c r="I149" s="303">
        <f t="shared" si="434"/>
        <v>17.52</v>
      </c>
      <c r="J149" s="303">
        <f t="shared" si="434"/>
        <v>19.829999999999998</v>
      </c>
      <c r="K149" s="303">
        <f t="shared" si="434"/>
        <v>17.53</v>
      </c>
      <c r="L149" s="303">
        <f t="shared" si="434"/>
        <v>18.559999999999999</v>
      </c>
      <c r="M149" s="303">
        <f t="shared" si="434"/>
        <v>18.64</v>
      </c>
      <c r="N149" s="303">
        <f t="shared" si="434"/>
        <v>18.14</v>
      </c>
      <c r="O149" s="303">
        <f t="shared" si="434"/>
        <v>15.49</v>
      </c>
      <c r="P149" s="303">
        <f t="shared" si="434"/>
        <v>20.8</v>
      </c>
      <c r="Q149" s="303">
        <f t="shared" si="434"/>
        <v>20.18</v>
      </c>
      <c r="R149" s="303">
        <f t="shared" si="434"/>
        <v>5.31</v>
      </c>
      <c r="S149" s="303">
        <f t="shared" si="434"/>
        <v>3.47</v>
      </c>
      <c r="T149" s="303">
        <f t="shared" si="434"/>
        <v>2.67</v>
      </c>
      <c r="U149" s="303">
        <f t="shared" si="434"/>
        <v>4.05</v>
      </c>
      <c r="V149" s="303">
        <f t="shared" si="434"/>
        <v>0.02</v>
      </c>
      <c r="W149" s="303">
        <f t="shared" si="434"/>
        <v>6.78</v>
      </c>
      <c r="X149" s="303">
        <f t="shared" si="434"/>
        <v>12.57</v>
      </c>
      <c r="Y149" s="303">
        <f t="shared" si="434"/>
        <v>10.06</v>
      </c>
      <c r="Z149" s="303">
        <f t="shared" si="434"/>
        <v>20.78</v>
      </c>
      <c r="AA149" s="303">
        <f t="shared" si="434"/>
        <v>0.69</v>
      </c>
      <c r="AB149" s="303">
        <f t="shared" si="434"/>
        <v>6.6</v>
      </c>
      <c r="AC149" s="303">
        <f t="shared" si="434"/>
        <v>18.89</v>
      </c>
      <c r="AD149" s="303">
        <f t="shared" si="434"/>
        <v>2.67</v>
      </c>
      <c r="AE149" s="303">
        <f t="shared" si="434"/>
        <v>15.11</v>
      </c>
      <c r="AF149" s="303">
        <f t="shared" si="434"/>
        <v>-12.98</v>
      </c>
      <c r="AG149" s="303">
        <f t="shared" si="434"/>
        <v>16.72</v>
      </c>
      <c r="AH149" s="303">
        <f t="shared" ref="AH149:BM149" si="435">IF(AH$2="-","",(IF(AH310="","",IF(AH$4&lt;$A149,AH310,(AH310-AH$3)/(1+AH$3%)))))</f>
        <v>0.99</v>
      </c>
      <c r="AI149" s="303">
        <f t="shared" si="435"/>
        <v>5.7</v>
      </c>
      <c r="AJ149" s="303">
        <f t="shared" si="435"/>
        <v>8.08</v>
      </c>
      <c r="AK149" s="303">
        <f t="shared" si="435"/>
        <v>14.36</v>
      </c>
      <c r="AL149" s="303">
        <f t="shared" si="435"/>
        <v>15.81</v>
      </c>
      <c r="AM149" s="303">
        <f t="shared" si="435"/>
        <v>15.91</v>
      </c>
      <c r="AN149" s="303">
        <f t="shared" si="435"/>
        <v>18.309999999999999</v>
      </c>
      <c r="AO149" s="303">
        <f t="shared" si="435"/>
        <v>7.42</v>
      </c>
      <c r="AP149" s="303">
        <f t="shared" si="435"/>
        <v>4.5199999999999996</v>
      </c>
      <c r="AQ149" s="303" t="str">
        <f t="shared" si="435"/>
        <v/>
      </c>
      <c r="AR149" s="303" t="str">
        <f t="shared" si="435"/>
        <v/>
      </c>
      <c r="AS149" s="303" t="str">
        <f t="shared" si="435"/>
        <v/>
      </c>
      <c r="AT149" s="303" t="str">
        <f t="shared" si="435"/>
        <v/>
      </c>
      <c r="AU149" s="303" t="str">
        <f t="shared" si="435"/>
        <v/>
      </c>
      <c r="AV149" s="303" t="str">
        <f t="shared" si="435"/>
        <v/>
      </c>
      <c r="AW149" s="303" t="str">
        <f t="shared" si="435"/>
        <v/>
      </c>
      <c r="AX149" s="303" t="str">
        <f t="shared" si="435"/>
        <v/>
      </c>
      <c r="AY149" s="303" t="str">
        <f t="shared" si="435"/>
        <v/>
      </c>
      <c r="AZ149" s="303" t="str">
        <f t="shared" si="435"/>
        <v/>
      </c>
      <c r="BA149" s="303" t="str">
        <f t="shared" si="435"/>
        <v/>
      </c>
      <c r="BB149" s="303" t="str">
        <f t="shared" si="435"/>
        <v/>
      </c>
      <c r="BC149" s="303" t="str">
        <f t="shared" si="435"/>
        <v/>
      </c>
      <c r="BD149" s="303" t="str">
        <f t="shared" si="435"/>
        <v/>
      </c>
      <c r="BE149" s="303" t="str">
        <f t="shared" si="435"/>
        <v/>
      </c>
      <c r="BF149" s="303" t="str">
        <f t="shared" si="435"/>
        <v/>
      </c>
      <c r="BG149" s="303" t="str">
        <f t="shared" si="435"/>
        <v/>
      </c>
      <c r="BH149" s="303" t="str">
        <f t="shared" si="435"/>
        <v/>
      </c>
      <c r="BI149" s="303" t="str">
        <f t="shared" si="435"/>
        <v/>
      </c>
      <c r="BJ149" s="303" t="str">
        <f t="shared" si="435"/>
        <v/>
      </c>
      <c r="BK149" s="303" t="str">
        <f t="shared" si="435"/>
        <v/>
      </c>
      <c r="BL149" s="303" t="str">
        <f t="shared" si="435"/>
        <v/>
      </c>
      <c r="BM149" s="303" t="str">
        <f t="shared" si="435"/>
        <v/>
      </c>
      <c r="BN149" s="303" t="str">
        <f t="shared" ref="BN149:BZ149" si="436">IF(BN$2="-","",(IF(BN310="","",IF(BN$4&lt;$A149,BN310,(BN310-BN$3)/(1+BN$3%)))))</f>
        <v/>
      </c>
      <c r="BO149" s="303" t="str">
        <f t="shared" si="436"/>
        <v/>
      </c>
      <c r="BP149" s="303" t="str">
        <f t="shared" si="436"/>
        <v/>
      </c>
      <c r="BQ149" s="303" t="str">
        <f t="shared" si="436"/>
        <v/>
      </c>
      <c r="BR149" s="303" t="str">
        <f t="shared" si="436"/>
        <v/>
      </c>
      <c r="BS149" s="303" t="str">
        <f t="shared" si="436"/>
        <v/>
      </c>
      <c r="BT149" s="303" t="str">
        <f t="shared" si="436"/>
        <v/>
      </c>
      <c r="BU149" s="303" t="str">
        <f t="shared" si="436"/>
        <v/>
      </c>
      <c r="BV149" s="303" t="str">
        <f t="shared" si="436"/>
        <v/>
      </c>
      <c r="BW149" s="303" t="str">
        <f t="shared" si="436"/>
        <v/>
      </c>
      <c r="BX149" s="303">
        <f t="shared" si="436"/>
        <v>16.228913254086642</v>
      </c>
      <c r="BY149" s="303">
        <f t="shared" si="436"/>
        <v>2.41026344231281</v>
      </c>
      <c r="BZ149" s="303">
        <f t="shared" si="436"/>
        <v>0.12</v>
      </c>
      <c r="CA149" s="303">
        <f t="shared" si="400"/>
        <v>1.7410223687475579</v>
      </c>
      <c r="CB149" s="57"/>
    </row>
    <row r="150" spans="1:81">
      <c r="A150" s="58">
        <f t="shared" si="396"/>
        <v>2013</v>
      </c>
      <c r="B150" s="303">
        <f t="shared" ref="B150:AG150" si="437">IF(B$2="-","",(IF(B311="","",IF(B$4&lt;$A150,B311,(B311-B$3)/(1+B$3%)))))</f>
        <v>33.35</v>
      </c>
      <c r="C150" s="303">
        <f t="shared" si="437"/>
        <v>32.85</v>
      </c>
      <c r="D150" s="303">
        <f t="shared" si="437"/>
        <v>32.18</v>
      </c>
      <c r="E150" s="303">
        <f t="shared" si="437"/>
        <v>32.159999999999997</v>
      </c>
      <c r="F150" s="303">
        <f t="shared" si="437"/>
        <v>35</v>
      </c>
      <c r="G150" s="303">
        <f t="shared" si="437"/>
        <v>36.409999999999997</v>
      </c>
      <c r="H150" s="303">
        <f t="shared" si="437"/>
        <v>37.619999999999997</v>
      </c>
      <c r="I150" s="303">
        <f t="shared" si="437"/>
        <v>37.979999999999997</v>
      </c>
      <c r="J150" s="303">
        <f t="shared" si="437"/>
        <v>50.91</v>
      </c>
      <c r="K150" s="303">
        <f t="shared" si="437"/>
        <v>2.31</v>
      </c>
      <c r="L150" s="303">
        <f t="shared" si="437"/>
        <v>22.06</v>
      </c>
      <c r="M150" s="303">
        <f t="shared" si="437"/>
        <v>-5.19</v>
      </c>
      <c r="N150" s="303">
        <f t="shared" si="437"/>
        <v>15.04</v>
      </c>
      <c r="O150" s="303">
        <f t="shared" si="437"/>
        <v>17.36</v>
      </c>
      <c r="P150" s="303">
        <f t="shared" si="437"/>
        <v>24.7</v>
      </c>
      <c r="Q150" s="303">
        <f t="shared" si="437"/>
        <v>22.15</v>
      </c>
      <c r="R150" s="303">
        <f t="shared" si="437"/>
        <v>-14.81</v>
      </c>
      <c r="S150" s="303">
        <f t="shared" si="437"/>
        <v>-13.03</v>
      </c>
      <c r="T150" s="303">
        <f t="shared" si="437"/>
        <v>-3.09</v>
      </c>
      <c r="U150" s="303">
        <f t="shared" si="437"/>
        <v>-2.2599999999999998</v>
      </c>
      <c r="V150" s="303">
        <f t="shared" si="437"/>
        <v>0.01</v>
      </c>
      <c r="W150" s="303">
        <f t="shared" si="437"/>
        <v>-8.92</v>
      </c>
      <c r="X150" s="303">
        <f t="shared" si="437"/>
        <v>19.66</v>
      </c>
      <c r="Y150" s="303">
        <f t="shared" si="437"/>
        <v>9.19</v>
      </c>
      <c r="Z150" s="303">
        <f t="shared" si="437"/>
        <v>36.08</v>
      </c>
      <c r="AA150" s="303">
        <f t="shared" si="437"/>
        <v>-0.1</v>
      </c>
      <c r="AB150" s="303">
        <f t="shared" si="437"/>
        <v>-28.33</v>
      </c>
      <c r="AC150" s="303">
        <f t="shared" si="437"/>
        <v>17.440000000000001</v>
      </c>
      <c r="AD150" s="303">
        <f t="shared" si="437"/>
        <v>18.14</v>
      </c>
      <c r="AE150" s="303">
        <f t="shared" si="437"/>
        <v>43.19</v>
      </c>
      <c r="AF150" s="303">
        <f t="shared" si="437"/>
        <v>-35.130000000000003</v>
      </c>
      <c r="AG150" s="303">
        <f t="shared" si="437"/>
        <v>30.69</v>
      </c>
      <c r="AH150" s="303">
        <f t="shared" ref="AH150:BM150" si="438">IF(AH$2="-","",(IF(AH311="","",IF(AH$4&lt;$A150,AH311,(AH311-AH$3)/(1+AH$3%)))))</f>
        <v>0.48</v>
      </c>
      <c r="AI150" s="303">
        <f t="shared" si="438"/>
        <v>-1.56</v>
      </c>
      <c r="AJ150" s="303">
        <f t="shared" si="438"/>
        <v>-2.95</v>
      </c>
      <c r="AK150" s="303">
        <f t="shared" si="438"/>
        <v>4.54</v>
      </c>
      <c r="AL150" s="303">
        <f t="shared" si="438"/>
        <v>32.020000000000003</v>
      </c>
      <c r="AM150" s="303">
        <f t="shared" si="438"/>
        <v>37.42</v>
      </c>
      <c r="AN150" s="303">
        <f t="shared" si="438"/>
        <v>38.19</v>
      </c>
      <c r="AO150" s="303">
        <f t="shared" si="438"/>
        <v>-5.04</v>
      </c>
      <c r="AP150" s="303">
        <f t="shared" si="438"/>
        <v>0.97</v>
      </c>
      <c r="AQ150" s="303" t="str">
        <f t="shared" si="438"/>
        <v/>
      </c>
      <c r="AR150" s="303" t="str">
        <f t="shared" si="438"/>
        <v/>
      </c>
      <c r="AS150" s="303" t="str">
        <f t="shared" si="438"/>
        <v/>
      </c>
      <c r="AT150" s="303" t="str">
        <f t="shared" si="438"/>
        <v/>
      </c>
      <c r="AU150" s="303" t="str">
        <f t="shared" si="438"/>
        <v/>
      </c>
      <c r="AV150" s="303" t="str">
        <f t="shared" si="438"/>
        <v/>
      </c>
      <c r="AW150" s="303" t="str">
        <f t="shared" si="438"/>
        <v/>
      </c>
      <c r="AX150" s="303" t="str">
        <f t="shared" si="438"/>
        <v/>
      </c>
      <c r="AY150" s="303" t="str">
        <f t="shared" si="438"/>
        <v/>
      </c>
      <c r="AZ150" s="303" t="str">
        <f t="shared" si="438"/>
        <v/>
      </c>
      <c r="BA150" s="303" t="str">
        <f t="shared" si="438"/>
        <v/>
      </c>
      <c r="BB150" s="303" t="str">
        <f t="shared" si="438"/>
        <v/>
      </c>
      <c r="BC150" s="303" t="str">
        <f t="shared" si="438"/>
        <v/>
      </c>
      <c r="BD150" s="303" t="str">
        <f t="shared" si="438"/>
        <v/>
      </c>
      <c r="BE150" s="303" t="str">
        <f t="shared" si="438"/>
        <v/>
      </c>
      <c r="BF150" s="303" t="str">
        <f t="shared" si="438"/>
        <v/>
      </c>
      <c r="BG150" s="303" t="str">
        <f t="shared" si="438"/>
        <v/>
      </c>
      <c r="BH150" s="303" t="str">
        <f t="shared" si="438"/>
        <v/>
      </c>
      <c r="BI150" s="303" t="str">
        <f t="shared" si="438"/>
        <v/>
      </c>
      <c r="BJ150" s="303" t="str">
        <f t="shared" si="438"/>
        <v/>
      </c>
      <c r="BK150" s="303" t="str">
        <f t="shared" si="438"/>
        <v/>
      </c>
      <c r="BL150" s="303" t="str">
        <f t="shared" si="438"/>
        <v/>
      </c>
      <c r="BM150" s="303" t="str">
        <f t="shared" si="438"/>
        <v/>
      </c>
      <c r="BN150" s="303" t="str">
        <f t="shared" ref="BN150:BZ150" si="439">IF(BN$2="-","",(IF(BN311="","",IF(BN$4&lt;$A150,BN311,(BN311-BN$3)/(1+BN$3%)))))</f>
        <v/>
      </c>
      <c r="BO150" s="303" t="str">
        <f t="shared" si="439"/>
        <v/>
      </c>
      <c r="BP150" s="303" t="str">
        <f t="shared" si="439"/>
        <v/>
      </c>
      <c r="BQ150" s="303" t="str">
        <f t="shared" si="439"/>
        <v/>
      </c>
      <c r="BR150" s="303" t="str">
        <f t="shared" si="439"/>
        <v/>
      </c>
      <c r="BS150" s="303" t="str">
        <f t="shared" si="439"/>
        <v/>
      </c>
      <c r="BT150" s="303" t="str">
        <f t="shared" si="439"/>
        <v/>
      </c>
      <c r="BU150" s="303" t="str">
        <f t="shared" si="439"/>
        <v/>
      </c>
      <c r="BV150" s="303" t="str">
        <f t="shared" si="439"/>
        <v/>
      </c>
      <c r="BW150" s="303" t="str">
        <f t="shared" si="439"/>
        <v/>
      </c>
      <c r="BX150" s="303">
        <f t="shared" si="439"/>
        <v>25.462712780329632</v>
      </c>
      <c r="BY150" s="303">
        <f t="shared" si="439"/>
        <v>-1.7741746954338389</v>
      </c>
      <c r="BZ150" s="303">
        <f t="shared" si="439"/>
        <v>0.15</v>
      </c>
      <c r="CA150" s="303">
        <f t="shared" si="400"/>
        <v>1.501735619618394</v>
      </c>
      <c r="CB150" s="57"/>
    </row>
    <row r="151" spans="1:81">
      <c r="A151" s="58">
        <f t="shared" si="396"/>
        <v>2014</v>
      </c>
      <c r="B151" s="303">
        <f t="shared" ref="B151:AG151" si="440">IF(B$2="-","",(IF(B312="","",IF(B$4&lt;$A151,B312,(B312-B$3)/(1+B$3%)))))</f>
        <v>12.43</v>
      </c>
      <c r="C151" s="303">
        <f t="shared" si="440"/>
        <v>13.05</v>
      </c>
      <c r="D151" s="303">
        <f t="shared" si="440"/>
        <v>13.51</v>
      </c>
      <c r="E151" s="303">
        <f t="shared" si="440"/>
        <v>13.47</v>
      </c>
      <c r="F151" s="303">
        <f t="shared" si="440"/>
        <v>13.6</v>
      </c>
      <c r="G151" s="303">
        <f t="shared" si="440"/>
        <v>10.39</v>
      </c>
      <c r="H151" s="303">
        <f t="shared" si="440"/>
        <v>7.37</v>
      </c>
      <c r="I151" s="303">
        <f t="shared" si="440"/>
        <v>3.88</v>
      </c>
      <c r="J151" s="303">
        <f t="shared" si="440"/>
        <v>4.6100000000000003</v>
      </c>
      <c r="K151" s="303">
        <f t="shared" si="440"/>
        <v>30.13</v>
      </c>
      <c r="L151" s="303">
        <f t="shared" si="440"/>
        <v>-5.66</v>
      </c>
      <c r="M151" s="303">
        <f t="shared" si="440"/>
        <v>0.42</v>
      </c>
      <c r="N151" s="303">
        <f t="shared" si="440"/>
        <v>-4.24</v>
      </c>
      <c r="O151" s="303">
        <f t="shared" si="440"/>
        <v>-4.6900000000000004</v>
      </c>
      <c r="P151" s="303">
        <f t="shared" si="440"/>
        <v>-6.67</v>
      </c>
      <c r="Q151" s="303">
        <f t="shared" si="440"/>
        <v>-6.69</v>
      </c>
      <c r="R151" s="303">
        <f t="shared" si="440"/>
        <v>-18.059999999999999</v>
      </c>
      <c r="S151" s="303">
        <f t="shared" si="440"/>
        <v>25.27</v>
      </c>
      <c r="T151" s="303">
        <f t="shared" si="440"/>
        <v>4.32</v>
      </c>
      <c r="U151" s="303">
        <f t="shared" si="440"/>
        <v>5.76</v>
      </c>
      <c r="V151" s="303">
        <f t="shared" si="440"/>
        <v>0.01</v>
      </c>
      <c r="W151" s="303">
        <f t="shared" si="440"/>
        <v>3.83</v>
      </c>
      <c r="X151" s="303">
        <f t="shared" si="440"/>
        <v>9.82</v>
      </c>
      <c r="Y151" s="303">
        <f t="shared" si="440"/>
        <v>8.07</v>
      </c>
      <c r="Z151" s="303">
        <f t="shared" si="440"/>
        <v>11.82</v>
      </c>
      <c r="AA151" s="303">
        <f t="shared" si="440"/>
        <v>0.71</v>
      </c>
      <c r="AB151" s="303">
        <f t="shared" si="440"/>
        <v>-2.19</v>
      </c>
      <c r="AC151" s="303">
        <f t="shared" si="440"/>
        <v>-4.8099999999999996</v>
      </c>
      <c r="AD151" s="303">
        <f t="shared" si="440"/>
        <v>-14.26</v>
      </c>
      <c r="AE151" s="303">
        <f t="shared" si="440"/>
        <v>28.52</v>
      </c>
      <c r="AF151" s="303">
        <f t="shared" si="440"/>
        <v>-11.41</v>
      </c>
      <c r="AG151" s="303">
        <f t="shared" si="440"/>
        <v>11.16</v>
      </c>
      <c r="AH151" s="303">
        <f t="shared" ref="AH151:BM151" si="441">IF(AH$2="-","",(IF(AH312="","",IF(AH$4&lt;$A151,AH312,(AH312-AH$3)/(1+AH$3%)))))</f>
        <v>0.65</v>
      </c>
      <c r="AI151" s="303">
        <f t="shared" si="441"/>
        <v>7.25</v>
      </c>
      <c r="AJ151" s="303">
        <f t="shared" si="441"/>
        <v>11.07</v>
      </c>
      <c r="AK151" s="303">
        <f t="shared" si="441"/>
        <v>4.58</v>
      </c>
      <c r="AL151" s="303">
        <f t="shared" si="441"/>
        <v>13.35</v>
      </c>
      <c r="AM151" s="303">
        <f t="shared" si="441"/>
        <v>13.84</v>
      </c>
      <c r="AN151" s="303">
        <f t="shared" si="441"/>
        <v>7.42</v>
      </c>
      <c r="AO151" s="303">
        <f t="shared" si="441"/>
        <v>2.37</v>
      </c>
      <c r="AP151" s="303">
        <f t="shared" si="441"/>
        <v>1.76</v>
      </c>
      <c r="AQ151" s="303" t="str">
        <f t="shared" si="441"/>
        <v/>
      </c>
      <c r="AR151" s="303" t="str">
        <f t="shared" si="441"/>
        <v/>
      </c>
      <c r="AS151" s="303" t="str">
        <f t="shared" si="441"/>
        <v/>
      </c>
      <c r="AT151" s="303" t="str">
        <f t="shared" si="441"/>
        <v/>
      </c>
      <c r="AU151" s="303" t="str">
        <f t="shared" si="441"/>
        <v/>
      </c>
      <c r="AV151" s="303" t="str">
        <f t="shared" si="441"/>
        <v/>
      </c>
      <c r="AW151" s="303" t="str">
        <f t="shared" si="441"/>
        <v/>
      </c>
      <c r="AX151" s="303" t="str">
        <f t="shared" si="441"/>
        <v/>
      </c>
      <c r="AY151" s="303" t="str">
        <f t="shared" si="441"/>
        <v/>
      </c>
      <c r="AZ151" s="303" t="str">
        <f t="shared" si="441"/>
        <v/>
      </c>
      <c r="BA151" s="303" t="str">
        <f t="shared" si="441"/>
        <v/>
      </c>
      <c r="BB151" s="303" t="str">
        <f t="shared" si="441"/>
        <v/>
      </c>
      <c r="BC151" s="303" t="str">
        <f t="shared" si="441"/>
        <v/>
      </c>
      <c r="BD151" s="303" t="str">
        <f t="shared" si="441"/>
        <v/>
      </c>
      <c r="BE151" s="303" t="str">
        <f t="shared" si="441"/>
        <v/>
      </c>
      <c r="BF151" s="303" t="str">
        <f t="shared" si="441"/>
        <v/>
      </c>
      <c r="BG151" s="303" t="str">
        <f t="shared" si="441"/>
        <v/>
      </c>
      <c r="BH151" s="303" t="str">
        <f t="shared" si="441"/>
        <v/>
      </c>
      <c r="BI151" s="303" t="str">
        <f t="shared" si="441"/>
        <v/>
      </c>
      <c r="BJ151" s="303" t="str">
        <f t="shared" si="441"/>
        <v/>
      </c>
      <c r="BK151" s="303" t="str">
        <f t="shared" si="441"/>
        <v/>
      </c>
      <c r="BL151" s="303" t="str">
        <f t="shared" si="441"/>
        <v/>
      </c>
      <c r="BM151" s="303" t="str">
        <f t="shared" si="441"/>
        <v/>
      </c>
      <c r="BN151" s="303" t="str">
        <f t="shared" ref="BN151:BZ151" si="442">IF(BN$2="-","",(IF(BN312="","",IF(BN$4&lt;$A151,BN312,(BN312-BN$3)/(1+BN$3%)))))</f>
        <v/>
      </c>
      <c r="BO151" s="303" t="str">
        <f t="shared" si="442"/>
        <v/>
      </c>
      <c r="BP151" s="303" t="str">
        <f t="shared" si="442"/>
        <v/>
      </c>
      <c r="BQ151" s="303" t="str">
        <f t="shared" si="442"/>
        <v/>
      </c>
      <c r="BR151" s="303" t="str">
        <f t="shared" si="442"/>
        <v/>
      </c>
      <c r="BS151" s="303" t="str">
        <f t="shared" si="442"/>
        <v/>
      </c>
      <c r="BT151" s="303" t="str">
        <f t="shared" si="442"/>
        <v/>
      </c>
      <c r="BU151" s="303" t="str">
        <f t="shared" si="442"/>
        <v/>
      </c>
      <c r="BV151" s="303" t="str">
        <f t="shared" si="442"/>
        <v/>
      </c>
      <c r="BW151" s="303" t="str">
        <f t="shared" si="442"/>
        <v/>
      </c>
      <c r="BX151" s="303">
        <f t="shared" si="442"/>
        <v>13.458372659628171</v>
      </c>
      <c r="BY151" s="303">
        <f t="shared" si="442"/>
        <v>5.5085513962596089</v>
      </c>
      <c r="BZ151" s="303">
        <f t="shared" si="442"/>
        <v>0.12</v>
      </c>
      <c r="CA151" s="303">
        <f t="shared" si="400"/>
        <v>0.7564932696557447</v>
      </c>
      <c r="CB151" s="57"/>
    </row>
    <row r="152" spans="1:81">
      <c r="A152" s="58">
        <f t="shared" si="396"/>
        <v>2015</v>
      </c>
      <c r="B152" s="303">
        <f t="shared" ref="B152:BM152" si="443">IF(B$2="-","",(IF(B313="","",IF(B$4&lt;$A152,B313,(B313-B$3)/(1+B$3%)))))</f>
        <v>0.28999999999999998</v>
      </c>
      <c r="C152" s="303">
        <f t="shared" si="443"/>
        <v>-1.03</v>
      </c>
      <c r="D152" s="303">
        <f t="shared" si="443"/>
        <v>1.25</v>
      </c>
      <c r="E152" s="303">
        <f t="shared" si="443"/>
        <v>3.17</v>
      </c>
      <c r="F152" s="303">
        <f t="shared" si="443"/>
        <v>-1.46</v>
      </c>
      <c r="G152" s="303">
        <f t="shared" si="443"/>
        <v>-4.78</v>
      </c>
      <c r="H152" s="303">
        <f t="shared" si="443"/>
        <v>-3.78</v>
      </c>
      <c r="I152" s="303">
        <f t="shared" si="443"/>
        <v>-2.64</v>
      </c>
      <c r="J152" s="303">
        <f t="shared" si="443"/>
        <v>-3.94</v>
      </c>
      <c r="K152" s="303">
        <f t="shared" si="443"/>
        <v>2.2200000000000002</v>
      </c>
      <c r="L152" s="303">
        <f t="shared" si="443"/>
        <v>-0.18</v>
      </c>
      <c r="M152" s="303">
        <f t="shared" si="443"/>
        <v>-15.51</v>
      </c>
      <c r="N152" s="303">
        <f t="shared" si="443"/>
        <v>-4.37</v>
      </c>
      <c r="O152" s="303">
        <f t="shared" si="443"/>
        <v>2.25</v>
      </c>
      <c r="P152" s="303">
        <f t="shared" si="443"/>
        <v>-2</v>
      </c>
      <c r="Q152" s="303">
        <f t="shared" si="443"/>
        <v>-6.44</v>
      </c>
      <c r="R152" s="303">
        <f t="shared" si="443"/>
        <v>-25.7</v>
      </c>
      <c r="S152" s="303">
        <f t="shared" si="443"/>
        <v>-1.54</v>
      </c>
      <c r="T152" s="303">
        <f t="shared" si="443"/>
        <v>1.5</v>
      </c>
      <c r="U152" s="303">
        <f t="shared" si="443"/>
        <v>0.3</v>
      </c>
      <c r="V152" s="303">
        <f t="shared" si="443"/>
        <v>0.02</v>
      </c>
      <c r="W152" s="303">
        <f t="shared" si="443"/>
        <v>-1.83</v>
      </c>
      <c r="X152" s="303">
        <f t="shared" si="443"/>
        <v>0.06</v>
      </c>
      <c r="Y152" s="303">
        <f t="shared" si="443"/>
        <v>1.28</v>
      </c>
      <c r="Z152" s="303">
        <f t="shared" si="443"/>
        <v>-3.32</v>
      </c>
      <c r="AA152" s="303">
        <f t="shared" si="443"/>
        <v>0.45</v>
      </c>
      <c r="AB152" s="303">
        <f t="shared" si="443"/>
        <v>-10.67</v>
      </c>
      <c r="AC152" s="303">
        <f t="shared" si="443"/>
        <v>-0.32</v>
      </c>
      <c r="AD152" s="303">
        <f t="shared" si="443"/>
        <v>-21.48</v>
      </c>
      <c r="AE152" s="303">
        <f t="shared" si="443"/>
        <v>12.65</v>
      </c>
      <c r="AF152" s="303">
        <f t="shared" si="443"/>
        <v>-29.42</v>
      </c>
      <c r="AG152" s="303">
        <f t="shared" si="443"/>
        <v>-3.22</v>
      </c>
      <c r="AH152" s="303">
        <f t="shared" si="443"/>
        <v>0.45</v>
      </c>
      <c r="AI152" s="303">
        <f t="shared" si="443"/>
        <v>2.86</v>
      </c>
      <c r="AJ152" s="303">
        <f t="shared" si="443"/>
        <v>3.97</v>
      </c>
      <c r="AK152" s="303">
        <f t="shared" si="443"/>
        <v>-1.39</v>
      </c>
      <c r="AL152" s="303">
        <f t="shared" si="443"/>
        <v>-1.1299999999999999</v>
      </c>
      <c r="AM152" s="303">
        <f t="shared" si="443"/>
        <v>-1.91</v>
      </c>
      <c r="AN152" s="303">
        <f t="shared" si="443"/>
        <v>-3.39</v>
      </c>
      <c r="AO152" s="303">
        <f t="shared" si="443"/>
        <v>-3.59</v>
      </c>
      <c r="AP152" s="303">
        <f t="shared" si="443"/>
        <v>1.03</v>
      </c>
      <c r="AQ152" s="303" t="str">
        <f t="shared" si="443"/>
        <v/>
      </c>
      <c r="AR152" s="303" t="str">
        <f t="shared" si="443"/>
        <v/>
      </c>
      <c r="AS152" s="303" t="str">
        <f t="shared" si="443"/>
        <v/>
      </c>
      <c r="AT152" s="303" t="str">
        <f t="shared" si="443"/>
        <v/>
      </c>
      <c r="AU152" s="303" t="str">
        <f t="shared" si="443"/>
        <v/>
      </c>
      <c r="AV152" s="303" t="str">
        <f t="shared" si="443"/>
        <v/>
      </c>
      <c r="AW152" s="303" t="str">
        <f t="shared" si="443"/>
        <v/>
      </c>
      <c r="AX152" s="303" t="str">
        <f t="shared" si="443"/>
        <v/>
      </c>
      <c r="AY152" s="303" t="str">
        <f t="shared" si="443"/>
        <v/>
      </c>
      <c r="AZ152" s="303" t="str">
        <f t="shared" si="443"/>
        <v/>
      </c>
      <c r="BA152" s="303" t="str">
        <f t="shared" si="443"/>
        <v/>
      </c>
      <c r="BB152" s="303" t="str">
        <f t="shared" si="443"/>
        <v/>
      </c>
      <c r="BC152" s="303" t="str">
        <f t="shared" si="443"/>
        <v/>
      </c>
      <c r="BD152" s="303" t="str">
        <f t="shared" si="443"/>
        <v/>
      </c>
      <c r="BE152" s="303" t="str">
        <f t="shared" si="443"/>
        <v/>
      </c>
      <c r="BF152" s="303" t="str">
        <f t="shared" si="443"/>
        <v/>
      </c>
      <c r="BG152" s="303" t="str">
        <f t="shared" si="443"/>
        <v/>
      </c>
      <c r="BH152" s="303" t="str">
        <f t="shared" si="443"/>
        <v/>
      </c>
      <c r="BI152" s="303" t="str">
        <f t="shared" si="443"/>
        <v/>
      </c>
      <c r="BJ152" s="303" t="str">
        <f t="shared" si="443"/>
        <v/>
      </c>
      <c r="BK152" s="303" t="str">
        <f t="shared" si="443"/>
        <v/>
      </c>
      <c r="BL152" s="303" t="str">
        <f t="shared" si="443"/>
        <v/>
      </c>
      <c r="BM152" s="303" t="str">
        <f t="shared" si="443"/>
        <v/>
      </c>
      <c r="BN152" s="303" t="str">
        <f t="shared" ref="BN152:BZ152" si="444">IF(BN$2="-","",(IF(BN313="","",IF(BN$4&lt;$A152,BN313,(BN313-BN$3)/(1+BN$3%)))))</f>
        <v/>
      </c>
      <c r="BO152" s="303" t="str">
        <f t="shared" si="444"/>
        <v/>
      </c>
      <c r="BP152" s="303" t="str">
        <f t="shared" si="444"/>
        <v/>
      </c>
      <c r="BQ152" s="303" t="str">
        <f t="shared" si="444"/>
        <v/>
      </c>
      <c r="BR152" s="303" t="str">
        <f t="shared" si="444"/>
        <v/>
      </c>
      <c r="BS152" s="303" t="str">
        <f t="shared" si="444"/>
        <v/>
      </c>
      <c r="BT152" s="303" t="str">
        <f t="shared" si="444"/>
        <v/>
      </c>
      <c r="BU152" s="303" t="str">
        <f t="shared" si="444"/>
        <v/>
      </c>
      <c r="BV152" s="303" t="str">
        <f t="shared" si="444"/>
        <v/>
      </c>
      <c r="BW152" s="303" t="str">
        <f t="shared" si="444"/>
        <v/>
      </c>
      <c r="BX152" s="303">
        <f t="shared" si="444"/>
        <v>-3.26</v>
      </c>
      <c r="BY152" s="303">
        <f t="shared" si="444"/>
        <v>1.1239530214926408</v>
      </c>
      <c r="BZ152" s="303">
        <f t="shared" si="444"/>
        <v>0.2</v>
      </c>
      <c r="CA152" s="303">
        <f t="shared" si="400"/>
        <v>0.72951978604158807</v>
      </c>
      <c r="CB152" s="57"/>
    </row>
    <row r="153" spans="1:81">
      <c r="A153" s="58">
        <f t="shared" si="396"/>
        <v>2016</v>
      </c>
      <c r="B153" s="303" t="str">
        <f t="shared" ref="B153:BM153" si="445">IF(B$2="-","",(IF(B314="","",IF(B$4&lt;$A153,B314,(B314-B$3)/(1+B$3%)))))</f>
        <v/>
      </c>
      <c r="C153" s="303" t="str">
        <f t="shared" si="445"/>
        <v/>
      </c>
      <c r="D153" s="303" t="str">
        <f t="shared" si="445"/>
        <v/>
      </c>
      <c r="E153" s="303" t="str">
        <f t="shared" si="445"/>
        <v/>
      </c>
      <c r="F153" s="303" t="str">
        <f t="shared" si="445"/>
        <v/>
      </c>
      <c r="G153" s="303" t="str">
        <f t="shared" si="445"/>
        <v/>
      </c>
      <c r="H153" s="303" t="str">
        <f t="shared" si="445"/>
        <v/>
      </c>
      <c r="I153" s="303" t="str">
        <f t="shared" si="445"/>
        <v/>
      </c>
      <c r="J153" s="303" t="str">
        <f t="shared" si="445"/>
        <v/>
      </c>
      <c r="K153" s="303" t="str">
        <f t="shared" si="445"/>
        <v/>
      </c>
      <c r="L153" s="303" t="str">
        <f t="shared" si="445"/>
        <v/>
      </c>
      <c r="M153" s="303" t="str">
        <f t="shared" si="445"/>
        <v/>
      </c>
      <c r="N153" s="303" t="str">
        <f t="shared" si="445"/>
        <v/>
      </c>
      <c r="O153" s="303" t="str">
        <f t="shared" si="445"/>
        <v/>
      </c>
      <c r="P153" s="303" t="str">
        <f t="shared" si="445"/>
        <v/>
      </c>
      <c r="Q153" s="303" t="str">
        <f t="shared" si="445"/>
        <v/>
      </c>
      <c r="R153" s="303" t="str">
        <f t="shared" si="445"/>
        <v/>
      </c>
      <c r="S153" s="303" t="str">
        <f t="shared" si="445"/>
        <v/>
      </c>
      <c r="T153" s="303" t="str">
        <f t="shared" si="445"/>
        <v/>
      </c>
      <c r="U153" s="303" t="str">
        <f t="shared" si="445"/>
        <v/>
      </c>
      <c r="V153" s="303" t="str">
        <f t="shared" si="445"/>
        <v/>
      </c>
      <c r="W153" s="303" t="str">
        <f t="shared" si="445"/>
        <v/>
      </c>
      <c r="X153" s="303" t="str">
        <f t="shared" si="445"/>
        <v/>
      </c>
      <c r="Y153" s="303" t="str">
        <f t="shared" si="445"/>
        <v/>
      </c>
      <c r="Z153" s="303" t="str">
        <f t="shared" si="445"/>
        <v/>
      </c>
      <c r="AA153" s="303" t="str">
        <f t="shared" si="445"/>
        <v/>
      </c>
      <c r="AB153" s="303" t="str">
        <f t="shared" si="445"/>
        <v/>
      </c>
      <c r="AC153" s="303" t="str">
        <f t="shared" si="445"/>
        <v/>
      </c>
      <c r="AD153" s="303" t="str">
        <f t="shared" si="445"/>
        <v/>
      </c>
      <c r="AE153" s="303" t="str">
        <f t="shared" si="445"/>
        <v/>
      </c>
      <c r="AF153" s="303" t="str">
        <f t="shared" si="445"/>
        <v/>
      </c>
      <c r="AG153" s="303" t="str">
        <f t="shared" si="445"/>
        <v/>
      </c>
      <c r="AH153" s="303" t="str">
        <f t="shared" si="445"/>
        <v/>
      </c>
      <c r="AI153" s="303" t="str">
        <f t="shared" si="445"/>
        <v/>
      </c>
      <c r="AJ153" s="303" t="str">
        <f t="shared" si="445"/>
        <v/>
      </c>
      <c r="AK153" s="303" t="str">
        <f t="shared" si="445"/>
        <v/>
      </c>
      <c r="AL153" s="303" t="str">
        <f t="shared" si="445"/>
        <v/>
      </c>
      <c r="AM153" s="303" t="str">
        <f t="shared" si="445"/>
        <v/>
      </c>
      <c r="AN153" s="303" t="str">
        <f t="shared" si="445"/>
        <v/>
      </c>
      <c r="AO153" s="303" t="str">
        <f t="shared" si="445"/>
        <v/>
      </c>
      <c r="AP153" s="303" t="str">
        <f t="shared" si="445"/>
        <v/>
      </c>
      <c r="AQ153" s="303" t="str">
        <f t="shared" si="445"/>
        <v/>
      </c>
      <c r="AR153" s="303" t="str">
        <f t="shared" si="445"/>
        <v/>
      </c>
      <c r="AS153" s="303" t="str">
        <f t="shared" si="445"/>
        <v/>
      </c>
      <c r="AT153" s="303" t="str">
        <f t="shared" si="445"/>
        <v/>
      </c>
      <c r="AU153" s="303" t="str">
        <f t="shared" si="445"/>
        <v/>
      </c>
      <c r="AV153" s="303" t="str">
        <f t="shared" si="445"/>
        <v/>
      </c>
      <c r="AW153" s="303" t="str">
        <f t="shared" si="445"/>
        <v/>
      </c>
      <c r="AX153" s="303" t="str">
        <f t="shared" si="445"/>
        <v/>
      </c>
      <c r="AY153" s="303" t="str">
        <f t="shared" si="445"/>
        <v/>
      </c>
      <c r="AZ153" s="303" t="str">
        <f t="shared" si="445"/>
        <v/>
      </c>
      <c r="BA153" s="303" t="str">
        <f t="shared" si="445"/>
        <v/>
      </c>
      <c r="BB153" s="303" t="str">
        <f t="shared" si="445"/>
        <v/>
      </c>
      <c r="BC153" s="303" t="str">
        <f t="shared" si="445"/>
        <v/>
      </c>
      <c r="BD153" s="303" t="str">
        <f t="shared" si="445"/>
        <v/>
      </c>
      <c r="BE153" s="303" t="str">
        <f t="shared" si="445"/>
        <v/>
      </c>
      <c r="BF153" s="303" t="str">
        <f t="shared" si="445"/>
        <v/>
      </c>
      <c r="BG153" s="303" t="str">
        <f t="shared" si="445"/>
        <v/>
      </c>
      <c r="BH153" s="303" t="str">
        <f t="shared" si="445"/>
        <v/>
      </c>
      <c r="BI153" s="303" t="str">
        <f t="shared" si="445"/>
        <v/>
      </c>
      <c r="BJ153" s="303" t="str">
        <f t="shared" si="445"/>
        <v/>
      </c>
      <c r="BK153" s="303" t="str">
        <f t="shared" si="445"/>
        <v/>
      </c>
      <c r="BL153" s="303" t="str">
        <f t="shared" si="445"/>
        <v/>
      </c>
      <c r="BM153" s="303" t="str">
        <f t="shared" si="445"/>
        <v/>
      </c>
      <c r="BN153" s="303" t="str">
        <f t="shared" ref="BN153:BZ153" si="446">IF(BN$2="-","",(IF(BN314="","",IF(BN$4&lt;$A153,BN314,(BN314-BN$3)/(1+BN$3%)))))</f>
        <v/>
      </c>
      <c r="BO153" s="303" t="str">
        <f t="shared" si="446"/>
        <v/>
      </c>
      <c r="BP153" s="303" t="str">
        <f t="shared" si="446"/>
        <v/>
      </c>
      <c r="BQ153" s="303" t="str">
        <f t="shared" si="446"/>
        <v/>
      </c>
      <c r="BR153" s="303" t="str">
        <f t="shared" si="446"/>
        <v/>
      </c>
      <c r="BS153" s="303" t="str">
        <f t="shared" si="446"/>
        <v/>
      </c>
      <c r="BT153" s="303" t="str">
        <f t="shared" si="446"/>
        <v/>
      </c>
      <c r="BU153" s="303" t="str">
        <f t="shared" si="446"/>
        <v/>
      </c>
      <c r="BV153" s="303" t="str">
        <f t="shared" si="446"/>
        <v/>
      </c>
      <c r="BW153" s="303" t="str">
        <f t="shared" si="446"/>
        <v/>
      </c>
      <c r="BX153" s="303" t="str">
        <f t="shared" si="446"/>
        <v/>
      </c>
      <c r="BY153" s="303" t="str">
        <f t="shared" si="446"/>
        <v/>
      </c>
      <c r="BZ153" s="303" t="str">
        <f t="shared" si="446"/>
        <v/>
      </c>
      <c r="CA153" s="303" t="str">
        <f t="shared" si="400"/>
        <v/>
      </c>
      <c r="CB153" s="57"/>
    </row>
    <row r="154" spans="1:81" s="181" customFormat="1" ht="24.75" customHeight="1" thickBot="1">
      <c r="A154" s="505">
        <f>COUNT(A8:A153)-1</f>
        <v>145</v>
      </c>
      <c r="B154" s="238" t="str">
        <f>IF(B$2="","",B$2)</f>
        <v>VTSMX</v>
      </c>
      <c r="C154" s="238" t="str">
        <f t="shared" ref="C154:AT154" si="447">IF(C$2="","",C$2)</f>
        <v>VIVAX</v>
      </c>
      <c r="D154" s="238" t="str">
        <f t="shared" si="447"/>
        <v>VFINX</v>
      </c>
      <c r="E154" s="238" t="str">
        <f t="shared" si="447"/>
        <v>VIGRX</v>
      </c>
      <c r="F154" s="238" t="str">
        <f t="shared" si="447"/>
        <v>VIMSX</v>
      </c>
      <c r="G154" s="238" t="str">
        <f t="shared" si="447"/>
        <v>VISVX</v>
      </c>
      <c r="H154" s="238" t="str">
        <f t="shared" si="447"/>
        <v>NAESX</v>
      </c>
      <c r="I154" s="238" t="str">
        <f t="shared" si="447"/>
        <v>VISGX</v>
      </c>
      <c r="J154" s="238" t="str">
        <f t="shared" si="447"/>
        <v>BRSIX</v>
      </c>
      <c r="K154" s="238" t="str">
        <f t="shared" si="447"/>
        <v>VGSIX</v>
      </c>
      <c r="L154" s="238" t="str">
        <f t="shared" si="447"/>
        <v>VTMGX</v>
      </c>
      <c r="M154" s="238" t="str">
        <f t="shared" si="447"/>
        <v>VEIEX</v>
      </c>
      <c r="N154" s="238" t="str">
        <f t="shared" si="447"/>
        <v>VGTSX</v>
      </c>
      <c r="O154" s="238" t="str">
        <f t="shared" si="447"/>
        <v>VPACX</v>
      </c>
      <c r="P154" s="238" t="str">
        <f t="shared" si="447"/>
        <v>VEURX</v>
      </c>
      <c r="Q154" s="238" t="str">
        <f t="shared" si="447"/>
        <v>VTRIX</v>
      </c>
      <c r="R154" s="238" t="str">
        <f t="shared" si="447"/>
        <v>PCRIX</v>
      </c>
      <c r="S154" s="238" t="str">
        <f t="shared" si="447"/>
        <v>VUSTX</v>
      </c>
      <c r="T154" s="238" t="str">
        <f t="shared" si="447"/>
        <v>VFITX</v>
      </c>
      <c r="U154" s="238" t="str">
        <f t="shared" si="447"/>
        <v>VBMFX</v>
      </c>
      <c r="V154" s="238" t="str">
        <f t="shared" si="447"/>
        <v>VUSXX</v>
      </c>
      <c r="W154" s="238" t="str">
        <f t="shared" si="447"/>
        <v>VIPSX</v>
      </c>
      <c r="X154" s="238" t="str">
        <f t="shared" si="447"/>
        <v>VWELX</v>
      </c>
      <c r="Y154" s="238" t="str">
        <f t="shared" si="447"/>
        <v>VWINX</v>
      </c>
      <c r="Z154" s="238" t="str">
        <f t="shared" si="447"/>
        <v>VWNDX</v>
      </c>
      <c r="AA154" s="238" t="str">
        <f t="shared" si="447"/>
        <v>VFISX</v>
      </c>
      <c r="AB154" s="238" t="str">
        <f t="shared" si="447"/>
        <v>GLD</v>
      </c>
      <c r="AC154" s="238" t="str">
        <f t="shared" si="447"/>
        <v>VFSVX</v>
      </c>
      <c r="AD154" s="238" t="str">
        <f t="shared" si="447"/>
        <v>VGENX</v>
      </c>
      <c r="AE154" s="238" t="str">
        <f t="shared" si="447"/>
        <v>VGHCX</v>
      </c>
      <c r="AF154" s="238" t="str">
        <f t="shared" si="447"/>
        <v>VGPMX</v>
      </c>
      <c r="AG154" s="238" t="str">
        <f t="shared" si="447"/>
        <v>VWNFX</v>
      </c>
      <c r="AH154" s="238" t="str">
        <f t="shared" si="447"/>
        <v>VWSTX</v>
      </c>
      <c r="AI154" s="238" t="str">
        <f t="shared" si="447"/>
        <v>VWITX</v>
      </c>
      <c r="AJ154" s="238" t="str">
        <f t="shared" si="447"/>
        <v>VWLTX</v>
      </c>
      <c r="AK154" s="238" t="str">
        <f t="shared" si="447"/>
        <v>VWEHX</v>
      </c>
      <c r="AL154" s="238" t="str">
        <f t="shared" si="447"/>
        <v>VMGIX</v>
      </c>
      <c r="AM154" s="238" t="str">
        <f t="shared" si="447"/>
        <v>VMVIX</v>
      </c>
      <c r="AN154" s="238" t="str">
        <f t="shared" si="447"/>
        <v>VEXMX</v>
      </c>
      <c r="AO154" s="238" t="str">
        <f t="shared" si="447"/>
        <v>PIGLX</v>
      </c>
      <c r="AP154" s="238" t="str">
        <f t="shared" si="447"/>
        <v>VFSTX</v>
      </c>
      <c r="AQ154" s="238" t="str">
        <f t="shared" si="447"/>
        <v/>
      </c>
      <c r="AR154" s="238" t="str">
        <f t="shared" si="447"/>
        <v/>
      </c>
      <c r="AS154" s="238" t="str">
        <f t="shared" si="447"/>
        <v/>
      </c>
      <c r="AT154" s="238" t="str">
        <f t="shared" si="447"/>
        <v/>
      </c>
      <c r="AU154" s="238" t="str">
        <f t="shared" ref="AU154:BZ154" si="448">IF(AU$2="","",AU$2)</f>
        <v/>
      </c>
      <c r="AV154" s="238" t="str">
        <f t="shared" si="448"/>
        <v/>
      </c>
      <c r="AW154" s="238" t="str">
        <f t="shared" si="448"/>
        <v/>
      </c>
      <c r="AX154" s="238" t="str">
        <f t="shared" si="448"/>
        <v/>
      </c>
      <c r="AY154" s="238" t="str">
        <f t="shared" si="448"/>
        <v/>
      </c>
      <c r="AZ154" s="238" t="str">
        <f t="shared" si="448"/>
        <v/>
      </c>
      <c r="BA154" s="238" t="str">
        <f t="shared" si="448"/>
        <v/>
      </c>
      <c r="BB154" s="238" t="str">
        <f t="shared" si="448"/>
        <v/>
      </c>
      <c r="BC154" s="238" t="str">
        <f t="shared" si="448"/>
        <v/>
      </c>
      <c r="BD154" s="238" t="str">
        <f t="shared" si="448"/>
        <v/>
      </c>
      <c r="BE154" s="238" t="str">
        <f t="shared" si="448"/>
        <v/>
      </c>
      <c r="BF154" s="238" t="str">
        <f t="shared" si="448"/>
        <v/>
      </c>
      <c r="BG154" s="238" t="str">
        <f t="shared" si="448"/>
        <v/>
      </c>
      <c r="BH154" s="238" t="str">
        <f t="shared" si="448"/>
        <v/>
      </c>
      <c r="BI154" s="238" t="str">
        <f t="shared" si="448"/>
        <v/>
      </c>
      <c r="BJ154" s="238" t="str">
        <f t="shared" si="448"/>
        <v/>
      </c>
      <c r="BK154" s="238" t="str">
        <f t="shared" si="448"/>
        <v/>
      </c>
      <c r="BL154" s="238" t="str">
        <f t="shared" si="448"/>
        <v/>
      </c>
      <c r="BM154" s="238" t="str">
        <f t="shared" si="448"/>
        <v/>
      </c>
      <c r="BN154" s="238" t="str">
        <f t="shared" si="448"/>
        <v/>
      </c>
      <c r="BO154" s="238" t="str">
        <f t="shared" si="448"/>
        <v/>
      </c>
      <c r="BP154" s="238" t="str">
        <f t="shared" si="448"/>
        <v/>
      </c>
      <c r="BQ154" s="238" t="str">
        <f t="shared" si="448"/>
        <v/>
      </c>
      <c r="BR154" s="238" t="str">
        <f t="shared" si="448"/>
        <v/>
      </c>
      <c r="BS154" s="238" t="str">
        <f t="shared" si="448"/>
        <v/>
      </c>
      <c r="BT154" s="238" t="str">
        <f t="shared" si="448"/>
        <v/>
      </c>
      <c r="BU154" s="238" t="str">
        <f t="shared" si="448"/>
        <v/>
      </c>
      <c r="BV154" s="238" t="str">
        <f t="shared" si="448"/>
        <v/>
      </c>
      <c r="BW154" s="238" t="str">
        <f t="shared" si="448"/>
        <v/>
      </c>
      <c r="BX154" s="238" t="str">
        <f t="shared" si="448"/>
        <v>S&amp;P500(h)</v>
      </c>
      <c r="BY154" s="238" t="str">
        <f t="shared" si="448"/>
        <v>IT Bonds(h)</v>
      </c>
      <c r="BZ154" s="238" t="str">
        <f t="shared" si="448"/>
        <v>TBills(h)</v>
      </c>
      <c r="CA154" s="238" t="str">
        <f>IF(CA$2="","",CA$2)</f>
        <v>CPI-U</v>
      </c>
      <c r="CC154"/>
    </row>
    <row r="155" spans="1:81" ht="13" thickTop="1">
      <c r="A155" s="306" t="s">
        <v>199</v>
      </c>
      <c r="B155" s="307">
        <f t="shared" ref="B155:AG155" si="449">IF(ISERROR(AVERAGE(B8:B153)),"",AVERAGE(B8:B153))</f>
        <v>10.266232504159756</v>
      </c>
      <c r="C155" s="307">
        <f t="shared" si="449"/>
        <v>12.904980612772437</v>
      </c>
      <c r="D155" s="307">
        <f t="shared" si="449"/>
        <v>10.222903769904548</v>
      </c>
      <c r="E155" s="307">
        <f t="shared" si="449"/>
        <v>11.480202035318765</v>
      </c>
      <c r="F155" s="307">
        <f t="shared" si="449"/>
        <v>14.026923439724994</v>
      </c>
      <c r="G155" s="307">
        <f t="shared" si="449"/>
        <v>15.073597702556851</v>
      </c>
      <c r="H155" s="307">
        <f t="shared" si="449"/>
        <v>13.546758455552231</v>
      </c>
      <c r="I155" s="307">
        <f t="shared" si="449"/>
        <v>11.968453806245634</v>
      </c>
      <c r="J155" s="307">
        <f t="shared" si="449"/>
        <v>14.405046004798935</v>
      </c>
      <c r="K155" s="307">
        <f t="shared" si="449"/>
        <v>13.340797426690603</v>
      </c>
      <c r="L155" s="307">
        <f t="shared" si="449"/>
        <v>11.240355384699226</v>
      </c>
      <c r="M155" s="307">
        <f t="shared" si="449"/>
        <v>19.044940401221425</v>
      </c>
      <c r="N155" s="307">
        <f t="shared" si="449"/>
        <v>12.145862511565467</v>
      </c>
      <c r="O155" s="307">
        <f t="shared" si="449"/>
        <v>12.399000689117385</v>
      </c>
      <c r="P155" s="307">
        <f t="shared" si="449"/>
        <v>11.905013192971005</v>
      </c>
      <c r="Q155" s="307">
        <f t="shared" si="449"/>
        <v>13.023794938633641</v>
      </c>
      <c r="R155" s="307">
        <f t="shared" si="449"/>
        <v>9.8456722170707316</v>
      </c>
      <c r="S155" s="307">
        <f t="shared" si="449"/>
        <v>8.5179458197907287</v>
      </c>
      <c r="T155" s="307">
        <f t="shared" si="449"/>
        <v>4.6736299570311246</v>
      </c>
      <c r="U155" s="307">
        <f t="shared" si="449"/>
        <v>4.6752702449196288</v>
      </c>
      <c r="V155" s="307">
        <f t="shared" si="449"/>
        <v>4.2110452730473593</v>
      </c>
      <c r="W155" s="307">
        <f t="shared" si="449"/>
        <v>6.9807979495554324</v>
      </c>
      <c r="X155" s="307">
        <f t="shared" si="449"/>
        <v>10.739367598788606</v>
      </c>
      <c r="Y155" s="307">
        <f t="shared" si="449"/>
        <v>10.071052482430288</v>
      </c>
      <c r="Z155" s="307">
        <f t="shared" si="449"/>
        <v>13.304382392363566</v>
      </c>
      <c r="AA155" s="307">
        <f t="shared" si="449"/>
        <v>6.6146883505715799</v>
      </c>
      <c r="AB155" s="307">
        <f t="shared" si="449"/>
        <v>10.221602501135591</v>
      </c>
      <c r="AC155" s="307">
        <f t="shared" si="449"/>
        <v>17.924871792549389</v>
      </c>
      <c r="AD155" s="307">
        <f t="shared" si="449"/>
        <v>12.885102250704652</v>
      </c>
      <c r="AE155" s="307">
        <f t="shared" si="449"/>
        <v>18.776003073421336</v>
      </c>
      <c r="AF155" s="307">
        <f t="shared" si="449"/>
        <v>9.89243172219917</v>
      </c>
      <c r="AG155" s="307">
        <f t="shared" si="449"/>
        <v>11.71359364352846</v>
      </c>
      <c r="AH155" s="307">
        <f t="shared" ref="AH155:BM155" si="450">IF(ISERROR(AVERAGE(AH8:AH153)),"",AVERAGE(AH8:AH153))</f>
        <v>3.6273073208421871</v>
      </c>
      <c r="AI155" s="307">
        <f t="shared" si="450"/>
        <v>6.4143809155881799</v>
      </c>
      <c r="AJ155" s="307">
        <f t="shared" si="450"/>
        <v>7.2393207134118862</v>
      </c>
      <c r="AK155" s="307">
        <f t="shared" si="450"/>
        <v>7.8174215111694725</v>
      </c>
      <c r="AL155" s="307">
        <f t="shared" si="450"/>
        <v>13.493011332000917</v>
      </c>
      <c r="AM155" s="307">
        <f t="shared" si="450"/>
        <v>14.3039095885914</v>
      </c>
      <c r="AN155" s="307">
        <f t="shared" si="450"/>
        <v>12.580782072201677</v>
      </c>
      <c r="AO155" s="307">
        <f t="shared" si="450"/>
        <v>6.1725806451612906</v>
      </c>
      <c r="AP155" s="307">
        <f t="shared" si="450"/>
        <v>5.9874193548387105</v>
      </c>
      <c r="AQ155" s="307" t="str">
        <f t="shared" si="450"/>
        <v/>
      </c>
      <c r="AR155" s="307" t="str">
        <f t="shared" si="450"/>
        <v/>
      </c>
      <c r="AS155" s="307" t="str">
        <f t="shared" si="450"/>
        <v/>
      </c>
      <c r="AT155" s="307" t="str">
        <f t="shared" si="450"/>
        <v/>
      </c>
      <c r="AU155" s="307" t="str">
        <f t="shared" si="450"/>
        <v/>
      </c>
      <c r="AV155" s="307" t="str">
        <f t="shared" si="450"/>
        <v/>
      </c>
      <c r="AW155" s="307" t="str">
        <f t="shared" si="450"/>
        <v/>
      </c>
      <c r="AX155" s="307" t="str">
        <f t="shared" si="450"/>
        <v/>
      </c>
      <c r="AY155" s="307" t="str">
        <f t="shared" si="450"/>
        <v/>
      </c>
      <c r="AZ155" s="307" t="str">
        <f t="shared" si="450"/>
        <v/>
      </c>
      <c r="BA155" s="307" t="str">
        <f t="shared" si="450"/>
        <v/>
      </c>
      <c r="BB155" s="307" t="str">
        <f t="shared" si="450"/>
        <v/>
      </c>
      <c r="BC155" s="307" t="str">
        <f t="shared" si="450"/>
        <v/>
      </c>
      <c r="BD155" s="307" t="str">
        <f t="shared" si="450"/>
        <v/>
      </c>
      <c r="BE155" s="307" t="str">
        <f t="shared" si="450"/>
        <v/>
      </c>
      <c r="BF155" s="307" t="str">
        <f t="shared" si="450"/>
        <v/>
      </c>
      <c r="BG155" s="307" t="str">
        <f t="shared" si="450"/>
        <v/>
      </c>
      <c r="BH155" s="307" t="str">
        <f t="shared" si="450"/>
        <v/>
      </c>
      <c r="BI155" s="307" t="str">
        <f t="shared" si="450"/>
        <v/>
      </c>
      <c r="BJ155" s="307" t="str">
        <f t="shared" si="450"/>
        <v/>
      </c>
      <c r="BK155" s="307" t="str">
        <f t="shared" si="450"/>
        <v/>
      </c>
      <c r="BL155" s="307" t="str">
        <f t="shared" si="450"/>
        <v/>
      </c>
      <c r="BM155" s="307" t="str">
        <f t="shared" si="450"/>
        <v/>
      </c>
      <c r="BN155" s="307" t="str">
        <f t="shared" ref="BN155:CA155" si="451">IF(ISERROR(AVERAGE(BN8:BN153)),"",AVERAGE(BN8:BN153))</f>
        <v/>
      </c>
      <c r="BO155" s="307" t="str">
        <f t="shared" si="451"/>
        <v/>
      </c>
      <c r="BP155" s="307" t="str">
        <f t="shared" si="451"/>
        <v/>
      </c>
      <c r="BQ155" s="307" t="str">
        <f t="shared" si="451"/>
        <v/>
      </c>
      <c r="BR155" s="307" t="str">
        <f t="shared" si="451"/>
        <v/>
      </c>
      <c r="BS155" s="307" t="str">
        <f t="shared" si="451"/>
        <v/>
      </c>
      <c r="BT155" s="307" t="str">
        <f t="shared" si="451"/>
        <v/>
      </c>
      <c r="BU155" s="307" t="str">
        <f t="shared" si="451"/>
        <v/>
      </c>
      <c r="BV155" s="307" t="str">
        <f t="shared" si="451"/>
        <v/>
      </c>
      <c r="BW155" s="307" t="str">
        <f t="shared" si="451"/>
        <v/>
      </c>
      <c r="BX155" s="307">
        <f t="shared" si="451"/>
        <v>10.290387639323155</v>
      </c>
      <c r="BY155" s="307">
        <f t="shared" si="451"/>
        <v>4.8081596103747373</v>
      </c>
      <c r="BZ155" s="307">
        <f t="shared" si="451"/>
        <v>4.3999999999999977</v>
      </c>
      <c r="CA155" s="307">
        <f t="shared" si="451"/>
        <v>2.2234099456226355</v>
      </c>
    </row>
    <row r="156" spans="1:81">
      <c r="A156" s="308" t="s">
        <v>455</v>
      </c>
      <c r="B156" s="309">
        <f t="shared" ref="B156:AG156" si="452">IF(ISERROR(STDEV(B8:B153)),"",STDEV(B8:B153))</f>
        <v>18.033008422685398</v>
      </c>
      <c r="C156" s="309">
        <f t="shared" si="452"/>
        <v>17.647579376950336</v>
      </c>
      <c r="D156" s="309">
        <f t="shared" si="452"/>
        <v>17.935540436880384</v>
      </c>
      <c r="E156" s="309">
        <f t="shared" si="452"/>
        <v>20.246477193891117</v>
      </c>
      <c r="F156" s="309">
        <f t="shared" si="452"/>
        <v>19.578015855430653</v>
      </c>
      <c r="G156" s="309">
        <f t="shared" si="452"/>
        <v>20.967881428622068</v>
      </c>
      <c r="H156" s="309">
        <f t="shared" si="452"/>
        <v>21.874840461345496</v>
      </c>
      <c r="I156" s="309">
        <f t="shared" si="452"/>
        <v>23.844428035076902</v>
      </c>
      <c r="J156" s="309">
        <f t="shared" si="452"/>
        <v>26.395389148784012</v>
      </c>
      <c r="K156" s="309">
        <f t="shared" si="452"/>
        <v>18.030584019491968</v>
      </c>
      <c r="L156" s="309">
        <f t="shared" si="452"/>
        <v>21.92394576469292</v>
      </c>
      <c r="M156" s="309">
        <f t="shared" si="452"/>
        <v>31.722693581370873</v>
      </c>
      <c r="N156" s="309">
        <f t="shared" si="452"/>
        <v>22.670101086865447</v>
      </c>
      <c r="O156" s="309">
        <f t="shared" si="452"/>
        <v>29.794142333601247</v>
      </c>
      <c r="P156" s="309">
        <f t="shared" si="452"/>
        <v>21.623836143696813</v>
      </c>
      <c r="Q156" s="309">
        <f t="shared" si="452"/>
        <v>22.43930928619039</v>
      </c>
      <c r="R156" s="309">
        <f t="shared" si="452"/>
        <v>21.323062045127454</v>
      </c>
      <c r="S156" s="309">
        <f t="shared" si="452"/>
        <v>12.998122804153963</v>
      </c>
      <c r="T156" s="309">
        <f t="shared" si="452"/>
        <v>5.0324195164129728</v>
      </c>
      <c r="U156" s="309">
        <f t="shared" si="452"/>
        <v>4.3564017351151829</v>
      </c>
      <c r="V156" s="309">
        <f t="shared" si="452"/>
        <v>2.5513316866727194</v>
      </c>
      <c r="W156" s="309">
        <f t="shared" si="452"/>
        <v>6.9964338969198296</v>
      </c>
      <c r="X156" s="309">
        <f t="shared" si="452"/>
        <v>12.082485222163207</v>
      </c>
      <c r="Y156" s="309">
        <f t="shared" si="452"/>
        <v>8.9485295920801633</v>
      </c>
      <c r="Z156" s="309">
        <f t="shared" si="452"/>
        <v>18.924019296937811</v>
      </c>
      <c r="AA156" s="309">
        <f t="shared" si="452"/>
        <v>4.690491050761481</v>
      </c>
      <c r="AB156" s="309">
        <f t="shared" si="452"/>
        <v>28.947216330649283</v>
      </c>
      <c r="AC156" s="309">
        <f t="shared" si="452"/>
        <v>30.70286158590898</v>
      </c>
      <c r="AD156" s="309">
        <f t="shared" si="452"/>
        <v>21.036854375129597</v>
      </c>
      <c r="AE156" s="309">
        <f t="shared" si="452"/>
        <v>18.427628575714344</v>
      </c>
      <c r="AF156" s="309">
        <f t="shared" si="452"/>
        <v>35.015416267062008</v>
      </c>
      <c r="AG156" s="309">
        <f t="shared" si="452"/>
        <v>16.499898508562612</v>
      </c>
      <c r="AH156" s="309">
        <f t="shared" ref="AH156:BM156" si="453">IF(ISERROR(STDEV(AH8:AH153)),"",STDEV(AH8:AH153))</f>
        <v>2.1465816616249906</v>
      </c>
      <c r="AI156" s="309">
        <f t="shared" si="453"/>
        <v>4.9094609542464713</v>
      </c>
      <c r="AJ156" s="309">
        <f t="shared" si="453"/>
        <v>6.900314167369257</v>
      </c>
      <c r="AK156" s="309">
        <f t="shared" si="453"/>
        <v>9.798516300758072</v>
      </c>
      <c r="AL156" s="309">
        <f t="shared" si="453"/>
        <v>23.58854309705244</v>
      </c>
      <c r="AM156" s="309">
        <f t="shared" si="453"/>
        <v>18.085348514284433</v>
      </c>
      <c r="AN156" s="309">
        <f t="shared" si="453"/>
        <v>19.839850805883984</v>
      </c>
      <c r="AO156" s="309">
        <f t="shared" si="453"/>
        <v>7.4714005682745253</v>
      </c>
      <c r="AP156" s="309">
        <f t="shared" si="453"/>
        <v>4.5011013228186245</v>
      </c>
      <c r="AQ156" s="309" t="str">
        <f t="shared" si="453"/>
        <v/>
      </c>
      <c r="AR156" s="309" t="str">
        <f t="shared" si="453"/>
        <v/>
      </c>
      <c r="AS156" s="309" t="str">
        <f t="shared" si="453"/>
        <v/>
      </c>
      <c r="AT156" s="309" t="str">
        <f t="shared" si="453"/>
        <v/>
      </c>
      <c r="AU156" s="309" t="str">
        <f t="shared" si="453"/>
        <v/>
      </c>
      <c r="AV156" s="309" t="str">
        <f t="shared" si="453"/>
        <v/>
      </c>
      <c r="AW156" s="309" t="str">
        <f t="shared" si="453"/>
        <v/>
      </c>
      <c r="AX156" s="309" t="str">
        <f t="shared" si="453"/>
        <v/>
      </c>
      <c r="AY156" s="309" t="str">
        <f t="shared" si="453"/>
        <v/>
      </c>
      <c r="AZ156" s="309" t="str">
        <f t="shared" si="453"/>
        <v/>
      </c>
      <c r="BA156" s="309" t="str">
        <f t="shared" si="453"/>
        <v/>
      </c>
      <c r="BB156" s="309" t="str">
        <f t="shared" si="453"/>
        <v/>
      </c>
      <c r="BC156" s="309" t="str">
        <f t="shared" si="453"/>
        <v/>
      </c>
      <c r="BD156" s="309" t="str">
        <f t="shared" si="453"/>
        <v/>
      </c>
      <c r="BE156" s="309" t="str">
        <f t="shared" si="453"/>
        <v/>
      </c>
      <c r="BF156" s="309" t="str">
        <f t="shared" si="453"/>
        <v/>
      </c>
      <c r="BG156" s="309" t="str">
        <f t="shared" si="453"/>
        <v/>
      </c>
      <c r="BH156" s="309" t="str">
        <f t="shared" si="453"/>
        <v/>
      </c>
      <c r="BI156" s="309" t="str">
        <f t="shared" si="453"/>
        <v/>
      </c>
      <c r="BJ156" s="309" t="str">
        <f t="shared" si="453"/>
        <v/>
      </c>
      <c r="BK156" s="309" t="str">
        <f t="shared" si="453"/>
        <v/>
      </c>
      <c r="BL156" s="309" t="str">
        <f t="shared" si="453"/>
        <v/>
      </c>
      <c r="BM156" s="309" t="str">
        <f t="shared" si="453"/>
        <v/>
      </c>
      <c r="BN156" s="309" t="str">
        <f t="shared" ref="BN156:CA156" si="454">IF(ISERROR(STDEV(BN8:BN153)),"",STDEV(BN8:BN153))</f>
        <v/>
      </c>
      <c r="BO156" s="309" t="str">
        <f t="shared" si="454"/>
        <v/>
      </c>
      <c r="BP156" s="309" t="str">
        <f t="shared" si="454"/>
        <v/>
      </c>
      <c r="BQ156" s="309" t="str">
        <f t="shared" si="454"/>
        <v/>
      </c>
      <c r="BR156" s="309" t="str">
        <f t="shared" si="454"/>
        <v/>
      </c>
      <c r="BS156" s="309" t="str">
        <f t="shared" si="454"/>
        <v/>
      </c>
      <c r="BT156" s="309" t="str">
        <f t="shared" si="454"/>
        <v/>
      </c>
      <c r="BU156" s="309" t="str">
        <f t="shared" si="454"/>
        <v/>
      </c>
      <c r="BV156" s="309" t="str">
        <f t="shared" si="454"/>
        <v/>
      </c>
      <c r="BW156" s="309" t="str">
        <f t="shared" si="454"/>
        <v/>
      </c>
      <c r="BX156" s="309">
        <f t="shared" si="454"/>
        <v>17.794464555110181</v>
      </c>
      <c r="BY156" s="309">
        <f t="shared" si="454"/>
        <v>4.9178856990490942</v>
      </c>
      <c r="BZ156" s="309">
        <f t="shared" si="454"/>
        <v>2.6501160876040495</v>
      </c>
      <c r="CA156" s="309">
        <f t="shared" si="454"/>
        <v>5.9759867817553136</v>
      </c>
    </row>
    <row r="157" spans="1:81">
      <c r="A157" s="308" t="s">
        <v>176</v>
      </c>
      <c r="B157" s="309">
        <f t="array" aca="1" ref="B157" ca="1">IF(ISERROR(GEOMEAN(1+OFFSET(B$8,B$6,0,$A$154-B$6,1)%)), "", (GEOMEAN(1+OFFSET(B$8,B$6,0,$A$154-B$6,1)%) -1) * 100)</f>
        <v>8.7192537520324631</v>
      </c>
      <c r="C157" s="309">
        <f t="array" aca="1" ref="C157" ca="1">IF(ISERROR(GEOMEAN(1+OFFSET(C$8,C$6,0,$A$154-C$6,1)%)), "", (GEOMEAN(1+OFFSET(C$8,C$6,0,$A$154-C$6,1)%) -1) * 100)</f>
        <v>11.441733616869797</v>
      </c>
      <c r="D157" s="309">
        <f t="array" aca="1" ref="D157" ca="1">IF(ISERROR(GEOMEAN(1+OFFSET(D$8,D$6,0,$A$154-D$6,1)%)), "", (GEOMEAN(1+OFFSET(D$8,D$6,0,$A$154-D$6,1)%) -1) * 100)</f>
        <v>8.6924055736791175</v>
      </c>
      <c r="E157" s="309">
        <f t="array" aca="1" ref="E157" ca="1">IF(ISERROR(GEOMEAN(1+OFFSET(E$8,E$6,0,$A$154-E$6,1)%)), "", (GEOMEAN(1+OFFSET(E$8,E$6,0,$A$154-E$6,1)%) -1) * 100)</f>
        <v>9.4965193437653426</v>
      </c>
      <c r="F157" s="309">
        <f t="array" aca="1" ref="F157" ca="1">IF(ISERROR(GEOMEAN(1+OFFSET(F$8,F$6,0,$A$154-F$6,1)%)), "", (GEOMEAN(1+OFFSET(F$8,F$6,0,$A$154-F$6,1)%) -1) * 100)</f>
        <v>12.179801038258265</v>
      </c>
      <c r="G157" s="309">
        <f t="array" aca="1" ref="G157" ca="1">IF(ISERROR(GEOMEAN(1+OFFSET(G$8,G$6,0,$A$154-G$6,1)%)), "", (GEOMEAN(1+OFFSET(G$8,G$6,0,$A$154-G$6,1)%) -1) * 100)</f>
        <v>13.070829748786705</v>
      </c>
      <c r="H157" s="309">
        <f t="array" aca="1" ref="H157" ca="1">IF(ISERROR(GEOMEAN(1+OFFSET(H$8,H$6,0,$A$154-H$6,1)%)), "", (GEOMEAN(1+OFFSET(H$8,H$6,0,$A$154-H$6,1)%) -1) * 100)</f>
        <v>11.309658952773649</v>
      </c>
      <c r="I157" s="309">
        <f t="array" aca="1" ref="I157" ca="1">IF(ISERROR(GEOMEAN(1+OFFSET(I$8,I$6,0,$A$154-I$6,1)%)), "", (GEOMEAN(1+OFFSET(I$8,I$6,0,$A$154-I$6,1)%) -1) * 100)</f>
        <v>9.2416181809838562</v>
      </c>
      <c r="J157" s="309">
        <f t="array" aca="1" ref="J157" ca="1">IF(ISERROR(GEOMEAN(1+OFFSET(J$8,J$6,0,$A$154-J$6,1)%)), "", (GEOMEAN(1+OFFSET(J$8,J$6,0,$A$154-J$6,1)%) -1) * 100)</f>
        <v>11.215184748926955</v>
      </c>
      <c r="K157" s="309">
        <f t="array" aca="1" ref="K157" ca="1">IF(ISERROR(GEOMEAN(1+OFFSET(K$8,K$6,0,$A$154-K$6,1)%)), "", (GEOMEAN(1+OFFSET(K$8,K$6,0,$A$154-K$6,1)%) -1) * 100)</f>
        <v>11.778624350334056</v>
      </c>
      <c r="L157" s="309">
        <f t="array" aca="1" ref="L157" ca="1">IF(ISERROR(GEOMEAN(1+OFFSET(L$8,L$6,0,$A$154-L$6,1)%)), "", (GEOMEAN(1+OFFSET(L$8,L$6,0,$A$154-L$6,1)%) -1) * 100)</f>
        <v>9.033048328303007</v>
      </c>
      <c r="M157" s="309">
        <f t="array" aca="1" ref="M157" ca="1">IF(ISERROR(GEOMEAN(1+OFFSET(M$8,M$6,0,$A$154-M$6,1)%)), "", (GEOMEAN(1+OFFSET(M$8,M$6,0,$A$154-M$6,1)%) -1) * 100)</f>
        <v>14.631849511884631</v>
      </c>
      <c r="N157" s="309">
        <f t="array" aca="1" ref="N157" ca="1">IF(ISERROR(GEOMEAN(1+OFFSET(N$8,N$6,0,$A$154-N$6,1)%)), "", (GEOMEAN(1+OFFSET(N$8,N$6,0,$A$154-N$6,1)%) -1) * 100)</f>
        <v>9.7723410457943416</v>
      </c>
      <c r="O157" s="309">
        <f t="array" aca="1" ref="O157" ca="1">IF(ISERROR(GEOMEAN(1+OFFSET(O$8,O$6,0,$A$154-O$6,1)%)), "", (GEOMEAN(1+OFFSET(O$8,O$6,0,$A$154-O$6,1)%) -1) * 100)</f>
        <v>8.7996165335610499</v>
      </c>
      <c r="P157" s="309">
        <f t="array" aca="1" ref="P157" ca="1">IF(ISERROR(GEOMEAN(1+OFFSET(P$8,P$6,0,$A$154-P$6,1)%)), "", (GEOMEAN(1+OFFSET(P$8,P$6,0,$A$154-P$6,1)%) -1) * 100)</f>
        <v>9.771658830614971</v>
      </c>
      <c r="Q157" s="309">
        <f t="array" aca="1" ref="Q157" ca="1">IF(ISERROR(GEOMEAN(1+OFFSET(Q$8,Q$6,0,$A$154-Q$6,1)%)), "", (GEOMEAN(1+OFFSET(Q$8,Q$6,0,$A$154-Q$6,1)%) -1) * 100)</f>
        <v>10.721828779740573</v>
      </c>
      <c r="R157" s="309">
        <f t="array" aca="1" ref="R157" ca="1">IF(ISERROR(GEOMEAN(1+OFFSET(R$8,R$6,0,$A$154-R$6,1)%)), "", (GEOMEAN(1+OFFSET(R$8,R$6,0,$A$154-R$6,1)%) -1) * 100)</f>
        <v>7.7060928493622338</v>
      </c>
      <c r="S157" s="309">
        <f t="array" aca="1" ref="S157" ca="1">IF(ISERROR(GEOMEAN(1+OFFSET(S$8,S$6,0,$A$154-S$6,1)%)), "", (GEOMEAN(1+OFFSET(S$8,S$6,0,$A$154-S$6,1)%) -1) * 100)</f>
        <v>7.7907530581458051</v>
      </c>
      <c r="T157" s="309">
        <f t="array" aca="1" ref="T157" ca="1">IF(ISERROR(GEOMEAN(1+OFFSET(T$8,T$6,0,$A$154-T$6,1)%)), "", (GEOMEAN(1+OFFSET(T$8,T$6,0,$A$154-T$6,1)%) -1) * 100)</f>
        <v>4.5598834469779082</v>
      </c>
      <c r="U157" s="309">
        <f t="array" aca="1" ref="U157" ca="1">IF(ISERROR(GEOMEAN(1+OFFSET(U$8,U$6,0,$A$154-U$6,1)%)), "", (GEOMEAN(1+OFFSET(U$8,U$6,0,$A$154-U$6,1)%) -1) * 100)</f>
        <v>7.2008130488391275</v>
      </c>
      <c r="V157" s="309">
        <f t="array" aca="1" ref="V157" ca="1">IF(ISERROR(GEOMEAN(1+OFFSET(V$8,V$6,0,$A$154-V$6,1)%)), "", (GEOMEAN(1+OFFSET(V$8,V$6,0,$A$154-V$6,1)%) -1) * 100)</f>
        <v>4.1803056044968034</v>
      </c>
      <c r="W157" s="309">
        <f t="array" aca="1" ref="W157" ca="1">IF(ISERROR(GEOMEAN(1+OFFSET(W$8,W$6,0,$A$154-W$6,1)%)), "", (GEOMEAN(1+OFFSET(W$8,W$6,0,$A$154-W$6,1)%) -1) * 100)</f>
        <v>6.754930975699236</v>
      </c>
      <c r="X157" s="309">
        <f t="array" aca="1" ref="X157" ca="1">IF(ISERROR(GEOMEAN(1+OFFSET(X$8,X$6,0,$A$154-X$6,1)%)), "", (GEOMEAN(1+OFFSET(X$8,X$6,0,$A$154-X$6,1)%) -1) * 100)</f>
        <v>10.052159288959306</v>
      </c>
      <c r="Y157" s="309">
        <f t="array" aca="1" ref="Y157" ca="1">IF(ISERROR(GEOMEAN(1+OFFSET(Y$8,Y$6,0,$A$154-Y$6,1)%)), "", (GEOMEAN(1+OFFSET(Y$8,Y$6,0,$A$154-Y$6,1)%) -1) * 100)</f>
        <v>9.7119073869724062</v>
      </c>
      <c r="Z157" s="309">
        <f t="array" aca="1" ref="Z157" ca="1">IF(ISERROR(GEOMEAN(1+OFFSET(Z$8,Z$6,0,$A$154-Z$6,1)%)), "", (GEOMEAN(1+OFFSET(Z$8,Z$6,0,$A$154-Z$6,1)%) -1) * 100)</f>
        <v>11.571531351528197</v>
      </c>
      <c r="AA157" s="309">
        <f t="array" aca="1" ref="AA157" ca="1">IF(ISERROR(GEOMEAN(1+OFFSET(AA$8,AA$6,0,$A$154-AA$6,1)%)), "", (GEOMEAN(1+OFFSET(AA$8,AA$6,0,$A$154-AA$6,1)%) -1) * 100)</f>
        <v>6.5155432146736469</v>
      </c>
      <c r="AB157" s="309">
        <f t="array" aca="1" ref="AB157" ca="1">IF(ISERROR(GEOMEAN(1+OFFSET(AB$8,AB$6,0,$A$154-AB$6,1)%)), "", (GEOMEAN(1+OFFSET(AB$8,AB$6,0,$A$154-AB$6,1)%) -1) * 100)</f>
        <v>7.0833524336320064</v>
      </c>
      <c r="AC157" s="309">
        <f t="array" aca="1" ref="AC157" ca="1">IF(ISERROR(GEOMEAN(1+OFFSET(AC$8,AC$6,0,$A$154-AC$6,1)%)), "", (GEOMEAN(1+OFFSET(AC$8,AC$6,0,$A$154-AC$6,1)%) -1) * 100)</f>
        <v>13.930553733641737</v>
      </c>
      <c r="AD157" s="309">
        <f t="array" aca="1" ref="AD157" ca="1">IF(ISERROR(GEOMEAN(1+OFFSET(AD$8,AD$6,0,$A$154-AD$6,1)%)), "", (GEOMEAN(1+OFFSET(AD$8,AD$6,0,$A$154-AD$6,1)%) -1) * 100)</f>
        <v>10.750140437211897</v>
      </c>
      <c r="AE157" s="309">
        <f t="array" aca="1" ref="AE157" ca="1">IF(ISERROR(GEOMEAN(1+OFFSET(AE$8,AE$6,0,$A$154-AE$6,1)%)), "", (GEOMEAN(1+OFFSET(AE$8,AE$6,0,$A$154-AE$6,1)%) -1) * 100)</f>
        <v>17.389201110757369</v>
      </c>
      <c r="AF157" s="309">
        <f t="array" aca="1" ref="AF157" ca="1">IF(ISERROR(GEOMEAN(1+OFFSET(AF$8,AF$6,0,$A$154-AF$6,1)%)), "", (GEOMEAN(1+OFFSET(AF$8,AF$6,0,$A$154-AF$6,1)%) -1) * 100)</f>
        <v>4.4022215580817869</v>
      </c>
      <c r="AG157" s="309">
        <f t="array" aca="1" ref="AG157" ca="1">IF(ISERROR(GEOMEAN(1+OFFSET(AG$8,AG$6,0,$A$154-AG$6,1)%)), "", (GEOMEAN(1+OFFSET(AG$8,AG$6,0,$A$154-AG$6,1)%) -1) * 100)</f>
        <v>10.38813455608507</v>
      </c>
      <c r="AH157" s="309">
        <f t="array" aca="1" ref="AH157" ca="1">IF(ISERROR(GEOMEAN(1+OFFSET(AH$8,AH$6,0,$A$154-AH$6,1)%)), "", (GEOMEAN(1+OFFSET(AH$8,AH$6,0,$A$154-AH$6,1)%) -1) * 100)</f>
        <v>3.6058310468768839</v>
      </c>
      <c r="AI157" s="309">
        <f t="array" aca="1" ref="AI157" ca="1">IF(ISERROR(GEOMEAN(1+OFFSET(AI$8,AI$6,0,$A$154-AI$6,1)%)), "", (GEOMEAN(1+OFFSET(AI$8,AI$6,0,$A$154-AI$6,1)%) -1) * 100)</f>
        <v>6.3054640818563046</v>
      </c>
      <c r="AJ157" s="309">
        <f t="array" aca="1" ref="AJ157" ca="1">IF(ISERROR(GEOMEAN(1+OFFSET(AJ$8,AJ$6,0,$A$154-AJ$6,1)%)), "", (GEOMEAN(1+OFFSET(AJ$8,AJ$6,0,$A$154-AJ$6,1)%) -1) * 100)</f>
        <v>7.023336483803333</v>
      </c>
      <c r="AK157" s="309">
        <f t="array" aca="1" ref="AK157" ca="1">IF(ISERROR(GEOMEAN(1+OFFSET(AK$8,AK$6,0,$A$154-AK$6,1)%)), "", (GEOMEAN(1+OFFSET(AK$8,AK$6,0,$A$154-AK$6,1)%) -1) * 100)</f>
        <v>7.368599513953944</v>
      </c>
      <c r="AL157" s="309">
        <f t="array" aca="1" ref="AL157" ca="1">IF(ISERROR(GEOMEAN(1+OFFSET(AL$8,AL$6,0,$A$154-AL$6,1)%)), "", (GEOMEAN(1+OFFSET(AL$8,AL$6,0,$A$154-AL$6,1)%) -1) * 100)</f>
        <v>10.832401133539559</v>
      </c>
      <c r="AM157" s="309">
        <f t="array" aca="1" ref="AM157" ca="1">IF(ISERROR(GEOMEAN(1+OFFSET(AM$8,AM$6,0,$A$154-AM$6,1)%)), "", (GEOMEAN(1+OFFSET(AM$8,AM$6,0,$A$154-AM$6,1)%) -1) * 100)</f>
        <v>12.752834235650123</v>
      </c>
      <c r="AN157" s="309">
        <f t="array" aca="1" ref="AN157" ca="1">IF(ISERROR(GEOMEAN(1+OFFSET(AN$8,AN$6,0,$A$154-AN$6,1)%)), "", (GEOMEAN(1+OFFSET(AN$8,AN$6,0,$A$154-AN$6,1)%) -1) * 100)</f>
        <v>10.718134099003972</v>
      </c>
      <c r="AO157" s="309">
        <f t="array" aca="1" ref="AO157" ca="1">IF(ISERROR(GEOMEAN(1+OFFSET(AO$8,AO$6,0,$A$154-AO$6,1)%)), "", (GEOMEAN(1+OFFSET(AO$8,AO$6,0,$A$154-AO$6,1)%) -1) * 100)</f>
        <v>5.9196219218519808</v>
      </c>
      <c r="AP157" s="309">
        <f t="array" aca="1" ref="AP157" ca="1">IF(ISERROR(GEOMEAN(1+OFFSET(AP$8,AP$6,0,$A$154-AP$6,1)%)), "", (GEOMEAN(1+OFFSET(AP$8,AP$6,0,$A$154-AP$6,1)%) -1) * 100)</f>
        <v>5.894998937553253</v>
      </c>
      <c r="AQ157" s="309" t="str">
        <f t="array" aca="1" ref="AQ157" ca="1">IF(ISERROR(GEOMEAN(1+OFFSET(AQ$8,AQ$6,0,$A$154-AQ$6,1)%)), "", (GEOMEAN(1+OFFSET(AQ$8,AQ$6,0,$A$154-AQ$6,1)%) -1) * 100)</f>
        <v/>
      </c>
      <c r="AR157" s="309" t="str">
        <f t="array" aca="1" ref="AR157" ca="1">IF(ISERROR(GEOMEAN(1+OFFSET(AR$8,AR$6,0,$A$154-AR$6,1)%)), "", (GEOMEAN(1+OFFSET(AR$8,AR$6,0,$A$154-AR$6,1)%) -1) * 100)</f>
        <v/>
      </c>
      <c r="AS157" s="309" t="str">
        <f t="array" aca="1" ref="AS157" ca="1">IF(ISERROR(GEOMEAN(1+OFFSET(AS$8,AS$6,0,$A$154-AS$6,1)%)), "", (GEOMEAN(1+OFFSET(AS$8,AS$6,0,$A$154-AS$6,1)%) -1) * 100)</f>
        <v/>
      </c>
      <c r="AT157" s="309" t="str">
        <f t="array" aca="1" ref="AT157" ca="1">IF(ISERROR(GEOMEAN(1+OFFSET(AT$8,AT$6,0,$A$154-AT$6,1)%)), "", (GEOMEAN(1+OFFSET(AT$8,AT$6,0,$A$154-AT$6,1)%) -1) * 100)</f>
        <v/>
      </c>
      <c r="AU157" s="309" t="str">
        <f t="array" aca="1" ref="AU157" ca="1">IF(ISERROR(GEOMEAN(1+OFFSET(AU$8,AU$6,0,$A$154-AU$6,1)%)), "", (GEOMEAN(1+OFFSET(AU$8,AU$6,0,$A$154-AU$6,1)%) -1) * 100)</f>
        <v/>
      </c>
      <c r="AV157" s="309" t="str">
        <f t="array" aca="1" ref="AV157" ca="1">IF(ISERROR(GEOMEAN(1+OFFSET(AV$8,AV$6,0,$A$154-AV$6,1)%)), "", (GEOMEAN(1+OFFSET(AV$8,AV$6,0,$A$154-AV$6,1)%) -1) * 100)</f>
        <v/>
      </c>
      <c r="AW157" s="309" t="str">
        <f t="array" aca="1" ref="AW157" ca="1">IF(ISERROR(GEOMEAN(1+OFFSET(AW$8,AW$6,0,$A$154-AW$6,1)%)), "", (GEOMEAN(1+OFFSET(AW$8,AW$6,0,$A$154-AW$6,1)%) -1) * 100)</f>
        <v/>
      </c>
      <c r="AX157" s="309" t="str">
        <f t="array" aca="1" ref="AX157" ca="1">IF(ISERROR(GEOMEAN(1+OFFSET(AX$8,AX$6,0,$A$154-AX$6,1)%)), "", (GEOMEAN(1+OFFSET(AX$8,AX$6,0,$A$154-AX$6,1)%) -1) * 100)</f>
        <v/>
      </c>
      <c r="AY157" s="309" t="str">
        <f t="array" aca="1" ref="AY157" ca="1">IF(ISERROR(GEOMEAN(1+OFFSET(AY$8,AY$6,0,$A$154-AY$6,1)%)), "", (GEOMEAN(1+OFFSET(AY$8,AY$6,0,$A$154-AY$6,1)%) -1) * 100)</f>
        <v/>
      </c>
      <c r="AZ157" s="309" t="str">
        <f t="array" aca="1" ref="AZ157" ca="1">IF(ISERROR(GEOMEAN(1+OFFSET(AZ$8,AZ$6,0,$A$154-AZ$6,1)%)), "", (GEOMEAN(1+OFFSET(AZ$8,AZ$6,0,$A$154-AZ$6,1)%) -1) * 100)</f>
        <v/>
      </c>
      <c r="BA157" s="309" t="str">
        <f t="array" aca="1" ref="BA157" ca="1">IF(ISERROR(GEOMEAN(1+OFFSET(BA$8,BA$6,0,$A$154-BA$6,1)%)), "", (GEOMEAN(1+OFFSET(BA$8,BA$6,0,$A$154-BA$6,1)%) -1) * 100)</f>
        <v/>
      </c>
      <c r="BB157" s="309" t="str">
        <f t="array" aca="1" ref="BB157" ca="1">IF(ISERROR(GEOMEAN(1+OFFSET(BB$8,BB$6,0,$A$154-BB$6,1)%)), "", (GEOMEAN(1+OFFSET(BB$8,BB$6,0,$A$154-BB$6,1)%) -1) * 100)</f>
        <v/>
      </c>
      <c r="BC157" s="309" t="str">
        <f t="array" aca="1" ref="BC157" ca="1">IF(ISERROR(GEOMEAN(1+OFFSET(BC$8,BC$6,0,$A$154-BC$6,1)%)), "", (GEOMEAN(1+OFFSET(BC$8,BC$6,0,$A$154-BC$6,1)%) -1) * 100)</f>
        <v/>
      </c>
      <c r="BD157" s="309" t="str">
        <f t="array" aca="1" ref="BD157" ca="1">IF(ISERROR(GEOMEAN(1+OFFSET(BD$8,BD$6,0,$A$154-BD$6,1)%)), "", (GEOMEAN(1+OFFSET(BD$8,BD$6,0,$A$154-BD$6,1)%) -1) * 100)</f>
        <v/>
      </c>
      <c r="BE157" s="309" t="str">
        <f t="array" aca="1" ref="BE157" ca="1">IF(ISERROR(GEOMEAN(1+OFFSET(BE$8,BE$6,0,$A$154-BE$6,1)%)), "", (GEOMEAN(1+OFFSET(BE$8,BE$6,0,$A$154-BE$6,1)%) -1) * 100)</f>
        <v/>
      </c>
      <c r="BF157" s="309" t="str">
        <f t="array" aca="1" ref="BF157" ca="1">IF(ISERROR(GEOMEAN(1+OFFSET(BF$8,BF$6,0,$A$154-BF$6,1)%)), "", (GEOMEAN(1+OFFSET(BF$8,BF$6,0,$A$154-BF$6,1)%) -1) * 100)</f>
        <v/>
      </c>
      <c r="BG157" s="309" t="str">
        <f t="array" aca="1" ref="BG157" ca="1">IF(ISERROR(GEOMEAN(1+OFFSET(BG$8,BG$6,0,$A$154-BG$6,1)%)), "", (GEOMEAN(1+OFFSET(BG$8,BG$6,0,$A$154-BG$6,1)%) -1) * 100)</f>
        <v/>
      </c>
      <c r="BH157" s="309" t="str">
        <f t="array" aca="1" ref="BH157" ca="1">IF(ISERROR(GEOMEAN(1+OFFSET(BH$8,BH$6,0,$A$154-BH$6,1)%)), "", (GEOMEAN(1+OFFSET(BH$8,BH$6,0,$A$154-BH$6,1)%) -1) * 100)</f>
        <v/>
      </c>
      <c r="BI157" s="309" t="str">
        <f t="array" aca="1" ref="BI157" ca="1">IF(ISERROR(GEOMEAN(1+OFFSET(BI$8,BI$6,0,$A$154-BI$6,1)%)), "", (GEOMEAN(1+OFFSET(BI$8,BI$6,0,$A$154-BI$6,1)%) -1) * 100)</f>
        <v/>
      </c>
      <c r="BJ157" s="309" t="str">
        <f t="array" aca="1" ref="BJ157" ca="1">IF(ISERROR(GEOMEAN(1+OFFSET(BJ$8,BJ$6,0,$A$154-BJ$6,1)%)), "", (GEOMEAN(1+OFFSET(BJ$8,BJ$6,0,$A$154-BJ$6,1)%) -1) * 100)</f>
        <v/>
      </c>
      <c r="BK157" s="309" t="str">
        <f t="array" aca="1" ref="BK157" ca="1">IF(ISERROR(GEOMEAN(1+OFFSET(BK$8,BK$6,0,$A$154-BK$6,1)%)), "", (GEOMEAN(1+OFFSET(BK$8,BK$6,0,$A$154-BK$6,1)%) -1) * 100)</f>
        <v/>
      </c>
      <c r="BL157" s="309" t="str">
        <f t="array" aca="1" ref="BL157" ca="1">IF(ISERROR(GEOMEAN(1+OFFSET(BL$8,BL$6,0,$A$154-BL$6,1)%)), "", (GEOMEAN(1+OFFSET(BL$8,BL$6,0,$A$154-BL$6,1)%) -1) * 100)</f>
        <v/>
      </c>
      <c r="BM157" s="309" t="str">
        <f t="array" aca="1" ref="BM157" ca="1">IF(ISERROR(GEOMEAN(1+OFFSET(BM$8,BM$6,0,$A$154-BM$6,1)%)), "", (GEOMEAN(1+OFFSET(BM$8,BM$6,0,$A$154-BM$6,1)%) -1) * 100)</f>
        <v/>
      </c>
      <c r="BN157" s="309" t="str">
        <f t="array" aca="1" ref="BN157" ca="1">IF(ISERROR(GEOMEAN(1+OFFSET(BN$8,BN$6,0,$A$154-BN$6,1)%)), "", (GEOMEAN(1+OFFSET(BN$8,BN$6,0,$A$154-BN$6,1)%) -1) * 100)</f>
        <v/>
      </c>
      <c r="BO157" s="309" t="str">
        <f t="array" aca="1" ref="BO157" ca="1">IF(ISERROR(GEOMEAN(1+OFFSET(BO$8,BO$6,0,$A$154-BO$6,1)%)), "", (GEOMEAN(1+OFFSET(BO$8,BO$6,0,$A$154-BO$6,1)%) -1) * 100)</f>
        <v/>
      </c>
      <c r="BP157" s="309" t="str">
        <f t="array" aca="1" ref="BP157" ca="1">IF(ISERROR(GEOMEAN(1+OFFSET(BP$8,BP$6,0,$A$154-BP$6,1)%)), "", (GEOMEAN(1+OFFSET(BP$8,BP$6,0,$A$154-BP$6,1)%) -1) * 100)</f>
        <v/>
      </c>
      <c r="BQ157" s="309" t="str">
        <f t="array" aca="1" ref="BQ157" ca="1">IF(ISERROR(GEOMEAN(1+OFFSET(BQ$8,BQ$6,0,$A$154-BQ$6,1)%)), "", (GEOMEAN(1+OFFSET(BQ$8,BQ$6,0,$A$154-BQ$6,1)%) -1) * 100)</f>
        <v/>
      </c>
      <c r="BR157" s="309" t="str">
        <f t="array" aca="1" ref="BR157" ca="1">IF(ISERROR(GEOMEAN(1+OFFSET(BR$8,BR$6,0,$A$154-BR$6,1)%)), "", (GEOMEAN(1+OFFSET(BR$8,BR$6,0,$A$154-BR$6,1)%) -1) * 100)</f>
        <v/>
      </c>
      <c r="BS157" s="309" t="str">
        <f t="array" aca="1" ref="BS157" ca="1">IF(ISERROR(GEOMEAN(1+OFFSET(BS$8,BS$6,0,$A$154-BS$6,1)%)), "", (GEOMEAN(1+OFFSET(BS$8,BS$6,0,$A$154-BS$6,1)%) -1) * 100)</f>
        <v/>
      </c>
      <c r="BT157" s="309" t="str">
        <f t="array" aca="1" ref="BT157" ca="1">IF(ISERROR(GEOMEAN(1+OFFSET(BT$8,BT$6,0,$A$154-BT$6,1)%)), "", (GEOMEAN(1+OFFSET(BT$8,BT$6,0,$A$154-BT$6,1)%) -1) * 100)</f>
        <v/>
      </c>
      <c r="BU157" s="309" t="str">
        <f t="array" aca="1" ref="BU157" ca="1">IF(ISERROR(GEOMEAN(1+OFFSET(BU$8,BU$6,0,$A$154-BU$6,1)%)), "", (GEOMEAN(1+OFFSET(BU$8,BU$6,0,$A$154-BU$6,1)%) -1) * 100)</f>
        <v/>
      </c>
      <c r="BV157" s="309" t="str">
        <f t="array" aca="1" ref="BV157" ca="1">IF(ISERROR(GEOMEAN(1+OFFSET(BV$8,BV$6,0,$A$154-BV$6,1)%)), "", (GEOMEAN(1+OFFSET(BV$8,BV$6,0,$A$154-BV$6,1)%) -1) * 100)</f>
        <v/>
      </c>
      <c r="BW157" s="309" t="str">
        <f t="array" aca="1" ref="BW157" ca="1">IF(ISERROR(GEOMEAN(1+OFFSET(BW$8,BW$6,0,$A$154-BW$6,1)%)), "", (GEOMEAN(1+OFFSET(BW$8,BW$6,0,$A$154-BW$6,1)%) -1) * 100)</f>
        <v/>
      </c>
      <c r="BX157" s="309">
        <f t="array" aca="1" ref="BX157" ca="1">IF(ISERROR(GEOMEAN(1+OFFSET(BX$8,BX$6,0,$A$154-BX$6,1)%)), "", (GEOMEAN(1+OFFSET(BX$8,BX$6,0,$A$154-BX$6,1)%) -1) * 100)</f>
        <v>8.7927908934747769</v>
      </c>
      <c r="BY157" s="309">
        <f t="array" aca="1" ref="BY157" ca="1">IF(ISERROR(GEOMEAN(1+OFFSET(BY$8,BY$6,0,$A$154-BY$6,1)%)), "", (GEOMEAN(1+OFFSET(BY$8,BY$6,0,$A$154-BY$6,1)%) -1) * 100)</f>
        <v>4.6996341796923025</v>
      </c>
      <c r="BZ157" s="309">
        <f t="array" aca="1" ref="BZ157" ca="1">IF(ISERROR(GEOMEAN(1+OFFSET(BZ$8,BZ$6,0,$A$154-BZ$6,1)%)), "", (GEOMEAN(1+OFFSET(BZ$8,BZ$6,0,$A$154-BZ$6,1)%) -1) * 100)</f>
        <v>4.3669870562268231</v>
      </c>
      <c r="CA157" s="309">
        <f t="array" aca="1" ref="CA157" ca="1">IF(ISERROR(GEOMEAN(1+OFFSET(CA$8,CA$6,0,$A$154-CA$6,1)%)), "", (GEOMEAN(1+OFFSET(CA$8,CA$6,0,$A$154-CA$6,1)%) -1) * 100)</f>
        <v>2.0505366813431847</v>
      </c>
    </row>
    <row r="158" spans="1:81">
      <c r="A158" s="310" t="s">
        <v>456</v>
      </c>
      <c r="B158" s="309">
        <f t="array" ref="B158">IF(OR(ISERROR(VARA(B8:B153)), COUNT(B8:B153)=0),"",VARA(B8:B153))</f>
        <v>323.66859449585769</v>
      </c>
      <c r="C158" s="309">
        <f t="array" ref="C158">IF(OR(ISERROR(VARA(C8:C153)), COUNT(C8:C153)=0),"",VARA(C8:C153))</f>
        <v>127.66304902021787</v>
      </c>
      <c r="D158" s="309">
        <f t="array" ref="D158">IF(OR(ISERROR(VARA(D8:D153)), COUNT(D8:D153)=0),"",VARA(D8:D153))</f>
        <v>320.18090968807638</v>
      </c>
      <c r="E158" s="309">
        <f t="array" ref="E158">IF(OR(ISERROR(VARA(E8:E153)), COUNT(E8:E153)=0),"",VARA(E8:E153))</f>
        <v>149.50273414077091</v>
      </c>
      <c r="F158" s="309">
        <f t="array" ref="F158">IF(OR(ISERROR(VARA(F8:F153)), COUNT(F8:F153)=0),"",VARA(F8:F153))</f>
        <v>155.37949122865393</v>
      </c>
      <c r="G158" s="309">
        <f t="array" ref="G158">IF(OR(ISERROR(VARA(G8:G153)), COUNT(G8:G153)=0),"",VARA(G8:G153))</f>
        <v>178.54837432430975</v>
      </c>
      <c r="H158" s="309">
        <f t="array" ref="H158">IF(OR(ISERROR(VARA(H8:H153)), COUNT(H8:H153)=0),"",VARA(H8:H153))</f>
        <v>180.80732591342007</v>
      </c>
      <c r="I158" s="309">
        <f t="array" ref="I158">IF(OR(ISERROR(VARA(I8:I153)), COUNT(I8:I153)=0),"",VARA(I8:I153))</f>
        <v>198.9739172706486</v>
      </c>
      <c r="J158" s="309">
        <f t="array" ref="J158">IF(OR(ISERROR(VARA(J8:J153)), COUNT(J8:J153)=0),"",VARA(J8:J153))</f>
        <v>250.60324178002475</v>
      </c>
      <c r="K158" s="309">
        <f t="array" ref="K158">IF(OR(ISERROR(VARA(K8:K153)), COUNT(K8:K153)=0),"",VARA(K8:K153))</f>
        <v>134.14030820998164</v>
      </c>
      <c r="L158" s="309">
        <f t="array" ref="L158">IF(OR(ISERROR(VARA(L8:L153)), COUNT(L8:L153)=0),"",VARA(L8:L153))</f>
        <v>169.32539934756315</v>
      </c>
      <c r="M158" s="309">
        <f t="array" ref="M158">IF(OR(ISERROR(VARA(M8:M153)), COUNT(M8:M153)=0),"",VARA(M8:M153))</f>
        <v>375.32246813197929</v>
      </c>
      <c r="N158" s="309">
        <f t="array" ref="N158">IF(OR(ISERROR(VARA(N8:N153)), COUNT(N8:N153)=0),"",VARA(N8:N153))</f>
        <v>183.6822407674529</v>
      </c>
      <c r="O158" s="309">
        <f t="array" ref="O158">IF(OR(ISERROR(VARA(O8:O153)), COUNT(O8:O153)=0),"",VARA(O8:O153))</f>
        <v>295.8378478123455</v>
      </c>
      <c r="P158" s="309">
        <f t="array" ref="P158">IF(OR(ISERROR(VARA(P8:P153)), COUNT(P8:P153)=0),"",VARA(P8:P153))</f>
        <v>168.71105866363544</v>
      </c>
      <c r="Q158" s="309">
        <f t="array" ref="Q158">IF(OR(ISERROR(VARA(Q8:Q153)), COUNT(Q8:Q153)=0),"",VARA(Q8:Q153))</f>
        <v>185.27945278667025</v>
      </c>
      <c r="R158" s="309">
        <f t="array" ref="R158">IF(OR(ISERROR(VARA(R8:R153)), COUNT(R8:R153)=0),"",VARA(R8:R153))</f>
        <v>155.3845709077369</v>
      </c>
      <c r="S158" s="309">
        <f t="array" ref="S158">IF(OR(ISERROR(VARA(S8:S153)), COUNT(S8:S153)=0),"",VARA(S8:S153))</f>
        <v>65.484376515701584</v>
      </c>
      <c r="T158" s="309">
        <f t="array" ref="T158">IF(OR(ISERROR(VARA(T8:T153)), COUNT(T8:T153)=0),"",VARA(T8:T153))</f>
        <v>25.300197654350992</v>
      </c>
      <c r="U158" s="309">
        <f t="array" ref="U158">IF(OR(ISERROR(VARA(U8:U153)), COUNT(U8:U153)=0),"",VARA(U8:U153))</f>
        <v>18.997065059896585</v>
      </c>
      <c r="V158" s="309">
        <f t="array" ref="V158">IF(OR(ISERROR(VARA(V8:V153)), COUNT(V8:V153)=0),"",VARA(V8:V153))</f>
        <v>6.5858599318434372</v>
      </c>
      <c r="W158" s="309">
        <f t="array" ref="W158">IF(OR(ISERROR(VARA(W8:W153)), COUNT(W8:W153)=0),"",VARA(W8:W153))</f>
        <v>24.847227183852333</v>
      </c>
      <c r="X158" s="309">
        <f t="array" ref="X158">IF(OR(ISERROR(VARA(X8:X153)), COUNT(X8:X153)=0),"",VARA(X8:X153))</f>
        <v>67.743126756082304</v>
      </c>
      <c r="Y158" s="309">
        <f t="array" ref="Y158">IF(OR(ISERROR(VARA(Y8:Y153)), COUNT(Y8:Y153)=0),"",VARA(Y8:Y153))</f>
        <v>45.248870949897324</v>
      </c>
      <c r="Z158" s="309">
        <f t="array" ref="Z158">IF(OR(ISERROR(VARA(Z8:Z153)), COUNT(Z8:Z153)=0),"",VARA(Z8:Z153))</f>
        <v>143.7257233146309</v>
      </c>
      <c r="AA158" s="309">
        <f t="array" ref="AA158">IF(OR(ISERROR(VARA(AA8:AA153)), COUNT(AA8:AA153)=0),"",VARA(AA8:AA153))</f>
        <v>15.800134331550506</v>
      </c>
      <c r="AB158" s="309">
        <f t="array" ref="AB158">IF(OR(ISERROR(VARA(AB8:AB153)), COUNT(AB8:AB153)=0),"",VARA(AB8:AB153))</f>
        <v>270.64275513151728</v>
      </c>
      <c r="AC158" s="309">
        <f t="array" ref="AC158">IF(OR(ISERROR(VARA(AC8:AC153)), COUNT(AC8:AC153)=0),"",VARA(AC8:AC153))</f>
        <v>347.66435247053408</v>
      </c>
      <c r="AD158" s="309">
        <f t="array" ref="AD158">IF(OR(ISERROR(VARA(AD8:AD153)), COUNT(AD8:AD153)=0),"",VARA(AD8:AD153))</f>
        <v>119.52044737370873</v>
      </c>
      <c r="AE158" s="309">
        <f t="array" ref="AE158">IF(OR(ISERROR(VARA(AE8:AE153)), COUNT(AE8:AE153)=0),"",VARA(AE8:AE153))</f>
        <v>129.62439474053087</v>
      </c>
      <c r="AF158" s="309">
        <f t="array" ref="AF158">IF(OR(ISERROR(VARA(AF8:AF153)), COUNT(AF8:AF153)=0),"",VARA(AF8:AF153))</f>
        <v>270.15112426129235</v>
      </c>
      <c r="AG158" s="309">
        <f t="array" ref="AG158">IF(OR(ISERROR(VARA(AG8:AG153)), COUNT(AG8:AG153)=0),"",VARA(AG8:AG153))</f>
        <v>79.432585478304858</v>
      </c>
      <c r="AH158" s="309">
        <f t="array" ref="AH158">IF(OR(ISERROR(VARA(AH8:AH153)), COUNT(AH8:AH153)=0),"",VARA(AH8:AH153))</f>
        <v>3.1690223377855995</v>
      </c>
      <c r="AI158" s="309">
        <f t="array" ref="AI158">IF(OR(ISERROR(VARA(AI8:AI153)), COUNT(AI8:AI153)=0),"",VARA(AI8:AI153))</f>
        <v>11.915430386053334</v>
      </c>
      <c r="AJ158" s="309">
        <f t="array" ref="AJ158">IF(OR(ISERROR(VARA(AJ8:AJ153)), COUNT(AJ8:AJ153)=0),"",VARA(AJ8:AJ153))</f>
        <v>18.676640057673826</v>
      </c>
      <c r="AK158" s="309">
        <f t="array" ref="AK158">IF(OR(ISERROR(VARA(AK8:AK153)), COUNT(AK8:AK153)=0),"",VARA(AK8:AK153))</f>
        <v>30.155521915984799</v>
      </c>
      <c r="AL158" s="309">
        <f t="array" ref="AL158">IF(OR(ISERROR(VARA(AL8:AL153)), COUNT(AL8:AL153)=0),"",VARA(AL8:AL153))</f>
        <v>145.78013937247979</v>
      </c>
      <c r="AM158" s="309">
        <f t="array" ref="AM158">IF(OR(ISERROR(VARA(AM8:AM153)), COUNT(AM8:AM153)=0),"",VARA(AM8:AM153))</f>
        <v>102.12636662739293</v>
      </c>
      <c r="AN158" s="309">
        <f t="array" ref="AN158">IF(OR(ISERROR(VARA(AN8:AN153)), COUNT(AN8:AN153)=0),"",VARA(AN8:AN153))</f>
        <v>108.09203660171399</v>
      </c>
      <c r="AO158" s="309">
        <f t="array" ref="AO158">IF(OR(ISERROR(VARA(AO8:AO153)), COUNT(AO8:AO153)=0),"",VARA(AO8:AO153))</f>
        <v>17.965459617383086</v>
      </c>
      <c r="AP158" s="309">
        <f t="array" ref="AP158">IF(OR(ISERROR(VARA(AP8:AP153)), COUNT(AP8:AP153)=0),"",VARA(AP8:AP153))</f>
        <v>10.228662432687766</v>
      </c>
      <c r="AQ158" s="309" t="str">
        <f t="array" ref="AQ158">IF(OR(ISERROR(VARA(AQ8:AQ153)), COUNT(AQ8:AQ153)=0),"",VARA(AQ8:AQ153))</f>
        <v/>
      </c>
      <c r="AR158" s="309" t="str">
        <f t="array" ref="AR158">IF(OR(ISERROR(VARA(AR8:AR153)), COUNT(AR8:AR153)=0),"",VARA(AR8:AR153))</f>
        <v/>
      </c>
      <c r="AS158" s="309" t="str">
        <f t="array" ref="AS158">IF(OR(ISERROR(VARA(AS8:AS153)), COUNT(AS8:AS153)=0),"",VARA(AS8:AS153))</f>
        <v/>
      </c>
      <c r="AT158" s="309" t="str">
        <f t="array" ref="AT158">IF(OR(ISERROR(VARA(AT8:AT153)), COUNT(AT8:AT153)=0),"",VARA(AT8:AT153))</f>
        <v/>
      </c>
      <c r="AU158" s="309" t="str">
        <f t="array" ref="AU158">IF(OR(ISERROR(VARA(AU8:AU153)), COUNT(AU8:AU153)=0),"",VARA(AU8:AU153))</f>
        <v/>
      </c>
      <c r="AV158" s="309" t="str">
        <f t="array" ref="AV158">IF(OR(ISERROR(VARA(AV8:AV153)), COUNT(AV8:AV153)=0),"",VARA(AV8:AV153))</f>
        <v/>
      </c>
      <c r="AW158" s="309" t="str">
        <f t="array" ref="AW158">IF(OR(ISERROR(VARA(AW8:AW153)), COUNT(AW8:AW153)=0),"",VARA(AW8:AW153))</f>
        <v/>
      </c>
      <c r="AX158" s="309" t="str">
        <f t="array" ref="AX158">IF(OR(ISERROR(VARA(AX8:AX153)), COUNT(AX8:AX153)=0),"",VARA(AX8:AX153))</f>
        <v/>
      </c>
      <c r="AY158" s="309" t="str">
        <f t="array" ref="AY158">IF(OR(ISERROR(VARA(AY8:AY153)), COUNT(AY8:AY153)=0),"",VARA(AY8:AY153))</f>
        <v/>
      </c>
      <c r="AZ158" s="309" t="str">
        <f t="array" ref="AZ158">IF(OR(ISERROR(VARA(AZ8:AZ153)), COUNT(AZ8:AZ153)=0),"",VARA(AZ8:AZ153))</f>
        <v/>
      </c>
      <c r="BA158" s="309" t="str">
        <f t="array" ref="BA158">IF(OR(ISERROR(VARA(BA8:BA153)), COUNT(BA8:BA153)=0),"",VARA(BA8:BA153))</f>
        <v/>
      </c>
      <c r="BB158" s="309" t="str">
        <f t="array" ref="BB158">IF(OR(ISERROR(VARA(BB8:BB153)), COUNT(BB8:BB153)=0),"",VARA(BB8:BB153))</f>
        <v/>
      </c>
      <c r="BC158" s="309" t="str">
        <f t="array" ref="BC158">IF(OR(ISERROR(VARA(BC8:BC153)), COUNT(BC8:BC153)=0),"",VARA(BC8:BC153))</f>
        <v/>
      </c>
      <c r="BD158" s="309" t="str">
        <f t="array" ref="BD158">IF(OR(ISERROR(VARA(BD8:BD153)), COUNT(BD8:BD153)=0),"",VARA(BD8:BD153))</f>
        <v/>
      </c>
      <c r="BE158" s="309" t="str">
        <f t="array" ref="BE158">IF(OR(ISERROR(VARA(BE8:BE153)), COUNT(BE8:BE153)=0),"",VARA(BE8:BE153))</f>
        <v/>
      </c>
      <c r="BF158" s="309" t="str">
        <f t="array" ref="BF158">IF(OR(ISERROR(VARA(BF8:BF153)), COUNT(BF8:BF153)=0),"",VARA(BF8:BF153))</f>
        <v/>
      </c>
      <c r="BG158" s="309" t="str">
        <f t="array" ref="BG158">IF(OR(ISERROR(VARA(BG8:BG153)), COUNT(BG8:BG153)=0),"",VARA(BG8:BG153))</f>
        <v/>
      </c>
      <c r="BH158" s="309" t="str">
        <f t="array" ref="BH158">IF(OR(ISERROR(VARA(BH8:BH153)), COUNT(BH8:BH153)=0),"",VARA(BH8:BH153))</f>
        <v/>
      </c>
      <c r="BI158" s="309" t="str">
        <f t="array" ref="BI158">IF(OR(ISERROR(VARA(BI8:BI153)), COUNT(BI8:BI153)=0),"",VARA(BI8:BI153))</f>
        <v/>
      </c>
      <c r="BJ158" s="309" t="str">
        <f t="array" ref="BJ158">IF(OR(ISERROR(VARA(BJ8:BJ153)), COUNT(BJ8:BJ153)=0),"",VARA(BJ8:BJ153))</f>
        <v/>
      </c>
      <c r="BK158" s="309" t="str">
        <f t="array" ref="BK158">IF(OR(ISERROR(VARA(BK8:BK153)), COUNT(BK8:BK153)=0),"",VARA(BK8:BK153))</f>
        <v/>
      </c>
      <c r="BL158" s="309" t="str">
        <f t="array" ref="BL158">IF(OR(ISERROR(VARA(BL8:BL153)), COUNT(BL8:BL153)=0),"",VARA(BL8:BL153))</f>
        <v/>
      </c>
      <c r="BM158" s="309" t="str">
        <f t="array" ref="BM158">IF(OR(ISERROR(VARA(BM8:BM153)), COUNT(BM8:BM153)=0),"",VARA(BM8:BM153))</f>
        <v/>
      </c>
      <c r="BN158" s="309" t="str">
        <f t="array" ref="BN158">IF(OR(ISERROR(VARA(BN8:BN153)), COUNT(BN8:BN153)=0),"",VARA(BN8:BN153))</f>
        <v/>
      </c>
      <c r="BO158" s="309" t="str">
        <f t="array" ref="BO158">IF(OR(ISERROR(VARA(BO8:BO153)), COUNT(BO8:BO153)=0),"",VARA(BO8:BO153))</f>
        <v/>
      </c>
      <c r="BP158" s="309" t="str">
        <f t="array" ref="BP158">IF(OR(ISERROR(VARA(BP8:BP153)), COUNT(BP8:BP153)=0),"",VARA(BP8:BP153))</f>
        <v/>
      </c>
      <c r="BQ158" s="309" t="str">
        <f t="array" ref="BQ158">IF(OR(ISERROR(VARA(BQ8:BQ153)), COUNT(BQ8:BQ153)=0),"",VARA(BQ8:BQ153))</f>
        <v/>
      </c>
      <c r="BR158" s="309" t="str">
        <f t="array" ref="BR158">IF(OR(ISERROR(VARA(BR8:BR153)), COUNT(BR8:BR153)=0),"",VARA(BR8:BR153))</f>
        <v/>
      </c>
      <c r="BS158" s="309" t="str">
        <f t="array" ref="BS158">IF(OR(ISERROR(VARA(BS8:BS153)), COUNT(BS8:BS153)=0),"",VARA(BS8:BS153))</f>
        <v/>
      </c>
      <c r="BT158" s="309" t="str">
        <f t="array" ref="BT158">IF(OR(ISERROR(VARA(BT8:BT153)), COUNT(BT8:BT153)=0),"",VARA(BT8:BT153))</f>
        <v/>
      </c>
      <c r="BU158" s="309" t="str">
        <f t="array" ref="BU158">IF(OR(ISERROR(VARA(BU8:BU153)), COUNT(BU8:BU153)=0),"",VARA(BU8:BU153))</f>
        <v/>
      </c>
      <c r="BV158" s="309" t="str">
        <f t="array" ref="BV158">IF(OR(ISERROR(VARA(BV8:BV153)), COUNT(BV8:BV153)=0),"",VARA(BV8:BV153))</f>
        <v/>
      </c>
      <c r="BW158" s="309" t="str">
        <f t="array" ref="BW158">IF(OR(ISERROR(VARA(BW8:BW153)), COUNT(BW8:BW153)=0),"",VARA(BW8:BW153))</f>
        <v/>
      </c>
      <c r="BX158" s="309">
        <f t="array" ref="BX158">IF(OR(ISERROR(VARA(BX8:BX153)), COUNT(BX8:BX153)=0),"",VARA(BX8:BX153))</f>
        <v>315.18451239452486</v>
      </c>
      <c r="BY158" s="309">
        <f t="array" ref="BY158">IF(OR(ISERROR(VARA(BY8:BY153)), COUNT(BY8:BY153)=0),"",VARA(BY8:BY153))</f>
        <v>24.177147706790223</v>
      </c>
      <c r="BZ158" s="309">
        <f t="array" ref="BZ158">IF(OR(ISERROR(VARA(BZ8:BZ153)), COUNT(BZ8:BZ153)=0),"",VARA(BZ8:BZ153))</f>
        <v>7.1072827397260445</v>
      </c>
      <c r="CA158" s="309">
        <f t="array" ref="CA158">IF(OR(ISERROR(VARA(CA8:CA153)), COUNT(CA8:CA153)=0),"",VARA(CA8:CA153))</f>
        <v>35.499985421416547</v>
      </c>
    </row>
    <row r="159" spans="1:81" ht="20">
      <c r="A159" s="311" t="s">
        <v>457</v>
      </c>
      <c r="B159" s="312">
        <f>IF(ISERROR(PEARSON($B$8:$B$153,B8:B153)),"",PEARSON($B$8:$B$153,B8:B153))</f>
        <v>1</v>
      </c>
      <c r="C159" s="312">
        <f t="shared" ref="C159:BN159" si="455">IF(ISERROR(PEARSON($B$8:$B$153,C8:C153)),"",PEARSON($B$8:$B$153,C8:C153))</f>
        <v>0.93182560747978016</v>
      </c>
      <c r="D159" s="312">
        <f t="shared" si="455"/>
        <v>0.99778643486442253</v>
      </c>
      <c r="E159" s="312">
        <f t="shared" si="455"/>
        <v>0.96150059807657651</v>
      </c>
      <c r="F159" s="312">
        <f t="shared" si="455"/>
        <v>0.92340834742236977</v>
      </c>
      <c r="G159" s="312">
        <f t="shared" si="455"/>
        <v>0.76031133108255133</v>
      </c>
      <c r="H159" s="312">
        <f t="shared" si="455"/>
        <v>0.87949487658687309</v>
      </c>
      <c r="I159" s="312">
        <f t="shared" si="455"/>
        <v>0.85996313567933591</v>
      </c>
      <c r="J159" s="312">
        <f t="shared" si="455"/>
        <v>0.74223093257263573</v>
      </c>
      <c r="K159" s="312">
        <f t="shared" si="455"/>
        <v>0.59055723408983785</v>
      </c>
      <c r="L159" s="312">
        <f t="shared" si="455"/>
        <v>0.65901920345766574</v>
      </c>
      <c r="M159" s="312">
        <f t="shared" si="455"/>
        <v>0.53274672538960788</v>
      </c>
      <c r="N159" s="312">
        <f t="shared" si="455"/>
        <v>0.6552685428446493</v>
      </c>
      <c r="O159" s="312">
        <f t="shared" si="455"/>
        <v>0.43614675019895038</v>
      </c>
      <c r="P159" s="312">
        <f t="shared" si="455"/>
        <v>0.7521379783599027</v>
      </c>
      <c r="Q159" s="312">
        <f t="shared" si="455"/>
        <v>0.59761512156244734</v>
      </c>
      <c r="R159" s="312">
        <f t="shared" si="455"/>
        <v>8.0209576850804126E-2</v>
      </c>
      <c r="S159" s="312">
        <f t="shared" si="455"/>
        <v>1.2390556044948835E-2</v>
      </c>
      <c r="T159" s="312">
        <f t="shared" si="455"/>
        <v>-4.602517287855025E-2</v>
      </c>
      <c r="U159" s="312">
        <f t="shared" si="455"/>
        <v>1.7427087362769666E-2</v>
      </c>
      <c r="V159" s="312">
        <f t="shared" si="455"/>
        <v>-0.10666136895782923</v>
      </c>
      <c r="W159" s="312">
        <f t="shared" si="455"/>
        <v>0.13429769744433012</v>
      </c>
      <c r="X159" s="312">
        <f t="shared" si="455"/>
        <v>0.92259491482520173</v>
      </c>
      <c r="Y159" s="312">
        <f t="shared" si="455"/>
        <v>0.6962473637496398</v>
      </c>
      <c r="Z159" s="312">
        <f t="shared" si="455"/>
        <v>0.85682814721785305</v>
      </c>
      <c r="AA159" s="312">
        <f t="shared" si="455"/>
        <v>3.591176099285677E-2</v>
      </c>
      <c r="AB159" s="312">
        <f t="shared" si="455"/>
        <v>-0.237784395928446</v>
      </c>
      <c r="AC159" s="312">
        <f t="shared" si="455"/>
        <v>0.51554603619079375</v>
      </c>
      <c r="AD159" s="312">
        <f t="shared" si="455"/>
        <v>0.47100380995001656</v>
      </c>
      <c r="AE159" s="312">
        <f t="shared" si="455"/>
        <v>0.63659690131365854</v>
      </c>
      <c r="AF159" s="312">
        <f t="shared" si="455"/>
        <v>0.18089586036430186</v>
      </c>
      <c r="AG159" s="312">
        <f t="shared" si="455"/>
        <v>0.8569966139687385</v>
      </c>
      <c r="AH159" s="312">
        <f t="shared" si="455"/>
        <v>0.10291187836848269</v>
      </c>
      <c r="AI159" s="312">
        <f t="shared" si="455"/>
        <v>0.30194866911087354</v>
      </c>
      <c r="AJ159" s="312">
        <f t="shared" si="455"/>
        <v>0.34426725906670352</v>
      </c>
      <c r="AK159" s="312">
        <f t="shared" si="455"/>
        <v>0.75569947510181934</v>
      </c>
      <c r="AL159" s="312">
        <f t="shared" si="455"/>
        <v>0.90059894754839109</v>
      </c>
      <c r="AM159" s="312">
        <f t="shared" si="455"/>
        <v>0.82425054841754819</v>
      </c>
      <c r="AN159" s="312">
        <f t="shared" si="455"/>
        <v>0.95366829052923818</v>
      </c>
      <c r="AO159" s="312">
        <f t="shared" si="455"/>
        <v>0.21486278020381169</v>
      </c>
      <c r="AP159" s="312">
        <f t="shared" si="455"/>
        <v>0.50042138517943602</v>
      </c>
      <c r="AQ159" s="312" t="str">
        <f t="shared" si="455"/>
        <v/>
      </c>
      <c r="AR159" s="312" t="str">
        <f t="shared" si="455"/>
        <v/>
      </c>
      <c r="AS159" s="312" t="str">
        <f t="shared" si="455"/>
        <v/>
      </c>
      <c r="AT159" s="312" t="str">
        <f t="shared" si="455"/>
        <v/>
      </c>
      <c r="AU159" s="312" t="str">
        <f t="shared" si="455"/>
        <v/>
      </c>
      <c r="AV159" s="312" t="str">
        <f t="shared" si="455"/>
        <v/>
      </c>
      <c r="AW159" s="312" t="str">
        <f t="shared" si="455"/>
        <v/>
      </c>
      <c r="AX159" s="312" t="str">
        <f t="shared" si="455"/>
        <v/>
      </c>
      <c r="AY159" s="312" t="str">
        <f t="shared" si="455"/>
        <v/>
      </c>
      <c r="AZ159" s="312" t="str">
        <f t="shared" si="455"/>
        <v/>
      </c>
      <c r="BA159" s="312" t="str">
        <f t="shared" si="455"/>
        <v/>
      </c>
      <c r="BB159" s="312" t="str">
        <f t="shared" si="455"/>
        <v/>
      </c>
      <c r="BC159" s="312" t="str">
        <f t="shared" si="455"/>
        <v/>
      </c>
      <c r="BD159" s="312" t="str">
        <f t="shared" si="455"/>
        <v/>
      </c>
      <c r="BE159" s="312" t="str">
        <f t="shared" si="455"/>
        <v/>
      </c>
      <c r="BF159" s="312" t="str">
        <f t="shared" si="455"/>
        <v/>
      </c>
      <c r="BG159" s="312" t="str">
        <f t="shared" si="455"/>
        <v/>
      </c>
      <c r="BH159" s="312" t="str">
        <f t="shared" si="455"/>
        <v/>
      </c>
      <c r="BI159" s="312" t="str">
        <f t="shared" si="455"/>
        <v/>
      </c>
      <c r="BJ159" s="312" t="str">
        <f t="shared" si="455"/>
        <v/>
      </c>
      <c r="BK159" s="312" t="str">
        <f t="shared" si="455"/>
        <v/>
      </c>
      <c r="BL159" s="312" t="str">
        <f t="shared" si="455"/>
        <v/>
      </c>
      <c r="BM159" s="312" t="str">
        <f t="shared" si="455"/>
        <v/>
      </c>
      <c r="BN159" s="312" t="str">
        <f t="shared" si="455"/>
        <v/>
      </c>
      <c r="BO159" s="312" t="str">
        <f t="shared" ref="BO159:CA159" si="456">IF(ISERROR(PEARSON($B$8:$B$153,BO8:BO153)),"",PEARSON($B$8:$B$153,BO8:BO153))</f>
        <v/>
      </c>
      <c r="BP159" s="312" t="str">
        <f t="shared" si="456"/>
        <v/>
      </c>
      <c r="BQ159" s="312" t="str">
        <f t="shared" si="456"/>
        <v/>
      </c>
      <c r="BR159" s="312" t="str">
        <f t="shared" si="456"/>
        <v/>
      </c>
      <c r="BS159" s="312" t="str">
        <f t="shared" si="456"/>
        <v/>
      </c>
      <c r="BT159" s="312" t="str">
        <f t="shared" si="456"/>
        <v/>
      </c>
      <c r="BU159" s="312" t="str">
        <f t="shared" si="456"/>
        <v/>
      </c>
      <c r="BV159" s="312" t="str">
        <f t="shared" si="456"/>
        <v/>
      </c>
      <c r="BW159" s="312" t="str">
        <f t="shared" si="456"/>
        <v/>
      </c>
      <c r="BX159" s="312">
        <f t="shared" si="456"/>
        <v>0.98554283303346224</v>
      </c>
      <c r="BY159" s="312">
        <f t="shared" si="456"/>
        <v>-2.733725969571469E-2</v>
      </c>
      <c r="BZ159" s="312">
        <f t="shared" si="456"/>
        <v>-7.2838752732922799E-2</v>
      </c>
      <c r="CA159" s="312">
        <f t="shared" si="456"/>
        <v>0.13943724936620466</v>
      </c>
    </row>
    <row r="160" spans="1:81" ht="20">
      <c r="A160" s="311" t="s">
        <v>458</v>
      </c>
      <c r="B160" s="312">
        <f>IF(ISERROR(PEARSON($N$8:$N$153,B8:B153)),"",PEARSON($N$8:$N$153,B8:B153))</f>
        <v>0.6552685428446493</v>
      </c>
      <c r="C160" s="312">
        <f t="shared" ref="C160:BN160" si="457">IF(ISERROR(PEARSON($N$8:$N$153,C8:C153)),"",PEARSON($N$8:$N$153,C8:C153))</f>
        <v>0.62030991329041629</v>
      </c>
      <c r="D160" s="312">
        <f t="shared" si="457"/>
        <v>0.6460870592404635</v>
      </c>
      <c r="E160" s="312">
        <f t="shared" si="457"/>
        <v>0.60105268898874264</v>
      </c>
      <c r="F160" s="312">
        <f t="shared" si="457"/>
        <v>0.59597653035216025</v>
      </c>
      <c r="G160" s="312">
        <f t="shared" si="457"/>
        <v>0.46894903901816581</v>
      </c>
      <c r="H160" s="312">
        <f t="shared" si="457"/>
        <v>0.57721873018876291</v>
      </c>
      <c r="I160" s="312">
        <f t="shared" si="457"/>
        <v>0.56336300074431822</v>
      </c>
      <c r="J160" s="312">
        <f t="shared" si="457"/>
        <v>0.47148823590435107</v>
      </c>
      <c r="K160" s="312">
        <f t="shared" si="457"/>
        <v>0.40225867716116359</v>
      </c>
      <c r="L160" s="312">
        <f t="shared" si="457"/>
        <v>0.99087979757149414</v>
      </c>
      <c r="M160" s="312">
        <f t="shared" si="457"/>
        <v>0.86953780475778852</v>
      </c>
      <c r="N160" s="312">
        <f t="shared" si="457"/>
        <v>1.0000000000000002</v>
      </c>
      <c r="O160" s="312">
        <f t="shared" si="457"/>
        <v>0.85799551678089192</v>
      </c>
      <c r="P160" s="312">
        <f t="shared" si="457"/>
        <v>0.87510132753549441</v>
      </c>
      <c r="Q160" s="312">
        <f t="shared" si="457"/>
        <v>0.98251295053555521</v>
      </c>
      <c r="R160" s="312">
        <f t="shared" si="457"/>
        <v>0.19982588615764943</v>
      </c>
      <c r="S160" s="312">
        <f t="shared" si="457"/>
        <v>-9.3557027361935011E-2</v>
      </c>
      <c r="T160" s="312">
        <f t="shared" si="457"/>
        <v>-8.8741921639411137E-2</v>
      </c>
      <c r="U160" s="312">
        <f t="shared" si="457"/>
        <v>2.1689829265614972E-2</v>
      </c>
      <c r="V160" s="312">
        <f t="shared" si="457"/>
        <v>3.4917470667658476E-2</v>
      </c>
      <c r="W160" s="312">
        <f t="shared" si="457"/>
        <v>0.39893041698417059</v>
      </c>
      <c r="X160" s="312">
        <f t="shared" si="457"/>
        <v>0.59676195816909272</v>
      </c>
      <c r="Y160" s="312">
        <f t="shared" si="457"/>
        <v>0.40777763473236572</v>
      </c>
      <c r="Z160" s="312">
        <f t="shared" si="457"/>
        <v>0.59450473346182986</v>
      </c>
      <c r="AA160" s="312">
        <f t="shared" si="457"/>
        <v>-4.7451583227716455E-2</v>
      </c>
      <c r="AB160" s="312">
        <f t="shared" si="457"/>
        <v>-1.7742834000177496E-2</v>
      </c>
      <c r="AC160" s="312">
        <f t="shared" si="457"/>
        <v>0.89164886564012891</v>
      </c>
      <c r="AD160" s="312">
        <f t="shared" si="457"/>
        <v>0.49872140454697811</v>
      </c>
      <c r="AE160" s="312">
        <f t="shared" si="457"/>
        <v>0.32684620328971181</v>
      </c>
      <c r="AF160" s="312">
        <f t="shared" si="457"/>
        <v>0.59323222391550889</v>
      </c>
      <c r="AG160" s="312">
        <f t="shared" si="457"/>
        <v>0.53387606763318496</v>
      </c>
      <c r="AH160" s="312">
        <f t="shared" si="457"/>
        <v>0.17272062543788624</v>
      </c>
      <c r="AI160" s="312">
        <f t="shared" si="457"/>
        <v>0.35374059208275882</v>
      </c>
      <c r="AJ160" s="312">
        <f t="shared" si="457"/>
        <v>0.34778331818023422</v>
      </c>
      <c r="AK160" s="312">
        <f t="shared" si="457"/>
        <v>0.67098530800407286</v>
      </c>
      <c r="AL160" s="312">
        <f t="shared" si="457"/>
        <v>0.68374306189904455</v>
      </c>
      <c r="AM160" s="312">
        <f t="shared" si="457"/>
        <v>0.54004945770477741</v>
      </c>
      <c r="AN160" s="312">
        <f t="shared" si="457"/>
        <v>0.68313541658006272</v>
      </c>
      <c r="AO160" s="312">
        <f t="shared" si="457"/>
        <v>0.13225222243943704</v>
      </c>
      <c r="AP160" s="312">
        <f t="shared" si="457"/>
        <v>0.45196007914301861</v>
      </c>
      <c r="AQ160" s="312" t="str">
        <f t="shared" si="457"/>
        <v/>
      </c>
      <c r="AR160" s="312" t="str">
        <f t="shared" si="457"/>
        <v/>
      </c>
      <c r="AS160" s="312" t="str">
        <f t="shared" si="457"/>
        <v/>
      </c>
      <c r="AT160" s="312" t="str">
        <f t="shared" si="457"/>
        <v/>
      </c>
      <c r="AU160" s="312" t="str">
        <f t="shared" si="457"/>
        <v/>
      </c>
      <c r="AV160" s="312" t="str">
        <f t="shared" si="457"/>
        <v/>
      </c>
      <c r="AW160" s="312" t="str">
        <f t="shared" si="457"/>
        <v/>
      </c>
      <c r="AX160" s="312" t="str">
        <f t="shared" si="457"/>
        <v/>
      </c>
      <c r="AY160" s="312" t="str">
        <f t="shared" si="457"/>
        <v/>
      </c>
      <c r="AZ160" s="312" t="str">
        <f t="shared" si="457"/>
        <v/>
      </c>
      <c r="BA160" s="312" t="str">
        <f t="shared" si="457"/>
        <v/>
      </c>
      <c r="BB160" s="312" t="str">
        <f t="shared" si="457"/>
        <v/>
      </c>
      <c r="BC160" s="312" t="str">
        <f t="shared" si="457"/>
        <v/>
      </c>
      <c r="BD160" s="312" t="str">
        <f t="shared" si="457"/>
        <v/>
      </c>
      <c r="BE160" s="312" t="str">
        <f t="shared" si="457"/>
        <v/>
      </c>
      <c r="BF160" s="312" t="str">
        <f t="shared" si="457"/>
        <v/>
      </c>
      <c r="BG160" s="312" t="str">
        <f t="shared" si="457"/>
        <v/>
      </c>
      <c r="BH160" s="312" t="str">
        <f t="shared" si="457"/>
        <v/>
      </c>
      <c r="BI160" s="312" t="str">
        <f t="shared" si="457"/>
        <v/>
      </c>
      <c r="BJ160" s="312" t="str">
        <f t="shared" si="457"/>
        <v/>
      </c>
      <c r="BK160" s="312" t="str">
        <f t="shared" si="457"/>
        <v/>
      </c>
      <c r="BL160" s="312" t="str">
        <f t="shared" si="457"/>
        <v/>
      </c>
      <c r="BM160" s="312" t="str">
        <f t="shared" si="457"/>
        <v/>
      </c>
      <c r="BN160" s="312" t="str">
        <f t="shared" si="457"/>
        <v/>
      </c>
      <c r="BO160" s="312" t="str">
        <f t="shared" ref="BO160:CA160" si="458">IF(ISERROR(PEARSON($N$8:$N$153,BO8:BO153)),"",PEARSON($N$8:$N$153,BO8:BO153))</f>
        <v/>
      </c>
      <c r="BP160" s="312" t="str">
        <f t="shared" si="458"/>
        <v/>
      </c>
      <c r="BQ160" s="312" t="str">
        <f t="shared" si="458"/>
        <v/>
      </c>
      <c r="BR160" s="312" t="str">
        <f t="shared" si="458"/>
        <v/>
      </c>
      <c r="BS160" s="312" t="str">
        <f t="shared" si="458"/>
        <v/>
      </c>
      <c r="BT160" s="312" t="str">
        <f t="shared" si="458"/>
        <v/>
      </c>
      <c r="BU160" s="312" t="str">
        <f t="shared" si="458"/>
        <v/>
      </c>
      <c r="BV160" s="312" t="str">
        <f t="shared" si="458"/>
        <v/>
      </c>
      <c r="BW160" s="312" t="str">
        <f t="shared" si="458"/>
        <v/>
      </c>
      <c r="BX160" s="312">
        <f t="shared" si="458"/>
        <v>0.67620714310905283</v>
      </c>
      <c r="BY160" s="312">
        <f t="shared" si="458"/>
        <v>-5.6730034207076493E-2</v>
      </c>
      <c r="BZ160" s="312">
        <f t="shared" si="458"/>
        <v>6.785778122058686E-2</v>
      </c>
      <c r="CA160" s="312">
        <f t="shared" si="458"/>
        <v>-4.8526455376906093E-2</v>
      </c>
      <c r="CC160" s="421"/>
    </row>
    <row r="161" spans="1:79" ht="24">
      <c r="A161" s="313" t="s">
        <v>178</v>
      </c>
      <c r="B161" s="312" t="str">
        <f t="shared" ref="B161:AG161" si="459">IF(ISERROR(((AVERAGE(B8:B153))-(AVERAGE($I8:$I51)))/STDEV(B8:B153)),"",((AVERAGE(B8:B153))-(AVERAGE($I8:$I51)))/STDEV(B8:B153))</f>
        <v/>
      </c>
      <c r="C161" s="312" t="str">
        <f t="shared" si="459"/>
        <v/>
      </c>
      <c r="D161" s="312" t="str">
        <f t="shared" si="459"/>
        <v/>
      </c>
      <c r="E161" s="312" t="str">
        <f t="shared" si="459"/>
        <v/>
      </c>
      <c r="F161" s="312" t="str">
        <f t="shared" si="459"/>
        <v/>
      </c>
      <c r="G161" s="312" t="str">
        <f t="shared" si="459"/>
        <v/>
      </c>
      <c r="H161" s="312" t="str">
        <f t="shared" si="459"/>
        <v/>
      </c>
      <c r="I161" s="312" t="str">
        <f t="shared" si="459"/>
        <v/>
      </c>
      <c r="J161" s="312" t="str">
        <f t="shared" si="459"/>
        <v/>
      </c>
      <c r="K161" s="312" t="str">
        <f t="shared" si="459"/>
        <v/>
      </c>
      <c r="L161" s="312" t="str">
        <f t="shared" si="459"/>
        <v/>
      </c>
      <c r="M161" s="312" t="str">
        <f t="shared" si="459"/>
        <v/>
      </c>
      <c r="N161" s="312" t="str">
        <f t="shared" si="459"/>
        <v/>
      </c>
      <c r="O161" s="312" t="str">
        <f t="shared" si="459"/>
        <v/>
      </c>
      <c r="P161" s="312" t="str">
        <f t="shared" si="459"/>
        <v/>
      </c>
      <c r="Q161" s="312" t="str">
        <f t="shared" si="459"/>
        <v/>
      </c>
      <c r="R161" s="312" t="str">
        <f t="shared" si="459"/>
        <v/>
      </c>
      <c r="S161" s="312" t="str">
        <f t="shared" si="459"/>
        <v/>
      </c>
      <c r="T161" s="312" t="str">
        <f t="shared" si="459"/>
        <v/>
      </c>
      <c r="U161" s="312" t="str">
        <f t="shared" si="459"/>
        <v/>
      </c>
      <c r="V161" s="312" t="str">
        <f t="shared" si="459"/>
        <v/>
      </c>
      <c r="W161" s="312" t="str">
        <f t="shared" si="459"/>
        <v/>
      </c>
      <c r="X161" s="312" t="str">
        <f t="shared" si="459"/>
        <v/>
      </c>
      <c r="Y161" s="312" t="str">
        <f t="shared" si="459"/>
        <v/>
      </c>
      <c r="Z161" s="312" t="str">
        <f t="shared" si="459"/>
        <v/>
      </c>
      <c r="AA161" s="312" t="str">
        <f t="shared" si="459"/>
        <v/>
      </c>
      <c r="AB161" s="312" t="str">
        <f t="shared" si="459"/>
        <v/>
      </c>
      <c r="AC161" s="312" t="str">
        <f t="shared" si="459"/>
        <v/>
      </c>
      <c r="AD161" s="312" t="str">
        <f t="shared" si="459"/>
        <v/>
      </c>
      <c r="AE161" s="312" t="str">
        <f t="shared" si="459"/>
        <v/>
      </c>
      <c r="AF161" s="312" t="str">
        <f t="shared" si="459"/>
        <v/>
      </c>
      <c r="AG161" s="312" t="str">
        <f t="shared" si="459"/>
        <v/>
      </c>
      <c r="AH161" s="312" t="str">
        <f t="shared" ref="AH161:BM161" si="460">IF(ISERROR(((AVERAGE(AH8:AH153))-(AVERAGE($I8:$I51)))/STDEV(AH8:AH153)),"",((AVERAGE(AH8:AH153))-(AVERAGE($I8:$I51)))/STDEV(AH8:AH153))</f>
        <v/>
      </c>
      <c r="AI161" s="312" t="str">
        <f t="shared" si="460"/>
        <v/>
      </c>
      <c r="AJ161" s="312" t="str">
        <f t="shared" si="460"/>
        <v/>
      </c>
      <c r="AK161" s="312" t="str">
        <f t="shared" si="460"/>
        <v/>
      </c>
      <c r="AL161" s="312" t="str">
        <f t="shared" si="460"/>
        <v/>
      </c>
      <c r="AM161" s="312" t="str">
        <f t="shared" si="460"/>
        <v/>
      </c>
      <c r="AN161" s="312" t="str">
        <f t="shared" si="460"/>
        <v/>
      </c>
      <c r="AO161" s="312" t="str">
        <f t="shared" si="460"/>
        <v/>
      </c>
      <c r="AP161" s="312" t="str">
        <f t="shared" si="460"/>
        <v/>
      </c>
      <c r="AQ161" s="312" t="str">
        <f t="shared" si="460"/>
        <v/>
      </c>
      <c r="AR161" s="312" t="str">
        <f t="shared" si="460"/>
        <v/>
      </c>
      <c r="AS161" s="312" t="str">
        <f t="shared" si="460"/>
        <v/>
      </c>
      <c r="AT161" s="312" t="str">
        <f t="shared" si="460"/>
        <v/>
      </c>
      <c r="AU161" s="312" t="str">
        <f t="shared" si="460"/>
        <v/>
      </c>
      <c r="AV161" s="312" t="str">
        <f t="shared" si="460"/>
        <v/>
      </c>
      <c r="AW161" s="312" t="str">
        <f t="shared" si="460"/>
        <v/>
      </c>
      <c r="AX161" s="312" t="str">
        <f t="shared" si="460"/>
        <v/>
      </c>
      <c r="AY161" s="312" t="str">
        <f t="shared" si="460"/>
        <v/>
      </c>
      <c r="AZ161" s="312" t="str">
        <f t="shared" si="460"/>
        <v/>
      </c>
      <c r="BA161" s="312" t="str">
        <f t="shared" si="460"/>
        <v/>
      </c>
      <c r="BB161" s="312" t="str">
        <f t="shared" si="460"/>
        <v/>
      </c>
      <c r="BC161" s="312" t="str">
        <f t="shared" si="460"/>
        <v/>
      </c>
      <c r="BD161" s="312" t="str">
        <f t="shared" si="460"/>
        <v/>
      </c>
      <c r="BE161" s="312" t="str">
        <f t="shared" si="460"/>
        <v/>
      </c>
      <c r="BF161" s="312" t="str">
        <f t="shared" si="460"/>
        <v/>
      </c>
      <c r="BG161" s="312" t="str">
        <f t="shared" si="460"/>
        <v/>
      </c>
      <c r="BH161" s="312" t="str">
        <f t="shared" si="460"/>
        <v/>
      </c>
      <c r="BI161" s="312" t="str">
        <f t="shared" si="460"/>
        <v/>
      </c>
      <c r="BJ161" s="312" t="str">
        <f t="shared" si="460"/>
        <v/>
      </c>
      <c r="BK161" s="312" t="str">
        <f t="shared" si="460"/>
        <v/>
      </c>
      <c r="BL161" s="312" t="str">
        <f t="shared" si="460"/>
        <v/>
      </c>
      <c r="BM161" s="312" t="str">
        <f t="shared" si="460"/>
        <v/>
      </c>
      <c r="BN161" s="312" t="str">
        <f t="shared" ref="BN161:CA161" si="461">IF(ISERROR(((AVERAGE(BN8:BN153))-(AVERAGE($I8:$I51)))/STDEV(BN8:BN153)),"",((AVERAGE(BN8:BN153))-(AVERAGE($I8:$I51)))/STDEV(BN8:BN153))</f>
        <v/>
      </c>
      <c r="BO161" s="312" t="str">
        <f t="shared" si="461"/>
        <v/>
      </c>
      <c r="BP161" s="312" t="str">
        <f t="shared" si="461"/>
        <v/>
      </c>
      <c r="BQ161" s="312" t="str">
        <f t="shared" si="461"/>
        <v/>
      </c>
      <c r="BR161" s="312" t="str">
        <f t="shared" si="461"/>
        <v/>
      </c>
      <c r="BS161" s="312" t="str">
        <f t="shared" si="461"/>
        <v/>
      </c>
      <c r="BT161" s="312" t="str">
        <f t="shared" si="461"/>
        <v/>
      </c>
      <c r="BU161" s="312" t="str">
        <f t="shared" si="461"/>
        <v/>
      </c>
      <c r="BV161" s="312" t="str">
        <f t="shared" si="461"/>
        <v/>
      </c>
      <c r="BW161" s="312" t="str">
        <f t="shared" si="461"/>
        <v/>
      </c>
      <c r="BX161" s="312" t="str">
        <f t="shared" si="461"/>
        <v/>
      </c>
      <c r="BY161" s="312" t="str">
        <f t="shared" si="461"/>
        <v/>
      </c>
      <c r="BZ161" s="312" t="str">
        <f t="shared" si="461"/>
        <v/>
      </c>
      <c r="CA161" s="312" t="str">
        <f t="shared" si="461"/>
        <v/>
      </c>
    </row>
    <row r="162" spans="1:79" s="316" customFormat="1" thickBot="1">
      <c r="A162" s="314" t="s">
        <v>283</v>
      </c>
      <c r="B162" s="478">
        <f t="array" aca="1" ref="B162" ca="1">IF(ISERROR(PRODUCT(1+OFFSET(B$8,B$6,0,$A$154-B$6,1)%)),"",PRODUCT(1+OFFSET(B$8,B$6,0,$A$154-B$6,1)%))</f>
        <v>183838.76654793415</v>
      </c>
      <c r="C162" s="478">
        <f t="array" aca="1" ref="C162" ca="1">IF(ISERROR(PRODUCT(1+OFFSET(C$8,C$6,0,$A$154-C$6,1)%)),"",PRODUCT(1+OFFSET(C$8,C$6,0,$A$154-C$6,1)%))</f>
        <v>117.51838555468198</v>
      </c>
      <c r="D162" s="478">
        <f t="array" aca="1" ref="D162" ca="1">IF(ISERROR(PRODUCT(1+OFFSET(D$8,D$6,0,$A$154-D$6,1)%)),"",PRODUCT(1+OFFSET(D$8,D$6,0,$A$154-D$6,1)%))</f>
        <v>177371.60371038428</v>
      </c>
      <c r="E162" s="478">
        <f t="array" aca="1" ref="E162" ca="1">IF(ISERROR(PRODUCT(1+OFFSET(E$8,E$6,0,$A$154-E$6,1)%)),"",PRODUCT(1+OFFSET(E$8,E$6,0,$A$154-E$6,1)%))</f>
        <v>54.151915226191406</v>
      </c>
      <c r="F162" s="478">
        <f t="array" aca="1" ref="F162" ca="1">IF(ISERROR(PRODUCT(1+OFFSET(F$8,F$6,0,$A$154-F$6,1)%)),"",PRODUCT(1+OFFSET(F$8,F$6,0,$A$154-F$6,1)%))</f>
        <v>157.12499543548336</v>
      </c>
      <c r="G162" s="478">
        <f t="array" aca="1" ref="G162" ca="1">IF(ISERROR(PRODUCT(1+OFFSET(G$8,G$6,0,$A$154-G$6,1)%)),"",PRODUCT(1+OFFSET(G$8,G$6,0,$A$154-G$6,1)%))</f>
        <v>222.54891608536738</v>
      </c>
      <c r="H162" s="478">
        <f t="array" aca="1" ref="H162" ca="1">IF(ISERROR(PRODUCT(1+OFFSET(H$8,H$6,0,$A$154-H$6,1)%)),"",PRODUCT(1+OFFSET(H$8,H$6,0,$A$154-H$6,1)%))</f>
        <v>111.5438145320384</v>
      </c>
      <c r="I162" s="478">
        <f t="array" aca="1" ref="I162" ca="1">IF(ISERROR(PRODUCT(1+OFFSET(I$8,I$6,0,$A$154-I$6,1)%)),"",PRODUCT(1+OFFSET(I$8,I$6,0,$A$154-I$6,1)%))</f>
        <v>48.873955044291485</v>
      </c>
      <c r="J162" s="478">
        <f t="array" aca="1" ref="J162" ca="1">IF(ISERROR(PRODUCT(1+OFFSET(J$8,J$6,0,$A$154-J$6,1)%)),"",PRODUCT(1+OFFSET(J$8,J$6,0,$A$154-J$6,1)%))</f>
        <v>107.45332423842136</v>
      </c>
      <c r="K162" s="478">
        <f t="array" aca="1" ref="K162" ca="1">IF(ISERROR(PRODUCT(1+OFFSET(K$8,K$6,0,$A$154-K$6,1)%)),"",PRODUCT(1+OFFSET(K$8,K$6,0,$A$154-K$6,1)%))</f>
        <v>134.21018082896435</v>
      </c>
      <c r="L162" s="478">
        <f t="array" aca="1" ref="L162" ca="1">IF(ISERROR(PRODUCT(1+OFFSET(L$8,L$6,0,$A$154-L$6,1)%)),"",PRODUCT(1+OFFSET(L$8,L$6,0,$A$154-L$6,1)%))</f>
        <v>44.932313914845132</v>
      </c>
      <c r="M162" s="478">
        <f t="array" aca="1" ref="M162" ca="1">IF(ISERROR(PRODUCT(1+OFFSET(M$8,M$6,0,$A$154-M$6,1)%)),"",PRODUCT(1+OFFSET(M$8,M$6,0,$A$154-M$6,1)%))</f>
        <v>406.84893107213355</v>
      </c>
      <c r="N162" s="478">
        <f t="array" aca="1" ref="N162" ca="1">IF(ISERROR(PRODUCT(1+OFFSET(N$8,N$6,0,$A$154-N$6,1)%)),"",PRODUCT(1+OFFSET(N$8,N$6,0,$A$154-N$6,1)%))</f>
        <v>60.490720050066123</v>
      </c>
      <c r="O162" s="478">
        <f t="array" aca="1" ref="O162" ca="1">IF(ISERROR(PRODUCT(1+OFFSET(O$8,O$6,0,$A$154-O$6,1)%)),"",PRODUCT(1+OFFSET(O$8,O$6,0,$A$154-O$6,1)%))</f>
        <v>40.888769969442947</v>
      </c>
      <c r="P162" s="478">
        <f t="array" aca="1" ref="P162" ca="1">IF(ISERROR(PRODUCT(1+OFFSET(P$8,P$6,0,$A$154-P$6,1)%)),"",PRODUCT(1+OFFSET(P$8,P$6,0,$A$154-P$6,1)%))</f>
        <v>60.474180950790718</v>
      </c>
      <c r="Q162" s="478">
        <f t="array" aca="1" ref="Q162" ca="1">IF(ISERROR(PRODUCT(1+OFFSET(Q$8,Q$6,0,$A$154-Q$6,1)%)),"",PRODUCT(1+OFFSET(Q$8,Q$6,0,$A$154-Q$6,1)%))</f>
        <v>88.361487038565002</v>
      </c>
      <c r="R162" s="478">
        <f t="array" aca="1" ref="R162" ca="1">IF(ISERROR(PRODUCT(1+OFFSET(R$8,R$6,0,$A$154-R$6,1)%)),"",PRODUCT(1+OFFSET(R$8,R$6,0,$A$154-R$6,1)%))</f>
        <v>26.21633358060242</v>
      </c>
      <c r="S162" s="478">
        <f t="array" aca="1" ref="S162" ca="1">IF(ISERROR(PRODUCT(1+OFFSET(S$8,S$6,0,$A$154-S$6,1)%)),"",PRODUCT(1+OFFSET(S$8,S$6,0,$A$154-S$6,1)%))</f>
        <v>27.138526640511159</v>
      </c>
      <c r="T162" s="478">
        <f t="array" aca="1" ref="T162" ca="1">IF(ISERROR(PRODUCT(1+OFFSET(T$8,T$6,0,$A$154-T$6,1)%)),"",PRODUCT(1+OFFSET(T$8,T$6,0,$A$154-T$6,1)%))</f>
        <v>642.59614716431236</v>
      </c>
      <c r="U162" s="478">
        <f t="array" aca="1" ref="U162" ca="1">IF(ISERROR(PRODUCT(1+OFFSET(U$8,U$6,0,$A$154-U$6,1)%)),"",PRODUCT(1+OFFSET(U$8,U$6,0,$A$154-U$6,1)%))</f>
        <v>21.316479720156934</v>
      </c>
      <c r="V162" s="478">
        <f t="array" aca="1" ref="V162" ca="1">IF(ISERROR(PRODUCT(1+OFFSET(V$8,V$6,0,$A$154-V$6,1)%)),"",PRODUCT(1+OFFSET(V$8,V$6,0,$A$154-V$6,1)%))</f>
        <v>379.24156021168028</v>
      </c>
      <c r="W162" s="478">
        <f t="array" aca="1" ref="W162" ca="1">IF(ISERROR(PRODUCT(1+OFFSET(W$8,W$6,0,$A$154-W$6,1)%)),"",PRODUCT(1+OFFSET(W$8,W$6,0,$A$154-W$6,1)%))</f>
        <v>17.744735883658944</v>
      </c>
      <c r="X162" s="478">
        <f t="array" aca="1" ref="X162" ca="1">IF(ISERROR(PRODUCT(1+OFFSET(X$8,X$6,0,$A$154-X$6,1)%)),"",PRODUCT(1+OFFSET(X$8,X$6,0,$A$154-X$6,1)%))</f>
        <v>67.660779356666794</v>
      </c>
      <c r="Y162" s="478">
        <f t="array" aca="1" ref="Y162" ca="1">IF(ISERROR(PRODUCT(1+OFFSET(Y$8,Y$6,0,$A$154-Y$6,1)%)),"",PRODUCT(1+OFFSET(Y$8,Y$6,0,$A$154-Y$6,1)%))</f>
        <v>59.042628378063952</v>
      </c>
      <c r="Z162" s="478">
        <f t="array" aca="1" ref="Z162" ca="1">IF(ISERROR(PRODUCT(1+OFFSET(Z$8,Z$6,0,$A$154-Z$6,1)%)),"",PRODUCT(1+OFFSET(Z$8,Z$6,0,$A$154-Z$6,1)%))</f>
        <v>123.69419917705351</v>
      </c>
      <c r="AA162" s="478">
        <f t="array" aca="1" ref="AA162" ca="1">IF(ISERROR(PRODUCT(1+OFFSET(AA$8,AA$6,0,$A$154-AA$6,1)%)),"",PRODUCT(1+OFFSET(AA$8,AA$6,0,$A$154-AA$6,1)%))</f>
        <v>16.075756093158805</v>
      </c>
      <c r="AB162" s="478">
        <f t="array" aca="1" ref="AB162" ca="1">IF(ISERROR(PRODUCT(1+OFFSET(AB$8,AB$6,0,$A$154-AB$6,1)%)),"",PRODUCT(1+OFFSET(AB$8,AB$6,0,$A$154-AB$6,1)%))</f>
        <v>20.312631959924907</v>
      </c>
      <c r="AC162" s="478">
        <f t="array" aca="1" ref="AC162" ca="1">IF(ISERROR(PRODUCT(1+OFFSET(AC$8,AC$6,0,$A$154-AC$6,1)%)),"",PRODUCT(1+OFFSET(AC$8,AC$6,0,$A$154-AC$6,1)%))</f>
        <v>310.57690638208851</v>
      </c>
      <c r="AD162" s="478">
        <f t="array" aca="1" ref="AD162" ca="1">IF(ISERROR(PRODUCT(1+OFFSET(AD$8,AD$6,0,$A$154-AD$6,1)%)),"",PRODUCT(1+OFFSET(AD$8,AD$6,0,$A$154-AD$6,1)%))</f>
        <v>23.695880649239612</v>
      </c>
      <c r="AE162" s="478">
        <f t="array" aca="1" ref="AE162" ca="1">IF(ISERROR(PRODUCT(1+OFFSET(AE$8,AE$6,0,$A$154-AE$6,1)%)),"",PRODUCT(1+OFFSET(AE$8,AE$6,0,$A$154-AE$6,1)%))</f>
        <v>144.03649961023183</v>
      </c>
      <c r="AF162" s="478">
        <f t="array" aca="1" ref="AF162" ca="1">IF(ISERROR(PRODUCT(1+OFFSET(AF$8,AF$6,0,$A$154-AF$6,1)%)),"",PRODUCT(1+OFFSET(AF$8,AF$6,0,$A$154-AF$6,1)%))</f>
        <v>3.8019109591162561</v>
      </c>
      <c r="AG162" s="478">
        <f t="array" aca="1" ref="AG162" ca="1">IF(ISERROR(PRODUCT(1+OFFSET(AG$8,AG$6,0,$A$154-AG$6,1)%)),"",PRODUCT(1+OFFSET(AG$8,AG$6,0,$A$154-AG$6,1)%))</f>
        <v>21.408893550887576</v>
      </c>
      <c r="AH162" s="478">
        <f t="array" aca="1" ref="AH162" ca="1">IF(ISERROR(PRODUCT(1+OFFSET(AH$8,AH$6,0,$A$154-AH$6,1)%)),"",PRODUCT(1+OFFSET(AH$8,AH$6,0,$A$154-AH$6,1)%))</f>
        <v>2.9985421518687096</v>
      </c>
      <c r="AI162" s="478">
        <f t="array" aca="1" ref="AI162" ca="1">IF(ISERROR(PRODUCT(1+OFFSET(AI$8,AI$6,0,$A$154-AI$6,1)%)),"",PRODUCT(1+OFFSET(AI$8,AI$6,0,$A$154-AI$6,1)%))</f>
        <v>6.6561518387154921</v>
      </c>
      <c r="AJ162" s="478">
        <f t="array" aca="1" ref="AJ162" ca="1">IF(ISERROR(PRODUCT(1+OFFSET(AJ$8,AJ$6,0,$A$154-AJ$6,1)%)),"",PRODUCT(1+OFFSET(AJ$8,AJ$6,0,$A$154-AJ$6,1)%))</f>
        <v>8.2003628465847775</v>
      </c>
      <c r="AK162" s="478">
        <f t="array" aca="1" ref="AK162" ca="1">IF(ISERROR(PRODUCT(1+OFFSET(AK$8,AK$6,0,$A$154-AK$6,1)%)),"",PRODUCT(1+OFFSET(AK$8,AK$6,0,$A$154-AK$6,1)%))</f>
        <v>9.0614132747995786</v>
      </c>
      <c r="AL162" s="478">
        <f t="array" aca="1" ref="AL162" ca="1">IF(ISERROR(PRODUCT(1+OFFSET(AL$8,AL$6,0,$A$154-AL$6,1)%)),"",PRODUCT(1+OFFSET(AL$8,AL$6,0,$A$154-AL$6,1)%))</f>
        <v>24.247613785721196</v>
      </c>
      <c r="AM162" s="478">
        <f t="array" aca="1" ref="AM162" ca="1">IF(ISERROR(PRODUCT(1+OFFSET(AM$8,AM$6,0,$A$154-AM$6,1)%)),"",PRODUCT(1+OFFSET(AM$8,AM$6,0,$A$154-AM$6,1)%))</f>
        <v>41.300136792843631</v>
      </c>
      <c r="AN162" s="478">
        <f t="array" aca="1" ref="AN162" ca="1">IF(ISERROR(PRODUCT(1+OFFSET(AN$8,AN$6,0,$A$154-AN$6,1)%)),"",PRODUCT(1+OFFSET(AN$8,AN$6,0,$A$154-AN$6,1)%))</f>
        <v>23.48450994651207</v>
      </c>
      <c r="AO162" s="478">
        <f t="array" aca="1" ref="AO162" ca="1">IF(ISERROR(PRODUCT(1+OFFSET(AO$8,AO$6,0,$A$154-AO$6,1)%)),"",PRODUCT(1+OFFSET(AO$8,AO$6,0,$A$154-AO$6,1)%))</f>
        <v>5.94660482166113</v>
      </c>
      <c r="AP162" s="478">
        <f t="array" aca="1" ref="AP162" ca="1">IF(ISERROR(PRODUCT(1+OFFSET(AP$8,AP$6,0,$A$154-AP$6,1)%)),"",PRODUCT(1+OFFSET(AP$8,AP$6,0,$A$154-AP$6,1)%))</f>
        <v>5.9038995583096101</v>
      </c>
      <c r="AQ162" s="478" t="str">
        <f t="array" aca="1" ref="AQ162" ca="1">IF(ISERROR(PRODUCT(1+OFFSET(AQ$8,AQ$6,0,$A$154-AQ$6,1)%)),"",PRODUCT(1+OFFSET(AQ$8,AQ$6,0,$A$154-AQ$6,1)%))</f>
        <v/>
      </c>
      <c r="AR162" s="478" t="str">
        <f t="array" aca="1" ref="AR162" ca="1">IF(ISERROR(PRODUCT(1+OFFSET(AR$8,AR$6,0,$A$154-AR$6,1)%)),"",PRODUCT(1+OFFSET(AR$8,AR$6,0,$A$154-AR$6,1)%))</f>
        <v/>
      </c>
      <c r="AS162" s="478" t="str">
        <f t="array" aca="1" ref="AS162" ca="1">IF(ISERROR(PRODUCT(1+OFFSET(AS$8,AS$6,0,$A$154-AS$6,1)%)),"",PRODUCT(1+OFFSET(AS$8,AS$6,0,$A$154-AS$6,1)%))</f>
        <v/>
      </c>
      <c r="AT162" s="478" t="str">
        <f t="array" aca="1" ref="AT162" ca="1">IF(ISERROR(PRODUCT(1+OFFSET(AT$8,AT$6,0,$A$154-AT$6,1)%)),"",PRODUCT(1+OFFSET(AT$8,AT$6,0,$A$154-AT$6,1)%))</f>
        <v/>
      </c>
      <c r="AU162" s="478" t="str">
        <f t="array" aca="1" ref="AU162" ca="1">IF(ISERROR(PRODUCT(1+OFFSET(AU$8,AU$6,0,$A$154-AU$6,1)%)),"",PRODUCT(1+OFFSET(AU$8,AU$6,0,$A$154-AU$6,1)%))</f>
        <v/>
      </c>
      <c r="AV162" s="478" t="str">
        <f t="array" aca="1" ref="AV162" ca="1">IF(ISERROR(PRODUCT(1+OFFSET(AV$8,AV$6,0,$A$154-AV$6,1)%)),"",PRODUCT(1+OFFSET(AV$8,AV$6,0,$A$154-AV$6,1)%))</f>
        <v/>
      </c>
      <c r="AW162" s="478" t="str">
        <f t="array" aca="1" ref="AW162" ca="1">IF(ISERROR(PRODUCT(1+OFFSET(AW$8,AW$6,0,$A$154-AW$6,1)%)),"",PRODUCT(1+OFFSET(AW$8,AW$6,0,$A$154-AW$6,1)%))</f>
        <v/>
      </c>
      <c r="AX162" s="478" t="str">
        <f t="array" aca="1" ref="AX162" ca="1">IF(ISERROR(PRODUCT(1+OFFSET(AX$8,AX$6,0,$A$154-AX$6,1)%)),"",PRODUCT(1+OFFSET(AX$8,AX$6,0,$A$154-AX$6,1)%))</f>
        <v/>
      </c>
      <c r="AY162" s="478" t="str">
        <f t="array" aca="1" ref="AY162" ca="1">IF(ISERROR(PRODUCT(1+OFFSET(AY$8,AY$6,0,$A$154-AY$6,1)%)),"",PRODUCT(1+OFFSET(AY$8,AY$6,0,$A$154-AY$6,1)%))</f>
        <v/>
      </c>
      <c r="AZ162" s="478" t="str">
        <f t="array" aca="1" ref="AZ162" ca="1">IF(ISERROR(PRODUCT(1+OFFSET(AZ$8,AZ$6,0,$A$154-AZ$6,1)%)),"",PRODUCT(1+OFFSET(AZ$8,AZ$6,0,$A$154-AZ$6,1)%))</f>
        <v/>
      </c>
      <c r="BA162" s="478" t="str">
        <f t="array" aca="1" ref="BA162" ca="1">IF(ISERROR(PRODUCT(1+OFFSET(BA$8,BA$6,0,$A$154-BA$6,1)%)),"",PRODUCT(1+OFFSET(BA$8,BA$6,0,$A$154-BA$6,1)%))</f>
        <v/>
      </c>
      <c r="BB162" s="478" t="str">
        <f t="array" aca="1" ref="BB162" ca="1">IF(ISERROR(PRODUCT(1+OFFSET(BB$8,BB$6,0,$A$154-BB$6,1)%)),"",PRODUCT(1+OFFSET(BB$8,BB$6,0,$A$154-BB$6,1)%))</f>
        <v/>
      </c>
      <c r="BC162" s="478" t="str">
        <f t="array" aca="1" ref="BC162" ca="1">IF(ISERROR(PRODUCT(1+OFFSET(BC$8,BC$6,0,$A$154-BC$6,1)%)),"",PRODUCT(1+OFFSET(BC$8,BC$6,0,$A$154-BC$6,1)%))</f>
        <v/>
      </c>
      <c r="BD162" s="478" t="str">
        <f t="array" aca="1" ref="BD162" ca="1">IF(ISERROR(PRODUCT(1+OFFSET(BD$8,BD$6,0,$A$154-BD$6,1)%)),"",PRODUCT(1+OFFSET(BD$8,BD$6,0,$A$154-BD$6,1)%))</f>
        <v/>
      </c>
      <c r="BE162" s="478" t="str">
        <f t="array" aca="1" ref="BE162" ca="1">IF(ISERROR(PRODUCT(1+OFFSET(BE$8,BE$6,0,$A$154-BE$6,1)%)),"",PRODUCT(1+OFFSET(BE$8,BE$6,0,$A$154-BE$6,1)%))</f>
        <v/>
      </c>
      <c r="BF162" s="478" t="str">
        <f t="array" aca="1" ref="BF162" ca="1">IF(ISERROR(PRODUCT(1+OFFSET(BF$8,BF$6,0,$A$154-BF$6,1)%)),"",PRODUCT(1+OFFSET(BF$8,BF$6,0,$A$154-BF$6,1)%))</f>
        <v/>
      </c>
      <c r="BG162" s="478" t="str">
        <f t="array" aca="1" ref="BG162" ca="1">IF(ISERROR(PRODUCT(1+OFFSET(BG$8,BG$6,0,$A$154-BG$6,1)%)),"",PRODUCT(1+OFFSET(BG$8,BG$6,0,$A$154-BG$6,1)%))</f>
        <v/>
      </c>
      <c r="BH162" s="478" t="str">
        <f t="array" aca="1" ref="BH162" ca="1">IF(ISERROR(PRODUCT(1+OFFSET(BH$8,BH$6,0,$A$154-BH$6,1)%)),"",PRODUCT(1+OFFSET(BH$8,BH$6,0,$A$154-BH$6,1)%))</f>
        <v/>
      </c>
      <c r="BI162" s="478" t="str">
        <f t="array" aca="1" ref="BI162" ca="1">IF(ISERROR(PRODUCT(1+OFFSET(BI$8,BI$6,0,$A$154-BI$6,1)%)),"",PRODUCT(1+OFFSET(BI$8,BI$6,0,$A$154-BI$6,1)%))</f>
        <v/>
      </c>
      <c r="BJ162" s="478" t="str">
        <f t="array" aca="1" ref="BJ162" ca="1">IF(ISERROR(PRODUCT(1+OFFSET(BJ$8,BJ$6,0,$A$154-BJ$6,1)%)),"",PRODUCT(1+OFFSET(BJ$8,BJ$6,0,$A$154-BJ$6,1)%))</f>
        <v/>
      </c>
      <c r="BK162" s="478" t="str">
        <f t="array" aca="1" ref="BK162" ca="1">IF(ISERROR(PRODUCT(1+OFFSET(BK$8,BK$6,0,$A$154-BK$6,1)%)),"",PRODUCT(1+OFFSET(BK$8,BK$6,0,$A$154-BK$6,1)%))</f>
        <v/>
      </c>
      <c r="BL162" s="478" t="str">
        <f t="array" aca="1" ref="BL162" ca="1">IF(ISERROR(PRODUCT(1+OFFSET(BL$8,BL$6,0,$A$154-BL$6,1)%)),"",PRODUCT(1+OFFSET(BL$8,BL$6,0,$A$154-BL$6,1)%))</f>
        <v/>
      </c>
      <c r="BM162" s="478" t="str">
        <f t="array" aca="1" ref="BM162" ca="1">IF(ISERROR(PRODUCT(1+OFFSET(BM$8,BM$6,0,$A$154-BM$6,1)%)),"",PRODUCT(1+OFFSET(BM$8,BM$6,0,$A$154-BM$6,1)%))</f>
        <v/>
      </c>
      <c r="BN162" s="478" t="str">
        <f t="array" aca="1" ref="BN162" ca="1">IF(ISERROR(PRODUCT(1+OFFSET(BN$8,BN$6,0,$A$154-BN$6,1)%)),"",PRODUCT(1+OFFSET(BN$8,BN$6,0,$A$154-BN$6,1)%))</f>
        <v/>
      </c>
      <c r="BO162" s="478" t="str">
        <f t="array" aca="1" ref="BO162" ca="1">IF(ISERROR(PRODUCT(1+OFFSET(BO$8,BO$6,0,$A$154-BO$6,1)%)),"",PRODUCT(1+OFFSET(BO$8,BO$6,0,$A$154-BO$6,1)%))</f>
        <v/>
      </c>
      <c r="BP162" s="478" t="str">
        <f t="array" aca="1" ref="BP162" ca="1">IF(ISERROR(PRODUCT(1+OFFSET(BP$8,BP$6,0,$A$154-BP$6,1)%)),"",PRODUCT(1+OFFSET(BP$8,BP$6,0,$A$154-BP$6,1)%))</f>
        <v/>
      </c>
      <c r="BQ162" s="478" t="str">
        <f t="array" aca="1" ref="BQ162" ca="1">IF(ISERROR(PRODUCT(1+OFFSET(BQ$8,BQ$6,0,$A$154-BQ$6,1)%)),"",PRODUCT(1+OFFSET(BQ$8,BQ$6,0,$A$154-BQ$6,1)%))</f>
        <v/>
      </c>
      <c r="BR162" s="478" t="str">
        <f t="array" aca="1" ref="BR162" ca="1">IF(ISERROR(PRODUCT(1+OFFSET(BR$8,BR$6,0,$A$154-BR$6,1)%)),"",PRODUCT(1+OFFSET(BR$8,BR$6,0,$A$154-BR$6,1)%))</f>
        <v/>
      </c>
      <c r="BS162" s="478" t="str">
        <f t="array" aca="1" ref="BS162" ca="1">IF(ISERROR(PRODUCT(1+OFFSET(BS$8,BS$6,0,$A$154-BS$6,1)%)),"",PRODUCT(1+OFFSET(BS$8,BS$6,0,$A$154-BS$6,1)%))</f>
        <v/>
      </c>
      <c r="BT162" s="478" t="str">
        <f t="array" aca="1" ref="BT162" ca="1">IF(ISERROR(PRODUCT(1+OFFSET(BT$8,BT$6,0,$A$154-BT$6,1)%)),"",PRODUCT(1+OFFSET(BT$8,BT$6,0,$A$154-BT$6,1)%))</f>
        <v/>
      </c>
      <c r="BU162" s="478" t="str">
        <f t="array" aca="1" ref="BU162" ca="1">IF(ISERROR(PRODUCT(1+OFFSET(BU$8,BU$6,0,$A$154-BU$6,1)%)),"",PRODUCT(1+OFFSET(BU$8,BU$6,0,$A$154-BU$6,1)%))</f>
        <v/>
      </c>
      <c r="BV162" s="478" t="str">
        <f t="array" aca="1" ref="BV162" ca="1">IF(ISERROR(PRODUCT(1+OFFSET(BV$8,BV$6,0,$A$154-BV$6,1)%)),"",PRODUCT(1+OFFSET(BV$8,BV$6,0,$A$154-BV$6,1)%))</f>
        <v/>
      </c>
      <c r="BW162" s="478" t="str">
        <f t="array" aca="1" ref="BW162" ca="1">IF(ISERROR(PRODUCT(1+OFFSET(BW$8,BW$6,0,$A$154-BW$6,1)%)),"",PRODUCT(1+OFFSET(BW$8,BW$6,0,$A$154-BW$6,1)%))</f>
        <v/>
      </c>
      <c r="BX162" s="478">
        <f t="array" aca="1" ref="BX162" ca="1">IF(ISERROR(PRODUCT(1+OFFSET(BX$8,BX$6,0,$A$154-BX$6,1)%)),"",PRODUCT(1+OFFSET(BX$8,BX$6,0,$A$154-BX$6,1)%))</f>
        <v>202776.25942880643</v>
      </c>
      <c r="BY162" s="478">
        <f t="array" aca="1" ref="BY162" ca="1">IF(ISERROR(PRODUCT(1+OFFSET(BY$8,BY$6,0,$A$154-BY$6,1)%)),"",PRODUCT(1+OFFSET(BY$8,BY$6,0,$A$154-BY$6,1)%))</f>
        <v>779.91777308090082</v>
      </c>
      <c r="BZ162" s="478">
        <f t="array" aca="1" ref="BZ162" ca="1">IF(ISERROR(PRODUCT(1+OFFSET(BZ$8,BZ$6,0,$A$154-BZ$6,1)%)),"",PRODUCT(1+OFFSET(BZ$8,BZ$6,0,$A$154-BZ$6,1)%))</f>
        <v>491.65016163309264</v>
      </c>
      <c r="CA162" s="478">
        <f t="array" aca="1" ref="CA162" ca="1">IF(ISERROR(PRODUCT(1+OFFSET(CA$8,CA$6,0,$A$154-CA$6,1)%)),"",PRODUCT(1+OFFSET(CA$8,CA$6,0,$A$154-CA$6,1)%))</f>
        <v>18.976559886861896</v>
      </c>
    </row>
    <row r="163" spans="1:79" ht="14" thickTop="1" thickBot="1">
      <c r="A163" s="317" t="s">
        <v>459</v>
      </c>
      <c r="B163" s="519" t="str">
        <f ca="1">INDEX(B2:BZ2, MATCH(MAX(B157:BZ157), B157:BZ157, 0))</f>
        <v>VGHCX</v>
      </c>
    </row>
    <row r="164" spans="1:79" ht="13" thickTop="1"/>
    <row r="167" spans="1:79" s="181" customFormat="1" ht="36">
      <c r="A167" s="181" t="s">
        <v>440</v>
      </c>
      <c r="B167" s="65" t="str">
        <f t="shared" ref="B167:AT167" si="462">IF(B$1="","",B$1)</f>
        <v>MKT-TSM</v>
      </c>
      <c r="C167" s="65" t="str">
        <f t="shared" si="462"/>
        <v>LCV</v>
      </c>
      <c r="D167" s="65" t="str">
        <f t="shared" si="462"/>
        <v>500 Idx</v>
      </c>
      <c r="E167" s="65" t="str">
        <f t="shared" si="462"/>
        <v>LCG</v>
      </c>
      <c r="F167" s="65" t="str">
        <f t="shared" si="462"/>
        <v>MCB</v>
      </c>
      <c r="G167" s="65" t="str">
        <f t="shared" si="462"/>
        <v>SCV</v>
      </c>
      <c r="H167" s="65" t="str">
        <f t="shared" si="462"/>
        <v>SCB</v>
      </c>
      <c r="I167" s="65" t="str">
        <f t="shared" si="462"/>
        <v>SCG</v>
      </c>
      <c r="J167" s="65" t="str">
        <f t="shared" si="462"/>
        <v>D10</v>
      </c>
      <c r="K167" s="65" t="str">
        <f t="shared" si="462"/>
        <v>REIT</v>
      </c>
      <c r="L167" s="65" t="str">
        <f t="shared" si="462"/>
        <v>EAFED</v>
      </c>
      <c r="M167" s="65" t="str">
        <f t="shared" si="462"/>
        <v>EM</v>
      </c>
      <c r="N167" s="65" t="str">
        <f t="shared" si="462"/>
        <v>Total Intl</v>
      </c>
      <c r="O167" s="65" t="str">
        <f t="shared" si="462"/>
        <v>Pacific</v>
      </c>
      <c r="P167" s="65" t="str">
        <f t="shared" si="462"/>
        <v>Europe</v>
      </c>
      <c r="Q167" s="65" t="str">
        <f t="shared" si="462"/>
        <v>Intl Value</v>
      </c>
      <c r="R167" s="65" t="str">
        <f t="shared" si="462"/>
        <v>COMM</v>
      </c>
      <c r="S167" s="65" t="str">
        <f t="shared" si="462"/>
        <v>LTGB</v>
      </c>
      <c r="T167" s="65" t="str">
        <f t="shared" si="462"/>
        <v>5 Yr T</v>
      </c>
      <c r="U167" s="65" t="str">
        <f t="shared" si="462"/>
        <v>ITB</v>
      </c>
      <c r="V167" s="65" t="str">
        <f t="shared" si="462"/>
        <v>TBILL</v>
      </c>
      <c r="W167" s="65" t="str">
        <f t="shared" si="462"/>
        <v>S-TIPS</v>
      </c>
      <c r="X167" s="65" t="str">
        <f t="shared" si="462"/>
        <v>Wellington</v>
      </c>
      <c r="Y167" s="65" t="str">
        <f t="shared" si="462"/>
        <v>Wellesley</v>
      </c>
      <c r="Z167" s="65" t="str">
        <f t="shared" si="462"/>
        <v>Windsor</v>
      </c>
      <c r="AA167" s="65" t="str">
        <f t="shared" si="462"/>
        <v>ST Trsry</v>
      </c>
      <c r="AB167" s="65" t="str">
        <f t="shared" si="462"/>
        <v>GOLD</v>
      </c>
      <c r="AC167" s="65" t="str">
        <f t="shared" si="462"/>
        <v>VG Intl Small</v>
      </c>
      <c r="AD167" s="65" t="str">
        <f t="shared" si="462"/>
        <v>Energy</v>
      </c>
      <c r="AE167" s="65" t="str">
        <f t="shared" si="462"/>
        <v>Health</v>
      </c>
      <c r="AF167" s="65" t="str">
        <f t="shared" si="462"/>
        <v>P.Metals</v>
      </c>
      <c r="AG167" s="65" t="str">
        <f t="shared" si="462"/>
        <v>Windsor II</v>
      </c>
      <c r="AH167" s="65" t="str">
        <f t="shared" si="462"/>
        <v>V ST TE</v>
      </c>
      <c r="AI167" s="65" t="str">
        <f t="shared" si="462"/>
        <v>V Int TE</v>
      </c>
      <c r="AJ167" s="65" t="str">
        <f t="shared" si="462"/>
        <v>V LT TE</v>
      </c>
      <c r="AK167" s="65" t="str">
        <f t="shared" si="462"/>
        <v>Hi-Yld C</v>
      </c>
      <c r="AL167" s="65" t="str">
        <f t="shared" si="462"/>
        <v>MidCap Growth</v>
      </c>
      <c r="AM167" s="65" t="str">
        <f t="shared" si="462"/>
        <v>MidCap Val</v>
      </c>
      <c r="AN167" s="65" t="str">
        <f t="shared" si="462"/>
        <v>V Ext Mkt</v>
      </c>
      <c r="AO167" s="65" t="str">
        <f t="shared" si="462"/>
        <v>Global Bd Fund</v>
      </c>
      <c r="AP167" s="65" t="str">
        <f t="shared" si="462"/>
        <v>ST Invest. Grade</v>
      </c>
      <c r="AQ167" s="65" t="str">
        <f t="shared" si="462"/>
        <v/>
      </c>
      <c r="AR167" s="65" t="str">
        <f t="shared" si="462"/>
        <v/>
      </c>
      <c r="AS167" s="65" t="str">
        <f t="shared" si="462"/>
        <v/>
      </c>
      <c r="AT167" s="65" t="str">
        <f t="shared" si="462"/>
        <v/>
      </c>
      <c r="AU167" s="65" t="str">
        <f t="shared" ref="AU167:BZ167" si="463">IF(AU$1="","",AU$1)</f>
        <v/>
      </c>
      <c r="AV167" s="65" t="str">
        <f t="shared" si="463"/>
        <v/>
      </c>
      <c r="AW167" s="65" t="str">
        <f t="shared" si="463"/>
        <v/>
      </c>
      <c r="AX167" s="65" t="str">
        <f t="shared" si="463"/>
        <v/>
      </c>
      <c r="AY167" s="65" t="str">
        <f t="shared" si="463"/>
        <v/>
      </c>
      <c r="AZ167" s="65" t="str">
        <f t="shared" si="463"/>
        <v/>
      </c>
      <c r="BA167" s="65" t="str">
        <f t="shared" si="463"/>
        <v/>
      </c>
      <c r="BB167" s="65" t="str">
        <f t="shared" si="463"/>
        <v/>
      </c>
      <c r="BC167" s="65" t="str">
        <f t="shared" si="463"/>
        <v/>
      </c>
      <c r="BD167" s="65" t="str">
        <f t="shared" si="463"/>
        <v/>
      </c>
      <c r="BE167" s="65" t="str">
        <f t="shared" si="463"/>
        <v/>
      </c>
      <c r="BF167" s="65" t="str">
        <f t="shared" si="463"/>
        <v/>
      </c>
      <c r="BG167" s="65" t="str">
        <f t="shared" si="463"/>
        <v/>
      </c>
      <c r="BH167" s="65" t="str">
        <f t="shared" si="463"/>
        <v/>
      </c>
      <c r="BI167" s="65" t="str">
        <f t="shared" si="463"/>
        <v/>
      </c>
      <c r="BJ167" s="65" t="str">
        <f t="shared" si="463"/>
        <v/>
      </c>
      <c r="BK167" s="65" t="str">
        <f t="shared" si="463"/>
        <v/>
      </c>
      <c r="BL167" s="65" t="str">
        <f t="shared" si="463"/>
        <v/>
      </c>
      <c r="BM167" s="65" t="str">
        <f t="shared" si="463"/>
        <v/>
      </c>
      <c r="BN167" s="65" t="str">
        <f t="shared" si="463"/>
        <v/>
      </c>
      <c r="BO167" s="65" t="str">
        <f t="shared" si="463"/>
        <v/>
      </c>
      <c r="BP167" s="65" t="str">
        <f t="shared" si="463"/>
        <v/>
      </c>
      <c r="BQ167" s="65" t="str">
        <f t="shared" si="463"/>
        <v/>
      </c>
      <c r="BR167" s="65" t="str">
        <f t="shared" si="463"/>
        <v/>
      </c>
      <c r="BS167" s="65" t="str">
        <f t="shared" si="463"/>
        <v/>
      </c>
      <c r="BT167" s="65" t="str">
        <f t="shared" si="463"/>
        <v/>
      </c>
      <c r="BU167" s="65" t="str">
        <f t="shared" si="463"/>
        <v/>
      </c>
      <c r="BV167" s="65" t="str">
        <f t="shared" si="463"/>
        <v/>
      </c>
      <c r="BW167" s="65" t="str">
        <f t="shared" si="463"/>
        <v/>
      </c>
      <c r="BX167" s="65" t="str">
        <f t="shared" si="463"/>
        <v>S&amp;P500(h)</v>
      </c>
      <c r="BY167" s="65" t="str">
        <f t="shared" si="463"/>
        <v>IT Bonds(h)</v>
      </c>
      <c r="BZ167" s="65" t="str">
        <f t="shared" si="463"/>
        <v>TBills(h)</v>
      </c>
      <c r="CA167" s="65" t="str">
        <f>IF(CA$1="","",CA$1)</f>
        <v>Inflation</v>
      </c>
    </row>
    <row r="168" spans="1:79">
      <c r="A168" s="22">
        <f>A$2</f>
        <v>2015</v>
      </c>
      <c r="B168" s="65" t="str">
        <f t="shared" ref="B168:AT168" si="464">IF(B$2="","",B$2)</f>
        <v>VTSMX</v>
      </c>
      <c r="C168" s="65" t="str">
        <f t="shared" si="464"/>
        <v>VIVAX</v>
      </c>
      <c r="D168" s="65" t="str">
        <f t="shared" si="464"/>
        <v>VFINX</v>
      </c>
      <c r="E168" s="65" t="str">
        <f t="shared" si="464"/>
        <v>VIGRX</v>
      </c>
      <c r="F168" s="65" t="str">
        <f t="shared" si="464"/>
        <v>VIMSX</v>
      </c>
      <c r="G168" s="65" t="str">
        <f t="shared" si="464"/>
        <v>VISVX</v>
      </c>
      <c r="H168" s="65" t="str">
        <f t="shared" si="464"/>
        <v>NAESX</v>
      </c>
      <c r="I168" s="65" t="str">
        <f t="shared" si="464"/>
        <v>VISGX</v>
      </c>
      <c r="J168" s="65" t="str">
        <f t="shared" si="464"/>
        <v>BRSIX</v>
      </c>
      <c r="K168" s="65" t="str">
        <f t="shared" si="464"/>
        <v>VGSIX</v>
      </c>
      <c r="L168" s="65" t="str">
        <f t="shared" si="464"/>
        <v>VTMGX</v>
      </c>
      <c r="M168" s="65" t="str">
        <f t="shared" si="464"/>
        <v>VEIEX</v>
      </c>
      <c r="N168" s="65" t="str">
        <f t="shared" si="464"/>
        <v>VGTSX</v>
      </c>
      <c r="O168" s="65" t="str">
        <f t="shared" si="464"/>
        <v>VPACX</v>
      </c>
      <c r="P168" s="65" t="str">
        <f t="shared" si="464"/>
        <v>VEURX</v>
      </c>
      <c r="Q168" s="65" t="str">
        <f t="shared" si="464"/>
        <v>VTRIX</v>
      </c>
      <c r="R168" s="65" t="str">
        <f t="shared" si="464"/>
        <v>PCRIX</v>
      </c>
      <c r="S168" s="65" t="str">
        <f t="shared" si="464"/>
        <v>VUSTX</v>
      </c>
      <c r="T168" s="65" t="str">
        <f t="shared" si="464"/>
        <v>VFITX</v>
      </c>
      <c r="U168" s="65" t="str">
        <f t="shared" si="464"/>
        <v>VBMFX</v>
      </c>
      <c r="V168" s="65" t="str">
        <f t="shared" si="464"/>
        <v>VUSXX</v>
      </c>
      <c r="W168" s="65" t="str">
        <f t="shared" si="464"/>
        <v>VIPSX</v>
      </c>
      <c r="X168" s="65" t="str">
        <f t="shared" si="464"/>
        <v>VWELX</v>
      </c>
      <c r="Y168" s="65" t="str">
        <f t="shared" si="464"/>
        <v>VWINX</v>
      </c>
      <c r="Z168" s="65" t="str">
        <f t="shared" si="464"/>
        <v>VWNDX</v>
      </c>
      <c r="AA168" s="65" t="str">
        <f t="shared" si="464"/>
        <v>VFISX</v>
      </c>
      <c r="AB168" s="65" t="str">
        <f t="shared" si="464"/>
        <v>GLD</v>
      </c>
      <c r="AC168" s="65" t="str">
        <f t="shared" si="464"/>
        <v>VFSVX</v>
      </c>
      <c r="AD168" s="65" t="str">
        <f t="shared" si="464"/>
        <v>VGENX</v>
      </c>
      <c r="AE168" s="65" t="str">
        <f t="shared" si="464"/>
        <v>VGHCX</v>
      </c>
      <c r="AF168" s="65" t="str">
        <f t="shared" si="464"/>
        <v>VGPMX</v>
      </c>
      <c r="AG168" s="65" t="str">
        <f t="shared" si="464"/>
        <v>VWNFX</v>
      </c>
      <c r="AH168" s="65" t="str">
        <f t="shared" si="464"/>
        <v>VWSTX</v>
      </c>
      <c r="AI168" s="65" t="str">
        <f t="shared" si="464"/>
        <v>VWITX</v>
      </c>
      <c r="AJ168" s="65" t="str">
        <f t="shared" si="464"/>
        <v>VWLTX</v>
      </c>
      <c r="AK168" s="65" t="str">
        <f t="shared" si="464"/>
        <v>VWEHX</v>
      </c>
      <c r="AL168" s="65" t="str">
        <f t="shared" si="464"/>
        <v>VMGIX</v>
      </c>
      <c r="AM168" s="65" t="str">
        <f t="shared" si="464"/>
        <v>VMVIX</v>
      </c>
      <c r="AN168" s="65" t="str">
        <f t="shared" si="464"/>
        <v>VEXMX</v>
      </c>
      <c r="AO168" s="65" t="str">
        <f t="shared" si="464"/>
        <v>PIGLX</v>
      </c>
      <c r="AP168" s="65" t="str">
        <f t="shared" si="464"/>
        <v>VFSTX</v>
      </c>
      <c r="AQ168" s="65" t="str">
        <f t="shared" si="464"/>
        <v/>
      </c>
      <c r="AR168" s="65" t="str">
        <f t="shared" si="464"/>
        <v/>
      </c>
      <c r="AS168" s="65" t="str">
        <f t="shared" si="464"/>
        <v/>
      </c>
      <c r="AT168" s="65" t="str">
        <f t="shared" si="464"/>
        <v/>
      </c>
      <c r="AU168" s="65" t="str">
        <f t="shared" ref="AU168:BZ168" si="465">IF(AU$2="","",AU$2)</f>
        <v/>
      </c>
      <c r="AV168" s="65" t="str">
        <f t="shared" si="465"/>
        <v/>
      </c>
      <c r="AW168" s="65" t="str">
        <f t="shared" si="465"/>
        <v/>
      </c>
      <c r="AX168" s="65" t="str">
        <f t="shared" si="465"/>
        <v/>
      </c>
      <c r="AY168" s="65" t="str">
        <f t="shared" si="465"/>
        <v/>
      </c>
      <c r="AZ168" s="65" t="str">
        <f t="shared" si="465"/>
        <v/>
      </c>
      <c r="BA168" s="65" t="str">
        <f t="shared" si="465"/>
        <v/>
      </c>
      <c r="BB168" s="65" t="str">
        <f t="shared" si="465"/>
        <v/>
      </c>
      <c r="BC168" s="65" t="str">
        <f t="shared" si="465"/>
        <v/>
      </c>
      <c r="BD168" s="65" t="str">
        <f t="shared" si="465"/>
        <v/>
      </c>
      <c r="BE168" s="65" t="str">
        <f t="shared" si="465"/>
        <v/>
      </c>
      <c r="BF168" s="65" t="str">
        <f t="shared" si="465"/>
        <v/>
      </c>
      <c r="BG168" s="65" t="str">
        <f t="shared" si="465"/>
        <v/>
      </c>
      <c r="BH168" s="65" t="str">
        <f t="shared" si="465"/>
        <v/>
      </c>
      <c r="BI168" s="65" t="str">
        <f t="shared" si="465"/>
        <v/>
      </c>
      <c r="BJ168" s="65" t="str">
        <f t="shared" si="465"/>
        <v/>
      </c>
      <c r="BK168" s="65" t="str">
        <f t="shared" si="465"/>
        <v/>
      </c>
      <c r="BL168" s="65" t="str">
        <f t="shared" si="465"/>
        <v/>
      </c>
      <c r="BM168" s="65" t="str">
        <f t="shared" si="465"/>
        <v/>
      </c>
      <c r="BN168" s="65" t="str">
        <f t="shared" si="465"/>
        <v/>
      </c>
      <c r="BO168" s="65" t="str">
        <f t="shared" si="465"/>
        <v/>
      </c>
      <c r="BP168" s="65" t="str">
        <f t="shared" si="465"/>
        <v/>
      </c>
      <c r="BQ168" s="65" t="str">
        <f t="shared" si="465"/>
        <v/>
      </c>
      <c r="BR168" s="65" t="str">
        <f t="shared" si="465"/>
        <v/>
      </c>
      <c r="BS168" s="65" t="str">
        <f t="shared" si="465"/>
        <v/>
      </c>
      <c r="BT168" s="65" t="str">
        <f t="shared" si="465"/>
        <v/>
      </c>
      <c r="BU168" s="65" t="str">
        <f t="shared" si="465"/>
        <v/>
      </c>
      <c r="BV168" s="65" t="str">
        <f t="shared" si="465"/>
        <v/>
      </c>
      <c r="BW168" s="65" t="str">
        <f t="shared" si="465"/>
        <v/>
      </c>
      <c r="BX168" s="65" t="str">
        <f t="shared" si="465"/>
        <v>S&amp;P500(h)</v>
      </c>
      <c r="BY168" s="65" t="str">
        <f t="shared" si="465"/>
        <v>IT Bonds(h)</v>
      </c>
      <c r="BZ168" s="65" t="str">
        <f t="shared" si="465"/>
        <v>TBills(h)</v>
      </c>
      <c r="CA168" s="65" t="str">
        <f>IF(CA$2="","",CA$2)</f>
        <v>CPI-U</v>
      </c>
    </row>
    <row r="169" spans="1:79">
      <c r="A169" s="58">
        <v>1871</v>
      </c>
      <c r="B169" s="303">
        <f>$BX169</f>
        <v>15.315315315315313</v>
      </c>
      <c r="C169" s="303"/>
      <c r="D169" s="303">
        <f>$BX169</f>
        <v>15.315315315315313</v>
      </c>
      <c r="E169" s="303"/>
      <c r="F169" s="364"/>
      <c r="G169" s="303"/>
      <c r="H169" s="364"/>
      <c r="I169" s="364"/>
      <c r="J169" s="364"/>
      <c r="K169" s="364"/>
      <c r="L169" s="364"/>
      <c r="M169" s="364"/>
      <c r="N169" s="364"/>
      <c r="O169" s="364"/>
      <c r="P169" s="364"/>
      <c r="Q169" s="364"/>
      <c r="R169" s="364"/>
      <c r="S169" s="364"/>
      <c r="T169" s="364">
        <f>$BY169</f>
        <v>2.6632985101163742</v>
      </c>
      <c r="U169" s="364">
        <f>$BY169</f>
        <v>2.6632985101163742</v>
      </c>
      <c r="V169" s="364">
        <f>$BZ169</f>
        <v>6.35</v>
      </c>
      <c r="W169" s="320"/>
      <c r="X169" s="320"/>
      <c r="Y169" s="320"/>
      <c r="Z169" s="320"/>
      <c r="AA169" s="320"/>
      <c r="AB169" s="320"/>
      <c r="AC169" s="320"/>
      <c r="AD169" s="320"/>
      <c r="AE169" s="320"/>
      <c r="AF169" s="320"/>
      <c r="AG169" s="320"/>
      <c r="AH169" s="320"/>
      <c r="AI169" s="320"/>
      <c r="AJ169" s="320"/>
      <c r="AK169" s="320"/>
      <c r="AL169" s="320"/>
      <c r="AM169" s="320"/>
      <c r="AN169" s="320"/>
      <c r="AO169" s="320"/>
      <c r="AP169" s="320"/>
      <c r="AQ169" s="320"/>
      <c r="AR169" s="320"/>
      <c r="AS169" s="320"/>
      <c r="AT169" s="320"/>
      <c r="AU169" s="320"/>
      <c r="AV169" s="320"/>
      <c r="AW169" s="320"/>
      <c r="AX169" s="320"/>
      <c r="AY169" s="320"/>
      <c r="AZ169" s="320"/>
      <c r="BA169" s="320"/>
      <c r="BB169" s="320"/>
      <c r="BC169" s="320"/>
      <c r="BD169" s="320"/>
      <c r="BE169" s="320"/>
      <c r="BF169" s="320"/>
      <c r="BG169" s="320"/>
      <c r="BH169" s="320"/>
      <c r="BI169" s="320"/>
      <c r="BJ169" s="320"/>
      <c r="BK169" s="320"/>
      <c r="BL169" s="320"/>
      <c r="BM169" s="320"/>
      <c r="BN169" s="320"/>
      <c r="BO169" s="320"/>
      <c r="BP169" s="320"/>
      <c r="BQ169" s="320"/>
      <c r="BR169" s="320"/>
      <c r="BS169" s="320"/>
      <c r="BT169" s="320"/>
      <c r="BU169" s="320"/>
      <c r="BV169" s="320"/>
      <c r="BW169" s="320"/>
      <c r="BX169" s="303">
        <v>15.315315315315313</v>
      </c>
      <c r="BY169" s="303">
        <v>2.6632985101163742</v>
      </c>
      <c r="BZ169" s="320">
        <v>6.35</v>
      </c>
      <c r="CA169" s="303">
        <v>1.5270384186983676</v>
      </c>
    </row>
    <row r="170" spans="1:79">
      <c r="A170" s="58">
        <f>A169+1</f>
        <v>1872</v>
      </c>
      <c r="B170" s="303">
        <f t="shared" ref="B170:B233" si="466">$BX170</f>
        <v>11.316872427983537</v>
      </c>
      <c r="C170" s="303"/>
      <c r="D170" s="303">
        <f t="shared" ref="D170:D233" si="467">$BX170</f>
        <v>11.316872427983537</v>
      </c>
      <c r="E170" s="303"/>
      <c r="F170" s="364"/>
      <c r="G170" s="303"/>
      <c r="H170" s="364"/>
      <c r="I170" s="364"/>
      <c r="J170" s="364"/>
      <c r="K170" s="364"/>
      <c r="L170" s="364"/>
      <c r="M170" s="364"/>
      <c r="N170" s="364"/>
      <c r="O170" s="364"/>
      <c r="P170" s="364"/>
      <c r="Q170" s="364"/>
      <c r="R170" s="364"/>
      <c r="S170" s="364"/>
      <c r="T170" s="364">
        <f t="shared" ref="T170:U201" si="468">$BY170</f>
        <v>3.6709623406240066</v>
      </c>
      <c r="U170" s="364">
        <f t="shared" si="468"/>
        <v>3.6709623406240066</v>
      </c>
      <c r="V170" s="364">
        <f t="shared" ref="V170:V233" si="469">$BZ170</f>
        <v>7.81</v>
      </c>
      <c r="W170" s="320"/>
      <c r="X170" s="320"/>
      <c r="Y170" s="320"/>
      <c r="Z170" s="320"/>
      <c r="AA170" s="320"/>
      <c r="AB170" s="320"/>
      <c r="AC170" s="320"/>
      <c r="AD170" s="320"/>
      <c r="AE170" s="320"/>
      <c r="AF170" s="320"/>
      <c r="AG170" s="320"/>
      <c r="AH170" s="320"/>
      <c r="AI170" s="320"/>
      <c r="AJ170" s="320"/>
      <c r="AK170" s="320"/>
      <c r="AL170" s="320"/>
      <c r="AM170" s="320"/>
      <c r="AN170" s="320"/>
      <c r="AO170" s="320"/>
      <c r="AP170" s="320"/>
      <c r="AQ170" s="320"/>
      <c r="AR170" s="320"/>
      <c r="AS170" s="320"/>
      <c r="AT170" s="320"/>
      <c r="AU170" s="320"/>
      <c r="AV170" s="320"/>
      <c r="AW170" s="320"/>
      <c r="AX170" s="320"/>
      <c r="AY170" s="320"/>
      <c r="AZ170" s="320"/>
      <c r="BA170" s="320"/>
      <c r="BB170" s="320"/>
      <c r="BC170" s="320"/>
      <c r="BD170" s="320"/>
      <c r="BE170" s="320"/>
      <c r="BF170" s="320"/>
      <c r="BG170" s="320"/>
      <c r="BH170" s="320"/>
      <c r="BI170" s="320"/>
      <c r="BJ170" s="320"/>
      <c r="BK170" s="320"/>
      <c r="BL170" s="320"/>
      <c r="BM170" s="320"/>
      <c r="BN170" s="320"/>
      <c r="BO170" s="320"/>
      <c r="BP170" s="320"/>
      <c r="BQ170" s="320"/>
      <c r="BR170" s="320"/>
      <c r="BS170" s="320"/>
      <c r="BT170" s="320"/>
      <c r="BU170" s="320"/>
      <c r="BV170" s="320"/>
      <c r="BW170" s="320"/>
      <c r="BX170" s="303">
        <v>11.316872427983537</v>
      </c>
      <c r="BY170" s="303">
        <v>3.6709623406240066</v>
      </c>
      <c r="BZ170" s="320">
        <v>7.81</v>
      </c>
      <c r="CA170" s="303">
        <v>2.255461977153872</v>
      </c>
    </row>
    <row r="171" spans="1:79">
      <c r="A171" s="58">
        <f t="shared" ref="A171:A234" si="470">A170+1</f>
        <v>1873</v>
      </c>
      <c r="B171" s="303">
        <f t="shared" si="466"/>
        <v>-2.3483365949119372</v>
      </c>
      <c r="C171" s="303"/>
      <c r="D171" s="303">
        <f t="shared" si="467"/>
        <v>-2.3483365949119372</v>
      </c>
      <c r="E171" s="303"/>
      <c r="F171" s="364"/>
      <c r="G171" s="303"/>
      <c r="H171" s="364"/>
      <c r="I171" s="364"/>
      <c r="J171" s="364"/>
      <c r="K171" s="364"/>
      <c r="L171" s="364"/>
      <c r="M171" s="364"/>
      <c r="N171" s="364"/>
      <c r="O171" s="364"/>
      <c r="P171" s="364"/>
      <c r="Q171" s="364"/>
      <c r="R171" s="364"/>
      <c r="S171" s="364"/>
      <c r="T171" s="364">
        <f t="shared" si="468"/>
        <v>8.2155078472063927</v>
      </c>
      <c r="U171" s="364">
        <f t="shared" si="468"/>
        <v>8.2155078472063927</v>
      </c>
      <c r="V171" s="364">
        <f t="shared" si="469"/>
        <v>8.35</v>
      </c>
      <c r="W171" s="320"/>
      <c r="X171" s="320"/>
      <c r="Y171" s="320"/>
      <c r="Z171" s="320"/>
      <c r="AA171" s="320"/>
      <c r="AB171" s="320"/>
      <c r="AC171" s="320"/>
      <c r="AD171" s="320"/>
      <c r="AE171" s="320"/>
      <c r="AF171" s="320"/>
      <c r="AG171" s="320"/>
      <c r="AH171" s="320"/>
      <c r="AI171" s="320"/>
      <c r="AJ171" s="320"/>
      <c r="AK171" s="320"/>
      <c r="AL171" s="320"/>
      <c r="AM171" s="320"/>
      <c r="AN171" s="320"/>
      <c r="AO171" s="320"/>
      <c r="AP171" s="320"/>
      <c r="AQ171" s="320"/>
      <c r="AR171" s="320"/>
      <c r="AS171" s="320"/>
      <c r="AT171" s="320"/>
      <c r="AU171" s="320"/>
      <c r="AV171" s="320"/>
      <c r="AW171" s="320"/>
      <c r="AX171" s="320"/>
      <c r="AY171" s="320"/>
      <c r="AZ171" s="320"/>
      <c r="BA171" s="320"/>
      <c r="BB171" s="320"/>
      <c r="BC171" s="320"/>
      <c r="BD171" s="320"/>
      <c r="BE171" s="320"/>
      <c r="BF171" s="320"/>
      <c r="BG171" s="320"/>
      <c r="BH171" s="320"/>
      <c r="BI171" s="320"/>
      <c r="BJ171" s="320"/>
      <c r="BK171" s="320"/>
      <c r="BL171" s="320"/>
      <c r="BM171" s="320"/>
      <c r="BN171" s="320"/>
      <c r="BO171" s="320"/>
      <c r="BP171" s="320"/>
      <c r="BQ171" s="320"/>
      <c r="BR171" s="320"/>
      <c r="BS171" s="320"/>
      <c r="BT171" s="320"/>
      <c r="BU171" s="320"/>
      <c r="BV171" s="320"/>
      <c r="BW171" s="320"/>
      <c r="BX171" s="303">
        <v>-2.3483365949119372</v>
      </c>
      <c r="BY171" s="303">
        <v>8.2155078472063927</v>
      </c>
      <c r="BZ171" s="320">
        <v>8.35</v>
      </c>
      <c r="CA171" s="303">
        <v>-4.4120518953644439</v>
      </c>
    </row>
    <row r="172" spans="1:79">
      <c r="A172" s="58">
        <f t="shared" si="470"/>
        <v>1874</v>
      </c>
      <c r="B172" s="303">
        <f t="shared" si="466"/>
        <v>4.5064377682403345</v>
      </c>
      <c r="C172" s="303"/>
      <c r="D172" s="303">
        <f t="shared" si="467"/>
        <v>4.5064377682403345</v>
      </c>
      <c r="E172" s="303"/>
      <c r="F172" s="364"/>
      <c r="G172" s="303"/>
      <c r="H172" s="364"/>
      <c r="I172" s="364"/>
      <c r="J172" s="364"/>
      <c r="K172" s="364"/>
      <c r="L172" s="364"/>
      <c r="M172" s="364"/>
      <c r="N172" s="364"/>
      <c r="O172" s="364"/>
      <c r="P172" s="364"/>
      <c r="Q172" s="364"/>
      <c r="R172" s="364"/>
      <c r="S172" s="364"/>
      <c r="T172" s="364">
        <f t="shared" si="468"/>
        <v>9.7945953244313877</v>
      </c>
      <c r="U172" s="364">
        <f t="shared" si="468"/>
        <v>9.7945953244313877</v>
      </c>
      <c r="V172" s="364">
        <f t="shared" si="469"/>
        <v>6.86</v>
      </c>
      <c r="W172" s="320"/>
      <c r="X172" s="320"/>
      <c r="Y172" s="320"/>
      <c r="Z172" s="320"/>
      <c r="AA172" s="320"/>
      <c r="AB172" s="320"/>
      <c r="AC172" s="320"/>
      <c r="AD172" s="320"/>
      <c r="AE172" s="320"/>
      <c r="AF172" s="320"/>
      <c r="AG172" s="320"/>
      <c r="AH172" s="320"/>
      <c r="AI172" s="320"/>
      <c r="AJ172" s="320"/>
      <c r="AK172" s="320"/>
      <c r="AL172" s="320"/>
      <c r="AM172" s="320"/>
      <c r="AN172" s="320"/>
      <c r="AO172" s="320"/>
      <c r="AP172" s="320"/>
      <c r="AQ172" s="320"/>
      <c r="AR172" s="320"/>
      <c r="AS172" s="320"/>
      <c r="AT172" s="320"/>
      <c r="AU172" s="320"/>
      <c r="AV172" s="320"/>
      <c r="AW172" s="320"/>
      <c r="AX172" s="320"/>
      <c r="AY172" s="320"/>
      <c r="AZ172" s="320"/>
      <c r="BA172" s="320"/>
      <c r="BB172" s="320"/>
      <c r="BC172" s="320"/>
      <c r="BD172" s="320"/>
      <c r="BE172" s="320"/>
      <c r="BF172" s="320"/>
      <c r="BG172" s="320"/>
      <c r="BH172" s="320"/>
      <c r="BI172" s="320"/>
      <c r="BJ172" s="320"/>
      <c r="BK172" s="320"/>
      <c r="BL172" s="320"/>
      <c r="BM172" s="320"/>
      <c r="BN172" s="320"/>
      <c r="BO172" s="320"/>
      <c r="BP172" s="320"/>
      <c r="BQ172" s="320"/>
      <c r="BR172" s="320"/>
      <c r="BS172" s="320"/>
      <c r="BT172" s="320"/>
      <c r="BU172" s="320"/>
      <c r="BV172" s="320"/>
      <c r="BW172" s="320"/>
      <c r="BX172" s="303">
        <v>4.5064377682403345</v>
      </c>
      <c r="BY172" s="303">
        <v>9.7945953244313877</v>
      </c>
      <c r="BZ172" s="320">
        <v>6.86</v>
      </c>
      <c r="CA172" s="303">
        <v>-6.9225660883558193</v>
      </c>
    </row>
    <row r="173" spans="1:79">
      <c r="A173" s="58">
        <f t="shared" si="470"/>
        <v>1875</v>
      </c>
      <c r="B173" s="303">
        <f t="shared" si="466"/>
        <v>4.8458149779735615</v>
      </c>
      <c r="C173" s="303"/>
      <c r="D173" s="303">
        <f t="shared" si="467"/>
        <v>4.8458149779735615</v>
      </c>
      <c r="E173" s="303"/>
      <c r="F173" s="364"/>
      <c r="G173" s="303"/>
      <c r="H173" s="364"/>
      <c r="I173" s="364"/>
      <c r="J173" s="364"/>
      <c r="K173" s="364"/>
      <c r="L173" s="364"/>
      <c r="M173" s="364"/>
      <c r="N173" s="364"/>
      <c r="O173" s="364"/>
      <c r="P173" s="364"/>
      <c r="Q173" s="364"/>
      <c r="R173" s="364"/>
      <c r="S173" s="364"/>
      <c r="T173" s="364">
        <f t="shared" si="468"/>
        <v>5.740123153129284</v>
      </c>
      <c r="U173" s="364">
        <f t="shared" si="468"/>
        <v>5.740123153129284</v>
      </c>
      <c r="V173" s="364">
        <f t="shared" si="469"/>
        <v>4.96</v>
      </c>
      <c r="W173" s="320"/>
      <c r="X173" s="320"/>
      <c r="Y173" s="320"/>
      <c r="Z173" s="320"/>
      <c r="AA173" s="320"/>
      <c r="AB173" s="320"/>
      <c r="AC173" s="320"/>
      <c r="AD173" s="320"/>
      <c r="AE173" s="320"/>
      <c r="AF173" s="320"/>
      <c r="AG173" s="320"/>
      <c r="AH173" s="320"/>
      <c r="AI173" s="320"/>
      <c r="AJ173" s="320"/>
      <c r="AK173" s="320"/>
      <c r="AL173" s="320"/>
      <c r="AM173" s="320"/>
      <c r="AN173" s="320"/>
      <c r="AO173" s="320"/>
      <c r="AP173" s="320"/>
      <c r="AQ173" s="320"/>
      <c r="AR173" s="320"/>
      <c r="AS173" s="320"/>
      <c r="AT173" s="320"/>
      <c r="AU173" s="320"/>
      <c r="AV173" s="320"/>
      <c r="AW173" s="320"/>
      <c r="AX173" s="320"/>
      <c r="AY173" s="320"/>
      <c r="AZ173" s="320"/>
      <c r="BA173" s="320"/>
      <c r="BB173" s="320"/>
      <c r="BC173" s="320"/>
      <c r="BD173" s="320"/>
      <c r="BE173" s="320"/>
      <c r="BF173" s="320"/>
      <c r="BG173" s="320"/>
      <c r="BH173" s="320"/>
      <c r="BI173" s="320"/>
      <c r="BJ173" s="320"/>
      <c r="BK173" s="320"/>
      <c r="BL173" s="320"/>
      <c r="BM173" s="320"/>
      <c r="BN173" s="320"/>
      <c r="BO173" s="320"/>
      <c r="BP173" s="320"/>
      <c r="BQ173" s="320"/>
      <c r="BR173" s="320"/>
      <c r="BS173" s="320"/>
      <c r="BT173" s="320"/>
      <c r="BU173" s="320"/>
      <c r="BV173" s="320"/>
      <c r="BW173" s="320"/>
      <c r="BX173" s="303">
        <v>4.8458149779735615</v>
      </c>
      <c r="BY173" s="303">
        <v>5.740123153129284</v>
      </c>
      <c r="BZ173" s="320">
        <v>4.96</v>
      </c>
      <c r="CA173" s="303">
        <v>-5.785600553686554</v>
      </c>
    </row>
    <row r="174" spans="1:79">
      <c r="A174" s="58">
        <f t="shared" si="470"/>
        <v>1876</v>
      </c>
      <c r="B174" s="303">
        <f t="shared" si="466"/>
        <v>-13.677130044843056</v>
      </c>
      <c r="C174" s="303"/>
      <c r="D174" s="303">
        <f t="shared" si="467"/>
        <v>-13.677130044843056</v>
      </c>
      <c r="E174" s="303"/>
      <c r="F174" s="364"/>
      <c r="G174" s="303"/>
      <c r="H174" s="364"/>
      <c r="I174" s="364"/>
      <c r="J174" s="364"/>
      <c r="K174" s="364"/>
      <c r="L174" s="364"/>
      <c r="M174" s="364"/>
      <c r="N174" s="364"/>
      <c r="O174" s="364"/>
      <c r="P174" s="364"/>
      <c r="Q174" s="364"/>
      <c r="R174" s="364"/>
      <c r="S174" s="364"/>
      <c r="T174" s="364">
        <f t="shared" si="468"/>
        <v>5.4290326978171599</v>
      </c>
      <c r="U174" s="364">
        <f t="shared" si="468"/>
        <v>5.4290326978171599</v>
      </c>
      <c r="V174" s="364">
        <f t="shared" si="469"/>
        <v>5.33</v>
      </c>
      <c r="W174" s="320"/>
      <c r="X174" s="320"/>
      <c r="Y174" s="320"/>
      <c r="Z174" s="320"/>
      <c r="AA174" s="320"/>
      <c r="AB174" s="320"/>
      <c r="AC174" s="320"/>
      <c r="AD174" s="320"/>
      <c r="AE174" s="320"/>
      <c r="AF174" s="320"/>
      <c r="AG174" s="320"/>
      <c r="AH174" s="320"/>
      <c r="AI174" s="320"/>
      <c r="AJ174" s="320"/>
      <c r="AK174" s="320"/>
      <c r="AL174" s="320"/>
      <c r="AM174" s="320"/>
      <c r="AN174" s="320"/>
      <c r="AO174" s="320"/>
      <c r="AP174" s="320"/>
      <c r="AQ174" s="320"/>
      <c r="AR174" s="320"/>
      <c r="AS174" s="320"/>
      <c r="AT174" s="320"/>
      <c r="AU174" s="320"/>
      <c r="AV174" s="320"/>
      <c r="AW174" s="320"/>
      <c r="AX174" s="320"/>
      <c r="AY174" s="320"/>
      <c r="AZ174" s="320"/>
      <c r="BA174" s="320"/>
      <c r="BB174" s="320"/>
      <c r="BC174" s="320"/>
      <c r="BD174" s="320"/>
      <c r="BE174" s="320"/>
      <c r="BF174" s="320"/>
      <c r="BG174" s="320"/>
      <c r="BH174" s="320"/>
      <c r="BI174" s="320"/>
      <c r="BJ174" s="320"/>
      <c r="BK174" s="320"/>
      <c r="BL174" s="320"/>
      <c r="BM174" s="320"/>
      <c r="BN174" s="320"/>
      <c r="BO174" s="320"/>
      <c r="BP174" s="320"/>
      <c r="BQ174" s="320"/>
      <c r="BR174" s="320"/>
      <c r="BS174" s="320"/>
      <c r="BT174" s="320"/>
      <c r="BU174" s="320"/>
      <c r="BV174" s="320"/>
      <c r="BW174" s="320"/>
      <c r="BX174" s="303">
        <v>-13.677130044843056</v>
      </c>
      <c r="BY174" s="303">
        <v>5.4290326978171599</v>
      </c>
      <c r="BZ174" s="320">
        <v>5.33</v>
      </c>
      <c r="CA174" s="303">
        <v>0.87737373318306222</v>
      </c>
    </row>
    <row r="175" spans="1:79">
      <c r="A175" s="58">
        <f t="shared" si="470"/>
        <v>1877</v>
      </c>
      <c r="B175" s="303">
        <f t="shared" si="466"/>
        <v>-3.0985915492957705</v>
      </c>
      <c r="C175" s="303"/>
      <c r="D175" s="303">
        <f t="shared" si="467"/>
        <v>-3.0985915492957705</v>
      </c>
      <c r="E175" s="303"/>
      <c r="F175" s="364"/>
      <c r="G175" s="303"/>
      <c r="H175" s="364"/>
      <c r="I175" s="364"/>
      <c r="J175" s="364"/>
      <c r="K175" s="364"/>
      <c r="L175" s="364"/>
      <c r="M175" s="364"/>
      <c r="N175" s="364"/>
      <c r="O175" s="364"/>
      <c r="P175" s="364"/>
      <c r="Q175" s="364"/>
      <c r="R175" s="364"/>
      <c r="S175" s="364"/>
      <c r="T175" s="364">
        <f t="shared" si="468"/>
        <v>4.9258256542136225</v>
      </c>
      <c r="U175" s="364">
        <f t="shared" si="468"/>
        <v>4.9258256542136225</v>
      </c>
      <c r="V175" s="364">
        <f t="shared" si="469"/>
        <v>5.03</v>
      </c>
      <c r="W175" s="320"/>
      <c r="X175" s="320"/>
      <c r="Y175" s="320"/>
      <c r="Z175" s="320"/>
      <c r="AA175" s="320"/>
      <c r="AB175" s="320"/>
      <c r="AC175" s="320"/>
      <c r="AD175" s="320"/>
      <c r="AE175" s="320"/>
      <c r="AF175" s="320"/>
      <c r="AG175" s="320"/>
      <c r="AH175" s="320"/>
      <c r="AI175" s="320"/>
      <c r="AJ175" s="320"/>
      <c r="AK175" s="320"/>
      <c r="AL175" s="320"/>
      <c r="AM175" s="320"/>
      <c r="AN175" s="320"/>
      <c r="AO175" s="320"/>
      <c r="AP175" s="320"/>
      <c r="AQ175" s="320"/>
      <c r="AR175" s="320"/>
      <c r="AS175" s="320"/>
      <c r="AT175" s="320"/>
      <c r="AU175" s="320"/>
      <c r="AV175" s="320"/>
      <c r="AW175" s="320"/>
      <c r="AX175" s="320"/>
      <c r="AY175" s="320"/>
      <c r="AZ175" s="320"/>
      <c r="BA175" s="320"/>
      <c r="BB175" s="320"/>
      <c r="BC175" s="320"/>
      <c r="BD175" s="320"/>
      <c r="BE175" s="320"/>
      <c r="BF175" s="320"/>
      <c r="BG175" s="320"/>
      <c r="BH175" s="320"/>
      <c r="BI175" s="320"/>
      <c r="BJ175" s="320"/>
      <c r="BK175" s="320"/>
      <c r="BL175" s="320"/>
      <c r="BM175" s="320"/>
      <c r="BN175" s="320"/>
      <c r="BO175" s="320"/>
      <c r="BP175" s="320"/>
      <c r="BQ175" s="320"/>
      <c r="BR175" s="320"/>
      <c r="BS175" s="320"/>
      <c r="BT175" s="320"/>
      <c r="BU175" s="320"/>
      <c r="BV175" s="320"/>
      <c r="BW175" s="320"/>
      <c r="BX175" s="303">
        <v>-3.0985915492957705</v>
      </c>
      <c r="BY175" s="303">
        <v>4.9258256542136225</v>
      </c>
      <c r="BZ175" s="320">
        <v>5.03</v>
      </c>
      <c r="CA175" s="303">
        <v>-15.652452900544144</v>
      </c>
    </row>
    <row r="176" spans="1:79">
      <c r="A176" s="58">
        <f t="shared" si="470"/>
        <v>1878</v>
      </c>
      <c r="B176" s="303">
        <f t="shared" si="466"/>
        <v>15.692307692307693</v>
      </c>
      <c r="C176" s="303"/>
      <c r="D176" s="303">
        <f t="shared" si="467"/>
        <v>15.692307692307693</v>
      </c>
      <c r="E176" s="303"/>
      <c r="F176" s="364"/>
      <c r="G176" s="303"/>
      <c r="H176" s="364"/>
      <c r="I176" s="364"/>
      <c r="J176" s="364"/>
      <c r="K176" s="364"/>
      <c r="L176" s="364"/>
      <c r="M176" s="364"/>
      <c r="N176" s="364"/>
      <c r="O176" s="364"/>
      <c r="P176" s="364"/>
      <c r="Q176" s="364"/>
      <c r="R176" s="364"/>
      <c r="S176" s="364"/>
      <c r="T176" s="364">
        <f t="shared" si="468"/>
        <v>5.7740093119639679</v>
      </c>
      <c r="U176" s="364">
        <f t="shared" si="468"/>
        <v>5.7740093119639679</v>
      </c>
      <c r="V176" s="364">
        <f t="shared" si="469"/>
        <v>4.9000000000000004</v>
      </c>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03">
        <v>15.692307692307693</v>
      </c>
      <c r="BY176" s="303">
        <v>5.7740093119639679</v>
      </c>
      <c r="BZ176" s="320">
        <v>4.9000000000000004</v>
      </c>
      <c r="CA176" s="303">
        <v>-10.308817794189086</v>
      </c>
    </row>
    <row r="177" spans="1:79">
      <c r="A177" s="58">
        <f t="shared" si="470"/>
        <v>1879</v>
      </c>
      <c r="B177" s="303">
        <f t="shared" si="466"/>
        <v>48.324022346368722</v>
      </c>
      <c r="C177" s="303"/>
      <c r="D177" s="303">
        <f t="shared" si="467"/>
        <v>48.324022346368722</v>
      </c>
      <c r="E177" s="303"/>
      <c r="F177" s="364"/>
      <c r="G177" s="303"/>
      <c r="H177" s="364"/>
      <c r="I177" s="364"/>
      <c r="J177" s="364"/>
      <c r="K177" s="364"/>
      <c r="L177" s="364"/>
      <c r="M177" s="364"/>
      <c r="N177" s="364"/>
      <c r="O177" s="364"/>
      <c r="P177" s="364"/>
      <c r="Q177" s="364"/>
      <c r="R177" s="364"/>
      <c r="S177" s="364"/>
      <c r="T177" s="364">
        <f t="shared" si="468"/>
        <v>3.2664362123215218</v>
      </c>
      <c r="U177" s="364">
        <f t="shared" si="468"/>
        <v>3.2664362123215218</v>
      </c>
      <c r="V177" s="364">
        <f t="shared" si="469"/>
        <v>4.25</v>
      </c>
      <c r="W177" s="320"/>
      <c r="X177" s="320"/>
      <c r="Y177" s="320"/>
      <c r="Z177" s="320"/>
      <c r="AA177" s="320"/>
      <c r="AB177" s="320"/>
      <c r="AC177" s="320"/>
      <c r="AD177" s="320"/>
      <c r="AE177" s="320"/>
      <c r="AF177" s="320"/>
      <c r="AG177" s="320"/>
      <c r="AH177" s="320"/>
      <c r="AI177" s="320"/>
      <c r="AJ177" s="320"/>
      <c r="AK177" s="320"/>
      <c r="AL177" s="320"/>
      <c r="AM177" s="320"/>
      <c r="AN177" s="320"/>
      <c r="AO177" s="320"/>
      <c r="AP177" s="320"/>
      <c r="AQ177" s="320"/>
      <c r="AR177" s="320"/>
      <c r="AS177" s="320"/>
      <c r="AT177" s="320"/>
      <c r="AU177" s="320"/>
      <c r="AV177" s="320"/>
      <c r="AW177" s="320"/>
      <c r="AX177" s="320"/>
      <c r="AY177" s="320"/>
      <c r="AZ177" s="320"/>
      <c r="BA177" s="320"/>
      <c r="BB177" s="320"/>
      <c r="BC177" s="320"/>
      <c r="BD177" s="320"/>
      <c r="BE177" s="320"/>
      <c r="BF177" s="320"/>
      <c r="BG177" s="320"/>
      <c r="BH177" s="320"/>
      <c r="BI177" s="320"/>
      <c r="BJ177" s="320"/>
      <c r="BK177" s="320"/>
      <c r="BL177" s="320"/>
      <c r="BM177" s="320"/>
      <c r="BN177" s="320"/>
      <c r="BO177" s="320"/>
      <c r="BP177" s="320"/>
      <c r="BQ177" s="320"/>
      <c r="BR177" s="320"/>
      <c r="BS177" s="320"/>
      <c r="BT177" s="320"/>
      <c r="BU177" s="320"/>
      <c r="BV177" s="320"/>
      <c r="BW177" s="320"/>
      <c r="BX177" s="303">
        <v>48.324022346368722</v>
      </c>
      <c r="BY177" s="303">
        <v>3.2664362123215218</v>
      </c>
      <c r="BZ177" s="320">
        <v>4.25</v>
      </c>
      <c r="CA177" s="303">
        <v>20.689993389813989</v>
      </c>
    </row>
    <row r="178" spans="1:79">
      <c r="A178" s="58">
        <f t="shared" si="470"/>
        <v>1880</v>
      </c>
      <c r="B178" s="303">
        <f t="shared" si="466"/>
        <v>26.223091976516621</v>
      </c>
      <c r="C178" s="303"/>
      <c r="D178" s="303">
        <f t="shared" si="467"/>
        <v>26.223091976516621</v>
      </c>
      <c r="E178" s="303"/>
      <c r="F178" s="364"/>
      <c r="G178" s="303"/>
      <c r="H178" s="364"/>
      <c r="I178" s="364"/>
      <c r="J178" s="364"/>
      <c r="K178" s="364"/>
      <c r="L178" s="364"/>
      <c r="M178" s="364"/>
      <c r="N178" s="364"/>
      <c r="O178" s="364"/>
      <c r="P178" s="364"/>
      <c r="Q178" s="364"/>
      <c r="R178" s="364"/>
      <c r="S178" s="364"/>
      <c r="T178" s="364">
        <f t="shared" si="468"/>
        <v>5.359850935663979</v>
      </c>
      <c r="U178" s="364">
        <f t="shared" si="468"/>
        <v>5.359850935663979</v>
      </c>
      <c r="V178" s="364">
        <f t="shared" si="469"/>
        <v>5.0999999999999996</v>
      </c>
      <c r="W178" s="320"/>
      <c r="X178" s="320"/>
      <c r="Y178" s="320"/>
      <c r="Z178" s="320"/>
      <c r="AA178" s="320"/>
      <c r="AB178" s="320"/>
      <c r="AC178" s="320"/>
      <c r="AD178" s="320"/>
      <c r="AE178" s="320"/>
      <c r="AF178" s="320"/>
      <c r="AG178" s="320"/>
      <c r="AH178" s="320"/>
      <c r="AI178" s="320"/>
      <c r="AJ178" s="320"/>
      <c r="AK178" s="320"/>
      <c r="AL178" s="320"/>
      <c r="AM178" s="320"/>
      <c r="AN178" s="320"/>
      <c r="AO178" s="320"/>
      <c r="AP178" s="320"/>
      <c r="AQ178" s="320"/>
      <c r="AR178" s="320"/>
      <c r="AS178" s="320"/>
      <c r="AT178" s="320"/>
      <c r="AU178" s="320"/>
      <c r="AV178" s="320"/>
      <c r="AW178" s="320"/>
      <c r="AX178" s="320"/>
      <c r="AY178" s="320"/>
      <c r="AZ178" s="320"/>
      <c r="BA178" s="320"/>
      <c r="BB178" s="320"/>
      <c r="BC178" s="320"/>
      <c r="BD178" s="320"/>
      <c r="BE178" s="320"/>
      <c r="BF178" s="320"/>
      <c r="BG178" s="320"/>
      <c r="BH178" s="320"/>
      <c r="BI178" s="320"/>
      <c r="BJ178" s="320"/>
      <c r="BK178" s="320"/>
      <c r="BL178" s="320"/>
      <c r="BM178" s="320"/>
      <c r="BN178" s="320"/>
      <c r="BO178" s="320"/>
      <c r="BP178" s="320"/>
      <c r="BQ178" s="320"/>
      <c r="BR178" s="320"/>
      <c r="BS178" s="320"/>
      <c r="BT178" s="320"/>
      <c r="BU178" s="320"/>
      <c r="BV178" s="320"/>
      <c r="BW178" s="320"/>
      <c r="BX178" s="303">
        <v>26.223091976516621</v>
      </c>
      <c r="BY178" s="303">
        <v>5.359850935663979</v>
      </c>
      <c r="BZ178" s="320">
        <v>5.0999999999999996</v>
      </c>
      <c r="CA178" s="303">
        <v>-5.714633707917538</v>
      </c>
    </row>
    <row r="179" spans="1:79">
      <c r="A179" s="58">
        <f t="shared" si="470"/>
        <v>1881</v>
      </c>
      <c r="B179" s="303">
        <f t="shared" si="466"/>
        <v>0.80775444264942209</v>
      </c>
      <c r="C179" s="303"/>
      <c r="D179" s="303">
        <f t="shared" si="467"/>
        <v>0.80775444264942209</v>
      </c>
      <c r="E179" s="303"/>
      <c r="F179" s="364"/>
      <c r="G179" s="303"/>
      <c r="H179" s="364"/>
      <c r="I179" s="364"/>
      <c r="J179" s="364"/>
      <c r="K179" s="364"/>
      <c r="L179" s="364"/>
      <c r="M179" s="364"/>
      <c r="N179" s="364"/>
      <c r="O179" s="364"/>
      <c r="P179" s="364"/>
      <c r="Q179" s="364"/>
      <c r="R179" s="364"/>
      <c r="S179" s="364"/>
      <c r="T179" s="364">
        <f t="shared" si="468"/>
        <v>2.9824863587034844</v>
      </c>
      <c r="U179" s="364">
        <f t="shared" si="468"/>
        <v>2.9824863587034844</v>
      </c>
      <c r="V179" s="364">
        <f t="shared" si="469"/>
        <v>4.79</v>
      </c>
      <c r="W179" s="320"/>
      <c r="X179" s="320"/>
      <c r="Y179" s="320"/>
      <c r="Z179" s="320"/>
      <c r="AA179" s="320"/>
      <c r="AB179" s="320"/>
      <c r="AC179" s="320"/>
      <c r="AD179" s="320"/>
      <c r="AE179" s="320"/>
      <c r="AF179" s="320"/>
      <c r="AG179" s="320"/>
      <c r="AH179" s="320"/>
      <c r="AI179" s="320"/>
      <c r="AJ179" s="320"/>
      <c r="AK179" s="320"/>
      <c r="AL179" s="320"/>
      <c r="AM179" s="320"/>
      <c r="AN179" s="320"/>
      <c r="AO179" s="320"/>
      <c r="AP179" s="320"/>
      <c r="AQ179" s="320"/>
      <c r="AR179" s="320"/>
      <c r="AS179" s="320"/>
      <c r="AT179" s="320"/>
      <c r="AU179" s="320"/>
      <c r="AV179" s="320"/>
      <c r="AW179" s="320"/>
      <c r="AX179" s="320"/>
      <c r="AY179" s="320"/>
      <c r="AZ179" s="320"/>
      <c r="BA179" s="320"/>
      <c r="BB179" s="320"/>
      <c r="BC179" s="320"/>
      <c r="BD179" s="320"/>
      <c r="BE179" s="320"/>
      <c r="BF179" s="320"/>
      <c r="BG179" s="320"/>
      <c r="BH179" s="320"/>
      <c r="BI179" s="320"/>
      <c r="BJ179" s="320"/>
      <c r="BK179" s="320"/>
      <c r="BL179" s="320"/>
      <c r="BM179" s="320"/>
      <c r="BN179" s="320"/>
      <c r="BO179" s="320"/>
      <c r="BP179" s="320"/>
      <c r="BQ179" s="320"/>
      <c r="BR179" s="320"/>
      <c r="BS179" s="320"/>
      <c r="BT179" s="320"/>
      <c r="BU179" s="320"/>
      <c r="BV179" s="320"/>
      <c r="BW179" s="320"/>
      <c r="BX179" s="303">
        <v>0.80775444264942209</v>
      </c>
      <c r="BY179" s="303">
        <v>2.9824863587034844</v>
      </c>
      <c r="BZ179" s="320">
        <v>4.79</v>
      </c>
      <c r="CA179" s="303">
        <v>8.0807546129327612</v>
      </c>
    </row>
    <row r="180" spans="1:79">
      <c r="A180" s="58">
        <f t="shared" si="470"/>
        <v>1882</v>
      </c>
      <c r="B180" s="303">
        <f t="shared" si="466"/>
        <v>3.5472972972973027</v>
      </c>
      <c r="C180" s="303"/>
      <c r="D180" s="303">
        <f t="shared" si="467"/>
        <v>3.5472972972973027</v>
      </c>
      <c r="E180" s="303"/>
      <c r="F180" s="364"/>
      <c r="G180" s="303"/>
      <c r="H180" s="364"/>
      <c r="I180" s="364"/>
      <c r="J180" s="364"/>
      <c r="K180" s="364"/>
      <c r="L180" s="364"/>
      <c r="M180" s="364"/>
      <c r="N180" s="364"/>
      <c r="O180" s="364"/>
      <c r="P180" s="364"/>
      <c r="Q180" s="364"/>
      <c r="R180" s="364"/>
      <c r="S180" s="364"/>
      <c r="T180" s="364">
        <f t="shared" si="468"/>
        <v>3.2811243579058624</v>
      </c>
      <c r="U180" s="364">
        <f t="shared" si="468"/>
        <v>3.2811243579058624</v>
      </c>
      <c r="V180" s="364">
        <f t="shared" si="469"/>
        <v>5.26</v>
      </c>
      <c r="W180" s="320"/>
      <c r="X180" s="320"/>
      <c r="Y180" s="320"/>
      <c r="Z180" s="320"/>
      <c r="AA180" s="320"/>
      <c r="AB180" s="320"/>
      <c r="AC180" s="320"/>
      <c r="AD180" s="320"/>
      <c r="AE180" s="320"/>
      <c r="AF180" s="320"/>
      <c r="AG180" s="320"/>
      <c r="AH180" s="320"/>
      <c r="AI180" s="320"/>
      <c r="AJ180" s="320"/>
      <c r="AK180" s="320"/>
      <c r="AL180" s="320"/>
      <c r="AM180" s="320"/>
      <c r="AN180" s="320"/>
      <c r="AO180" s="320"/>
      <c r="AP180" s="320"/>
      <c r="AQ180" s="320"/>
      <c r="AR180" s="320"/>
      <c r="AS180" s="320"/>
      <c r="AT180" s="320"/>
      <c r="AU180" s="320"/>
      <c r="AV180" s="320"/>
      <c r="AW180" s="320"/>
      <c r="AX180" s="320"/>
      <c r="AY180" s="320"/>
      <c r="AZ180" s="320"/>
      <c r="BA180" s="320"/>
      <c r="BB180" s="320"/>
      <c r="BC180" s="320"/>
      <c r="BD180" s="320"/>
      <c r="BE180" s="320"/>
      <c r="BF180" s="320"/>
      <c r="BG180" s="320"/>
      <c r="BH180" s="320"/>
      <c r="BI180" s="320"/>
      <c r="BJ180" s="320"/>
      <c r="BK180" s="320"/>
      <c r="BL180" s="320"/>
      <c r="BM180" s="320"/>
      <c r="BN180" s="320"/>
      <c r="BO180" s="320"/>
      <c r="BP180" s="320"/>
      <c r="BQ180" s="320"/>
      <c r="BR180" s="320"/>
      <c r="BS180" s="320"/>
      <c r="BT180" s="320"/>
      <c r="BU180" s="320"/>
      <c r="BV180" s="320"/>
      <c r="BW180" s="320"/>
      <c r="BX180" s="303">
        <v>3.5472972972973027</v>
      </c>
      <c r="BY180" s="303">
        <v>3.2811243579058624</v>
      </c>
      <c r="BZ180" s="320">
        <v>5.26</v>
      </c>
      <c r="CA180" s="303">
        <v>-1.8687481459799038</v>
      </c>
    </row>
    <row r="181" spans="1:79">
      <c r="A181" s="58">
        <f t="shared" si="470"/>
        <v>1883</v>
      </c>
      <c r="B181" s="303">
        <f t="shared" si="466"/>
        <v>-5.1635111876075719</v>
      </c>
      <c r="C181" s="303"/>
      <c r="D181" s="303">
        <f t="shared" si="467"/>
        <v>-5.1635111876075719</v>
      </c>
      <c r="E181" s="303"/>
      <c r="F181" s="364"/>
      <c r="G181" s="303"/>
      <c r="H181" s="364"/>
      <c r="I181" s="364"/>
      <c r="J181" s="364"/>
      <c r="K181" s="364"/>
      <c r="L181" s="364"/>
      <c r="M181" s="364"/>
      <c r="N181" s="364"/>
      <c r="O181" s="364"/>
      <c r="P181" s="364"/>
      <c r="Q181" s="364"/>
      <c r="R181" s="364"/>
      <c r="S181" s="364"/>
      <c r="T181" s="364">
        <f t="shared" si="468"/>
        <v>2.9674050604516111</v>
      </c>
      <c r="U181" s="364">
        <f t="shared" si="468"/>
        <v>2.9674050604516111</v>
      </c>
      <c r="V181" s="364">
        <f t="shared" si="469"/>
        <v>5.35</v>
      </c>
      <c r="W181" s="320"/>
      <c r="X181" s="320"/>
      <c r="Y181" s="320"/>
      <c r="Z181" s="320"/>
      <c r="AA181" s="320"/>
      <c r="AB181" s="320"/>
      <c r="AC181" s="320"/>
      <c r="AD181" s="320"/>
      <c r="AE181" s="320"/>
      <c r="AF181" s="320"/>
      <c r="AG181" s="320"/>
      <c r="AH181" s="320"/>
      <c r="AI181" s="320"/>
      <c r="AJ181" s="320"/>
      <c r="AK181" s="320"/>
      <c r="AL181" s="320"/>
      <c r="AM181" s="320"/>
      <c r="AN181" s="320"/>
      <c r="AO181" s="320"/>
      <c r="AP181" s="320"/>
      <c r="AQ181" s="320"/>
      <c r="AR181" s="320"/>
      <c r="AS181" s="320"/>
      <c r="AT181" s="320"/>
      <c r="AU181" s="320"/>
      <c r="AV181" s="320"/>
      <c r="AW181" s="320"/>
      <c r="AX181" s="320"/>
      <c r="AY181" s="320"/>
      <c r="AZ181" s="320"/>
      <c r="BA181" s="320"/>
      <c r="BB181" s="320"/>
      <c r="BC181" s="320"/>
      <c r="BD181" s="320"/>
      <c r="BE181" s="320"/>
      <c r="BF181" s="320"/>
      <c r="BG181" s="320"/>
      <c r="BH181" s="320"/>
      <c r="BI181" s="320"/>
      <c r="BJ181" s="320"/>
      <c r="BK181" s="320"/>
      <c r="BL181" s="320"/>
      <c r="BM181" s="320"/>
      <c r="BN181" s="320"/>
      <c r="BO181" s="320"/>
      <c r="BP181" s="320"/>
      <c r="BQ181" s="320"/>
      <c r="BR181" s="320"/>
      <c r="BS181" s="320"/>
      <c r="BT181" s="320"/>
      <c r="BU181" s="320"/>
      <c r="BV181" s="320"/>
      <c r="BW181" s="320"/>
      <c r="BX181" s="303">
        <v>-5.1635111876075719</v>
      </c>
      <c r="BY181" s="303">
        <v>2.9674050604516111</v>
      </c>
      <c r="BZ181" s="320">
        <v>5.35</v>
      </c>
      <c r="CA181" s="303">
        <v>-7.619780870915327</v>
      </c>
    </row>
    <row r="182" spans="1:79">
      <c r="A182" s="58">
        <f t="shared" si="470"/>
        <v>1884</v>
      </c>
      <c r="B182" s="303">
        <f t="shared" si="466"/>
        <v>-12.16216216216216</v>
      </c>
      <c r="C182" s="303"/>
      <c r="D182" s="303">
        <f t="shared" si="467"/>
        <v>-12.16216216216216</v>
      </c>
      <c r="E182" s="303"/>
      <c r="F182" s="364"/>
      <c r="G182" s="303"/>
      <c r="H182" s="364"/>
      <c r="I182" s="364"/>
      <c r="J182" s="364"/>
      <c r="K182" s="364"/>
      <c r="L182" s="364"/>
      <c r="M182" s="364"/>
      <c r="N182" s="364"/>
      <c r="O182" s="364"/>
      <c r="P182" s="364"/>
      <c r="Q182" s="364"/>
      <c r="R182" s="364"/>
      <c r="S182" s="364"/>
      <c r="T182" s="364">
        <f t="shared" si="468"/>
        <v>6.317829023502175</v>
      </c>
      <c r="U182" s="364">
        <f t="shared" si="468"/>
        <v>6.317829023502175</v>
      </c>
      <c r="V182" s="364">
        <f t="shared" si="469"/>
        <v>5.65</v>
      </c>
      <c r="W182" s="320"/>
      <c r="X182" s="320"/>
      <c r="Y182" s="320"/>
      <c r="Z182" s="320"/>
      <c r="AA182" s="320"/>
      <c r="AB182" s="320"/>
      <c r="AC182" s="320"/>
      <c r="AD182" s="320"/>
      <c r="AE182" s="320"/>
      <c r="AF182" s="320"/>
      <c r="AG182" s="320"/>
      <c r="AH182" s="320"/>
      <c r="AI182" s="320"/>
      <c r="AJ182" s="320"/>
      <c r="AK182" s="320"/>
      <c r="AL182" s="320"/>
      <c r="AM182" s="320"/>
      <c r="AN182" s="320"/>
      <c r="AO182" s="320"/>
      <c r="AP182" s="320"/>
      <c r="AQ182" s="320"/>
      <c r="AR182" s="320"/>
      <c r="AS182" s="320"/>
      <c r="AT182" s="320"/>
      <c r="AU182" s="320"/>
      <c r="AV182" s="320"/>
      <c r="AW182" s="320"/>
      <c r="AX182" s="320"/>
      <c r="AY182" s="320"/>
      <c r="AZ182" s="320"/>
      <c r="BA182" s="320"/>
      <c r="BB182" s="320"/>
      <c r="BC182" s="320"/>
      <c r="BD182" s="320"/>
      <c r="BE182" s="320"/>
      <c r="BF182" s="320"/>
      <c r="BG182" s="320"/>
      <c r="BH182" s="320"/>
      <c r="BI182" s="320"/>
      <c r="BJ182" s="320"/>
      <c r="BK182" s="320"/>
      <c r="BL182" s="320"/>
      <c r="BM182" s="320"/>
      <c r="BN182" s="320"/>
      <c r="BO182" s="320"/>
      <c r="BP182" s="320"/>
      <c r="BQ182" s="320"/>
      <c r="BR182" s="320"/>
      <c r="BS182" s="320"/>
      <c r="BT182" s="320"/>
      <c r="BU182" s="320"/>
      <c r="BV182" s="320"/>
      <c r="BW182" s="320"/>
      <c r="BX182" s="303">
        <v>-12.16216216216216</v>
      </c>
      <c r="BY182" s="303">
        <v>6.317829023502175</v>
      </c>
      <c r="BZ182" s="320">
        <v>5.65</v>
      </c>
      <c r="CA182" s="303">
        <v>-10.308817794189086</v>
      </c>
    </row>
    <row r="183" spans="1:79">
      <c r="A183" s="58">
        <f t="shared" si="470"/>
        <v>1885</v>
      </c>
      <c r="B183" s="303">
        <f t="shared" si="466"/>
        <v>28.301886792452823</v>
      </c>
      <c r="C183" s="303"/>
      <c r="D183" s="303">
        <f t="shared" si="467"/>
        <v>28.301886792452823</v>
      </c>
      <c r="E183" s="303"/>
      <c r="F183" s="364"/>
      <c r="G183" s="303"/>
      <c r="H183" s="364"/>
      <c r="I183" s="364"/>
      <c r="J183" s="364"/>
      <c r="K183" s="364"/>
      <c r="L183" s="364"/>
      <c r="M183" s="364"/>
      <c r="N183" s="364"/>
      <c r="O183" s="364"/>
      <c r="P183" s="364"/>
      <c r="Q183" s="364"/>
      <c r="R183" s="364"/>
      <c r="S183" s="364"/>
      <c r="T183" s="364">
        <f t="shared" si="468"/>
        <v>3.7987808977220539</v>
      </c>
      <c r="U183" s="364">
        <f t="shared" si="468"/>
        <v>3.7987808977220539</v>
      </c>
      <c r="V183" s="364">
        <f t="shared" si="469"/>
        <v>4.22</v>
      </c>
      <c r="W183" s="320"/>
      <c r="X183" s="320"/>
      <c r="Y183" s="320"/>
      <c r="Z183" s="320"/>
      <c r="AA183" s="320"/>
      <c r="AB183" s="320"/>
      <c r="AC183" s="320"/>
      <c r="AD183" s="320"/>
      <c r="AE183" s="320"/>
      <c r="AF183" s="320"/>
      <c r="AG183" s="320"/>
      <c r="AH183" s="320"/>
      <c r="AI183" s="320"/>
      <c r="AJ183" s="320"/>
      <c r="AK183" s="320"/>
      <c r="AL183" s="320"/>
      <c r="AM183" s="320"/>
      <c r="AN183" s="320"/>
      <c r="AO183" s="320"/>
      <c r="AP183" s="320"/>
      <c r="AQ183" s="320"/>
      <c r="AR183" s="320"/>
      <c r="AS183" s="320"/>
      <c r="AT183" s="320"/>
      <c r="AU183" s="320"/>
      <c r="AV183" s="320"/>
      <c r="AW183" s="320"/>
      <c r="AX183" s="320"/>
      <c r="AY183" s="320"/>
      <c r="AZ183" s="320"/>
      <c r="BA183" s="320"/>
      <c r="BB183" s="320"/>
      <c r="BC183" s="320"/>
      <c r="BD183" s="320"/>
      <c r="BE183" s="320"/>
      <c r="BF183" s="320"/>
      <c r="BG183" s="320"/>
      <c r="BH183" s="320"/>
      <c r="BI183" s="320"/>
      <c r="BJ183" s="320"/>
      <c r="BK183" s="320"/>
      <c r="BL183" s="320"/>
      <c r="BM183" s="320"/>
      <c r="BN183" s="320"/>
      <c r="BO183" s="320"/>
      <c r="BP183" s="320"/>
      <c r="BQ183" s="320"/>
      <c r="BR183" s="320"/>
      <c r="BS183" s="320"/>
      <c r="BT183" s="320"/>
      <c r="BU183" s="320"/>
      <c r="BV183" s="320"/>
      <c r="BW183" s="320"/>
      <c r="BX183" s="303">
        <v>28.301886792452823</v>
      </c>
      <c r="BY183" s="303">
        <v>3.7987808977220539</v>
      </c>
      <c r="BZ183" s="320">
        <v>4.22</v>
      </c>
      <c r="CA183" s="303">
        <v>-3.4483964605876771</v>
      </c>
    </row>
    <row r="184" spans="1:79">
      <c r="A184" s="58">
        <f t="shared" si="470"/>
        <v>1886</v>
      </c>
      <c r="B184" s="303">
        <f t="shared" si="466"/>
        <v>11.538461538461542</v>
      </c>
      <c r="C184" s="303"/>
      <c r="D184" s="303">
        <f t="shared" si="467"/>
        <v>11.538461538461542</v>
      </c>
      <c r="E184" s="303"/>
      <c r="F184" s="364"/>
      <c r="G184" s="303"/>
      <c r="H184" s="364"/>
      <c r="I184" s="364"/>
      <c r="J184" s="364"/>
      <c r="K184" s="364"/>
      <c r="L184" s="364"/>
      <c r="M184" s="364"/>
      <c r="N184" s="364"/>
      <c r="O184" s="364"/>
      <c r="P184" s="364"/>
      <c r="Q184" s="364"/>
      <c r="R184" s="364"/>
      <c r="S184" s="364"/>
      <c r="T184" s="364">
        <f t="shared" si="468"/>
        <v>-0.3857997807954705</v>
      </c>
      <c r="U184" s="364">
        <f t="shared" si="468"/>
        <v>-0.3857997807954705</v>
      </c>
      <c r="V184" s="364">
        <f t="shared" si="469"/>
        <v>4.26</v>
      </c>
      <c r="W184" s="320"/>
      <c r="X184" s="320"/>
      <c r="Y184" s="320"/>
      <c r="Z184" s="320"/>
      <c r="AA184" s="320"/>
      <c r="AB184" s="320"/>
      <c r="AC184" s="320"/>
      <c r="AD184" s="320"/>
      <c r="AE184" s="320"/>
      <c r="AF184" s="320"/>
      <c r="AG184" s="320"/>
      <c r="AH184" s="320"/>
      <c r="AI184" s="320"/>
      <c r="AJ184" s="320"/>
      <c r="AK184" s="320"/>
      <c r="AL184" s="320"/>
      <c r="AM184" s="320"/>
      <c r="AN184" s="320"/>
      <c r="AO184" s="320"/>
      <c r="AP184" s="320"/>
      <c r="AQ184" s="320"/>
      <c r="AR184" s="320"/>
      <c r="AS184" s="320"/>
      <c r="AT184" s="320"/>
      <c r="AU184" s="320"/>
      <c r="AV184" s="320"/>
      <c r="AW184" s="320"/>
      <c r="AX184" s="320"/>
      <c r="AY184" s="320"/>
      <c r="AZ184" s="320"/>
      <c r="BA184" s="320"/>
      <c r="BB184" s="320"/>
      <c r="BC184" s="320"/>
      <c r="BD184" s="320"/>
      <c r="BE184" s="320"/>
      <c r="BF184" s="320"/>
      <c r="BG184" s="320"/>
      <c r="BH184" s="320"/>
      <c r="BI184" s="320"/>
      <c r="BJ184" s="320"/>
      <c r="BK184" s="320"/>
      <c r="BL184" s="320"/>
      <c r="BM184" s="320"/>
      <c r="BN184" s="320"/>
      <c r="BO184" s="320"/>
      <c r="BP184" s="320"/>
      <c r="BQ184" s="320"/>
      <c r="BR184" s="320"/>
      <c r="BS184" s="320"/>
      <c r="BT184" s="320"/>
      <c r="BU184" s="320"/>
      <c r="BV184" s="320"/>
      <c r="BW184" s="320"/>
      <c r="BX184" s="303">
        <v>11.538461538461542</v>
      </c>
      <c r="BY184" s="303">
        <v>-0.3857997807954705</v>
      </c>
      <c r="BZ184" s="320">
        <v>4.26</v>
      </c>
      <c r="CA184" s="303">
        <v>0</v>
      </c>
    </row>
    <row r="185" spans="1:79">
      <c r="A185" s="58">
        <f t="shared" si="470"/>
        <v>1887</v>
      </c>
      <c r="B185" s="303">
        <f t="shared" si="466"/>
        <v>-0.35842293906810374</v>
      </c>
      <c r="C185" s="303"/>
      <c r="D185" s="303">
        <f t="shared" si="467"/>
        <v>-0.35842293906810374</v>
      </c>
      <c r="E185" s="303"/>
      <c r="F185" s="364"/>
      <c r="G185" s="303"/>
      <c r="H185" s="364"/>
      <c r="I185" s="364"/>
      <c r="J185" s="364"/>
      <c r="K185" s="364"/>
      <c r="L185" s="364"/>
      <c r="M185" s="364"/>
      <c r="N185" s="364"/>
      <c r="O185" s="364"/>
      <c r="P185" s="364"/>
      <c r="Q185" s="364"/>
      <c r="R185" s="364"/>
      <c r="S185" s="364"/>
      <c r="T185" s="364">
        <f t="shared" si="468"/>
        <v>4.8353054776459015</v>
      </c>
      <c r="U185" s="364">
        <f t="shared" si="468"/>
        <v>4.8353054776459015</v>
      </c>
      <c r="V185" s="364">
        <f t="shared" si="469"/>
        <v>6.11</v>
      </c>
      <c r="W185" s="320"/>
      <c r="X185" s="320"/>
      <c r="Y185" s="320"/>
      <c r="Z185" s="320"/>
      <c r="AA185" s="320"/>
      <c r="AB185" s="320"/>
      <c r="AC185" s="320"/>
      <c r="AD185" s="320"/>
      <c r="AE185" s="320"/>
      <c r="AF185" s="320"/>
      <c r="AG185" s="320"/>
      <c r="AH185" s="320"/>
      <c r="AI185" s="320"/>
      <c r="AJ185" s="320"/>
      <c r="AK185" s="320"/>
      <c r="AL185" s="320"/>
      <c r="AM185" s="320"/>
      <c r="AN185" s="320"/>
      <c r="AO185" s="320"/>
      <c r="AP185" s="320"/>
      <c r="AQ185" s="320"/>
      <c r="AR185" s="320"/>
      <c r="AS185" s="320"/>
      <c r="AT185" s="320"/>
      <c r="AU185" s="320"/>
      <c r="AV185" s="320"/>
      <c r="AW185" s="320"/>
      <c r="AX185" s="320"/>
      <c r="AY185" s="320"/>
      <c r="AZ185" s="320"/>
      <c r="BA185" s="320"/>
      <c r="BB185" s="320"/>
      <c r="BC185" s="320"/>
      <c r="BD185" s="320"/>
      <c r="BE185" s="320"/>
      <c r="BF185" s="320"/>
      <c r="BG185" s="320"/>
      <c r="BH185" s="320"/>
      <c r="BI185" s="320"/>
      <c r="BJ185" s="320"/>
      <c r="BK185" s="320"/>
      <c r="BL185" s="320"/>
      <c r="BM185" s="320"/>
      <c r="BN185" s="320"/>
      <c r="BO185" s="320"/>
      <c r="BP185" s="320"/>
      <c r="BQ185" s="320"/>
      <c r="BR185" s="320"/>
      <c r="BS185" s="320"/>
      <c r="BT185" s="320"/>
      <c r="BU185" s="320"/>
      <c r="BV185" s="320"/>
      <c r="BW185" s="320"/>
      <c r="BX185" s="303">
        <v>-0.35842293906810374</v>
      </c>
      <c r="BY185" s="303">
        <v>4.8353054776459015</v>
      </c>
      <c r="BZ185" s="320">
        <v>6.11</v>
      </c>
      <c r="CA185" s="303">
        <v>4.7622803647056289</v>
      </c>
    </row>
    <row r="186" spans="1:79">
      <c r="A186" s="58">
        <f t="shared" si="470"/>
        <v>1888</v>
      </c>
      <c r="B186" s="303">
        <f t="shared" si="466"/>
        <v>3.0131826741996326</v>
      </c>
      <c r="C186" s="303"/>
      <c r="D186" s="303">
        <f t="shared" si="467"/>
        <v>3.0131826741996326</v>
      </c>
      <c r="E186" s="303"/>
      <c r="F186" s="364"/>
      <c r="G186" s="303"/>
      <c r="H186" s="364"/>
      <c r="I186" s="364"/>
      <c r="J186" s="364"/>
      <c r="K186" s="364"/>
      <c r="L186" s="364"/>
      <c r="M186" s="364"/>
      <c r="N186" s="364"/>
      <c r="O186" s="364"/>
      <c r="P186" s="364"/>
      <c r="Q186" s="364"/>
      <c r="R186" s="364"/>
      <c r="S186" s="364"/>
      <c r="T186" s="364">
        <f t="shared" si="468"/>
        <v>4.7758488713629088</v>
      </c>
      <c r="U186" s="364">
        <f t="shared" si="468"/>
        <v>4.7758488713629088</v>
      </c>
      <c r="V186" s="364">
        <f t="shared" si="469"/>
        <v>5.0199999999999996</v>
      </c>
      <c r="W186" s="320"/>
      <c r="X186" s="320"/>
      <c r="Y186" s="320"/>
      <c r="Z186" s="320"/>
      <c r="AA186" s="320"/>
      <c r="AB186" s="320"/>
      <c r="AC186" s="320"/>
      <c r="AD186" s="320"/>
      <c r="AE186" s="320"/>
      <c r="AF186" s="320"/>
      <c r="AG186" s="320"/>
      <c r="AH186" s="320"/>
      <c r="AI186" s="320"/>
      <c r="AJ186" s="320"/>
      <c r="AK186" s="320"/>
      <c r="AL186" s="320"/>
      <c r="AM186" s="320"/>
      <c r="AN186" s="320"/>
      <c r="AO186" s="320"/>
      <c r="AP186" s="320"/>
      <c r="AQ186" s="320"/>
      <c r="AR186" s="320"/>
      <c r="AS186" s="320"/>
      <c r="AT186" s="320"/>
      <c r="AU186" s="320"/>
      <c r="AV186" s="320"/>
      <c r="AW186" s="320"/>
      <c r="AX186" s="320"/>
      <c r="AY186" s="320"/>
      <c r="AZ186" s="320"/>
      <c r="BA186" s="320"/>
      <c r="BB186" s="320"/>
      <c r="BC186" s="320"/>
      <c r="BD186" s="320"/>
      <c r="BE186" s="320"/>
      <c r="BF186" s="320"/>
      <c r="BG186" s="320"/>
      <c r="BH186" s="320"/>
      <c r="BI186" s="320"/>
      <c r="BJ186" s="320"/>
      <c r="BK186" s="320"/>
      <c r="BL186" s="320"/>
      <c r="BM186" s="320"/>
      <c r="BN186" s="320"/>
      <c r="BO186" s="320"/>
      <c r="BP186" s="320"/>
      <c r="BQ186" s="320"/>
      <c r="BR186" s="320"/>
      <c r="BS186" s="320"/>
      <c r="BT186" s="320"/>
      <c r="BU186" s="320"/>
      <c r="BV186" s="320"/>
      <c r="BW186" s="320"/>
      <c r="BX186" s="303">
        <v>3.0131826741996326</v>
      </c>
      <c r="BY186" s="303">
        <v>4.7758488713629088</v>
      </c>
      <c r="BZ186" s="320">
        <v>5.0199999999999996</v>
      </c>
      <c r="CA186" s="303">
        <v>-4.545796777358091</v>
      </c>
    </row>
    <row r="187" spans="1:79">
      <c r="A187" s="58">
        <f t="shared" si="470"/>
        <v>1889</v>
      </c>
      <c r="B187" s="303">
        <f t="shared" si="466"/>
        <v>6.8702290076335659</v>
      </c>
      <c r="C187" s="303"/>
      <c r="D187" s="303">
        <f t="shared" si="467"/>
        <v>6.8702290076335659</v>
      </c>
      <c r="E187" s="303"/>
      <c r="F187" s="364"/>
      <c r="G187" s="303"/>
      <c r="H187" s="364"/>
      <c r="I187" s="364"/>
      <c r="J187" s="364"/>
      <c r="K187" s="364"/>
      <c r="L187" s="364"/>
      <c r="M187" s="364"/>
      <c r="N187" s="364"/>
      <c r="O187" s="364"/>
      <c r="P187" s="364"/>
      <c r="Q187" s="364"/>
      <c r="R187" s="364"/>
      <c r="S187" s="364"/>
      <c r="T187" s="364">
        <f t="shared" si="468"/>
        <v>2.104697604237904</v>
      </c>
      <c r="U187" s="364">
        <f t="shared" si="468"/>
        <v>2.104697604237904</v>
      </c>
      <c r="V187" s="364">
        <f t="shared" si="469"/>
        <v>4.68</v>
      </c>
      <c r="W187" s="320"/>
      <c r="X187" s="320"/>
      <c r="Y187" s="320"/>
      <c r="Z187" s="320"/>
      <c r="AA187" s="320"/>
      <c r="AB187" s="320"/>
      <c r="AC187" s="320"/>
      <c r="AD187" s="320"/>
      <c r="AE187" s="320"/>
      <c r="AF187" s="320"/>
      <c r="AG187" s="320"/>
      <c r="AH187" s="320"/>
      <c r="AI187" s="320"/>
      <c r="AJ187" s="320"/>
      <c r="AK187" s="320"/>
      <c r="AL187" s="320"/>
      <c r="AM187" s="320"/>
      <c r="AN187" s="320"/>
      <c r="AO187" s="320"/>
      <c r="AP187" s="320"/>
      <c r="AQ187" s="320"/>
      <c r="AR187" s="320"/>
      <c r="AS187" s="320"/>
      <c r="AT187" s="320"/>
      <c r="AU187" s="320"/>
      <c r="AV187" s="320"/>
      <c r="AW187" s="320"/>
      <c r="AX187" s="320"/>
      <c r="AY187" s="320"/>
      <c r="AZ187" s="320"/>
      <c r="BA187" s="320"/>
      <c r="BB187" s="320"/>
      <c r="BC187" s="320"/>
      <c r="BD187" s="320"/>
      <c r="BE187" s="320"/>
      <c r="BF187" s="320"/>
      <c r="BG187" s="320"/>
      <c r="BH187" s="320"/>
      <c r="BI187" s="320"/>
      <c r="BJ187" s="320"/>
      <c r="BK187" s="320"/>
      <c r="BL187" s="320"/>
      <c r="BM187" s="320"/>
      <c r="BN187" s="320"/>
      <c r="BO187" s="320"/>
      <c r="BP187" s="320"/>
      <c r="BQ187" s="320"/>
      <c r="BR187" s="320"/>
      <c r="BS187" s="320"/>
      <c r="BT187" s="320"/>
      <c r="BU187" s="320"/>
      <c r="BV187" s="320"/>
      <c r="BW187" s="320"/>
      <c r="BX187" s="303">
        <v>6.8702290076335659</v>
      </c>
      <c r="BY187" s="303">
        <v>2.104697604237904</v>
      </c>
      <c r="BZ187" s="320">
        <v>4.68</v>
      </c>
      <c r="CA187" s="303">
        <v>-4.7618762222883859</v>
      </c>
    </row>
    <row r="188" spans="1:79">
      <c r="A188" s="58">
        <f t="shared" si="470"/>
        <v>1890</v>
      </c>
      <c r="B188" s="303">
        <f t="shared" si="466"/>
        <v>-5.947955390334581</v>
      </c>
      <c r="C188" s="303"/>
      <c r="D188" s="303">
        <f t="shared" si="467"/>
        <v>-5.947955390334581</v>
      </c>
      <c r="E188" s="303"/>
      <c r="F188" s="364"/>
      <c r="G188" s="303"/>
      <c r="H188" s="364"/>
      <c r="I188" s="364"/>
      <c r="J188" s="364"/>
      <c r="K188" s="364"/>
      <c r="L188" s="364"/>
      <c r="M188" s="364"/>
      <c r="N188" s="364"/>
      <c r="O188" s="364"/>
      <c r="P188" s="364"/>
      <c r="Q188" s="364"/>
      <c r="R188" s="364"/>
      <c r="S188" s="364"/>
      <c r="T188" s="364">
        <f t="shared" si="468"/>
        <v>1.6893519701516979</v>
      </c>
      <c r="U188" s="364">
        <f t="shared" si="468"/>
        <v>1.6893519701516979</v>
      </c>
      <c r="V188" s="364">
        <f t="shared" si="469"/>
        <v>5.41</v>
      </c>
      <c r="W188" s="320"/>
      <c r="X188" s="320"/>
      <c r="Y188" s="320"/>
      <c r="Z188" s="320"/>
      <c r="AA188" s="320"/>
      <c r="AB188" s="320"/>
      <c r="AC188" s="320"/>
      <c r="AD188" s="320"/>
      <c r="AE188" s="320"/>
      <c r="AF188" s="320"/>
      <c r="AG188" s="320"/>
      <c r="AH188" s="320"/>
      <c r="AI188" s="320"/>
      <c r="AJ188" s="320"/>
      <c r="AK188" s="320"/>
      <c r="AL188" s="320"/>
      <c r="AM188" s="320"/>
      <c r="AN188" s="320"/>
      <c r="AO188" s="320"/>
      <c r="AP188" s="320"/>
      <c r="AQ188" s="320"/>
      <c r="AR188" s="320"/>
      <c r="AS188" s="320"/>
      <c r="AT188" s="320"/>
      <c r="AU188" s="320"/>
      <c r="AV188" s="320"/>
      <c r="AW188" s="320"/>
      <c r="AX188" s="320"/>
      <c r="AY188" s="320"/>
      <c r="AZ188" s="320"/>
      <c r="BA188" s="320"/>
      <c r="BB188" s="320"/>
      <c r="BC188" s="320"/>
      <c r="BD188" s="320"/>
      <c r="BE188" s="320"/>
      <c r="BF188" s="320"/>
      <c r="BG188" s="320"/>
      <c r="BH188" s="320"/>
      <c r="BI188" s="320"/>
      <c r="BJ188" s="320"/>
      <c r="BK188" s="320"/>
      <c r="BL188" s="320"/>
      <c r="BM188" s="320"/>
      <c r="BN188" s="320"/>
      <c r="BO188" s="320"/>
      <c r="BP188" s="320"/>
      <c r="BQ188" s="320"/>
      <c r="BR188" s="320"/>
      <c r="BS188" s="320"/>
      <c r="BT188" s="320"/>
      <c r="BU188" s="320"/>
      <c r="BV188" s="320"/>
      <c r="BW188" s="320"/>
      <c r="BX188" s="303">
        <v>-5.947955390334581</v>
      </c>
      <c r="BY188" s="303">
        <v>1.6893519701516979</v>
      </c>
      <c r="BZ188" s="320">
        <v>5.41</v>
      </c>
      <c r="CA188" s="303">
        <v>2.4999842675411887</v>
      </c>
    </row>
    <row r="189" spans="1:79">
      <c r="A189" s="58">
        <f t="shared" si="470"/>
        <v>1891</v>
      </c>
      <c r="B189" s="303">
        <f t="shared" si="466"/>
        <v>18.388429752066116</v>
      </c>
      <c r="C189" s="303"/>
      <c r="D189" s="303">
        <f t="shared" si="467"/>
        <v>18.388429752066116</v>
      </c>
      <c r="E189" s="303"/>
      <c r="F189" s="364"/>
      <c r="G189" s="303"/>
      <c r="H189" s="364"/>
      <c r="I189" s="364"/>
      <c r="J189" s="364"/>
      <c r="K189" s="364"/>
      <c r="L189" s="364"/>
      <c r="M189" s="364"/>
      <c r="N189" s="364"/>
      <c r="O189" s="364"/>
      <c r="P189" s="364"/>
      <c r="Q189" s="364"/>
      <c r="R189" s="364"/>
      <c r="S189" s="364"/>
      <c r="T189" s="364">
        <f t="shared" si="468"/>
        <v>7.2260810117068308</v>
      </c>
      <c r="U189" s="364">
        <f t="shared" si="468"/>
        <v>7.2260810117068308</v>
      </c>
      <c r="V189" s="364">
        <f t="shared" si="469"/>
        <v>5.97</v>
      </c>
      <c r="W189" s="320"/>
      <c r="X189" s="320"/>
      <c r="Y189" s="320"/>
      <c r="Z189" s="320"/>
      <c r="AA189" s="320"/>
      <c r="AB189" s="320"/>
      <c r="AC189" s="320"/>
      <c r="AD189" s="320"/>
      <c r="AE189" s="320"/>
      <c r="AF189" s="320"/>
      <c r="AG189" s="320"/>
      <c r="AH189" s="320"/>
      <c r="AI189" s="320"/>
      <c r="AJ189" s="320"/>
      <c r="AK189" s="320"/>
      <c r="AL189" s="320"/>
      <c r="AM189" s="320"/>
      <c r="AN189" s="320"/>
      <c r="AO189" s="320"/>
      <c r="AP189" s="320"/>
      <c r="AQ189" s="320"/>
      <c r="AR189" s="320"/>
      <c r="AS189" s="320"/>
      <c r="AT189" s="320"/>
      <c r="AU189" s="320"/>
      <c r="AV189" s="320"/>
      <c r="AW189" s="320"/>
      <c r="AX189" s="320"/>
      <c r="AY189" s="320"/>
      <c r="AZ189" s="320"/>
      <c r="BA189" s="320"/>
      <c r="BB189" s="320"/>
      <c r="BC189" s="320"/>
      <c r="BD189" s="320"/>
      <c r="BE189" s="320"/>
      <c r="BF189" s="320"/>
      <c r="BG189" s="320"/>
      <c r="BH189" s="320"/>
      <c r="BI189" s="320"/>
      <c r="BJ189" s="320"/>
      <c r="BK189" s="320"/>
      <c r="BL189" s="320"/>
      <c r="BM189" s="320"/>
      <c r="BN189" s="320"/>
      <c r="BO189" s="320"/>
      <c r="BP189" s="320"/>
      <c r="BQ189" s="320"/>
      <c r="BR189" s="320"/>
      <c r="BS189" s="320"/>
      <c r="BT189" s="320"/>
      <c r="BU189" s="320"/>
      <c r="BV189" s="320"/>
      <c r="BW189" s="320"/>
      <c r="BX189" s="303">
        <v>18.388429752066116</v>
      </c>
      <c r="BY189" s="303">
        <v>7.2260810117068308</v>
      </c>
      <c r="BZ189" s="320">
        <v>5.97</v>
      </c>
      <c r="CA189" s="303">
        <v>-6.0975754498046815</v>
      </c>
    </row>
    <row r="190" spans="1:79">
      <c r="A190" s="58">
        <f t="shared" si="470"/>
        <v>1892</v>
      </c>
      <c r="B190" s="303">
        <f t="shared" si="466"/>
        <v>6.1705989110707904</v>
      </c>
      <c r="C190" s="303"/>
      <c r="D190" s="303">
        <f t="shared" si="467"/>
        <v>6.1705989110707904</v>
      </c>
      <c r="E190" s="303"/>
      <c r="F190" s="364"/>
      <c r="G190" s="303"/>
      <c r="H190" s="364"/>
      <c r="I190" s="364"/>
      <c r="J190" s="364"/>
      <c r="K190" s="364"/>
      <c r="L190" s="364"/>
      <c r="M190" s="364"/>
      <c r="N190" s="364"/>
      <c r="O190" s="364"/>
      <c r="P190" s="364"/>
      <c r="Q190" s="364"/>
      <c r="R190" s="364"/>
      <c r="S190" s="364"/>
      <c r="T190" s="364">
        <f t="shared" si="468"/>
        <v>-4.7047795995560087</v>
      </c>
      <c r="U190" s="364">
        <f t="shared" si="468"/>
        <v>-4.7047795995560087</v>
      </c>
      <c r="V190" s="364">
        <f t="shared" si="469"/>
        <v>3.93</v>
      </c>
      <c r="W190" s="320"/>
      <c r="X190" s="320"/>
      <c r="Y190" s="320"/>
      <c r="Z190" s="320"/>
      <c r="AA190" s="320"/>
      <c r="AB190" s="320"/>
      <c r="AC190" s="320"/>
      <c r="AD190" s="320"/>
      <c r="AE190" s="320"/>
      <c r="AF190" s="320"/>
      <c r="AG190" s="320"/>
      <c r="AH190" s="320"/>
      <c r="AI190" s="320"/>
      <c r="AJ190" s="320"/>
      <c r="AK190" s="320"/>
      <c r="AL190" s="320"/>
      <c r="AM190" s="320"/>
      <c r="AN190" s="320"/>
      <c r="AO190" s="320"/>
      <c r="AP190" s="320"/>
      <c r="AQ190" s="320"/>
      <c r="AR190" s="320"/>
      <c r="AS190" s="320"/>
      <c r="AT190" s="320"/>
      <c r="AU190" s="320"/>
      <c r="AV190" s="320"/>
      <c r="AW190" s="320"/>
      <c r="AX190" s="320"/>
      <c r="AY190" s="320"/>
      <c r="AZ190" s="320"/>
      <c r="BA190" s="320"/>
      <c r="BB190" s="320"/>
      <c r="BC190" s="320"/>
      <c r="BD190" s="320"/>
      <c r="BE190" s="320"/>
      <c r="BF190" s="320"/>
      <c r="BG190" s="320"/>
      <c r="BH190" s="320"/>
      <c r="BI190" s="320"/>
      <c r="BJ190" s="320"/>
      <c r="BK190" s="320"/>
      <c r="BL190" s="320"/>
      <c r="BM190" s="320"/>
      <c r="BN190" s="320"/>
      <c r="BO190" s="320"/>
      <c r="BP190" s="320"/>
      <c r="BQ190" s="320"/>
      <c r="BR190" s="320"/>
      <c r="BS190" s="320"/>
      <c r="BT190" s="320"/>
      <c r="BU190" s="320"/>
      <c r="BV190" s="320"/>
      <c r="BW190" s="320"/>
      <c r="BX190" s="303">
        <v>6.1705989110707904</v>
      </c>
      <c r="BY190" s="303">
        <v>-4.7047795995560087</v>
      </c>
      <c r="BZ190" s="320">
        <v>3.93</v>
      </c>
      <c r="CA190" s="303">
        <v>7.792271714961263</v>
      </c>
    </row>
    <row r="191" spans="1:79">
      <c r="A191" s="58">
        <f t="shared" si="470"/>
        <v>1893</v>
      </c>
      <c r="B191" s="303">
        <f t="shared" si="466"/>
        <v>-18.538324420677366</v>
      </c>
      <c r="C191" s="303"/>
      <c r="D191" s="303">
        <f t="shared" si="467"/>
        <v>-18.538324420677366</v>
      </c>
      <c r="E191" s="303"/>
      <c r="F191" s="364"/>
      <c r="G191" s="303"/>
      <c r="H191" s="364"/>
      <c r="I191" s="364"/>
      <c r="J191" s="364"/>
      <c r="K191" s="364"/>
      <c r="L191" s="364"/>
      <c r="M191" s="364"/>
      <c r="N191" s="364"/>
      <c r="O191" s="364"/>
      <c r="P191" s="364"/>
      <c r="Q191" s="364"/>
      <c r="R191" s="364"/>
      <c r="S191" s="364"/>
      <c r="T191" s="364">
        <f t="shared" si="468"/>
        <v>13.206818844455137</v>
      </c>
      <c r="U191" s="364">
        <f t="shared" si="468"/>
        <v>13.206818844455137</v>
      </c>
      <c r="V191" s="364">
        <f t="shared" si="469"/>
        <v>8.52</v>
      </c>
      <c r="W191" s="320"/>
      <c r="X191" s="320"/>
      <c r="Y191" s="320"/>
      <c r="Z191" s="320"/>
      <c r="AA191" s="320"/>
      <c r="AB191" s="320"/>
      <c r="AC191" s="320"/>
      <c r="AD191" s="320"/>
      <c r="AE191" s="320"/>
      <c r="AF191" s="320"/>
      <c r="AG191" s="320"/>
      <c r="AH191" s="320"/>
      <c r="AI191" s="320"/>
      <c r="AJ191" s="320"/>
      <c r="AK191" s="320"/>
      <c r="AL191" s="320"/>
      <c r="AM191" s="320"/>
      <c r="AN191" s="320"/>
      <c r="AO191" s="320"/>
      <c r="AP191" s="320"/>
      <c r="AQ191" s="320"/>
      <c r="AR191" s="320"/>
      <c r="AS191" s="320"/>
      <c r="AT191" s="320"/>
      <c r="AU191" s="320"/>
      <c r="AV191" s="320"/>
      <c r="AW191" s="320"/>
      <c r="AX191" s="320"/>
      <c r="AY191" s="320"/>
      <c r="AZ191" s="320"/>
      <c r="BA191" s="320"/>
      <c r="BB191" s="320"/>
      <c r="BC191" s="320"/>
      <c r="BD191" s="320"/>
      <c r="BE191" s="320"/>
      <c r="BF191" s="320"/>
      <c r="BG191" s="320"/>
      <c r="BH191" s="320"/>
      <c r="BI191" s="320"/>
      <c r="BJ191" s="320"/>
      <c r="BK191" s="320"/>
      <c r="BL191" s="320"/>
      <c r="BM191" s="320"/>
      <c r="BN191" s="320"/>
      <c r="BO191" s="320"/>
      <c r="BP191" s="320"/>
      <c r="BQ191" s="320"/>
      <c r="BR191" s="320"/>
      <c r="BS191" s="320"/>
      <c r="BT191" s="320"/>
      <c r="BU191" s="320"/>
      <c r="BV191" s="320"/>
      <c r="BW191" s="320"/>
      <c r="BX191" s="303">
        <v>-18.538324420677366</v>
      </c>
      <c r="BY191" s="303">
        <v>13.206818844455137</v>
      </c>
      <c r="BZ191" s="320">
        <v>8.52</v>
      </c>
      <c r="CA191" s="303">
        <v>-13.253077452785112</v>
      </c>
    </row>
    <row r="192" spans="1:79">
      <c r="A192" s="58">
        <f t="shared" si="470"/>
        <v>1894</v>
      </c>
      <c r="B192" s="303">
        <f t="shared" si="466"/>
        <v>3.240740740740744</v>
      </c>
      <c r="C192" s="303"/>
      <c r="D192" s="303">
        <f t="shared" si="467"/>
        <v>3.240740740740744</v>
      </c>
      <c r="E192" s="303"/>
      <c r="F192" s="364"/>
      <c r="G192" s="303"/>
      <c r="H192" s="364"/>
      <c r="I192" s="364"/>
      <c r="J192" s="364"/>
      <c r="K192" s="364"/>
      <c r="L192" s="364"/>
      <c r="M192" s="364"/>
      <c r="N192" s="364"/>
      <c r="O192" s="364"/>
      <c r="P192" s="364"/>
      <c r="Q192" s="364"/>
      <c r="R192" s="364"/>
      <c r="S192" s="364"/>
      <c r="T192" s="364">
        <f t="shared" si="468"/>
        <v>4.8269172774145996</v>
      </c>
      <c r="U192" s="364">
        <f t="shared" si="468"/>
        <v>4.8269172774145996</v>
      </c>
      <c r="V192" s="364">
        <f t="shared" si="469"/>
        <v>3.32</v>
      </c>
      <c r="W192" s="320"/>
      <c r="X192" s="320"/>
      <c r="Y192" s="320"/>
      <c r="Z192" s="320"/>
      <c r="AA192" s="320"/>
      <c r="AB192" s="320"/>
      <c r="AC192" s="320"/>
      <c r="AD192" s="320"/>
      <c r="AE192" s="320"/>
      <c r="AF192" s="320"/>
      <c r="AG192" s="320"/>
      <c r="AH192" s="320"/>
      <c r="AI192" s="320"/>
      <c r="AJ192" s="320"/>
      <c r="AK192" s="320"/>
      <c r="AL192" s="320"/>
      <c r="AM192" s="320"/>
      <c r="AN192" s="320"/>
      <c r="AO192" s="320"/>
      <c r="AP192" s="320"/>
      <c r="AQ192" s="320"/>
      <c r="AR192" s="320"/>
      <c r="AS192" s="320"/>
      <c r="AT192" s="320"/>
      <c r="AU192" s="320"/>
      <c r="AV192" s="320"/>
      <c r="AW192" s="320"/>
      <c r="AX192" s="320"/>
      <c r="AY192" s="320"/>
      <c r="AZ192" s="320"/>
      <c r="BA192" s="320"/>
      <c r="BB192" s="320"/>
      <c r="BC192" s="320"/>
      <c r="BD192" s="320"/>
      <c r="BE192" s="320"/>
      <c r="BF192" s="320"/>
      <c r="BG192" s="320"/>
      <c r="BH192" s="320"/>
      <c r="BI192" s="320"/>
      <c r="BJ192" s="320"/>
      <c r="BK192" s="320"/>
      <c r="BL192" s="320"/>
      <c r="BM192" s="320"/>
      <c r="BN192" s="320"/>
      <c r="BO192" s="320"/>
      <c r="BP192" s="320"/>
      <c r="BQ192" s="320"/>
      <c r="BR192" s="320"/>
      <c r="BS192" s="320"/>
      <c r="BT192" s="320"/>
      <c r="BU192" s="320"/>
      <c r="BV192" s="320"/>
      <c r="BW192" s="320"/>
      <c r="BX192" s="303">
        <v>3.240740740740744</v>
      </c>
      <c r="BY192" s="303">
        <v>4.8269172774145996</v>
      </c>
      <c r="BZ192" s="320">
        <v>3.32</v>
      </c>
      <c r="CA192" s="303">
        <v>-4.1665832783919559</v>
      </c>
    </row>
    <row r="193" spans="1:79">
      <c r="A193" s="58">
        <f t="shared" si="470"/>
        <v>1895</v>
      </c>
      <c r="B193" s="303">
        <f t="shared" si="466"/>
        <v>4.9411764705882266</v>
      </c>
      <c r="C193" s="303"/>
      <c r="D193" s="303">
        <f t="shared" si="467"/>
        <v>4.9411764705882266</v>
      </c>
      <c r="E193" s="303"/>
      <c r="F193" s="364"/>
      <c r="G193" s="303"/>
      <c r="H193" s="364"/>
      <c r="I193" s="364"/>
      <c r="J193" s="364"/>
      <c r="K193" s="364"/>
      <c r="L193" s="364"/>
      <c r="M193" s="364"/>
      <c r="N193" s="364"/>
      <c r="O193" s="364"/>
      <c r="P193" s="364"/>
      <c r="Q193" s="364"/>
      <c r="R193" s="364"/>
      <c r="S193" s="364"/>
      <c r="T193" s="364">
        <f t="shared" si="468"/>
        <v>-1.5991453705370584</v>
      </c>
      <c r="U193" s="364">
        <f t="shared" si="468"/>
        <v>-1.5991453705370584</v>
      </c>
      <c r="V193" s="364">
        <f t="shared" si="469"/>
        <v>3.09</v>
      </c>
      <c r="W193" s="320"/>
      <c r="X193" s="320"/>
      <c r="Y193" s="320"/>
      <c r="Z193" s="320"/>
      <c r="AA193" s="320"/>
      <c r="AB193" s="320"/>
      <c r="AC193" s="320"/>
      <c r="AD193" s="320"/>
      <c r="AE193" s="320"/>
      <c r="AF193" s="320"/>
      <c r="AG193" s="320"/>
      <c r="AH193" s="320"/>
      <c r="AI193" s="320"/>
      <c r="AJ193" s="320"/>
      <c r="AK193" s="320"/>
      <c r="AL193" s="320"/>
      <c r="AM193" s="320"/>
      <c r="AN193" s="320"/>
      <c r="AO193" s="320"/>
      <c r="AP193" s="320"/>
      <c r="AQ193" s="320"/>
      <c r="AR193" s="320"/>
      <c r="AS193" s="320"/>
      <c r="AT193" s="320"/>
      <c r="AU193" s="320"/>
      <c r="AV193" s="320"/>
      <c r="AW193" s="320"/>
      <c r="AX193" s="320"/>
      <c r="AY193" s="320"/>
      <c r="AZ193" s="320"/>
      <c r="BA193" s="320"/>
      <c r="BB193" s="320"/>
      <c r="BC193" s="320"/>
      <c r="BD193" s="320"/>
      <c r="BE193" s="320"/>
      <c r="BF193" s="320"/>
      <c r="BG193" s="320"/>
      <c r="BH193" s="320"/>
      <c r="BI193" s="320"/>
      <c r="BJ193" s="320"/>
      <c r="BK193" s="320"/>
      <c r="BL193" s="320"/>
      <c r="BM193" s="320"/>
      <c r="BN193" s="320"/>
      <c r="BO193" s="320"/>
      <c r="BP193" s="320"/>
      <c r="BQ193" s="320"/>
      <c r="BR193" s="320"/>
      <c r="BS193" s="320"/>
      <c r="BT193" s="320"/>
      <c r="BU193" s="320"/>
      <c r="BV193" s="320"/>
      <c r="BW193" s="320"/>
      <c r="BX193" s="303">
        <v>4.9411764705882266</v>
      </c>
      <c r="BY193" s="303">
        <v>-1.5991453705370584</v>
      </c>
      <c r="BZ193" s="320">
        <v>3.09</v>
      </c>
      <c r="CA193" s="303">
        <v>1.4492039697961978</v>
      </c>
    </row>
    <row r="194" spans="1:79">
      <c r="A194" s="58">
        <f t="shared" si="470"/>
        <v>1896</v>
      </c>
      <c r="B194" s="303">
        <f t="shared" si="466"/>
        <v>3.0444964871194413</v>
      </c>
      <c r="C194" s="303"/>
      <c r="D194" s="303">
        <f t="shared" si="467"/>
        <v>3.0444964871194413</v>
      </c>
      <c r="E194" s="303"/>
      <c r="F194" s="364"/>
      <c r="G194" s="303"/>
      <c r="H194" s="364"/>
      <c r="I194" s="364"/>
      <c r="J194" s="364"/>
      <c r="K194" s="364"/>
      <c r="L194" s="364"/>
      <c r="M194" s="364"/>
      <c r="N194" s="364"/>
      <c r="O194" s="364"/>
      <c r="P194" s="364"/>
      <c r="Q194" s="364"/>
      <c r="R194" s="364"/>
      <c r="S194" s="364"/>
      <c r="T194" s="364">
        <f t="shared" si="468"/>
        <v>8.2590473095925923</v>
      </c>
      <c r="U194" s="364">
        <f t="shared" si="468"/>
        <v>8.2590473095925923</v>
      </c>
      <c r="V194" s="364">
        <f t="shared" si="469"/>
        <v>5.76</v>
      </c>
      <c r="W194" s="320"/>
      <c r="X194" s="320"/>
      <c r="Y194" s="320"/>
      <c r="Z194" s="320"/>
      <c r="AA194" s="320"/>
      <c r="AB194" s="320"/>
      <c r="AC194" s="320"/>
      <c r="AD194" s="320"/>
      <c r="AE194" s="320"/>
      <c r="AF194" s="320"/>
      <c r="AG194" s="320"/>
      <c r="AH194" s="320"/>
      <c r="AI194" s="320"/>
      <c r="AJ194" s="320"/>
      <c r="AK194" s="320"/>
      <c r="AL194" s="320"/>
      <c r="AM194" s="320"/>
      <c r="AN194" s="320"/>
      <c r="AO194" s="320"/>
      <c r="AP194" s="320"/>
      <c r="AQ194" s="320"/>
      <c r="AR194" s="320"/>
      <c r="AS194" s="320"/>
      <c r="AT194" s="320"/>
      <c r="AU194" s="320"/>
      <c r="AV194" s="320"/>
      <c r="AW194" s="320"/>
      <c r="AX194" s="320"/>
      <c r="AY194" s="320"/>
      <c r="AZ194" s="320"/>
      <c r="BA194" s="320"/>
      <c r="BB194" s="320"/>
      <c r="BC194" s="320"/>
      <c r="BD194" s="320"/>
      <c r="BE194" s="320"/>
      <c r="BF194" s="320"/>
      <c r="BG194" s="320"/>
      <c r="BH194" s="320"/>
      <c r="BI194" s="320"/>
      <c r="BJ194" s="320"/>
      <c r="BK194" s="320"/>
      <c r="BL194" s="320"/>
      <c r="BM194" s="320"/>
      <c r="BN194" s="320"/>
      <c r="BO194" s="320"/>
      <c r="BP194" s="320"/>
      <c r="BQ194" s="320"/>
      <c r="BR194" s="320"/>
      <c r="BS194" s="320"/>
      <c r="BT194" s="320"/>
      <c r="BU194" s="320"/>
      <c r="BV194" s="320"/>
      <c r="BW194" s="320"/>
      <c r="BX194" s="303">
        <v>3.0444964871194413</v>
      </c>
      <c r="BY194" s="303">
        <v>8.2590473095925923</v>
      </c>
      <c r="BZ194" s="320">
        <v>5.76</v>
      </c>
      <c r="CA194" s="303">
        <v>-2.8571257405227812</v>
      </c>
    </row>
    <row r="195" spans="1:79">
      <c r="A195" s="58">
        <f t="shared" si="470"/>
        <v>1897</v>
      </c>
      <c r="B195" s="303">
        <f t="shared" si="466"/>
        <v>19.905213270142184</v>
      </c>
      <c r="C195" s="303"/>
      <c r="D195" s="303">
        <f t="shared" si="467"/>
        <v>19.905213270142184</v>
      </c>
      <c r="E195" s="303"/>
      <c r="F195" s="364"/>
      <c r="G195" s="303"/>
      <c r="H195" s="364"/>
      <c r="I195" s="364"/>
      <c r="J195" s="364"/>
      <c r="K195" s="364"/>
      <c r="L195" s="364"/>
      <c r="M195" s="364"/>
      <c r="N195" s="364"/>
      <c r="O195" s="364"/>
      <c r="P195" s="364"/>
      <c r="Q195" s="364"/>
      <c r="R195" s="364"/>
      <c r="S195" s="364"/>
      <c r="T195" s="364">
        <f t="shared" si="468"/>
        <v>3.3343857041582048</v>
      </c>
      <c r="U195" s="364">
        <f t="shared" si="468"/>
        <v>3.3343857041582048</v>
      </c>
      <c r="V195" s="364">
        <f t="shared" si="469"/>
        <v>3.44</v>
      </c>
      <c r="W195" s="320"/>
      <c r="X195" s="320"/>
      <c r="Y195" s="320"/>
      <c r="Z195" s="320"/>
      <c r="AA195" s="320"/>
      <c r="AB195" s="320"/>
      <c r="AC195" s="320"/>
      <c r="AD195" s="320"/>
      <c r="AE195" s="320"/>
      <c r="AF195" s="320"/>
      <c r="AG195" s="320"/>
      <c r="AH195" s="320"/>
      <c r="AI195" s="320"/>
      <c r="AJ195" s="320"/>
      <c r="AK195" s="320"/>
      <c r="AL195" s="320"/>
      <c r="AM195" s="320"/>
      <c r="AN195" s="320"/>
      <c r="AO195" s="320"/>
      <c r="AP195" s="320"/>
      <c r="AQ195" s="320"/>
      <c r="AR195" s="320"/>
      <c r="AS195" s="320"/>
      <c r="AT195" s="320"/>
      <c r="AU195" s="320"/>
      <c r="AV195" s="320"/>
      <c r="AW195" s="320"/>
      <c r="AX195" s="320"/>
      <c r="AY195" s="320"/>
      <c r="AZ195" s="320"/>
      <c r="BA195" s="320"/>
      <c r="BB195" s="320"/>
      <c r="BC195" s="320"/>
      <c r="BD195" s="320"/>
      <c r="BE195" s="320"/>
      <c r="BF195" s="320"/>
      <c r="BG195" s="320"/>
      <c r="BH195" s="320"/>
      <c r="BI195" s="320"/>
      <c r="BJ195" s="320"/>
      <c r="BK195" s="320"/>
      <c r="BL195" s="320"/>
      <c r="BM195" s="320"/>
      <c r="BN195" s="320"/>
      <c r="BO195" s="320"/>
      <c r="BP195" s="320"/>
      <c r="BQ195" s="320"/>
      <c r="BR195" s="320"/>
      <c r="BS195" s="320"/>
      <c r="BT195" s="320"/>
      <c r="BU195" s="320"/>
      <c r="BV195" s="320"/>
      <c r="BW195" s="320"/>
      <c r="BX195" s="303">
        <v>19.905213270142184</v>
      </c>
      <c r="BY195" s="303">
        <v>3.3343857041582048</v>
      </c>
      <c r="BZ195" s="320">
        <v>3.44</v>
      </c>
      <c r="CA195" s="303">
        <v>2.9411583323045942</v>
      </c>
    </row>
    <row r="196" spans="1:79">
      <c r="A196" s="58">
        <f t="shared" si="470"/>
        <v>1898</v>
      </c>
      <c r="B196" s="303">
        <f t="shared" si="466"/>
        <v>28.688524590163933</v>
      </c>
      <c r="C196" s="303"/>
      <c r="D196" s="303">
        <f t="shared" si="467"/>
        <v>28.688524590163933</v>
      </c>
      <c r="E196" s="303"/>
      <c r="F196" s="364"/>
      <c r="G196" s="303"/>
      <c r="H196" s="364"/>
      <c r="I196" s="364"/>
      <c r="J196" s="364"/>
      <c r="K196" s="364"/>
      <c r="L196" s="364"/>
      <c r="M196" s="364"/>
      <c r="N196" s="364"/>
      <c r="O196" s="364"/>
      <c r="P196" s="364"/>
      <c r="Q196" s="364"/>
      <c r="R196" s="364"/>
      <c r="S196" s="364"/>
      <c r="T196" s="364">
        <f t="shared" si="468"/>
        <v>4.3847543960729318</v>
      </c>
      <c r="U196" s="364">
        <f t="shared" si="468"/>
        <v>4.3847543960729318</v>
      </c>
      <c r="V196" s="364">
        <f t="shared" si="469"/>
        <v>3.55</v>
      </c>
      <c r="W196" s="320"/>
      <c r="X196" s="320"/>
      <c r="Y196" s="320"/>
      <c r="Z196" s="320"/>
      <c r="AA196" s="320"/>
      <c r="AB196" s="320"/>
      <c r="AC196" s="320"/>
      <c r="AD196" s="320"/>
      <c r="AE196" s="320"/>
      <c r="AF196" s="320"/>
      <c r="AG196" s="320"/>
      <c r="AH196" s="320"/>
      <c r="AI196" s="320"/>
      <c r="AJ196" s="320"/>
      <c r="AK196" s="320"/>
      <c r="AL196" s="320"/>
      <c r="AM196" s="320"/>
      <c r="AN196" s="320"/>
      <c r="AO196" s="320"/>
      <c r="AP196" s="320"/>
      <c r="AQ196" s="320"/>
      <c r="AR196" s="320"/>
      <c r="AS196" s="320"/>
      <c r="AT196" s="320"/>
      <c r="AU196" s="320"/>
      <c r="AV196" s="320"/>
      <c r="AW196" s="320"/>
      <c r="AX196" s="320"/>
      <c r="AY196" s="320"/>
      <c r="AZ196" s="320"/>
      <c r="BA196" s="320"/>
      <c r="BB196" s="320"/>
      <c r="BC196" s="320"/>
      <c r="BD196" s="320"/>
      <c r="BE196" s="320"/>
      <c r="BF196" s="320"/>
      <c r="BG196" s="320"/>
      <c r="BH196" s="320"/>
      <c r="BI196" s="320"/>
      <c r="BJ196" s="320"/>
      <c r="BK196" s="320"/>
      <c r="BL196" s="320"/>
      <c r="BM196" s="320"/>
      <c r="BN196" s="320"/>
      <c r="BO196" s="320"/>
      <c r="BP196" s="320"/>
      <c r="BQ196" s="320"/>
      <c r="BR196" s="320"/>
      <c r="BS196" s="320"/>
      <c r="BT196" s="320"/>
      <c r="BU196" s="320"/>
      <c r="BV196" s="320"/>
      <c r="BW196" s="320"/>
      <c r="BX196" s="303">
        <v>28.688524590163933</v>
      </c>
      <c r="BY196" s="303">
        <v>4.3847543960729318</v>
      </c>
      <c r="BZ196" s="320">
        <v>3.55</v>
      </c>
      <c r="CA196" s="303">
        <v>1.4286236793063845</v>
      </c>
    </row>
    <row r="197" spans="1:79">
      <c r="A197" s="58">
        <f t="shared" si="470"/>
        <v>1899</v>
      </c>
      <c r="B197" s="303">
        <f t="shared" si="466"/>
        <v>3.7828947368421018</v>
      </c>
      <c r="C197" s="303"/>
      <c r="D197" s="303">
        <f t="shared" si="467"/>
        <v>3.7828947368421018</v>
      </c>
      <c r="E197" s="303"/>
      <c r="F197" s="364"/>
      <c r="G197" s="303"/>
      <c r="H197" s="364"/>
      <c r="I197" s="364"/>
      <c r="J197" s="364"/>
      <c r="K197" s="364"/>
      <c r="L197" s="364"/>
      <c r="M197" s="364"/>
      <c r="N197" s="364"/>
      <c r="O197" s="364"/>
      <c r="P197" s="364"/>
      <c r="Q197" s="364"/>
      <c r="R197" s="364"/>
      <c r="S197" s="364"/>
      <c r="T197" s="364">
        <f t="shared" si="468"/>
        <v>0.62319226413285467</v>
      </c>
      <c r="U197" s="364">
        <f t="shared" si="468"/>
        <v>0.62319226413285467</v>
      </c>
      <c r="V197" s="364">
        <f t="shared" si="469"/>
        <v>3.36</v>
      </c>
      <c r="W197" s="320"/>
      <c r="X197" s="320"/>
      <c r="Y197" s="320"/>
      <c r="Z197" s="320"/>
      <c r="AA197" s="320"/>
      <c r="AB197" s="320"/>
      <c r="AC197" s="320"/>
      <c r="AD197" s="320"/>
      <c r="AE197" s="320"/>
      <c r="AF197" s="320"/>
      <c r="AG197" s="320"/>
      <c r="AH197" s="320"/>
      <c r="AI197" s="320"/>
      <c r="AJ197" s="320"/>
      <c r="AK197" s="320"/>
      <c r="AL197" s="320"/>
      <c r="AM197" s="320"/>
      <c r="AN197" s="320"/>
      <c r="AO197" s="320"/>
      <c r="AP197" s="320"/>
      <c r="AQ197" s="320"/>
      <c r="AR197" s="320"/>
      <c r="AS197" s="320"/>
      <c r="AT197" s="320"/>
      <c r="AU197" s="320"/>
      <c r="AV197" s="320"/>
      <c r="AW197" s="320"/>
      <c r="AX197" s="320"/>
      <c r="AY197" s="320"/>
      <c r="AZ197" s="320"/>
      <c r="BA197" s="320"/>
      <c r="BB197" s="320"/>
      <c r="BC197" s="320"/>
      <c r="BD197" s="320"/>
      <c r="BE197" s="320"/>
      <c r="BF197" s="320"/>
      <c r="BG197" s="320"/>
      <c r="BH197" s="320"/>
      <c r="BI197" s="320"/>
      <c r="BJ197" s="320"/>
      <c r="BK197" s="320"/>
      <c r="BL197" s="320"/>
      <c r="BM197" s="320"/>
      <c r="BN197" s="320"/>
      <c r="BO197" s="320"/>
      <c r="BP197" s="320"/>
      <c r="BQ197" s="320"/>
      <c r="BR197" s="320"/>
      <c r="BS197" s="320"/>
      <c r="BT197" s="320"/>
      <c r="BU197" s="320"/>
      <c r="BV197" s="320"/>
      <c r="BW197" s="320"/>
      <c r="BX197" s="303">
        <v>3.7828947368421018</v>
      </c>
      <c r="BY197" s="303">
        <v>0.62319226413285467</v>
      </c>
      <c r="BZ197" s="320">
        <v>3.36</v>
      </c>
      <c r="CA197" s="303">
        <v>16.901416915574586</v>
      </c>
    </row>
    <row r="198" spans="1:79">
      <c r="A198" s="58">
        <f t="shared" si="470"/>
        <v>1900</v>
      </c>
      <c r="B198" s="303">
        <f t="shared" si="466"/>
        <v>20.819672131147549</v>
      </c>
      <c r="C198" s="303"/>
      <c r="D198" s="303">
        <f t="shared" si="467"/>
        <v>20.819672131147549</v>
      </c>
      <c r="E198" s="303"/>
      <c r="F198" s="364"/>
      <c r="G198" s="303"/>
      <c r="H198" s="364"/>
      <c r="I198" s="364"/>
      <c r="J198" s="364"/>
      <c r="K198" s="364"/>
      <c r="L198" s="364"/>
      <c r="M198" s="364"/>
      <c r="N198" s="364"/>
      <c r="O198" s="364"/>
      <c r="P198" s="364"/>
      <c r="Q198" s="364"/>
      <c r="R198" s="364"/>
      <c r="S198" s="364"/>
      <c r="T198" s="364">
        <f t="shared" si="468"/>
        <v>3.7711243328954147</v>
      </c>
      <c r="U198" s="364">
        <f t="shared" si="468"/>
        <v>3.7711243328954147</v>
      </c>
      <c r="V198" s="364">
        <f t="shared" si="469"/>
        <v>4.6399999999999997</v>
      </c>
      <c r="W198" s="320"/>
      <c r="X198" s="320"/>
      <c r="Y198" s="320"/>
      <c r="Z198" s="320"/>
      <c r="AA198" s="320"/>
      <c r="AB198" s="320"/>
      <c r="AC198" s="320"/>
      <c r="AD198" s="320"/>
      <c r="AE198" s="320"/>
      <c r="AF198" s="320"/>
      <c r="AG198" s="320"/>
      <c r="AH198" s="320"/>
      <c r="AI198" s="320"/>
      <c r="AJ198" s="320"/>
      <c r="AK198" s="320"/>
      <c r="AL198" s="320"/>
      <c r="AM198" s="320"/>
      <c r="AN198" s="320"/>
      <c r="AO198" s="320"/>
      <c r="AP198" s="320"/>
      <c r="AQ198" s="320"/>
      <c r="AR198" s="320"/>
      <c r="AS198" s="320"/>
      <c r="AT198" s="320"/>
      <c r="AU198" s="320"/>
      <c r="AV198" s="320"/>
      <c r="AW198" s="320"/>
      <c r="AX198" s="320"/>
      <c r="AY198" s="320"/>
      <c r="AZ198" s="320"/>
      <c r="BA198" s="320"/>
      <c r="BB198" s="320"/>
      <c r="BC198" s="320"/>
      <c r="BD198" s="320"/>
      <c r="BE198" s="320"/>
      <c r="BF198" s="320"/>
      <c r="BG198" s="320"/>
      <c r="BH198" s="320"/>
      <c r="BI198" s="320"/>
      <c r="BJ198" s="320"/>
      <c r="BK198" s="320"/>
      <c r="BL198" s="320"/>
      <c r="BM198" s="320"/>
      <c r="BN198" s="320"/>
      <c r="BO198" s="320"/>
      <c r="BP198" s="320"/>
      <c r="BQ198" s="320"/>
      <c r="BR198" s="320"/>
      <c r="BS198" s="320"/>
      <c r="BT198" s="320"/>
      <c r="BU198" s="320"/>
      <c r="BV198" s="320"/>
      <c r="BW198" s="320"/>
      <c r="BX198" s="303">
        <v>20.819672131147549</v>
      </c>
      <c r="BY198" s="303">
        <v>3.7711243328954147</v>
      </c>
      <c r="BZ198" s="320">
        <v>4.6399999999999997</v>
      </c>
      <c r="CA198" s="303">
        <v>-2.4097252721321683</v>
      </c>
    </row>
    <row r="199" spans="1:79">
      <c r="A199" s="58">
        <f t="shared" si="470"/>
        <v>1901</v>
      </c>
      <c r="B199" s="303">
        <f t="shared" si="466"/>
        <v>19.377652050919369</v>
      </c>
      <c r="C199" s="303"/>
      <c r="D199" s="303">
        <f t="shared" si="467"/>
        <v>19.377652050919369</v>
      </c>
      <c r="E199" s="303"/>
      <c r="F199" s="364"/>
      <c r="G199" s="303"/>
      <c r="H199" s="364"/>
      <c r="I199" s="364"/>
      <c r="J199" s="364"/>
      <c r="K199" s="364"/>
      <c r="L199" s="364"/>
      <c r="M199" s="364"/>
      <c r="N199" s="364"/>
      <c r="O199" s="364"/>
      <c r="P199" s="364"/>
      <c r="Q199" s="364"/>
      <c r="R199" s="364"/>
      <c r="S199" s="364"/>
      <c r="T199" s="364">
        <f t="shared" si="468"/>
        <v>2.0014955509234156</v>
      </c>
      <c r="U199" s="364">
        <f t="shared" si="468"/>
        <v>2.0014955509234156</v>
      </c>
      <c r="V199" s="364">
        <f t="shared" si="469"/>
        <v>4.3</v>
      </c>
      <c r="W199" s="320"/>
      <c r="X199" s="320"/>
      <c r="Y199" s="320"/>
      <c r="Z199" s="320"/>
      <c r="AA199" s="320"/>
      <c r="AB199" s="320"/>
      <c r="AC199" s="320"/>
      <c r="AD199" s="320"/>
      <c r="AE199" s="320"/>
      <c r="AF199" s="320"/>
      <c r="AG199" s="320"/>
      <c r="AH199" s="320"/>
      <c r="AI199" s="320"/>
      <c r="AJ199" s="320"/>
      <c r="AK199" s="320"/>
      <c r="AL199" s="320"/>
      <c r="AM199" s="320"/>
      <c r="AN199" s="320"/>
      <c r="AO199" s="320"/>
      <c r="AP199" s="320"/>
      <c r="AQ199" s="320"/>
      <c r="AR199" s="320"/>
      <c r="AS199" s="320"/>
      <c r="AT199" s="320"/>
      <c r="AU199" s="320"/>
      <c r="AV199" s="320"/>
      <c r="AW199" s="320"/>
      <c r="AX199" s="320"/>
      <c r="AY199" s="320"/>
      <c r="AZ199" s="320"/>
      <c r="BA199" s="320"/>
      <c r="BB199" s="320"/>
      <c r="BC199" s="320"/>
      <c r="BD199" s="320"/>
      <c r="BE199" s="320"/>
      <c r="BF199" s="320"/>
      <c r="BG199" s="320"/>
      <c r="BH199" s="320"/>
      <c r="BI199" s="320"/>
      <c r="BJ199" s="320"/>
      <c r="BK199" s="320"/>
      <c r="BL199" s="320"/>
      <c r="BM199" s="320"/>
      <c r="BN199" s="320"/>
      <c r="BO199" s="320"/>
      <c r="BP199" s="320"/>
      <c r="BQ199" s="320"/>
      <c r="BR199" s="320"/>
      <c r="BS199" s="320"/>
      <c r="BT199" s="320"/>
      <c r="BU199" s="320"/>
      <c r="BV199" s="320"/>
      <c r="BW199" s="320"/>
      <c r="BX199" s="303">
        <v>19.377652050919369</v>
      </c>
      <c r="BY199" s="303">
        <v>2.0014955509234156</v>
      </c>
      <c r="BZ199" s="320">
        <v>4.3</v>
      </c>
      <c r="CA199" s="303">
        <v>2.4692268557002572</v>
      </c>
    </row>
    <row r="200" spans="1:79">
      <c r="A200" s="58">
        <f t="shared" si="470"/>
        <v>1902</v>
      </c>
      <c r="B200" s="303">
        <f t="shared" si="466"/>
        <v>8.2512315270936156</v>
      </c>
      <c r="C200" s="303"/>
      <c r="D200" s="303">
        <f t="shared" si="467"/>
        <v>8.2512315270936156</v>
      </c>
      <c r="E200" s="303"/>
      <c r="F200" s="364"/>
      <c r="G200" s="303"/>
      <c r="H200" s="364"/>
      <c r="I200" s="364"/>
      <c r="J200" s="364"/>
      <c r="K200" s="364"/>
      <c r="L200" s="364"/>
      <c r="M200" s="364"/>
      <c r="N200" s="364"/>
      <c r="O200" s="364"/>
      <c r="P200" s="364"/>
      <c r="Q200" s="364"/>
      <c r="R200" s="364"/>
      <c r="S200" s="364"/>
      <c r="T200" s="364">
        <f t="shared" si="468"/>
        <v>1.3091119424958553</v>
      </c>
      <c r="U200" s="364">
        <f t="shared" si="468"/>
        <v>1.3091119424958553</v>
      </c>
      <c r="V200" s="364">
        <f t="shared" si="469"/>
        <v>4.72</v>
      </c>
      <c r="W200" s="320"/>
      <c r="X200" s="320"/>
      <c r="Y200" s="320"/>
      <c r="Z200" s="320"/>
      <c r="AA200" s="320"/>
      <c r="AB200" s="320"/>
      <c r="AC200" s="320"/>
      <c r="AD200" s="320"/>
      <c r="AE200" s="320"/>
      <c r="AF200" s="320"/>
      <c r="AG200" s="320"/>
      <c r="AH200" s="320"/>
      <c r="AI200" s="320"/>
      <c r="AJ200" s="320"/>
      <c r="AK200" s="320"/>
      <c r="AL200" s="320"/>
      <c r="AM200" s="320"/>
      <c r="AN200" s="320"/>
      <c r="AO200" s="320"/>
      <c r="AP200" s="320"/>
      <c r="AQ200" s="320"/>
      <c r="AR200" s="320"/>
      <c r="AS200" s="320"/>
      <c r="AT200" s="320"/>
      <c r="AU200" s="320"/>
      <c r="AV200" s="320"/>
      <c r="AW200" s="320"/>
      <c r="AX200" s="320"/>
      <c r="AY200" s="320"/>
      <c r="AZ200" s="320"/>
      <c r="BA200" s="320"/>
      <c r="BB200" s="320"/>
      <c r="BC200" s="320"/>
      <c r="BD200" s="320"/>
      <c r="BE200" s="320"/>
      <c r="BF200" s="320"/>
      <c r="BG200" s="320"/>
      <c r="BH200" s="320"/>
      <c r="BI200" s="320"/>
      <c r="BJ200" s="320"/>
      <c r="BK200" s="320"/>
      <c r="BL200" s="320"/>
      <c r="BM200" s="320"/>
      <c r="BN200" s="320"/>
      <c r="BO200" s="320"/>
      <c r="BP200" s="320"/>
      <c r="BQ200" s="320"/>
      <c r="BR200" s="320"/>
      <c r="BS200" s="320"/>
      <c r="BT200" s="320"/>
      <c r="BU200" s="320"/>
      <c r="BV200" s="320"/>
      <c r="BW200" s="320"/>
      <c r="BX200" s="303">
        <v>8.2512315270936156</v>
      </c>
      <c r="BY200" s="303">
        <v>1.3091119424958553</v>
      </c>
      <c r="BZ200" s="320">
        <v>4.72</v>
      </c>
      <c r="CA200" s="303">
        <v>9.6385921140000441</v>
      </c>
    </row>
    <row r="201" spans="1:79">
      <c r="A201" s="58">
        <f t="shared" si="470"/>
        <v>1903</v>
      </c>
      <c r="B201" s="303">
        <f t="shared" si="466"/>
        <v>-16.903073286052027</v>
      </c>
      <c r="C201" s="303"/>
      <c r="D201" s="303">
        <f t="shared" si="467"/>
        <v>-16.903073286052027</v>
      </c>
      <c r="E201" s="303"/>
      <c r="F201" s="364"/>
      <c r="G201" s="303"/>
      <c r="H201" s="364"/>
      <c r="I201" s="364"/>
      <c r="J201" s="364"/>
      <c r="K201" s="364"/>
      <c r="L201" s="364"/>
      <c r="M201" s="364"/>
      <c r="N201" s="364"/>
      <c r="O201" s="364"/>
      <c r="P201" s="364"/>
      <c r="Q201" s="364"/>
      <c r="R201" s="364"/>
      <c r="S201" s="364"/>
      <c r="T201" s="364">
        <f t="shared" si="468"/>
        <v>4.9514619658087122</v>
      </c>
      <c r="U201" s="364">
        <f t="shared" si="468"/>
        <v>4.9514619658087122</v>
      </c>
      <c r="V201" s="364">
        <f t="shared" si="469"/>
        <v>5.5</v>
      </c>
      <c r="W201" s="320"/>
      <c r="X201" s="320"/>
      <c r="Y201" s="320"/>
      <c r="Z201" s="320"/>
      <c r="AA201" s="320"/>
      <c r="AB201" s="320"/>
      <c r="AC201" s="320"/>
      <c r="AD201" s="320"/>
      <c r="AE201" s="320"/>
      <c r="AF201" s="320"/>
      <c r="AG201" s="320"/>
      <c r="AH201" s="320"/>
      <c r="AI201" s="320"/>
      <c r="AJ201" s="320"/>
      <c r="AK201" s="320"/>
      <c r="AL201" s="320"/>
      <c r="AM201" s="320"/>
      <c r="AN201" s="320"/>
      <c r="AO201" s="320"/>
      <c r="AP201" s="320"/>
      <c r="AQ201" s="320"/>
      <c r="AR201" s="320"/>
      <c r="AS201" s="320"/>
      <c r="AT201" s="320"/>
      <c r="AU201" s="320"/>
      <c r="AV201" s="320"/>
      <c r="AW201" s="320"/>
      <c r="AX201" s="320"/>
      <c r="AY201" s="320"/>
      <c r="AZ201" s="320"/>
      <c r="BA201" s="320"/>
      <c r="BB201" s="320"/>
      <c r="BC201" s="320"/>
      <c r="BD201" s="320"/>
      <c r="BE201" s="320"/>
      <c r="BF201" s="320"/>
      <c r="BG201" s="320"/>
      <c r="BH201" s="320"/>
      <c r="BI201" s="320"/>
      <c r="BJ201" s="320"/>
      <c r="BK201" s="320"/>
      <c r="BL201" s="320"/>
      <c r="BM201" s="320"/>
      <c r="BN201" s="320"/>
      <c r="BO201" s="320"/>
      <c r="BP201" s="320"/>
      <c r="BQ201" s="320"/>
      <c r="BR201" s="320"/>
      <c r="BS201" s="320"/>
      <c r="BT201" s="320"/>
      <c r="BU201" s="320"/>
      <c r="BV201" s="320"/>
      <c r="BW201" s="320"/>
      <c r="BX201" s="303">
        <v>-16.903073286052027</v>
      </c>
      <c r="BY201" s="303">
        <v>4.9514619658087122</v>
      </c>
      <c r="BZ201" s="320">
        <v>5.5</v>
      </c>
      <c r="CA201" s="303">
        <v>-4.3955739603323334</v>
      </c>
    </row>
    <row r="202" spans="1:79">
      <c r="A202" s="58">
        <f t="shared" si="470"/>
        <v>1904</v>
      </c>
      <c r="B202" s="303">
        <f t="shared" si="466"/>
        <v>30.838323353293418</v>
      </c>
      <c r="C202" s="303"/>
      <c r="D202" s="303">
        <f t="shared" si="467"/>
        <v>30.838323353293418</v>
      </c>
      <c r="E202" s="303"/>
      <c r="F202" s="364"/>
      <c r="G202" s="303"/>
      <c r="H202" s="364"/>
      <c r="I202" s="364"/>
      <c r="J202" s="364"/>
      <c r="K202" s="364"/>
      <c r="L202" s="364"/>
      <c r="M202" s="364"/>
      <c r="N202" s="364"/>
      <c r="O202" s="364"/>
      <c r="P202" s="364"/>
      <c r="Q202" s="364"/>
      <c r="R202" s="364"/>
      <c r="S202" s="364"/>
      <c r="T202" s="364">
        <f t="shared" ref="T202:U233" si="471">$BY202</f>
        <v>3.40309019549625</v>
      </c>
      <c r="U202" s="364">
        <f t="shared" si="471"/>
        <v>3.40309019549625</v>
      </c>
      <c r="V202" s="364">
        <f t="shared" si="469"/>
        <v>4.34</v>
      </c>
      <c r="W202" s="320"/>
      <c r="X202" s="320"/>
      <c r="Y202" s="320"/>
      <c r="Z202" s="320"/>
      <c r="AA202" s="320"/>
      <c r="AB202" s="320"/>
      <c r="AC202" s="320"/>
      <c r="AD202" s="320"/>
      <c r="AE202" s="320"/>
      <c r="AF202" s="320"/>
      <c r="AG202" s="320"/>
      <c r="AH202" s="320"/>
      <c r="AI202" s="320"/>
      <c r="AJ202" s="320"/>
      <c r="AK202" s="320"/>
      <c r="AL202" s="320"/>
      <c r="AM202" s="320"/>
      <c r="AN202" s="320"/>
      <c r="AO202" s="320"/>
      <c r="AP202" s="320"/>
      <c r="AQ202" s="320"/>
      <c r="AR202" s="320"/>
      <c r="AS202" s="320"/>
      <c r="AT202" s="320"/>
      <c r="AU202" s="320"/>
      <c r="AV202" s="320"/>
      <c r="AW202" s="320"/>
      <c r="AX202" s="320"/>
      <c r="AY202" s="320"/>
      <c r="AZ202" s="320"/>
      <c r="BA202" s="320"/>
      <c r="BB202" s="320"/>
      <c r="BC202" s="320"/>
      <c r="BD202" s="320"/>
      <c r="BE202" s="320"/>
      <c r="BF202" s="320"/>
      <c r="BG202" s="320"/>
      <c r="BH202" s="320"/>
      <c r="BI202" s="320"/>
      <c r="BJ202" s="320"/>
      <c r="BK202" s="320"/>
      <c r="BL202" s="320"/>
      <c r="BM202" s="320"/>
      <c r="BN202" s="320"/>
      <c r="BO202" s="320"/>
      <c r="BP202" s="320"/>
      <c r="BQ202" s="320"/>
      <c r="BR202" s="320"/>
      <c r="BS202" s="320"/>
      <c r="BT202" s="320"/>
      <c r="BU202" s="320"/>
      <c r="BV202" s="320"/>
      <c r="BW202" s="320"/>
      <c r="BX202" s="303">
        <v>30.838323353293418</v>
      </c>
      <c r="BY202" s="303">
        <v>3.40309019549625</v>
      </c>
      <c r="BZ202" s="320">
        <v>4.34</v>
      </c>
      <c r="CA202" s="303">
        <v>2.2983446580251199</v>
      </c>
    </row>
    <row r="203" spans="1:79">
      <c r="A203" s="58">
        <f t="shared" si="470"/>
        <v>1905</v>
      </c>
      <c r="B203" s="303">
        <f t="shared" si="466"/>
        <v>20.996441281138779</v>
      </c>
      <c r="C203" s="303"/>
      <c r="D203" s="303">
        <f t="shared" si="467"/>
        <v>20.996441281138779</v>
      </c>
      <c r="E203" s="303"/>
      <c r="F203" s="364"/>
      <c r="G203" s="303"/>
      <c r="H203" s="364"/>
      <c r="I203" s="364"/>
      <c r="J203" s="364"/>
      <c r="K203" s="364"/>
      <c r="L203" s="364"/>
      <c r="M203" s="364"/>
      <c r="N203" s="364"/>
      <c r="O203" s="364"/>
      <c r="P203" s="364"/>
      <c r="Q203" s="364"/>
      <c r="R203" s="364"/>
      <c r="S203" s="364"/>
      <c r="T203" s="364">
        <f t="shared" si="471"/>
        <v>1.2154829408409062</v>
      </c>
      <c r="U203" s="364">
        <f t="shared" si="471"/>
        <v>1.2154829408409062</v>
      </c>
      <c r="V203" s="364">
        <f t="shared" si="469"/>
        <v>4.17</v>
      </c>
      <c r="W203" s="320"/>
      <c r="X203" s="320"/>
      <c r="Y203" s="320"/>
      <c r="Z203" s="320"/>
      <c r="AA203" s="320"/>
      <c r="AB203" s="320"/>
      <c r="AC203" s="320"/>
      <c r="AD203" s="320"/>
      <c r="AE203" s="320"/>
      <c r="AF203" s="320"/>
      <c r="AG203" s="320"/>
      <c r="AH203" s="320"/>
      <c r="AI203" s="320"/>
      <c r="AJ203" s="320"/>
      <c r="AK203" s="320"/>
      <c r="AL203" s="320"/>
      <c r="AM203" s="320"/>
      <c r="AN203" s="320"/>
      <c r="AO203" s="320"/>
      <c r="AP203" s="320"/>
      <c r="AQ203" s="320"/>
      <c r="AR203" s="320"/>
      <c r="AS203" s="320"/>
      <c r="AT203" s="320"/>
      <c r="AU203" s="320"/>
      <c r="AV203" s="320"/>
      <c r="AW203" s="320"/>
      <c r="AX203" s="320"/>
      <c r="AY203" s="320"/>
      <c r="AZ203" s="320"/>
      <c r="BA203" s="320"/>
      <c r="BB203" s="320"/>
      <c r="BC203" s="320"/>
      <c r="BD203" s="320"/>
      <c r="BE203" s="320"/>
      <c r="BF203" s="320"/>
      <c r="BG203" s="320"/>
      <c r="BH203" s="320"/>
      <c r="BI203" s="320"/>
      <c r="BJ203" s="320"/>
      <c r="BK203" s="320"/>
      <c r="BL203" s="320"/>
      <c r="BM203" s="320"/>
      <c r="BN203" s="320"/>
      <c r="BO203" s="320"/>
      <c r="BP203" s="320"/>
      <c r="BQ203" s="320"/>
      <c r="BR203" s="320"/>
      <c r="BS203" s="320"/>
      <c r="BT203" s="320"/>
      <c r="BU203" s="320"/>
      <c r="BV203" s="320"/>
      <c r="BW203" s="320"/>
      <c r="BX203" s="303">
        <v>20.996441281138779</v>
      </c>
      <c r="BY203" s="303">
        <v>1.2154829408409062</v>
      </c>
      <c r="BZ203" s="320">
        <v>4.17</v>
      </c>
      <c r="CA203" s="303">
        <v>0</v>
      </c>
    </row>
    <row r="204" spans="1:79">
      <c r="A204" s="58">
        <f t="shared" si="470"/>
        <v>1906</v>
      </c>
      <c r="B204" s="303">
        <f t="shared" si="466"/>
        <v>0.91185410334349015</v>
      </c>
      <c r="C204" s="303"/>
      <c r="D204" s="303">
        <f t="shared" si="467"/>
        <v>0.91185410334349015</v>
      </c>
      <c r="E204" s="303"/>
      <c r="F204" s="364"/>
      <c r="G204" s="303"/>
      <c r="H204" s="364"/>
      <c r="I204" s="364"/>
      <c r="J204" s="364"/>
      <c r="K204" s="364"/>
      <c r="L204" s="364"/>
      <c r="M204" s="364"/>
      <c r="N204" s="364"/>
      <c r="O204" s="364"/>
      <c r="P204" s="364"/>
      <c r="Q204" s="364"/>
      <c r="R204" s="364"/>
      <c r="S204" s="364"/>
      <c r="T204" s="364">
        <f t="shared" si="471"/>
        <v>1.2325160051390505</v>
      </c>
      <c r="U204" s="364">
        <f t="shared" si="471"/>
        <v>1.2325160051390505</v>
      </c>
      <c r="V204" s="364">
        <f t="shared" si="469"/>
        <v>5.47</v>
      </c>
      <c r="W204" s="320"/>
      <c r="X204" s="320"/>
      <c r="Y204" s="320"/>
      <c r="Z204" s="320"/>
      <c r="AA204" s="320"/>
      <c r="AB204" s="320"/>
      <c r="AC204" s="320"/>
      <c r="AD204" s="320"/>
      <c r="AE204" s="320"/>
      <c r="AF204" s="320"/>
      <c r="AG204" s="320"/>
      <c r="AH204" s="320"/>
      <c r="AI204" s="320"/>
      <c r="AJ204" s="320"/>
      <c r="AK204" s="320"/>
      <c r="AL204" s="320"/>
      <c r="AM204" s="320"/>
      <c r="AN204" s="320"/>
      <c r="AO204" s="320"/>
      <c r="AP204" s="320"/>
      <c r="AQ204" s="320"/>
      <c r="AR204" s="320"/>
      <c r="AS204" s="320"/>
      <c r="AT204" s="320"/>
      <c r="AU204" s="320"/>
      <c r="AV204" s="320"/>
      <c r="AW204" s="320"/>
      <c r="AX204" s="320"/>
      <c r="AY204" s="320"/>
      <c r="AZ204" s="320"/>
      <c r="BA204" s="320"/>
      <c r="BB204" s="320"/>
      <c r="BC204" s="320"/>
      <c r="BD204" s="320"/>
      <c r="BE204" s="320"/>
      <c r="BF204" s="320"/>
      <c r="BG204" s="320"/>
      <c r="BH204" s="320"/>
      <c r="BI204" s="320"/>
      <c r="BJ204" s="320"/>
      <c r="BK204" s="320"/>
      <c r="BL204" s="320"/>
      <c r="BM204" s="320"/>
      <c r="BN204" s="320"/>
      <c r="BO204" s="320"/>
      <c r="BP204" s="320"/>
      <c r="BQ204" s="320"/>
      <c r="BR204" s="320"/>
      <c r="BS204" s="320"/>
      <c r="BT204" s="320"/>
      <c r="BU204" s="320"/>
      <c r="BV204" s="320"/>
      <c r="BW204" s="320"/>
      <c r="BX204" s="303">
        <v>0.91185410334349015</v>
      </c>
      <c r="BY204" s="303">
        <v>1.2325160051390505</v>
      </c>
      <c r="BZ204" s="320">
        <v>5.47</v>
      </c>
      <c r="CA204" s="303">
        <v>4.4943716993183447</v>
      </c>
    </row>
    <row r="205" spans="1:79">
      <c r="A205" s="58">
        <f t="shared" si="470"/>
        <v>1907</v>
      </c>
      <c r="B205" s="303">
        <f t="shared" si="466"/>
        <v>-23.74476987447699</v>
      </c>
      <c r="C205" s="303"/>
      <c r="D205" s="303">
        <f t="shared" si="467"/>
        <v>-23.74476987447699</v>
      </c>
      <c r="E205" s="303"/>
      <c r="F205" s="364"/>
      <c r="G205" s="303"/>
      <c r="H205" s="364"/>
      <c r="I205" s="364"/>
      <c r="J205" s="364"/>
      <c r="K205" s="364"/>
      <c r="L205" s="364"/>
      <c r="M205" s="364"/>
      <c r="N205" s="364"/>
      <c r="O205" s="364"/>
      <c r="P205" s="364"/>
      <c r="Q205" s="364"/>
      <c r="R205" s="364"/>
      <c r="S205" s="364"/>
      <c r="T205" s="364">
        <f t="shared" si="471"/>
        <v>4.529536741724538</v>
      </c>
      <c r="U205" s="364">
        <f t="shared" si="471"/>
        <v>4.529536741724538</v>
      </c>
      <c r="V205" s="364">
        <f t="shared" si="469"/>
        <v>6.23</v>
      </c>
      <c r="W205" s="320"/>
      <c r="X205" s="320"/>
      <c r="Y205" s="320"/>
      <c r="Z205" s="320"/>
      <c r="AA205" s="320"/>
      <c r="AB205" s="320"/>
      <c r="AC205" s="320"/>
      <c r="AD205" s="320"/>
      <c r="AE205" s="320"/>
      <c r="AF205" s="320"/>
      <c r="AG205" s="320"/>
      <c r="AH205" s="320"/>
      <c r="AI205" s="320"/>
      <c r="AJ205" s="320"/>
      <c r="AK205" s="320"/>
      <c r="AL205" s="320"/>
      <c r="AM205" s="320"/>
      <c r="AN205" s="320"/>
      <c r="AO205" s="320"/>
      <c r="AP205" s="320"/>
      <c r="AQ205" s="320"/>
      <c r="AR205" s="320"/>
      <c r="AS205" s="320"/>
      <c r="AT205" s="320"/>
      <c r="AU205" s="320"/>
      <c r="AV205" s="320"/>
      <c r="AW205" s="320"/>
      <c r="AX205" s="320"/>
      <c r="AY205" s="320"/>
      <c r="AZ205" s="320"/>
      <c r="BA205" s="320"/>
      <c r="BB205" s="320"/>
      <c r="BC205" s="320"/>
      <c r="BD205" s="320"/>
      <c r="BE205" s="320"/>
      <c r="BF205" s="320"/>
      <c r="BG205" s="320"/>
      <c r="BH205" s="320"/>
      <c r="BI205" s="320"/>
      <c r="BJ205" s="320"/>
      <c r="BK205" s="320"/>
      <c r="BL205" s="320"/>
      <c r="BM205" s="320"/>
      <c r="BN205" s="320"/>
      <c r="BO205" s="320"/>
      <c r="BP205" s="320"/>
      <c r="BQ205" s="320"/>
      <c r="BR205" s="320"/>
      <c r="BS205" s="320"/>
      <c r="BT205" s="320"/>
      <c r="BU205" s="320"/>
      <c r="BV205" s="320"/>
      <c r="BW205" s="320"/>
      <c r="BX205" s="303">
        <v>-23.74476987447699</v>
      </c>
      <c r="BY205" s="303">
        <v>4.529536741724538</v>
      </c>
      <c r="BZ205" s="320">
        <v>6.23</v>
      </c>
      <c r="CA205" s="303">
        <v>-2.1500752030644277</v>
      </c>
    </row>
    <row r="206" spans="1:79">
      <c r="A206" s="58">
        <f t="shared" si="470"/>
        <v>1908</v>
      </c>
      <c r="B206" s="303">
        <f t="shared" si="466"/>
        <v>38.102189781021913</v>
      </c>
      <c r="C206" s="303"/>
      <c r="D206" s="303">
        <f t="shared" si="467"/>
        <v>38.102189781021913</v>
      </c>
      <c r="E206" s="303"/>
      <c r="F206" s="364"/>
      <c r="G206" s="303"/>
      <c r="H206" s="364"/>
      <c r="I206" s="364"/>
      <c r="J206" s="364"/>
      <c r="K206" s="364"/>
      <c r="L206" s="364"/>
      <c r="M206" s="364"/>
      <c r="N206" s="364"/>
      <c r="O206" s="364"/>
      <c r="P206" s="364"/>
      <c r="Q206" s="364"/>
      <c r="R206" s="364"/>
      <c r="S206" s="364"/>
      <c r="T206" s="364">
        <f t="shared" si="471"/>
        <v>7.1342145340497654</v>
      </c>
      <c r="U206" s="364">
        <f t="shared" si="471"/>
        <v>7.1342145340497654</v>
      </c>
      <c r="V206" s="364">
        <f t="shared" si="469"/>
        <v>5.32</v>
      </c>
      <c r="W206" s="320"/>
      <c r="X206" s="320"/>
      <c r="Y206" s="320"/>
      <c r="Z206" s="320"/>
      <c r="AA206" s="320"/>
      <c r="AB206" s="320"/>
      <c r="AC206" s="320"/>
      <c r="AD206" s="320"/>
      <c r="AE206" s="320"/>
      <c r="AF206" s="320"/>
      <c r="AG206" s="320"/>
      <c r="AH206" s="320"/>
      <c r="AI206" s="320"/>
      <c r="AJ206" s="320"/>
      <c r="AK206" s="320"/>
      <c r="AL206" s="320"/>
      <c r="AM206" s="320"/>
      <c r="AN206" s="320"/>
      <c r="AO206" s="320"/>
      <c r="AP206" s="320"/>
      <c r="AQ206" s="320"/>
      <c r="AR206" s="320"/>
      <c r="AS206" s="320"/>
      <c r="AT206" s="320"/>
      <c r="AU206" s="320"/>
      <c r="AV206" s="320"/>
      <c r="AW206" s="320"/>
      <c r="AX206" s="320"/>
      <c r="AY206" s="320"/>
      <c r="AZ206" s="320"/>
      <c r="BA206" s="320"/>
      <c r="BB206" s="320"/>
      <c r="BC206" s="320"/>
      <c r="BD206" s="320"/>
      <c r="BE206" s="320"/>
      <c r="BF206" s="320"/>
      <c r="BG206" s="320"/>
      <c r="BH206" s="320"/>
      <c r="BI206" s="320"/>
      <c r="BJ206" s="320"/>
      <c r="BK206" s="320"/>
      <c r="BL206" s="320"/>
      <c r="BM206" s="320"/>
      <c r="BN206" s="320"/>
      <c r="BO206" s="320"/>
      <c r="BP206" s="320"/>
      <c r="BQ206" s="320"/>
      <c r="BR206" s="320"/>
      <c r="BS206" s="320"/>
      <c r="BT206" s="320"/>
      <c r="BU206" s="320"/>
      <c r="BV206" s="320"/>
      <c r="BW206" s="320"/>
      <c r="BX206" s="303">
        <v>38.102189781021913</v>
      </c>
      <c r="BY206" s="303">
        <v>7.1342145340497654</v>
      </c>
      <c r="BZ206" s="320">
        <v>5.32</v>
      </c>
      <c r="CA206" s="303">
        <v>3.2964465895252815</v>
      </c>
    </row>
    <row r="207" spans="1:79">
      <c r="A207" s="58">
        <f t="shared" si="470"/>
        <v>1909</v>
      </c>
      <c r="B207" s="303">
        <f t="shared" si="466"/>
        <v>16.114790286975712</v>
      </c>
      <c r="C207" s="303"/>
      <c r="D207" s="303">
        <f t="shared" si="467"/>
        <v>16.114790286975712</v>
      </c>
      <c r="E207" s="303"/>
      <c r="F207" s="364"/>
      <c r="G207" s="303"/>
      <c r="H207" s="364"/>
      <c r="I207" s="364"/>
      <c r="J207" s="364"/>
      <c r="K207" s="364"/>
      <c r="L207" s="364"/>
      <c r="M207" s="364"/>
      <c r="N207" s="364"/>
      <c r="O207" s="364"/>
      <c r="P207" s="364"/>
      <c r="Q207" s="364"/>
      <c r="R207" s="364"/>
      <c r="S207" s="364"/>
      <c r="T207" s="364">
        <f t="shared" si="471"/>
        <v>0.48690194239806583</v>
      </c>
      <c r="U207" s="364">
        <f t="shared" si="471"/>
        <v>0.48690194239806583</v>
      </c>
      <c r="V207" s="364">
        <f t="shared" si="469"/>
        <v>3.65</v>
      </c>
      <c r="W207" s="320"/>
      <c r="X207" s="320"/>
      <c r="Y207" s="320"/>
      <c r="Z207" s="320"/>
      <c r="AA207" s="320"/>
      <c r="AB207" s="320"/>
      <c r="AC207" s="320"/>
      <c r="AD207" s="320"/>
      <c r="AE207" s="320"/>
      <c r="AF207" s="320"/>
      <c r="AG207" s="320"/>
      <c r="AH207" s="320"/>
      <c r="AI207" s="320"/>
      <c r="AJ207" s="320"/>
      <c r="AK207" s="320"/>
      <c r="AL207" s="320"/>
      <c r="AM207" s="320"/>
      <c r="AN207" s="320"/>
      <c r="AO207" s="320"/>
      <c r="AP207" s="320"/>
      <c r="AQ207" s="320"/>
      <c r="AR207" s="320"/>
      <c r="AS207" s="320"/>
      <c r="AT207" s="320"/>
      <c r="AU207" s="320"/>
      <c r="AV207" s="320"/>
      <c r="AW207" s="320"/>
      <c r="AX207" s="320"/>
      <c r="AY207" s="320"/>
      <c r="AZ207" s="320"/>
      <c r="BA207" s="320"/>
      <c r="BB207" s="320"/>
      <c r="BC207" s="320"/>
      <c r="BD207" s="320"/>
      <c r="BE207" s="320"/>
      <c r="BF207" s="320"/>
      <c r="BG207" s="320"/>
      <c r="BH207" s="320"/>
      <c r="BI207" s="320"/>
      <c r="BJ207" s="320"/>
      <c r="BK207" s="320"/>
      <c r="BL207" s="320"/>
      <c r="BM207" s="320"/>
      <c r="BN207" s="320"/>
      <c r="BO207" s="320"/>
      <c r="BP207" s="320"/>
      <c r="BQ207" s="320"/>
      <c r="BR207" s="320"/>
      <c r="BS207" s="320"/>
      <c r="BT207" s="320"/>
      <c r="BU207" s="320"/>
      <c r="BV207" s="320"/>
      <c r="BW207" s="320"/>
      <c r="BX207" s="303">
        <v>16.114790286975712</v>
      </c>
      <c r="BY207" s="303">
        <v>0.48690194239806583</v>
      </c>
      <c r="BZ207" s="320">
        <v>3.65</v>
      </c>
      <c r="CA207" s="303">
        <v>10.638702365998487</v>
      </c>
    </row>
    <row r="208" spans="1:79">
      <c r="A208" s="58">
        <f t="shared" si="470"/>
        <v>1910</v>
      </c>
      <c r="B208" s="303">
        <f t="shared" si="466"/>
        <v>-3.3730158730158721</v>
      </c>
      <c r="C208" s="303"/>
      <c r="D208" s="303">
        <f t="shared" si="467"/>
        <v>-3.3730158730158721</v>
      </c>
      <c r="E208" s="303"/>
      <c r="F208" s="364"/>
      <c r="G208" s="303"/>
      <c r="H208" s="364"/>
      <c r="I208" s="364"/>
      <c r="J208" s="364"/>
      <c r="K208" s="364"/>
      <c r="L208" s="364"/>
      <c r="M208" s="364"/>
      <c r="N208" s="364"/>
      <c r="O208" s="364"/>
      <c r="P208" s="364"/>
      <c r="Q208" s="364"/>
      <c r="R208" s="364"/>
      <c r="S208" s="364"/>
      <c r="T208" s="364">
        <f t="shared" si="471"/>
        <v>5.8969672854594979</v>
      </c>
      <c r="U208" s="364">
        <f t="shared" si="471"/>
        <v>5.8969672854594979</v>
      </c>
      <c r="V208" s="364">
        <f t="shared" si="469"/>
        <v>5.26</v>
      </c>
      <c r="W208" s="320"/>
      <c r="X208" s="320"/>
      <c r="Y208" s="320"/>
      <c r="Z208" s="320"/>
      <c r="AA208" s="320"/>
      <c r="AB208" s="320"/>
      <c r="AC208" s="320"/>
      <c r="AD208" s="320"/>
      <c r="AE208" s="320"/>
      <c r="AF208" s="320"/>
      <c r="AG208" s="320"/>
      <c r="AH208" s="320"/>
      <c r="AI208" s="320"/>
      <c r="AJ208" s="320"/>
      <c r="AK208" s="320"/>
      <c r="AL208" s="320"/>
      <c r="AM208" s="320"/>
      <c r="AN208" s="320"/>
      <c r="AO208" s="320"/>
      <c r="AP208" s="320"/>
      <c r="AQ208" s="320"/>
      <c r="AR208" s="320"/>
      <c r="AS208" s="320"/>
      <c r="AT208" s="320"/>
      <c r="AU208" s="320"/>
      <c r="AV208" s="320"/>
      <c r="AW208" s="320"/>
      <c r="AX208" s="320"/>
      <c r="AY208" s="320"/>
      <c r="AZ208" s="320"/>
      <c r="BA208" s="320"/>
      <c r="BB208" s="320"/>
      <c r="BC208" s="320"/>
      <c r="BD208" s="320"/>
      <c r="BE208" s="320"/>
      <c r="BF208" s="320"/>
      <c r="BG208" s="320"/>
      <c r="BH208" s="320"/>
      <c r="BI208" s="320"/>
      <c r="BJ208" s="320"/>
      <c r="BK208" s="320"/>
      <c r="BL208" s="320"/>
      <c r="BM208" s="320"/>
      <c r="BN208" s="320"/>
      <c r="BO208" s="320"/>
      <c r="BP208" s="320"/>
      <c r="BQ208" s="320"/>
      <c r="BR208" s="320"/>
      <c r="BS208" s="320"/>
      <c r="BT208" s="320"/>
      <c r="BU208" s="320"/>
      <c r="BV208" s="320"/>
      <c r="BW208" s="320"/>
      <c r="BX208" s="303">
        <v>-3.3730158730158721</v>
      </c>
      <c r="BY208" s="303">
        <v>5.8969672854594979</v>
      </c>
      <c r="BZ208" s="320">
        <v>5.26</v>
      </c>
      <c r="CA208" s="303">
        <v>-6.7313276717065111</v>
      </c>
    </row>
    <row r="209" spans="1:79">
      <c r="A209" s="58">
        <f t="shared" si="470"/>
        <v>1911</v>
      </c>
      <c r="B209" s="303">
        <f t="shared" si="466"/>
        <v>3.4519956850054045</v>
      </c>
      <c r="C209" s="303"/>
      <c r="D209" s="303">
        <f t="shared" si="467"/>
        <v>3.4519956850054045</v>
      </c>
      <c r="E209" s="303"/>
      <c r="F209" s="364"/>
      <c r="G209" s="303"/>
      <c r="H209" s="364"/>
      <c r="I209" s="364"/>
      <c r="J209" s="364"/>
      <c r="K209" s="364"/>
      <c r="L209" s="364"/>
      <c r="M209" s="364"/>
      <c r="N209" s="364"/>
      <c r="O209" s="364"/>
      <c r="P209" s="364"/>
      <c r="Q209" s="364"/>
      <c r="R209" s="364"/>
      <c r="S209" s="364"/>
      <c r="T209" s="364">
        <f t="shared" si="471"/>
        <v>3.2639034129402944</v>
      </c>
      <c r="U209" s="364">
        <f t="shared" si="471"/>
        <v>3.2639034129402944</v>
      </c>
      <c r="V209" s="364">
        <f t="shared" si="469"/>
        <v>4</v>
      </c>
      <c r="W209" s="320"/>
      <c r="X209" s="320"/>
      <c r="Y209" s="320"/>
      <c r="Z209" s="320"/>
      <c r="AA209" s="320"/>
      <c r="AB209" s="320"/>
      <c r="AC209" s="320"/>
      <c r="AD209" s="320"/>
      <c r="AE209" s="320"/>
      <c r="AF209" s="320"/>
      <c r="AG209" s="320"/>
      <c r="AH209" s="320"/>
      <c r="AI209" s="320"/>
      <c r="AJ209" s="320"/>
      <c r="AK209" s="320"/>
      <c r="AL209" s="320"/>
      <c r="AM209" s="320"/>
      <c r="AN209" s="320"/>
      <c r="AO209" s="320"/>
      <c r="AP209" s="320"/>
      <c r="AQ209" s="320"/>
      <c r="AR209" s="320"/>
      <c r="AS209" s="320"/>
      <c r="AT209" s="320"/>
      <c r="AU209" s="320"/>
      <c r="AV209" s="320"/>
      <c r="AW209" s="320"/>
      <c r="AX209" s="320"/>
      <c r="AY209" s="320"/>
      <c r="AZ209" s="320"/>
      <c r="BA209" s="320"/>
      <c r="BB209" s="320"/>
      <c r="BC209" s="320"/>
      <c r="BD209" s="320"/>
      <c r="BE209" s="320"/>
      <c r="BF209" s="320"/>
      <c r="BG209" s="320"/>
      <c r="BH209" s="320"/>
      <c r="BI209" s="320"/>
      <c r="BJ209" s="320"/>
      <c r="BK209" s="320"/>
      <c r="BL209" s="320"/>
      <c r="BM209" s="320"/>
      <c r="BN209" s="320"/>
      <c r="BO209" s="320"/>
      <c r="BP209" s="320"/>
      <c r="BQ209" s="320"/>
      <c r="BR209" s="320"/>
      <c r="BS209" s="320"/>
      <c r="BT209" s="320"/>
      <c r="BU209" s="320"/>
      <c r="BV209" s="320"/>
      <c r="BW209" s="320"/>
      <c r="BX209" s="303">
        <v>3.4519956850054045</v>
      </c>
      <c r="BY209" s="303">
        <v>3.2639034129402944</v>
      </c>
      <c r="BZ209" s="320">
        <v>4</v>
      </c>
      <c r="CA209" s="303">
        <v>-1.0302674176096649</v>
      </c>
    </row>
    <row r="210" spans="1:79">
      <c r="A210" s="58">
        <f t="shared" si="470"/>
        <v>1912</v>
      </c>
      <c r="B210" s="303">
        <f t="shared" si="466"/>
        <v>7.2368421052631859</v>
      </c>
      <c r="C210" s="303"/>
      <c r="D210" s="303">
        <f t="shared" si="467"/>
        <v>7.2368421052631859</v>
      </c>
      <c r="E210" s="303"/>
      <c r="F210" s="364"/>
      <c r="G210" s="303"/>
      <c r="H210" s="364"/>
      <c r="I210" s="364"/>
      <c r="J210" s="364"/>
      <c r="K210" s="364"/>
      <c r="L210" s="364"/>
      <c r="M210" s="364"/>
      <c r="N210" s="364"/>
      <c r="O210" s="364"/>
      <c r="P210" s="364"/>
      <c r="Q210" s="364"/>
      <c r="R210" s="364"/>
      <c r="S210" s="364"/>
      <c r="T210" s="364">
        <f t="shared" si="471"/>
        <v>0.51172871631690597</v>
      </c>
      <c r="U210" s="364">
        <f t="shared" si="471"/>
        <v>0.51172871631690597</v>
      </c>
      <c r="V210" s="364">
        <f t="shared" si="469"/>
        <v>4.3499999999999996</v>
      </c>
      <c r="W210" s="320"/>
      <c r="X210" s="320"/>
      <c r="Y210" s="320"/>
      <c r="Z210" s="320"/>
      <c r="AA210" s="320"/>
      <c r="AB210" s="320"/>
      <c r="AC210" s="320"/>
      <c r="AD210" s="320"/>
      <c r="AE210" s="320"/>
      <c r="AF210" s="320"/>
      <c r="AG210" s="320"/>
      <c r="AH210" s="320"/>
      <c r="AI210" s="320"/>
      <c r="AJ210" s="320"/>
      <c r="AK210" s="320"/>
      <c r="AL210" s="320"/>
      <c r="AM210" s="320"/>
      <c r="AN210" s="320"/>
      <c r="AO210" s="320"/>
      <c r="AP210" s="320"/>
      <c r="AQ210" s="320"/>
      <c r="AR210" s="320"/>
      <c r="AS210" s="320"/>
      <c r="AT210" s="320"/>
      <c r="AU210" s="320"/>
      <c r="AV210" s="320"/>
      <c r="AW210" s="320"/>
      <c r="AX210" s="320"/>
      <c r="AY210" s="320"/>
      <c r="AZ210" s="320"/>
      <c r="BA210" s="320"/>
      <c r="BB210" s="320"/>
      <c r="BC210" s="320"/>
      <c r="BD210" s="320"/>
      <c r="BE210" s="320"/>
      <c r="BF210" s="320"/>
      <c r="BG210" s="320"/>
      <c r="BH210" s="320"/>
      <c r="BI210" s="320"/>
      <c r="BJ210" s="320"/>
      <c r="BK210" s="320"/>
      <c r="BL210" s="320"/>
      <c r="BM210" s="320"/>
      <c r="BN210" s="320"/>
      <c r="BO210" s="320"/>
      <c r="BP210" s="320"/>
      <c r="BQ210" s="320"/>
      <c r="BR210" s="320"/>
      <c r="BS210" s="320"/>
      <c r="BT210" s="320"/>
      <c r="BU210" s="320"/>
      <c r="BV210" s="320"/>
      <c r="BW210" s="320"/>
      <c r="BX210" s="303">
        <v>7.2368421052631859</v>
      </c>
      <c r="BY210" s="303">
        <v>0.51172871631690597</v>
      </c>
      <c r="BZ210" s="320">
        <v>4.3499999999999996</v>
      </c>
      <c r="CA210" s="303">
        <v>7.2913798492556081</v>
      </c>
    </row>
    <row r="211" spans="1:79">
      <c r="A211" s="58">
        <f t="shared" si="470"/>
        <v>1913</v>
      </c>
      <c r="B211" s="303">
        <f t="shared" si="466"/>
        <v>-4.8387096774193612</v>
      </c>
      <c r="C211" s="303"/>
      <c r="D211" s="303">
        <f t="shared" si="467"/>
        <v>-4.8387096774193612</v>
      </c>
      <c r="E211" s="303"/>
      <c r="F211" s="364"/>
      <c r="G211" s="303"/>
      <c r="H211" s="364"/>
      <c r="I211" s="364"/>
      <c r="J211" s="364"/>
      <c r="K211" s="364"/>
      <c r="L211" s="364"/>
      <c r="M211" s="364"/>
      <c r="N211" s="364"/>
      <c r="O211" s="364"/>
      <c r="P211" s="364"/>
      <c r="Q211" s="364"/>
      <c r="R211" s="364"/>
      <c r="S211" s="364"/>
      <c r="T211" s="364">
        <f t="shared" si="471"/>
        <v>6.9770924844645865</v>
      </c>
      <c r="U211" s="364">
        <f t="shared" si="471"/>
        <v>6.9770924844645865</v>
      </c>
      <c r="V211" s="364">
        <f t="shared" si="469"/>
        <v>5.65</v>
      </c>
      <c r="W211" s="320"/>
      <c r="X211" s="320"/>
      <c r="Y211" s="320"/>
      <c r="Z211" s="320"/>
      <c r="AA211" s="320"/>
      <c r="AB211" s="320"/>
      <c r="AC211" s="320"/>
      <c r="AD211" s="320"/>
      <c r="AE211" s="320"/>
      <c r="AF211" s="320"/>
      <c r="AG211" s="320"/>
      <c r="AH211" s="320"/>
      <c r="AI211" s="320"/>
      <c r="AJ211" s="320"/>
      <c r="AK211" s="320"/>
      <c r="AL211" s="320"/>
      <c r="AM211" s="320"/>
      <c r="AN211" s="320"/>
      <c r="AO211" s="320"/>
      <c r="AP211" s="320"/>
      <c r="AQ211" s="320"/>
      <c r="AR211" s="320"/>
      <c r="AS211" s="320"/>
      <c r="AT211" s="320"/>
      <c r="AU211" s="320"/>
      <c r="AV211" s="320"/>
      <c r="AW211" s="320"/>
      <c r="AX211" s="320"/>
      <c r="AY211" s="320"/>
      <c r="AZ211" s="320"/>
      <c r="BA211" s="320"/>
      <c r="BB211" s="320"/>
      <c r="BC211" s="320"/>
      <c r="BD211" s="320"/>
      <c r="BE211" s="320"/>
      <c r="BF211" s="320"/>
      <c r="BG211" s="320"/>
      <c r="BH211" s="320"/>
      <c r="BI211" s="320"/>
      <c r="BJ211" s="320"/>
      <c r="BK211" s="320"/>
      <c r="BL211" s="320"/>
      <c r="BM211" s="320"/>
      <c r="BN211" s="320"/>
      <c r="BO211" s="320"/>
      <c r="BP211" s="320"/>
      <c r="BQ211" s="320"/>
      <c r="BR211" s="320"/>
      <c r="BS211" s="320"/>
      <c r="BT211" s="320"/>
      <c r="BU211" s="320"/>
      <c r="BV211" s="320"/>
      <c r="BW211" s="320"/>
      <c r="BX211" s="303">
        <v>-4.8387096774193612</v>
      </c>
      <c r="BY211" s="303">
        <v>6.9770924844645865</v>
      </c>
      <c r="BZ211" s="320">
        <v>5.65</v>
      </c>
      <c r="CA211" s="303">
        <v>2.0408163265306145</v>
      </c>
    </row>
    <row r="212" spans="1:79">
      <c r="A212" s="58">
        <f t="shared" si="470"/>
        <v>1914</v>
      </c>
      <c r="B212" s="303">
        <f t="shared" si="466"/>
        <v>-5.6152927120668883</v>
      </c>
      <c r="C212" s="303"/>
      <c r="D212" s="303">
        <f t="shared" si="467"/>
        <v>-5.6152927120668883</v>
      </c>
      <c r="E212" s="303"/>
      <c r="F212" s="364"/>
      <c r="G212" s="303"/>
      <c r="H212" s="364"/>
      <c r="I212" s="364"/>
      <c r="J212" s="364"/>
      <c r="K212" s="364"/>
      <c r="L212" s="364"/>
      <c r="M212" s="364"/>
      <c r="N212" s="364"/>
      <c r="O212" s="364"/>
      <c r="P212" s="364"/>
      <c r="Q212" s="364"/>
      <c r="R212" s="364"/>
      <c r="S212" s="364"/>
      <c r="T212" s="364">
        <f t="shared" si="471"/>
        <v>5.6913673445806889</v>
      </c>
      <c r="U212" s="364">
        <f t="shared" si="471"/>
        <v>5.6913673445806889</v>
      </c>
      <c r="V212" s="364">
        <f t="shared" si="469"/>
        <v>4.6399999999999997</v>
      </c>
      <c r="W212" s="320"/>
      <c r="X212" s="320"/>
      <c r="Y212" s="320"/>
      <c r="Z212" s="320"/>
      <c r="AA212" s="320"/>
      <c r="AB212" s="320"/>
      <c r="AC212" s="320"/>
      <c r="AD212" s="320"/>
      <c r="AE212" s="320"/>
      <c r="AF212" s="320"/>
      <c r="AG212" s="320"/>
      <c r="AH212" s="320"/>
      <c r="AI212" s="320"/>
      <c r="AJ212" s="320"/>
      <c r="AK212" s="320"/>
      <c r="AL212" s="320"/>
      <c r="AM212" s="320"/>
      <c r="AN212" s="320"/>
      <c r="AO212" s="320"/>
      <c r="AP212" s="320"/>
      <c r="AQ212" s="320"/>
      <c r="AR212" s="320"/>
      <c r="AS212" s="320"/>
      <c r="AT212" s="320"/>
      <c r="AU212" s="320"/>
      <c r="AV212" s="320"/>
      <c r="AW212" s="320"/>
      <c r="AX212" s="320"/>
      <c r="AY212" s="320"/>
      <c r="AZ212" s="320"/>
      <c r="BA212" s="320"/>
      <c r="BB212" s="320"/>
      <c r="BC212" s="320"/>
      <c r="BD212" s="320"/>
      <c r="BE212" s="320"/>
      <c r="BF212" s="320"/>
      <c r="BG212" s="320"/>
      <c r="BH212" s="320"/>
      <c r="BI212" s="320"/>
      <c r="BJ212" s="320"/>
      <c r="BK212" s="320"/>
      <c r="BL212" s="320"/>
      <c r="BM212" s="320"/>
      <c r="BN212" s="320"/>
      <c r="BO212" s="320"/>
      <c r="BP212" s="320"/>
      <c r="BQ212" s="320"/>
      <c r="BR212" s="320"/>
      <c r="BS212" s="320"/>
      <c r="BT212" s="320"/>
      <c r="BU212" s="320"/>
      <c r="BV212" s="320"/>
      <c r="BW212" s="320"/>
      <c r="BX212" s="303">
        <v>-5.6152927120668883</v>
      </c>
      <c r="BY212" s="303">
        <v>5.6913673445806889</v>
      </c>
      <c r="BZ212" s="320">
        <v>4.6399999999999997</v>
      </c>
      <c r="CA212" s="303">
        <v>1.0000000000000009</v>
      </c>
    </row>
    <row r="213" spans="1:79">
      <c r="A213" s="58">
        <f t="shared" si="470"/>
        <v>1915</v>
      </c>
      <c r="B213" s="303">
        <f t="shared" si="466"/>
        <v>30.481283422459882</v>
      </c>
      <c r="C213" s="303"/>
      <c r="D213" s="303">
        <f t="shared" si="467"/>
        <v>30.481283422459882</v>
      </c>
      <c r="E213" s="303"/>
      <c r="F213" s="364"/>
      <c r="G213" s="303"/>
      <c r="H213" s="364"/>
      <c r="I213" s="364"/>
      <c r="J213" s="364"/>
      <c r="K213" s="364"/>
      <c r="L213" s="364"/>
      <c r="M213" s="364"/>
      <c r="N213" s="364"/>
      <c r="O213" s="364"/>
      <c r="P213" s="364"/>
      <c r="Q213" s="364"/>
      <c r="R213" s="364"/>
      <c r="S213" s="364"/>
      <c r="T213" s="364">
        <f t="shared" si="471"/>
        <v>4.8369337861181583</v>
      </c>
      <c r="U213" s="364">
        <f t="shared" si="471"/>
        <v>4.8369337861181583</v>
      </c>
      <c r="V213" s="364">
        <f t="shared" si="469"/>
        <v>3.65</v>
      </c>
      <c r="W213" s="320"/>
      <c r="X213" s="320"/>
      <c r="Y213" s="320"/>
      <c r="Z213" s="320"/>
      <c r="AA213" s="320"/>
      <c r="AB213" s="320"/>
      <c r="AC213" s="320"/>
      <c r="AD213" s="320"/>
      <c r="AE213" s="320"/>
      <c r="AF213" s="320"/>
      <c r="AG213" s="320"/>
      <c r="AH213" s="320"/>
      <c r="AI213" s="320"/>
      <c r="AJ213" s="320"/>
      <c r="AK213" s="320"/>
      <c r="AL213" s="320"/>
      <c r="AM213" s="320"/>
      <c r="AN213" s="320"/>
      <c r="AO213" s="320"/>
      <c r="AP213" s="320"/>
      <c r="AQ213" s="320"/>
      <c r="AR213" s="320"/>
      <c r="AS213" s="320"/>
      <c r="AT213" s="320"/>
      <c r="AU213" s="320"/>
      <c r="AV213" s="320"/>
      <c r="AW213" s="320"/>
      <c r="AX213" s="320"/>
      <c r="AY213" s="320"/>
      <c r="AZ213" s="320"/>
      <c r="BA213" s="320"/>
      <c r="BB213" s="320"/>
      <c r="BC213" s="320"/>
      <c r="BD213" s="320"/>
      <c r="BE213" s="320"/>
      <c r="BF213" s="320"/>
      <c r="BG213" s="320"/>
      <c r="BH213" s="320"/>
      <c r="BI213" s="320"/>
      <c r="BJ213" s="320"/>
      <c r="BK213" s="320"/>
      <c r="BL213" s="320"/>
      <c r="BM213" s="320"/>
      <c r="BN213" s="320"/>
      <c r="BO213" s="320"/>
      <c r="BP213" s="320"/>
      <c r="BQ213" s="320"/>
      <c r="BR213" s="320"/>
      <c r="BS213" s="320"/>
      <c r="BT213" s="320"/>
      <c r="BU213" s="320"/>
      <c r="BV213" s="320"/>
      <c r="BW213" s="320"/>
      <c r="BX213" s="303">
        <v>30.481283422459882</v>
      </c>
      <c r="BY213" s="303">
        <v>4.8369337861181583</v>
      </c>
      <c r="BZ213" s="320">
        <v>3.65</v>
      </c>
      <c r="CA213" s="303">
        <v>2.9702970297029729</v>
      </c>
    </row>
    <row r="214" spans="1:79">
      <c r="A214" s="58">
        <f t="shared" si="470"/>
        <v>1916</v>
      </c>
      <c r="B214" s="303">
        <f t="shared" si="466"/>
        <v>8.5744908896034477</v>
      </c>
      <c r="C214" s="303"/>
      <c r="D214" s="303">
        <f t="shared" si="467"/>
        <v>8.5744908896034477</v>
      </c>
      <c r="E214" s="303"/>
      <c r="F214" s="364"/>
      <c r="G214" s="303"/>
      <c r="H214" s="364"/>
      <c r="I214" s="364"/>
      <c r="J214" s="364"/>
      <c r="K214" s="364"/>
      <c r="L214" s="364"/>
      <c r="M214" s="364"/>
      <c r="N214" s="364"/>
      <c r="O214" s="364"/>
      <c r="P214" s="364"/>
      <c r="Q214" s="364"/>
      <c r="R214" s="364"/>
      <c r="S214" s="364"/>
      <c r="T214" s="364">
        <f t="shared" si="471"/>
        <v>2.5063247934760335</v>
      </c>
      <c r="U214" s="364">
        <f t="shared" si="471"/>
        <v>2.5063247934760335</v>
      </c>
      <c r="V214" s="364">
        <f t="shared" si="469"/>
        <v>3.64</v>
      </c>
      <c r="W214" s="320"/>
      <c r="X214" s="320"/>
      <c r="Y214" s="320"/>
      <c r="Z214" s="320"/>
      <c r="AA214" s="320"/>
      <c r="AB214" s="320"/>
      <c r="AC214" s="320"/>
      <c r="AD214" s="320"/>
      <c r="AE214" s="320"/>
      <c r="AF214" s="320"/>
      <c r="AG214" s="320"/>
      <c r="AH214" s="320"/>
      <c r="AI214" s="320"/>
      <c r="AJ214" s="320"/>
      <c r="AK214" s="320"/>
      <c r="AL214" s="320"/>
      <c r="AM214" s="320"/>
      <c r="AN214" s="320"/>
      <c r="AO214" s="320"/>
      <c r="AP214" s="320"/>
      <c r="AQ214" s="320"/>
      <c r="AR214" s="320"/>
      <c r="AS214" s="320"/>
      <c r="AT214" s="320"/>
      <c r="AU214" s="320"/>
      <c r="AV214" s="320"/>
      <c r="AW214" s="320"/>
      <c r="AX214" s="320"/>
      <c r="AY214" s="320"/>
      <c r="AZ214" s="320"/>
      <c r="BA214" s="320"/>
      <c r="BB214" s="320"/>
      <c r="BC214" s="320"/>
      <c r="BD214" s="320"/>
      <c r="BE214" s="320"/>
      <c r="BF214" s="320"/>
      <c r="BG214" s="320"/>
      <c r="BH214" s="320"/>
      <c r="BI214" s="320"/>
      <c r="BJ214" s="320"/>
      <c r="BK214" s="320"/>
      <c r="BL214" s="320"/>
      <c r="BM214" s="320"/>
      <c r="BN214" s="320"/>
      <c r="BO214" s="320"/>
      <c r="BP214" s="320"/>
      <c r="BQ214" s="320"/>
      <c r="BR214" s="320"/>
      <c r="BS214" s="320"/>
      <c r="BT214" s="320"/>
      <c r="BU214" s="320"/>
      <c r="BV214" s="320"/>
      <c r="BW214" s="320"/>
      <c r="BX214" s="303">
        <v>8.5744908896034477</v>
      </c>
      <c r="BY214" s="303">
        <v>2.5063247934760335</v>
      </c>
      <c r="BZ214" s="320">
        <v>3.64</v>
      </c>
      <c r="CA214" s="303">
        <v>12.5</v>
      </c>
    </row>
    <row r="215" spans="1:79">
      <c r="A215" s="58">
        <f t="shared" si="470"/>
        <v>1917</v>
      </c>
      <c r="B215" s="303">
        <f t="shared" si="466"/>
        <v>-17.45036572622779</v>
      </c>
      <c r="C215" s="303"/>
      <c r="D215" s="303">
        <f t="shared" si="467"/>
        <v>-17.45036572622779</v>
      </c>
      <c r="E215" s="303"/>
      <c r="F215" s="364"/>
      <c r="G215" s="303"/>
      <c r="H215" s="364"/>
      <c r="I215" s="364"/>
      <c r="J215" s="364"/>
      <c r="K215" s="364"/>
      <c r="L215" s="364"/>
      <c r="M215" s="364"/>
      <c r="N215" s="364"/>
      <c r="O215" s="364"/>
      <c r="P215" s="364"/>
      <c r="Q215" s="364"/>
      <c r="R215" s="364"/>
      <c r="S215" s="364"/>
      <c r="T215" s="364">
        <f t="shared" si="471"/>
        <v>0.29506272261039523</v>
      </c>
      <c r="U215" s="364">
        <f t="shared" si="471"/>
        <v>0.29506272261039523</v>
      </c>
      <c r="V215" s="364">
        <f t="shared" si="469"/>
        <v>4.25</v>
      </c>
      <c r="W215" s="320"/>
      <c r="X215" s="320"/>
      <c r="Y215" s="320"/>
      <c r="Z215" s="320"/>
      <c r="AA215" s="320"/>
      <c r="AB215" s="320"/>
      <c r="AC215" s="320"/>
      <c r="AD215" s="320"/>
      <c r="AE215" s="320"/>
      <c r="AF215" s="320"/>
      <c r="AG215" s="320"/>
      <c r="AH215" s="320"/>
      <c r="AI215" s="320"/>
      <c r="AJ215" s="320"/>
      <c r="AK215" s="320"/>
      <c r="AL215" s="320"/>
      <c r="AM215" s="320"/>
      <c r="AN215" s="320"/>
      <c r="AO215" s="320"/>
      <c r="AP215" s="320"/>
      <c r="AQ215" s="320"/>
      <c r="AR215" s="320"/>
      <c r="AS215" s="320"/>
      <c r="AT215" s="320"/>
      <c r="AU215" s="320"/>
      <c r="AV215" s="320"/>
      <c r="AW215" s="320"/>
      <c r="AX215" s="320"/>
      <c r="AY215" s="320"/>
      <c r="AZ215" s="320"/>
      <c r="BA215" s="320"/>
      <c r="BB215" s="320"/>
      <c r="BC215" s="320"/>
      <c r="BD215" s="320"/>
      <c r="BE215" s="320"/>
      <c r="BF215" s="320"/>
      <c r="BG215" s="320"/>
      <c r="BH215" s="320"/>
      <c r="BI215" s="320"/>
      <c r="BJ215" s="320"/>
      <c r="BK215" s="320"/>
      <c r="BL215" s="320"/>
      <c r="BM215" s="320"/>
      <c r="BN215" s="320"/>
      <c r="BO215" s="320"/>
      <c r="BP215" s="320"/>
      <c r="BQ215" s="320"/>
      <c r="BR215" s="320"/>
      <c r="BS215" s="320"/>
      <c r="BT215" s="320"/>
      <c r="BU215" s="320"/>
      <c r="BV215" s="320"/>
      <c r="BW215" s="320"/>
      <c r="BX215" s="303">
        <v>-17.45036572622779</v>
      </c>
      <c r="BY215" s="303">
        <v>0.29506272261039523</v>
      </c>
      <c r="BZ215" s="320">
        <v>4.25</v>
      </c>
      <c r="CA215" s="303">
        <v>19.658119658119656</v>
      </c>
    </row>
    <row r="216" spans="1:79">
      <c r="A216" s="58">
        <f t="shared" si="470"/>
        <v>1918</v>
      </c>
      <c r="B216" s="303">
        <f t="shared" si="466"/>
        <v>16.782246879334252</v>
      </c>
      <c r="C216" s="303"/>
      <c r="D216" s="303">
        <f t="shared" si="467"/>
        <v>16.782246879334252</v>
      </c>
      <c r="E216" s="303"/>
      <c r="F216" s="364"/>
      <c r="G216" s="303"/>
      <c r="H216" s="364"/>
      <c r="I216" s="364"/>
      <c r="J216" s="364"/>
      <c r="K216" s="364"/>
      <c r="L216" s="364"/>
      <c r="M216" s="364"/>
      <c r="N216" s="364"/>
      <c r="O216" s="364"/>
      <c r="P216" s="364"/>
      <c r="Q216" s="364"/>
      <c r="R216" s="364"/>
      <c r="S216" s="364"/>
      <c r="T216" s="364">
        <f t="shared" si="471"/>
        <v>5.3855968833711909</v>
      </c>
      <c r="U216" s="364">
        <f t="shared" si="471"/>
        <v>5.3855968833711909</v>
      </c>
      <c r="V216" s="364">
        <f t="shared" si="469"/>
        <v>5.98</v>
      </c>
      <c r="W216" s="320"/>
      <c r="X216" s="320"/>
      <c r="Y216" s="320"/>
      <c r="Z216" s="320"/>
      <c r="AA216" s="320"/>
      <c r="AB216" s="320"/>
      <c r="AC216" s="320"/>
      <c r="AD216" s="320"/>
      <c r="AE216" s="320"/>
      <c r="AF216" s="320"/>
      <c r="AG216" s="320"/>
      <c r="AH216" s="320"/>
      <c r="AI216" s="320"/>
      <c r="AJ216" s="320"/>
      <c r="AK216" s="320"/>
      <c r="AL216" s="320"/>
      <c r="AM216" s="320"/>
      <c r="AN216" s="320"/>
      <c r="AO216" s="320"/>
      <c r="AP216" s="320"/>
      <c r="AQ216" s="320"/>
      <c r="AR216" s="320"/>
      <c r="AS216" s="320"/>
      <c r="AT216" s="320"/>
      <c r="AU216" s="320"/>
      <c r="AV216" s="320"/>
      <c r="AW216" s="320"/>
      <c r="AX216" s="320"/>
      <c r="AY216" s="320"/>
      <c r="AZ216" s="320"/>
      <c r="BA216" s="320"/>
      <c r="BB216" s="320"/>
      <c r="BC216" s="320"/>
      <c r="BD216" s="320"/>
      <c r="BE216" s="320"/>
      <c r="BF216" s="320"/>
      <c r="BG216" s="320"/>
      <c r="BH216" s="320"/>
      <c r="BI216" s="320"/>
      <c r="BJ216" s="320"/>
      <c r="BK216" s="320"/>
      <c r="BL216" s="320"/>
      <c r="BM216" s="320"/>
      <c r="BN216" s="320"/>
      <c r="BO216" s="320"/>
      <c r="BP216" s="320"/>
      <c r="BQ216" s="320"/>
      <c r="BR216" s="320"/>
      <c r="BS216" s="320"/>
      <c r="BT216" s="320"/>
      <c r="BU216" s="320"/>
      <c r="BV216" s="320"/>
      <c r="BW216" s="320"/>
      <c r="BX216" s="303">
        <v>16.782246879334252</v>
      </c>
      <c r="BY216" s="303">
        <v>5.3855968833711909</v>
      </c>
      <c r="BZ216" s="320">
        <v>5.98</v>
      </c>
      <c r="CA216" s="303">
        <v>17.857142857142861</v>
      </c>
    </row>
    <row r="217" spans="1:79">
      <c r="A217" s="58">
        <f t="shared" si="470"/>
        <v>1919</v>
      </c>
      <c r="B217" s="303">
        <f t="shared" si="466"/>
        <v>19.235668789808912</v>
      </c>
      <c r="C217" s="303"/>
      <c r="D217" s="303">
        <f t="shared" si="467"/>
        <v>19.235668789808912</v>
      </c>
      <c r="E217" s="303"/>
      <c r="F217" s="364"/>
      <c r="G217" s="303"/>
      <c r="H217" s="364"/>
      <c r="I217" s="364"/>
      <c r="J217" s="364"/>
      <c r="K217" s="364"/>
      <c r="L217" s="364"/>
      <c r="M217" s="364"/>
      <c r="N217" s="364"/>
      <c r="O217" s="364"/>
      <c r="P217" s="364"/>
      <c r="Q217" s="364"/>
      <c r="R217" s="364"/>
      <c r="S217" s="364"/>
      <c r="T217" s="364">
        <f t="shared" si="471"/>
        <v>0.17973460949696207</v>
      </c>
      <c r="U217" s="364">
        <f t="shared" si="471"/>
        <v>0.17973460949696207</v>
      </c>
      <c r="V217" s="364">
        <f t="shared" si="469"/>
        <v>5.56</v>
      </c>
      <c r="W217" s="320"/>
      <c r="X217" s="320"/>
      <c r="Y217" s="320"/>
      <c r="Z217" s="320"/>
      <c r="AA217" s="320"/>
      <c r="AB217" s="320"/>
      <c r="AC217" s="320"/>
      <c r="AD217" s="320"/>
      <c r="AE217" s="320"/>
      <c r="AF217" s="320"/>
      <c r="AG217" s="320"/>
      <c r="AH217" s="320"/>
      <c r="AI217" s="320"/>
      <c r="AJ217" s="320"/>
      <c r="AK217" s="320"/>
      <c r="AL217" s="320"/>
      <c r="AM217" s="320"/>
      <c r="AN217" s="320"/>
      <c r="AO217" s="320"/>
      <c r="AP217" s="320"/>
      <c r="AQ217" s="320"/>
      <c r="AR217" s="320"/>
      <c r="AS217" s="320"/>
      <c r="AT217" s="320"/>
      <c r="AU217" s="320"/>
      <c r="AV217" s="320"/>
      <c r="AW217" s="320"/>
      <c r="AX217" s="320"/>
      <c r="AY217" s="320"/>
      <c r="AZ217" s="320"/>
      <c r="BA217" s="320"/>
      <c r="BB217" s="320"/>
      <c r="BC217" s="320"/>
      <c r="BD217" s="320"/>
      <c r="BE217" s="320"/>
      <c r="BF217" s="320"/>
      <c r="BG217" s="320"/>
      <c r="BH217" s="320"/>
      <c r="BI217" s="320"/>
      <c r="BJ217" s="320"/>
      <c r="BK217" s="320"/>
      <c r="BL217" s="320"/>
      <c r="BM217" s="320"/>
      <c r="BN217" s="320"/>
      <c r="BO217" s="320"/>
      <c r="BP217" s="320"/>
      <c r="BQ217" s="320"/>
      <c r="BR217" s="320"/>
      <c r="BS217" s="320"/>
      <c r="BT217" s="320"/>
      <c r="BU217" s="320"/>
      <c r="BV217" s="320"/>
      <c r="BW217" s="320"/>
      <c r="BX217" s="303">
        <v>19.235668789808912</v>
      </c>
      <c r="BY217" s="303">
        <v>0.17973460949696207</v>
      </c>
      <c r="BZ217" s="320">
        <v>5.56</v>
      </c>
      <c r="CA217" s="303">
        <v>16.969696969696969</v>
      </c>
    </row>
    <row r="218" spans="1:79">
      <c r="A218" s="58">
        <f t="shared" si="470"/>
        <v>1920</v>
      </c>
      <c r="B218" s="303">
        <f t="shared" si="466"/>
        <v>-13.703284258210646</v>
      </c>
      <c r="C218" s="303"/>
      <c r="D218" s="303">
        <f t="shared" si="467"/>
        <v>-13.703284258210646</v>
      </c>
      <c r="E218" s="303"/>
      <c r="F218" s="364"/>
      <c r="G218" s="303"/>
      <c r="H218" s="364"/>
      <c r="I218" s="364"/>
      <c r="J218" s="364"/>
      <c r="K218" s="364"/>
      <c r="L218" s="364"/>
      <c r="M218" s="364"/>
      <c r="N218" s="364"/>
      <c r="O218" s="364"/>
      <c r="P218" s="364"/>
      <c r="Q218" s="364"/>
      <c r="R218" s="364"/>
      <c r="S218" s="364"/>
      <c r="T218" s="364">
        <f t="shared" si="471"/>
        <v>4.2209123926004954</v>
      </c>
      <c r="U218" s="364">
        <f t="shared" si="471"/>
        <v>4.2209123926004954</v>
      </c>
      <c r="V218" s="364">
        <f t="shared" si="469"/>
        <v>7.3</v>
      </c>
      <c r="W218" s="320"/>
      <c r="X218" s="320"/>
      <c r="Y218" s="320"/>
      <c r="Z218" s="320"/>
      <c r="AA218" s="320"/>
      <c r="AB218" s="320"/>
      <c r="AC218" s="320"/>
      <c r="AD218" s="320"/>
      <c r="AE218" s="320"/>
      <c r="AF218" s="320"/>
      <c r="AG218" s="320"/>
      <c r="AH218" s="320"/>
      <c r="AI218" s="320"/>
      <c r="AJ218" s="320"/>
      <c r="AK218" s="320"/>
      <c r="AL218" s="320"/>
      <c r="AM218" s="320"/>
      <c r="AN218" s="320"/>
      <c r="AO218" s="320"/>
      <c r="AP218" s="320"/>
      <c r="AQ218" s="320"/>
      <c r="AR218" s="320"/>
      <c r="AS218" s="320"/>
      <c r="AT218" s="320"/>
      <c r="AU218" s="320"/>
      <c r="AV218" s="320"/>
      <c r="AW218" s="320"/>
      <c r="AX218" s="320"/>
      <c r="AY218" s="320"/>
      <c r="AZ218" s="320"/>
      <c r="BA218" s="320"/>
      <c r="BB218" s="320"/>
      <c r="BC218" s="320"/>
      <c r="BD218" s="320"/>
      <c r="BE218" s="320"/>
      <c r="BF218" s="320"/>
      <c r="BG218" s="320"/>
      <c r="BH218" s="320"/>
      <c r="BI218" s="320"/>
      <c r="BJ218" s="320"/>
      <c r="BK218" s="320"/>
      <c r="BL218" s="320"/>
      <c r="BM218" s="320"/>
      <c r="BN218" s="320"/>
      <c r="BO218" s="320"/>
      <c r="BP218" s="320"/>
      <c r="BQ218" s="320"/>
      <c r="BR218" s="320"/>
      <c r="BS218" s="320"/>
      <c r="BT218" s="320"/>
      <c r="BU218" s="320"/>
      <c r="BV218" s="320"/>
      <c r="BW218" s="320"/>
      <c r="BX218" s="303">
        <v>-13.703284258210646</v>
      </c>
      <c r="BY218" s="303">
        <v>4.2209123926004954</v>
      </c>
      <c r="BZ218" s="320">
        <v>7.3</v>
      </c>
      <c r="CA218" s="303">
        <v>-1.5544041450777257</v>
      </c>
    </row>
    <row r="219" spans="1:79">
      <c r="A219" s="58">
        <f t="shared" si="470"/>
        <v>1921</v>
      </c>
      <c r="B219" s="303">
        <f t="shared" si="466"/>
        <v>9.1420534458509053</v>
      </c>
      <c r="C219" s="303"/>
      <c r="D219" s="303">
        <f t="shared" si="467"/>
        <v>9.1420534458509053</v>
      </c>
      <c r="E219" s="303"/>
      <c r="F219" s="364"/>
      <c r="G219" s="303"/>
      <c r="H219" s="364"/>
      <c r="I219" s="364"/>
      <c r="J219" s="364"/>
      <c r="K219" s="364"/>
      <c r="L219" s="364"/>
      <c r="M219" s="364"/>
      <c r="N219" s="364"/>
      <c r="O219" s="364"/>
      <c r="P219" s="364"/>
      <c r="Q219" s="364"/>
      <c r="R219" s="364"/>
      <c r="S219" s="364"/>
      <c r="T219" s="364">
        <f t="shared" si="471"/>
        <v>12.296363056898585</v>
      </c>
      <c r="U219" s="364">
        <f t="shared" si="471"/>
        <v>12.296363056898585</v>
      </c>
      <c r="V219" s="364">
        <f t="shared" si="469"/>
        <v>7.44</v>
      </c>
      <c r="W219" s="320"/>
      <c r="X219" s="320"/>
      <c r="Y219" s="320"/>
      <c r="Z219" s="320"/>
      <c r="AA219" s="320"/>
      <c r="AB219" s="320"/>
      <c r="AC219" s="320"/>
      <c r="AD219" s="320"/>
      <c r="AE219" s="320"/>
      <c r="AF219" s="320"/>
      <c r="AG219" s="320"/>
      <c r="AH219" s="320"/>
      <c r="AI219" s="320"/>
      <c r="AJ219" s="320"/>
      <c r="AK219" s="320"/>
      <c r="AL219" s="320"/>
      <c r="AM219" s="320"/>
      <c r="AN219" s="320"/>
      <c r="AO219" s="320"/>
      <c r="AP219" s="320"/>
      <c r="AQ219" s="320"/>
      <c r="AR219" s="320"/>
      <c r="AS219" s="320"/>
      <c r="AT219" s="320"/>
      <c r="AU219" s="320"/>
      <c r="AV219" s="320"/>
      <c r="AW219" s="320"/>
      <c r="AX219" s="320"/>
      <c r="AY219" s="320"/>
      <c r="AZ219" s="320"/>
      <c r="BA219" s="320"/>
      <c r="BB219" s="320"/>
      <c r="BC219" s="320"/>
      <c r="BD219" s="320"/>
      <c r="BE219" s="320"/>
      <c r="BF219" s="320"/>
      <c r="BG219" s="320"/>
      <c r="BH219" s="320"/>
      <c r="BI219" s="320"/>
      <c r="BJ219" s="320"/>
      <c r="BK219" s="320"/>
      <c r="BL219" s="320"/>
      <c r="BM219" s="320"/>
      <c r="BN219" s="320"/>
      <c r="BO219" s="320"/>
      <c r="BP219" s="320"/>
      <c r="BQ219" s="320"/>
      <c r="BR219" s="320"/>
      <c r="BS219" s="320"/>
      <c r="BT219" s="320"/>
      <c r="BU219" s="320"/>
      <c r="BV219" s="320"/>
      <c r="BW219" s="320"/>
      <c r="BX219" s="303">
        <v>9.1420534458509053</v>
      </c>
      <c r="BY219" s="303">
        <v>12.296363056898585</v>
      </c>
      <c r="BZ219" s="320">
        <v>7.44</v>
      </c>
      <c r="CA219" s="303">
        <v>-11.052631578947381</v>
      </c>
    </row>
    <row r="220" spans="1:79">
      <c r="A220" s="58">
        <f t="shared" si="470"/>
        <v>1922</v>
      </c>
      <c r="B220" s="303">
        <f t="shared" si="466"/>
        <v>28.904109589041106</v>
      </c>
      <c r="C220" s="303"/>
      <c r="D220" s="303">
        <f t="shared" si="467"/>
        <v>28.904109589041106</v>
      </c>
      <c r="E220" s="303"/>
      <c r="F220" s="364"/>
      <c r="G220" s="303"/>
      <c r="H220" s="364"/>
      <c r="I220" s="364"/>
      <c r="J220" s="364"/>
      <c r="K220" s="364"/>
      <c r="L220" s="364"/>
      <c r="M220" s="364"/>
      <c r="N220" s="364"/>
      <c r="O220" s="364"/>
      <c r="P220" s="364"/>
      <c r="Q220" s="364"/>
      <c r="R220" s="364"/>
      <c r="S220" s="364"/>
      <c r="T220" s="364">
        <f t="shared" si="471"/>
        <v>3.4425024553934813</v>
      </c>
      <c r="U220" s="364">
        <f t="shared" si="471"/>
        <v>3.4425024553934813</v>
      </c>
      <c r="V220" s="364">
        <f t="shared" si="469"/>
        <v>4.58</v>
      </c>
      <c r="W220" s="320"/>
      <c r="X220" s="320"/>
      <c r="Y220" s="320"/>
      <c r="Z220" s="320"/>
      <c r="AA220" s="320"/>
      <c r="AB220" s="320"/>
      <c r="AC220" s="320"/>
      <c r="AD220" s="320"/>
      <c r="AE220" s="320"/>
      <c r="AF220" s="320"/>
      <c r="AG220" s="320"/>
      <c r="AH220" s="320"/>
      <c r="AI220" s="320"/>
      <c r="AJ220" s="320"/>
      <c r="AK220" s="320"/>
      <c r="AL220" s="320"/>
      <c r="AM220" s="320"/>
      <c r="AN220" s="320"/>
      <c r="AO220" s="320"/>
      <c r="AP220" s="320"/>
      <c r="AQ220" s="320"/>
      <c r="AR220" s="320"/>
      <c r="AS220" s="320"/>
      <c r="AT220" s="320"/>
      <c r="AU220" s="320"/>
      <c r="AV220" s="320"/>
      <c r="AW220" s="320"/>
      <c r="AX220" s="320"/>
      <c r="AY220" s="320"/>
      <c r="AZ220" s="320"/>
      <c r="BA220" s="320"/>
      <c r="BB220" s="320"/>
      <c r="BC220" s="320"/>
      <c r="BD220" s="320"/>
      <c r="BE220" s="320"/>
      <c r="BF220" s="320"/>
      <c r="BG220" s="320"/>
      <c r="BH220" s="320"/>
      <c r="BI220" s="320"/>
      <c r="BJ220" s="320"/>
      <c r="BK220" s="320"/>
      <c r="BL220" s="320"/>
      <c r="BM220" s="320"/>
      <c r="BN220" s="320"/>
      <c r="BO220" s="320"/>
      <c r="BP220" s="320"/>
      <c r="BQ220" s="320"/>
      <c r="BR220" s="320"/>
      <c r="BS220" s="320"/>
      <c r="BT220" s="320"/>
      <c r="BU220" s="320"/>
      <c r="BV220" s="320"/>
      <c r="BW220" s="320"/>
      <c r="BX220" s="303">
        <v>28.904109589041106</v>
      </c>
      <c r="BY220" s="303">
        <v>3.4425024553934813</v>
      </c>
      <c r="BZ220" s="320">
        <v>4.58</v>
      </c>
      <c r="CA220" s="303">
        <v>-0.59171597633135287</v>
      </c>
    </row>
    <row r="221" spans="1:79">
      <c r="A221" s="58">
        <f t="shared" si="470"/>
        <v>1923</v>
      </c>
      <c r="B221" s="303">
        <f t="shared" si="466"/>
        <v>5.1685393258426915</v>
      </c>
      <c r="C221" s="303"/>
      <c r="D221" s="303">
        <f t="shared" si="467"/>
        <v>5.1685393258426915</v>
      </c>
      <c r="E221" s="303"/>
      <c r="F221" s="364"/>
      <c r="G221" s="303"/>
      <c r="H221" s="364"/>
      <c r="I221" s="364"/>
      <c r="J221" s="364"/>
      <c r="K221" s="364"/>
      <c r="L221" s="364"/>
      <c r="M221" s="364"/>
      <c r="N221" s="364"/>
      <c r="O221" s="364"/>
      <c r="P221" s="364"/>
      <c r="Q221" s="364"/>
      <c r="R221" s="364"/>
      <c r="S221" s="364"/>
      <c r="T221" s="364">
        <f t="shared" si="471"/>
        <v>6.2440532157792106</v>
      </c>
      <c r="U221" s="364">
        <f t="shared" si="471"/>
        <v>6.2440532157792106</v>
      </c>
      <c r="V221" s="364">
        <f t="shared" si="469"/>
        <v>4.96</v>
      </c>
      <c r="W221" s="320"/>
      <c r="X221" s="320"/>
      <c r="Y221" s="320"/>
      <c r="Z221" s="320"/>
      <c r="AA221" s="320"/>
      <c r="AB221" s="320"/>
      <c r="AC221" s="320"/>
      <c r="AD221" s="320"/>
      <c r="AE221" s="320"/>
      <c r="AF221" s="320"/>
      <c r="AG221" s="320"/>
      <c r="AH221" s="320"/>
      <c r="AI221" s="320"/>
      <c r="AJ221" s="320"/>
      <c r="AK221" s="320"/>
      <c r="AL221" s="320"/>
      <c r="AM221" s="320"/>
      <c r="AN221" s="320"/>
      <c r="AO221" s="320"/>
      <c r="AP221" s="320"/>
      <c r="AQ221" s="320"/>
      <c r="AR221" s="320"/>
      <c r="AS221" s="320"/>
      <c r="AT221" s="320"/>
      <c r="AU221" s="320"/>
      <c r="AV221" s="320"/>
      <c r="AW221" s="320"/>
      <c r="AX221" s="320"/>
      <c r="AY221" s="320"/>
      <c r="AZ221" s="320"/>
      <c r="BA221" s="320"/>
      <c r="BB221" s="320"/>
      <c r="BC221" s="320"/>
      <c r="BD221" s="320"/>
      <c r="BE221" s="320"/>
      <c r="BF221" s="320"/>
      <c r="BG221" s="320"/>
      <c r="BH221" s="320"/>
      <c r="BI221" s="320"/>
      <c r="BJ221" s="320"/>
      <c r="BK221" s="320"/>
      <c r="BL221" s="320"/>
      <c r="BM221" s="320"/>
      <c r="BN221" s="320"/>
      <c r="BO221" s="320"/>
      <c r="BP221" s="320"/>
      <c r="BQ221" s="320"/>
      <c r="BR221" s="320"/>
      <c r="BS221" s="320"/>
      <c r="BT221" s="320"/>
      <c r="BU221" s="320"/>
      <c r="BV221" s="320"/>
      <c r="BW221" s="320"/>
      <c r="BX221" s="303">
        <v>5.1685393258426915</v>
      </c>
      <c r="BY221" s="303">
        <v>6.2440532157792106</v>
      </c>
      <c r="BZ221" s="320">
        <v>4.96</v>
      </c>
      <c r="CA221" s="303">
        <v>2.9761904761904656</v>
      </c>
    </row>
    <row r="222" spans="1:79">
      <c r="A222" s="58">
        <f t="shared" si="470"/>
        <v>1924</v>
      </c>
      <c r="B222" s="303">
        <f t="shared" si="466"/>
        <v>26.047565118912797</v>
      </c>
      <c r="C222" s="303"/>
      <c r="D222" s="303">
        <f t="shared" si="467"/>
        <v>26.047565118912797</v>
      </c>
      <c r="E222" s="303"/>
      <c r="F222" s="364"/>
      <c r="G222" s="303"/>
      <c r="H222" s="364"/>
      <c r="I222" s="364"/>
      <c r="J222" s="364"/>
      <c r="K222" s="364"/>
      <c r="L222" s="364"/>
      <c r="M222" s="364"/>
      <c r="N222" s="364"/>
      <c r="O222" s="364"/>
      <c r="P222" s="364"/>
      <c r="Q222" s="364"/>
      <c r="R222" s="364"/>
      <c r="S222" s="364"/>
      <c r="T222" s="364">
        <f t="shared" si="471"/>
        <v>5.4334005274495834</v>
      </c>
      <c r="U222" s="364">
        <f t="shared" si="471"/>
        <v>5.4334005274495834</v>
      </c>
      <c r="V222" s="364">
        <f t="shared" si="469"/>
        <v>4.34</v>
      </c>
      <c r="W222" s="320"/>
      <c r="X222" s="320"/>
      <c r="Y222" s="320"/>
      <c r="Z222" s="320"/>
      <c r="AA222" s="320"/>
      <c r="AB222" s="320"/>
      <c r="AC222" s="320"/>
      <c r="AD222" s="320"/>
      <c r="AE222" s="320"/>
      <c r="AF222" s="320"/>
      <c r="AG222" s="320"/>
      <c r="AH222" s="320"/>
      <c r="AI222" s="320"/>
      <c r="AJ222" s="320"/>
      <c r="AK222" s="320"/>
      <c r="AL222" s="320"/>
      <c r="AM222" s="320"/>
      <c r="AN222" s="320"/>
      <c r="AO222" s="320"/>
      <c r="AP222" s="320"/>
      <c r="AQ222" s="320"/>
      <c r="AR222" s="320"/>
      <c r="AS222" s="320"/>
      <c r="AT222" s="320"/>
      <c r="AU222" s="320"/>
      <c r="AV222" s="320"/>
      <c r="AW222" s="320"/>
      <c r="AX222" s="320"/>
      <c r="AY222" s="320"/>
      <c r="AZ222" s="320"/>
      <c r="BA222" s="320"/>
      <c r="BB222" s="320"/>
      <c r="BC222" s="320"/>
      <c r="BD222" s="320"/>
      <c r="BE222" s="320"/>
      <c r="BF222" s="320"/>
      <c r="BG222" s="320"/>
      <c r="BH222" s="320"/>
      <c r="BI222" s="320"/>
      <c r="BJ222" s="320"/>
      <c r="BK222" s="320"/>
      <c r="BL222" s="320"/>
      <c r="BM222" s="320"/>
      <c r="BN222" s="320"/>
      <c r="BO222" s="320"/>
      <c r="BP222" s="320"/>
      <c r="BQ222" s="320"/>
      <c r="BR222" s="320"/>
      <c r="BS222" s="320"/>
      <c r="BT222" s="320"/>
      <c r="BU222" s="320"/>
      <c r="BV222" s="320"/>
      <c r="BW222" s="320"/>
      <c r="BX222" s="303">
        <v>26.047565118912797</v>
      </c>
      <c r="BY222" s="303">
        <v>5.4334005274495834</v>
      </c>
      <c r="BZ222" s="320">
        <v>4.34</v>
      </c>
      <c r="CA222" s="303">
        <v>0</v>
      </c>
    </row>
    <row r="223" spans="1:79">
      <c r="A223" s="58">
        <f t="shared" si="470"/>
        <v>1925</v>
      </c>
      <c r="B223" s="303">
        <f t="shared" si="466"/>
        <v>25.236294896030252</v>
      </c>
      <c r="C223" s="303"/>
      <c r="D223" s="303">
        <f t="shared" si="467"/>
        <v>25.236294896030252</v>
      </c>
      <c r="E223" s="303"/>
      <c r="F223" s="364"/>
      <c r="G223" s="303"/>
      <c r="H223" s="364"/>
      <c r="I223" s="364"/>
      <c r="J223" s="364"/>
      <c r="K223" s="364"/>
      <c r="L223" s="364"/>
      <c r="M223" s="364"/>
      <c r="N223" s="364"/>
      <c r="O223" s="364"/>
      <c r="P223" s="364"/>
      <c r="Q223" s="364"/>
      <c r="R223" s="364"/>
      <c r="S223" s="364"/>
      <c r="T223" s="364">
        <f t="shared" si="471"/>
        <v>3.624117901308499</v>
      </c>
      <c r="U223" s="364">
        <f t="shared" si="471"/>
        <v>3.624117901308499</v>
      </c>
      <c r="V223" s="364">
        <f t="shared" si="469"/>
        <v>3.87</v>
      </c>
      <c r="W223" s="320"/>
      <c r="X223" s="320"/>
      <c r="Y223" s="320"/>
      <c r="Z223" s="320"/>
      <c r="AA223" s="320"/>
      <c r="AB223" s="320"/>
      <c r="AC223" s="320"/>
      <c r="AD223" s="320"/>
      <c r="AE223" s="320"/>
      <c r="AF223" s="320"/>
      <c r="AG223" s="320"/>
      <c r="AH223" s="320"/>
      <c r="AI223" s="320"/>
      <c r="AJ223" s="320"/>
      <c r="AK223" s="320"/>
      <c r="AL223" s="320"/>
      <c r="AM223" s="320"/>
      <c r="AN223" s="320"/>
      <c r="AO223" s="320"/>
      <c r="AP223" s="320"/>
      <c r="AQ223" s="320"/>
      <c r="AR223" s="320"/>
      <c r="AS223" s="320"/>
      <c r="AT223" s="320"/>
      <c r="AU223" s="320"/>
      <c r="AV223" s="320"/>
      <c r="AW223" s="320"/>
      <c r="AX223" s="320"/>
      <c r="AY223" s="320"/>
      <c r="AZ223" s="320"/>
      <c r="BA223" s="320"/>
      <c r="BB223" s="320"/>
      <c r="BC223" s="320"/>
      <c r="BD223" s="320"/>
      <c r="BE223" s="320"/>
      <c r="BF223" s="320"/>
      <c r="BG223" s="320"/>
      <c r="BH223" s="320"/>
      <c r="BI223" s="320"/>
      <c r="BJ223" s="320"/>
      <c r="BK223" s="320"/>
      <c r="BL223" s="320"/>
      <c r="BM223" s="320"/>
      <c r="BN223" s="320"/>
      <c r="BO223" s="320"/>
      <c r="BP223" s="320"/>
      <c r="BQ223" s="320"/>
      <c r="BR223" s="320"/>
      <c r="BS223" s="320"/>
      <c r="BT223" s="320"/>
      <c r="BU223" s="320"/>
      <c r="BV223" s="320"/>
      <c r="BW223" s="320"/>
      <c r="BX223" s="303">
        <v>25.236294896030252</v>
      </c>
      <c r="BY223" s="303">
        <v>3.624117901308499</v>
      </c>
      <c r="BZ223" s="320">
        <v>3.87</v>
      </c>
      <c r="CA223" s="303">
        <v>3.4682080924855363</v>
      </c>
    </row>
    <row r="224" spans="1:79">
      <c r="A224" s="58">
        <f t="shared" si="470"/>
        <v>1926</v>
      </c>
      <c r="B224" s="303">
        <f t="shared" si="466"/>
        <v>11.383399209486168</v>
      </c>
      <c r="C224" s="303"/>
      <c r="D224" s="303">
        <f t="shared" si="467"/>
        <v>11.383399209486168</v>
      </c>
      <c r="E224" s="303"/>
      <c r="F224" s="364"/>
      <c r="G224" s="303"/>
      <c r="H224" s="364"/>
      <c r="I224" s="364"/>
      <c r="J224" s="364"/>
      <c r="K224" s="364"/>
      <c r="L224" s="364"/>
      <c r="M224" s="364"/>
      <c r="N224" s="364"/>
      <c r="O224" s="364"/>
      <c r="P224" s="364"/>
      <c r="Q224" s="364"/>
      <c r="R224" s="364"/>
      <c r="S224" s="364"/>
      <c r="T224" s="364">
        <f t="shared" si="471"/>
        <v>4.6084760454481177</v>
      </c>
      <c r="U224" s="364">
        <f t="shared" si="471"/>
        <v>4.6084760454481177</v>
      </c>
      <c r="V224" s="364">
        <f t="shared" si="469"/>
        <v>4.28</v>
      </c>
      <c r="W224" s="364"/>
      <c r="X224" s="364"/>
      <c r="Y224" s="364"/>
      <c r="Z224" s="364"/>
      <c r="AA224" s="364"/>
      <c r="AB224" s="364"/>
      <c r="AC224" s="364"/>
      <c r="AD224" s="364"/>
      <c r="AE224" s="364"/>
      <c r="AF224" s="364"/>
      <c r="AG224" s="364"/>
      <c r="AH224" s="364"/>
      <c r="AI224" s="364"/>
      <c r="AJ224" s="364"/>
      <c r="AK224" s="364"/>
      <c r="AL224" s="364"/>
      <c r="AM224" s="364"/>
      <c r="AN224" s="364"/>
      <c r="AO224" s="364"/>
      <c r="AP224" s="364"/>
      <c r="AQ224" s="364"/>
      <c r="AR224" s="364"/>
      <c r="AS224" s="364"/>
      <c r="AT224" s="364"/>
      <c r="AU224" s="364"/>
      <c r="AV224" s="364"/>
      <c r="AW224" s="364"/>
      <c r="AX224" s="364"/>
      <c r="AY224" s="364"/>
      <c r="AZ224" s="364"/>
      <c r="BA224" s="364"/>
      <c r="BB224" s="364"/>
      <c r="BC224" s="364"/>
      <c r="BD224" s="364"/>
      <c r="BE224" s="364"/>
      <c r="BF224" s="364"/>
      <c r="BG224" s="364"/>
      <c r="BH224" s="364"/>
      <c r="BI224" s="364"/>
      <c r="BJ224" s="364"/>
      <c r="BK224" s="364"/>
      <c r="BL224" s="364"/>
      <c r="BM224" s="364"/>
      <c r="BN224" s="364"/>
      <c r="BO224" s="364"/>
      <c r="BP224" s="364"/>
      <c r="BQ224" s="364"/>
      <c r="BR224" s="364"/>
      <c r="BS224" s="364"/>
      <c r="BT224" s="364"/>
      <c r="BU224" s="364"/>
      <c r="BV224" s="364"/>
      <c r="BW224" s="364"/>
      <c r="BX224" s="303">
        <v>11.383399209486168</v>
      </c>
      <c r="BY224" s="303">
        <v>4.6084760454481177</v>
      </c>
      <c r="BZ224" s="320">
        <v>4.28</v>
      </c>
      <c r="CA224" s="303">
        <v>-2.2346368715083775</v>
      </c>
    </row>
    <row r="225" spans="1:79">
      <c r="A225" s="58">
        <f t="shared" si="470"/>
        <v>1927</v>
      </c>
      <c r="B225" s="303">
        <f t="shared" si="466"/>
        <v>36.567164179104481</v>
      </c>
      <c r="C225" s="303"/>
      <c r="D225" s="303">
        <f t="shared" si="467"/>
        <v>36.567164179104481</v>
      </c>
      <c r="E225" s="303"/>
      <c r="F225" s="364"/>
      <c r="G225" s="303"/>
      <c r="H225" s="364"/>
      <c r="I225" s="364"/>
      <c r="J225" s="364"/>
      <c r="K225" s="364"/>
      <c r="L225" s="364"/>
      <c r="M225" s="364"/>
      <c r="N225" s="364"/>
      <c r="O225" s="364"/>
      <c r="P225" s="364"/>
      <c r="Q225" s="364"/>
      <c r="R225" s="364"/>
      <c r="S225" s="364"/>
      <c r="T225" s="364">
        <f t="shared" si="471"/>
        <v>2.5959888416520194</v>
      </c>
      <c r="U225" s="364">
        <f t="shared" si="471"/>
        <v>2.5959888416520194</v>
      </c>
      <c r="V225" s="364">
        <f t="shared" si="469"/>
        <v>4.26</v>
      </c>
      <c r="W225" s="364"/>
      <c r="X225" s="364"/>
      <c r="Y225" s="364"/>
      <c r="Z225" s="364"/>
      <c r="AA225" s="364"/>
      <c r="AB225" s="364"/>
      <c r="AC225" s="364"/>
      <c r="AD225" s="364"/>
      <c r="AE225" s="364"/>
      <c r="AF225" s="364"/>
      <c r="AG225" s="364"/>
      <c r="AH225" s="364"/>
      <c r="AI225" s="364"/>
      <c r="AJ225" s="364"/>
      <c r="AK225" s="364"/>
      <c r="AL225" s="364"/>
      <c r="AM225" s="364"/>
      <c r="AN225" s="364"/>
      <c r="AO225" s="364"/>
      <c r="AP225" s="364"/>
      <c r="AQ225" s="364"/>
      <c r="AR225" s="364"/>
      <c r="AS225" s="364"/>
      <c r="AT225" s="364"/>
      <c r="AU225" s="364"/>
      <c r="AV225" s="364"/>
      <c r="AW225" s="364"/>
      <c r="AX225" s="364"/>
      <c r="AY225" s="364"/>
      <c r="AZ225" s="364"/>
      <c r="BA225" s="364"/>
      <c r="BB225" s="364"/>
      <c r="BC225" s="364"/>
      <c r="BD225" s="364"/>
      <c r="BE225" s="364"/>
      <c r="BF225" s="364"/>
      <c r="BG225" s="364"/>
      <c r="BH225" s="364"/>
      <c r="BI225" s="364"/>
      <c r="BJ225" s="364"/>
      <c r="BK225" s="364"/>
      <c r="BL225" s="364"/>
      <c r="BM225" s="364"/>
      <c r="BN225" s="364"/>
      <c r="BO225" s="364"/>
      <c r="BP225" s="364"/>
      <c r="BQ225" s="364"/>
      <c r="BR225" s="364"/>
      <c r="BS225" s="364"/>
      <c r="BT225" s="364"/>
      <c r="BU225" s="364"/>
      <c r="BV225" s="364"/>
      <c r="BW225" s="364"/>
      <c r="BX225" s="303">
        <v>36.567164179104481</v>
      </c>
      <c r="BY225" s="303">
        <v>2.5959888416520194</v>
      </c>
      <c r="BZ225" s="320">
        <v>4.26</v>
      </c>
      <c r="CA225" s="303">
        <v>-1.1428571428571344</v>
      </c>
    </row>
    <row r="226" spans="1:79">
      <c r="A226" s="58">
        <f t="shared" si="470"/>
        <v>1928</v>
      </c>
      <c r="B226" s="303">
        <f t="shared" si="466"/>
        <v>46.662863662293198</v>
      </c>
      <c r="C226" s="303"/>
      <c r="D226" s="303">
        <f t="shared" si="467"/>
        <v>46.662863662293198</v>
      </c>
      <c r="E226" s="303"/>
      <c r="F226" s="364"/>
      <c r="G226" s="303"/>
      <c r="H226" s="364"/>
      <c r="I226" s="364"/>
      <c r="J226" s="364"/>
      <c r="K226" s="364"/>
      <c r="L226" s="364"/>
      <c r="M226" s="364"/>
      <c r="N226" s="364"/>
      <c r="O226" s="364"/>
      <c r="P226" s="364"/>
      <c r="Q226" s="364"/>
      <c r="R226" s="364"/>
      <c r="S226" s="364"/>
      <c r="T226" s="364">
        <f t="shared" si="471"/>
        <v>5.3633968327093662E-2</v>
      </c>
      <c r="U226" s="364">
        <f t="shared" si="471"/>
        <v>5.3633968327093662E-2</v>
      </c>
      <c r="V226" s="364">
        <f t="shared" si="469"/>
        <v>4.6399999999999997</v>
      </c>
      <c r="W226" s="364"/>
      <c r="X226" s="364"/>
      <c r="Y226" s="364"/>
      <c r="Z226" s="364"/>
      <c r="AA226" s="364"/>
      <c r="AB226" s="364"/>
      <c r="AC226" s="364"/>
      <c r="AD226" s="364"/>
      <c r="AE226" s="364"/>
      <c r="AF226" s="364"/>
      <c r="AG226" s="364"/>
      <c r="AH226" s="364"/>
      <c r="AI226" s="364"/>
      <c r="AJ226" s="364"/>
      <c r="AK226" s="364"/>
      <c r="AL226" s="364"/>
      <c r="AM226" s="364"/>
      <c r="AN226" s="364"/>
      <c r="AO226" s="364"/>
      <c r="AP226" s="364"/>
      <c r="AQ226" s="364"/>
      <c r="AR226" s="364"/>
      <c r="AS226" s="364"/>
      <c r="AT226" s="364"/>
      <c r="AU226" s="364"/>
      <c r="AV226" s="364"/>
      <c r="AW226" s="364"/>
      <c r="AX226" s="364"/>
      <c r="AY226" s="364"/>
      <c r="AZ226" s="364"/>
      <c r="BA226" s="364"/>
      <c r="BB226" s="364"/>
      <c r="BC226" s="364"/>
      <c r="BD226" s="364"/>
      <c r="BE226" s="364"/>
      <c r="BF226" s="364"/>
      <c r="BG226" s="364"/>
      <c r="BH226" s="364"/>
      <c r="BI226" s="364"/>
      <c r="BJ226" s="364"/>
      <c r="BK226" s="364"/>
      <c r="BL226" s="364"/>
      <c r="BM226" s="364"/>
      <c r="BN226" s="364"/>
      <c r="BO226" s="364"/>
      <c r="BP226" s="364"/>
      <c r="BQ226" s="364"/>
      <c r="BR226" s="364"/>
      <c r="BS226" s="364"/>
      <c r="BT226" s="364"/>
      <c r="BU226" s="364"/>
      <c r="BV226" s="364"/>
      <c r="BW226" s="364"/>
      <c r="BX226" s="303">
        <v>46.662863662293198</v>
      </c>
      <c r="BY226" s="303">
        <v>5.3633968327093662E-2</v>
      </c>
      <c r="BZ226" s="320">
        <v>4.6399999999999997</v>
      </c>
      <c r="CA226" s="303">
        <v>-1.1560693641618491</v>
      </c>
    </row>
    <row r="227" spans="1:79">
      <c r="A227" s="58">
        <f t="shared" si="470"/>
        <v>1929</v>
      </c>
      <c r="B227" s="303">
        <f t="shared" si="466"/>
        <v>-8.7691069991954969</v>
      </c>
      <c r="C227" s="303"/>
      <c r="D227" s="303">
        <f t="shared" si="467"/>
        <v>-8.7691069991954969</v>
      </c>
      <c r="E227" s="303"/>
      <c r="F227" s="364"/>
      <c r="G227" s="303"/>
      <c r="H227" s="364"/>
      <c r="I227" s="364"/>
      <c r="J227" s="364"/>
      <c r="K227" s="364"/>
      <c r="L227" s="364"/>
      <c r="M227" s="364"/>
      <c r="N227" s="364"/>
      <c r="O227" s="364"/>
      <c r="P227" s="364"/>
      <c r="Q227" s="364"/>
      <c r="R227" s="364"/>
      <c r="S227" s="364"/>
      <c r="T227" s="364">
        <f t="shared" si="471"/>
        <v>7.6787568345977775</v>
      </c>
      <c r="U227" s="364">
        <f t="shared" si="471"/>
        <v>7.6787568345977775</v>
      </c>
      <c r="V227" s="364">
        <f t="shared" si="469"/>
        <v>6.01</v>
      </c>
      <c r="W227" s="364"/>
      <c r="X227" s="364"/>
      <c r="Y227" s="364"/>
      <c r="Z227" s="364"/>
      <c r="AA227" s="364"/>
      <c r="AB227" s="364"/>
      <c r="AC227" s="364"/>
      <c r="AD227" s="364"/>
      <c r="AE227" s="364"/>
      <c r="AF227" s="364"/>
      <c r="AG227" s="364"/>
      <c r="AH227" s="364"/>
      <c r="AI227" s="364"/>
      <c r="AJ227" s="364"/>
      <c r="AK227" s="364"/>
      <c r="AL227" s="364"/>
      <c r="AM227" s="364"/>
      <c r="AN227" s="364"/>
      <c r="AO227" s="364"/>
      <c r="AP227" s="364"/>
      <c r="AQ227" s="364"/>
      <c r="AR227" s="364"/>
      <c r="AS227" s="364"/>
      <c r="AT227" s="364"/>
      <c r="AU227" s="364"/>
      <c r="AV227" s="364"/>
      <c r="AW227" s="364"/>
      <c r="AX227" s="364"/>
      <c r="AY227" s="364"/>
      <c r="AZ227" s="364"/>
      <c r="BA227" s="364"/>
      <c r="BB227" s="364"/>
      <c r="BC227" s="364"/>
      <c r="BD227" s="364"/>
      <c r="BE227" s="364"/>
      <c r="BF227" s="364"/>
      <c r="BG227" s="364"/>
      <c r="BH227" s="364"/>
      <c r="BI227" s="364"/>
      <c r="BJ227" s="364"/>
      <c r="BK227" s="364"/>
      <c r="BL227" s="364"/>
      <c r="BM227" s="364"/>
      <c r="BN227" s="364"/>
      <c r="BO227" s="364"/>
      <c r="BP227" s="364"/>
      <c r="BQ227" s="364"/>
      <c r="BR227" s="364"/>
      <c r="BS227" s="364"/>
      <c r="BT227" s="364"/>
      <c r="BU227" s="364"/>
      <c r="BV227" s="364"/>
      <c r="BW227" s="364"/>
      <c r="BX227" s="303">
        <v>-8.7691069991954969</v>
      </c>
      <c r="BY227" s="303">
        <v>7.6787568345977775</v>
      </c>
      <c r="BZ227" s="320">
        <v>6.01</v>
      </c>
      <c r="CA227" s="303">
        <v>0</v>
      </c>
    </row>
    <row r="228" spans="1:79">
      <c r="A228" s="58">
        <f t="shared" si="470"/>
        <v>1930</v>
      </c>
      <c r="B228" s="303">
        <f t="shared" si="466"/>
        <v>-21.879318286503914</v>
      </c>
      <c r="C228" s="303"/>
      <c r="D228" s="303">
        <f t="shared" si="467"/>
        <v>-21.879318286503914</v>
      </c>
      <c r="E228" s="303"/>
      <c r="F228" s="364"/>
      <c r="G228" s="303"/>
      <c r="H228" s="364"/>
      <c r="I228" s="364"/>
      <c r="J228" s="364"/>
      <c r="K228" s="364"/>
      <c r="L228" s="364"/>
      <c r="M228" s="364"/>
      <c r="N228" s="364"/>
      <c r="O228" s="364"/>
      <c r="P228" s="364"/>
      <c r="Q228" s="364"/>
      <c r="R228" s="364"/>
      <c r="S228" s="364"/>
      <c r="T228" s="364">
        <f t="shared" si="471"/>
        <v>6.2715948803697907</v>
      </c>
      <c r="U228" s="364">
        <f t="shared" si="471"/>
        <v>6.2715948803697907</v>
      </c>
      <c r="V228" s="364">
        <f t="shared" si="469"/>
        <v>4.1500000000000004</v>
      </c>
      <c r="W228" s="320"/>
      <c r="X228" s="320"/>
      <c r="Y228" s="320"/>
      <c r="Z228" s="320"/>
      <c r="AA228" s="320"/>
      <c r="AB228" s="320"/>
      <c r="AC228" s="320"/>
      <c r="AD228" s="320"/>
      <c r="AE228" s="320"/>
      <c r="AF228" s="320"/>
      <c r="AG228" s="320"/>
      <c r="AH228" s="320"/>
      <c r="AI228" s="320"/>
      <c r="AJ228" s="320"/>
      <c r="AK228" s="320"/>
      <c r="AL228" s="320"/>
      <c r="AM228" s="320"/>
      <c r="AN228" s="320"/>
      <c r="AO228" s="320"/>
      <c r="AP228" s="320"/>
      <c r="AQ228" s="320"/>
      <c r="AR228" s="320"/>
      <c r="AS228" s="320"/>
      <c r="AT228" s="320"/>
      <c r="AU228" s="320"/>
      <c r="AV228" s="320"/>
      <c r="AW228" s="320"/>
      <c r="AX228" s="320"/>
      <c r="AY228" s="320"/>
      <c r="AZ228" s="320"/>
      <c r="BA228" s="320"/>
      <c r="BB228" s="320"/>
      <c r="BC228" s="320"/>
      <c r="BD228" s="320"/>
      <c r="BE228" s="320"/>
      <c r="BF228" s="320"/>
      <c r="BG228" s="320"/>
      <c r="BH228" s="320"/>
      <c r="BI228" s="320"/>
      <c r="BJ228" s="320"/>
      <c r="BK228" s="320"/>
      <c r="BL228" s="320"/>
      <c r="BM228" s="320"/>
      <c r="BN228" s="320"/>
      <c r="BO228" s="320"/>
      <c r="BP228" s="320"/>
      <c r="BQ228" s="320"/>
      <c r="BR228" s="320"/>
      <c r="BS228" s="320"/>
      <c r="BT228" s="320"/>
      <c r="BU228" s="320"/>
      <c r="BV228" s="320"/>
      <c r="BW228" s="320"/>
      <c r="BX228" s="303">
        <v>-21.879318286503914</v>
      </c>
      <c r="BY228" s="303">
        <v>6.2715948803697907</v>
      </c>
      <c r="BZ228" s="320">
        <v>4.1500000000000004</v>
      </c>
      <c r="CA228" s="303">
        <v>-7.017543859649134</v>
      </c>
    </row>
    <row r="229" spans="1:79">
      <c r="A229" s="58">
        <f t="shared" si="470"/>
        <v>1931</v>
      </c>
      <c r="B229" s="303">
        <f t="shared" si="466"/>
        <v>-42.928660826032541</v>
      </c>
      <c r="C229" s="303"/>
      <c r="D229" s="303">
        <f t="shared" si="467"/>
        <v>-42.928660826032541</v>
      </c>
      <c r="E229" s="303"/>
      <c r="F229" s="364"/>
      <c r="G229" s="303"/>
      <c r="H229" s="364"/>
      <c r="I229" s="364"/>
      <c r="J229" s="364"/>
      <c r="K229" s="364"/>
      <c r="L229" s="364"/>
      <c r="M229" s="364"/>
      <c r="N229" s="364"/>
      <c r="O229" s="364"/>
      <c r="P229" s="364"/>
      <c r="Q229" s="364"/>
      <c r="R229" s="364"/>
      <c r="S229" s="364"/>
      <c r="T229" s="364">
        <f t="shared" si="471"/>
        <v>0.80260986022480107</v>
      </c>
      <c r="U229" s="364">
        <f t="shared" si="471"/>
        <v>0.80260986022480107</v>
      </c>
      <c r="V229" s="364">
        <f t="shared" si="469"/>
        <v>2.4300000000000002</v>
      </c>
      <c r="W229" s="320"/>
      <c r="X229" s="320"/>
      <c r="Y229" s="320"/>
      <c r="Z229" s="320"/>
      <c r="AA229" s="320"/>
      <c r="AB229" s="320"/>
      <c r="AC229" s="320"/>
      <c r="AD229" s="320"/>
      <c r="AE229" s="320"/>
      <c r="AF229" s="320"/>
      <c r="AG229" s="320"/>
      <c r="AH229" s="320"/>
      <c r="AI229" s="320"/>
      <c r="AJ229" s="320"/>
      <c r="AK229" s="320"/>
      <c r="AL229" s="320"/>
      <c r="AM229" s="320"/>
      <c r="AN229" s="320"/>
      <c r="AO229" s="320"/>
      <c r="AP229" s="320"/>
      <c r="AQ229" s="320"/>
      <c r="AR229" s="320"/>
      <c r="AS229" s="320"/>
      <c r="AT229" s="320"/>
      <c r="AU229" s="320"/>
      <c r="AV229" s="320"/>
      <c r="AW229" s="320"/>
      <c r="AX229" s="320"/>
      <c r="AY229" s="320"/>
      <c r="AZ229" s="320"/>
      <c r="BA229" s="320"/>
      <c r="BB229" s="320"/>
      <c r="BC229" s="320"/>
      <c r="BD229" s="320"/>
      <c r="BE229" s="320"/>
      <c r="BF229" s="320"/>
      <c r="BG229" s="320"/>
      <c r="BH229" s="320"/>
      <c r="BI229" s="320"/>
      <c r="BJ229" s="320"/>
      <c r="BK229" s="320"/>
      <c r="BL229" s="320"/>
      <c r="BM229" s="320"/>
      <c r="BN229" s="320"/>
      <c r="BO229" s="320"/>
      <c r="BP229" s="320"/>
      <c r="BQ229" s="320"/>
      <c r="BR229" s="320"/>
      <c r="BS229" s="320"/>
      <c r="BT229" s="320"/>
      <c r="BU229" s="320"/>
      <c r="BV229" s="320"/>
      <c r="BW229" s="320"/>
      <c r="BX229" s="303">
        <v>-42.928660826032541</v>
      </c>
      <c r="BY229" s="303">
        <v>0.80260986022480107</v>
      </c>
      <c r="BZ229" s="320">
        <v>2.4300000000000002</v>
      </c>
      <c r="CA229" s="303">
        <v>-10.062893081761004</v>
      </c>
    </row>
    <row r="230" spans="1:79">
      <c r="A230" s="58">
        <f t="shared" si="470"/>
        <v>1932</v>
      </c>
      <c r="B230" s="303">
        <f t="shared" si="466"/>
        <v>-8.5542168674698882</v>
      </c>
      <c r="C230" s="303"/>
      <c r="D230" s="303">
        <f t="shared" si="467"/>
        <v>-8.5542168674698882</v>
      </c>
      <c r="E230" s="303"/>
      <c r="F230" s="364"/>
      <c r="G230" s="303"/>
      <c r="H230" s="364"/>
      <c r="I230" s="364"/>
      <c r="J230" s="364"/>
      <c r="K230" s="364"/>
      <c r="L230" s="364"/>
      <c r="M230" s="364"/>
      <c r="N230" s="364"/>
      <c r="O230" s="364"/>
      <c r="P230" s="364"/>
      <c r="Q230" s="364"/>
      <c r="R230" s="364"/>
      <c r="S230" s="364"/>
      <c r="T230" s="364">
        <f t="shared" si="471"/>
        <v>8.358711622350512</v>
      </c>
      <c r="U230" s="364">
        <f t="shared" si="471"/>
        <v>8.358711622350512</v>
      </c>
      <c r="V230" s="364">
        <f t="shared" si="469"/>
        <v>3.36</v>
      </c>
      <c r="W230" s="320"/>
      <c r="X230" s="320"/>
      <c r="Y230" s="320"/>
      <c r="Z230" s="320"/>
      <c r="AA230" s="320"/>
      <c r="AB230" s="320"/>
      <c r="AC230" s="320"/>
      <c r="AD230" s="320"/>
      <c r="AE230" s="320"/>
      <c r="AF230" s="320"/>
      <c r="AG230" s="320"/>
      <c r="AH230" s="320"/>
      <c r="AI230" s="320"/>
      <c r="AJ230" s="320"/>
      <c r="AK230" s="320"/>
      <c r="AL230" s="320"/>
      <c r="AM230" s="320"/>
      <c r="AN230" s="320"/>
      <c r="AO230" s="320"/>
      <c r="AP230" s="320"/>
      <c r="AQ230" s="320"/>
      <c r="AR230" s="320"/>
      <c r="AS230" s="320"/>
      <c r="AT230" s="320"/>
      <c r="AU230" s="320"/>
      <c r="AV230" s="320"/>
      <c r="AW230" s="320"/>
      <c r="AX230" s="320"/>
      <c r="AY230" s="320"/>
      <c r="AZ230" s="320"/>
      <c r="BA230" s="320"/>
      <c r="BB230" s="320"/>
      <c r="BC230" s="320"/>
      <c r="BD230" s="320"/>
      <c r="BE230" s="320"/>
      <c r="BF230" s="320"/>
      <c r="BG230" s="320"/>
      <c r="BH230" s="320"/>
      <c r="BI230" s="320"/>
      <c r="BJ230" s="320"/>
      <c r="BK230" s="320"/>
      <c r="BL230" s="320"/>
      <c r="BM230" s="320"/>
      <c r="BN230" s="320"/>
      <c r="BO230" s="320"/>
      <c r="BP230" s="320"/>
      <c r="BQ230" s="320"/>
      <c r="BR230" s="320"/>
      <c r="BS230" s="320"/>
      <c r="BT230" s="320"/>
      <c r="BU230" s="320"/>
      <c r="BV230" s="320"/>
      <c r="BW230" s="320"/>
      <c r="BX230" s="303">
        <v>-8.5542168674698882</v>
      </c>
      <c r="BY230" s="303">
        <v>8.358711622350512</v>
      </c>
      <c r="BZ230" s="320">
        <v>3.36</v>
      </c>
      <c r="CA230" s="303">
        <v>-9.7902097902097918</v>
      </c>
    </row>
    <row r="231" spans="1:79">
      <c r="A231" s="58">
        <f t="shared" si="470"/>
        <v>1933</v>
      </c>
      <c r="B231" s="303">
        <f t="shared" si="466"/>
        <v>54.866008462623398</v>
      </c>
      <c r="C231" s="303"/>
      <c r="D231" s="303">
        <f t="shared" si="467"/>
        <v>54.866008462623398</v>
      </c>
      <c r="E231" s="303"/>
      <c r="F231" s="364"/>
      <c r="G231" s="303"/>
      <c r="H231" s="364"/>
      <c r="I231" s="364"/>
      <c r="J231" s="364"/>
      <c r="K231" s="364"/>
      <c r="L231" s="364"/>
      <c r="M231" s="364"/>
      <c r="N231" s="364"/>
      <c r="O231" s="364"/>
      <c r="P231" s="364"/>
      <c r="Q231" s="364"/>
      <c r="R231" s="364"/>
      <c r="S231" s="364"/>
      <c r="T231" s="364">
        <f t="shared" si="471"/>
        <v>4.8764975402564303</v>
      </c>
      <c r="U231" s="364">
        <f t="shared" si="471"/>
        <v>4.8764975402564303</v>
      </c>
      <c r="V231" s="364">
        <f t="shared" si="469"/>
        <v>1.46</v>
      </c>
      <c r="W231" s="320"/>
      <c r="X231" s="320"/>
      <c r="Y231" s="320"/>
      <c r="Z231" s="320"/>
      <c r="AA231" s="320"/>
      <c r="AB231" s="320"/>
      <c r="AC231" s="320"/>
      <c r="AD231" s="320"/>
      <c r="AE231" s="320"/>
      <c r="AF231" s="320"/>
      <c r="AG231" s="320"/>
      <c r="AH231" s="320"/>
      <c r="AI231" s="320"/>
      <c r="AJ231" s="320"/>
      <c r="AK231" s="320"/>
      <c r="AL231" s="320"/>
      <c r="AM231" s="320"/>
      <c r="AN231" s="320"/>
      <c r="AO231" s="320"/>
      <c r="AP231" s="320"/>
      <c r="AQ231" s="320"/>
      <c r="AR231" s="320"/>
      <c r="AS231" s="320"/>
      <c r="AT231" s="320"/>
      <c r="AU231" s="320"/>
      <c r="AV231" s="320"/>
      <c r="AW231" s="320"/>
      <c r="AX231" s="320"/>
      <c r="AY231" s="320"/>
      <c r="AZ231" s="320"/>
      <c r="BA231" s="320"/>
      <c r="BB231" s="320"/>
      <c r="BC231" s="320"/>
      <c r="BD231" s="320"/>
      <c r="BE231" s="320"/>
      <c r="BF231" s="320"/>
      <c r="BG231" s="320"/>
      <c r="BH231" s="320"/>
      <c r="BI231" s="320"/>
      <c r="BJ231" s="320"/>
      <c r="BK231" s="320"/>
      <c r="BL231" s="320"/>
      <c r="BM231" s="320"/>
      <c r="BN231" s="320"/>
      <c r="BO231" s="320"/>
      <c r="BP231" s="320"/>
      <c r="BQ231" s="320"/>
      <c r="BR231" s="320"/>
      <c r="BS231" s="320"/>
      <c r="BT231" s="320"/>
      <c r="BU231" s="320"/>
      <c r="BV231" s="320"/>
      <c r="BW231" s="320"/>
      <c r="BX231" s="303">
        <v>54.866008462623398</v>
      </c>
      <c r="BY231" s="303">
        <v>4.8764975402564303</v>
      </c>
      <c r="BZ231" s="320">
        <v>1.46</v>
      </c>
      <c r="CA231" s="303">
        <v>2.3255813953488191</v>
      </c>
    </row>
    <row r="232" spans="1:79">
      <c r="A232" s="58">
        <f t="shared" si="470"/>
        <v>1934</v>
      </c>
      <c r="B232" s="303">
        <f t="shared" si="466"/>
        <v>-7.8747628083491445</v>
      </c>
      <c r="C232" s="303"/>
      <c r="D232" s="303">
        <f t="shared" si="467"/>
        <v>-7.8747628083491445</v>
      </c>
      <c r="E232" s="303"/>
      <c r="F232" s="364"/>
      <c r="G232" s="303"/>
      <c r="H232" s="364"/>
      <c r="I232" s="364"/>
      <c r="J232" s="364"/>
      <c r="K232" s="364"/>
      <c r="L232" s="364"/>
      <c r="M232" s="364"/>
      <c r="N232" s="364"/>
      <c r="O232" s="364"/>
      <c r="P232" s="364"/>
      <c r="Q232" s="364"/>
      <c r="R232" s="364"/>
      <c r="S232" s="364"/>
      <c r="T232" s="364">
        <f t="shared" si="471"/>
        <v>4.7738253077377779</v>
      </c>
      <c r="U232" s="364">
        <f t="shared" si="471"/>
        <v>4.7738253077377779</v>
      </c>
      <c r="V232" s="364">
        <f t="shared" si="469"/>
        <v>1.01</v>
      </c>
      <c r="W232" s="320"/>
      <c r="X232" s="320"/>
      <c r="Y232" s="320"/>
      <c r="Z232" s="320"/>
      <c r="AA232" s="320"/>
      <c r="AB232" s="320"/>
      <c r="AC232" s="320"/>
      <c r="AD232" s="320"/>
      <c r="AE232" s="320"/>
      <c r="AF232" s="320"/>
      <c r="AG232" s="320"/>
      <c r="AH232" s="320"/>
      <c r="AI232" s="320"/>
      <c r="AJ232" s="320"/>
      <c r="AK232" s="320"/>
      <c r="AL232" s="320"/>
      <c r="AM232" s="320"/>
      <c r="AN232" s="320"/>
      <c r="AO232" s="320"/>
      <c r="AP232" s="320"/>
      <c r="AQ232" s="320"/>
      <c r="AR232" s="320"/>
      <c r="AS232" s="320"/>
      <c r="AT232" s="320"/>
      <c r="AU232" s="320"/>
      <c r="AV232" s="320"/>
      <c r="AW232" s="320"/>
      <c r="AX232" s="320"/>
      <c r="AY232" s="320"/>
      <c r="AZ232" s="320"/>
      <c r="BA232" s="320"/>
      <c r="BB232" s="320"/>
      <c r="BC232" s="320"/>
      <c r="BD232" s="320"/>
      <c r="BE232" s="320"/>
      <c r="BF232" s="320"/>
      <c r="BG232" s="320"/>
      <c r="BH232" s="320"/>
      <c r="BI232" s="320"/>
      <c r="BJ232" s="320"/>
      <c r="BK232" s="320"/>
      <c r="BL232" s="320"/>
      <c r="BM232" s="320"/>
      <c r="BN232" s="320"/>
      <c r="BO232" s="320"/>
      <c r="BP232" s="320"/>
      <c r="BQ232" s="320"/>
      <c r="BR232" s="320"/>
      <c r="BS232" s="320"/>
      <c r="BT232" s="320"/>
      <c r="BU232" s="320"/>
      <c r="BV232" s="320"/>
      <c r="BW232" s="320"/>
      <c r="BX232" s="303">
        <v>-7.8747628083491445</v>
      </c>
      <c r="BY232" s="303">
        <v>4.7738253077377779</v>
      </c>
      <c r="BZ232" s="320">
        <v>1.01</v>
      </c>
      <c r="CA232" s="303">
        <v>3.0303030303030276</v>
      </c>
    </row>
    <row r="233" spans="1:79">
      <c r="A233" s="58">
        <f t="shared" si="470"/>
        <v>1935</v>
      </c>
      <c r="B233" s="303">
        <f t="shared" si="466"/>
        <v>53.671706263498933</v>
      </c>
      <c r="C233" s="303"/>
      <c r="D233" s="303">
        <f t="shared" si="467"/>
        <v>53.671706263498933</v>
      </c>
      <c r="E233" s="303"/>
      <c r="F233" s="364"/>
      <c r="G233" s="303"/>
      <c r="H233" s="364"/>
      <c r="I233" s="364"/>
      <c r="J233" s="364"/>
      <c r="K233" s="364"/>
      <c r="L233" s="364"/>
      <c r="M233" s="364"/>
      <c r="N233" s="364"/>
      <c r="O233" s="364"/>
      <c r="P233" s="364"/>
      <c r="Q233" s="364"/>
      <c r="R233" s="364"/>
      <c r="S233" s="364"/>
      <c r="T233" s="364">
        <f t="shared" si="471"/>
        <v>3.4053550785107189</v>
      </c>
      <c r="U233" s="364">
        <f t="shared" si="471"/>
        <v>3.4053550785107189</v>
      </c>
      <c r="V233" s="364">
        <f t="shared" si="469"/>
        <v>0.75</v>
      </c>
      <c r="W233" s="320"/>
      <c r="X233" s="320"/>
      <c r="Y233" s="320"/>
      <c r="Z233" s="320"/>
      <c r="AA233" s="320"/>
      <c r="AB233" s="320"/>
      <c r="AC233" s="320"/>
      <c r="AD233" s="320"/>
      <c r="AE233" s="320"/>
      <c r="AF233" s="320"/>
      <c r="AG233" s="320"/>
      <c r="AH233" s="320"/>
      <c r="AI233" s="320"/>
      <c r="AJ233" s="320"/>
      <c r="AK233" s="320"/>
      <c r="AL233" s="320"/>
      <c r="AM233" s="320"/>
      <c r="AN233" s="320"/>
      <c r="AO233" s="320"/>
      <c r="AP233" s="320"/>
      <c r="AQ233" s="320"/>
      <c r="AR233" s="320"/>
      <c r="AS233" s="320"/>
      <c r="AT233" s="320"/>
      <c r="AU233" s="320"/>
      <c r="AV233" s="320"/>
      <c r="AW233" s="320"/>
      <c r="AX233" s="320"/>
      <c r="AY233" s="320"/>
      <c r="AZ233" s="320"/>
      <c r="BA233" s="320"/>
      <c r="BB233" s="320"/>
      <c r="BC233" s="320"/>
      <c r="BD233" s="320"/>
      <c r="BE233" s="320"/>
      <c r="BF233" s="320"/>
      <c r="BG233" s="320"/>
      <c r="BH233" s="320"/>
      <c r="BI233" s="320"/>
      <c r="BJ233" s="320"/>
      <c r="BK233" s="320"/>
      <c r="BL233" s="320"/>
      <c r="BM233" s="320"/>
      <c r="BN233" s="320"/>
      <c r="BO233" s="320"/>
      <c r="BP233" s="320"/>
      <c r="BQ233" s="320"/>
      <c r="BR233" s="320"/>
      <c r="BS233" s="320"/>
      <c r="BT233" s="320"/>
      <c r="BU233" s="320"/>
      <c r="BV233" s="320"/>
      <c r="BW233" s="320"/>
      <c r="BX233" s="303">
        <v>53.671706263498933</v>
      </c>
      <c r="BY233" s="303">
        <v>3.4053550785107189</v>
      </c>
      <c r="BZ233" s="320">
        <v>0.75</v>
      </c>
      <c r="CA233" s="303">
        <v>1.4705882352941346</v>
      </c>
    </row>
    <row r="234" spans="1:79">
      <c r="A234" s="58">
        <f t="shared" si="470"/>
        <v>1936</v>
      </c>
      <c r="B234" s="303">
        <f t="shared" ref="B234:B269" si="472">$BX234</f>
        <v>33.066860465116264</v>
      </c>
      <c r="C234" s="303"/>
      <c r="D234" s="303">
        <f t="shared" ref="D234:D269" si="473">$BX234</f>
        <v>33.066860465116264</v>
      </c>
      <c r="E234" s="303"/>
      <c r="F234" s="364"/>
      <c r="G234" s="303"/>
      <c r="H234" s="364"/>
      <c r="I234" s="364"/>
      <c r="J234" s="364"/>
      <c r="K234" s="364"/>
      <c r="L234" s="364"/>
      <c r="M234" s="364"/>
      <c r="N234" s="364"/>
      <c r="O234" s="364"/>
      <c r="P234" s="364"/>
      <c r="Q234" s="364"/>
      <c r="R234" s="364"/>
      <c r="S234" s="364"/>
      <c r="T234" s="364">
        <f t="shared" ref="T234:U269" si="474">$BY234</f>
        <v>2.5156638916143947</v>
      </c>
      <c r="U234" s="364">
        <f t="shared" si="474"/>
        <v>2.5156638916143947</v>
      </c>
      <c r="V234" s="364">
        <f t="shared" ref="V234:V269" si="475">$BZ234</f>
        <v>0.75</v>
      </c>
      <c r="W234" s="320"/>
      <c r="X234" s="320"/>
      <c r="Y234" s="320"/>
      <c r="Z234" s="320"/>
      <c r="AA234" s="320"/>
      <c r="AB234" s="320"/>
      <c r="AC234" s="320"/>
      <c r="AD234" s="320"/>
      <c r="AE234" s="320"/>
      <c r="AF234" s="320"/>
      <c r="AG234" s="320"/>
      <c r="AH234" s="320"/>
      <c r="AI234" s="320"/>
      <c r="AJ234" s="320"/>
      <c r="AK234" s="320"/>
      <c r="AL234" s="320"/>
      <c r="AM234" s="320"/>
      <c r="AN234" s="320"/>
      <c r="AO234" s="320"/>
      <c r="AP234" s="320"/>
      <c r="AQ234" s="320"/>
      <c r="AR234" s="320"/>
      <c r="AS234" s="320"/>
      <c r="AT234" s="320"/>
      <c r="AU234" s="320"/>
      <c r="AV234" s="320"/>
      <c r="AW234" s="320"/>
      <c r="AX234" s="320"/>
      <c r="AY234" s="320"/>
      <c r="AZ234" s="320"/>
      <c r="BA234" s="320"/>
      <c r="BB234" s="320"/>
      <c r="BC234" s="320"/>
      <c r="BD234" s="320"/>
      <c r="BE234" s="320"/>
      <c r="BF234" s="320"/>
      <c r="BG234" s="320"/>
      <c r="BH234" s="320"/>
      <c r="BI234" s="320"/>
      <c r="BJ234" s="320"/>
      <c r="BK234" s="320"/>
      <c r="BL234" s="320"/>
      <c r="BM234" s="320"/>
      <c r="BN234" s="320"/>
      <c r="BO234" s="320"/>
      <c r="BP234" s="320"/>
      <c r="BQ234" s="320"/>
      <c r="BR234" s="320"/>
      <c r="BS234" s="320"/>
      <c r="BT234" s="320"/>
      <c r="BU234" s="320"/>
      <c r="BV234" s="320"/>
      <c r="BW234" s="320"/>
      <c r="BX234" s="303">
        <v>33.066860465116264</v>
      </c>
      <c r="BY234" s="303">
        <v>2.5156638916143947</v>
      </c>
      <c r="BZ234" s="320">
        <v>0.75</v>
      </c>
      <c r="CA234" s="303">
        <v>2.1739130434782483</v>
      </c>
    </row>
    <row r="235" spans="1:79">
      <c r="A235" s="58">
        <f t="shared" ref="A235:A313" si="476">A234+1</f>
        <v>1937</v>
      </c>
      <c r="B235" s="303">
        <f t="shared" si="472"/>
        <v>-31.154064809550874</v>
      </c>
      <c r="C235" s="303"/>
      <c r="D235" s="303">
        <f t="shared" si="473"/>
        <v>-31.154064809550874</v>
      </c>
      <c r="E235" s="303"/>
      <c r="F235" s="364"/>
      <c r="G235" s="303"/>
      <c r="H235" s="364"/>
      <c r="I235" s="364"/>
      <c r="J235" s="364"/>
      <c r="K235" s="364"/>
      <c r="L235" s="364"/>
      <c r="M235" s="364"/>
      <c r="N235" s="364"/>
      <c r="O235" s="364"/>
      <c r="P235" s="364"/>
      <c r="Q235" s="364"/>
      <c r="R235" s="364"/>
      <c r="S235" s="364"/>
      <c r="T235" s="364">
        <f t="shared" si="474"/>
        <v>3.2050728992466304</v>
      </c>
      <c r="U235" s="364">
        <f t="shared" si="474"/>
        <v>3.2050728992466304</v>
      </c>
      <c r="V235" s="364">
        <f t="shared" si="475"/>
        <v>0.88</v>
      </c>
      <c r="W235" s="320"/>
      <c r="X235" s="320"/>
      <c r="Y235" s="320"/>
      <c r="Z235" s="320"/>
      <c r="AA235" s="320"/>
      <c r="AB235" s="320"/>
      <c r="AC235" s="320"/>
      <c r="AD235" s="320"/>
      <c r="AE235" s="320"/>
      <c r="AF235" s="320"/>
      <c r="AG235" s="320"/>
      <c r="AH235" s="320"/>
      <c r="AI235" s="320"/>
      <c r="AJ235" s="320"/>
      <c r="AK235" s="320"/>
      <c r="AL235" s="320"/>
      <c r="AM235" s="320"/>
      <c r="AN235" s="320"/>
      <c r="AO235" s="320"/>
      <c r="AP235" s="320"/>
      <c r="AQ235" s="320"/>
      <c r="AR235" s="320"/>
      <c r="AS235" s="320"/>
      <c r="AT235" s="320"/>
      <c r="AU235" s="320"/>
      <c r="AV235" s="320"/>
      <c r="AW235" s="320"/>
      <c r="AX235" s="320"/>
      <c r="AY235" s="320"/>
      <c r="AZ235" s="320"/>
      <c r="BA235" s="320"/>
      <c r="BB235" s="320"/>
      <c r="BC235" s="320"/>
      <c r="BD235" s="320"/>
      <c r="BE235" s="320"/>
      <c r="BF235" s="320"/>
      <c r="BG235" s="320"/>
      <c r="BH235" s="320"/>
      <c r="BI235" s="320"/>
      <c r="BJ235" s="320"/>
      <c r="BK235" s="320"/>
      <c r="BL235" s="320"/>
      <c r="BM235" s="320"/>
      <c r="BN235" s="320"/>
      <c r="BO235" s="320"/>
      <c r="BP235" s="320"/>
      <c r="BQ235" s="320"/>
      <c r="BR235" s="320"/>
      <c r="BS235" s="320"/>
      <c r="BT235" s="320"/>
      <c r="BU235" s="320"/>
      <c r="BV235" s="320"/>
      <c r="BW235" s="320"/>
      <c r="BX235" s="303">
        <v>-31.154064809550874</v>
      </c>
      <c r="BY235" s="303">
        <v>3.2050728992466304</v>
      </c>
      <c r="BZ235" s="320">
        <v>0.88</v>
      </c>
      <c r="CA235" s="303">
        <v>0.70921985815601829</v>
      </c>
    </row>
    <row r="236" spans="1:79">
      <c r="A236" s="58">
        <f t="shared" si="476"/>
        <v>1938</v>
      </c>
      <c r="B236" s="303">
        <f t="shared" si="472"/>
        <v>15.030946065428807</v>
      </c>
      <c r="C236" s="303"/>
      <c r="D236" s="303">
        <f t="shared" si="473"/>
        <v>15.030946065428807</v>
      </c>
      <c r="E236" s="303"/>
      <c r="F236" s="364"/>
      <c r="G236" s="303"/>
      <c r="H236" s="364"/>
      <c r="I236" s="364"/>
      <c r="J236" s="364"/>
      <c r="K236" s="364"/>
      <c r="L236" s="364"/>
      <c r="M236" s="364"/>
      <c r="N236" s="364"/>
      <c r="O236" s="364"/>
      <c r="P236" s="364"/>
      <c r="Q236" s="364"/>
      <c r="R236" s="364"/>
      <c r="S236" s="364"/>
      <c r="T236" s="364">
        <f t="shared" si="474"/>
        <v>3.9114492002548795</v>
      </c>
      <c r="U236" s="364">
        <f t="shared" si="474"/>
        <v>3.9114492002548795</v>
      </c>
      <c r="V236" s="364">
        <f t="shared" si="475"/>
        <v>0.88</v>
      </c>
      <c r="W236" s="320"/>
      <c r="X236" s="320"/>
      <c r="Y236" s="320"/>
      <c r="Z236" s="320"/>
      <c r="AA236" s="320"/>
      <c r="AB236" s="320"/>
      <c r="AC236" s="320"/>
      <c r="AD236" s="320"/>
      <c r="AE236" s="320"/>
      <c r="AF236" s="320"/>
      <c r="AG236" s="320"/>
      <c r="AH236" s="320"/>
      <c r="AI236" s="320"/>
      <c r="AJ236" s="320"/>
      <c r="AK236" s="320"/>
      <c r="AL236" s="320"/>
      <c r="AM236" s="320"/>
      <c r="AN236" s="320"/>
      <c r="AO236" s="320"/>
      <c r="AP236" s="320"/>
      <c r="AQ236" s="320"/>
      <c r="AR236" s="320"/>
      <c r="AS236" s="320"/>
      <c r="AT236" s="320"/>
      <c r="AU236" s="320"/>
      <c r="AV236" s="320"/>
      <c r="AW236" s="320"/>
      <c r="AX236" s="320"/>
      <c r="AY236" s="320"/>
      <c r="AZ236" s="320"/>
      <c r="BA236" s="320"/>
      <c r="BB236" s="320"/>
      <c r="BC236" s="320"/>
      <c r="BD236" s="320"/>
      <c r="BE236" s="320"/>
      <c r="BF236" s="320"/>
      <c r="BG236" s="320"/>
      <c r="BH236" s="320"/>
      <c r="BI236" s="320"/>
      <c r="BJ236" s="320"/>
      <c r="BK236" s="320"/>
      <c r="BL236" s="320"/>
      <c r="BM236" s="320"/>
      <c r="BN236" s="320"/>
      <c r="BO236" s="320"/>
      <c r="BP236" s="320"/>
      <c r="BQ236" s="320"/>
      <c r="BR236" s="320"/>
      <c r="BS236" s="320"/>
      <c r="BT236" s="320"/>
      <c r="BU236" s="320"/>
      <c r="BV236" s="320"/>
      <c r="BW236" s="320"/>
      <c r="BX236" s="303">
        <v>15.030946065428807</v>
      </c>
      <c r="BY236" s="303">
        <v>3.9114492002548795</v>
      </c>
      <c r="BZ236" s="320">
        <v>0.88</v>
      </c>
      <c r="CA236" s="303">
        <v>-1.4084507042253502</v>
      </c>
    </row>
    <row r="237" spans="1:79">
      <c r="A237" s="58">
        <f t="shared" si="476"/>
        <v>1939</v>
      </c>
      <c r="B237" s="303">
        <f t="shared" si="472"/>
        <v>3.3600000000000074</v>
      </c>
      <c r="C237" s="303"/>
      <c r="D237" s="303">
        <f t="shared" si="473"/>
        <v>3.3600000000000074</v>
      </c>
      <c r="E237" s="303"/>
      <c r="F237" s="364"/>
      <c r="G237" s="303"/>
      <c r="H237" s="364"/>
      <c r="I237" s="364"/>
      <c r="J237" s="364"/>
      <c r="K237" s="364"/>
      <c r="L237" s="364"/>
      <c r="M237" s="364"/>
      <c r="N237" s="364"/>
      <c r="O237" s="364"/>
      <c r="P237" s="364"/>
      <c r="Q237" s="364"/>
      <c r="R237" s="364"/>
      <c r="S237" s="364"/>
      <c r="T237" s="364">
        <f t="shared" si="474"/>
        <v>2.9634201825330386</v>
      </c>
      <c r="U237" s="364">
        <f t="shared" si="474"/>
        <v>2.9634201825330386</v>
      </c>
      <c r="V237" s="364">
        <f t="shared" si="475"/>
        <v>0.56000000000000005</v>
      </c>
      <c r="W237" s="320"/>
      <c r="X237" s="320"/>
      <c r="Y237" s="320"/>
      <c r="Z237" s="320"/>
      <c r="AA237" s="320"/>
      <c r="AB237" s="320"/>
      <c r="AC237" s="320"/>
      <c r="AD237" s="320"/>
      <c r="AE237" s="320"/>
      <c r="AF237" s="320"/>
      <c r="AG237" s="320"/>
      <c r="AH237" s="320"/>
      <c r="AI237" s="320"/>
      <c r="AJ237" s="320"/>
      <c r="AK237" s="320"/>
      <c r="AL237" s="320"/>
      <c r="AM237" s="320"/>
      <c r="AN237" s="320"/>
      <c r="AO237" s="320"/>
      <c r="AP237" s="320"/>
      <c r="AQ237" s="320"/>
      <c r="AR237" s="320"/>
      <c r="AS237" s="320"/>
      <c r="AT237" s="320"/>
      <c r="AU237" s="320"/>
      <c r="AV237" s="320"/>
      <c r="AW237" s="320"/>
      <c r="AX237" s="320"/>
      <c r="AY237" s="320"/>
      <c r="AZ237" s="320"/>
      <c r="BA237" s="320"/>
      <c r="BB237" s="320"/>
      <c r="BC237" s="320"/>
      <c r="BD237" s="320"/>
      <c r="BE237" s="320"/>
      <c r="BF237" s="320"/>
      <c r="BG237" s="320"/>
      <c r="BH237" s="320"/>
      <c r="BI237" s="320"/>
      <c r="BJ237" s="320"/>
      <c r="BK237" s="320"/>
      <c r="BL237" s="320"/>
      <c r="BM237" s="320"/>
      <c r="BN237" s="320"/>
      <c r="BO237" s="320"/>
      <c r="BP237" s="320"/>
      <c r="BQ237" s="320"/>
      <c r="BR237" s="320"/>
      <c r="BS237" s="320"/>
      <c r="BT237" s="320"/>
      <c r="BU237" s="320"/>
      <c r="BV237" s="320"/>
      <c r="BW237" s="320"/>
      <c r="BX237" s="303">
        <v>3.3600000000000074</v>
      </c>
      <c r="BY237" s="303">
        <v>2.9634201825330386</v>
      </c>
      <c r="BZ237" s="320">
        <v>0.56000000000000005</v>
      </c>
      <c r="CA237" s="303">
        <v>-0.71428571428571175</v>
      </c>
    </row>
    <row r="238" spans="1:79">
      <c r="A238" s="58">
        <f t="shared" si="476"/>
        <v>1940</v>
      </c>
      <c r="B238" s="303">
        <f t="shared" si="472"/>
        <v>-8.7804878048780459</v>
      </c>
      <c r="C238" s="303"/>
      <c r="D238" s="303">
        <f t="shared" si="473"/>
        <v>-8.7804878048780459</v>
      </c>
      <c r="E238" s="303"/>
      <c r="F238" s="364"/>
      <c r="G238" s="303"/>
      <c r="H238" s="364"/>
      <c r="I238" s="364"/>
      <c r="J238" s="364"/>
      <c r="K238" s="364"/>
      <c r="L238" s="364"/>
      <c r="M238" s="364"/>
      <c r="N238" s="364"/>
      <c r="O238" s="364"/>
      <c r="P238" s="364"/>
      <c r="Q238" s="364"/>
      <c r="R238" s="364"/>
      <c r="S238" s="364"/>
      <c r="T238" s="364">
        <f t="shared" si="474"/>
        <v>3.1815900006352038</v>
      </c>
      <c r="U238" s="364">
        <f t="shared" si="474"/>
        <v>3.1815900006352038</v>
      </c>
      <c r="V238" s="364">
        <f t="shared" si="475"/>
        <v>0.56000000000000005</v>
      </c>
      <c r="W238" s="320"/>
      <c r="X238" s="320"/>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320"/>
      <c r="BS238" s="320"/>
      <c r="BT238" s="320"/>
      <c r="BU238" s="320"/>
      <c r="BV238" s="320"/>
      <c r="BW238" s="320"/>
      <c r="BX238" s="303">
        <v>-8.7804878048780459</v>
      </c>
      <c r="BY238" s="303">
        <v>3.1815900006352038</v>
      </c>
      <c r="BZ238" s="320">
        <v>0.56000000000000005</v>
      </c>
      <c r="CA238" s="303">
        <v>1.4388489208633004</v>
      </c>
    </row>
    <row r="239" spans="1:79">
      <c r="A239" s="58">
        <f t="shared" si="476"/>
        <v>1941</v>
      </c>
      <c r="B239" s="303">
        <f t="shared" si="472"/>
        <v>-8.6255924170616112</v>
      </c>
      <c r="C239" s="303"/>
      <c r="D239" s="303">
        <f t="shared" si="473"/>
        <v>-8.6255924170616112</v>
      </c>
      <c r="E239" s="303"/>
      <c r="F239" s="364"/>
      <c r="G239" s="303"/>
      <c r="H239" s="364"/>
      <c r="I239" s="364"/>
      <c r="J239" s="364"/>
      <c r="K239" s="364"/>
      <c r="L239" s="364"/>
      <c r="M239" s="364"/>
      <c r="N239" s="364"/>
      <c r="O239" s="364"/>
      <c r="P239" s="364"/>
      <c r="Q239" s="364"/>
      <c r="R239" s="364"/>
      <c r="S239" s="364"/>
      <c r="T239" s="364">
        <f t="shared" si="474"/>
        <v>0.46151377239476155</v>
      </c>
      <c r="U239" s="364">
        <f t="shared" si="474"/>
        <v>0.46151377239476155</v>
      </c>
      <c r="V239" s="364">
        <f t="shared" si="475"/>
        <v>0.53</v>
      </c>
      <c r="W239" s="320"/>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320"/>
      <c r="BS239" s="320"/>
      <c r="BT239" s="320"/>
      <c r="BU239" s="320"/>
      <c r="BV239" s="320"/>
      <c r="BW239" s="320"/>
      <c r="BX239" s="303">
        <v>-8.6255924170616112</v>
      </c>
      <c r="BY239" s="303">
        <v>0.46151377239476155</v>
      </c>
      <c r="BZ239" s="320">
        <v>0.53</v>
      </c>
      <c r="CA239" s="303">
        <v>11.347517730496449</v>
      </c>
    </row>
    <row r="240" spans="1:79">
      <c r="A240" s="58">
        <f t="shared" si="476"/>
        <v>1942</v>
      </c>
      <c r="B240" s="303">
        <f t="shared" si="472"/>
        <v>19.596864501679722</v>
      </c>
      <c r="C240" s="303"/>
      <c r="D240" s="303">
        <f t="shared" si="473"/>
        <v>19.596864501679722</v>
      </c>
      <c r="E240" s="303"/>
      <c r="F240" s="364"/>
      <c r="G240" s="303"/>
      <c r="H240" s="364"/>
      <c r="I240" s="364"/>
      <c r="J240" s="364"/>
      <c r="K240" s="364"/>
      <c r="L240" s="364"/>
      <c r="M240" s="364"/>
      <c r="N240" s="364"/>
      <c r="O240" s="364"/>
      <c r="P240" s="364"/>
      <c r="Q240" s="364"/>
      <c r="R240" s="364"/>
      <c r="S240" s="364"/>
      <c r="T240" s="364">
        <f t="shared" si="474"/>
        <v>2.4939981513133924</v>
      </c>
      <c r="U240" s="364">
        <f t="shared" si="474"/>
        <v>2.4939981513133924</v>
      </c>
      <c r="V240" s="364">
        <f t="shared" si="475"/>
        <v>0.63</v>
      </c>
      <c r="W240" s="320"/>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320"/>
      <c r="BS240" s="320"/>
      <c r="BT240" s="320"/>
      <c r="BU240" s="320"/>
      <c r="BV240" s="320"/>
      <c r="BW240" s="320"/>
      <c r="BX240" s="303">
        <v>19.596864501679722</v>
      </c>
      <c r="BY240" s="303">
        <v>2.4939981513133924</v>
      </c>
      <c r="BZ240" s="320">
        <v>0.63</v>
      </c>
      <c r="CA240" s="303">
        <v>7.6433121019108263</v>
      </c>
    </row>
    <row r="241" spans="1:79">
      <c r="A241" s="58">
        <f t="shared" si="476"/>
        <v>1943</v>
      </c>
      <c r="B241" s="303">
        <f t="shared" si="472"/>
        <v>23.488602576808717</v>
      </c>
      <c r="C241" s="303"/>
      <c r="D241" s="303">
        <f t="shared" si="473"/>
        <v>23.488602576808717</v>
      </c>
      <c r="E241" s="303"/>
      <c r="F241" s="364"/>
      <c r="G241" s="303"/>
      <c r="H241" s="364"/>
      <c r="I241" s="364"/>
      <c r="J241" s="364"/>
      <c r="K241" s="364"/>
      <c r="L241" s="364"/>
      <c r="M241" s="364"/>
      <c r="N241" s="364"/>
      <c r="O241" s="364"/>
      <c r="P241" s="364"/>
      <c r="Q241" s="364"/>
      <c r="R241" s="364"/>
      <c r="S241" s="364"/>
      <c r="T241" s="364">
        <f t="shared" si="474"/>
        <v>2.5616476746373351</v>
      </c>
      <c r="U241" s="364">
        <f t="shared" si="474"/>
        <v>2.5616476746373351</v>
      </c>
      <c r="V241" s="364">
        <f t="shared" si="475"/>
        <v>0.69</v>
      </c>
      <c r="W241" s="320"/>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320"/>
      <c r="BS241" s="320"/>
      <c r="BT241" s="320"/>
      <c r="BU241" s="320"/>
      <c r="BV241" s="320"/>
      <c r="BW241" s="320"/>
      <c r="BX241" s="303">
        <v>23.488602576808717</v>
      </c>
      <c r="BY241" s="303">
        <v>2.5616476746373351</v>
      </c>
      <c r="BZ241" s="320">
        <v>0.69</v>
      </c>
      <c r="CA241" s="303">
        <v>2.9585798816567976</v>
      </c>
    </row>
    <row r="242" spans="1:79">
      <c r="A242" s="58">
        <f t="shared" si="476"/>
        <v>1944</v>
      </c>
      <c r="B242" s="303">
        <f t="shared" si="472"/>
        <v>19.240506329113938</v>
      </c>
      <c r="C242" s="303"/>
      <c r="D242" s="303">
        <f t="shared" si="473"/>
        <v>19.240506329113938</v>
      </c>
      <c r="E242" s="303"/>
      <c r="F242" s="364"/>
      <c r="G242" s="303"/>
      <c r="H242" s="364"/>
      <c r="I242" s="364"/>
      <c r="J242" s="364"/>
      <c r="K242" s="364"/>
      <c r="L242" s="364"/>
      <c r="M242" s="364"/>
      <c r="N242" s="364"/>
      <c r="O242" s="364"/>
      <c r="P242" s="364"/>
      <c r="Q242" s="364"/>
      <c r="R242" s="364"/>
      <c r="S242" s="364"/>
      <c r="T242" s="364">
        <f t="shared" si="474"/>
        <v>2.9174783190190956</v>
      </c>
      <c r="U242" s="364">
        <f t="shared" si="474"/>
        <v>2.9174783190190956</v>
      </c>
      <c r="V242" s="364">
        <f t="shared" si="475"/>
        <v>0.72</v>
      </c>
      <c r="W242" s="320"/>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320"/>
      <c r="BS242" s="320"/>
      <c r="BT242" s="320"/>
      <c r="BU242" s="320"/>
      <c r="BV242" s="320"/>
      <c r="BW242" s="320"/>
      <c r="BX242" s="303">
        <v>19.240506329113938</v>
      </c>
      <c r="BY242" s="303">
        <v>2.9174783190190956</v>
      </c>
      <c r="BZ242" s="320">
        <v>0.72</v>
      </c>
      <c r="CA242" s="303">
        <v>2.2988505747126631</v>
      </c>
    </row>
    <row r="243" spans="1:79">
      <c r="A243" s="58">
        <f t="shared" si="476"/>
        <v>1945</v>
      </c>
      <c r="B243" s="303">
        <f t="shared" si="472"/>
        <v>38.472942920681973</v>
      </c>
      <c r="C243" s="303"/>
      <c r="D243" s="303">
        <f t="shared" si="473"/>
        <v>38.472942920681973</v>
      </c>
      <c r="E243" s="303"/>
      <c r="F243" s="364"/>
      <c r="G243" s="303"/>
      <c r="H243" s="364"/>
      <c r="I243" s="364"/>
      <c r="J243" s="364"/>
      <c r="K243" s="364"/>
      <c r="L243" s="364"/>
      <c r="M243" s="364"/>
      <c r="N243" s="364"/>
      <c r="O243" s="364"/>
      <c r="P243" s="364"/>
      <c r="Q243" s="364"/>
      <c r="R243" s="364"/>
      <c r="S243" s="364"/>
      <c r="T243" s="364">
        <f t="shared" si="474"/>
        <v>3.0363231335509111</v>
      </c>
      <c r="U243" s="364">
        <f t="shared" si="474"/>
        <v>3.0363231335509111</v>
      </c>
      <c r="V243" s="364">
        <f t="shared" si="475"/>
        <v>0.75</v>
      </c>
      <c r="W243" s="320"/>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320"/>
      <c r="BS243" s="320"/>
      <c r="BT243" s="320"/>
      <c r="BU243" s="320"/>
      <c r="BV243" s="320"/>
      <c r="BW243" s="320"/>
      <c r="BX243" s="303">
        <v>38.472942920681973</v>
      </c>
      <c r="BY243" s="303">
        <v>3.0363231335509111</v>
      </c>
      <c r="BZ243" s="320">
        <v>0.75</v>
      </c>
      <c r="CA243" s="303">
        <v>2.2471910112359383</v>
      </c>
    </row>
    <row r="244" spans="1:79">
      <c r="A244" s="58">
        <f t="shared" si="476"/>
        <v>1946</v>
      </c>
      <c r="B244" s="303">
        <f t="shared" si="472"/>
        <v>-11.65371809100998</v>
      </c>
      <c r="C244" s="303"/>
      <c r="D244" s="303">
        <f t="shared" si="473"/>
        <v>-11.65371809100998</v>
      </c>
      <c r="E244" s="303"/>
      <c r="F244" s="364"/>
      <c r="G244" s="303"/>
      <c r="H244" s="364"/>
      <c r="I244" s="364"/>
      <c r="J244" s="364"/>
      <c r="K244" s="364"/>
      <c r="L244" s="364"/>
      <c r="M244" s="364"/>
      <c r="N244" s="364"/>
      <c r="O244" s="364"/>
      <c r="P244" s="364"/>
      <c r="Q244" s="364"/>
      <c r="R244" s="364"/>
      <c r="S244" s="364"/>
      <c r="T244" s="364">
        <f t="shared" si="474"/>
        <v>1.686157072045158</v>
      </c>
      <c r="U244" s="364">
        <f t="shared" si="474"/>
        <v>1.686157072045158</v>
      </c>
      <c r="V244" s="364">
        <f t="shared" si="475"/>
        <v>0.76</v>
      </c>
      <c r="W244" s="320"/>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320"/>
      <c r="BS244" s="320"/>
      <c r="BT244" s="320"/>
      <c r="BU244" s="320"/>
      <c r="BV244" s="320"/>
      <c r="BW244" s="320"/>
      <c r="BX244" s="303">
        <v>-11.65371809100998</v>
      </c>
      <c r="BY244" s="303">
        <v>1.686157072045158</v>
      </c>
      <c r="BZ244" s="320">
        <v>0.76</v>
      </c>
      <c r="CA244" s="303">
        <v>18.131868131868135</v>
      </c>
    </row>
    <row r="245" spans="1:79">
      <c r="A245" s="58">
        <f t="shared" si="476"/>
        <v>1947</v>
      </c>
      <c r="B245" s="303">
        <f t="shared" si="472"/>
        <v>3.024326101249164</v>
      </c>
      <c r="C245" s="303"/>
      <c r="D245" s="303">
        <f t="shared" si="473"/>
        <v>3.024326101249164</v>
      </c>
      <c r="E245" s="303"/>
      <c r="F245" s="364"/>
      <c r="G245" s="303"/>
      <c r="H245" s="364"/>
      <c r="I245" s="364"/>
      <c r="J245" s="364"/>
      <c r="K245" s="364"/>
      <c r="L245" s="364"/>
      <c r="M245" s="364"/>
      <c r="N245" s="364"/>
      <c r="O245" s="364"/>
      <c r="P245" s="364"/>
      <c r="Q245" s="364"/>
      <c r="R245" s="364"/>
      <c r="S245" s="364"/>
      <c r="T245" s="364">
        <f t="shared" si="474"/>
        <v>1.1856853101198661</v>
      </c>
      <c r="U245" s="364">
        <f t="shared" si="474"/>
        <v>1.1856853101198661</v>
      </c>
      <c r="V245" s="364">
        <f t="shared" si="475"/>
        <v>1.01</v>
      </c>
      <c r="W245" s="320"/>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320"/>
      <c r="BS245" s="320"/>
      <c r="BT245" s="320"/>
      <c r="BU245" s="320"/>
      <c r="BV245" s="320"/>
      <c r="BW245" s="320"/>
      <c r="BX245" s="303">
        <v>3.024326101249164</v>
      </c>
      <c r="BY245" s="303">
        <v>1.1856853101198661</v>
      </c>
      <c r="BZ245" s="320">
        <v>1.01</v>
      </c>
      <c r="CA245" s="303">
        <v>10.232558139534875</v>
      </c>
    </row>
    <row r="246" spans="1:79">
      <c r="A246" s="58">
        <f t="shared" si="476"/>
        <v>1948</v>
      </c>
      <c r="B246" s="303">
        <f t="shared" si="472"/>
        <v>9.8449089683074753</v>
      </c>
      <c r="C246" s="303"/>
      <c r="D246" s="303">
        <f t="shared" si="473"/>
        <v>9.8449089683074753</v>
      </c>
      <c r="E246" s="303"/>
      <c r="F246" s="364"/>
      <c r="G246" s="303"/>
      <c r="H246" s="364"/>
      <c r="I246" s="364"/>
      <c r="J246" s="364"/>
      <c r="K246" s="364"/>
      <c r="L246" s="364"/>
      <c r="M246" s="364"/>
      <c r="N246" s="364"/>
      <c r="O246" s="364"/>
      <c r="P246" s="364"/>
      <c r="Q246" s="364"/>
      <c r="R246" s="364"/>
      <c r="S246" s="364"/>
      <c r="T246" s="364">
        <f t="shared" si="474"/>
        <v>2.470990003385598</v>
      </c>
      <c r="U246" s="364">
        <f t="shared" si="474"/>
        <v>2.470990003385598</v>
      </c>
      <c r="V246" s="364">
        <f t="shared" si="475"/>
        <v>1.35</v>
      </c>
      <c r="W246" s="320"/>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320"/>
      <c r="BS246" s="320"/>
      <c r="BT246" s="320"/>
      <c r="BU246" s="320"/>
      <c r="BV246" s="320"/>
      <c r="BW246" s="320"/>
      <c r="BX246" s="303">
        <v>9.8449089683074753</v>
      </c>
      <c r="BY246" s="303">
        <v>2.470990003385598</v>
      </c>
      <c r="BZ246" s="320">
        <v>1.35</v>
      </c>
      <c r="CA246" s="303">
        <v>1.2658227848101333</v>
      </c>
    </row>
    <row r="247" spans="1:79">
      <c r="A247" s="58">
        <f t="shared" si="476"/>
        <v>1949</v>
      </c>
      <c r="B247" s="303">
        <f t="shared" si="472"/>
        <v>17.317708333333325</v>
      </c>
      <c r="C247" s="303"/>
      <c r="D247" s="303">
        <f t="shared" si="473"/>
        <v>17.317708333333325</v>
      </c>
      <c r="E247" s="303"/>
      <c r="F247" s="364"/>
      <c r="G247" s="303"/>
      <c r="H247" s="364"/>
      <c r="I247" s="364"/>
      <c r="J247" s="364"/>
      <c r="K247" s="364"/>
      <c r="L247" s="364"/>
      <c r="M247" s="364"/>
      <c r="N247" s="364"/>
      <c r="O247" s="364"/>
      <c r="P247" s="364"/>
      <c r="Q247" s="364"/>
      <c r="R247" s="364"/>
      <c r="S247" s="364"/>
      <c r="T247" s="364">
        <f t="shared" si="474"/>
        <v>2.8517228344570489</v>
      </c>
      <c r="U247" s="364">
        <f t="shared" si="474"/>
        <v>2.8517228344570489</v>
      </c>
      <c r="V247" s="364">
        <f t="shared" si="475"/>
        <v>1.58</v>
      </c>
      <c r="W247" s="320"/>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320"/>
      <c r="BS247" s="320"/>
      <c r="BT247" s="320"/>
      <c r="BU247" s="320"/>
      <c r="BV247" s="320"/>
      <c r="BW247" s="320"/>
      <c r="BX247" s="303">
        <v>17.317708333333325</v>
      </c>
      <c r="BY247" s="303">
        <v>2.8517228344570489</v>
      </c>
      <c r="BZ247" s="320">
        <v>1.58</v>
      </c>
      <c r="CA247" s="303">
        <v>-2.083333333333337</v>
      </c>
    </row>
    <row r="248" spans="1:79">
      <c r="A248" s="58">
        <f t="shared" si="476"/>
        <v>1950</v>
      </c>
      <c r="B248" s="303">
        <f t="shared" si="472"/>
        <v>34.360189573459721</v>
      </c>
      <c r="C248" s="303"/>
      <c r="D248" s="303">
        <f t="shared" si="473"/>
        <v>34.360189573459721</v>
      </c>
      <c r="E248" s="303"/>
      <c r="F248" s="364"/>
      <c r="G248" s="303"/>
      <c r="H248" s="364"/>
      <c r="I248" s="364"/>
      <c r="J248" s="364"/>
      <c r="K248" s="364"/>
      <c r="L248" s="364"/>
      <c r="M248" s="364"/>
      <c r="N248" s="364"/>
      <c r="O248" s="364"/>
      <c r="P248" s="364"/>
      <c r="Q248" s="364"/>
      <c r="R248" s="364"/>
      <c r="S248" s="364"/>
      <c r="T248" s="364">
        <f t="shared" si="474"/>
        <v>0.20762105894167604</v>
      </c>
      <c r="U248" s="364">
        <f t="shared" si="474"/>
        <v>0.20762105894167604</v>
      </c>
      <c r="V248" s="364">
        <f t="shared" si="475"/>
        <v>1.32</v>
      </c>
      <c r="W248" s="320"/>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320"/>
      <c r="BS248" s="320"/>
      <c r="BT248" s="320"/>
      <c r="BU248" s="320"/>
      <c r="BV248" s="320"/>
      <c r="BW248" s="320"/>
      <c r="BX248" s="303">
        <v>34.360189573459721</v>
      </c>
      <c r="BY248" s="303">
        <v>0.20762105894167604</v>
      </c>
      <c r="BZ248" s="320">
        <v>1.32</v>
      </c>
      <c r="CA248" s="303">
        <v>8.085106382978724</v>
      </c>
    </row>
    <row r="249" spans="1:79">
      <c r="A249" s="58">
        <f t="shared" si="476"/>
        <v>1951</v>
      </c>
      <c r="B249" s="303">
        <f t="shared" si="472"/>
        <v>20.697784064120704</v>
      </c>
      <c r="C249" s="303"/>
      <c r="D249" s="303">
        <f t="shared" si="473"/>
        <v>20.697784064120704</v>
      </c>
      <c r="E249" s="303"/>
      <c r="F249" s="364"/>
      <c r="G249" s="303"/>
      <c r="H249" s="364"/>
      <c r="I249" s="364"/>
      <c r="J249" s="364"/>
      <c r="K249" s="364"/>
      <c r="L249" s="364"/>
      <c r="M249" s="364"/>
      <c r="N249" s="364"/>
      <c r="O249" s="364"/>
      <c r="P249" s="364"/>
      <c r="Q249" s="364"/>
      <c r="R249" s="364"/>
      <c r="S249" s="364"/>
      <c r="T249" s="364">
        <f t="shared" si="474"/>
        <v>1.7935816563294127</v>
      </c>
      <c r="U249" s="364">
        <f t="shared" si="474"/>
        <v>1.7935816563294127</v>
      </c>
      <c r="V249" s="364">
        <f t="shared" si="475"/>
        <v>2.12</v>
      </c>
      <c r="W249" s="320"/>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320"/>
      <c r="BS249" s="320"/>
      <c r="BT249" s="320"/>
      <c r="BU249" s="320"/>
      <c r="BV249" s="320"/>
      <c r="BW249" s="320"/>
      <c r="BX249" s="303">
        <v>20.697784064120704</v>
      </c>
      <c r="BY249" s="303">
        <v>1.7935816563294127</v>
      </c>
      <c r="BZ249" s="320">
        <v>2.12</v>
      </c>
      <c r="CA249" s="303">
        <v>4.3307086614173373</v>
      </c>
    </row>
    <row r="250" spans="1:79">
      <c r="A250" s="58">
        <f t="shared" si="476"/>
        <v>1952</v>
      </c>
      <c r="B250" s="303">
        <f t="shared" si="472"/>
        <v>14.055394791236031</v>
      </c>
      <c r="C250" s="303"/>
      <c r="D250" s="303">
        <f t="shared" si="473"/>
        <v>14.055394791236031</v>
      </c>
      <c r="E250" s="303"/>
      <c r="F250" s="364"/>
      <c r="G250" s="303"/>
      <c r="H250" s="364"/>
      <c r="I250" s="364"/>
      <c r="J250" s="364"/>
      <c r="K250" s="364"/>
      <c r="L250" s="364"/>
      <c r="M250" s="364"/>
      <c r="N250" s="364"/>
      <c r="O250" s="364"/>
      <c r="P250" s="364"/>
      <c r="Q250" s="364"/>
      <c r="R250" s="364"/>
      <c r="S250" s="364"/>
      <c r="T250" s="364">
        <f t="shared" si="474"/>
        <v>1.9284051579854244</v>
      </c>
      <c r="U250" s="364">
        <f t="shared" si="474"/>
        <v>1.9284051579854244</v>
      </c>
      <c r="V250" s="364">
        <f t="shared" si="475"/>
        <v>2.39</v>
      </c>
      <c r="W250" s="320"/>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320"/>
      <c r="BS250" s="320"/>
      <c r="BT250" s="320"/>
      <c r="BU250" s="320"/>
      <c r="BV250" s="320"/>
      <c r="BW250" s="320"/>
      <c r="BX250" s="303">
        <v>14.055394791236031</v>
      </c>
      <c r="BY250" s="303">
        <v>1.9284051579854244</v>
      </c>
      <c r="BZ250" s="320">
        <v>2.39</v>
      </c>
      <c r="CA250" s="303">
        <v>0.37735849056603765</v>
      </c>
    </row>
    <row r="251" spans="1:79">
      <c r="A251" s="58">
        <f t="shared" si="476"/>
        <v>1953</v>
      </c>
      <c r="B251" s="303">
        <f t="shared" si="472"/>
        <v>2.7883880825057217</v>
      </c>
      <c r="C251" s="303"/>
      <c r="D251" s="303">
        <f t="shared" si="473"/>
        <v>2.7883880825057217</v>
      </c>
      <c r="E251" s="303"/>
      <c r="F251" s="364"/>
      <c r="G251" s="303"/>
      <c r="H251" s="364"/>
      <c r="I251" s="364"/>
      <c r="J251" s="364"/>
      <c r="K251" s="364"/>
      <c r="L251" s="364"/>
      <c r="M251" s="364"/>
      <c r="N251" s="364"/>
      <c r="O251" s="364"/>
      <c r="P251" s="364"/>
      <c r="Q251" s="364"/>
      <c r="R251" s="364"/>
      <c r="S251" s="364"/>
      <c r="T251" s="364">
        <f t="shared" si="474"/>
        <v>5.3210319363062863</v>
      </c>
      <c r="U251" s="364">
        <f t="shared" si="474"/>
        <v>5.3210319363062863</v>
      </c>
      <c r="V251" s="364">
        <f t="shared" si="475"/>
        <v>2.58</v>
      </c>
      <c r="W251" s="320"/>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320"/>
      <c r="BS251" s="320"/>
      <c r="BT251" s="320"/>
      <c r="BU251" s="320"/>
      <c r="BV251" s="320"/>
      <c r="BW251" s="320"/>
      <c r="BX251" s="303">
        <v>2.7883880825057217</v>
      </c>
      <c r="BY251" s="303">
        <v>5.3210319363062863</v>
      </c>
      <c r="BZ251" s="320">
        <v>2.58</v>
      </c>
      <c r="CA251" s="303">
        <v>1.1278195488721776</v>
      </c>
    </row>
    <row r="252" spans="1:79">
      <c r="A252" s="58">
        <f t="shared" si="476"/>
        <v>1954</v>
      </c>
      <c r="B252" s="303">
        <f t="shared" si="472"/>
        <v>45.875883739198727</v>
      </c>
      <c r="C252" s="303"/>
      <c r="D252" s="303">
        <f t="shared" si="473"/>
        <v>45.875883739198727</v>
      </c>
      <c r="E252" s="303"/>
      <c r="F252" s="364"/>
      <c r="G252" s="303"/>
      <c r="H252" s="364"/>
      <c r="I252" s="364"/>
      <c r="J252" s="364"/>
      <c r="K252" s="364"/>
      <c r="L252" s="364"/>
      <c r="M252" s="364"/>
      <c r="N252" s="364"/>
      <c r="O252" s="364"/>
      <c r="P252" s="364"/>
      <c r="Q252" s="364"/>
      <c r="R252" s="364"/>
      <c r="S252" s="364"/>
      <c r="T252" s="364">
        <f t="shared" si="474"/>
        <v>1.9765603450184299</v>
      </c>
      <c r="U252" s="364">
        <f t="shared" si="474"/>
        <v>1.9765603450184299</v>
      </c>
      <c r="V252" s="364">
        <f t="shared" si="475"/>
        <v>1.41</v>
      </c>
      <c r="W252" s="320"/>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320"/>
      <c r="BS252" s="320"/>
      <c r="BT252" s="320"/>
      <c r="BU252" s="320"/>
      <c r="BV252" s="320"/>
      <c r="BW252" s="320"/>
      <c r="BX252" s="303">
        <v>45.875883739198727</v>
      </c>
      <c r="BY252" s="303">
        <v>1.9765603450184299</v>
      </c>
      <c r="BZ252" s="423">
        <v>1.41</v>
      </c>
      <c r="CA252" s="303">
        <v>-0.74349442379182396</v>
      </c>
    </row>
    <row r="253" spans="1:79">
      <c r="A253" s="58">
        <f t="shared" si="476"/>
        <v>1955</v>
      </c>
      <c r="B253" s="303">
        <f t="shared" si="472"/>
        <v>28.623595505617971</v>
      </c>
      <c r="C253" s="303"/>
      <c r="D253" s="303">
        <f t="shared" si="473"/>
        <v>28.623595505617971</v>
      </c>
      <c r="E253" s="303"/>
      <c r="F253" s="364"/>
      <c r="G253" s="303"/>
      <c r="H253" s="364"/>
      <c r="I253" s="364"/>
      <c r="J253" s="364"/>
      <c r="K253" s="364"/>
      <c r="L253" s="364"/>
      <c r="M253" s="364"/>
      <c r="N253" s="364"/>
      <c r="O253" s="364"/>
      <c r="P253" s="364"/>
      <c r="Q253" s="364"/>
      <c r="R253" s="364"/>
      <c r="S253" s="364"/>
      <c r="T253" s="364">
        <f t="shared" si="474"/>
        <v>0.40300649755529161</v>
      </c>
      <c r="U253" s="364">
        <f t="shared" si="474"/>
        <v>0.40300649755529161</v>
      </c>
      <c r="V253" s="364">
        <f t="shared" si="475"/>
        <v>1.39</v>
      </c>
      <c r="W253" s="320"/>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320"/>
      <c r="BS253" s="320"/>
      <c r="BT253" s="320"/>
      <c r="BU253" s="320"/>
      <c r="BV253" s="320"/>
      <c r="BW253" s="320"/>
      <c r="BX253" s="303">
        <v>28.623595505617971</v>
      </c>
      <c r="BY253" s="303">
        <v>0.40300649755529161</v>
      </c>
      <c r="BZ253" s="320">
        <v>1.39</v>
      </c>
      <c r="CA253" s="303">
        <v>0.37453183520599342</v>
      </c>
    </row>
    <row r="254" spans="1:79">
      <c r="A254" s="58">
        <f t="shared" si="476"/>
        <v>1956</v>
      </c>
      <c r="B254" s="303">
        <f t="shared" si="472"/>
        <v>6.8403171007927588</v>
      </c>
      <c r="C254" s="303"/>
      <c r="D254" s="303">
        <f t="shared" si="473"/>
        <v>6.8403171007927588</v>
      </c>
      <c r="E254" s="303"/>
      <c r="F254" s="364"/>
      <c r="G254" s="303"/>
      <c r="H254" s="364"/>
      <c r="I254" s="364"/>
      <c r="J254" s="364"/>
      <c r="K254" s="364"/>
      <c r="L254" s="364"/>
      <c r="M254" s="364"/>
      <c r="N254" s="364"/>
      <c r="O254" s="364"/>
      <c r="P254" s="364"/>
      <c r="Q254" s="364"/>
      <c r="R254" s="364"/>
      <c r="S254" s="364"/>
      <c r="T254" s="364">
        <f t="shared" si="474"/>
        <v>9.3663861435255846E-2</v>
      </c>
      <c r="U254" s="364">
        <f t="shared" si="474"/>
        <v>9.3663861435255846E-2</v>
      </c>
      <c r="V254" s="364">
        <f t="shared" si="475"/>
        <v>2.58</v>
      </c>
      <c r="W254" s="320"/>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320"/>
      <c r="BS254" s="320"/>
      <c r="BT254" s="320"/>
      <c r="BU254" s="320"/>
      <c r="BV254" s="320"/>
      <c r="BW254" s="320"/>
      <c r="BX254" s="303">
        <v>6.8403171007927588</v>
      </c>
      <c r="BY254" s="303">
        <v>9.3663861435255846E-2</v>
      </c>
      <c r="BZ254" s="320">
        <v>2.58</v>
      </c>
      <c r="CA254" s="303">
        <v>2.9850746268656803</v>
      </c>
    </row>
    <row r="255" spans="1:79">
      <c r="A255" s="58">
        <f t="shared" si="476"/>
        <v>1957</v>
      </c>
      <c r="B255" s="303">
        <f t="shared" si="472"/>
        <v>-5.5469953775038601</v>
      </c>
      <c r="C255" s="303"/>
      <c r="D255" s="303">
        <f t="shared" si="473"/>
        <v>-5.5469953775038601</v>
      </c>
      <c r="E255" s="303"/>
      <c r="F255" s="364"/>
      <c r="G255" s="303"/>
      <c r="H255" s="364"/>
      <c r="I255" s="364"/>
      <c r="J255" s="364"/>
      <c r="K255" s="364"/>
      <c r="L255" s="364"/>
      <c r="M255" s="364"/>
      <c r="N255" s="364"/>
      <c r="O255" s="364"/>
      <c r="P255" s="364"/>
      <c r="Q255" s="364"/>
      <c r="R255" s="364"/>
      <c r="S255" s="364"/>
      <c r="T255" s="364">
        <f t="shared" si="474"/>
        <v>5.9568232095436491</v>
      </c>
      <c r="U255" s="364">
        <f t="shared" si="474"/>
        <v>5.9568232095436491</v>
      </c>
      <c r="V255" s="364">
        <f t="shared" si="475"/>
        <v>3.37</v>
      </c>
      <c r="W255" s="320"/>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320"/>
      <c r="BS255" s="320"/>
      <c r="BT255" s="320"/>
      <c r="BU255" s="320"/>
      <c r="BV255" s="320"/>
      <c r="BW255" s="320"/>
      <c r="BX255" s="303">
        <v>-5.5469953775038601</v>
      </c>
      <c r="BY255" s="303">
        <v>5.9568232095436491</v>
      </c>
      <c r="BZ255" s="320">
        <v>3.37</v>
      </c>
      <c r="CA255" s="303">
        <v>3.6231884057970953</v>
      </c>
    </row>
    <row r="256" spans="1:79">
      <c r="A256" s="58">
        <f t="shared" si="476"/>
        <v>1958</v>
      </c>
      <c r="B256" s="303">
        <f t="shared" si="472"/>
        <v>39.518482490272369</v>
      </c>
      <c r="C256" s="303"/>
      <c r="D256" s="303">
        <f t="shared" si="473"/>
        <v>39.518482490272369</v>
      </c>
      <c r="E256" s="303"/>
      <c r="F256" s="364"/>
      <c r="G256" s="303"/>
      <c r="H256" s="364"/>
      <c r="I256" s="364"/>
      <c r="J256" s="364"/>
      <c r="K256" s="364"/>
      <c r="L256" s="364"/>
      <c r="M256" s="364"/>
      <c r="N256" s="364"/>
      <c r="O256" s="364"/>
      <c r="P256" s="364"/>
      <c r="Q256" s="364"/>
      <c r="R256" s="364"/>
      <c r="S256" s="364"/>
      <c r="T256" s="364">
        <f t="shared" si="474"/>
        <v>-1.5509684504555699</v>
      </c>
      <c r="U256" s="364">
        <f t="shared" si="474"/>
        <v>-1.5509684504555699</v>
      </c>
      <c r="V256" s="364">
        <f t="shared" si="475"/>
        <v>2.65</v>
      </c>
      <c r="W256" s="320"/>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320"/>
      <c r="BS256" s="320"/>
      <c r="BT256" s="320"/>
      <c r="BU256" s="320"/>
      <c r="BV256" s="320"/>
      <c r="BW256" s="320"/>
      <c r="BX256" s="303">
        <v>39.518482490272369</v>
      </c>
      <c r="BY256" s="303">
        <v>-1.5509684504555699</v>
      </c>
      <c r="BZ256" s="320">
        <v>2.65</v>
      </c>
      <c r="CA256" s="303">
        <v>1.3986013986013957</v>
      </c>
    </row>
    <row r="257" spans="1:79">
      <c r="A257" s="58">
        <f t="shared" si="476"/>
        <v>1959</v>
      </c>
      <c r="B257" s="303">
        <f t="shared" si="472"/>
        <v>7.6231571377202378</v>
      </c>
      <c r="C257" s="303"/>
      <c r="D257" s="303">
        <f t="shared" si="473"/>
        <v>7.6231571377202378</v>
      </c>
      <c r="E257" s="303"/>
      <c r="F257" s="364"/>
      <c r="G257" s="303"/>
      <c r="H257" s="364"/>
      <c r="I257" s="364"/>
      <c r="J257" s="364"/>
      <c r="K257" s="364"/>
      <c r="L257" s="364"/>
      <c r="M257" s="364"/>
      <c r="N257" s="364"/>
      <c r="O257" s="364"/>
      <c r="P257" s="364"/>
      <c r="Q257" s="364"/>
      <c r="R257" s="364"/>
      <c r="S257" s="364"/>
      <c r="T257" s="364">
        <f t="shared" si="474"/>
        <v>0.11826148236655509</v>
      </c>
      <c r="U257" s="364">
        <f t="shared" si="474"/>
        <v>0.11826148236655509</v>
      </c>
      <c r="V257" s="364">
        <f t="shared" si="475"/>
        <v>3.36</v>
      </c>
      <c r="W257" s="320"/>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320"/>
      <c r="BS257" s="320"/>
      <c r="BT257" s="320"/>
      <c r="BU257" s="320"/>
      <c r="BV257" s="320"/>
      <c r="BW257" s="320"/>
      <c r="BX257" s="303">
        <v>7.6231571377202378</v>
      </c>
      <c r="BY257" s="303">
        <v>0.11826148236655509</v>
      </c>
      <c r="BZ257" s="320">
        <v>3.36</v>
      </c>
      <c r="CA257" s="303">
        <v>1.0344827586207028</v>
      </c>
    </row>
    <row r="258" spans="1:79">
      <c r="A258" s="58">
        <f t="shared" si="476"/>
        <v>1960</v>
      </c>
      <c r="B258" s="303">
        <f t="shared" si="472"/>
        <v>6.2726176115802224</v>
      </c>
      <c r="C258" s="303"/>
      <c r="D258" s="303">
        <f t="shared" si="473"/>
        <v>6.2726176115802224</v>
      </c>
      <c r="E258" s="303"/>
      <c r="F258" s="364"/>
      <c r="G258" s="303"/>
      <c r="H258" s="364"/>
      <c r="I258" s="364"/>
      <c r="J258" s="364"/>
      <c r="K258" s="364"/>
      <c r="L258" s="364"/>
      <c r="M258" s="364"/>
      <c r="N258" s="364"/>
      <c r="O258" s="364"/>
      <c r="P258" s="364"/>
      <c r="Q258" s="364"/>
      <c r="R258" s="364"/>
      <c r="S258" s="364"/>
      <c r="T258" s="364">
        <f t="shared" si="474"/>
        <v>10.336979547756698</v>
      </c>
      <c r="U258" s="364">
        <f t="shared" si="474"/>
        <v>10.336979547756698</v>
      </c>
      <c r="V258" s="364">
        <f t="shared" si="475"/>
        <v>5.03</v>
      </c>
      <c r="W258" s="320"/>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320"/>
      <c r="BS258" s="320"/>
      <c r="BT258" s="320"/>
      <c r="BU258" s="320"/>
      <c r="BV258" s="320"/>
      <c r="BW258" s="320"/>
      <c r="BX258" s="303">
        <v>6.2726176115802224</v>
      </c>
      <c r="BY258" s="303">
        <v>10.336979547756698</v>
      </c>
      <c r="BZ258" s="320">
        <v>5.03</v>
      </c>
      <c r="CA258" s="303">
        <v>1.7064846416382284</v>
      </c>
    </row>
    <row r="259" spans="1:79">
      <c r="A259" s="58">
        <f t="shared" si="476"/>
        <v>1961</v>
      </c>
      <c r="B259" s="303">
        <f t="shared" si="472"/>
        <v>19.038847957133264</v>
      </c>
      <c r="C259" s="303"/>
      <c r="D259" s="303">
        <f t="shared" si="473"/>
        <v>19.038847957133264</v>
      </c>
      <c r="E259" s="303"/>
      <c r="F259" s="364"/>
      <c r="G259" s="303"/>
      <c r="H259" s="364"/>
      <c r="I259" s="364"/>
      <c r="J259" s="364"/>
      <c r="K259" s="364"/>
      <c r="L259" s="364"/>
      <c r="M259" s="364"/>
      <c r="N259" s="364"/>
      <c r="O259" s="364"/>
      <c r="P259" s="364"/>
      <c r="Q259" s="364"/>
      <c r="R259" s="364"/>
      <c r="S259" s="364"/>
      <c r="T259" s="364">
        <f t="shared" si="474"/>
        <v>2.6602963758754594</v>
      </c>
      <c r="U259" s="364">
        <f t="shared" si="474"/>
        <v>2.6602963758754594</v>
      </c>
      <c r="V259" s="364">
        <f t="shared" si="475"/>
        <v>2.81</v>
      </c>
      <c r="W259" s="320"/>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320"/>
      <c r="BS259" s="320"/>
      <c r="BT259" s="320"/>
      <c r="BU259" s="320"/>
      <c r="BV259" s="320"/>
      <c r="BW259" s="320"/>
      <c r="BX259" s="303">
        <v>19.038847957133264</v>
      </c>
      <c r="BY259" s="303">
        <v>2.6602963758754594</v>
      </c>
      <c r="BZ259" s="320">
        <v>2.81</v>
      </c>
      <c r="CA259" s="303">
        <v>0.67114093959730337</v>
      </c>
    </row>
    <row r="260" spans="1:79">
      <c r="A260" s="58">
        <f t="shared" si="476"/>
        <v>1962</v>
      </c>
      <c r="B260" s="303">
        <f t="shared" si="472"/>
        <v>-2.7218763573186533</v>
      </c>
      <c r="C260" s="303"/>
      <c r="D260" s="303">
        <f t="shared" si="473"/>
        <v>-2.7218763573186533</v>
      </c>
      <c r="E260" s="303"/>
      <c r="F260" s="364"/>
      <c r="G260" s="303"/>
      <c r="H260" s="364"/>
      <c r="I260" s="364"/>
      <c r="J260" s="364"/>
      <c r="K260" s="364"/>
      <c r="L260" s="364"/>
      <c r="M260" s="364"/>
      <c r="N260" s="364"/>
      <c r="O260" s="364"/>
      <c r="P260" s="364"/>
      <c r="Q260" s="364"/>
      <c r="R260" s="364"/>
      <c r="S260" s="364"/>
      <c r="T260" s="364">
        <f t="shared" si="474"/>
        <v>5.6076483784535114</v>
      </c>
      <c r="U260" s="364">
        <f t="shared" si="474"/>
        <v>5.6076483784535114</v>
      </c>
      <c r="V260" s="364">
        <f t="shared" si="475"/>
        <v>3.28</v>
      </c>
      <c r="W260" s="320"/>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320"/>
      <c r="BS260" s="320"/>
      <c r="BT260" s="320"/>
      <c r="BU260" s="320"/>
      <c r="BV260" s="320"/>
      <c r="BW260" s="320"/>
      <c r="BX260" s="303">
        <v>-2.7218763573186533</v>
      </c>
      <c r="BY260" s="303">
        <v>5.6076483784535114</v>
      </c>
      <c r="BZ260" s="320">
        <v>3.28</v>
      </c>
      <c r="CA260" s="303">
        <v>1.3333333333333197</v>
      </c>
    </row>
    <row r="261" spans="1:79">
      <c r="A261" s="58">
        <f t="shared" si="476"/>
        <v>1963</v>
      </c>
      <c r="B261" s="303">
        <f t="shared" si="472"/>
        <v>21.011374116200443</v>
      </c>
      <c r="C261" s="303"/>
      <c r="D261" s="303">
        <f t="shared" si="473"/>
        <v>21.011374116200443</v>
      </c>
      <c r="E261" s="303"/>
      <c r="F261" s="364"/>
      <c r="G261" s="303"/>
      <c r="H261" s="364"/>
      <c r="I261" s="364"/>
      <c r="J261" s="364"/>
      <c r="K261" s="364"/>
      <c r="L261" s="364"/>
      <c r="M261" s="364"/>
      <c r="N261" s="364"/>
      <c r="O261" s="364"/>
      <c r="P261" s="364"/>
      <c r="Q261" s="364"/>
      <c r="R261" s="364"/>
      <c r="S261" s="364"/>
      <c r="T261" s="364">
        <f t="shared" si="474"/>
        <v>1.8022927427945756</v>
      </c>
      <c r="U261" s="364">
        <f t="shared" si="474"/>
        <v>1.8022927427945756</v>
      </c>
      <c r="V261" s="364">
        <f t="shared" si="475"/>
        <v>3.04</v>
      </c>
      <c r="W261" s="320"/>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320"/>
      <c r="BS261" s="320"/>
      <c r="BT261" s="320"/>
      <c r="BU261" s="320"/>
      <c r="BV261" s="320"/>
      <c r="BW261" s="320"/>
      <c r="BX261" s="303">
        <v>21.011374116200443</v>
      </c>
      <c r="BY261" s="303">
        <v>1.8022927427945756</v>
      </c>
      <c r="BZ261" s="320">
        <v>3.04</v>
      </c>
      <c r="CA261" s="303">
        <v>1.6447368421052655</v>
      </c>
    </row>
    <row r="262" spans="1:79">
      <c r="A262" s="58">
        <f t="shared" si="476"/>
        <v>1964</v>
      </c>
      <c r="B262" s="303">
        <f t="shared" si="472"/>
        <v>15.918901242642258</v>
      </c>
      <c r="C262" s="303"/>
      <c r="D262" s="303">
        <f t="shared" si="473"/>
        <v>15.918901242642258</v>
      </c>
      <c r="E262" s="303"/>
      <c r="F262" s="364"/>
      <c r="G262" s="303"/>
      <c r="H262" s="364"/>
      <c r="I262" s="364"/>
      <c r="J262" s="364"/>
      <c r="K262" s="364"/>
      <c r="L262" s="364"/>
      <c r="M262" s="364"/>
      <c r="N262" s="364"/>
      <c r="O262" s="364"/>
      <c r="P262" s="364"/>
      <c r="Q262" s="364"/>
      <c r="R262" s="364"/>
      <c r="S262" s="364"/>
      <c r="T262" s="364">
        <f t="shared" si="474"/>
        <v>4.085401908203945</v>
      </c>
      <c r="U262" s="364">
        <f t="shared" si="474"/>
        <v>4.085401908203945</v>
      </c>
      <c r="V262" s="364">
        <f t="shared" si="475"/>
        <v>3.79</v>
      </c>
      <c r="W262" s="320"/>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320"/>
      <c r="BS262" s="320"/>
      <c r="BT262" s="320"/>
      <c r="BU262" s="320"/>
      <c r="BV262" s="320"/>
      <c r="BW262" s="320"/>
      <c r="BX262" s="303">
        <v>15.918901242642258</v>
      </c>
      <c r="BY262" s="303">
        <v>4.085401908203945</v>
      </c>
      <c r="BZ262" s="320">
        <v>3.79</v>
      </c>
      <c r="CA262" s="303">
        <v>0.97087378640776656</v>
      </c>
    </row>
    <row r="263" spans="1:79">
      <c r="A263" s="58">
        <f t="shared" si="476"/>
        <v>1965</v>
      </c>
      <c r="B263" s="303">
        <f t="shared" si="472"/>
        <v>11.518810961449134</v>
      </c>
      <c r="C263" s="303"/>
      <c r="D263" s="303">
        <f t="shared" si="473"/>
        <v>11.518810961449134</v>
      </c>
      <c r="E263" s="303"/>
      <c r="F263" s="364"/>
      <c r="G263" s="303"/>
      <c r="H263" s="364"/>
      <c r="I263" s="364"/>
      <c r="J263" s="364"/>
      <c r="K263" s="364"/>
      <c r="L263" s="364"/>
      <c r="M263" s="364"/>
      <c r="N263" s="364"/>
      <c r="O263" s="364"/>
      <c r="P263" s="364"/>
      <c r="Q263" s="364"/>
      <c r="R263" s="364"/>
      <c r="S263" s="364"/>
      <c r="T263" s="364">
        <f t="shared" si="474"/>
        <v>1.2878192044006198</v>
      </c>
      <c r="U263" s="364">
        <f t="shared" si="474"/>
        <v>1.2878192044006198</v>
      </c>
      <c r="V263" s="364">
        <f t="shared" si="475"/>
        <v>3.94</v>
      </c>
      <c r="W263" s="320"/>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320"/>
      <c r="BS263" s="320"/>
      <c r="BT263" s="320"/>
      <c r="BU263" s="320"/>
      <c r="BV263" s="320"/>
      <c r="BW263" s="320"/>
      <c r="BX263" s="303">
        <v>11.518810961449134</v>
      </c>
      <c r="BY263" s="303">
        <v>1.2878192044006198</v>
      </c>
      <c r="BZ263" s="320">
        <v>3.94</v>
      </c>
      <c r="CA263" s="303">
        <v>1.9230769230769384</v>
      </c>
    </row>
    <row r="264" spans="1:79">
      <c r="A264" s="58">
        <f t="shared" si="476"/>
        <v>1966</v>
      </c>
      <c r="B264" s="303">
        <f t="shared" si="472"/>
        <v>-6.4294899271324368</v>
      </c>
      <c r="C264" s="303"/>
      <c r="D264" s="303">
        <f t="shared" si="473"/>
        <v>-6.4294899271324368</v>
      </c>
      <c r="E264" s="303"/>
      <c r="F264" s="364"/>
      <c r="G264" s="303"/>
      <c r="H264" s="364"/>
      <c r="I264" s="364"/>
      <c r="J264" s="364"/>
      <c r="K264" s="364"/>
      <c r="L264" s="364"/>
      <c r="M264" s="364"/>
      <c r="N264" s="364"/>
      <c r="O264" s="364"/>
      <c r="P264" s="364"/>
      <c r="Q264" s="364"/>
      <c r="R264" s="364"/>
      <c r="S264" s="364"/>
      <c r="T264" s="364">
        <f t="shared" si="474"/>
        <v>5.083344487193231</v>
      </c>
      <c r="U264" s="364">
        <f t="shared" si="474"/>
        <v>5.083344487193231</v>
      </c>
      <c r="V264" s="364">
        <f t="shared" si="475"/>
        <v>4.88</v>
      </c>
      <c r="W264" s="320"/>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320"/>
      <c r="BS264" s="320"/>
      <c r="BT264" s="320"/>
      <c r="BU264" s="320"/>
      <c r="BV264" s="320"/>
      <c r="BW264" s="320"/>
      <c r="BX264" s="303">
        <v>-6.4294899271324368</v>
      </c>
      <c r="BY264" s="303">
        <v>5.083344487193231</v>
      </c>
      <c r="BZ264" s="320">
        <v>4.88</v>
      </c>
      <c r="CA264" s="303">
        <v>3.459119496855334</v>
      </c>
    </row>
    <row r="265" spans="1:79">
      <c r="A265" s="58">
        <f t="shared" si="476"/>
        <v>1967</v>
      </c>
      <c r="B265" s="303">
        <f t="shared" si="472"/>
        <v>15.997631734754304</v>
      </c>
      <c r="C265" s="303"/>
      <c r="D265" s="303">
        <f t="shared" si="473"/>
        <v>15.997631734754304</v>
      </c>
      <c r="E265" s="303"/>
      <c r="F265" s="364"/>
      <c r="G265" s="303"/>
      <c r="H265" s="364"/>
      <c r="I265" s="364"/>
      <c r="J265" s="364"/>
      <c r="K265" s="364"/>
      <c r="L265" s="364"/>
      <c r="M265" s="364"/>
      <c r="N265" s="364"/>
      <c r="O265" s="364"/>
      <c r="P265" s="364"/>
      <c r="Q265" s="364"/>
      <c r="R265" s="364"/>
      <c r="S265" s="364"/>
      <c r="T265" s="364">
        <f t="shared" si="474"/>
        <v>0.78735566334582341</v>
      </c>
      <c r="U265" s="364">
        <f t="shared" si="474"/>
        <v>0.78735566334582341</v>
      </c>
      <c r="V265" s="364">
        <f t="shared" si="475"/>
        <v>4.75</v>
      </c>
      <c r="W265" s="320"/>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320"/>
      <c r="BS265" s="320"/>
      <c r="BT265" s="320"/>
      <c r="BU265" s="320"/>
      <c r="BV265" s="320"/>
      <c r="BW265" s="320"/>
      <c r="BX265" s="303">
        <v>15.997631734754304</v>
      </c>
      <c r="BY265" s="303">
        <v>0.78735566334582341</v>
      </c>
      <c r="BZ265" s="320">
        <v>4.75</v>
      </c>
      <c r="CA265" s="303">
        <v>3.6474164133738718</v>
      </c>
    </row>
    <row r="266" spans="1:79">
      <c r="A266" s="58">
        <f t="shared" si="476"/>
        <v>1968</v>
      </c>
      <c r="B266" s="303">
        <f t="shared" si="472"/>
        <v>10.595538720538711</v>
      </c>
      <c r="C266" s="303"/>
      <c r="D266" s="303">
        <f t="shared" si="473"/>
        <v>10.595538720538711</v>
      </c>
      <c r="E266" s="303"/>
      <c r="F266" s="364"/>
      <c r="G266" s="303"/>
      <c r="H266" s="364"/>
      <c r="I266" s="364"/>
      <c r="J266" s="364"/>
      <c r="K266" s="364"/>
      <c r="L266" s="364"/>
      <c r="M266" s="364"/>
      <c r="N266" s="364"/>
      <c r="O266" s="364"/>
      <c r="P266" s="364"/>
      <c r="Q266" s="364"/>
      <c r="R266" s="364"/>
      <c r="S266" s="364"/>
      <c r="T266" s="364">
        <f t="shared" si="474"/>
        <v>2.7524051336845989</v>
      </c>
      <c r="U266" s="364">
        <f t="shared" si="474"/>
        <v>2.7524051336845989</v>
      </c>
      <c r="V266" s="364">
        <f t="shared" si="475"/>
        <v>5.43</v>
      </c>
      <c r="W266" s="320"/>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320"/>
      <c r="BS266" s="320"/>
      <c r="BT266" s="320"/>
      <c r="BU266" s="320"/>
      <c r="BV266" s="320"/>
      <c r="BW266" s="320"/>
      <c r="BX266" s="303">
        <v>10.595538720538711</v>
      </c>
      <c r="BY266" s="303">
        <v>2.7524051336845989</v>
      </c>
      <c r="BZ266" s="320">
        <v>5.43</v>
      </c>
      <c r="CA266" s="303">
        <v>4.3988269794721369</v>
      </c>
    </row>
    <row r="267" spans="1:79">
      <c r="A267" s="58">
        <f t="shared" si="476"/>
        <v>1969</v>
      </c>
      <c r="B267" s="303">
        <f t="shared" si="472"/>
        <v>-8.398667189337516</v>
      </c>
      <c r="C267" s="303"/>
      <c r="D267" s="303">
        <f t="shared" si="473"/>
        <v>-8.398667189337516</v>
      </c>
      <c r="E267" s="303"/>
      <c r="F267" s="364"/>
      <c r="G267" s="303"/>
      <c r="H267" s="364"/>
      <c r="I267" s="364"/>
      <c r="J267" s="364"/>
      <c r="K267" s="364"/>
      <c r="L267" s="364"/>
      <c r="M267" s="364"/>
      <c r="N267" s="364"/>
      <c r="O267" s="364"/>
      <c r="P267" s="364"/>
      <c r="Q267" s="364"/>
      <c r="R267" s="364"/>
      <c r="S267" s="364"/>
      <c r="T267" s="364">
        <f t="shared" si="474"/>
        <v>-1.2012435847134961</v>
      </c>
      <c r="U267" s="364">
        <f t="shared" si="474"/>
        <v>-1.2012435847134961</v>
      </c>
      <c r="V267" s="364">
        <f t="shared" si="475"/>
        <v>6.34</v>
      </c>
      <c r="W267" s="320"/>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320"/>
      <c r="BS267" s="320"/>
      <c r="BT267" s="320"/>
      <c r="BU267" s="320"/>
      <c r="BV267" s="320"/>
      <c r="BW267" s="320"/>
      <c r="BX267" s="303">
        <v>-8.398667189337516</v>
      </c>
      <c r="BY267" s="303">
        <v>-1.2012435847134961</v>
      </c>
      <c r="BZ267" s="320">
        <v>6.34</v>
      </c>
      <c r="CA267" s="303">
        <v>6.1797752808988582</v>
      </c>
    </row>
    <row r="268" spans="1:79">
      <c r="A268" s="58">
        <f t="shared" si="476"/>
        <v>1970</v>
      </c>
      <c r="B268" s="303">
        <f t="shared" si="472"/>
        <v>6.9981175949507257</v>
      </c>
      <c r="C268" s="303"/>
      <c r="D268" s="303">
        <f t="shared" si="473"/>
        <v>6.9981175949507257</v>
      </c>
      <c r="E268" s="303"/>
      <c r="F268" s="364"/>
      <c r="G268" s="303"/>
      <c r="H268" s="364"/>
      <c r="I268" s="364"/>
      <c r="J268" s="364"/>
      <c r="K268" s="364"/>
      <c r="L268" s="364"/>
      <c r="M268" s="364"/>
      <c r="N268" s="364"/>
      <c r="O268" s="364"/>
      <c r="P268" s="364"/>
      <c r="Q268" s="364"/>
      <c r="R268" s="364"/>
      <c r="S268" s="364"/>
      <c r="T268" s="364">
        <f t="shared" si="474"/>
        <v>16.497199599565548</v>
      </c>
      <c r="U268" s="364">
        <f t="shared" si="474"/>
        <v>16.497199599565548</v>
      </c>
      <c r="V268" s="364">
        <f t="shared" si="475"/>
        <v>8.1</v>
      </c>
      <c r="W268" s="320"/>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320"/>
      <c r="BS268" s="320"/>
      <c r="BT268" s="320"/>
      <c r="BU268" s="320"/>
      <c r="BV268" s="320"/>
      <c r="BW268" s="320"/>
      <c r="BX268" s="303">
        <v>6.9981175949507257</v>
      </c>
      <c r="BY268" s="303">
        <v>16.497199599565548</v>
      </c>
      <c r="BZ268" s="320">
        <v>8.1</v>
      </c>
      <c r="CA268" s="303">
        <v>5.2910052910053018</v>
      </c>
    </row>
    <row r="269" spans="1:79">
      <c r="A269" s="58">
        <f t="shared" si="476"/>
        <v>1971</v>
      </c>
      <c r="B269" s="303">
        <f t="shared" si="472"/>
        <v>13.77687453203551</v>
      </c>
      <c r="C269" s="303"/>
      <c r="D269" s="303">
        <f t="shared" si="473"/>
        <v>13.77687453203551</v>
      </c>
      <c r="E269" s="303"/>
      <c r="F269" s="364"/>
      <c r="G269" s="303"/>
      <c r="H269" s="364"/>
      <c r="I269" s="364"/>
      <c r="J269" s="364"/>
      <c r="K269" s="364"/>
      <c r="L269" s="364"/>
      <c r="M269" s="364"/>
      <c r="N269" s="364"/>
      <c r="O269" s="364"/>
      <c r="P269" s="364"/>
      <c r="Q269" s="364"/>
      <c r="R269" s="364"/>
      <c r="S269" s="364"/>
      <c r="T269" s="364">
        <f t="shared" si="474"/>
        <v>7.6879038422514645</v>
      </c>
      <c r="U269" s="364">
        <f t="shared" si="474"/>
        <v>7.6879038422514645</v>
      </c>
      <c r="V269" s="364">
        <f t="shared" si="475"/>
        <v>4.57</v>
      </c>
      <c r="W269" s="320"/>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320"/>
      <c r="BS269" s="320"/>
      <c r="BT269" s="320"/>
      <c r="BU269" s="320"/>
      <c r="BV269" s="320"/>
      <c r="BW269" s="320"/>
      <c r="BX269" s="303">
        <v>13.77687453203551</v>
      </c>
      <c r="BY269" s="303">
        <v>7.6879038422514645</v>
      </c>
      <c r="BZ269" s="320">
        <v>4.57</v>
      </c>
      <c r="CA269" s="303">
        <v>3.2663316582914659</v>
      </c>
    </row>
    <row r="270" spans="1:79">
      <c r="A270" s="58">
        <f t="shared" si="476"/>
        <v>1972</v>
      </c>
      <c r="B270" s="422">
        <v>16.899999999999999</v>
      </c>
      <c r="C270" s="422">
        <v>18.18</v>
      </c>
      <c r="D270" s="422">
        <v>19</v>
      </c>
      <c r="E270" s="422">
        <v>21.39</v>
      </c>
      <c r="F270" s="422">
        <v>9.1</v>
      </c>
      <c r="G270" s="422">
        <v>7.19</v>
      </c>
      <c r="H270" s="422">
        <v>7.36</v>
      </c>
      <c r="I270" s="422">
        <v>0.39</v>
      </c>
      <c r="J270" s="422">
        <v>-0.2</v>
      </c>
      <c r="K270" s="422">
        <v>8</v>
      </c>
      <c r="L270" s="422">
        <v>36.299999999999997</v>
      </c>
      <c r="M270" s="423">
        <v>50.2</v>
      </c>
      <c r="N270" s="423">
        <f t="shared" ref="N270:N294" si="477">(L270*0.85+M270*0.15)</f>
        <v>38.384999999999998</v>
      </c>
      <c r="O270" s="423">
        <v>107.55</v>
      </c>
      <c r="P270" s="423">
        <v>15.6</v>
      </c>
      <c r="Q270" s="423">
        <v>36.950000000000003</v>
      </c>
      <c r="R270" s="422">
        <v>38.69</v>
      </c>
      <c r="S270" s="422">
        <v>-2.7554939819360635</v>
      </c>
      <c r="T270" s="423">
        <v>3.2807637963542469</v>
      </c>
      <c r="U270" s="422">
        <v>5.7</v>
      </c>
      <c r="V270" s="422">
        <v>3.8</v>
      </c>
      <c r="W270" s="608">
        <v>-2.4</v>
      </c>
      <c r="X270" s="609">
        <v>10.99</v>
      </c>
      <c r="Y270" s="609">
        <v>9.75</v>
      </c>
      <c r="Z270" s="609">
        <v>10.199999999999999</v>
      </c>
      <c r="AA270" s="422">
        <v>3.9</v>
      </c>
      <c r="AB270" s="423">
        <v>49.25373134328359</v>
      </c>
      <c r="AC270" s="423">
        <v>64.248425000000012</v>
      </c>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320"/>
      <c r="BS270" s="320"/>
      <c r="BT270" s="320"/>
      <c r="BU270" s="320"/>
      <c r="BV270" s="320"/>
      <c r="BW270" s="320"/>
      <c r="BX270" s="303">
        <v>17.686350435624409</v>
      </c>
      <c r="BY270" s="303">
        <v>3.2807637963542469</v>
      </c>
      <c r="BZ270" s="320">
        <v>4.28</v>
      </c>
      <c r="CA270" s="422">
        <v>3.4063260340632562</v>
      </c>
    </row>
    <row r="271" spans="1:79">
      <c r="A271" s="58">
        <f t="shared" si="476"/>
        <v>1973</v>
      </c>
      <c r="B271" s="321">
        <v>-18.100000000000001</v>
      </c>
      <c r="C271" s="321">
        <v>-4.01</v>
      </c>
      <c r="D271" s="321">
        <v>-14.7</v>
      </c>
      <c r="E271" s="321">
        <v>-22.3</v>
      </c>
      <c r="F271" s="321">
        <v>-26.5</v>
      </c>
      <c r="G271" s="321">
        <v>-27.39</v>
      </c>
      <c r="H271" s="321">
        <v>-32.92</v>
      </c>
      <c r="I271" s="321">
        <v>-45.48</v>
      </c>
      <c r="J271" s="321">
        <v>-41.7</v>
      </c>
      <c r="K271" s="321">
        <v>-15.5</v>
      </c>
      <c r="L271" s="321">
        <v>-14.9</v>
      </c>
      <c r="M271" s="364">
        <v>-13.8</v>
      </c>
      <c r="N271" s="364">
        <f t="shared" si="477"/>
        <v>-14.734999999999999</v>
      </c>
      <c r="O271" s="364">
        <v>-20.95</v>
      </c>
      <c r="P271" s="364">
        <v>-7.7</v>
      </c>
      <c r="Q271" s="364">
        <v>-14.58</v>
      </c>
      <c r="R271" s="321">
        <v>68.400000000000006</v>
      </c>
      <c r="S271" s="321">
        <v>-0.77902874217088414</v>
      </c>
      <c r="T271" s="364">
        <v>3.9463295974053958</v>
      </c>
      <c r="U271" s="321">
        <v>3.4</v>
      </c>
      <c r="V271" s="321">
        <v>6.9</v>
      </c>
      <c r="W271" s="610">
        <v>-3.8</v>
      </c>
      <c r="X271" s="321">
        <v>-11.83</v>
      </c>
      <c r="Y271" s="321">
        <v>-3.49</v>
      </c>
      <c r="Z271" s="321">
        <v>-25</v>
      </c>
      <c r="AA271" s="321">
        <v>6.1</v>
      </c>
      <c r="AB271" s="364">
        <v>71.92307692307692</v>
      </c>
      <c r="AC271" s="364">
        <v>-13.68788</v>
      </c>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320"/>
      <c r="BS271" s="320"/>
      <c r="BT271" s="320"/>
      <c r="BU271" s="320"/>
      <c r="BV271" s="320"/>
      <c r="BW271" s="320"/>
      <c r="BX271" s="303">
        <v>-15.985475426448236</v>
      </c>
      <c r="BY271" s="303">
        <v>3.9463295974053958</v>
      </c>
      <c r="BZ271" s="320">
        <v>5.89</v>
      </c>
      <c r="CA271" s="321">
        <v>8.7058823529411846</v>
      </c>
    </row>
    <row r="272" spans="1:79">
      <c r="A272" s="58">
        <f t="shared" si="476"/>
        <v>1974</v>
      </c>
      <c r="B272" s="321">
        <v>-27.2</v>
      </c>
      <c r="C272" s="321">
        <v>-23.22</v>
      </c>
      <c r="D272" s="321">
        <v>-26.5</v>
      </c>
      <c r="E272" s="321">
        <v>-29.2</v>
      </c>
      <c r="F272" s="321">
        <v>-25.2</v>
      </c>
      <c r="G272" s="321">
        <v>-18.54</v>
      </c>
      <c r="H272" s="321">
        <v>-25.97</v>
      </c>
      <c r="I272" s="321">
        <v>-32.6</v>
      </c>
      <c r="J272" s="321">
        <v>-28.9</v>
      </c>
      <c r="K272" s="321">
        <v>-21.4</v>
      </c>
      <c r="L272" s="321">
        <v>-23.2</v>
      </c>
      <c r="M272" s="364">
        <v>-25.3</v>
      </c>
      <c r="N272" s="364">
        <f t="shared" si="477"/>
        <v>-23.515000000000001</v>
      </c>
      <c r="O272" s="364">
        <v>-20.94</v>
      </c>
      <c r="P272" s="364">
        <v>-22.8</v>
      </c>
      <c r="Q272" s="364">
        <v>-22.53</v>
      </c>
      <c r="R272" s="321">
        <v>4.0999999999999996</v>
      </c>
      <c r="S272" s="321">
        <v>3.069759799767402</v>
      </c>
      <c r="T272" s="364">
        <v>5.0482036092369453</v>
      </c>
      <c r="U272" s="321">
        <v>7</v>
      </c>
      <c r="V272" s="321">
        <v>8</v>
      </c>
      <c r="W272" s="610">
        <v>5.2</v>
      </c>
      <c r="X272" s="321">
        <v>-17.73</v>
      </c>
      <c r="Y272" s="321">
        <v>-6.43</v>
      </c>
      <c r="Z272" s="321">
        <v>-16.8</v>
      </c>
      <c r="AA272" s="321">
        <v>9.1</v>
      </c>
      <c r="AB272" s="364">
        <v>72.706935123042499</v>
      </c>
      <c r="AC272" s="364">
        <v>-28.62961</v>
      </c>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320"/>
      <c r="BS272" s="320"/>
      <c r="BT272" s="320"/>
      <c r="BU272" s="320"/>
      <c r="BV272" s="320"/>
      <c r="BW272" s="320"/>
      <c r="BX272" s="303">
        <v>-20.75746540422433</v>
      </c>
      <c r="BY272" s="303">
        <v>5.0482036092369453</v>
      </c>
      <c r="BZ272" s="320">
        <v>7.42</v>
      </c>
      <c r="CA272" s="321">
        <v>12.337662337662337</v>
      </c>
    </row>
    <row r="273" spans="1:79">
      <c r="A273" s="58">
        <f t="shared" si="476"/>
        <v>1975</v>
      </c>
      <c r="B273" s="321">
        <v>38.700000000000003</v>
      </c>
      <c r="C273" s="321">
        <v>55.5</v>
      </c>
      <c r="D273" s="321">
        <v>37.200000000000003</v>
      </c>
      <c r="E273" s="321">
        <v>34.21</v>
      </c>
      <c r="F273" s="321">
        <v>57.4</v>
      </c>
      <c r="G273" s="321">
        <v>58.29</v>
      </c>
      <c r="H273" s="321">
        <v>57.96</v>
      </c>
      <c r="I273" s="321">
        <v>61.78</v>
      </c>
      <c r="J273" s="321">
        <v>72.400000000000006</v>
      </c>
      <c r="K273" s="321">
        <v>19.3</v>
      </c>
      <c r="L273" s="321">
        <v>35.4</v>
      </c>
      <c r="M273" s="364">
        <v>44.2</v>
      </c>
      <c r="N273" s="364">
        <f t="shared" si="477"/>
        <v>36.72</v>
      </c>
      <c r="O273" s="364">
        <v>26.72</v>
      </c>
      <c r="P273" s="364">
        <v>43.9</v>
      </c>
      <c r="Q273" s="364">
        <v>38.99</v>
      </c>
      <c r="R273" s="321">
        <v>5.1100000000000003</v>
      </c>
      <c r="S273" s="321">
        <v>6.4957269318238975</v>
      </c>
      <c r="T273" s="364">
        <v>7.212276676611129</v>
      </c>
      <c r="U273" s="321">
        <v>8.3000000000000007</v>
      </c>
      <c r="V273" s="321">
        <v>5.8</v>
      </c>
      <c r="W273" s="610">
        <v>16.399999999999999</v>
      </c>
      <c r="X273" s="321">
        <v>25.18</v>
      </c>
      <c r="Y273" s="321">
        <v>17.46</v>
      </c>
      <c r="Z273" s="321">
        <v>54.5</v>
      </c>
      <c r="AA273" s="321">
        <v>7.9</v>
      </c>
      <c r="AB273" s="364">
        <v>-27.331606217616581</v>
      </c>
      <c r="AC273" s="364">
        <v>49.86</v>
      </c>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320"/>
      <c r="BS273" s="320"/>
      <c r="BT273" s="320"/>
      <c r="BU273" s="320"/>
      <c r="BV273" s="320"/>
      <c r="BW273" s="320"/>
      <c r="BX273" s="303">
        <v>38.561190738699011</v>
      </c>
      <c r="BY273" s="303">
        <v>7.212276676611129</v>
      </c>
      <c r="BZ273" s="320">
        <v>6.83</v>
      </c>
      <c r="CA273" s="321">
        <v>6.9364161849710948</v>
      </c>
    </row>
    <row r="274" spans="1:79">
      <c r="A274" s="58">
        <f t="shared" si="476"/>
        <v>1976</v>
      </c>
      <c r="B274" s="321">
        <v>26.7</v>
      </c>
      <c r="C274" s="321">
        <v>44.48</v>
      </c>
      <c r="D274" s="321">
        <v>23.9</v>
      </c>
      <c r="E274" s="321">
        <v>17.3</v>
      </c>
      <c r="F274" s="321">
        <v>40.4</v>
      </c>
      <c r="G274" s="321">
        <v>60.62</v>
      </c>
      <c r="H274" s="321">
        <v>47.32</v>
      </c>
      <c r="I274" s="321">
        <v>38.33</v>
      </c>
      <c r="J274" s="321">
        <v>55.7</v>
      </c>
      <c r="K274" s="321">
        <v>47.6</v>
      </c>
      <c r="L274" s="321">
        <v>2.5</v>
      </c>
      <c r="M274" s="364">
        <v>7.3</v>
      </c>
      <c r="N274" s="364">
        <f t="shared" si="477"/>
        <v>3.2199999999999998</v>
      </c>
      <c r="O274" s="364">
        <v>21.64</v>
      </c>
      <c r="P274" s="364">
        <v>-6.4</v>
      </c>
      <c r="Q274" s="364">
        <v>3.33</v>
      </c>
      <c r="R274" s="321">
        <v>-5.55</v>
      </c>
      <c r="S274" s="321">
        <v>13.872362249101023</v>
      </c>
      <c r="T274" s="364">
        <v>10.992677436156795</v>
      </c>
      <c r="U274" s="321">
        <v>11.7</v>
      </c>
      <c r="V274" s="321">
        <v>5.0999999999999996</v>
      </c>
      <c r="W274" s="610">
        <v>-0.1</v>
      </c>
      <c r="X274" s="321">
        <v>23.36</v>
      </c>
      <c r="Y274" s="321">
        <v>23.28</v>
      </c>
      <c r="Z274" s="321">
        <v>46.4</v>
      </c>
      <c r="AA274" s="321">
        <v>8.9</v>
      </c>
      <c r="AB274" s="364">
        <v>-4.0998217468805702</v>
      </c>
      <c r="AC274" s="364">
        <v>11.46</v>
      </c>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320"/>
      <c r="BS274" s="320"/>
      <c r="BT274" s="320"/>
      <c r="BU274" s="320"/>
      <c r="BV274" s="320"/>
      <c r="BW274" s="320"/>
      <c r="BX274" s="303">
        <v>11.356597150526525</v>
      </c>
      <c r="BY274" s="303">
        <v>10.992677436156795</v>
      </c>
      <c r="BZ274" s="320">
        <v>5.81</v>
      </c>
      <c r="CA274" s="321">
        <v>4.8648648648648596</v>
      </c>
    </row>
    <row r="275" spans="1:79">
      <c r="A275" s="58">
        <f t="shared" si="476"/>
        <v>1977</v>
      </c>
      <c r="B275" s="321">
        <v>-4.2</v>
      </c>
      <c r="C275" s="321">
        <v>1.35</v>
      </c>
      <c r="D275" s="366">
        <v>-7.8</v>
      </c>
      <c r="E275" s="321">
        <v>-9.14</v>
      </c>
      <c r="F275" s="321">
        <v>4</v>
      </c>
      <c r="G275" s="321">
        <v>23.2</v>
      </c>
      <c r="H275" s="321">
        <v>18.18</v>
      </c>
      <c r="I275" s="321">
        <v>18.75</v>
      </c>
      <c r="J275" s="321">
        <v>23.2</v>
      </c>
      <c r="K275" s="321">
        <v>22.4</v>
      </c>
      <c r="L275" s="321">
        <v>18.100000000000001</v>
      </c>
      <c r="M275" s="364">
        <v>50.6</v>
      </c>
      <c r="N275" s="364">
        <f t="shared" si="477"/>
        <v>22.975000000000001</v>
      </c>
      <c r="O275" s="364">
        <v>13.69</v>
      </c>
      <c r="P275" s="364">
        <v>23.9</v>
      </c>
      <c r="Q275" s="364">
        <v>29.99</v>
      </c>
      <c r="R275" s="321">
        <v>3.05</v>
      </c>
      <c r="S275" s="321">
        <v>0.83755988295008965</v>
      </c>
      <c r="T275" s="364">
        <v>3.0408481592194114</v>
      </c>
      <c r="U275" s="321">
        <v>3</v>
      </c>
      <c r="V275" s="321">
        <v>5.0999999999999996</v>
      </c>
      <c r="W275" s="610">
        <v>8</v>
      </c>
      <c r="X275" s="321">
        <v>-4.38</v>
      </c>
      <c r="Y275" s="321">
        <v>4.2699999999999996</v>
      </c>
      <c r="Z275" s="321">
        <v>1</v>
      </c>
      <c r="AA275" s="321">
        <v>3.7</v>
      </c>
      <c r="AB275" s="364">
        <v>22.639405204460957</v>
      </c>
      <c r="AC275" s="364">
        <v>74.08</v>
      </c>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320"/>
      <c r="BS275" s="320"/>
      <c r="BT275" s="320"/>
      <c r="BU275" s="320"/>
      <c r="BV275" s="320"/>
      <c r="BW275" s="320"/>
      <c r="BX275" s="303">
        <v>-8.5637221847606249</v>
      </c>
      <c r="BY275" s="303">
        <v>3.0408481592194114</v>
      </c>
      <c r="BZ275" s="320">
        <v>5.29</v>
      </c>
      <c r="CA275" s="321">
        <v>6.7010309278350499</v>
      </c>
    </row>
    <row r="276" spans="1:79">
      <c r="A276" s="58">
        <f t="shared" si="476"/>
        <v>1978</v>
      </c>
      <c r="B276" s="321">
        <v>7.5</v>
      </c>
      <c r="C276" s="321">
        <v>3.77</v>
      </c>
      <c r="D276" s="321">
        <v>5.9</v>
      </c>
      <c r="E276" s="321">
        <v>7.05</v>
      </c>
      <c r="F276" s="321">
        <v>10.9</v>
      </c>
      <c r="G276" s="321">
        <v>22.08</v>
      </c>
      <c r="H276" s="321">
        <v>20.94</v>
      </c>
      <c r="I276" s="321">
        <v>17.77</v>
      </c>
      <c r="J276" s="321">
        <v>28.4</v>
      </c>
      <c r="K276" s="321">
        <v>10.3</v>
      </c>
      <c r="L276" s="321">
        <v>32.6</v>
      </c>
      <c r="M276" s="364">
        <v>53.6</v>
      </c>
      <c r="N276" s="364">
        <f t="shared" si="477"/>
        <v>35.75</v>
      </c>
      <c r="O276" s="364">
        <v>48.77</v>
      </c>
      <c r="P276" s="364">
        <v>24.3</v>
      </c>
      <c r="Q276" s="364">
        <v>42.67</v>
      </c>
      <c r="R276" s="321">
        <v>26.37</v>
      </c>
      <c r="S276" s="321">
        <v>-0.11083412409608195</v>
      </c>
      <c r="T276" s="364">
        <v>2.2917484282640732</v>
      </c>
      <c r="U276" s="321">
        <v>2.2000000000000002</v>
      </c>
      <c r="V276" s="321">
        <v>7.2</v>
      </c>
      <c r="W276" s="610">
        <v>9.9</v>
      </c>
      <c r="X276" s="321">
        <v>5.32</v>
      </c>
      <c r="Y276" s="321">
        <v>3.61</v>
      </c>
      <c r="Z276" s="321">
        <v>8.8000000000000007</v>
      </c>
      <c r="AA276" s="321">
        <v>5.5</v>
      </c>
      <c r="AB276" s="364">
        <v>37.01121551985451</v>
      </c>
      <c r="AC276" s="364">
        <v>65.53</v>
      </c>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320"/>
      <c r="BS276" s="320"/>
      <c r="BT276" s="320"/>
      <c r="BU276" s="320"/>
      <c r="BV276" s="320"/>
      <c r="BW276" s="320"/>
      <c r="BX276" s="303">
        <v>16.09972299168976</v>
      </c>
      <c r="BY276" s="303">
        <v>2.2917484282640732</v>
      </c>
      <c r="BZ276" s="320">
        <v>7.28</v>
      </c>
      <c r="CA276" s="321">
        <v>9.0177133655394481</v>
      </c>
    </row>
    <row r="277" spans="1:79">
      <c r="A277" s="58">
        <f t="shared" si="476"/>
        <v>1979</v>
      </c>
      <c r="B277" s="321">
        <v>23</v>
      </c>
      <c r="C277" s="321">
        <v>20.5</v>
      </c>
      <c r="D277" s="321">
        <v>18</v>
      </c>
      <c r="E277" s="321">
        <v>23.9</v>
      </c>
      <c r="F277" s="321">
        <v>32.5</v>
      </c>
      <c r="G277" s="321">
        <v>35.4</v>
      </c>
      <c r="H277" s="321">
        <v>43.1</v>
      </c>
      <c r="I277" s="321">
        <v>50.8</v>
      </c>
      <c r="J277" s="321">
        <v>42.2</v>
      </c>
      <c r="K277" s="321">
        <v>35.9</v>
      </c>
      <c r="L277" s="321">
        <v>4.8</v>
      </c>
      <c r="M277" s="364">
        <v>2.6</v>
      </c>
      <c r="N277" s="364">
        <f t="shared" si="477"/>
        <v>4.47</v>
      </c>
      <c r="O277" s="364">
        <v>-3.48</v>
      </c>
      <c r="P277" s="364">
        <v>14.7</v>
      </c>
      <c r="Q277" s="364">
        <v>5.99</v>
      </c>
      <c r="R277" s="321">
        <v>34.26</v>
      </c>
      <c r="S277" s="321">
        <v>-5.6194351857414393</v>
      </c>
      <c r="T277" s="364">
        <v>2.7768541847652761</v>
      </c>
      <c r="U277" s="321">
        <v>6.6</v>
      </c>
      <c r="V277" s="321">
        <v>10.4</v>
      </c>
      <c r="W277" s="610">
        <v>10</v>
      </c>
      <c r="X277" s="321">
        <v>13.54</v>
      </c>
      <c r="Y277" s="321">
        <v>6.2</v>
      </c>
      <c r="Z277" s="321">
        <v>22.6</v>
      </c>
      <c r="AA277" s="321">
        <v>10.4</v>
      </c>
      <c r="AB277" s="364">
        <v>126.54867256637168</v>
      </c>
      <c r="AC277" s="364">
        <v>-0.78</v>
      </c>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320"/>
      <c r="BS277" s="320"/>
      <c r="BT277" s="320"/>
      <c r="BU277" s="320"/>
      <c r="BV277" s="320"/>
      <c r="BW277" s="320"/>
      <c r="BX277" s="303">
        <v>16.858890783271498</v>
      </c>
      <c r="BY277" s="303">
        <v>2.7768541847652761</v>
      </c>
      <c r="BZ277" s="320">
        <v>10.41</v>
      </c>
      <c r="CA277" s="321">
        <v>13.293943870014768</v>
      </c>
    </row>
    <row r="278" spans="1:79">
      <c r="A278" s="58">
        <f t="shared" si="476"/>
        <v>1980</v>
      </c>
      <c r="B278" s="321">
        <v>32.700000000000003</v>
      </c>
      <c r="C278" s="321">
        <v>24.4</v>
      </c>
      <c r="D278" s="321">
        <v>31.9</v>
      </c>
      <c r="E278" s="321">
        <v>39.6</v>
      </c>
      <c r="F278" s="321">
        <v>32.5</v>
      </c>
      <c r="G278" s="321">
        <v>25.4</v>
      </c>
      <c r="H278" s="321">
        <v>38.6</v>
      </c>
      <c r="I278" s="321">
        <v>52.3</v>
      </c>
      <c r="J278" s="321">
        <v>30.5</v>
      </c>
      <c r="K278" s="321">
        <v>24.4</v>
      </c>
      <c r="L278" s="321">
        <v>22.6</v>
      </c>
      <c r="M278" s="364">
        <v>26.8</v>
      </c>
      <c r="N278" s="364">
        <f t="shared" si="477"/>
        <v>23.23</v>
      </c>
      <c r="O278" s="364">
        <v>36.380000000000003</v>
      </c>
      <c r="P278" s="364">
        <v>14.5</v>
      </c>
      <c r="Q278" s="364">
        <v>18.75</v>
      </c>
      <c r="R278" s="321">
        <v>6.12</v>
      </c>
      <c r="S278" s="321">
        <v>-2.3474816556489975</v>
      </c>
      <c r="T278" s="364">
        <v>3.5211746203250405</v>
      </c>
      <c r="U278" s="321">
        <v>6.6</v>
      </c>
      <c r="V278" s="321">
        <v>11.3</v>
      </c>
      <c r="W278" s="610">
        <v>15.4</v>
      </c>
      <c r="X278" s="321">
        <v>22.58</v>
      </c>
      <c r="Y278" s="321">
        <v>11.88</v>
      </c>
      <c r="Z278" s="321">
        <v>22.6</v>
      </c>
      <c r="AA278" s="321">
        <v>14.1</v>
      </c>
      <c r="AB278" s="364">
        <v>15.185546875</v>
      </c>
      <c r="AC278" s="364">
        <v>35.46</v>
      </c>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320"/>
      <c r="BS278" s="320"/>
      <c r="BT278" s="320"/>
      <c r="BU278" s="320"/>
      <c r="BV278" s="320"/>
      <c r="BW278" s="320"/>
      <c r="BX278" s="303">
        <v>25.48931180662035</v>
      </c>
      <c r="BY278" s="303">
        <v>3.5211746203250405</v>
      </c>
      <c r="BZ278" s="320">
        <v>12.06</v>
      </c>
      <c r="CA278" s="321">
        <v>12.516297262059961</v>
      </c>
    </row>
    <row r="279" spans="1:79">
      <c r="A279" s="58">
        <f t="shared" si="476"/>
        <v>1981</v>
      </c>
      <c r="B279" s="321">
        <v>-3.7</v>
      </c>
      <c r="C279" s="321">
        <v>1.3</v>
      </c>
      <c r="D279" s="321">
        <v>-5.2</v>
      </c>
      <c r="E279" s="321">
        <v>-11.3</v>
      </c>
      <c r="F279" s="321">
        <v>2.4</v>
      </c>
      <c r="G279" s="321">
        <v>14.9</v>
      </c>
      <c r="H279" s="321">
        <v>2</v>
      </c>
      <c r="I279" s="321">
        <v>-9.1999999999999993</v>
      </c>
      <c r="J279" s="321">
        <v>7.8</v>
      </c>
      <c r="K279" s="321">
        <v>6</v>
      </c>
      <c r="L279" s="321">
        <v>-1</v>
      </c>
      <c r="M279" s="364">
        <v>4.5999999999999996</v>
      </c>
      <c r="N279" s="364">
        <f t="shared" si="477"/>
        <v>-0.16000000000000003</v>
      </c>
      <c r="O279" s="364">
        <v>8.31</v>
      </c>
      <c r="P279" s="364">
        <v>-10.4</v>
      </c>
      <c r="Q279" s="364">
        <v>8.99</v>
      </c>
      <c r="R279" s="321">
        <v>-22.52</v>
      </c>
      <c r="S279" s="321">
        <v>-3.0911479319514212</v>
      </c>
      <c r="T279" s="364">
        <v>5.6858156051123876</v>
      </c>
      <c r="U279" s="321">
        <v>10.8</v>
      </c>
      <c r="V279" s="321">
        <v>14.7</v>
      </c>
      <c r="W279" s="610">
        <v>6</v>
      </c>
      <c r="X279" s="321">
        <v>2.9</v>
      </c>
      <c r="Y279" s="321">
        <v>8.67</v>
      </c>
      <c r="Z279" s="321">
        <v>16.8</v>
      </c>
      <c r="AA279" s="321">
        <v>18.899999999999999</v>
      </c>
      <c r="AB279" s="364">
        <v>-32.598558711318354</v>
      </c>
      <c r="AC279" s="364">
        <v>0.1</v>
      </c>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320"/>
      <c r="BS279" s="320"/>
      <c r="BT279" s="320"/>
      <c r="BU279" s="320"/>
      <c r="BV279" s="320"/>
      <c r="BW279" s="320"/>
      <c r="BX279" s="303">
        <v>-6.813566969993234</v>
      </c>
      <c r="BY279" s="303">
        <v>5.6858156051123876</v>
      </c>
      <c r="BZ279" s="320">
        <v>14.08</v>
      </c>
      <c r="CA279" s="321">
        <v>8.9223638470451903</v>
      </c>
    </row>
    <row r="280" spans="1:79">
      <c r="A280" s="58">
        <f t="shared" si="476"/>
        <v>1982</v>
      </c>
      <c r="B280" s="321">
        <v>20.8</v>
      </c>
      <c r="C280" s="321">
        <v>20</v>
      </c>
      <c r="D280" s="321">
        <v>20.9</v>
      </c>
      <c r="E280" s="321">
        <v>20.5</v>
      </c>
      <c r="F280" s="321">
        <v>23.3</v>
      </c>
      <c r="G280" s="321">
        <v>28.5</v>
      </c>
      <c r="H280" s="321">
        <v>24.9</v>
      </c>
      <c r="I280" s="321">
        <v>21</v>
      </c>
      <c r="J280" s="321">
        <v>28</v>
      </c>
      <c r="K280" s="321">
        <v>21.6</v>
      </c>
      <c r="L280" s="321">
        <v>-0.9</v>
      </c>
      <c r="M280" s="364">
        <v>-1.1000000000000001</v>
      </c>
      <c r="N280" s="364">
        <f t="shared" si="477"/>
        <v>-0.93</v>
      </c>
      <c r="O280" s="364">
        <v>-6.26</v>
      </c>
      <c r="P280" s="364">
        <v>5.7</v>
      </c>
      <c r="Q280" s="364">
        <v>-2.2000000000000002</v>
      </c>
      <c r="R280" s="321">
        <v>3.84</v>
      </c>
      <c r="S280" s="321">
        <v>48.594802599060372</v>
      </c>
      <c r="T280" s="364">
        <v>33.320327066521017</v>
      </c>
      <c r="U280" s="321">
        <v>25.4</v>
      </c>
      <c r="V280" s="321">
        <v>10.5</v>
      </c>
      <c r="W280" s="610">
        <v>-7.6</v>
      </c>
      <c r="X280" s="321">
        <v>24.55</v>
      </c>
      <c r="Y280" s="321">
        <v>23.3</v>
      </c>
      <c r="Z280" s="321">
        <v>21.7</v>
      </c>
      <c r="AA280" s="321">
        <v>19.5</v>
      </c>
      <c r="AB280" s="364">
        <v>14.943396226415089</v>
      </c>
      <c r="AC280" s="364">
        <v>0.04</v>
      </c>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320"/>
      <c r="BS280" s="320"/>
      <c r="BT280" s="320"/>
      <c r="BU280" s="320"/>
      <c r="BV280" s="320"/>
      <c r="BW280" s="320"/>
      <c r="BX280" s="303">
        <v>28.87107776261939</v>
      </c>
      <c r="BY280" s="303">
        <v>33.320327066521017</v>
      </c>
      <c r="BZ280" s="320">
        <v>14.32</v>
      </c>
      <c r="CA280" s="321">
        <v>3.8297872340425476</v>
      </c>
    </row>
    <row r="281" spans="1:79">
      <c r="A281" s="58">
        <f t="shared" si="476"/>
        <v>1983</v>
      </c>
      <c r="B281" s="321">
        <v>22</v>
      </c>
      <c r="C281" s="321">
        <v>28.3</v>
      </c>
      <c r="D281" s="321">
        <v>21.3</v>
      </c>
      <c r="E281" s="321">
        <v>16</v>
      </c>
      <c r="F281" s="321">
        <v>23.8</v>
      </c>
      <c r="G281" s="321">
        <v>38.6</v>
      </c>
      <c r="H281" s="321">
        <v>29.1</v>
      </c>
      <c r="I281" s="321">
        <v>20.100000000000001</v>
      </c>
      <c r="J281" s="321">
        <v>37.299999999999997</v>
      </c>
      <c r="K281" s="321">
        <v>30.6</v>
      </c>
      <c r="L281" s="321">
        <v>24.6</v>
      </c>
      <c r="M281" s="364">
        <v>32.6</v>
      </c>
      <c r="N281" s="364">
        <f t="shared" si="477"/>
        <v>25.8</v>
      </c>
      <c r="O281" s="364">
        <v>26.42</v>
      </c>
      <c r="P281" s="364">
        <v>22.4</v>
      </c>
      <c r="Q281" s="364">
        <v>29.35</v>
      </c>
      <c r="R281" s="321">
        <v>12.24</v>
      </c>
      <c r="S281" s="321">
        <v>1.8877889502425971</v>
      </c>
      <c r="T281" s="364">
        <v>5.822959044980025</v>
      </c>
      <c r="U281" s="321">
        <v>8.1999999999999993</v>
      </c>
      <c r="V281" s="321">
        <v>8.8000000000000007</v>
      </c>
      <c r="W281" s="610">
        <v>17.100000000000001</v>
      </c>
      <c r="X281" s="321">
        <v>23.57</v>
      </c>
      <c r="Y281" s="321">
        <v>18.600000000000001</v>
      </c>
      <c r="Z281" s="321">
        <v>30.1</v>
      </c>
      <c r="AA281" s="321">
        <v>8.6</v>
      </c>
      <c r="AB281" s="364">
        <v>-16.305537316699496</v>
      </c>
      <c r="AC281" s="364">
        <v>36.119999999999997</v>
      </c>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320"/>
      <c r="BS281" s="320"/>
      <c r="BT281" s="320"/>
      <c r="BU281" s="320"/>
      <c r="BV281" s="320"/>
      <c r="BW281" s="320"/>
      <c r="BX281" s="303">
        <v>20.246759548069583</v>
      </c>
      <c r="BY281" s="303">
        <v>5.822959044980025</v>
      </c>
      <c r="BZ281" s="320">
        <v>8.6199999999999992</v>
      </c>
      <c r="CA281" s="321">
        <v>3.7909836065573854</v>
      </c>
    </row>
    <row r="282" spans="1:79">
      <c r="A282" s="58">
        <f t="shared" si="476"/>
        <v>1984</v>
      </c>
      <c r="B282" s="321">
        <v>4.5</v>
      </c>
      <c r="C282" s="321">
        <v>10.1</v>
      </c>
      <c r="D282" s="321">
        <v>6.21</v>
      </c>
      <c r="E282" s="321">
        <v>-1</v>
      </c>
      <c r="F282" s="321">
        <v>1.4</v>
      </c>
      <c r="G282" s="321">
        <v>2.2999999999999998</v>
      </c>
      <c r="H282" s="321">
        <v>-7.3</v>
      </c>
      <c r="I282" s="321">
        <v>-15.8</v>
      </c>
      <c r="J282" s="321">
        <v>-19.5</v>
      </c>
      <c r="K282" s="321">
        <v>20.9</v>
      </c>
      <c r="L282" s="321">
        <v>7.9</v>
      </c>
      <c r="M282" s="364">
        <v>10.3</v>
      </c>
      <c r="N282" s="364">
        <f t="shared" si="477"/>
        <v>8.26</v>
      </c>
      <c r="O282" s="364">
        <v>13.48</v>
      </c>
      <c r="P282" s="364">
        <v>1.3</v>
      </c>
      <c r="Q282" s="364">
        <v>9.01</v>
      </c>
      <c r="R282" s="321">
        <v>-3.51</v>
      </c>
      <c r="S282" s="321">
        <v>13.989009440849598</v>
      </c>
      <c r="T282" s="364">
        <v>13.240276534091011</v>
      </c>
      <c r="U282" s="321">
        <v>14.3</v>
      </c>
      <c r="V282" s="366">
        <v>9.8000000000000007</v>
      </c>
      <c r="W282" s="610">
        <v>15.8</v>
      </c>
      <c r="X282" s="321">
        <v>10.7</v>
      </c>
      <c r="Y282" s="321">
        <v>16.64</v>
      </c>
      <c r="Z282" s="321">
        <v>19.47</v>
      </c>
      <c r="AA282" s="321">
        <v>12.8</v>
      </c>
      <c r="AB282" s="364">
        <v>-19.194560669456063</v>
      </c>
      <c r="AC282" s="364">
        <v>11.62</v>
      </c>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320"/>
      <c r="BS282" s="320"/>
      <c r="BT282" s="320"/>
      <c r="BU282" s="320"/>
      <c r="BV282" s="320"/>
      <c r="BW282" s="320"/>
      <c r="BX282" s="303">
        <v>7.6627201153915747</v>
      </c>
      <c r="BY282" s="303">
        <v>13.240276534091011</v>
      </c>
      <c r="BZ282" s="320">
        <v>9.9</v>
      </c>
      <c r="CA282" s="321">
        <v>3.948667324777877</v>
      </c>
    </row>
    <row r="283" spans="1:79">
      <c r="A283" s="58">
        <f t="shared" si="476"/>
        <v>1985</v>
      </c>
      <c r="B283" s="321">
        <v>32.200000000000003</v>
      </c>
      <c r="C283" s="321">
        <v>31.5</v>
      </c>
      <c r="D283" s="321">
        <v>31.23</v>
      </c>
      <c r="E283" s="321">
        <v>32.9</v>
      </c>
      <c r="F283" s="321">
        <v>32</v>
      </c>
      <c r="G283" s="321">
        <v>31</v>
      </c>
      <c r="H283" s="321">
        <v>31.1</v>
      </c>
      <c r="I283" s="321">
        <v>31</v>
      </c>
      <c r="J283" s="321">
        <v>25.7</v>
      </c>
      <c r="K283" s="321">
        <v>19.100000000000001</v>
      </c>
      <c r="L283" s="321">
        <v>56.7</v>
      </c>
      <c r="M283" s="364">
        <v>60.9</v>
      </c>
      <c r="N283" s="364">
        <f t="shared" si="477"/>
        <v>57.33</v>
      </c>
      <c r="O283" s="364">
        <v>39.39</v>
      </c>
      <c r="P283" s="364">
        <v>79.8</v>
      </c>
      <c r="Q283" s="364">
        <v>55.11</v>
      </c>
      <c r="R283" s="321">
        <v>13.03</v>
      </c>
      <c r="S283" s="321">
        <v>30.665176307488107</v>
      </c>
      <c r="T283" s="364">
        <v>20.586635543886089</v>
      </c>
      <c r="U283" s="321">
        <v>18</v>
      </c>
      <c r="V283" s="321">
        <v>7.37</v>
      </c>
      <c r="W283" s="610">
        <v>8.9</v>
      </c>
      <c r="X283" s="321">
        <v>28.53</v>
      </c>
      <c r="Y283" s="321">
        <v>27.41</v>
      </c>
      <c r="Z283" s="321">
        <v>28.03</v>
      </c>
      <c r="AA283" s="321">
        <v>13.2</v>
      </c>
      <c r="AB283" s="364">
        <v>5.679611650485441</v>
      </c>
      <c r="AC283" s="364">
        <v>67.5</v>
      </c>
      <c r="AD283" s="609">
        <v>14.43</v>
      </c>
      <c r="AE283" s="609">
        <v>45.76</v>
      </c>
      <c r="AF283" s="609">
        <v>-5.03</v>
      </c>
      <c r="AG283" s="609">
        <v>11.12</v>
      </c>
      <c r="AH283" s="609">
        <v>6.95</v>
      </c>
      <c r="AI283" s="609">
        <v>17.329999999999998</v>
      </c>
      <c r="AJ283" s="609">
        <v>20.77</v>
      </c>
      <c r="AK283" s="609">
        <v>21.99</v>
      </c>
      <c r="AL283" s="422">
        <v>32</v>
      </c>
      <c r="AM283" s="422">
        <v>32</v>
      </c>
      <c r="AN283" s="527">
        <v>31.6</v>
      </c>
      <c r="AO283" s="527">
        <v>1.65</v>
      </c>
      <c r="AP283" s="529">
        <v>14.9</v>
      </c>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320"/>
      <c r="BS283" s="320"/>
      <c r="BT283" s="320"/>
      <c r="BU283" s="320"/>
      <c r="BV283" s="320"/>
      <c r="BW283" s="320"/>
      <c r="BX283" s="303">
        <v>25.919235475788117</v>
      </c>
      <c r="BY283" s="303">
        <v>20.586635543886089</v>
      </c>
      <c r="BZ283" s="320">
        <v>9.02</v>
      </c>
      <c r="CA283" s="321">
        <v>3.7986704653371284</v>
      </c>
    </row>
    <row r="284" spans="1:79">
      <c r="A284" s="58">
        <f t="shared" si="476"/>
        <v>1986</v>
      </c>
      <c r="B284" s="321">
        <v>16.100000000000001</v>
      </c>
      <c r="C284" s="321">
        <v>20</v>
      </c>
      <c r="D284" s="321">
        <v>18.059999999999999</v>
      </c>
      <c r="E284" s="321">
        <v>15.4</v>
      </c>
      <c r="F284" s="321">
        <v>18.2</v>
      </c>
      <c r="G284" s="321">
        <v>7.4</v>
      </c>
      <c r="H284" s="321">
        <v>5.7</v>
      </c>
      <c r="I284" s="321">
        <v>3.6</v>
      </c>
      <c r="J284" s="321">
        <v>0.3</v>
      </c>
      <c r="K284" s="321">
        <v>19.2</v>
      </c>
      <c r="L284" s="321">
        <v>69.900000000000006</v>
      </c>
      <c r="M284" s="364">
        <v>62.7</v>
      </c>
      <c r="N284" s="364">
        <f t="shared" si="477"/>
        <v>68.820000000000007</v>
      </c>
      <c r="O284" s="364">
        <v>93.82</v>
      </c>
      <c r="P284" s="364">
        <v>44.5</v>
      </c>
      <c r="Q284" s="364">
        <v>65.37</v>
      </c>
      <c r="R284" s="321">
        <v>-6.19</v>
      </c>
      <c r="S284" s="321">
        <v>30.929350763195341</v>
      </c>
      <c r="T284" s="364">
        <v>18.257338627116315</v>
      </c>
      <c r="U284" s="321">
        <v>13.1</v>
      </c>
      <c r="V284" s="321">
        <v>6</v>
      </c>
      <c r="W284" s="610">
        <v>22.2</v>
      </c>
      <c r="X284" s="321">
        <v>18.399999999999999</v>
      </c>
      <c r="Y284" s="321">
        <v>18.34</v>
      </c>
      <c r="Z284" s="321">
        <v>20.27</v>
      </c>
      <c r="AA284" s="321">
        <v>11.9</v>
      </c>
      <c r="AB284" s="364">
        <v>21.307609860664517</v>
      </c>
      <c r="AC284" s="364">
        <v>59.54</v>
      </c>
      <c r="AD284" s="364">
        <v>12.7</v>
      </c>
      <c r="AE284" s="321">
        <v>21.42</v>
      </c>
      <c r="AF284" s="321">
        <v>49.88</v>
      </c>
      <c r="AG284" s="321">
        <v>21.41</v>
      </c>
      <c r="AH284" s="321">
        <v>7.39</v>
      </c>
      <c r="AI284" s="321">
        <v>16.21</v>
      </c>
      <c r="AJ284" s="321">
        <v>19.38</v>
      </c>
      <c r="AK284" s="321">
        <v>16.86</v>
      </c>
      <c r="AL284" s="364">
        <v>17.600000000000001</v>
      </c>
      <c r="AM284" s="364">
        <v>17.899999999999999</v>
      </c>
      <c r="AN284" s="365">
        <v>12.58</v>
      </c>
      <c r="AO284" s="611">
        <v>1.65</v>
      </c>
      <c r="AP284" s="528">
        <v>11.4</v>
      </c>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320"/>
      <c r="BS284" s="320"/>
      <c r="BT284" s="320"/>
      <c r="BU284" s="320"/>
      <c r="BV284" s="320"/>
      <c r="BW284" s="320"/>
      <c r="BX284" s="303">
        <v>31.029348191555783</v>
      </c>
      <c r="BY284" s="303">
        <v>18.257338627116315</v>
      </c>
      <c r="BZ284" s="320">
        <v>7.73</v>
      </c>
      <c r="CA284" s="321">
        <v>1.0978956999085021</v>
      </c>
    </row>
    <row r="285" spans="1:79">
      <c r="A285" s="58">
        <f t="shared" si="476"/>
        <v>1987</v>
      </c>
      <c r="B285" s="321">
        <v>1.7</v>
      </c>
      <c r="C285" s="321">
        <v>0.5</v>
      </c>
      <c r="D285" s="321">
        <v>4.71</v>
      </c>
      <c r="E285" s="321">
        <v>5.3</v>
      </c>
      <c r="F285" s="321">
        <v>0.2</v>
      </c>
      <c r="G285" s="321">
        <v>-7.1</v>
      </c>
      <c r="H285" s="321">
        <v>-8.8000000000000007</v>
      </c>
      <c r="I285" s="321">
        <v>-10.5</v>
      </c>
      <c r="J285" s="321">
        <v>-14.9</v>
      </c>
      <c r="K285" s="321">
        <v>-3.6</v>
      </c>
      <c r="L285" s="321">
        <v>24.9</v>
      </c>
      <c r="M285" s="364">
        <v>37.700000000000003</v>
      </c>
      <c r="N285" s="364">
        <f t="shared" si="477"/>
        <v>26.82</v>
      </c>
      <c r="O285" s="364">
        <v>39.85</v>
      </c>
      <c r="P285" s="364">
        <v>4.0999999999999996</v>
      </c>
      <c r="Q285" s="364">
        <v>35.020000000000003</v>
      </c>
      <c r="R285" s="321">
        <v>17.91</v>
      </c>
      <c r="S285" s="609">
        <v>-2.93</v>
      </c>
      <c r="T285" s="364">
        <v>1.0395319970092132</v>
      </c>
      <c r="U285" s="366">
        <v>1.1399999999999999</v>
      </c>
      <c r="V285" s="321">
        <v>6.12</v>
      </c>
      <c r="W285" s="610">
        <v>8.4</v>
      </c>
      <c r="X285" s="321">
        <v>2.2799999999999998</v>
      </c>
      <c r="Y285" s="321">
        <v>-1.92</v>
      </c>
      <c r="Z285" s="321">
        <v>1.23</v>
      </c>
      <c r="AA285" s="321">
        <v>6</v>
      </c>
      <c r="AB285" s="364">
        <v>22.207356170953986</v>
      </c>
      <c r="AC285" s="364">
        <v>40.67</v>
      </c>
      <c r="AD285" s="364">
        <v>6.13</v>
      </c>
      <c r="AE285" s="321">
        <v>-0.5</v>
      </c>
      <c r="AF285" s="321">
        <v>38.729999999999997</v>
      </c>
      <c r="AG285" s="321">
        <v>-2.14</v>
      </c>
      <c r="AH285" s="321">
        <v>4.1100000000000003</v>
      </c>
      <c r="AI285" s="321">
        <v>1.64</v>
      </c>
      <c r="AJ285" s="321">
        <v>-1.1399999999999999</v>
      </c>
      <c r="AK285" s="321">
        <v>2.65</v>
      </c>
      <c r="AL285" s="364">
        <v>2.8</v>
      </c>
      <c r="AM285" s="364">
        <v>-2.2000000000000002</v>
      </c>
      <c r="AN285" s="366">
        <v>-3.85</v>
      </c>
      <c r="AO285" s="322">
        <v>1.65</v>
      </c>
      <c r="AP285" s="528">
        <v>4.46</v>
      </c>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320"/>
      <c r="BS285" s="320"/>
      <c r="BT285" s="320"/>
      <c r="BU285" s="320"/>
      <c r="BV285" s="320"/>
      <c r="BW285" s="320"/>
      <c r="BX285" s="303">
        <v>-1.973460360666901</v>
      </c>
      <c r="BY285" s="303">
        <v>1.0395319970092132</v>
      </c>
      <c r="BZ285" s="320">
        <v>5.78</v>
      </c>
      <c r="CA285" s="321">
        <v>4.4343891402714997</v>
      </c>
    </row>
    <row r="286" spans="1:79">
      <c r="A286" s="58">
        <f t="shared" si="476"/>
        <v>1988</v>
      </c>
      <c r="B286" s="321">
        <v>18</v>
      </c>
      <c r="C286" s="321">
        <v>23.2</v>
      </c>
      <c r="D286" s="321">
        <v>16.22</v>
      </c>
      <c r="E286" s="321">
        <v>11.3</v>
      </c>
      <c r="F286" s="321">
        <v>19.8</v>
      </c>
      <c r="G286" s="321">
        <v>29.5</v>
      </c>
      <c r="H286" s="321">
        <v>24.9</v>
      </c>
      <c r="I286" s="321">
        <v>20.399999999999999</v>
      </c>
      <c r="J286" s="321">
        <v>20.8</v>
      </c>
      <c r="K286" s="321">
        <v>13.5</v>
      </c>
      <c r="L286" s="321">
        <v>28.6</v>
      </c>
      <c r="M286" s="364">
        <v>40.4</v>
      </c>
      <c r="N286" s="364">
        <f t="shared" si="477"/>
        <v>30.37</v>
      </c>
      <c r="O286" s="364">
        <v>35.19</v>
      </c>
      <c r="P286" s="364">
        <v>16.399999999999999</v>
      </c>
      <c r="Q286" s="364">
        <v>38.6</v>
      </c>
      <c r="R286" s="321">
        <v>18.5</v>
      </c>
      <c r="S286" s="321">
        <v>9.15</v>
      </c>
      <c r="T286" s="364">
        <v>5.630832759741855</v>
      </c>
      <c r="U286" s="321">
        <v>7.35</v>
      </c>
      <c r="V286" s="321">
        <v>7.18</v>
      </c>
      <c r="W286" s="610">
        <v>18.899999999999999</v>
      </c>
      <c r="X286" s="321">
        <v>16.11</v>
      </c>
      <c r="Y286" s="321">
        <v>13.61</v>
      </c>
      <c r="Z286" s="321">
        <v>28.7</v>
      </c>
      <c r="AA286" s="321">
        <v>5.9</v>
      </c>
      <c r="AB286" s="364">
        <v>-15.255112580045449</v>
      </c>
      <c r="AC286" s="364">
        <v>25.94</v>
      </c>
      <c r="AD286" s="364">
        <v>21.37</v>
      </c>
      <c r="AE286" s="321">
        <v>28.4</v>
      </c>
      <c r="AF286" s="321">
        <v>-14.19</v>
      </c>
      <c r="AG286" s="321">
        <v>24.72</v>
      </c>
      <c r="AH286" s="321">
        <v>5.61</v>
      </c>
      <c r="AI286" s="321">
        <v>10</v>
      </c>
      <c r="AJ286" s="321">
        <v>12.24</v>
      </c>
      <c r="AK286" s="321">
        <v>13.55</v>
      </c>
      <c r="AL286" s="364">
        <v>12.9</v>
      </c>
      <c r="AM286" s="364">
        <v>24.6</v>
      </c>
      <c r="AN286" s="321">
        <v>19.75</v>
      </c>
      <c r="AO286" s="320">
        <v>6.25</v>
      </c>
      <c r="AP286" s="528">
        <v>6.95</v>
      </c>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320"/>
      <c r="BS286" s="320"/>
      <c r="BT286" s="320"/>
      <c r="BU286" s="320"/>
      <c r="BV286" s="320"/>
      <c r="BW286" s="320"/>
      <c r="BX286" s="303">
        <v>17.829766847652539</v>
      </c>
      <c r="BY286" s="303">
        <v>5.630832759741855</v>
      </c>
      <c r="BZ286" s="320">
        <v>6.99</v>
      </c>
      <c r="CA286" s="321">
        <v>4.4194107452339537</v>
      </c>
    </row>
    <row r="287" spans="1:79">
      <c r="A287" s="58">
        <f t="shared" si="476"/>
        <v>1989</v>
      </c>
      <c r="B287" s="321">
        <v>28.9</v>
      </c>
      <c r="C287" s="321">
        <v>25.2</v>
      </c>
      <c r="D287" s="321">
        <v>31.36</v>
      </c>
      <c r="E287" s="321">
        <v>35.9</v>
      </c>
      <c r="F287" s="321">
        <v>26.3</v>
      </c>
      <c r="G287" s="321">
        <v>12.4</v>
      </c>
      <c r="H287" s="321">
        <v>16.2</v>
      </c>
      <c r="I287" s="321">
        <v>20.2</v>
      </c>
      <c r="J287" s="321">
        <v>5.5</v>
      </c>
      <c r="K287" s="321">
        <v>8.8000000000000007</v>
      </c>
      <c r="L287" s="321">
        <v>10.8</v>
      </c>
      <c r="M287" s="364">
        <v>65</v>
      </c>
      <c r="N287" s="364">
        <f t="shared" si="477"/>
        <v>18.93</v>
      </c>
      <c r="O287" s="364">
        <v>2.68</v>
      </c>
      <c r="P287" s="364">
        <v>29.1</v>
      </c>
      <c r="Q287" s="364">
        <v>18.16</v>
      </c>
      <c r="R287" s="321">
        <v>27.72</v>
      </c>
      <c r="S287" s="321">
        <v>17.93</v>
      </c>
      <c r="T287" s="364">
        <v>13.115238177479149</v>
      </c>
      <c r="U287" s="321">
        <v>13.64</v>
      </c>
      <c r="V287" s="321">
        <v>8.8699999999999992</v>
      </c>
      <c r="W287" s="610">
        <v>6.1</v>
      </c>
      <c r="X287" s="321">
        <v>21.6</v>
      </c>
      <c r="Y287" s="321">
        <v>20.93</v>
      </c>
      <c r="Z287" s="321">
        <v>15.02</v>
      </c>
      <c r="AA287" s="321">
        <v>8.6999999999999993</v>
      </c>
      <c r="AB287" s="364">
        <v>-2.8397318708104762</v>
      </c>
      <c r="AC287" s="364">
        <v>30.77</v>
      </c>
      <c r="AD287" s="364">
        <v>43.45</v>
      </c>
      <c r="AE287" s="321">
        <v>32.950000000000003</v>
      </c>
      <c r="AF287" s="321">
        <v>30.4</v>
      </c>
      <c r="AG287" s="321">
        <v>27.83</v>
      </c>
      <c r="AH287" s="321">
        <v>7.08</v>
      </c>
      <c r="AI287" s="321">
        <v>10</v>
      </c>
      <c r="AJ287" s="321">
        <v>11.54</v>
      </c>
      <c r="AK287" s="321">
        <v>1.89</v>
      </c>
      <c r="AL287" s="364">
        <v>31.5</v>
      </c>
      <c r="AM287" s="364">
        <v>22.7</v>
      </c>
      <c r="AN287" s="321">
        <v>24.1</v>
      </c>
      <c r="AO287" s="320">
        <v>13.45</v>
      </c>
      <c r="AP287" s="528">
        <v>11.45</v>
      </c>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320"/>
      <c r="BS287" s="320"/>
      <c r="BT287" s="320"/>
      <c r="BU287" s="320"/>
      <c r="BV287" s="320"/>
      <c r="BW287" s="320"/>
      <c r="BX287" s="303">
        <v>22.987982201044122</v>
      </c>
      <c r="BY287" s="303">
        <v>13.115238177479149</v>
      </c>
      <c r="BZ287" s="320">
        <v>9.0500000000000007</v>
      </c>
      <c r="CA287" s="321">
        <v>4.647302904564321</v>
      </c>
    </row>
    <row r="288" spans="1:79">
      <c r="A288" s="58">
        <f t="shared" si="476"/>
        <v>1990</v>
      </c>
      <c r="B288" s="321">
        <v>-6</v>
      </c>
      <c r="C288" s="321">
        <v>-8.1</v>
      </c>
      <c r="D288" s="321">
        <v>-3.32</v>
      </c>
      <c r="E288" s="321">
        <v>-0.3</v>
      </c>
      <c r="F288" s="321">
        <v>-11.5</v>
      </c>
      <c r="G288" s="321">
        <v>-21.8</v>
      </c>
      <c r="H288" s="321">
        <v>-19.5</v>
      </c>
      <c r="I288" s="321">
        <v>-17.399999999999999</v>
      </c>
      <c r="J288" s="321">
        <v>-31.3</v>
      </c>
      <c r="K288" s="321">
        <v>-15.4</v>
      </c>
      <c r="L288" s="321">
        <v>-23.2</v>
      </c>
      <c r="M288" s="364">
        <v>-10.6</v>
      </c>
      <c r="N288" s="364">
        <f t="shared" si="477"/>
        <v>-21.31</v>
      </c>
      <c r="O288" s="364">
        <v>-34.29</v>
      </c>
      <c r="P288" s="364">
        <v>-3.4</v>
      </c>
      <c r="Q288" s="364">
        <v>-21.63</v>
      </c>
      <c r="R288" s="321">
        <v>25.13</v>
      </c>
      <c r="S288" s="321">
        <v>5.78</v>
      </c>
      <c r="T288" s="364">
        <v>9.6370943977155399</v>
      </c>
      <c r="U288" s="321">
        <v>8.65</v>
      </c>
      <c r="V288" s="321">
        <v>7.94</v>
      </c>
      <c r="W288" s="610">
        <v>6.2</v>
      </c>
      <c r="X288" s="321">
        <v>-2.81</v>
      </c>
      <c r="Y288" s="321">
        <v>3.76</v>
      </c>
      <c r="Z288" s="321">
        <v>-15.5</v>
      </c>
      <c r="AA288" s="321">
        <v>8.9</v>
      </c>
      <c r="AB288" s="364">
        <v>-1.4676367285499303</v>
      </c>
      <c r="AC288" s="364">
        <v>-17.940000000000001</v>
      </c>
      <c r="AD288" s="364">
        <v>-1.37</v>
      </c>
      <c r="AE288" s="321">
        <v>16.79</v>
      </c>
      <c r="AF288" s="321">
        <v>-19.86</v>
      </c>
      <c r="AG288" s="321">
        <v>-9.98</v>
      </c>
      <c r="AH288" s="321">
        <v>6.57</v>
      </c>
      <c r="AI288" s="321">
        <v>7.2</v>
      </c>
      <c r="AJ288" s="321">
        <v>6.82</v>
      </c>
      <c r="AK288" s="321">
        <v>-5.85</v>
      </c>
      <c r="AL288" s="364">
        <v>-5.0999999999999996</v>
      </c>
      <c r="AM288" s="364">
        <v>-16.100000000000001</v>
      </c>
      <c r="AN288" s="321">
        <v>-14.05</v>
      </c>
      <c r="AO288" s="320">
        <v>8.0500000000000007</v>
      </c>
      <c r="AP288" s="528">
        <v>9.23</v>
      </c>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320"/>
      <c r="BS288" s="320"/>
      <c r="BT288" s="320"/>
      <c r="BU288" s="320"/>
      <c r="BV288" s="320"/>
      <c r="BW288" s="320"/>
      <c r="BX288" s="303">
        <v>-0.69712033414712771</v>
      </c>
      <c r="BY288" s="303">
        <v>9.6370943977155399</v>
      </c>
      <c r="BZ288" s="320">
        <v>7.92</v>
      </c>
      <c r="CA288" s="321">
        <v>6.1062648691514898</v>
      </c>
    </row>
    <row r="289" spans="1:80">
      <c r="A289" s="58">
        <f t="shared" si="476"/>
        <v>1991</v>
      </c>
      <c r="B289" s="321">
        <v>34.700000000000003</v>
      </c>
      <c r="C289" s="321">
        <v>24.6</v>
      </c>
      <c r="D289" s="321">
        <v>30.22</v>
      </c>
      <c r="E289" s="321">
        <v>41.2</v>
      </c>
      <c r="F289" s="321">
        <v>41.5</v>
      </c>
      <c r="G289" s="321">
        <v>41.7</v>
      </c>
      <c r="H289" s="321">
        <v>46.1</v>
      </c>
      <c r="I289" s="321">
        <v>51.2</v>
      </c>
      <c r="J289" s="321">
        <v>48.3</v>
      </c>
      <c r="K289" s="321">
        <v>35.700000000000003</v>
      </c>
      <c r="L289" s="321">
        <v>12.5</v>
      </c>
      <c r="M289" s="364">
        <v>59.9</v>
      </c>
      <c r="N289" s="364">
        <f t="shared" si="477"/>
        <v>19.61</v>
      </c>
      <c r="O289" s="366">
        <v>10.65</v>
      </c>
      <c r="P289" s="366">
        <v>12.4</v>
      </c>
      <c r="Q289" s="366">
        <v>10.8</v>
      </c>
      <c r="R289" s="321">
        <v>3.77</v>
      </c>
      <c r="S289" s="321">
        <v>17.43</v>
      </c>
      <c r="T289" s="364">
        <v>14.193016310688256</v>
      </c>
      <c r="U289" s="321">
        <v>15.25</v>
      </c>
      <c r="V289" s="321">
        <v>5.73</v>
      </c>
      <c r="W289" s="610">
        <v>15.9</v>
      </c>
      <c r="X289" s="321">
        <v>23.65</v>
      </c>
      <c r="Y289" s="321">
        <v>21.57</v>
      </c>
      <c r="Z289" s="321">
        <v>28.55</v>
      </c>
      <c r="AA289" s="321">
        <v>10.7</v>
      </c>
      <c r="AB289" s="364">
        <v>-10.070019096117127</v>
      </c>
      <c r="AC289" s="364">
        <v>5.83</v>
      </c>
      <c r="AD289" s="364">
        <v>0.28000000000000003</v>
      </c>
      <c r="AE289" s="321">
        <v>46.32</v>
      </c>
      <c r="AF289" s="321">
        <v>4.37</v>
      </c>
      <c r="AG289" s="321">
        <v>28.7</v>
      </c>
      <c r="AH289" s="321">
        <v>7.2</v>
      </c>
      <c r="AI289" s="321">
        <v>12.16</v>
      </c>
      <c r="AJ289" s="321">
        <v>13.5</v>
      </c>
      <c r="AK289" s="321">
        <v>29.01</v>
      </c>
      <c r="AL289" s="364">
        <v>47</v>
      </c>
      <c r="AM289" s="364">
        <v>37.9</v>
      </c>
      <c r="AN289" s="321">
        <v>41.85</v>
      </c>
      <c r="AO289" s="320">
        <v>14.95</v>
      </c>
      <c r="AP289" s="528">
        <v>13.08</v>
      </c>
      <c r="AQ289" s="320"/>
      <c r="AR289" s="320"/>
      <c r="AS289" s="320"/>
      <c r="AT289" s="320"/>
      <c r="AU289" s="320"/>
      <c r="AV289" s="320"/>
      <c r="AW289" s="320"/>
      <c r="AX289" s="320"/>
      <c r="AY289" s="320"/>
      <c r="AZ289" s="320"/>
      <c r="BA289" s="320"/>
      <c r="BB289" s="320"/>
      <c r="BC289" s="320"/>
      <c r="BD289" s="320"/>
      <c r="BE289" s="320"/>
      <c r="BF289" s="320"/>
      <c r="BG289" s="320"/>
      <c r="BH289" s="320"/>
      <c r="BI289" s="320"/>
      <c r="BJ289" s="320"/>
      <c r="BK289" s="320"/>
      <c r="BL289" s="320"/>
      <c r="BM289" s="320"/>
      <c r="BN289" s="320"/>
      <c r="BO289" s="320"/>
      <c r="BP289" s="320"/>
      <c r="BQ289" s="320"/>
      <c r="BR289" s="320"/>
      <c r="BS289" s="320"/>
      <c r="BT289" s="320"/>
      <c r="BU289" s="320"/>
      <c r="BV289" s="320"/>
      <c r="BW289" s="320"/>
      <c r="BX289" s="303">
        <v>31.576036866359438</v>
      </c>
      <c r="BY289" s="303">
        <v>14.193016310688256</v>
      </c>
      <c r="BZ289" s="320">
        <v>6.64</v>
      </c>
      <c r="CA289" s="321">
        <v>3.0642750373692129</v>
      </c>
    </row>
    <row r="290" spans="1:80">
      <c r="A290" s="58">
        <f t="shared" si="476"/>
        <v>1992</v>
      </c>
      <c r="B290" s="321">
        <v>9.8000000000000007</v>
      </c>
      <c r="C290" s="321">
        <v>13.8</v>
      </c>
      <c r="D290" s="321">
        <v>7.42</v>
      </c>
      <c r="E290" s="321">
        <v>5</v>
      </c>
      <c r="F290" s="321">
        <v>16.399999999999999</v>
      </c>
      <c r="G290" s="321">
        <v>29.1</v>
      </c>
      <c r="H290" s="366">
        <v>18.2</v>
      </c>
      <c r="I290" s="321">
        <v>7.8</v>
      </c>
      <c r="J290" s="321">
        <v>33.6</v>
      </c>
      <c r="K290" s="321">
        <v>14.6</v>
      </c>
      <c r="L290" s="321">
        <v>-11.8</v>
      </c>
      <c r="M290" s="364">
        <v>11.4</v>
      </c>
      <c r="N290" s="364">
        <f t="shared" si="477"/>
        <v>-8.32</v>
      </c>
      <c r="O290" s="364">
        <v>-18.170000000000002</v>
      </c>
      <c r="P290" s="364">
        <v>-3.32</v>
      </c>
      <c r="Q290" s="364">
        <v>-10.8</v>
      </c>
      <c r="R290" s="321">
        <v>6.5877883645331323</v>
      </c>
      <c r="S290" s="321">
        <v>7.4</v>
      </c>
      <c r="T290" s="609">
        <v>7.78</v>
      </c>
      <c r="U290" s="321">
        <v>7.14</v>
      </c>
      <c r="V290" s="321">
        <v>3.53</v>
      </c>
      <c r="W290" s="610">
        <v>7.5</v>
      </c>
      <c r="X290" s="321">
        <v>7.93</v>
      </c>
      <c r="Y290" s="321">
        <v>8.67</v>
      </c>
      <c r="Z290" s="321">
        <v>16.5</v>
      </c>
      <c r="AA290" s="366">
        <v>6.75</v>
      </c>
      <c r="AB290" s="364">
        <v>-5.7474518686296747</v>
      </c>
      <c r="AC290" s="364">
        <v>-20.58</v>
      </c>
      <c r="AD290" s="321">
        <v>6.1</v>
      </c>
      <c r="AE290" s="321">
        <v>-1.57</v>
      </c>
      <c r="AF290" s="321">
        <v>-19.41</v>
      </c>
      <c r="AG290" s="321">
        <v>11.99</v>
      </c>
      <c r="AH290" s="321">
        <v>4.71</v>
      </c>
      <c r="AI290" s="321">
        <v>8.85</v>
      </c>
      <c r="AJ290" s="321">
        <v>9.3000000000000007</v>
      </c>
      <c r="AK290" s="321">
        <v>14.24</v>
      </c>
      <c r="AL290" s="364">
        <v>8.6999999999999993</v>
      </c>
      <c r="AM290" s="364">
        <v>21.7</v>
      </c>
      <c r="AN290" s="321">
        <v>12.47</v>
      </c>
      <c r="AO290" s="320">
        <v>4.05</v>
      </c>
      <c r="AP290" s="528">
        <v>7.2</v>
      </c>
      <c r="AQ290" s="320"/>
      <c r="AR290" s="320"/>
      <c r="AS290" s="320"/>
      <c r="AT290" s="320"/>
      <c r="AU290" s="320"/>
      <c r="AV290" s="320"/>
      <c r="AW290" s="320"/>
      <c r="AX290" s="320"/>
      <c r="AY290" s="320"/>
      <c r="AZ290" s="320"/>
      <c r="BA290" s="320"/>
      <c r="BB290" s="320"/>
      <c r="BC290" s="320"/>
      <c r="BD290" s="320"/>
      <c r="BE290" s="320"/>
      <c r="BF290" s="320"/>
      <c r="BG290" s="320"/>
      <c r="BH290" s="320"/>
      <c r="BI290" s="320"/>
      <c r="BJ290" s="320"/>
      <c r="BK290" s="320"/>
      <c r="BL290" s="320"/>
      <c r="BM290" s="320"/>
      <c r="BN290" s="320"/>
      <c r="BO290" s="320"/>
      <c r="BP290" s="320"/>
      <c r="BQ290" s="320"/>
      <c r="BR290" s="320"/>
      <c r="BS290" s="320"/>
      <c r="BT290" s="320"/>
      <c r="BU290" s="320"/>
      <c r="BV290" s="320"/>
      <c r="BW290" s="320"/>
      <c r="BX290" s="303">
        <v>7.5778696404537715</v>
      </c>
      <c r="BY290" s="303">
        <v>9.1624268278883481</v>
      </c>
      <c r="BZ290" s="320">
        <v>4.1500000000000004</v>
      </c>
      <c r="CA290" s="321">
        <v>2.9006526468455363</v>
      </c>
      <c r="CB290" s="304"/>
    </row>
    <row r="291" spans="1:80">
      <c r="A291" s="58">
        <f t="shared" si="476"/>
        <v>1993</v>
      </c>
      <c r="B291" s="366">
        <v>10.62</v>
      </c>
      <c r="C291" s="366">
        <v>18.350000000000001</v>
      </c>
      <c r="D291" s="321">
        <v>9.89</v>
      </c>
      <c r="E291" s="366">
        <v>1.53</v>
      </c>
      <c r="F291" s="321">
        <v>14.3</v>
      </c>
      <c r="G291" s="321">
        <v>23.8</v>
      </c>
      <c r="H291" s="321">
        <v>18.7</v>
      </c>
      <c r="I291" s="321">
        <v>13.4</v>
      </c>
      <c r="J291" s="321">
        <v>25.4</v>
      </c>
      <c r="K291" s="321">
        <v>19.7</v>
      </c>
      <c r="L291" s="321">
        <v>32.9</v>
      </c>
      <c r="M291" s="364">
        <v>74.8</v>
      </c>
      <c r="N291" s="364">
        <f t="shared" si="477"/>
        <v>39.184999999999995</v>
      </c>
      <c r="O291" s="364">
        <v>35.46</v>
      </c>
      <c r="P291" s="364">
        <v>29.13</v>
      </c>
      <c r="Q291" s="364">
        <v>40.4</v>
      </c>
      <c r="R291" s="321">
        <v>6.4207720209574068</v>
      </c>
      <c r="S291" s="321">
        <v>16.79</v>
      </c>
      <c r="T291" s="321">
        <v>11.43</v>
      </c>
      <c r="U291" s="321">
        <v>9.68</v>
      </c>
      <c r="V291" s="321">
        <v>2.86</v>
      </c>
      <c r="W291" s="610">
        <v>15.7</v>
      </c>
      <c r="X291" s="321">
        <v>13.52</v>
      </c>
      <c r="Y291" s="321">
        <v>14.65</v>
      </c>
      <c r="Z291" s="321">
        <v>19.37</v>
      </c>
      <c r="AA291" s="321">
        <v>6.41</v>
      </c>
      <c r="AB291" s="364">
        <v>17.677981375788534</v>
      </c>
      <c r="AC291" s="364">
        <v>34.39</v>
      </c>
      <c r="AD291" s="321">
        <v>26.52</v>
      </c>
      <c r="AE291" s="321">
        <v>11.81</v>
      </c>
      <c r="AF291" s="321">
        <v>93.36</v>
      </c>
      <c r="AG291" s="321">
        <v>13.6</v>
      </c>
      <c r="AH291" s="321">
        <v>3.82</v>
      </c>
      <c r="AI291" s="321">
        <v>11.55</v>
      </c>
      <c r="AJ291" s="321">
        <v>13.45</v>
      </c>
      <c r="AK291" s="321">
        <v>18.239999999999998</v>
      </c>
      <c r="AL291" s="364">
        <v>11.2</v>
      </c>
      <c r="AM291" s="364">
        <v>15.6</v>
      </c>
      <c r="AN291" s="321">
        <v>14.49</v>
      </c>
      <c r="AO291" s="320">
        <v>11.75</v>
      </c>
      <c r="AP291" s="528">
        <v>7.07</v>
      </c>
      <c r="AQ291" s="320"/>
      <c r="AR291" s="320"/>
      <c r="AS291" s="320"/>
      <c r="AT291" s="320"/>
      <c r="AU291" s="320"/>
      <c r="AV291" s="320"/>
      <c r="AW291" s="320"/>
      <c r="AX291" s="320"/>
      <c r="AY291" s="320"/>
      <c r="AZ291" s="320"/>
      <c r="BA291" s="320"/>
      <c r="BB291" s="320"/>
      <c r="BC291" s="320"/>
      <c r="BD291" s="320"/>
      <c r="BE291" s="320"/>
      <c r="BF291" s="320"/>
      <c r="BG291" s="320"/>
      <c r="BH291" s="320"/>
      <c r="BI291" s="320"/>
      <c r="BJ291" s="320"/>
      <c r="BK291" s="320"/>
      <c r="BL291" s="320"/>
      <c r="BM291" s="320"/>
      <c r="BN291" s="320"/>
      <c r="BO291" s="320"/>
      <c r="BP291" s="320"/>
      <c r="BQ291" s="320"/>
      <c r="BR291" s="320"/>
      <c r="BS291" s="320"/>
      <c r="BT291" s="320"/>
      <c r="BU291" s="320"/>
      <c r="BV291" s="320"/>
      <c r="BW291" s="320"/>
      <c r="BX291" s="303">
        <v>11.56629827907083</v>
      </c>
      <c r="BY291" s="303">
        <v>10.129743300659989</v>
      </c>
      <c r="BZ291" s="320">
        <v>3.5</v>
      </c>
      <c r="CA291" s="321">
        <v>2.748414376321362</v>
      </c>
      <c r="CB291" s="305"/>
    </row>
    <row r="292" spans="1:80">
      <c r="A292" s="58">
        <f t="shared" si="476"/>
        <v>1994</v>
      </c>
      <c r="B292" s="321">
        <v>-0.17</v>
      </c>
      <c r="C292" s="321">
        <v>-0.73</v>
      </c>
      <c r="D292" s="321">
        <v>1.18</v>
      </c>
      <c r="E292" s="321">
        <v>2.89</v>
      </c>
      <c r="F292" s="321">
        <v>-2.1</v>
      </c>
      <c r="G292" s="321">
        <v>-1.5</v>
      </c>
      <c r="H292" s="321">
        <v>-0.51</v>
      </c>
      <c r="I292" s="321">
        <v>-2.4</v>
      </c>
      <c r="J292" s="321">
        <v>-2.9</v>
      </c>
      <c r="K292" s="321">
        <v>3.2</v>
      </c>
      <c r="L292" s="321">
        <v>8.1</v>
      </c>
      <c r="M292" s="364">
        <v>-7.3</v>
      </c>
      <c r="N292" s="364">
        <f t="shared" si="477"/>
        <v>5.79</v>
      </c>
      <c r="O292" s="364">
        <v>13.04</v>
      </c>
      <c r="P292" s="364">
        <v>1.88</v>
      </c>
      <c r="Q292" s="364">
        <v>11.4</v>
      </c>
      <c r="R292" s="321">
        <v>5.8917653646927146</v>
      </c>
      <c r="S292" s="321">
        <v>-7.03</v>
      </c>
      <c r="T292" s="321">
        <v>-4.33</v>
      </c>
      <c r="U292" s="321">
        <v>-2.66</v>
      </c>
      <c r="V292" s="321">
        <v>3.81</v>
      </c>
      <c r="W292" s="610">
        <v>3.2</v>
      </c>
      <c r="X292" s="321">
        <v>-0.49</v>
      </c>
      <c r="Y292" s="321">
        <v>-4.4400000000000004</v>
      </c>
      <c r="Z292" s="321">
        <v>-0.15</v>
      </c>
      <c r="AA292" s="321">
        <v>-0.57999999999999996</v>
      </c>
      <c r="AB292" s="364">
        <v>-2.1697511167836629</v>
      </c>
      <c r="AC292" s="364">
        <v>15.91</v>
      </c>
      <c r="AD292" s="321">
        <v>-1.63</v>
      </c>
      <c r="AE292" s="321">
        <v>9.5399999999999991</v>
      </c>
      <c r="AF292" s="321">
        <v>-5.42</v>
      </c>
      <c r="AG292" s="321">
        <v>-1.1599999999999999</v>
      </c>
      <c r="AH292" s="321">
        <v>1.7</v>
      </c>
      <c r="AI292" s="321">
        <v>-2.12</v>
      </c>
      <c r="AJ292" s="321">
        <v>-5.75</v>
      </c>
      <c r="AK292" s="321">
        <v>-1.71</v>
      </c>
      <c r="AL292" s="364">
        <v>-2.2000000000000002</v>
      </c>
      <c r="AM292" s="364">
        <v>-2.1</v>
      </c>
      <c r="AN292" s="321">
        <v>-1.76</v>
      </c>
      <c r="AO292" s="320">
        <v>0.75</v>
      </c>
      <c r="AP292" s="528">
        <v>-0.08</v>
      </c>
      <c r="AQ292" s="320"/>
      <c r="AR292" s="320"/>
      <c r="AS292" s="320"/>
      <c r="AT292" s="320"/>
      <c r="AU292" s="320"/>
      <c r="AV292" s="320"/>
      <c r="AW292" s="320"/>
      <c r="AX292" s="320"/>
      <c r="AY292" s="320"/>
      <c r="AZ292" s="320"/>
      <c r="BA292" s="320"/>
      <c r="BB292" s="320"/>
      <c r="BC292" s="320"/>
      <c r="BD292" s="320"/>
      <c r="BE292" s="320"/>
      <c r="BF292" s="320"/>
      <c r="BG292" s="320"/>
      <c r="BH292" s="320"/>
      <c r="BI292" s="320"/>
      <c r="BJ292" s="320"/>
      <c r="BK292" s="320"/>
      <c r="BL292" s="320"/>
      <c r="BM292" s="320"/>
      <c r="BN292" s="320"/>
      <c r="BO292" s="320"/>
      <c r="BP292" s="320"/>
      <c r="BQ292" s="320"/>
      <c r="BR292" s="320"/>
      <c r="BS292" s="320"/>
      <c r="BT292" s="320"/>
      <c r="BU292" s="320"/>
      <c r="BV292" s="320"/>
      <c r="BW292" s="320"/>
      <c r="BX292" s="303">
        <v>1.1501300238905721</v>
      </c>
      <c r="BY292" s="303">
        <v>-4.1563270838444577</v>
      </c>
      <c r="BZ292" s="320">
        <v>3.54</v>
      </c>
      <c r="CA292" s="321">
        <v>2.6748971193415461</v>
      </c>
      <c r="CB292" s="305"/>
    </row>
    <row r="293" spans="1:80">
      <c r="A293" s="58">
        <f t="shared" si="476"/>
        <v>1995</v>
      </c>
      <c r="B293" s="321">
        <v>35.79</v>
      </c>
      <c r="C293" s="321">
        <v>36.94</v>
      </c>
      <c r="D293" s="321">
        <v>37.450000000000003</v>
      </c>
      <c r="E293" s="321">
        <v>38.06</v>
      </c>
      <c r="F293" s="321">
        <v>34.4</v>
      </c>
      <c r="G293" s="321">
        <v>25.8</v>
      </c>
      <c r="H293" s="321">
        <v>28.74</v>
      </c>
      <c r="I293" s="321">
        <v>31</v>
      </c>
      <c r="J293" s="321">
        <v>30.1</v>
      </c>
      <c r="K293" s="321">
        <v>15.3</v>
      </c>
      <c r="L293" s="321">
        <v>11.6</v>
      </c>
      <c r="M293" s="366">
        <v>0.56000000000000005</v>
      </c>
      <c r="N293" s="364">
        <f t="shared" si="477"/>
        <v>9.9439999999999991</v>
      </c>
      <c r="O293" s="364">
        <v>2.75</v>
      </c>
      <c r="P293" s="364">
        <v>22.28</v>
      </c>
      <c r="Q293" s="364">
        <v>11.7</v>
      </c>
      <c r="R293" s="321">
        <v>24.288496846677518</v>
      </c>
      <c r="S293" s="321">
        <v>30.11</v>
      </c>
      <c r="T293" s="321">
        <v>20.440000000000001</v>
      </c>
      <c r="U293" s="321">
        <v>18.18</v>
      </c>
      <c r="V293" s="321">
        <v>5.49</v>
      </c>
      <c r="W293" s="610">
        <v>0.8</v>
      </c>
      <c r="X293" s="321">
        <v>32.92</v>
      </c>
      <c r="Y293" s="321">
        <v>28.91</v>
      </c>
      <c r="Z293" s="321">
        <v>30.15</v>
      </c>
      <c r="AA293" s="321">
        <v>12.11</v>
      </c>
      <c r="AB293" s="364">
        <v>0.97847358121330719</v>
      </c>
      <c r="AC293" s="364">
        <v>2.66</v>
      </c>
      <c r="AD293" s="321">
        <v>25.32</v>
      </c>
      <c r="AE293" s="321">
        <v>45.17</v>
      </c>
      <c r="AF293" s="321">
        <v>-4.4800000000000004</v>
      </c>
      <c r="AG293" s="321">
        <v>38.83</v>
      </c>
      <c r="AH293" s="321">
        <v>5.92</v>
      </c>
      <c r="AI293" s="321">
        <v>13.65</v>
      </c>
      <c r="AJ293" s="321">
        <v>18.72</v>
      </c>
      <c r="AK293" s="321">
        <v>19.149999999999999</v>
      </c>
      <c r="AL293" s="364">
        <v>34</v>
      </c>
      <c r="AM293" s="364">
        <v>34.9</v>
      </c>
      <c r="AN293" s="321">
        <v>33.799999999999997</v>
      </c>
      <c r="AO293" s="320">
        <v>18.75</v>
      </c>
      <c r="AP293" s="528">
        <v>12.74</v>
      </c>
      <c r="AQ293" s="320"/>
      <c r="AR293" s="320"/>
      <c r="AS293" s="320"/>
      <c r="AT293" s="320"/>
      <c r="AU293" s="320"/>
      <c r="AV293" s="320"/>
      <c r="AW293" s="320"/>
      <c r="AX293" s="320"/>
      <c r="AY293" s="320"/>
      <c r="AZ293" s="320"/>
      <c r="BA293" s="320"/>
      <c r="BB293" s="320"/>
      <c r="BC293" s="320"/>
      <c r="BD293" s="320"/>
      <c r="BE293" s="320"/>
      <c r="BF293" s="320"/>
      <c r="BG293" s="320"/>
      <c r="BH293" s="320"/>
      <c r="BI293" s="320"/>
      <c r="BJ293" s="320"/>
      <c r="BK293" s="320"/>
      <c r="BL293" s="320"/>
      <c r="BM293" s="320"/>
      <c r="BN293" s="320"/>
      <c r="BO293" s="320"/>
      <c r="BP293" s="320"/>
      <c r="BQ293" s="320"/>
      <c r="BR293" s="320"/>
      <c r="BS293" s="320"/>
      <c r="BT293" s="320"/>
      <c r="BU293" s="320"/>
      <c r="BV293" s="320"/>
      <c r="BW293" s="320"/>
      <c r="BX293" s="303">
        <v>35.026329930145074</v>
      </c>
      <c r="BY293" s="303">
        <v>18.153013985514722</v>
      </c>
      <c r="BZ293" s="320">
        <v>7.05</v>
      </c>
      <c r="CA293" s="321">
        <v>2.5384101536406245</v>
      </c>
      <c r="CB293" s="305"/>
    </row>
    <row r="294" spans="1:80">
      <c r="A294" s="58">
        <f t="shared" si="476"/>
        <v>1996</v>
      </c>
      <c r="B294" s="321">
        <v>20.96</v>
      </c>
      <c r="C294" s="321">
        <v>21.86</v>
      </c>
      <c r="D294" s="321">
        <v>22.88</v>
      </c>
      <c r="E294" s="321">
        <v>23.74</v>
      </c>
      <c r="F294" s="321">
        <v>19</v>
      </c>
      <c r="G294" s="321">
        <v>21.4</v>
      </c>
      <c r="H294" s="321">
        <v>18.12</v>
      </c>
      <c r="I294" s="321">
        <v>11.3</v>
      </c>
      <c r="J294" s="321">
        <v>16.8</v>
      </c>
      <c r="K294" s="321">
        <v>35.299999999999997</v>
      </c>
      <c r="L294" s="321">
        <v>6.4</v>
      </c>
      <c r="M294" s="364">
        <v>15.83</v>
      </c>
      <c r="N294" s="364">
        <f t="shared" si="477"/>
        <v>7.8145000000000007</v>
      </c>
      <c r="O294" s="364">
        <v>-7.82</v>
      </c>
      <c r="P294" s="364">
        <v>21.26</v>
      </c>
      <c r="Q294" s="364">
        <v>9.1999999999999993</v>
      </c>
      <c r="R294" s="321">
        <v>18.346666411050315</v>
      </c>
      <c r="S294" s="321">
        <v>-1.25</v>
      </c>
      <c r="T294" s="321">
        <v>1.92</v>
      </c>
      <c r="U294" s="321">
        <v>3.58</v>
      </c>
      <c r="V294" s="321">
        <v>5.09</v>
      </c>
      <c r="W294" s="610">
        <v>4.0999999999999996</v>
      </c>
      <c r="X294" s="321">
        <v>16.190000000000001</v>
      </c>
      <c r="Y294" s="321">
        <v>9.42</v>
      </c>
      <c r="Z294" s="321">
        <v>26.36</v>
      </c>
      <c r="AA294" s="321">
        <v>4.3899999999999997</v>
      </c>
      <c r="AB294" s="364">
        <v>-4.5865633074935399</v>
      </c>
      <c r="AC294" s="364">
        <v>4.4000000000000004</v>
      </c>
      <c r="AD294" s="321">
        <v>34</v>
      </c>
      <c r="AE294" s="321">
        <v>21.36</v>
      </c>
      <c r="AF294" s="321">
        <v>-0.75</v>
      </c>
      <c r="AG294" s="321">
        <v>24.18</v>
      </c>
      <c r="AH294" s="321">
        <v>3.69</v>
      </c>
      <c r="AI294" s="321">
        <v>4.2</v>
      </c>
      <c r="AJ294" s="321">
        <v>4.41</v>
      </c>
      <c r="AK294" s="321">
        <v>9.5399999999999991</v>
      </c>
      <c r="AL294" s="321">
        <v>18.93</v>
      </c>
      <c r="AM294" s="321">
        <v>21.46</v>
      </c>
      <c r="AN294" s="321">
        <v>17.649999999999999</v>
      </c>
      <c r="AO294" s="320">
        <v>3.85</v>
      </c>
      <c r="AP294" s="528">
        <v>4.79</v>
      </c>
      <c r="AQ294" s="320"/>
      <c r="AR294" s="320"/>
      <c r="AS294" s="320"/>
      <c r="AT294" s="320"/>
      <c r="AU294" s="320"/>
      <c r="AV294" s="320"/>
      <c r="AW294" s="320"/>
      <c r="AX294" s="320"/>
      <c r="AY294" s="320"/>
      <c r="AZ294" s="320"/>
      <c r="BA294" s="320"/>
      <c r="BB294" s="320"/>
      <c r="BC294" s="320"/>
      <c r="BD294" s="320"/>
      <c r="BE294" s="320"/>
      <c r="BF294" s="320"/>
      <c r="BG294" s="320"/>
      <c r="BH294" s="320"/>
      <c r="BI294" s="320"/>
      <c r="BJ294" s="320"/>
      <c r="BK294" s="320"/>
      <c r="BL294" s="320"/>
      <c r="BM294" s="320"/>
      <c r="BN294" s="320"/>
      <c r="BO294" s="320"/>
      <c r="BP294" s="320"/>
      <c r="BQ294" s="320"/>
      <c r="BR294" s="320"/>
      <c r="BS294" s="320"/>
      <c r="BT294" s="320"/>
      <c r="BU294" s="320"/>
      <c r="BV294" s="320"/>
      <c r="BW294" s="320"/>
      <c r="BX294" s="303">
        <v>27.131278278701878</v>
      </c>
      <c r="BY294" s="303">
        <v>1.7518610686592773</v>
      </c>
      <c r="BZ294" s="320">
        <v>5.09</v>
      </c>
      <c r="CA294" s="321">
        <v>3.3224755700325792</v>
      </c>
      <c r="CB294" s="305"/>
    </row>
    <row r="295" spans="1:80">
      <c r="A295" s="58">
        <f t="shared" si="476"/>
        <v>1997</v>
      </c>
      <c r="B295" s="321">
        <v>30.99</v>
      </c>
      <c r="C295" s="321">
        <v>29.77</v>
      </c>
      <c r="D295" s="321">
        <v>33.19</v>
      </c>
      <c r="E295" s="321">
        <v>36.340000000000003</v>
      </c>
      <c r="F295" s="321">
        <v>29</v>
      </c>
      <c r="G295" s="321">
        <v>31.8</v>
      </c>
      <c r="H295" s="321">
        <v>24.59</v>
      </c>
      <c r="I295" s="321">
        <v>12.9</v>
      </c>
      <c r="J295" s="321">
        <v>21.5</v>
      </c>
      <c r="K295" s="366">
        <v>18.77</v>
      </c>
      <c r="L295" s="321">
        <v>2.1</v>
      </c>
      <c r="M295" s="364">
        <v>-16.82</v>
      </c>
      <c r="N295" s="366">
        <v>-0.77</v>
      </c>
      <c r="O295" s="364">
        <v>-25.67</v>
      </c>
      <c r="P295" s="364">
        <v>24.23</v>
      </c>
      <c r="Q295" s="364">
        <v>-4.58</v>
      </c>
      <c r="R295" s="321">
        <v>-1.0029287797843425</v>
      </c>
      <c r="S295" s="321">
        <v>13.9</v>
      </c>
      <c r="T295" s="321">
        <v>8.9600000000000009</v>
      </c>
      <c r="U295" s="321">
        <v>9.44</v>
      </c>
      <c r="V295" s="321">
        <v>5.12</v>
      </c>
      <c r="W295" s="610">
        <v>8</v>
      </c>
      <c r="X295" s="321">
        <v>23.23</v>
      </c>
      <c r="Y295" s="321">
        <v>20.190000000000001</v>
      </c>
      <c r="Z295" s="321">
        <v>21.97</v>
      </c>
      <c r="AA295" s="321">
        <v>6.39</v>
      </c>
      <c r="AB295" s="364">
        <v>-21.40825998645904</v>
      </c>
      <c r="AC295" s="364">
        <v>-14.13</v>
      </c>
      <c r="AD295" s="321">
        <v>14.89</v>
      </c>
      <c r="AE295" s="321">
        <v>28.57</v>
      </c>
      <c r="AF295" s="321">
        <v>-38.92</v>
      </c>
      <c r="AG295" s="321">
        <v>32.369999999999997</v>
      </c>
      <c r="AH295" s="321">
        <v>4.07</v>
      </c>
      <c r="AI295" s="321">
        <v>7.08</v>
      </c>
      <c r="AJ295" s="321">
        <v>9.2899999999999991</v>
      </c>
      <c r="AK295" s="321">
        <v>11.91</v>
      </c>
      <c r="AL295" s="364">
        <v>20.6</v>
      </c>
      <c r="AM295" s="364">
        <v>37.08</v>
      </c>
      <c r="AN295" s="321">
        <v>26.73</v>
      </c>
      <c r="AO295" s="612">
        <v>-0.9</v>
      </c>
      <c r="AP295" s="528">
        <v>6.95</v>
      </c>
      <c r="AQ295" s="320"/>
      <c r="AR295" s="320"/>
      <c r="AS295" s="320"/>
      <c r="AT295" s="320"/>
      <c r="AU295" s="320"/>
      <c r="AV295" s="320"/>
      <c r="AW295" s="320"/>
      <c r="AX295" s="320"/>
      <c r="AY295" s="320"/>
      <c r="AZ295" s="320"/>
      <c r="BA295" s="320"/>
      <c r="BB295" s="320"/>
      <c r="BC295" s="320"/>
      <c r="BD295" s="320"/>
      <c r="BE295" s="320"/>
      <c r="BF295" s="320"/>
      <c r="BG295" s="320"/>
      <c r="BH295" s="320"/>
      <c r="BI295" s="320"/>
      <c r="BJ295" s="320"/>
      <c r="BK295" s="320"/>
      <c r="BL295" s="320"/>
      <c r="BM295" s="320"/>
      <c r="BN295" s="320"/>
      <c r="BO295" s="320"/>
      <c r="BP295" s="320"/>
      <c r="BQ295" s="320"/>
      <c r="BR295" s="320"/>
      <c r="BS295" s="320"/>
      <c r="BT295" s="320"/>
      <c r="BU295" s="320"/>
      <c r="BV295" s="320"/>
      <c r="BW295" s="320"/>
      <c r="BX295" s="303">
        <v>27.751820625929891</v>
      </c>
      <c r="BY295" s="303">
        <v>10.728035978418937</v>
      </c>
      <c r="BZ295" s="320">
        <v>5.61</v>
      </c>
      <c r="CA295" s="321">
        <v>1.7023959646910614</v>
      </c>
      <c r="CB295" s="57"/>
    </row>
    <row r="296" spans="1:80">
      <c r="A296" s="58">
        <f t="shared" si="476"/>
        <v>1998</v>
      </c>
      <c r="B296" s="321">
        <v>23.26</v>
      </c>
      <c r="C296" s="321">
        <v>14.64</v>
      </c>
      <c r="D296" s="321">
        <v>28.62</v>
      </c>
      <c r="E296" s="321">
        <v>42.21</v>
      </c>
      <c r="F296" s="321">
        <v>10.1</v>
      </c>
      <c r="G296" s="321">
        <v>-6.5</v>
      </c>
      <c r="H296" s="321">
        <v>-2.61</v>
      </c>
      <c r="I296" s="321">
        <v>1.2</v>
      </c>
      <c r="J296" s="366">
        <v>-1.81</v>
      </c>
      <c r="K296" s="321">
        <v>-16.32</v>
      </c>
      <c r="L296" s="321">
        <v>20.3</v>
      </c>
      <c r="M296" s="364">
        <v>-18.12</v>
      </c>
      <c r="N296" s="364">
        <v>15.6</v>
      </c>
      <c r="O296" s="364">
        <v>2.41</v>
      </c>
      <c r="P296" s="364">
        <v>28.86</v>
      </c>
      <c r="Q296" s="364">
        <v>19.46</v>
      </c>
      <c r="R296" s="321">
        <v>-25.303110444349187</v>
      </c>
      <c r="S296" s="321">
        <v>13.05</v>
      </c>
      <c r="T296" s="321">
        <v>10.61</v>
      </c>
      <c r="U296" s="321">
        <v>8.58</v>
      </c>
      <c r="V296" s="321">
        <v>5</v>
      </c>
      <c r="W296" s="610">
        <v>2.8</v>
      </c>
      <c r="X296" s="321">
        <v>12.06</v>
      </c>
      <c r="Y296" s="321">
        <v>11.84</v>
      </c>
      <c r="Z296" s="321">
        <v>0.81</v>
      </c>
      <c r="AA296" s="321">
        <v>7.36</v>
      </c>
      <c r="AB296" s="364">
        <v>-0.82701585113713894</v>
      </c>
      <c r="AC296" s="364">
        <v>25.98</v>
      </c>
      <c r="AD296" s="321">
        <v>-20.53</v>
      </c>
      <c r="AE296" s="321">
        <v>40.799999999999997</v>
      </c>
      <c r="AF296" s="321">
        <v>-3.91</v>
      </c>
      <c r="AG296" s="321">
        <v>16.36</v>
      </c>
      <c r="AH296" s="321">
        <v>4.32</v>
      </c>
      <c r="AI296" s="321">
        <v>5.76</v>
      </c>
      <c r="AJ296" s="321">
        <v>6.02</v>
      </c>
      <c r="AK296" s="321">
        <v>5.62</v>
      </c>
      <c r="AL296" s="364">
        <v>17.260000000000002</v>
      </c>
      <c r="AM296" s="364">
        <v>1.52</v>
      </c>
      <c r="AN296" s="321">
        <v>8.32</v>
      </c>
      <c r="AO296" s="320">
        <v>12.5</v>
      </c>
      <c r="AP296" s="528">
        <v>6.57</v>
      </c>
      <c r="AQ296" s="320"/>
      <c r="AR296" s="320"/>
      <c r="AS296" s="320"/>
      <c r="AT296" s="320"/>
      <c r="AU296" s="320"/>
      <c r="AV296" s="320"/>
      <c r="AW296" s="320"/>
      <c r="AX296" s="320"/>
      <c r="AY296" s="320"/>
      <c r="AZ296" s="320"/>
      <c r="BA296" s="320"/>
      <c r="BB296" s="320"/>
      <c r="BC296" s="320"/>
      <c r="BD296" s="320"/>
      <c r="BE296" s="320"/>
      <c r="BF296" s="320"/>
      <c r="BG296" s="320"/>
      <c r="BH296" s="320"/>
      <c r="BI296" s="320"/>
      <c r="BJ296" s="320"/>
      <c r="BK296" s="320"/>
      <c r="BL296" s="320"/>
      <c r="BM296" s="320"/>
      <c r="BN296" s="320"/>
      <c r="BO296" s="320"/>
      <c r="BP296" s="320"/>
      <c r="BQ296" s="320"/>
      <c r="BR296" s="320"/>
      <c r="BS296" s="320"/>
      <c r="BT296" s="320"/>
      <c r="BU296" s="320"/>
      <c r="BV296" s="320"/>
      <c r="BW296" s="320"/>
      <c r="BX296" s="303">
        <v>31.308129878757683</v>
      </c>
      <c r="BY296" s="303">
        <v>9.0302049951934684</v>
      </c>
      <c r="BZ296" s="320">
        <v>5.24</v>
      </c>
      <c r="CA296" s="321">
        <v>1.6119032858028515</v>
      </c>
      <c r="CB296" s="57"/>
    </row>
    <row r="297" spans="1:80">
      <c r="A297" s="58">
        <f t="shared" si="476"/>
        <v>1999</v>
      </c>
      <c r="B297" s="321">
        <v>23.81</v>
      </c>
      <c r="C297" s="321">
        <v>12.57</v>
      </c>
      <c r="D297" s="321">
        <v>21.07</v>
      </c>
      <c r="E297" s="321">
        <v>28.76</v>
      </c>
      <c r="F297" s="366">
        <v>15.32</v>
      </c>
      <c r="G297" s="321">
        <v>3.35</v>
      </c>
      <c r="H297" s="321">
        <v>23.13</v>
      </c>
      <c r="I297" s="366">
        <v>19.8</v>
      </c>
      <c r="J297" s="321">
        <v>31.49</v>
      </c>
      <c r="K297" s="321">
        <v>-4.04</v>
      </c>
      <c r="L297" s="321">
        <v>27.3</v>
      </c>
      <c r="M297" s="364">
        <v>61.57</v>
      </c>
      <c r="N297" s="364">
        <v>29.92</v>
      </c>
      <c r="O297" s="364">
        <v>57.05</v>
      </c>
      <c r="P297" s="364">
        <v>16.62</v>
      </c>
      <c r="Q297" s="364">
        <v>21.81</v>
      </c>
      <c r="R297" s="321">
        <v>19.658254566019316</v>
      </c>
      <c r="S297" s="321">
        <v>-8.66</v>
      </c>
      <c r="T297" s="321">
        <v>-3.52</v>
      </c>
      <c r="U297" s="321">
        <v>-0.76</v>
      </c>
      <c r="V297" s="321">
        <v>4.55</v>
      </c>
      <c r="W297" s="610">
        <v>7.9</v>
      </c>
      <c r="X297" s="321">
        <v>4.41</v>
      </c>
      <c r="Y297" s="321">
        <v>-4.1399999999999997</v>
      </c>
      <c r="Z297" s="321">
        <v>11.57</v>
      </c>
      <c r="AA297" s="321">
        <v>1.85</v>
      </c>
      <c r="AB297" s="364">
        <v>0.85128561501041988</v>
      </c>
      <c r="AC297" s="364">
        <v>90.29</v>
      </c>
      <c r="AD297" s="321">
        <v>20.98</v>
      </c>
      <c r="AE297" s="321">
        <v>7.05</v>
      </c>
      <c r="AF297" s="321">
        <v>28.82</v>
      </c>
      <c r="AG297" s="321">
        <v>-5.81</v>
      </c>
      <c r="AH297" s="321">
        <v>2.58</v>
      </c>
      <c r="AI297" s="321">
        <v>-0.5</v>
      </c>
      <c r="AJ297" s="321">
        <v>-3.53</v>
      </c>
      <c r="AK297" s="321">
        <v>2.5499999999999998</v>
      </c>
      <c r="AL297" s="364">
        <v>70.53</v>
      </c>
      <c r="AM297" s="364">
        <v>2.2000000000000002</v>
      </c>
      <c r="AN297" s="321">
        <v>36.22</v>
      </c>
      <c r="AO297" s="320">
        <v>-4.29</v>
      </c>
      <c r="AP297" s="528">
        <v>3.3</v>
      </c>
      <c r="AQ297" s="320"/>
      <c r="AR297" s="320"/>
      <c r="AS297" s="320"/>
      <c r="AT297" s="320"/>
      <c r="AU297" s="320"/>
      <c r="AV297" s="320"/>
      <c r="AW297" s="320"/>
      <c r="AX297" s="320"/>
      <c r="AY297" s="320"/>
      <c r="AZ297" s="320"/>
      <c r="BA297" s="320"/>
      <c r="BB297" s="320"/>
      <c r="BC297" s="320"/>
      <c r="BD297" s="320"/>
      <c r="BE297" s="320"/>
      <c r="BF297" s="320"/>
      <c r="BG297" s="320"/>
      <c r="BH297" s="320"/>
      <c r="BI297" s="320"/>
      <c r="BJ297" s="320"/>
      <c r="BK297" s="320"/>
      <c r="BL297" s="320"/>
      <c r="BM297" s="320"/>
      <c r="BN297" s="320"/>
      <c r="BO297" s="320"/>
      <c r="BP297" s="320"/>
      <c r="BQ297" s="320"/>
      <c r="BR297" s="320"/>
      <c r="BS297" s="320"/>
      <c r="BT297" s="320"/>
      <c r="BU297" s="320"/>
      <c r="BV297" s="320"/>
      <c r="BW297" s="320"/>
      <c r="BX297" s="303">
        <v>15.496048111341555</v>
      </c>
      <c r="BY297" s="303">
        <v>-3.2210735755244135</v>
      </c>
      <c r="BZ297" s="320">
        <v>4.51</v>
      </c>
      <c r="CA297" s="321">
        <v>2.6845637583892579</v>
      </c>
      <c r="CB297" s="57"/>
    </row>
    <row r="298" spans="1:80">
      <c r="A298" s="58">
        <f t="shared" si="476"/>
        <v>2000</v>
      </c>
      <c r="B298" s="321">
        <v>-10.57</v>
      </c>
      <c r="C298" s="321">
        <v>6.08</v>
      </c>
      <c r="D298" s="321">
        <v>-9.06</v>
      </c>
      <c r="E298" s="321">
        <v>-22.21</v>
      </c>
      <c r="F298" s="321">
        <v>18.100000000000001</v>
      </c>
      <c r="G298" s="321">
        <v>21.88</v>
      </c>
      <c r="H298" s="321">
        <v>-2.67</v>
      </c>
      <c r="I298" s="321">
        <v>1.59</v>
      </c>
      <c r="J298" s="321">
        <v>0.67</v>
      </c>
      <c r="K298" s="321">
        <v>26.35</v>
      </c>
      <c r="L298" s="321">
        <v>-14.29</v>
      </c>
      <c r="M298" s="364">
        <v>-27.56</v>
      </c>
      <c r="N298" s="364">
        <v>-15.61</v>
      </c>
      <c r="O298" s="364">
        <v>-25.74</v>
      </c>
      <c r="P298" s="364">
        <v>-8.18</v>
      </c>
      <c r="Q298" s="364">
        <v>-7.48</v>
      </c>
      <c r="R298" s="321">
        <v>35.83076587950972</v>
      </c>
      <c r="S298" s="321">
        <v>19.72</v>
      </c>
      <c r="T298" s="321">
        <v>14.03</v>
      </c>
      <c r="U298" s="321">
        <v>11.39</v>
      </c>
      <c r="V298" s="321">
        <v>5.8</v>
      </c>
      <c r="W298" s="610">
        <v>4.8</v>
      </c>
      <c r="X298" s="321">
        <v>10.4</v>
      </c>
      <c r="Y298" s="321">
        <v>16.170000000000002</v>
      </c>
      <c r="Z298" s="321">
        <v>15.89</v>
      </c>
      <c r="AA298" s="321">
        <v>8.83</v>
      </c>
      <c r="AB298" s="364">
        <v>-5.4435831180017269</v>
      </c>
      <c r="AC298" s="364">
        <v>-2.68</v>
      </c>
      <c r="AD298" s="321">
        <v>36.43</v>
      </c>
      <c r="AE298" s="321">
        <v>60.53</v>
      </c>
      <c r="AF298" s="321">
        <v>-7.34</v>
      </c>
      <c r="AG298" s="321">
        <v>16.86</v>
      </c>
      <c r="AH298" s="321">
        <v>4.91</v>
      </c>
      <c r="AI298" s="321">
        <v>9.24</v>
      </c>
      <c r="AJ298" s="321">
        <v>13.32</v>
      </c>
      <c r="AK298" s="321">
        <v>-0.88</v>
      </c>
      <c r="AL298" s="364">
        <v>-26.29</v>
      </c>
      <c r="AM298" s="364">
        <v>22.47</v>
      </c>
      <c r="AN298" s="321">
        <v>-15.55</v>
      </c>
      <c r="AO298" s="320">
        <v>0.43</v>
      </c>
      <c r="AP298" s="528">
        <v>8.17</v>
      </c>
      <c r="AQ298" s="320"/>
      <c r="AR298" s="320"/>
      <c r="AS298" s="320"/>
      <c r="AT298" s="320"/>
      <c r="AU298" s="320"/>
      <c r="AV298" s="320"/>
      <c r="AW298" s="320"/>
      <c r="AX298" s="320"/>
      <c r="AY298" s="320"/>
      <c r="AZ298" s="320"/>
      <c r="BA298" s="320"/>
      <c r="BB298" s="320"/>
      <c r="BC298" s="320"/>
      <c r="BD298" s="320"/>
      <c r="BE298" s="320"/>
      <c r="BF298" s="320"/>
      <c r="BG298" s="320"/>
      <c r="BH298" s="320"/>
      <c r="BI298" s="320"/>
      <c r="BJ298" s="320"/>
      <c r="BK298" s="320"/>
      <c r="BL298" s="320"/>
      <c r="BM298" s="320"/>
      <c r="BN298" s="320"/>
      <c r="BO298" s="320"/>
      <c r="BP298" s="320"/>
      <c r="BQ298" s="320"/>
      <c r="BR298" s="320"/>
      <c r="BS298" s="320"/>
      <c r="BT298" s="320"/>
      <c r="BU298" s="320"/>
      <c r="BV298" s="320"/>
      <c r="BW298" s="320"/>
      <c r="BX298" s="303">
        <v>-5.1690878864189438</v>
      </c>
      <c r="BY298" s="303">
        <v>13.971489278111871</v>
      </c>
      <c r="BZ298" s="320">
        <v>6.12</v>
      </c>
      <c r="CA298" s="321">
        <v>3.3868092691621943</v>
      </c>
      <c r="CB298" s="57"/>
    </row>
    <row r="299" spans="1:80">
      <c r="A299" s="58">
        <f t="shared" si="476"/>
        <v>2001</v>
      </c>
      <c r="B299" s="321">
        <v>-10.97</v>
      </c>
      <c r="C299" s="321">
        <v>-11.88</v>
      </c>
      <c r="D299" s="321">
        <v>-12.02</v>
      </c>
      <c r="E299" s="321">
        <v>-12.93</v>
      </c>
      <c r="F299" s="321">
        <v>-0.5</v>
      </c>
      <c r="G299" s="321">
        <v>13.7</v>
      </c>
      <c r="H299" s="321">
        <v>3.1</v>
      </c>
      <c r="I299" s="321">
        <v>-0.78</v>
      </c>
      <c r="J299" s="321">
        <v>23.98</v>
      </c>
      <c r="K299" s="321">
        <v>12.35</v>
      </c>
      <c r="L299" s="366">
        <v>-21.94</v>
      </c>
      <c r="M299" s="364">
        <v>-2.88</v>
      </c>
      <c r="N299" s="364">
        <v>-20.149999999999999</v>
      </c>
      <c r="O299" s="364">
        <v>-26.34</v>
      </c>
      <c r="P299" s="364">
        <v>-20.3</v>
      </c>
      <c r="Q299" s="364">
        <v>-14.02</v>
      </c>
      <c r="R299" s="321">
        <v>-15.248585151771607</v>
      </c>
      <c r="S299" s="321">
        <v>4.3099999999999996</v>
      </c>
      <c r="T299" s="321">
        <v>7.55</v>
      </c>
      <c r="U299" s="321">
        <v>8.43</v>
      </c>
      <c r="V299" s="321">
        <v>3.99</v>
      </c>
      <c r="W299" s="613">
        <v>7.61</v>
      </c>
      <c r="X299" s="321">
        <v>4.1900000000000004</v>
      </c>
      <c r="Y299" s="321">
        <v>7.39</v>
      </c>
      <c r="Z299" s="321">
        <v>5.72</v>
      </c>
      <c r="AA299" s="321">
        <v>7.8</v>
      </c>
      <c r="AB299" s="364">
        <v>0.83803971579523107</v>
      </c>
      <c r="AC299" s="364">
        <v>-22.52</v>
      </c>
      <c r="AD299" s="321">
        <v>-2.5499999999999998</v>
      </c>
      <c r="AE299" s="321">
        <v>-6.87</v>
      </c>
      <c r="AF299" s="321">
        <v>18.329999999999998</v>
      </c>
      <c r="AG299" s="321">
        <v>-3.4</v>
      </c>
      <c r="AH299" s="321">
        <v>4.75</v>
      </c>
      <c r="AI299" s="321">
        <v>5.05</v>
      </c>
      <c r="AJ299" s="321">
        <v>4.54</v>
      </c>
      <c r="AK299" s="321">
        <v>2.9</v>
      </c>
      <c r="AL299" s="364">
        <v>-20.43</v>
      </c>
      <c r="AM299" s="364">
        <v>8.7899999999999991</v>
      </c>
      <c r="AN299" s="321">
        <v>-9.1300000000000008</v>
      </c>
      <c r="AO299" s="320">
        <v>2.48</v>
      </c>
      <c r="AP299" s="528">
        <v>8.14</v>
      </c>
      <c r="AQ299" s="320"/>
      <c r="AR299" s="320"/>
      <c r="AS299" s="320"/>
      <c r="AT299" s="320"/>
      <c r="AU299" s="320"/>
      <c r="AV299" s="320"/>
      <c r="AW299" s="320"/>
      <c r="AX299" s="320"/>
      <c r="AY299" s="320"/>
      <c r="AZ299" s="320"/>
      <c r="BA299" s="320"/>
      <c r="BB299" s="320"/>
      <c r="BC299" s="320"/>
      <c r="BD299" s="320"/>
      <c r="BE299" s="320"/>
      <c r="BF299" s="320"/>
      <c r="BG299" s="320"/>
      <c r="BH299" s="320"/>
      <c r="BI299" s="320"/>
      <c r="BJ299" s="320"/>
      <c r="BK299" s="320"/>
      <c r="BL299" s="320"/>
      <c r="BM299" s="320"/>
      <c r="BN299" s="320"/>
      <c r="BO299" s="320"/>
      <c r="BP299" s="320"/>
      <c r="BQ299" s="320"/>
      <c r="BR299" s="320"/>
      <c r="BS299" s="320"/>
      <c r="BT299" s="320"/>
      <c r="BU299" s="320"/>
      <c r="BV299" s="320"/>
      <c r="BW299" s="320"/>
      <c r="BX299" s="303">
        <v>-13.452827504623288</v>
      </c>
      <c r="BY299" s="303">
        <v>7.5120687984538748</v>
      </c>
      <c r="BZ299" s="320">
        <v>4.8099999999999996</v>
      </c>
      <c r="CA299" s="321">
        <v>1.551724137931032</v>
      </c>
      <c r="CB299" s="57"/>
    </row>
    <row r="300" spans="1:80">
      <c r="A300" s="58">
        <f t="shared" si="476"/>
        <v>2002</v>
      </c>
      <c r="B300" s="321">
        <v>-20.96</v>
      </c>
      <c r="C300" s="321">
        <v>-20.91</v>
      </c>
      <c r="D300" s="321">
        <v>-22.15</v>
      </c>
      <c r="E300" s="321">
        <v>-23.68</v>
      </c>
      <c r="F300" s="321">
        <v>-14.61</v>
      </c>
      <c r="G300" s="321">
        <v>-14.2</v>
      </c>
      <c r="H300" s="321">
        <v>-20.02</v>
      </c>
      <c r="I300" s="321">
        <v>-15.41</v>
      </c>
      <c r="J300" s="321">
        <v>4.9000000000000004</v>
      </c>
      <c r="K300" s="321">
        <v>3.75</v>
      </c>
      <c r="L300" s="321">
        <v>-15.620000000000001</v>
      </c>
      <c r="M300" s="364">
        <v>-7.43</v>
      </c>
      <c r="N300" s="364">
        <v>-15.08</v>
      </c>
      <c r="O300" s="364">
        <v>-9.32</v>
      </c>
      <c r="P300" s="364">
        <v>-17.95</v>
      </c>
      <c r="Q300" s="364">
        <v>-13.35</v>
      </c>
      <c r="R300" s="321">
        <v>39.929692473577198</v>
      </c>
      <c r="S300" s="321">
        <v>16.670000000000002</v>
      </c>
      <c r="T300" s="321">
        <v>14.15</v>
      </c>
      <c r="U300" s="321">
        <v>8.26</v>
      </c>
      <c r="V300" s="321">
        <v>1.51</v>
      </c>
      <c r="W300" s="610">
        <v>16.61</v>
      </c>
      <c r="X300" s="321">
        <v>-6.9</v>
      </c>
      <c r="Y300" s="321">
        <v>4.6399999999999997</v>
      </c>
      <c r="Z300" s="321">
        <v>-22.25</v>
      </c>
      <c r="AA300" s="321">
        <v>8.02</v>
      </c>
      <c r="AB300" s="364">
        <v>25.456187895212278</v>
      </c>
      <c r="AC300" s="364">
        <v>-13.88</v>
      </c>
      <c r="AD300" s="321">
        <v>-0.62</v>
      </c>
      <c r="AE300" s="321">
        <v>-11.36</v>
      </c>
      <c r="AF300" s="321">
        <v>33.35</v>
      </c>
      <c r="AG300" s="321">
        <v>-16.86</v>
      </c>
      <c r="AH300" s="321">
        <v>3.49</v>
      </c>
      <c r="AI300" s="321">
        <v>7.91</v>
      </c>
      <c r="AJ300" s="321">
        <v>10.11</v>
      </c>
      <c r="AK300" s="321">
        <v>1.73</v>
      </c>
      <c r="AL300" s="364">
        <v>-23.33</v>
      </c>
      <c r="AM300" s="364">
        <v>-9.69</v>
      </c>
      <c r="AN300" s="321">
        <v>-18.059999999999999</v>
      </c>
      <c r="AO300" s="320">
        <v>21.33</v>
      </c>
      <c r="AP300" s="528">
        <v>5.22</v>
      </c>
      <c r="AQ300" s="320"/>
      <c r="AR300" s="320"/>
      <c r="AS300" s="320"/>
      <c r="AT300" s="320"/>
      <c r="AU300" s="320"/>
      <c r="AV300" s="320"/>
      <c r="AW300" s="320"/>
      <c r="AX300" s="320"/>
      <c r="AY300" s="320"/>
      <c r="AZ300" s="320"/>
      <c r="BA300" s="320"/>
      <c r="BB300" s="320"/>
      <c r="BC300" s="320"/>
      <c r="BD300" s="320"/>
      <c r="BE300" s="320"/>
      <c r="BF300" s="320"/>
      <c r="BG300" s="320"/>
      <c r="BH300" s="320"/>
      <c r="BI300" s="320"/>
      <c r="BJ300" s="320"/>
      <c r="BK300" s="320"/>
      <c r="BL300" s="320"/>
      <c r="BM300" s="320"/>
      <c r="BN300" s="320"/>
      <c r="BO300" s="320"/>
      <c r="BP300" s="320"/>
      <c r="BQ300" s="320"/>
      <c r="BR300" s="320"/>
      <c r="BS300" s="320"/>
      <c r="BT300" s="320"/>
      <c r="BU300" s="320"/>
      <c r="BV300" s="320"/>
      <c r="BW300" s="320"/>
      <c r="BX300" s="303">
        <v>-20.022627410740125</v>
      </c>
      <c r="BY300" s="303">
        <v>10.79573211714273</v>
      </c>
      <c r="BZ300" s="320">
        <v>2.16</v>
      </c>
      <c r="CA300" s="321">
        <v>2.3769100169779289</v>
      </c>
      <c r="CB300" s="57"/>
    </row>
    <row r="301" spans="1:80">
      <c r="A301" s="58">
        <f t="shared" si="476"/>
        <v>2003</v>
      </c>
      <c r="B301" s="321">
        <v>31.35</v>
      </c>
      <c r="C301" s="321">
        <v>32.25</v>
      </c>
      <c r="D301" s="321">
        <v>28.5</v>
      </c>
      <c r="E301" s="321">
        <v>25.92</v>
      </c>
      <c r="F301" s="321">
        <v>34.14</v>
      </c>
      <c r="G301" s="321">
        <v>37.19</v>
      </c>
      <c r="H301" s="321">
        <v>45.63</v>
      </c>
      <c r="I301" s="321">
        <v>42.88</v>
      </c>
      <c r="J301" s="321">
        <v>79.430000000000007</v>
      </c>
      <c r="K301" s="321">
        <v>35.65</v>
      </c>
      <c r="L301" s="321">
        <v>38.67</v>
      </c>
      <c r="M301" s="364">
        <v>57.65</v>
      </c>
      <c r="N301" s="364">
        <v>40.340000000000003</v>
      </c>
      <c r="O301" s="364">
        <v>38.42</v>
      </c>
      <c r="P301" s="364">
        <v>38.700000000000003</v>
      </c>
      <c r="Q301" s="364">
        <v>41.9</v>
      </c>
      <c r="R301" s="366">
        <v>29.82</v>
      </c>
      <c r="S301" s="321">
        <v>2.68</v>
      </c>
      <c r="T301" s="321">
        <v>2.37</v>
      </c>
      <c r="U301" s="321">
        <v>3.97</v>
      </c>
      <c r="V301" s="321">
        <v>0.82</v>
      </c>
      <c r="W301" s="610">
        <v>8</v>
      </c>
      <c r="X301" s="321">
        <v>20.75</v>
      </c>
      <c r="Y301" s="321">
        <v>9.66</v>
      </c>
      <c r="Z301" s="321">
        <v>37.01</v>
      </c>
      <c r="AA301" s="321">
        <v>2.38</v>
      </c>
      <c r="AB301" s="364">
        <v>19.599654377880189</v>
      </c>
      <c r="AC301" s="364">
        <v>57.37</v>
      </c>
      <c r="AD301" s="321">
        <v>33.799999999999997</v>
      </c>
      <c r="AE301" s="321">
        <v>26.58</v>
      </c>
      <c r="AF301" s="321">
        <v>59.45</v>
      </c>
      <c r="AG301" s="321">
        <v>30.08</v>
      </c>
      <c r="AH301" s="321">
        <v>1.64</v>
      </c>
      <c r="AI301" s="321">
        <v>4.46</v>
      </c>
      <c r="AJ301" s="321">
        <v>5.21</v>
      </c>
      <c r="AK301" s="321">
        <v>17.2</v>
      </c>
      <c r="AL301" s="364">
        <v>40.26</v>
      </c>
      <c r="AM301" s="364">
        <v>37.909999999999997</v>
      </c>
      <c r="AN301" s="321">
        <v>43.43</v>
      </c>
      <c r="AO301" s="320">
        <v>16.59</v>
      </c>
      <c r="AP301" s="528">
        <v>4.2</v>
      </c>
      <c r="AQ301" s="320"/>
      <c r="AR301" s="320"/>
      <c r="AS301" s="320"/>
      <c r="AT301" s="320"/>
      <c r="AU301" s="320"/>
      <c r="AV301" s="320"/>
      <c r="AW301" s="320"/>
      <c r="AX301" s="320"/>
      <c r="AY301" s="320"/>
      <c r="AZ301" s="320"/>
      <c r="BA301" s="320"/>
      <c r="BB301" s="320"/>
      <c r="BC301" s="320"/>
      <c r="BD301" s="320"/>
      <c r="BE301" s="320"/>
      <c r="BF301" s="320"/>
      <c r="BG301" s="320"/>
      <c r="BH301" s="320"/>
      <c r="BI301" s="320"/>
      <c r="BJ301" s="320"/>
      <c r="BK301" s="320"/>
      <c r="BL301" s="320"/>
      <c r="BM301" s="320"/>
      <c r="BN301" s="320"/>
      <c r="BO301" s="320"/>
      <c r="BP301" s="320"/>
      <c r="BQ301" s="320"/>
      <c r="BR301" s="320"/>
      <c r="BS301" s="320"/>
      <c r="BT301" s="320"/>
      <c r="BU301" s="320"/>
      <c r="BV301" s="320"/>
      <c r="BW301" s="320"/>
      <c r="BX301" s="303">
        <v>28.361091266297557</v>
      </c>
      <c r="BY301" s="303">
        <v>4.0137883676302444</v>
      </c>
      <c r="BZ301" s="320">
        <v>1.36</v>
      </c>
      <c r="CA301" s="321">
        <v>1.8794914317302513</v>
      </c>
      <c r="CB301" s="57"/>
    </row>
    <row r="302" spans="1:80">
      <c r="A302" s="58">
        <f t="shared" si="476"/>
        <v>2004</v>
      </c>
      <c r="B302" s="321">
        <v>12.52</v>
      </c>
      <c r="C302" s="321">
        <v>15.29</v>
      </c>
      <c r="D302" s="321">
        <v>10.74</v>
      </c>
      <c r="E302" s="321">
        <v>7.2</v>
      </c>
      <c r="F302" s="321">
        <v>20.350000000000001</v>
      </c>
      <c r="G302" s="321">
        <v>23.55</v>
      </c>
      <c r="H302" s="321">
        <v>19.899999999999999</v>
      </c>
      <c r="I302" s="321">
        <v>16.059999999999999</v>
      </c>
      <c r="J302" s="321">
        <v>20.12</v>
      </c>
      <c r="K302" s="321">
        <v>30.76</v>
      </c>
      <c r="L302" s="321">
        <v>20.25</v>
      </c>
      <c r="M302" s="364">
        <v>26.12</v>
      </c>
      <c r="N302" s="364">
        <v>20.84</v>
      </c>
      <c r="O302" s="364">
        <v>18.829999999999998</v>
      </c>
      <c r="P302" s="364">
        <v>20.86</v>
      </c>
      <c r="Q302" s="364">
        <v>19.77</v>
      </c>
      <c r="R302" s="321">
        <v>16.36</v>
      </c>
      <c r="S302" s="321">
        <v>7.12</v>
      </c>
      <c r="T302" s="321">
        <v>3.4</v>
      </c>
      <c r="U302" s="321">
        <v>4.24</v>
      </c>
      <c r="V302" s="321">
        <v>1</v>
      </c>
      <c r="W302" s="610">
        <v>8.27</v>
      </c>
      <c r="X302" s="321">
        <v>11.17</v>
      </c>
      <c r="Y302" s="321">
        <v>7.57</v>
      </c>
      <c r="Z302" s="321">
        <v>13.38</v>
      </c>
      <c r="AA302" s="321">
        <v>1.03</v>
      </c>
      <c r="AB302" s="364">
        <v>4.9006622516556346</v>
      </c>
      <c r="AC302" s="364">
        <v>31.77</v>
      </c>
      <c r="AD302" s="321">
        <v>36.65</v>
      </c>
      <c r="AE302" s="321">
        <v>9.51</v>
      </c>
      <c r="AF302" s="321">
        <v>8.09</v>
      </c>
      <c r="AG302" s="321">
        <v>18.309999999999999</v>
      </c>
      <c r="AH302" s="321">
        <v>1.1200000000000001</v>
      </c>
      <c r="AI302" s="321">
        <v>3.23</v>
      </c>
      <c r="AJ302" s="321">
        <v>4.12</v>
      </c>
      <c r="AK302" s="321">
        <v>8.52</v>
      </c>
      <c r="AL302" s="364">
        <v>13.82</v>
      </c>
      <c r="AM302" s="364">
        <v>27.17</v>
      </c>
      <c r="AN302" s="321">
        <v>18.71</v>
      </c>
      <c r="AO302" s="320">
        <v>11.56</v>
      </c>
      <c r="AP302" s="528">
        <v>2.11</v>
      </c>
      <c r="AQ302" s="320"/>
      <c r="AR302" s="320"/>
      <c r="AS302" s="320"/>
      <c r="AT302" s="320"/>
      <c r="AU302" s="320"/>
      <c r="AV302" s="320"/>
      <c r="AW302" s="320"/>
      <c r="AX302" s="320"/>
      <c r="AY302" s="320"/>
      <c r="AZ302" s="320"/>
      <c r="BA302" s="320"/>
      <c r="BB302" s="320"/>
      <c r="BC302" s="320"/>
      <c r="BD302" s="320"/>
      <c r="BE302" s="320"/>
      <c r="BF302" s="320"/>
      <c r="BG302" s="320"/>
      <c r="BH302" s="320"/>
      <c r="BI302" s="320"/>
      <c r="BJ302" s="320"/>
      <c r="BK302" s="320"/>
      <c r="BL302" s="320"/>
      <c r="BM302" s="320"/>
      <c r="BN302" s="320"/>
      <c r="BO302" s="320"/>
      <c r="BP302" s="320"/>
      <c r="BQ302" s="320"/>
      <c r="BR302" s="320"/>
      <c r="BS302" s="320"/>
      <c r="BT302" s="320"/>
      <c r="BU302" s="320"/>
      <c r="BV302" s="320"/>
      <c r="BW302" s="320"/>
      <c r="BX302" s="303">
        <v>6.0334475329354209</v>
      </c>
      <c r="BY302" s="303">
        <v>2.2674634484761258</v>
      </c>
      <c r="BZ302" s="320">
        <v>1.24</v>
      </c>
      <c r="CA302" s="321">
        <v>3.255561584373301</v>
      </c>
      <c r="CB302" s="57"/>
    </row>
    <row r="303" spans="1:80">
      <c r="A303" s="58">
        <f t="shared" si="476"/>
        <v>2005</v>
      </c>
      <c r="B303" s="321">
        <v>5.98</v>
      </c>
      <c r="C303" s="321">
        <v>7.09</v>
      </c>
      <c r="D303" s="321">
        <v>4.7699999999999996</v>
      </c>
      <c r="E303" s="321">
        <v>5.09</v>
      </c>
      <c r="F303" s="321">
        <v>13.93</v>
      </c>
      <c r="G303" s="321">
        <v>6.07</v>
      </c>
      <c r="H303" s="321">
        <v>7.36</v>
      </c>
      <c r="I303" s="321">
        <v>8.64</v>
      </c>
      <c r="J303" s="321">
        <v>4.08</v>
      </c>
      <c r="K303" s="321">
        <v>11.89</v>
      </c>
      <c r="L303" s="321">
        <v>13.600000000000001</v>
      </c>
      <c r="M303" s="364">
        <v>32.049999999999997</v>
      </c>
      <c r="N303" s="364">
        <v>15.57</v>
      </c>
      <c r="O303" s="364">
        <v>22.59</v>
      </c>
      <c r="P303" s="364">
        <v>9.26</v>
      </c>
      <c r="Q303" s="364">
        <v>17.96</v>
      </c>
      <c r="R303" s="321">
        <v>20.5</v>
      </c>
      <c r="S303" s="321">
        <v>6.61</v>
      </c>
      <c r="T303" s="321">
        <v>2.3199999999999998</v>
      </c>
      <c r="U303" s="321">
        <v>2.4</v>
      </c>
      <c r="V303" s="321">
        <v>2.77</v>
      </c>
      <c r="W303" s="610">
        <v>2.59</v>
      </c>
      <c r="X303" s="321">
        <v>6.82</v>
      </c>
      <c r="Y303" s="321">
        <v>3.48</v>
      </c>
      <c r="Z303" s="321">
        <v>4.99</v>
      </c>
      <c r="AA303" s="321">
        <v>1.77</v>
      </c>
      <c r="AB303" s="364">
        <v>18.04</v>
      </c>
      <c r="AC303" s="364">
        <v>20.49</v>
      </c>
      <c r="AD303" s="321">
        <v>44.6</v>
      </c>
      <c r="AE303" s="321">
        <v>15.41</v>
      </c>
      <c r="AF303" s="321">
        <v>43.79</v>
      </c>
      <c r="AG303" s="321">
        <v>7.01</v>
      </c>
      <c r="AH303" s="321">
        <v>1.65</v>
      </c>
      <c r="AI303" s="321">
        <v>2.2400000000000002</v>
      </c>
      <c r="AJ303" s="321">
        <v>3.07</v>
      </c>
      <c r="AK303" s="321">
        <v>2.77</v>
      </c>
      <c r="AL303" s="364">
        <v>15.02</v>
      </c>
      <c r="AM303" s="364">
        <v>12.85</v>
      </c>
      <c r="AN303" s="321">
        <v>10.29</v>
      </c>
      <c r="AO303" s="320">
        <v>-6.36</v>
      </c>
      <c r="AP303" s="528">
        <v>2.2000000000000002</v>
      </c>
      <c r="AQ303" s="320"/>
      <c r="AR303" s="320"/>
      <c r="AS303" s="320"/>
      <c r="AT303" s="320"/>
      <c r="AU303" s="320"/>
      <c r="AV303" s="320"/>
      <c r="AW303" s="320"/>
      <c r="AX303" s="320"/>
      <c r="AY303" s="320"/>
      <c r="AZ303" s="320"/>
      <c r="BA303" s="320"/>
      <c r="BB303" s="320"/>
      <c r="BC303" s="320"/>
      <c r="BD303" s="320"/>
      <c r="BE303" s="320"/>
      <c r="BF303" s="320"/>
      <c r="BG303" s="320"/>
      <c r="BH303" s="320"/>
      <c r="BI303" s="320"/>
      <c r="BJ303" s="320"/>
      <c r="BK303" s="320"/>
      <c r="BL303" s="320"/>
      <c r="BM303" s="320"/>
      <c r="BN303" s="320"/>
      <c r="BO303" s="320"/>
      <c r="BP303" s="320"/>
      <c r="BQ303" s="320"/>
      <c r="BR303" s="320"/>
      <c r="BS303" s="320"/>
      <c r="BT303" s="320"/>
      <c r="BU303" s="320"/>
      <c r="BV303" s="320"/>
      <c r="BW303" s="320"/>
      <c r="BX303" s="303">
        <v>10.118417822771097</v>
      </c>
      <c r="BY303" s="303">
        <v>2.007809649622061</v>
      </c>
      <c r="BZ303" s="320">
        <v>2.86</v>
      </c>
      <c r="CA303" s="321">
        <v>3.4156594850236477</v>
      </c>
      <c r="CB303" s="57"/>
    </row>
    <row r="304" spans="1:80">
      <c r="A304" s="58">
        <f t="shared" si="476"/>
        <v>2006</v>
      </c>
      <c r="B304" s="321">
        <v>15.51</v>
      </c>
      <c r="C304" s="321">
        <v>22.15</v>
      </c>
      <c r="D304" s="321">
        <v>15.64</v>
      </c>
      <c r="E304" s="321">
        <v>9.01</v>
      </c>
      <c r="F304" s="321">
        <v>13.6</v>
      </c>
      <c r="G304" s="321">
        <v>19.239999999999998</v>
      </c>
      <c r="H304" s="321">
        <v>15.64</v>
      </c>
      <c r="I304" s="321">
        <v>11.94</v>
      </c>
      <c r="J304" s="321">
        <v>11.48</v>
      </c>
      <c r="K304" s="321">
        <v>35.07</v>
      </c>
      <c r="L304" s="321">
        <v>26.27</v>
      </c>
      <c r="M304" s="364">
        <v>29.39</v>
      </c>
      <c r="N304" s="364">
        <v>26.64</v>
      </c>
      <c r="O304" s="364">
        <v>11.99</v>
      </c>
      <c r="P304" s="364">
        <v>33.42</v>
      </c>
      <c r="Q304" s="364">
        <v>27.37</v>
      </c>
      <c r="R304" s="321">
        <v>-3.04</v>
      </c>
      <c r="S304" s="321">
        <v>1.74</v>
      </c>
      <c r="T304" s="321">
        <v>3.14</v>
      </c>
      <c r="U304" s="321">
        <v>4.2699999999999996</v>
      </c>
      <c r="V304" s="321">
        <v>4.55</v>
      </c>
      <c r="W304" s="610">
        <v>0.43</v>
      </c>
      <c r="X304" s="321">
        <v>14.97</v>
      </c>
      <c r="Y304" s="321">
        <v>11.28</v>
      </c>
      <c r="Z304" s="321">
        <v>19.350000000000001</v>
      </c>
      <c r="AA304" s="321">
        <v>3.77</v>
      </c>
      <c r="AB304" s="364">
        <v>22.17</v>
      </c>
      <c r="AC304" s="364">
        <v>30.34</v>
      </c>
      <c r="AD304" s="321">
        <v>19.66</v>
      </c>
      <c r="AE304" s="321">
        <v>10.87</v>
      </c>
      <c r="AF304" s="321">
        <v>34.299999999999997</v>
      </c>
      <c r="AG304" s="321">
        <v>18.25</v>
      </c>
      <c r="AH304" s="321">
        <v>3.26</v>
      </c>
      <c r="AI304" s="321">
        <v>4.43</v>
      </c>
      <c r="AJ304" s="321">
        <v>5.16</v>
      </c>
      <c r="AK304" s="321">
        <v>8.24</v>
      </c>
      <c r="AL304" s="321">
        <v>9.67</v>
      </c>
      <c r="AM304" s="321">
        <v>17.82</v>
      </c>
      <c r="AN304" s="321">
        <v>14.27</v>
      </c>
      <c r="AO304" s="320">
        <v>5.85</v>
      </c>
      <c r="AP304" s="528">
        <v>4.99</v>
      </c>
      <c r="AQ304" s="320"/>
      <c r="AR304" s="320"/>
      <c r="AS304" s="320"/>
      <c r="AT304" s="320"/>
      <c r="AU304" s="320"/>
      <c r="AV304" s="320"/>
      <c r="AW304" s="320"/>
      <c r="AX304" s="320"/>
      <c r="AY304" s="320"/>
      <c r="AZ304" s="320"/>
      <c r="BA304" s="320"/>
      <c r="BB304" s="320"/>
      <c r="BC304" s="320"/>
      <c r="BD304" s="320"/>
      <c r="BE304" s="320"/>
      <c r="BF304" s="320"/>
      <c r="BG304" s="320"/>
      <c r="BH304" s="320"/>
      <c r="BI304" s="320"/>
      <c r="BJ304" s="320"/>
      <c r="BK304" s="320"/>
      <c r="BL304" s="320"/>
      <c r="BM304" s="320"/>
      <c r="BN304" s="320"/>
      <c r="BO304" s="320"/>
      <c r="BP304" s="320"/>
      <c r="BQ304" s="320"/>
      <c r="BR304" s="320"/>
      <c r="BS304" s="320"/>
      <c r="BT304" s="320"/>
      <c r="BU304" s="320"/>
      <c r="BV304" s="320"/>
      <c r="BW304" s="320"/>
      <c r="BX304" s="303">
        <v>13.318683381167261</v>
      </c>
      <c r="BY304" s="303">
        <v>2.6749635625406221</v>
      </c>
      <c r="BZ304" s="320">
        <v>4.45</v>
      </c>
      <c r="CA304" s="321">
        <v>2.5406504065040636</v>
      </c>
      <c r="CB304" s="57"/>
    </row>
    <row r="305" spans="1:81">
      <c r="A305" s="58">
        <f t="shared" si="476"/>
        <v>2007</v>
      </c>
      <c r="B305" s="321">
        <v>5.49</v>
      </c>
      <c r="C305" s="321">
        <v>0.09</v>
      </c>
      <c r="D305" s="321">
        <v>5.39</v>
      </c>
      <c r="E305" s="321">
        <v>12.56</v>
      </c>
      <c r="F305" s="321">
        <v>6.02</v>
      </c>
      <c r="G305" s="321">
        <v>-7.07</v>
      </c>
      <c r="H305" s="321">
        <v>1.1599999999999999</v>
      </c>
      <c r="I305" s="321">
        <v>9.6300000000000008</v>
      </c>
      <c r="J305" s="321">
        <v>-5.4</v>
      </c>
      <c r="K305" s="321">
        <v>-16.46</v>
      </c>
      <c r="L305" s="321">
        <v>11.15</v>
      </c>
      <c r="M305" s="321">
        <v>38.9</v>
      </c>
      <c r="N305" s="321">
        <v>15.52</v>
      </c>
      <c r="O305" s="321">
        <v>4.78</v>
      </c>
      <c r="P305" s="321">
        <v>13.82</v>
      </c>
      <c r="Q305" s="321">
        <v>12.66</v>
      </c>
      <c r="R305" s="321">
        <v>23.8</v>
      </c>
      <c r="S305" s="321">
        <v>9.24</v>
      </c>
      <c r="T305" s="321">
        <v>9.98</v>
      </c>
      <c r="U305" s="321">
        <v>6.92</v>
      </c>
      <c r="V305" s="321">
        <v>4.6500000000000004</v>
      </c>
      <c r="W305" s="321">
        <v>11.59</v>
      </c>
      <c r="X305" s="321">
        <v>8.34</v>
      </c>
      <c r="Y305" s="321">
        <v>5.61</v>
      </c>
      <c r="Z305" s="321">
        <v>-3.3</v>
      </c>
      <c r="AA305" s="321">
        <v>7.89</v>
      </c>
      <c r="AB305" s="321">
        <v>30.56</v>
      </c>
      <c r="AC305" s="321">
        <v>5.15</v>
      </c>
      <c r="AD305" s="321">
        <v>37</v>
      </c>
      <c r="AE305" s="321">
        <v>4.42</v>
      </c>
      <c r="AF305" s="321">
        <v>36.130000000000003</v>
      </c>
      <c r="AG305" s="321">
        <v>2.23</v>
      </c>
      <c r="AH305" s="321">
        <v>4.1900000000000004</v>
      </c>
      <c r="AI305" s="321">
        <v>3.43</v>
      </c>
      <c r="AJ305" s="321">
        <v>2.54</v>
      </c>
      <c r="AK305" s="321">
        <v>2.04</v>
      </c>
      <c r="AL305" s="366">
        <v>17.3</v>
      </c>
      <c r="AM305" s="366">
        <v>-4.37</v>
      </c>
      <c r="AN305" s="321">
        <v>4.33</v>
      </c>
      <c r="AO305" s="321">
        <v>9.26</v>
      </c>
      <c r="AP305" s="528">
        <v>5.86</v>
      </c>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320"/>
      <c r="BS305" s="320"/>
      <c r="BT305" s="320"/>
      <c r="BU305" s="320"/>
      <c r="BV305" s="320"/>
      <c r="BW305" s="320"/>
      <c r="BX305" s="303">
        <v>-1.2407313784968066</v>
      </c>
      <c r="BY305" s="303">
        <v>12.137498737814933</v>
      </c>
      <c r="BZ305" s="320">
        <v>5.0599999999999996</v>
      </c>
      <c r="CA305" s="321">
        <v>4.0812685827551931</v>
      </c>
      <c r="CB305" s="57"/>
    </row>
    <row r="306" spans="1:81">
      <c r="A306" s="58">
        <f t="shared" si="476"/>
        <v>2008</v>
      </c>
      <c r="B306" s="303">
        <v>-37.04</v>
      </c>
      <c r="C306" s="303">
        <v>-35.97</v>
      </c>
      <c r="D306" s="303">
        <v>-37.020000000000003</v>
      </c>
      <c r="E306" s="303">
        <v>-38.32</v>
      </c>
      <c r="F306" s="303">
        <v>-41.82</v>
      </c>
      <c r="G306" s="303">
        <v>-32.049999999999997</v>
      </c>
      <c r="H306" s="303">
        <v>-36.07</v>
      </c>
      <c r="I306" s="303">
        <v>-40</v>
      </c>
      <c r="J306" s="303">
        <v>-39.49</v>
      </c>
      <c r="K306" s="303">
        <v>-37.049999999999997</v>
      </c>
      <c r="L306" s="303">
        <v>-41.27</v>
      </c>
      <c r="M306" s="303">
        <v>-52.81</v>
      </c>
      <c r="N306" s="303">
        <v>-44.1</v>
      </c>
      <c r="O306" s="303">
        <v>-34.36</v>
      </c>
      <c r="P306" s="303">
        <v>-44.73</v>
      </c>
      <c r="Q306" s="303">
        <v>-41.74</v>
      </c>
      <c r="R306" s="303">
        <v>-43.33</v>
      </c>
      <c r="S306" s="303">
        <v>22.52</v>
      </c>
      <c r="T306" s="303">
        <v>13.32</v>
      </c>
      <c r="U306" s="303">
        <v>5.05</v>
      </c>
      <c r="V306" s="303">
        <v>1.97</v>
      </c>
      <c r="W306" s="303">
        <v>-2.85</v>
      </c>
      <c r="X306" s="303">
        <v>-22.3</v>
      </c>
      <c r="Y306" s="303">
        <v>-9.84</v>
      </c>
      <c r="Z306" s="303">
        <v>-41.1</v>
      </c>
      <c r="AA306" s="303">
        <v>6.68</v>
      </c>
      <c r="AB306" s="321">
        <v>4.96</v>
      </c>
      <c r="AC306" s="321">
        <v>-46.62</v>
      </c>
      <c r="AD306" s="321">
        <v>-42.87</v>
      </c>
      <c r="AE306" s="321">
        <v>-18.45</v>
      </c>
      <c r="AF306" s="321">
        <v>-56.02</v>
      </c>
      <c r="AG306" s="321">
        <v>-36.700000000000003</v>
      </c>
      <c r="AH306" s="321">
        <v>3.74</v>
      </c>
      <c r="AI306" s="321">
        <v>-0.14000000000000001</v>
      </c>
      <c r="AJ306" s="321">
        <v>-4.87</v>
      </c>
      <c r="AK306" s="321">
        <v>-21.29</v>
      </c>
      <c r="AL306" s="321">
        <v>-47.07</v>
      </c>
      <c r="AM306" s="321">
        <v>-36.64</v>
      </c>
      <c r="AN306" s="321">
        <v>-38.729999999999997</v>
      </c>
      <c r="AO306" s="321">
        <v>-2.67</v>
      </c>
      <c r="AP306" s="528">
        <v>-4.74</v>
      </c>
      <c r="AQ306" s="321"/>
      <c r="AR306" s="321"/>
      <c r="AS306" s="321"/>
      <c r="AT306" s="321"/>
      <c r="AU306" s="321"/>
      <c r="AV306" s="321"/>
      <c r="AW306" s="321"/>
      <c r="AX306" s="321"/>
      <c r="AY306" s="321"/>
      <c r="AZ306" s="321"/>
      <c r="BA306" s="321"/>
      <c r="BB306" s="321"/>
      <c r="BC306" s="321"/>
      <c r="BD306" s="321"/>
      <c r="BE306" s="321"/>
      <c r="BF306" s="321"/>
      <c r="BG306" s="321"/>
      <c r="BH306" s="321"/>
      <c r="BI306" s="321"/>
      <c r="BJ306" s="321"/>
      <c r="BK306" s="321"/>
      <c r="BL306" s="321"/>
      <c r="BM306" s="321"/>
      <c r="BN306" s="321"/>
      <c r="BO306" s="321"/>
      <c r="BP306" s="321"/>
      <c r="BQ306" s="321"/>
      <c r="BR306" s="321"/>
      <c r="BS306" s="321"/>
      <c r="BT306" s="321"/>
      <c r="BU306" s="321"/>
      <c r="BV306" s="321"/>
      <c r="BW306" s="321"/>
      <c r="BX306" s="303">
        <v>-35.161304360439814</v>
      </c>
      <c r="BY306" s="303">
        <v>10.34709527387454</v>
      </c>
      <c r="BZ306" s="321">
        <v>2.71</v>
      </c>
      <c r="CA306" s="321">
        <v>9.1412900645604367E-2</v>
      </c>
      <c r="CB306" s="57"/>
    </row>
    <row r="307" spans="1:81">
      <c r="A307" s="58">
        <f t="shared" si="476"/>
        <v>2009</v>
      </c>
      <c r="B307" s="321">
        <v>28.7</v>
      </c>
      <c r="C307" s="321">
        <v>19.579999999999998</v>
      </c>
      <c r="D307" s="321">
        <v>26.49</v>
      </c>
      <c r="E307" s="321">
        <v>36.29</v>
      </c>
      <c r="F307" s="321">
        <v>40.22</v>
      </c>
      <c r="G307" s="321">
        <v>30.34</v>
      </c>
      <c r="H307" s="321">
        <v>36.119999999999997</v>
      </c>
      <c r="I307" s="321">
        <v>41.85</v>
      </c>
      <c r="J307" s="321">
        <v>25.95</v>
      </c>
      <c r="K307" s="321">
        <v>29.58</v>
      </c>
      <c r="L307" s="321">
        <v>28.27</v>
      </c>
      <c r="M307" s="321">
        <v>75.98</v>
      </c>
      <c r="N307" s="321">
        <v>36.729999999999997</v>
      </c>
      <c r="O307" s="321">
        <v>21.18</v>
      </c>
      <c r="P307" s="321">
        <v>31.91</v>
      </c>
      <c r="Q307" s="321">
        <v>33.770000000000003</v>
      </c>
      <c r="R307" s="321">
        <v>39.92</v>
      </c>
      <c r="S307" s="321">
        <v>-12.05</v>
      </c>
      <c r="T307" s="321">
        <v>-1.69</v>
      </c>
      <c r="U307" s="321">
        <v>5.93</v>
      </c>
      <c r="V307" s="321">
        <v>0.53</v>
      </c>
      <c r="W307" s="321">
        <v>10.8</v>
      </c>
      <c r="X307" s="321">
        <v>22.2</v>
      </c>
      <c r="Y307" s="321">
        <v>16.02</v>
      </c>
      <c r="Z307" s="321">
        <v>34.69</v>
      </c>
      <c r="AA307" s="321">
        <v>1.44</v>
      </c>
      <c r="AB307" s="321">
        <v>23.99</v>
      </c>
      <c r="AC307" s="321">
        <v>47.12</v>
      </c>
      <c r="AD307" s="321">
        <v>38.36</v>
      </c>
      <c r="AE307" s="321">
        <v>20.96</v>
      </c>
      <c r="AF307" s="321">
        <v>76.459999999999994</v>
      </c>
      <c r="AG307" s="321">
        <v>27.05</v>
      </c>
      <c r="AH307" s="321">
        <v>3.07</v>
      </c>
      <c r="AI307" s="321">
        <v>10.220000000000001</v>
      </c>
      <c r="AJ307" s="321">
        <v>14.08</v>
      </c>
      <c r="AK307" s="321">
        <v>20.13</v>
      </c>
      <c r="AL307" s="321">
        <v>42.54</v>
      </c>
      <c r="AM307" s="321">
        <v>37.61</v>
      </c>
      <c r="AN307" s="321">
        <v>37.43</v>
      </c>
      <c r="AO307" s="321">
        <v>17.170000000000002</v>
      </c>
      <c r="AP307" s="528">
        <v>14.03</v>
      </c>
      <c r="AQ307" s="321"/>
      <c r="AR307" s="321"/>
      <c r="AS307" s="321"/>
      <c r="AT307" s="321"/>
      <c r="AU307" s="321"/>
      <c r="AV307" s="321"/>
      <c r="AW307" s="321"/>
      <c r="AX307" s="321"/>
      <c r="AY307" s="321"/>
      <c r="AZ307" s="321"/>
      <c r="BA307" s="321"/>
      <c r="BB307" s="321"/>
      <c r="BC307" s="321"/>
      <c r="BD307" s="321"/>
      <c r="BE307" s="321"/>
      <c r="BF307" s="321"/>
      <c r="BG307" s="321"/>
      <c r="BH307" s="321"/>
      <c r="BI307" s="321"/>
      <c r="BJ307" s="321"/>
      <c r="BK307" s="321"/>
      <c r="BL307" s="321"/>
      <c r="BM307" s="321"/>
      <c r="BN307" s="321"/>
      <c r="BO307" s="321"/>
      <c r="BP307" s="321"/>
      <c r="BQ307" s="321"/>
      <c r="BR307" s="321"/>
      <c r="BS307" s="321"/>
      <c r="BT307" s="321"/>
      <c r="BU307" s="321"/>
      <c r="BV307" s="321"/>
      <c r="BW307" s="321"/>
      <c r="BX307" s="303">
        <v>32.395619122438134</v>
      </c>
      <c r="BY307" s="303">
        <v>-1.7407048735977204</v>
      </c>
      <c r="BZ307" s="321">
        <v>0.44</v>
      </c>
      <c r="CA307" s="321">
        <v>2.7213311262058282</v>
      </c>
      <c r="CB307" s="57"/>
    </row>
    <row r="308" spans="1:81">
      <c r="A308" s="58">
        <f t="shared" si="476"/>
        <v>2010</v>
      </c>
      <c r="B308" s="321">
        <v>17.09</v>
      </c>
      <c r="C308" s="321">
        <v>14.28</v>
      </c>
      <c r="D308" s="321">
        <v>14.91</v>
      </c>
      <c r="E308" s="321">
        <v>16.96</v>
      </c>
      <c r="F308" s="321">
        <v>25.46</v>
      </c>
      <c r="G308" s="321">
        <v>24.82</v>
      </c>
      <c r="H308" s="321">
        <v>27.72</v>
      </c>
      <c r="I308" s="321">
        <v>30.69</v>
      </c>
      <c r="J308" s="321">
        <v>24.86</v>
      </c>
      <c r="K308" s="321">
        <v>28.3</v>
      </c>
      <c r="L308" s="321">
        <v>8.36</v>
      </c>
      <c r="M308" s="321">
        <v>18.86</v>
      </c>
      <c r="N308" s="321">
        <v>11.12</v>
      </c>
      <c r="O308" s="321">
        <v>15.77</v>
      </c>
      <c r="P308" s="321">
        <v>4.91</v>
      </c>
      <c r="Q308" s="321">
        <v>7.31</v>
      </c>
      <c r="R308" s="321">
        <v>24.13</v>
      </c>
      <c r="S308" s="321">
        <v>8.93</v>
      </c>
      <c r="T308" s="321">
        <v>7.35</v>
      </c>
      <c r="U308" s="321">
        <v>6.42</v>
      </c>
      <c r="V308" s="321">
        <v>0.01</v>
      </c>
      <c r="W308" s="321">
        <v>6.17</v>
      </c>
      <c r="X308" s="321">
        <v>10.94</v>
      </c>
      <c r="Y308" s="321">
        <v>10.65</v>
      </c>
      <c r="Z308" s="321">
        <v>14.82</v>
      </c>
      <c r="AA308" s="321">
        <v>2.64</v>
      </c>
      <c r="AB308" s="321">
        <v>29.27</v>
      </c>
      <c r="AC308" s="321">
        <v>24.97</v>
      </c>
      <c r="AD308" s="321">
        <v>13.43</v>
      </c>
      <c r="AE308" s="321">
        <v>6.16</v>
      </c>
      <c r="AF308" s="321">
        <v>37.450000000000003</v>
      </c>
      <c r="AG308" s="321">
        <v>10.62</v>
      </c>
      <c r="AH308" s="321">
        <v>0.95</v>
      </c>
      <c r="AI308" s="321">
        <v>2.13</v>
      </c>
      <c r="AJ308" s="321">
        <v>1.5</v>
      </c>
      <c r="AK308" s="321">
        <v>12.4</v>
      </c>
      <c r="AL308" s="321">
        <v>28.93</v>
      </c>
      <c r="AM308" s="321">
        <v>21.63</v>
      </c>
      <c r="AN308" s="321">
        <v>27.37</v>
      </c>
      <c r="AO308" s="321">
        <v>11.24</v>
      </c>
      <c r="AP308" s="528">
        <v>5.21</v>
      </c>
      <c r="AQ308" s="321"/>
      <c r="AR308" s="321"/>
      <c r="AS308" s="321"/>
      <c r="AT308" s="321"/>
      <c r="AU308" s="321"/>
      <c r="AV308" s="321"/>
      <c r="AW308" s="321"/>
      <c r="AX308" s="321"/>
      <c r="AY308" s="321"/>
      <c r="AZ308" s="321"/>
      <c r="BA308" s="321"/>
      <c r="BB308" s="321"/>
      <c r="BC308" s="321"/>
      <c r="BD308" s="321"/>
      <c r="BE308" s="321"/>
      <c r="BF308" s="321"/>
      <c r="BG308" s="321"/>
      <c r="BH308" s="321"/>
      <c r="BI308" s="321"/>
      <c r="BJ308" s="321"/>
      <c r="BK308" s="321"/>
      <c r="BL308" s="321"/>
      <c r="BM308" s="321"/>
      <c r="BN308" s="321"/>
      <c r="BO308" s="321"/>
      <c r="BP308" s="321"/>
      <c r="BQ308" s="321"/>
      <c r="BR308" s="321"/>
      <c r="BS308" s="321"/>
      <c r="BT308" s="321"/>
      <c r="BU308" s="321"/>
      <c r="BV308" s="321"/>
      <c r="BW308" s="321"/>
      <c r="BX308" s="303">
        <v>16.177753252994886</v>
      </c>
      <c r="BY308" s="303">
        <v>6.1146138488488821</v>
      </c>
      <c r="BZ308" s="321">
        <v>0.35</v>
      </c>
      <c r="CA308" s="321">
        <v>1.4957235273143077</v>
      </c>
      <c r="CB308" s="57"/>
    </row>
    <row r="309" spans="1:81">
      <c r="A309" s="58">
        <f t="shared" si="476"/>
        <v>2011</v>
      </c>
      <c r="B309" s="321">
        <v>0.96</v>
      </c>
      <c r="C309" s="321">
        <v>1</v>
      </c>
      <c r="D309" s="321">
        <v>1.97</v>
      </c>
      <c r="E309" s="321">
        <v>1.71</v>
      </c>
      <c r="F309" s="321">
        <v>-2.11</v>
      </c>
      <c r="G309" s="321">
        <v>-4.16</v>
      </c>
      <c r="H309" s="321">
        <v>-2.8</v>
      </c>
      <c r="I309" s="321">
        <v>-1.58</v>
      </c>
      <c r="J309" s="321">
        <v>-7.86</v>
      </c>
      <c r="K309" s="321">
        <v>8.4700000000000006</v>
      </c>
      <c r="L309" s="321">
        <v>-12.509999999999998</v>
      </c>
      <c r="M309" s="321">
        <v>-19.18</v>
      </c>
      <c r="N309" s="364">
        <v>-14.56</v>
      </c>
      <c r="O309" s="321">
        <v>-14</v>
      </c>
      <c r="P309" s="321">
        <v>-11.6</v>
      </c>
      <c r="Q309" s="321">
        <v>-14.58</v>
      </c>
      <c r="R309" s="321">
        <v>-7.56</v>
      </c>
      <c r="S309" s="321">
        <v>29.28</v>
      </c>
      <c r="T309" s="321">
        <v>9.8000000000000007</v>
      </c>
      <c r="U309" s="321">
        <v>7.56</v>
      </c>
      <c r="V309" s="321">
        <v>0.02</v>
      </c>
      <c r="W309" s="610">
        <v>13.24</v>
      </c>
      <c r="X309" s="321">
        <v>3.85</v>
      </c>
      <c r="Y309" s="321">
        <v>9.6300000000000008</v>
      </c>
      <c r="Z309" s="321">
        <v>-4</v>
      </c>
      <c r="AA309" s="321">
        <v>2.2599999999999998</v>
      </c>
      <c r="AB309" s="321">
        <v>9.57</v>
      </c>
      <c r="AC309" s="321">
        <v>-19.09</v>
      </c>
      <c r="AD309" s="321">
        <v>-1.74</v>
      </c>
      <c r="AE309" s="321">
        <v>11.45</v>
      </c>
      <c r="AF309" s="321">
        <v>-21.7</v>
      </c>
      <c r="AG309" s="321">
        <v>2.7</v>
      </c>
      <c r="AH309" s="321">
        <v>1.6</v>
      </c>
      <c r="AI309" s="321">
        <v>9.6199999999999992</v>
      </c>
      <c r="AJ309" s="321">
        <v>10.69</v>
      </c>
      <c r="AK309" s="321">
        <v>7.13</v>
      </c>
      <c r="AL309" s="321">
        <v>-3.84</v>
      </c>
      <c r="AM309" s="321">
        <v>-0.44</v>
      </c>
      <c r="AN309" s="321">
        <v>-3.73</v>
      </c>
      <c r="AO309" s="320">
        <v>9.1999999999999993</v>
      </c>
      <c r="AP309" s="528">
        <v>1.93</v>
      </c>
      <c r="AQ309" s="321"/>
      <c r="AR309" s="321"/>
      <c r="AS309" s="321"/>
      <c r="AT309" s="321"/>
      <c r="AU309" s="321"/>
      <c r="AV309" s="321"/>
      <c r="AW309" s="321"/>
      <c r="AX309" s="321"/>
      <c r="AY309" s="321"/>
      <c r="AZ309" s="321"/>
      <c r="BA309" s="321"/>
      <c r="BB309" s="321"/>
      <c r="BC309" s="321"/>
      <c r="BD309" s="321"/>
      <c r="BE309" s="321"/>
      <c r="BF309" s="321"/>
      <c r="BG309" s="321"/>
      <c r="BH309" s="321"/>
      <c r="BI309" s="321"/>
      <c r="BJ309" s="321"/>
      <c r="BK309" s="321"/>
      <c r="BL309" s="321"/>
      <c r="BM309" s="321"/>
      <c r="BN309" s="321"/>
      <c r="BO309" s="321"/>
      <c r="BP309" s="321"/>
      <c r="BQ309" s="321"/>
      <c r="BR309" s="321"/>
      <c r="BS309" s="321"/>
      <c r="BT309" s="321"/>
      <c r="BU309" s="321"/>
      <c r="BV309" s="321"/>
      <c r="BW309" s="321"/>
      <c r="BX309" s="303">
        <v>3.4608847515242402</v>
      </c>
      <c r="BY309" s="303">
        <v>9.4864101767692777</v>
      </c>
      <c r="BZ309" s="321">
        <v>0.27</v>
      </c>
      <c r="CA309" s="321">
        <v>2.9624188448710953</v>
      </c>
      <c r="CB309" s="57"/>
    </row>
    <row r="310" spans="1:81">
      <c r="A310" s="58">
        <f t="shared" si="476"/>
        <v>2012</v>
      </c>
      <c r="B310" s="321">
        <v>16.25</v>
      </c>
      <c r="C310" s="321">
        <v>15</v>
      </c>
      <c r="D310" s="321">
        <v>15.82</v>
      </c>
      <c r="E310" s="321">
        <v>16.89</v>
      </c>
      <c r="F310" s="321">
        <v>15.8</v>
      </c>
      <c r="G310" s="321">
        <v>18.559999999999999</v>
      </c>
      <c r="H310" s="321">
        <v>18.04</v>
      </c>
      <c r="I310" s="321">
        <v>17.52</v>
      </c>
      <c r="J310" s="321">
        <v>19.829999999999998</v>
      </c>
      <c r="K310" s="321">
        <v>17.53</v>
      </c>
      <c r="L310" s="321">
        <v>18.559999999999999</v>
      </c>
      <c r="M310" s="321">
        <v>18.64</v>
      </c>
      <c r="N310" s="321">
        <v>18.14</v>
      </c>
      <c r="O310" s="321">
        <v>15.49</v>
      </c>
      <c r="P310" s="321">
        <v>20.8</v>
      </c>
      <c r="Q310" s="321">
        <v>20.18</v>
      </c>
      <c r="R310" s="321">
        <v>5.31</v>
      </c>
      <c r="S310" s="321">
        <v>3.47</v>
      </c>
      <c r="T310" s="321">
        <v>2.67</v>
      </c>
      <c r="U310" s="321">
        <v>4.05</v>
      </c>
      <c r="V310" s="321">
        <v>0.02</v>
      </c>
      <c r="W310" s="321">
        <v>6.78</v>
      </c>
      <c r="X310" s="321">
        <v>12.57</v>
      </c>
      <c r="Y310" s="321">
        <v>10.06</v>
      </c>
      <c r="Z310" s="321">
        <v>20.78</v>
      </c>
      <c r="AA310" s="321">
        <v>0.69</v>
      </c>
      <c r="AB310" s="321">
        <v>6.6</v>
      </c>
      <c r="AC310" s="321">
        <v>18.89</v>
      </c>
      <c r="AD310" s="321">
        <v>2.67</v>
      </c>
      <c r="AE310" s="321">
        <v>15.11</v>
      </c>
      <c r="AF310" s="321">
        <v>-12.98</v>
      </c>
      <c r="AG310" s="321">
        <v>16.72</v>
      </c>
      <c r="AH310" s="321">
        <v>0.99</v>
      </c>
      <c r="AI310" s="321">
        <v>5.7</v>
      </c>
      <c r="AJ310" s="321">
        <v>8.08</v>
      </c>
      <c r="AK310" s="321">
        <v>14.36</v>
      </c>
      <c r="AL310" s="321">
        <v>15.81</v>
      </c>
      <c r="AM310" s="321">
        <v>15.91</v>
      </c>
      <c r="AN310" s="321">
        <v>18.309999999999999</v>
      </c>
      <c r="AO310" s="321">
        <v>7.42</v>
      </c>
      <c r="AP310" s="528">
        <v>4.5199999999999996</v>
      </c>
      <c r="AQ310" s="320"/>
      <c r="AR310" s="320"/>
      <c r="AS310" s="320"/>
      <c r="AT310" s="320"/>
      <c r="AU310" s="320"/>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320"/>
      <c r="BS310" s="320"/>
      <c r="BT310" s="320"/>
      <c r="BU310" s="320"/>
      <c r="BV310" s="320"/>
      <c r="BW310" s="320"/>
      <c r="BX310" s="303">
        <v>16.228913254086642</v>
      </c>
      <c r="BY310" s="303">
        <v>2.41026344231281</v>
      </c>
      <c r="BZ310" s="320">
        <v>0.12</v>
      </c>
      <c r="CA310" s="321">
        <v>1.7410223687475579</v>
      </c>
      <c r="CB310" s="57"/>
    </row>
    <row r="311" spans="1:81">
      <c r="A311" s="58">
        <f t="shared" si="476"/>
        <v>2013</v>
      </c>
      <c r="B311" s="303">
        <v>33.35</v>
      </c>
      <c r="C311" s="303">
        <v>32.85</v>
      </c>
      <c r="D311" s="303">
        <v>32.18</v>
      </c>
      <c r="E311" s="303">
        <v>32.159999999999997</v>
      </c>
      <c r="F311" s="303">
        <v>35</v>
      </c>
      <c r="G311" s="303">
        <v>36.409999999999997</v>
      </c>
      <c r="H311" s="303">
        <v>37.619999999999997</v>
      </c>
      <c r="I311" s="303">
        <v>37.979999999999997</v>
      </c>
      <c r="J311" s="614">
        <v>50.91</v>
      </c>
      <c r="K311" s="303">
        <v>2.31</v>
      </c>
      <c r="L311" s="303">
        <v>22.06</v>
      </c>
      <c r="M311" s="303">
        <v>-5.19</v>
      </c>
      <c r="N311" s="303">
        <v>15.04</v>
      </c>
      <c r="O311" s="303">
        <v>17.36</v>
      </c>
      <c r="P311" s="303">
        <v>24.7</v>
      </c>
      <c r="Q311" s="303">
        <v>22.15</v>
      </c>
      <c r="R311" s="303">
        <v>-14.81</v>
      </c>
      <c r="S311" s="303">
        <v>-13.03</v>
      </c>
      <c r="T311" s="303">
        <v>-3.09</v>
      </c>
      <c r="U311" s="303">
        <v>-2.2599999999999998</v>
      </c>
      <c r="V311" s="303">
        <v>0.01</v>
      </c>
      <c r="W311" s="303">
        <v>-8.92</v>
      </c>
      <c r="X311" s="303">
        <v>19.66</v>
      </c>
      <c r="Y311" s="303">
        <v>9.19</v>
      </c>
      <c r="Z311" s="303">
        <v>36.08</v>
      </c>
      <c r="AA311" s="303">
        <v>-0.1</v>
      </c>
      <c r="AB311" s="321">
        <v>-28.33</v>
      </c>
      <c r="AC311" s="321">
        <v>17.440000000000001</v>
      </c>
      <c r="AD311" s="321">
        <v>18.14</v>
      </c>
      <c r="AE311" s="321">
        <v>43.19</v>
      </c>
      <c r="AF311" s="321">
        <v>-35.130000000000003</v>
      </c>
      <c r="AG311" s="321">
        <v>30.69</v>
      </c>
      <c r="AH311" s="321">
        <v>0.48</v>
      </c>
      <c r="AI311" s="321">
        <v>-1.56</v>
      </c>
      <c r="AJ311" s="321">
        <v>-2.95</v>
      </c>
      <c r="AK311" s="321">
        <v>4.54</v>
      </c>
      <c r="AL311" s="321">
        <v>32.020000000000003</v>
      </c>
      <c r="AM311" s="321">
        <v>37.42</v>
      </c>
      <c r="AN311" s="321">
        <v>38.19</v>
      </c>
      <c r="AO311" s="398">
        <v>-5.04</v>
      </c>
      <c r="AP311" s="528">
        <v>0.97</v>
      </c>
      <c r="AQ311" s="321"/>
      <c r="AR311" s="321"/>
      <c r="AS311" s="321"/>
      <c r="AT311" s="321"/>
      <c r="AU311" s="321"/>
      <c r="AV311" s="321"/>
      <c r="AW311" s="321"/>
      <c r="AX311" s="321"/>
      <c r="AY311" s="321"/>
      <c r="AZ311" s="321"/>
      <c r="BA311" s="321"/>
      <c r="BB311" s="321"/>
      <c r="BC311" s="321"/>
      <c r="BD311" s="321"/>
      <c r="BE311" s="321"/>
      <c r="BF311" s="321"/>
      <c r="BG311" s="321"/>
      <c r="BH311" s="321"/>
      <c r="BI311" s="321"/>
      <c r="BJ311" s="321"/>
      <c r="BK311" s="321"/>
      <c r="BL311" s="321"/>
      <c r="BM311" s="321"/>
      <c r="BN311" s="321"/>
      <c r="BO311" s="321"/>
      <c r="BP311" s="321"/>
      <c r="BQ311" s="321"/>
      <c r="BR311" s="321"/>
      <c r="BS311" s="321"/>
      <c r="BT311" s="321"/>
      <c r="BU311" s="321"/>
      <c r="BV311" s="321"/>
      <c r="BW311" s="321"/>
      <c r="BX311" s="321">
        <v>25.462712780329632</v>
      </c>
      <c r="BY311" s="321">
        <v>-1.7741746954338389</v>
      </c>
      <c r="BZ311" s="321">
        <v>0.15</v>
      </c>
      <c r="CA311" s="321">
        <v>1.501735619618394</v>
      </c>
      <c r="CB311" s="57"/>
    </row>
    <row r="312" spans="1:81">
      <c r="A312" s="58">
        <f t="shared" si="476"/>
        <v>2014</v>
      </c>
      <c r="B312" s="303">
        <v>12.43</v>
      </c>
      <c r="C312" s="303">
        <v>13.05</v>
      </c>
      <c r="D312" s="303">
        <v>13.51</v>
      </c>
      <c r="E312" s="303">
        <v>13.47</v>
      </c>
      <c r="F312" s="303">
        <v>13.6</v>
      </c>
      <c r="G312" s="321">
        <v>10.39</v>
      </c>
      <c r="H312" s="321">
        <v>7.37</v>
      </c>
      <c r="I312" s="321">
        <v>3.88</v>
      </c>
      <c r="J312" s="321">
        <v>4.6100000000000003</v>
      </c>
      <c r="K312" s="321">
        <v>30.13</v>
      </c>
      <c r="L312" s="321">
        <v>-5.66</v>
      </c>
      <c r="M312" s="321">
        <v>0.42</v>
      </c>
      <c r="N312" s="321">
        <v>-4.24</v>
      </c>
      <c r="O312" s="321">
        <v>-4.6900000000000004</v>
      </c>
      <c r="P312" s="321">
        <v>-6.67</v>
      </c>
      <c r="Q312" s="321">
        <v>-6.69</v>
      </c>
      <c r="R312" s="321">
        <v>-18.059999999999999</v>
      </c>
      <c r="S312" s="321">
        <v>25.27</v>
      </c>
      <c r="T312" s="321">
        <v>4.32</v>
      </c>
      <c r="U312" s="321">
        <v>5.76</v>
      </c>
      <c r="V312" s="321">
        <v>0.01</v>
      </c>
      <c r="W312" s="321">
        <v>3.83</v>
      </c>
      <c r="X312" s="321">
        <v>9.82</v>
      </c>
      <c r="Y312" s="321">
        <v>8.07</v>
      </c>
      <c r="Z312" s="321">
        <v>11.82</v>
      </c>
      <c r="AA312" s="321">
        <v>0.71</v>
      </c>
      <c r="AB312" s="321">
        <v>-2.19</v>
      </c>
      <c r="AC312" s="321">
        <v>-4.8099999999999996</v>
      </c>
      <c r="AD312" s="321">
        <v>-14.26</v>
      </c>
      <c r="AE312" s="321">
        <v>28.52</v>
      </c>
      <c r="AF312" s="321">
        <v>-11.41</v>
      </c>
      <c r="AG312" s="321">
        <v>11.16</v>
      </c>
      <c r="AH312" s="321">
        <v>0.65</v>
      </c>
      <c r="AI312" s="321">
        <v>7.25</v>
      </c>
      <c r="AJ312" s="321">
        <v>11.07</v>
      </c>
      <c r="AK312" s="321">
        <v>4.58</v>
      </c>
      <c r="AL312" s="321">
        <v>13.35</v>
      </c>
      <c r="AM312" s="321">
        <v>13.84</v>
      </c>
      <c r="AN312" s="321">
        <v>7.42</v>
      </c>
      <c r="AO312" s="321">
        <v>2.37</v>
      </c>
      <c r="AP312" s="528">
        <v>1.76</v>
      </c>
      <c r="AQ312" s="321"/>
      <c r="AR312" s="321"/>
      <c r="AS312" s="321"/>
      <c r="AT312" s="321"/>
      <c r="AU312" s="321"/>
      <c r="AV312" s="321"/>
      <c r="AW312" s="321"/>
      <c r="AX312" s="321"/>
      <c r="AY312" s="321"/>
      <c r="AZ312" s="321"/>
      <c r="BA312" s="321"/>
      <c r="BB312" s="321"/>
      <c r="BC312" s="321"/>
      <c r="BD312" s="321"/>
      <c r="BE312" s="321"/>
      <c r="BF312" s="321"/>
      <c r="BG312" s="321"/>
      <c r="BH312" s="321"/>
      <c r="BI312" s="321"/>
      <c r="BJ312" s="321"/>
      <c r="BK312" s="321"/>
      <c r="BL312" s="321"/>
      <c r="BM312" s="321"/>
      <c r="BN312" s="321"/>
      <c r="BO312" s="321"/>
      <c r="BP312" s="321"/>
      <c r="BQ312" s="321"/>
      <c r="BR312" s="321"/>
      <c r="BS312" s="321"/>
      <c r="BT312" s="321"/>
      <c r="BU312" s="321"/>
      <c r="BV312" s="321"/>
      <c r="BW312" s="321"/>
      <c r="BX312" s="321">
        <v>13.458372659628171</v>
      </c>
      <c r="BY312" s="321">
        <v>5.5085513962596089</v>
      </c>
      <c r="BZ312" s="321">
        <v>0.12</v>
      </c>
      <c r="CA312" s="321">
        <v>0.7564932696557447</v>
      </c>
      <c r="CB312" s="57"/>
    </row>
    <row r="313" spans="1:81">
      <c r="A313" s="58">
        <f t="shared" si="476"/>
        <v>2015</v>
      </c>
      <c r="B313" s="303">
        <v>0.28999999999999998</v>
      </c>
      <c r="C313" s="303">
        <v>-1.03</v>
      </c>
      <c r="D313" s="303">
        <v>1.25</v>
      </c>
      <c r="E313" s="303">
        <v>3.17</v>
      </c>
      <c r="F313" s="303">
        <v>-1.46</v>
      </c>
      <c r="G313" s="321">
        <v>-4.78</v>
      </c>
      <c r="H313" s="321">
        <v>-3.78</v>
      </c>
      <c r="I313" s="321">
        <v>-2.64</v>
      </c>
      <c r="J313" s="321">
        <v>-3.94</v>
      </c>
      <c r="K313" s="321">
        <v>2.2200000000000002</v>
      </c>
      <c r="L313" s="321">
        <v>-0.18</v>
      </c>
      <c r="M313" s="321">
        <v>-15.51</v>
      </c>
      <c r="N313" s="321">
        <v>-4.37</v>
      </c>
      <c r="O313" s="321">
        <v>2.25</v>
      </c>
      <c r="P313" s="321">
        <v>-2</v>
      </c>
      <c r="Q313" s="321">
        <v>-6.44</v>
      </c>
      <c r="R313" s="321">
        <v>-25.7</v>
      </c>
      <c r="S313" s="321">
        <v>-1.54</v>
      </c>
      <c r="T313" s="321">
        <v>1.5</v>
      </c>
      <c r="U313" s="321">
        <v>0.3</v>
      </c>
      <c r="V313" s="321">
        <v>0.02</v>
      </c>
      <c r="W313" s="321">
        <v>-1.83</v>
      </c>
      <c r="X313" s="321">
        <v>0.06</v>
      </c>
      <c r="Y313" s="321">
        <v>1.28</v>
      </c>
      <c r="Z313" s="321">
        <v>-3.32</v>
      </c>
      <c r="AA313" s="321">
        <v>0.45</v>
      </c>
      <c r="AB313" s="321">
        <v>-10.67</v>
      </c>
      <c r="AC313" s="321">
        <v>-0.32</v>
      </c>
      <c r="AD313" s="321">
        <v>-21.48</v>
      </c>
      <c r="AE313" s="321">
        <v>12.65</v>
      </c>
      <c r="AF313" s="321">
        <v>-29.42</v>
      </c>
      <c r="AG313" s="321">
        <v>-3.22</v>
      </c>
      <c r="AH313" s="321">
        <v>0.45</v>
      </c>
      <c r="AI313" s="321">
        <v>2.86</v>
      </c>
      <c r="AJ313" s="321">
        <v>3.97</v>
      </c>
      <c r="AK313" s="321">
        <v>-1.39</v>
      </c>
      <c r="AL313" s="321">
        <v>-1.1299999999999999</v>
      </c>
      <c r="AM313" s="321">
        <v>-1.91</v>
      </c>
      <c r="AN313" s="321">
        <v>-3.39</v>
      </c>
      <c r="AO313" s="321">
        <v>-3.59</v>
      </c>
      <c r="AP313" s="528">
        <v>1.03</v>
      </c>
      <c r="AQ313" s="321"/>
      <c r="AR313" s="321"/>
      <c r="AS313" s="321"/>
      <c r="AT313" s="321"/>
      <c r="AU313" s="321"/>
      <c r="AV313" s="321"/>
      <c r="AW313" s="321"/>
      <c r="AX313" s="321"/>
      <c r="AY313" s="321"/>
      <c r="AZ313" s="321"/>
      <c r="BA313" s="321"/>
      <c r="BB313" s="321"/>
      <c r="BC313" s="321"/>
      <c r="BD313" s="321"/>
      <c r="BE313" s="321"/>
      <c r="BF313" s="321"/>
      <c r="BG313" s="321"/>
      <c r="BH313" s="321"/>
      <c r="BI313" s="321"/>
      <c r="BJ313" s="321"/>
      <c r="BK313" s="321"/>
      <c r="BL313" s="321"/>
      <c r="BM313" s="321"/>
      <c r="BN313" s="321"/>
      <c r="BO313" s="321"/>
      <c r="BP313" s="321"/>
      <c r="BQ313" s="321"/>
      <c r="BR313" s="321"/>
      <c r="BS313" s="321"/>
      <c r="BT313" s="321"/>
      <c r="BU313" s="321"/>
      <c r="BV313" s="321"/>
      <c r="BW313" s="321"/>
      <c r="BX313" s="321">
        <v>-3.26</v>
      </c>
      <c r="BY313" s="321">
        <v>1.1239530214926408</v>
      </c>
      <c r="BZ313" s="321">
        <v>0.2</v>
      </c>
      <c r="CA313" s="321">
        <v>0.72951978604158807</v>
      </c>
      <c r="CB313" s="57"/>
    </row>
    <row r="314" spans="1:81">
      <c r="A314" s="58">
        <f>A313+1</f>
        <v>2016</v>
      </c>
      <c r="B314" s="321"/>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c r="AB314" s="321"/>
      <c r="AC314" s="321"/>
      <c r="AD314" s="321"/>
      <c r="AE314" s="321"/>
      <c r="AF314" s="321"/>
      <c r="AG314" s="321"/>
      <c r="AH314" s="321"/>
      <c r="AI314" s="321"/>
      <c r="AJ314" s="321"/>
      <c r="AK314" s="321"/>
      <c r="AL314" s="321"/>
      <c r="AM314" s="321"/>
      <c r="AN314" s="321"/>
      <c r="AO314" s="321"/>
      <c r="AP314" s="321"/>
      <c r="AQ314" s="321"/>
      <c r="AR314" s="321"/>
      <c r="AS314" s="321"/>
      <c r="AT314" s="321"/>
      <c r="AU314" s="321"/>
      <c r="AV314" s="321"/>
      <c r="AW314" s="321"/>
      <c r="AX314" s="321"/>
      <c r="AY314" s="321"/>
      <c r="AZ314" s="321"/>
      <c r="BA314" s="321"/>
      <c r="BB314" s="321"/>
      <c r="BC314" s="321"/>
      <c r="BD314" s="321"/>
      <c r="BE314" s="321"/>
      <c r="BF314" s="321"/>
      <c r="BG314" s="321"/>
      <c r="BH314" s="321"/>
      <c r="BI314" s="321"/>
      <c r="BJ314" s="321"/>
      <c r="BK314" s="321"/>
      <c r="BL314" s="321"/>
      <c r="BM314" s="321"/>
      <c r="BN314" s="321"/>
      <c r="BO314" s="321"/>
      <c r="BP314" s="321"/>
      <c r="BQ314" s="321"/>
      <c r="BR314" s="321"/>
      <c r="BS314" s="321"/>
      <c r="BT314" s="321"/>
      <c r="BU314" s="321"/>
      <c r="BV314" s="321"/>
      <c r="BW314" s="321"/>
      <c r="BX314" s="321"/>
      <c r="BY314" s="321"/>
      <c r="BZ314" s="321"/>
      <c r="CA314" s="321"/>
      <c r="CB314" s="57"/>
    </row>
    <row r="315" spans="1:81">
      <c r="A315" s="58"/>
      <c r="B315" s="318"/>
      <c r="E315" s="318"/>
    </row>
    <row r="316" spans="1:81">
      <c r="A316" s="36" t="s">
        <v>467</v>
      </c>
      <c r="B316" s="143">
        <f>IF(ISERROR(VLOOKUP(EYear_O,$A$8:B$153,COLUMN(),FALSE)),"",(VLOOKUP(EYear_O,$A$8:B$153,COLUMN(),FALSE)))</f>
        <v>0.28999999999999998</v>
      </c>
      <c r="C316" s="143">
        <f>IF(ISERROR(VLOOKUP(EYear_O,$A$8:C$153,COLUMN(),FALSE)),"",(VLOOKUP(EYear_O,$A$8:C$153,COLUMN(),FALSE)))</f>
        <v>-1.03</v>
      </c>
      <c r="D316" s="143">
        <f>IF(ISERROR(VLOOKUP(EYear_O,$A$8:D$153,COLUMN(),FALSE)),"",(VLOOKUP(EYear_O,$A$8:D$153,COLUMN(),FALSE)))</f>
        <v>1.25</v>
      </c>
      <c r="E316" s="143">
        <f>IF(ISERROR(VLOOKUP(EYear_O,$A$8:E$153,COLUMN(),FALSE)),"",(VLOOKUP(EYear_O,$A$8:E$153,COLUMN(),FALSE)))</f>
        <v>3.17</v>
      </c>
      <c r="F316" s="143">
        <f>IF(ISERROR(VLOOKUP(EYear_O,$A$8:F$153,COLUMN(),FALSE)),"",(VLOOKUP(EYear_O,$A$8:F$153,COLUMN(),FALSE)))</f>
        <v>-1.46</v>
      </c>
      <c r="G316" s="143">
        <f>IF(ISERROR(VLOOKUP(EYear_O,$A$8:G$153,COLUMN(),FALSE)),"",(VLOOKUP(EYear_O,$A$8:G$153,COLUMN(),FALSE)))</f>
        <v>-4.78</v>
      </c>
      <c r="H316" s="143">
        <f>IF(ISERROR(VLOOKUP(EYear_O,$A$8:H$153,COLUMN(),FALSE)),"",(VLOOKUP(EYear_O,$A$8:H$153,COLUMN(),FALSE)))</f>
        <v>-3.78</v>
      </c>
      <c r="I316" s="143">
        <f>IF(ISERROR(VLOOKUP(EYear_O,$A$8:I$153,COLUMN(),FALSE)),"",(VLOOKUP(EYear_O,$A$8:I$153,COLUMN(),FALSE)))</f>
        <v>-2.64</v>
      </c>
      <c r="J316" s="143">
        <f>IF(ISERROR(VLOOKUP(EYear_O,$A$8:J$153,COLUMN(),FALSE)),"",(VLOOKUP(EYear_O,$A$8:J$153,COLUMN(),FALSE)))</f>
        <v>-3.94</v>
      </c>
      <c r="K316" s="143">
        <f>IF(ISERROR(VLOOKUP(EYear_O,$A$8:K$153,COLUMN(),FALSE)),"",(VLOOKUP(EYear_O,$A$8:K$153,COLUMN(),FALSE)))</f>
        <v>2.2200000000000002</v>
      </c>
      <c r="L316" s="143">
        <f>IF(ISERROR(VLOOKUP(EYear_O,$A$8:L$153,COLUMN(),FALSE)),"",(VLOOKUP(EYear_O,$A$8:L$153,COLUMN(),FALSE)))</f>
        <v>-0.18</v>
      </c>
      <c r="M316" s="143">
        <f>IF(ISERROR(VLOOKUP(EYear_O,$A$8:M$153,COLUMN(),FALSE)),"",(VLOOKUP(EYear_O,$A$8:M$153,COLUMN(),FALSE)))</f>
        <v>-15.51</v>
      </c>
      <c r="N316" s="143">
        <f>IF(ISERROR(VLOOKUP(EYear_O,$A$8:N$153,COLUMN(),FALSE)),"",(VLOOKUP(EYear_O,$A$8:N$153,COLUMN(),FALSE)))</f>
        <v>-4.37</v>
      </c>
      <c r="O316" s="143">
        <f>IF(ISERROR(VLOOKUP(EYear_O,$A$8:O$153,COLUMN(),FALSE)),"",(VLOOKUP(EYear_O,$A$8:O$153,COLUMN(),FALSE)))</f>
        <v>2.25</v>
      </c>
      <c r="P316" s="143">
        <f>IF(ISERROR(VLOOKUP(EYear_O,$A$8:P$153,COLUMN(),FALSE)),"",(VLOOKUP(EYear_O,$A$8:P$153,COLUMN(),FALSE)))</f>
        <v>-2</v>
      </c>
      <c r="Q316" s="143">
        <f>IF(ISERROR(VLOOKUP(EYear_O,$A$8:Q$153,COLUMN(),FALSE)),"",(VLOOKUP(EYear_O,$A$8:Q$153,COLUMN(),FALSE)))</f>
        <v>-6.44</v>
      </c>
      <c r="R316" s="143">
        <f>IF(ISERROR(VLOOKUP(EYear_O,$A$8:R$153,COLUMN(),FALSE)),"",(VLOOKUP(EYear_O,$A$8:R$153,COLUMN(),FALSE)))</f>
        <v>-25.7</v>
      </c>
      <c r="S316" s="143">
        <f>IF(ISERROR(VLOOKUP(EYear_O,$A$8:S$153,COLUMN(),FALSE)),"",(VLOOKUP(EYear_O,$A$8:S$153,COLUMN(),FALSE)))</f>
        <v>-1.54</v>
      </c>
      <c r="T316" s="143">
        <f>IF(ISERROR(VLOOKUP(EYear_O,$A$8:T$153,COLUMN(),FALSE)),"",(VLOOKUP(EYear_O,$A$8:T$153,COLUMN(),FALSE)))</f>
        <v>1.5</v>
      </c>
      <c r="U316" s="143">
        <f>IF(ISERROR(VLOOKUP(EYear_O,$A$8:U$153,COLUMN(),FALSE)),"",(VLOOKUP(EYear_O,$A$8:U$153,COLUMN(),FALSE)))</f>
        <v>0.3</v>
      </c>
      <c r="V316" s="143">
        <f>IF(ISERROR(VLOOKUP(EYear_O,$A$8:V$153,COLUMN(),FALSE)),"",(VLOOKUP(EYear_O,$A$8:V$153,COLUMN(),FALSE)))</f>
        <v>0.02</v>
      </c>
      <c r="W316" s="143">
        <f>IF(ISERROR(VLOOKUP(EYear_O,$A$8:W$153,COLUMN(),FALSE)),"",(VLOOKUP(EYear_O,$A$8:W$153,COLUMN(),FALSE)))</f>
        <v>-1.83</v>
      </c>
      <c r="X316" s="143">
        <f>IF(ISERROR(VLOOKUP(EYear_O,$A$8:X$153,COLUMN(),FALSE)),"",(VLOOKUP(EYear_O,$A$8:X$153,COLUMN(),FALSE)))</f>
        <v>0.06</v>
      </c>
      <c r="Y316" s="143">
        <f>IF(ISERROR(VLOOKUP(EYear_O,$A$8:Y$153,COLUMN(),FALSE)),"",(VLOOKUP(EYear_O,$A$8:Y$153,COLUMN(),FALSE)))</f>
        <v>1.28</v>
      </c>
      <c r="Z316" s="143">
        <f>IF(ISERROR(VLOOKUP(EYear_O,$A$8:Z$153,COLUMN(),FALSE)),"",(VLOOKUP(EYear_O,$A$8:Z$153,COLUMN(),FALSE)))</f>
        <v>-3.32</v>
      </c>
      <c r="AA316" s="143">
        <f>IF(ISERROR(VLOOKUP(EYear_O,$A$8:AA$153,COLUMN(),FALSE)),"",(VLOOKUP(EYear_O,$A$8:AA$153,COLUMN(),FALSE)))</f>
        <v>0.45</v>
      </c>
      <c r="AB316" s="143">
        <f>IF(ISERROR(VLOOKUP(EYear_O,$A$8:AB$153,COLUMN(),FALSE)),"",(VLOOKUP(EYear_O,$A$8:AB$153,COLUMN(),FALSE)))</f>
        <v>-10.67</v>
      </c>
      <c r="AC316" s="143">
        <f>IF(ISERROR(VLOOKUP(EYear_O,$A$8:AC$153,COLUMN(),FALSE)),"",(VLOOKUP(EYear_O,$A$8:AC$153,COLUMN(),FALSE)))</f>
        <v>-0.32</v>
      </c>
      <c r="AD316" s="143">
        <f>IF(ISERROR(VLOOKUP(EYear_O,$A$8:AD$153,COLUMN(),FALSE)),"",(VLOOKUP(EYear_O,$A$8:AD$153,COLUMN(),FALSE)))</f>
        <v>-21.48</v>
      </c>
      <c r="AE316" s="143">
        <f>IF(ISERROR(VLOOKUP(EYear_O,$A$8:AE$153,COLUMN(),FALSE)),"",(VLOOKUP(EYear_O,$A$8:AE$153,COLUMN(),FALSE)))</f>
        <v>12.65</v>
      </c>
      <c r="AF316" s="143">
        <f>IF(ISERROR(VLOOKUP(EYear_O,$A$8:AF$153,COLUMN(),FALSE)),"",(VLOOKUP(EYear_O,$A$8:AF$153,COLUMN(),FALSE)))</f>
        <v>-29.42</v>
      </c>
      <c r="AG316" s="143">
        <f>IF(ISERROR(VLOOKUP(EYear_O,$A$8:AG$153,COLUMN(),FALSE)),"",(VLOOKUP(EYear_O,$A$8:AG$153,COLUMN(),FALSE)))</f>
        <v>-3.22</v>
      </c>
      <c r="AH316" s="143">
        <f>IF(ISERROR(VLOOKUP(EYear_O,$A$8:AH$153,COLUMN(),FALSE)),"",(VLOOKUP(EYear_O,$A$8:AH$153,COLUMN(),FALSE)))</f>
        <v>0.45</v>
      </c>
      <c r="AI316" s="143">
        <f>IF(ISERROR(VLOOKUP(EYear_O,$A$8:AI$153,COLUMN(),FALSE)),"",(VLOOKUP(EYear_O,$A$8:AI$153,COLUMN(),FALSE)))</f>
        <v>2.86</v>
      </c>
      <c r="AJ316" s="143">
        <f>IF(ISERROR(VLOOKUP(EYear_O,$A$8:AJ$153,COLUMN(),FALSE)),"",(VLOOKUP(EYear_O,$A$8:AJ$153,COLUMN(),FALSE)))</f>
        <v>3.97</v>
      </c>
      <c r="AK316" s="143">
        <f>IF(ISERROR(VLOOKUP(EYear_O,$A$8:AK$153,COLUMN(),FALSE)),"",(VLOOKUP(EYear_O,$A$8:AK$153,COLUMN(),FALSE)))</f>
        <v>-1.39</v>
      </c>
      <c r="AL316" s="143">
        <f>IF(ISERROR(VLOOKUP(EYear_O,$A$8:AL$153,COLUMN(),FALSE)),"",(VLOOKUP(EYear_O,$A$8:AL$153,COLUMN(),FALSE)))</f>
        <v>-1.1299999999999999</v>
      </c>
      <c r="AM316" s="143">
        <f>IF(ISERROR(VLOOKUP(EYear_O,$A$8:AM$153,COLUMN(),FALSE)),"",(VLOOKUP(EYear_O,$A$8:AM$153,COLUMN(),FALSE)))</f>
        <v>-1.91</v>
      </c>
      <c r="AN316" s="143">
        <f>IF(ISERROR(VLOOKUP(EYear_O,$A$8:AN$153,COLUMN(),FALSE)),"",(VLOOKUP(EYear_O,$A$8:AN$153,COLUMN(),FALSE)))</f>
        <v>-3.39</v>
      </c>
      <c r="AO316" s="143">
        <f>IF(ISERROR(VLOOKUP(EYear_O,$A$8:AO$153,COLUMN(),FALSE)),"",(VLOOKUP(EYear_O,$A$8:AO$153,COLUMN(),FALSE)))</f>
        <v>-3.59</v>
      </c>
      <c r="AP316" s="143">
        <f>IF(ISERROR(VLOOKUP(EYear_O,$A$8:AP$153,COLUMN(),FALSE)),"",(VLOOKUP(EYear_O,$A$8:AP$153,COLUMN(),FALSE)))</f>
        <v>1.03</v>
      </c>
      <c r="AQ316" s="143" t="str">
        <f>IF(ISERROR(VLOOKUP(EYear_O,$A$8:AQ$153,COLUMN(),FALSE)),"",(VLOOKUP(EYear_O,$A$8:AQ$153,COLUMN(),FALSE)))</f>
        <v/>
      </c>
      <c r="AR316" s="143" t="str">
        <f>IF(ISERROR(VLOOKUP(EYear_O,$A$8:AR$153,COLUMN(),FALSE)),"",(VLOOKUP(EYear_O,$A$8:AR$153,COLUMN(),FALSE)))</f>
        <v/>
      </c>
      <c r="AS316" s="143" t="str">
        <f>IF(ISERROR(VLOOKUP(EYear_O,$A$8:AS$153,COLUMN(),FALSE)),"",(VLOOKUP(EYear_O,$A$8:AS$153,COLUMN(),FALSE)))</f>
        <v/>
      </c>
      <c r="AT316" s="143" t="str">
        <f>IF(ISERROR(VLOOKUP(EYear_O,$A$8:AT$153,COLUMN(),FALSE)),"",(VLOOKUP(EYear_O,$A$8:AT$153,COLUMN(),FALSE)))</f>
        <v/>
      </c>
      <c r="AU316" s="143" t="str">
        <f>IF(ISERROR(VLOOKUP(EYear_O,$A$8:AU$153,COLUMN(),FALSE)),"",(VLOOKUP(EYear_O,$A$8:AU$153,COLUMN(),FALSE)))</f>
        <v/>
      </c>
      <c r="AV316" s="143" t="str">
        <f>IF(ISERROR(VLOOKUP(EYear_O,$A$8:AV$153,COLUMN(),FALSE)),"",(VLOOKUP(EYear_O,$A$8:AV$153,COLUMN(),FALSE)))</f>
        <v/>
      </c>
      <c r="AW316" s="143" t="str">
        <f>IF(ISERROR(VLOOKUP(EYear_O,$A$8:AW$153,COLUMN(),FALSE)),"",(VLOOKUP(EYear_O,$A$8:AW$153,COLUMN(),FALSE)))</f>
        <v/>
      </c>
      <c r="AX316" s="143" t="str">
        <f>IF(ISERROR(VLOOKUP(EYear_O,$A$8:AX$153,COLUMN(),FALSE)),"",(VLOOKUP(EYear_O,$A$8:AX$153,COLUMN(),FALSE)))</f>
        <v/>
      </c>
      <c r="AY316" s="143" t="str">
        <f>IF(ISERROR(VLOOKUP(EYear_O,$A$8:AY$153,COLUMN(),FALSE)),"",(VLOOKUP(EYear_O,$A$8:AY$153,COLUMN(),FALSE)))</f>
        <v/>
      </c>
      <c r="AZ316" s="143" t="str">
        <f>IF(ISERROR(VLOOKUP(EYear_O,$A$8:AZ$153,COLUMN(),FALSE)),"",(VLOOKUP(EYear_O,$A$8:AZ$153,COLUMN(),FALSE)))</f>
        <v/>
      </c>
      <c r="BA316" s="143" t="str">
        <f>IF(ISERROR(VLOOKUP(EYear_O,$A$8:BA$153,COLUMN(),FALSE)),"",(VLOOKUP(EYear_O,$A$8:BA$153,COLUMN(),FALSE)))</f>
        <v/>
      </c>
      <c r="BB316" s="143" t="str">
        <f>IF(ISERROR(VLOOKUP(EYear_O,$A$8:BB$153,COLUMN(),FALSE)),"",(VLOOKUP(EYear_O,$A$8:BB$153,COLUMN(),FALSE)))</f>
        <v/>
      </c>
      <c r="BC316" s="143" t="str">
        <f>IF(ISERROR(VLOOKUP(EYear_O,$A$8:BC$153,COLUMN(),FALSE)),"",(VLOOKUP(EYear_O,$A$8:BC$153,COLUMN(),FALSE)))</f>
        <v/>
      </c>
      <c r="BD316" s="143" t="str">
        <f>IF(ISERROR(VLOOKUP(EYear_O,$A$8:BD$153,COLUMN(),FALSE)),"",(VLOOKUP(EYear_O,$A$8:BD$153,COLUMN(),FALSE)))</f>
        <v/>
      </c>
      <c r="BE316" s="143" t="str">
        <f>IF(ISERROR(VLOOKUP(EYear_O,$A$8:BE$153,COLUMN(),FALSE)),"",(VLOOKUP(EYear_O,$A$8:BE$153,COLUMN(),FALSE)))</f>
        <v/>
      </c>
      <c r="BF316" s="143" t="str">
        <f>IF(ISERROR(VLOOKUP(EYear_O,$A$8:BF$153,COLUMN(),FALSE)),"",(VLOOKUP(EYear_O,$A$8:BF$153,COLUMN(),FALSE)))</f>
        <v/>
      </c>
      <c r="BG316" s="143" t="str">
        <f>IF(ISERROR(VLOOKUP(EYear_O,$A$8:BG$153,COLUMN(),FALSE)),"",(VLOOKUP(EYear_O,$A$8:BG$153,COLUMN(),FALSE)))</f>
        <v/>
      </c>
      <c r="BH316" s="143" t="str">
        <f>IF(ISERROR(VLOOKUP(EYear_O,$A$8:BH$153,COLUMN(),FALSE)),"",(VLOOKUP(EYear_O,$A$8:BH$153,COLUMN(),FALSE)))</f>
        <v/>
      </c>
      <c r="BI316" s="143" t="str">
        <f>IF(ISERROR(VLOOKUP(EYear_O,$A$8:BI$153,COLUMN(),FALSE)),"",(VLOOKUP(EYear_O,$A$8:BI$153,COLUMN(),FALSE)))</f>
        <v/>
      </c>
      <c r="BJ316" s="143" t="str">
        <f>IF(ISERROR(VLOOKUP(EYear_O,$A$8:BJ$153,COLUMN(),FALSE)),"",(VLOOKUP(EYear_O,$A$8:BJ$153,COLUMN(),FALSE)))</f>
        <v/>
      </c>
      <c r="BK316" s="143" t="str">
        <f>IF(ISERROR(VLOOKUP(EYear_O,$A$8:BK$153,COLUMN(),FALSE)),"",(VLOOKUP(EYear_O,$A$8:BK$153,COLUMN(),FALSE)))</f>
        <v/>
      </c>
      <c r="BL316" s="143" t="str">
        <f>IF(ISERROR(VLOOKUP(EYear_O,$A$8:BL$153,COLUMN(),FALSE)),"",(VLOOKUP(EYear_O,$A$8:BL$153,COLUMN(),FALSE)))</f>
        <v/>
      </c>
      <c r="BM316" s="143" t="str">
        <f>IF(ISERROR(VLOOKUP(EYear_O,$A$8:BM$153,COLUMN(),FALSE)),"",(VLOOKUP(EYear_O,$A$8:BM$153,COLUMN(),FALSE)))</f>
        <v/>
      </c>
      <c r="BN316" s="143" t="str">
        <f>IF(ISERROR(VLOOKUP(EYear_O,$A$8:BN$153,COLUMN(),FALSE)),"",(VLOOKUP(EYear_O,$A$8:BN$153,COLUMN(),FALSE)))</f>
        <v/>
      </c>
      <c r="BO316" s="143" t="str">
        <f>IF(ISERROR(VLOOKUP(EYear_O,$A$8:BO$153,COLUMN(),FALSE)),"",(VLOOKUP(EYear_O,$A$8:BO$153,COLUMN(),FALSE)))</f>
        <v/>
      </c>
      <c r="BP316" s="143" t="str">
        <f>IF(ISERROR(VLOOKUP(EYear_O,$A$8:BP$153,COLUMN(),FALSE)),"",(VLOOKUP(EYear_O,$A$8:BP$153,COLUMN(),FALSE)))</f>
        <v/>
      </c>
      <c r="BQ316" s="143" t="str">
        <f>IF(ISERROR(VLOOKUP(EYear_O,$A$8:BQ$153,COLUMN(),FALSE)),"",(VLOOKUP(EYear_O,$A$8:BQ$153,COLUMN(),FALSE)))</f>
        <v/>
      </c>
      <c r="BR316" s="143" t="str">
        <f>IF(ISERROR(VLOOKUP(EYear_O,$A$8:BR$153,COLUMN(),FALSE)),"",(VLOOKUP(EYear_O,$A$8:BR$153,COLUMN(),FALSE)))</f>
        <v/>
      </c>
      <c r="BS316" s="143" t="str">
        <f>IF(ISERROR(VLOOKUP(EYear_O,$A$8:BS$153,COLUMN(),FALSE)),"",(VLOOKUP(EYear_O,$A$8:BS$153,COLUMN(),FALSE)))</f>
        <v/>
      </c>
      <c r="BT316" s="143" t="str">
        <f>IF(ISERROR(VLOOKUP(EYear_O,$A$8:BT$153,COLUMN(),FALSE)),"",(VLOOKUP(EYear_O,$A$8:BT$153,COLUMN(),FALSE)))</f>
        <v/>
      </c>
      <c r="BU316" s="143" t="str">
        <f>IF(ISERROR(VLOOKUP(EYear_O,$A$8:BU$153,COLUMN(),FALSE)),"",(VLOOKUP(EYear_O,$A$8:BU$153,COLUMN(),FALSE)))</f>
        <v/>
      </c>
      <c r="BV316" s="143" t="str">
        <f>IF(ISERROR(VLOOKUP(EYear_O,$A$8:BV$153,COLUMN(),FALSE)),"",(VLOOKUP(EYear_O,$A$8:BV$153,COLUMN(),FALSE)))</f>
        <v/>
      </c>
      <c r="BW316" s="143" t="str">
        <f>IF(ISERROR(VLOOKUP(EYear_O,$A$8:BW$153,COLUMN(),FALSE)),"",(VLOOKUP(EYear_O,$A$8:BW$153,COLUMN(),FALSE)))</f>
        <v/>
      </c>
      <c r="BX316" s="143">
        <f>IF(ISERROR(VLOOKUP(EYear_O,$A$8:BX$153,COLUMN(),FALSE)),"",(VLOOKUP(EYear_O,$A$8:BX$153,COLUMN(),FALSE)))</f>
        <v>-3.26</v>
      </c>
      <c r="BY316" s="143">
        <f>IF(ISERROR(VLOOKUP(EYear_O,$A$8:BY$153,COLUMN(),FALSE)),"",(VLOOKUP(EYear_O,$A$8:BY$153,COLUMN(),FALSE)))</f>
        <v>1.1239530214926408</v>
      </c>
      <c r="BZ316" s="143">
        <f>IF(ISERROR(VLOOKUP(EYear_O,$A$8:BZ$153,COLUMN(),FALSE)),"",(VLOOKUP(EYear_O,$A$8:BZ$153,COLUMN(),FALSE)))</f>
        <v>0.2</v>
      </c>
      <c r="CC316" s="421"/>
    </row>
    <row r="319" spans="1:81" ht="13" thickBot="1">
      <c r="A319" s="8" t="s">
        <v>466</v>
      </c>
    </row>
    <row r="320" spans="1:81" ht="13" thickBot="1">
      <c r="A320" s="538">
        <f>A$154</f>
        <v>145</v>
      </c>
      <c r="B320" s="539" t="str">
        <f t="shared" ref="B320:AT320" si="478">IF(B$2="","",B$2)</f>
        <v>VTSMX</v>
      </c>
      <c r="C320" s="539" t="str">
        <f t="shared" si="478"/>
        <v>VIVAX</v>
      </c>
      <c r="D320" s="539" t="str">
        <f t="shared" si="478"/>
        <v>VFINX</v>
      </c>
      <c r="E320" s="539" t="str">
        <f t="shared" si="478"/>
        <v>VIGRX</v>
      </c>
      <c r="F320" s="539" t="str">
        <f t="shared" si="478"/>
        <v>VIMSX</v>
      </c>
      <c r="G320" s="539" t="str">
        <f t="shared" si="478"/>
        <v>VISVX</v>
      </c>
      <c r="H320" s="539" t="str">
        <f t="shared" si="478"/>
        <v>NAESX</v>
      </c>
      <c r="I320" s="539" t="str">
        <f t="shared" si="478"/>
        <v>VISGX</v>
      </c>
      <c r="J320" s="539" t="str">
        <f t="shared" si="478"/>
        <v>BRSIX</v>
      </c>
      <c r="K320" s="539" t="str">
        <f t="shared" si="478"/>
        <v>VGSIX</v>
      </c>
      <c r="L320" s="539" t="str">
        <f t="shared" si="478"/>
        <v>VTMGX</v>
      </c>
      <c r="M320" s="539" t="str">
        <f t="shared" si="478"/>
        <v>VEIEX</v>
      </c>
      <c r="N320" s="539" t="str">
        <f t="shared" si="478"/>
        <v>VGTSX</v>
      </c>
      <c r="O320" s="539" t="str">
        <f t="shared" si="478"/>
        <v>VPACX</v>
      </c>
      <c r="P320" s="539" t="str">
        <f t="shared" si="478"/>
        <v>VEURX</v>
      </c>
      <c r="Q320" s="539" t="str">
        <f t="shared" si="478"/>
        <v>VTRIX</v>
      </c>
      <c r="R320" s="539" t="str">
        <f t="shared" si="478"/>
        <v>PCRIX</v>
      </c>
      <c r="S320" s="539" t="str">
        <f t="shared" si="478"/>
        <v>VUSTX</v>
      </c>
      <c r="T320" s="539" t="str">
        <f t="shared" si="478"/>
        <v>VFITX</v>
      </c>
      <c r="U320" s="539" t="str">
        <f t="shared" si="478"/>
        <v>VBMFX</v>
      </c>
      <c r="V320" s="539" t="str">
        <f t="shared" si="478"/>
        <v>VUSXX</v>
      </c>
      <c r="W320" s="539" t="str">
        <f t="shared" si="478"/>
        <v>VIPSX</v>
      </c>
      <c r="X320" s="539" t="str">
        <f t="shared" si="478"/>
        <v>VWELX</v>
      </c>
      <c r="Y320" s="539" t="str">
        <f t="shared" si="478"/>
        <v>VWINX</v>
      </c>
      <c r="Z320" s="539" t="str">
        <f t="shared" si="478"/>
        <v>VWNDX</v>
      </c>
      <c r="AA320" s="539" t="str">
        <f t="shared" si="478"/>
        <v>VFISX</v>
      </c>
      <c r="AB320" s="539" t="str">
        <f t="shared" si="478"/>
        <v>GLD</v>
      </c>
      <c r="AC320" s="539" t="str">
        <f t="shared" si="478"/>
        <v>VFSVX</v>
      </c>
      <c r="AD320" s="539" t="str">
        <f t="shared" si="478"/>
        <v>VGENX</v>
      </c>
      <c r="AE320" s="539" t="str">
        <f t="shared" si="478"/>
        <v>VGHCX</v>
      </c>
      <c r="AF320" s="539" t="str">
        <f t="shared" si="478"/>
        <v>VGPMX</v>
      </c>
      <c r="AG320" s="539" t="str">
        <f t="shared" si="478"/>
        <v>VWNFX</v>
      </c>
      <c r="AH320" s="539" t="str">
        <f t="shared" si="478"/>
        <v>VWSTX</v>
      </c>
      <c r="AI320" s="539" t="str">
        <f t="shared" si="478"/>
        <v>VWITX</v>
      </c>
      <c r="AJ320" s="539" t="str">
        <f t="shared" si="478"/>
        <v>VWLTX</v>
      </c>
      <c r="AK320" s="539" t="str">
        <f t="shared" si="478"/>
        <v>VWEHX</v>
      </c>
      <c r="AL320" s="539" t="str">
        <f t="shared" si="478"/>
        <v>VMGIX</v>
      </c>
      <c r="AM320" s="539" t="str">
        <f t="shared" si="478"/>
        <v>VMVIX</v>
      </c>
      <c r="AN320" s="539" t="str">
        <f t="shared" si="478"/>
        <v>VEXMX</v>
      </c>
      <c r="AO320" s="539" t="str">
        <f t="shared" si="478"/>
        <v>PIGLX</v>
      </c>
      <c r="AP320" s="539" t="str">
        <f t="shared" si="478"/>
        <v>VFSTX</v>
      </c>
      <c r="AQ320" s="539" t="str">
        <f t="shared" si="478"/>
        <v/>
      </c>
      <c r="AR320" s="539" t="str">
        <f t="shared" si="478"/>
        <v/>
      </c>
      <c r="AS320" s="539" t="str">
        <f t="shared" si="478"/>
        <v/>
      </c>
      <c r="AT320" s="539" t="str">
        <f t="shared" si="478"/>
        <v/>
      </c>
      <c r="AU320" s="539" t="str">
        <f t="shared" ref="AU320:BZ320" si="479">IF(AU$2="","",AU$2)</f>
        <v/>
      </c>
      <c r="AV320" s="539" t="str">
        <f t="shared" si="479"/>
        <v/>
      </c>
      <c r="AW320" s="539" t="str">
        <f t="shared" si="479"/>
        <v/>
      </c>
      <c r="AX320" s="539" t="str">
        <f t="shared" si="479"/>
        <v/>
      </c>
      <c r="AY320" s="539" t="str">
        <f t="shared" si="479"/>
        <v/>
      </c>
      <c r="AZ320" s="539" t="str">
        <f t="shared" si="479"/>
        <v/>
      </c>
      <c r="BA320" s="539" t="str">
        <f t="shared" si="479"/>
        <v/>
      </c>
      <c r="BB320" s="539" t="str">
        <f t="shared" si="479"/>
        <v/>
      </c>
      <c r="BC320" s="539" t="str">
        <f t="shared" si="479"/>
        <v/>
      </c>
      <c r="BD320" s="539" t="str">
        <f t="shared" si="479"/>
        <v/>
      </c>
      <c r="BE320" s="539" t="str">
        <f t="shared" si="479"/>
        <v/>
      </c>
      <c r="BF320" s="539" t="str">
        <f t="shared" si="479"/>
        <v/>
      </c>
      <c r="BG320" s="539" t="str">
        <f t="shared" si="479"/>
        <v/>
      </c>
      <c r="BH320" s="539" t="str">
        <f t="shared" si="479"/>
        <v/>
      </c>
      <c r="BI320" s="539" t="str">
        <f t="shared" si="479"/>
        <v/>
      </c>
      <c r="BJ320" s="539" t="str">
        <f t="shared" si="479"/>
        <v/>
      </c>
      <c r="BK320" s="539" t="str">
        <f t="shared" si="479"/>
        <v/>
      </c>
      <c r="BL320" s="539" t="str">
        <f t="shared" si="479"/>
        <v/>
      </c>
      <c r="BM320" s="539" t="str">
        <f t="shared" si="479"/>
        <v/>
      </c>
      <c r="BN320" s="539" t="str">
        <f t="shared" si="479"/>
        <v/>
      </c>
      <c r="BO320" s="539" t="str">
        <f t="shared" si="479"/>
        <v/>
      </c>
      <c r="BP320" s="539" t="str">
        <f t="shared" si="479"/>
        <v/>
      </c>
      <c r="BQ320" s="539" t="str">
        <f t="shared" si="479"/>
        <v/>
      </c>
      <c r="BR320" s="539" t="str">
        <f t="shared" si="479"/>
        <v/>
      </c>
      <c r="BS320" s="539" t="str">
        <f t="shared" si="479"/>
        <v/>
      </c>
      <c r="BT320" s="539" t="str">
        <f t="shared" si="479"/>
        <v/>
      </c>
      <c r="BU320" s="539" t="str">
        <f t="shared" si="479"/>
        <v/>
      </c>
      <c r="BV320" s="539" t="str">
        <f t="shared" si="479"/>
        <v/>
      </c>
      <c r="BW320" s="539" t="str">
        <f t="shared" si="479"/>
        <v/>
      </c>
      <c r="BX320" s="539" t="str">
        <f t="shared" si="479"/>
        <v>S&amp;P500(h)</v>
      </c>
      <c r="BY320" s="539" t="str">
        <f t="shared" si="479"/>
        <v>IT Bonds(h)</v>
      </c>
      <c r="BZ320" s="540" t="str">
        <f t="shared" si="479"/>
        <v>TBills(h)</v>
      </c>
      <c r="CC320" s="541" t="s">
        <v>755</v>
      </c>
    </row>
    <row r="321" spans="1:81">
      <c r="A321" s="535" t="str">
        <f t="array" ref="A321:A397">TRANSPOSE(B320:BZ320)</f>
        <v>VTSMX</v>
      </c>
      <c r="B321" s="536">
        <f t="shared" ref="B321:K330" ca="1" si="480">IF(OR($A321="",B$320=""), "", IF((COLUMN()-COLUMN($A321)) &gt; (1+$CC321), "", PEARSON(OFFSET($B$8, 0, $CC321, $A$320+1, 1), B$8:B$153)))</f>
        <v>1</v>
      </c>
      <c r="C321" s="536" t="str">
        <f t="shared" ca="1" si="480"/>
        <v/>
      </c>
      <c r="D321" s="536" t="str">
        <f t="shared" ca="1" si="480"/>
        <v/>
      </c>
      <c r="E321" s="536" t="str">
        <f t="shared" ca="1" si="480"/>
        <v/>
      </c>
      <c r="F321" s="536" t="str">
        <f t="shared" ca="1" si="480"/>
        <v/>
      </c>
      <c r="G321" s="536" t="str">
        <f t="shared" ca="1" si="480"/>
        <v/>
      </c>
      <c r="H321" s="536" t="str">
        <f t="shared" ca="1" si="480"/>
        <v/>
      </c>
      <c r="I321" s="536" t="str">
        <f t="shared" ca="1" si="480"/>
        <v/>
      </c>
      <c r="J321" s="536" t="str">
        <f t="shared" ca="1" si="480"/>
        <v/>
      </c>
      <c r="K321" s="536" t="str">
        <f t="shared" ca="1" si="480"/>
        <v/>
      </c>
      <c r="L321" s="536" t="str">
        <f t="shared" ref="L321:U330" ca="1" si="481">IF(OR($A321="",L$320=""), "", IF((COLUMN()-COLUMN($A321)) &gt; (1+$CC321), "", PEARSON(OFFSET($B$8, 0, $CC321, $A$320+1, 1), L$8:L$153)))</f>
        <v/>
      </c>
      <c r="M321" s="536" t="str">
        <f t="shared" ca="1" si="481"/>
        <v/>
      </c>
      <c r="N321" s="536" t="str">
        <f t="shared" ca="1" si="481"/>
        <v/>
      </c>
      <c r="O321" s="536" t="str">
        <f t="shared" ca="1" si="481"/>
        <v/>
      </c>
      <c r="P321" s="536" t="str">
        <f t="shared" ca="1" si="481"/>
        <v/>
      </c>
      <c r="Q321" s="536" t="str">
        <f t="shared" ca="1" si="481"/>
        <v/>
      </c>
      <c r="R321" s="536" t="str">
        <f t="shared" ca="1" si="481"/>
        <v/>
      </c>
      <c r="S321" s="536" t="str">
        <f t="shared" ca="1" si="481"/>
        <v/>
      </c>
      <c r="T321" s="536" t="str">
        <f t="shared" ca="1" si="481"/>
        <v/>
      </c>
      <c r="U321" s="536" t="str">
        <f t="shared" ca="1" si="481"/>
        <v/>
      </c>
      <c r="V321" s="536" t="str">
        <f t="shared" ref="V321:AE330" ca="1" si="482">IF(OR($A321="",V$320=""), "", IF((COLUMN()-COLUMN($A321)) &gt; (1+$CC321), "", PEARSON(OFFSET($B$8, 0, $CC321, $A$320+1, 1), V$8:V$153)))</f>
        <v/>
      </c>
      <c r="W321" s="536" t="str">
        <f t="shared" ca="1" si="482"/>
        <v/>
      </c>
      <c r="X321" s="536" t="str">
        <f t="shared" ca="1" si="482"/>
        <v/>
      </c>
      <c r="Y321" s="536" t="str">
        <f t="shared" ca="1" si="482"/>
        <v/>
      </c>
      <c r="Z321" s="536" t="str">
        <f t="shared" ca="1" si="482"/>
        <v/>
      </c>
      <c r="AA321" s="536" t="str">
        <f t="shared" ca="1" si="482"/>
        <v/>
      </c>
      <c r="AB321" s="536" t="str">
        <f t="shared" ca="1" si="482"/>
        <v/>
      </c>
      <c r="AC321" s="536" t="str">
        <f t="shared" ca="1" si="482"/>
        <v/>
      </c>
      <c r="AD321" s="536" t="str">
        <f t="shared" ca="1" si="482"/>
        <v/>
      </c>
      <c r="AE321" s="536" t="str">
        <f t="shared" ca="1" si="482"/>
        <v/>
      </c>
      <c r="AF321" s="536" t="str">
        <f t="shared" ref="AF321:AO330" ca="1" si="483">IF(OR($A321="",AF$320=""), "", IF((COLUMN()-COLUMN($A321)) &gt; (1+$CC321), "", PEARSON(OFFSET($B$8, 0, $CC321, $A$320+1, 1), AF$8:AF$153)))</f>
        <v/>
      </c>
      <c r="AG321" s="536" t="str">
        <f t="shared" ca="1" si="483"/>
        <v/>
      </c>
      <c r="AH321" s="536" t="str">
        <f t="shared" ca="1" si="483"/>
        <v/>
      </c>
      <c r="AI321" s="536" t="str">
        <f t="shared" ca="1" si="483"/>
        <v/>
      </c>
      <c r="AJ321" s="536" t="str">
        <f t="shared" ca="1" si="483"/>
        <v/>
      </c>
      <c r="AK321" s="536" t="str">
        <f t="shared" ca="1" si="483"/>
        <v/>
      </c>
      <c r="AL321" s="536" t="str">
        <f t="shared" ca="1" si="483"/>
        <v/>
      </c>
      <c r="AM321" s="536" t="str">
        <f t="shared" ca="1" si="483"/>
        <v/>
      </c>
      <c r="AN321" s="536" t="str">
        <f t="shared" ca="1" si="483"/>
        <v/>
      </c>
      <c r="AO321" s="536" t="str">
        <f t="shared" ca="1" si="483"/>
        <v/>
      </c>
      <c r="AP321" s="536" t="str">
        <f t="shared" ref="AP321:AY330" ca="1" si="484">IF(OR($A321="",AP$320=""), "", IF((COLUMN()-COLUMN($A321)) &gt; (1+$CC321), "", PEARSON(OFFSET($B$8, 0, $CC321, $A$320+1, 1), AP$8:AP$153)))</f>
        <v/>
      </c>
      <c r="AQ321" s="536" t="str">
        <f t="shared" ca="1" si="484"/>
        <v/>
      </c>
      <c r="AR321" s="536" t="str">
        <f t="shared" ca="1" si="484"/>
        <v/>
      </c>
      <c r="AS321" s="536" t="str">
        <f t="shared" ca="1" si="484"/>
        <v/>
      </c>
      <c r="AT321" s="536" t="str">
        <f t="shared" ca="1" si="484"/>
        <v/>
      </c>
      <c r="AU321" s="536" t="str">
        <f t="shared" ca="1" si="484"/>
        <v/>
      </c>
      <c r="AV321" s="536" t="str">
        <f t="shared" ca="1" si="484"/>
        <v/>
      </c>
      <c r="AW321" s="536" t="str">
        <f t="shared" ca="1" si="484"/>
        <v/>
      </c>
      <c r="AX321" s="536" t="str">
        <f t="shared" ca="1" si="484"/>
        <v/>
      </c>
      <c r="AY321" s="536" t="str">
        <f t="shared" ca="1" si="484"/>
        <v/>
      </c>
      <c r="AZ321" s="536" t="str">
        <f t="shared" ref="AZ321:BI330" ca="1" si="485">IF(OR($A321="",AZ$320=""), "", IF((COLUMN()-COLUMN($A321)) &gt; (1+$CC321), "", PEARSON(OFFSET($B$8, 0, $CC321, $A$320+1, 1), AZ$8:AZ$153)))</f>
        <v/>
      </c>
      <c r="BA321" s="536" t="str">
        <f t="shared" ca="1" si="485"/>
        <v/>
      </c>
      <c r="BB321" s="536" t="str">
        <f t="shared" ca="1" si="485"/>
        <v/>
      </c>
      <c r="BC321" s="536" t="str">
        <f t="shared" ca="1" si="485"/>
        <v/>
      </c>
      <c r="BD321" s="536" t="str">
        <f t="shared" ca="1" si="485"/>
        <v/>
      </c>
      <c r="BE321" s="536" t="str">
        <f t="shared" ca="1" si="485"/>
        <v/>
      </c>
      <c r="BF321" s="536" t="str">
        <f t="shared" ca="1" si="485"/>
        <v/>
      </c>
      <c r="BG321" s="536" t="str">
        <f t="shared" ca="1" si="485"/>
        <v/>
      </c>
      <c r="BH321" s="536" t="str">
        <f t="shared" ca="1" si="485"/>
        <v/>
      </c>
      <c r="BI321" s="536" t="str">
        <f t="shared" ca="1" si="485"/>
        <v/>
      </c>
      <c r="BJ321" s="536" t="str">
        <f t="shared" ref="BJ321:BS330" ca="1" si="486">IF(OR($A321="",BJ$320=""), "", IF((COLUMN()-COLUMN($A321)) &gt; (1+$CC321), "", PEARSON(OFFSET($B$8, 0, $CC321, $A$320+1, 1), BJ$8:BJ$153)))</f>
        <v/>
      </c>
      <c r="BK321" s="536" t="str">
        <f t="shared" ca="1" si="486"/>
        <v/>
      </c>
      <c r="BL321" s="536" t="str">
        <f t="shared" ca="1" si="486"/>
        <v/>
      </c>
      <c r="BM321" s="536" t="str">
        <f t="shared" ca="1" si="486"/>
        <v/>
      </c>
      <c r="BN321" s="536" t="str">
        <f t="shared" ca="1" si="486"/>
        <v/>
      </c>
      <c r="BO321" s="536" t="str">
        <f t="shared" ca="1" si="486"/>
        <v/>
      </c>
      <c r="BP321" s="536" t="str">
        <f t="shared" ca="1" si="486"/>
        <v/>
      </c>
      <c r="BQ321" s="536" t="str">
        <f t="shared" ca="1" si="486"/>
        <v/>
      </c>
      <c r="BR321" s="536" t="str">
        <f t="shared" ca="1" si="486"/>
        <v/>
      </c>
      <c r="BS321" s="536" t="str">
        <f t="shared" ca="1" si="486"/>
        <v/>
      </c>
      <c r="BT321" s="536" t="str">
        <f t="shared" ref="BT321:BZ330" ca="1" si="487">IF(OR($A321="",BT$320=""), "", IF((COLUMN()-COLUMN($A321)) &gt; (1+$CC321), "", PEARSON(OFFSET($B$8, 0, $CC321, $A$320+1, 1), BT$8:BT$153)))</f>
        <v/>
      </c>
      <c r="BU321" s="536" t="str">
        <f t="shared" ca="1" si="487"/>
        <v/>
      </c>
      <c r="BV321" s="536" t="str">
        <f t="shared" ca="1" si="487"/>
        <v/>
      </c>
      <c r="BW321" s="536" t="str">
        <f t="shared" ca="1" si="487"/>
        <v/>
      </c>
      <c r="BX321" s="536" t="str">
        <f t="shared" ca="1" si="487"/>
        <v/>
      </c>
      <c r="BY321" s="536" t="str">
        <f t="shared" ca="1" si="487"/>
        <v/>
      </c>
      <c r="BZ321" s="537" t="str">
        <f t="shared" ca="1" si="487"/>
        <v/>
      </c>
      <c r="CC321" s="482">
        <f>ROW()-ROW(CC$320)-1</f>
        <v>0</v>
      </c>
    </row>
    <row r="322" spans="1:81">
      <c r="A322" s="50" t="str">
        <v>VIVAX</v>
      </c>
      <c r="B322" s="222">
        <f t="shared" ca="1" si="480"/>
        <v>0.93182560747978016</v>
      </c>
      <c r="C322" s="222">
        <f t="shared" ca="1" si="480"/>
        <v>1</v>
      </c>
      <c r="D322" s="222" t="str">
        <f t="shared" ca="1" si="480"/>
        <v/>
      </c>
      <c r="E322" s="222" t="str">
        <f t="shared" ca="1" si="480"/>
        <v/>
      </c>
      <c r="F322" s="222" t="str">
        <f t="shared" ca="1" si="480"/>
        <v/>
      </c>
      <c r="G322" s="222" t="str">
        <f t="shared" ca="1" si="480"/>
        <v/>
      </c>
      <c r="H322" s="222" t="str">
        <f t="shared" ca="1" si="480"/>
        <v/>
      </c>
      <c r="I322" s="222" t="str">
        <f t="shared" ca="1" si="480"/>
        <v/>
      </c>
      <c r="J322" s="222" t="str">
        <f t="shared" ca="1" si="480"/>
        <v/>
      </c>
      <c r="K322" s="222" t="str">
        <f t="shared" ca="1" si="480"/>
        <v/>
      </c>
      <c r="L322" s="222" t="str">
        <f t="shared" ca="1" si="481"/>
        <v/>
      </c>
      <c r="M322" s="222" t="str">
        <f t="shared" ca="1" si="481"/>
        <v/>
      </c>
      <c r="N322" s="222" t="str">
        <f t="shared" ca="1" si="481"/>
        <v/>
      </c>
      <c r="O322" s="222" t="str">
        <f t="shared" ca="1" si="481"/>
        <v/>
      </c>
      <c r="P322" s="222" t="str">
        <f t="shared" ca="1" si="481"/>
        <v/>
      </c>
      <c r="Q322" s="222" t="str">
        <f t="shared" ca="1" si="481"/>
        <v/>
      </c>
      <c r="R322" s="222" t="str">
        <f t="shared" ca="1" si="481"/>
        <v/>
      </c>
      <c r="S322" s="222" t="str">
        <f t="shared" ca="1" si="481"/>
        <v/>
      </c>
      <c r="T322" s="222" t="str">
        <f t="shared" ca="1" si="481"/>
        <v/>
      </c>
      <c r="U322" s="222" t="str">
        <f t="shared" ca="1" si="481"/>
        <v/>
      </c>
      <c r="V322" s="222" t="str">
        <f t="shared" ca="1" si="482"/>
        <v/>
      </c>
      <c r="W322" s="222" t="str">
        <f t="shared" ca="1" si="482"/>
        <v/>
      </c>
      <c r="X322" s="222" t="str">
        <f t="shared" ca="1" si="482"/>
        <v/>
      </c>
      <c r="Y322" s="222" t="str">
        <f t="shared" ca="1" si="482"/>
        <v/>
      </c>
      <c r="Z322" s="222" t="str">
        <f t="shared" ca="1" si="482"/>
        <v/>
      </c>
      <c r="AA322" s="222" t="str">
        <f t="shared" ca="1" si="482"/>
        <v/>
      </c>
      <c r="AB322" s="222" t="str">
        <f t="shared" ca="1" si="482"/>
        <v/>
      </c>
      <c r="AC322" s="222" t="str">
        <f t="shared" ca="1" si="482"/>
        <v/>
      </c>
      <c r="AD322" s="222" t="str">
        <f t="shared" ca="1" si="482"/>
        <v/>
      </c>
      <c r="AE322" s="222" t="str">
        <f t="shared" ca="1" si="482"/>
        <v/>
      </c>
      <c r="AF322" s="222" t="str">
        <f t="shared" ca="1" si="483"/>
        <v/>
      </c>
      <c r="AG322" s="222" t="str">
        <f t="shared" ca="1" si="483"/>
        <v/>
      </c>
      <c r="AH322" s="222" t="str">
        <f t="shared" ca="1" si="483"/>
        <v/>
      </c>
      <c r="AI322" s="222" t="str">
        <f t="shared" ca="1" si="483"/>
        <v/>
      </c>
      <c r="AJ322" s="222" t="str">
        <f t="shared" ca="1" si="483"/>
        <v/>
      </c>
      <c r="AK322" s="222" t="str">
        <f t="shared" ca="1" si="483"/>
        <v/>
      </c>
      <c r="AL322" s="222" t="str">
        <f t="shared" ca="1" si="483"/>
        <v/>
      </c>
      <c r="AM322" s="222" t="str">
        <f t="shared" ca="1" si="483"/>
        <v/>
      </c>
      <c r="AN322" s="222" t="str">
        <f t="shared" ca="1" si="483"/>
        <v/>
      </c>
      <c r="AO322" s="222" t="str">
        <f t="shared" ca="1" si="483"/>
        <v/>
      </c>
      <c r="AP322" s="222" t="str">
        <f t="shared" ca="1" si="484"/>
        <v/>
      </c>
      <c r="AQ322" s="222" t="str">
        <f t="shared" ca="1" si="484"/>
        <v/>
      </c>
      <c r="AR322" s="222" t="str">
        <f t="shared" ca="1" si="484"/>
        <v/>
      </c>
      <c r="AS322" s="222" t="str">
        <f t="shared" ca="1" si="484"/>
        <v/>
      </c>
      <c r="AT322" s="222" t="str">
        <f t="shared" ca="1" si="484"/>
        <v/>
      </c>
      <c r="AU322" s="222" t="str">
        <f t="shared" ca="1" si="484"/>
        <v/>
      </c>
      <c r="AV322" s="222" t="str">
        <f t="shared" ca="1" si="484"/>
        <v/>
      </c>
      <c r="AW322" s="222" t="str">
        <f t="shared" ca="1" si="484"/>
        <v/>
      </c>
      <c r="AX322" s="222" t="str">
        <f t="shared" ca="1" si="484"/>
        <v/>
      </c>
      <c r="AY322" s="222" t="str">
        <f t="shared" ca="1" si="484"/>
        <v/>
      </c>
      <c r="AZ322" s="222" t="str">
        <f t="shared" ca="1" si="485"/>
        <v/>
      </c>
      <c r="BA322" s="222" t="str">
        <f t="shared" ca="1" si="485"/>
        <v/>
      </c>
      <c r="BB322" s="222" t="str">
        <f t="shared" ca="1" si="485"/>
        <v/>
      </c>
      <c r="BC322" s="222" t="str">
        <f t="shared" ca="1" si="485"/>
        <v/>
      </c>
      <c r="BD322" s="222" t="str">
        <f t="shared" ca="1" si="485"/>
        <v/>
      </c>
      <c r="BE322" s="222" t="str">
        <f t="shared" ca="1" si="485"/>
        <v/>
      </c>
      <c r="BF322" s="222" t="str">
        <f t="shared" ca="1" si="485"/>
        <v/>
      </c>
      <c r="BG322" s="222" t="str">
        <f t="shared" ca="1" si="485"/>
        <v/>
      </c>
      <c r="BH322" s="222" t="str">
        <f t="shared" ca="1" si="485"/>
        <v/>
      </c>
      <c r="BI322" s="222" t="str">
        <f t="shared" ca="1" si="485"/>
        <v/>
      </c>
      <c r="BJ322" s="222" t="str">
        <f t="shared" ca="1" si="486"/>
        <v/>
      </c>
      <c r="BK322" s="222" t="str">
        <f t="shared" ca="1" si="486"/>
        <v/>
      </c>
      <c r="BL322" s="222" t="str">
        <f t="shared" ca="1" si="486"/>
        <v/>
      </c>
      <c r="BM322" s="222" t="str">
        <f t="shared" ca="1" si="486"/>
        <v/>
      </c>
      <c r="BN322" s="222" t="str">
        <f t="shared" ca="1" si="486"/>
        <v/>
      </c>
      <c r="BO322" s="222" t="str">
        <f t="shared" ca="1" si="486"/>
        <v/>
      </c>
      <c r="BP322" s="222" t="str">
        <f t="shared" ca="1" si="486"/>
        <v/>
      </c>
      <c r="BQ322" s="222" t="str">
        <f t="shared" ca="1" si="486"/>
        <v/>
      </c>
      <c r="BR322" s="222" t="str">
        <f t="shared" ca="1" si="486"/>
        <v/>
      </c>
      <c r="BS322" s="222" t="str">
        <f t="shared" ca="1" si="486"/>
        <v/>
      </c>
      <c r="BT322" s="222" t="str">
        <f t="shared" ca="1" si="487"/>
        <v/>
      </c>
      <c r="BU322" s="222" t="str">
        <f t="shared" ca="1" si="487"/>
        <v/>
      </c>
      <c r="BV322" s="222" t="str">
        <f t="shared" ca="1" si="487"/>
        <v/>
      </c>
      <c r="BW322" s="222" t="str">
        <f t="shared" ca="1" si="487"/>
        <v/>
      </c>
      <c r="BX322" s="222" t="str">
        <f t="shared" ca="1" si="487"/>
        <v/>
      </c>
      <c r="BY322" s="222" t="str">
        <f t="shared" ca="1" si="487"/>
        <v/>
      </c>
      <c r="BZ322" s="368" t="str">
        <f t="shared" ca="1" si="487"/>
        <v/>
      </c>
      <c r="CC322" s="482">
        <f t="shared" ref="CC322:CC385" si="488">ROW()-ROW(CC$320)-1</f>
        <v>1</v>
      </c>
    </row>
    <row r="323" spans="1:81">
      <c r="A323" s="50" t="str">
        <v>VFINX</v>
      </c>
      <c r="B323" s="222">
        <f t="shared" ca="1" si="480"/>
        <v>0.99778643486442253</v>
      </c>
      <c r="C323" s="222">
        <f t="shared" ca="1" si="480"/>
        <v>0.92499137109390572</v>
      </c>
      <c r="D323" s="222">
        <f t="shared" ca="1" si="480"/>
        <v>1.0000000000000002</v>
      </c>
      <c r="E323" s="222" t="str">
        <f t="shared" ca="1" si="480"/>
        <v/>
      </c>
      <c r="F323" s="222" t="str">
        <f t="shared" ca="1" si="480"/>
        <v/>
      </c>
      <c r="G323" s="222" t="str">
        <f t="shared" ca="1" si="480"/>
        <v/>
      </c>
      <c r="H323" s="222" t="str">
        <f t="shared" ca="1" si="480"/>
        <v/>
      </c>
      <c r="I323" s="222" t="str">
        <f t="shared" ca="1" si="480"/>
        <v/>
      </c>
      <c r="J323" s="222" t="str">
        <f t="shared" ca="1" si="480"/>
        <v/>
      </c>
      <c r="K323" s="222" t="str">
        <f t="shared" ca="1" si="480"/>
        <v/>
      </c>
      <c r="L323" s="222" t="str">
        <f t="shared" ca="1" si="481"/>
        <v/>
      </c>
      <c r="M323" s="222" t="str">
        <f t="shared" ca="1" si="481"/>
        <v/>
      </c>
      <c r="N323" s="222" t="str">
        <f t="shared" ca="1" si="481"/>
        <v/>
      </c>
      <c r="O323" s="222" t="str">
        <f t="shared" ca="1" si="481"/>
        <v/>
      </c>
      <c r="P323" s="222" t="str">
        <f t="shared" ca="1" si="481"/>
        <v/>
      </c>
      <c r="Q323" s="222" t="str">
        <f t="shared" ca="1" si="481"/>
        <v/>
      </c>
      <c r="R323" s="222" t="str">
        <f t="shared" ca="1" si="481"/>
        <v/>
      </c>
      <c r="S323" s="222" t="str">
        <f t="shared" ca="1" si="481"/>
        <v/>
      </c>
      <c r="T323" s="222" t="str">
        <f t="shared" ca="1" si="481"/>
        <v/>
      </c>
      <c r="U323" s="222" t="str">
        <f t="shared" ca="1" si="481"/>
        <v/>
      </c>
      <c r="V323" s="222" t="str">
        <f t="shared" ca="1" si="482"/>
        <v/>
      </c>
      <c r="W323" s="222" t="str">
        <f t="shared" ca="1" si="482"/>
        <v/>
      </c>
      <c r="X323" s="222" t="str">
        <f t="shared" ca="1" si="482"/>
        <v/>
      </c>
      <c r="Y323" s="222" t="str">
        <f t="shared" ca="1" si="482"/>
        <v/>
      </c>
      <c r="Z323" s="222" t="str">
        <f t="shared" ca="1" si="482"/>
        <v/>
      </c>
      <c r="AA323" s="222" t="str">
        <f t="shared" ca="1" si="482"/>
        <v/>
      </c>
      <c r="AB323" s="222" t="str">
        <f t="shared" ca="1" si="482"/>
        <v/>
      </c>
      <c r="AC323" s="222" t="str">
        <f t="shared" ca="1" si="482"/>
        <v/>
      </c>
      <c r="AD323" s="222" t="str">
        <f t="shared" ca="1" si="482"/>
        <v/>
      </c>
      <c r="AE323" s="222" t="str">
        <f t="shared" ca="1" si="482"/>
        <v/>
      </c>
      <c r="AF323" s="222" t="str">
        <f t="shared" ca="1" si="483"/>
        <v/>
      </c>
      <c r="AG323" s="222" t="str">
        <f t="shared" ca="1" si="483"/>
        <v/>
      </c>
      <c r="AH323" s="222" t="str">
        <f t="shared" ca="1" si="483"/>
        <v/>
      </c>
      <c r="AI323" s="222" t="str">
        <f t="shared" ca="1" si="483"/>
        <v/>
      </c>
      <c r="AJ323" s="222" t="str">
        <f t="shared" ca="1" si="483"/>
        <v/>
      </c>
      <c r="AK323" s="222" t="str">
        <f t="shared" ca="1" si="483"/>
        <v/>
      </c>
      <c r="AL323" s="222" t="str">
        <f t="shared" ca="1" si="483"/>
        <v/>
      </c>
      <c r="AM323" s="222" t="str">
        <f t="shared" ca="1" si="483"/>
        <v/>
      </c>
      <c r="AN323" s="222" t="str">
        <f t="shared" ca="1" si="483"/>
        <v/>
      </c>
      <c r="AO323" s="222" t="str">
        <f t="shared" ca="1" si="483"/>
        <v/>
      </c>
      <c r="AP323" s="222" t="str">
        <f t="shared" ca="1" si="484"/>
        <v/>
      </c>
      <c r="AQ323" s="222" t="str">
        <f t="shared" ca="1" si="484"/>
        <v/>
      </c>
      <c r="AR323" s="222" t="str">
        <f t="shared" ca="1" si="484"/>
        <v/>
      </c>
      <c r="AS323" s="222" t="str">
        <f t="shared" ca="1" si="484"/>
        <v/>
      </c>
      <c r="AT323" s="222" t="str">
        <f t="shared" ca="1" si="484"/>
        <v/>
      </c>
      <c r="AU323" s="222" t="str">
        <f t="shared" ca="1" si="484"/>
        <v/>
      </c>
      <c r="AV323" s="222" t="str">
        <f t="shared" ca="1" si="484"/>
        <v/>
      </c>
      <c r="AW323" s="222" t="str">
        <f t="shared" ca="1" si="484"/>
        <v/>
      </c>
      <c r="AX323" s="222" t="str">
        <f t="shared" ca="1" si="484"/>
        <v/>
      </c>
      <c r="AY323" s="222" t="str">
        <f t="shared" ca="1" si="484"/>
        <v/>
      </c>
      <c r="AZ323" s="222" t="str">
        <f t="shared" ca="1" si="485"/>
        <v/>
      </c>
      <c r="BA323" s="222" t="str">
        <f t="shared" ca="1" si="485"/>
        <v/>
      </c>
      <c r="BB323" s="222" t="str">
        <f t="shared" ca="1" si="485"/>
        <v/>
      </c>
      <c r="BC323" s="222" t="str">
        <f t="shared" ca="1" si="485"/>
        <v/>
      </c>
      <c r="BD323" s="222" t="str">
        <f t="shared" ca="1" si="485"/>
        <v/>
      </c>
      <c r="BE323" s="222" t="str">
        <f t="shared" ca="1" si="485"/>
        <v/>
      </c>
      <c r="BF323" s="222" t="str">
        <f t="shared" ca="1" si="485"/>
        <v/>
      </c>
      <c r="BG323" s="222" t="str">
        <f t="shared" ca="1" si="485"/>
        <v/>
      </c>
      <c r="BH323" s="222" t="str">
        <f t="shared" ca="1" si="485"/>
        <v/>
      </c>
      <c r="BI323" s="222" t="str">
        <f t="shared" ca="1" si="485"/>
        <v/>
      </c>
      <c r="BJ323" s="222" t="str">
        <f t="shared" ca="1" si="486"/>
        <v/>
      </c>
      <c r="BK323" s="222" t="str">
        <f t="shared" ca="1" si="486"/>
        <v/>
      </c>
      <c r="BL323" s="222" t="str">
        <f t="shared" ca="1" si="486"/>
        <v/>
      </c>
      <c r="BM323" s="222" t="str">
        <f t="shared" ca="1" si="486"/>
        <v/>
      </c>
      <c r="BN323" s="222" t="str">
        <f t="shared" ca="1" si="486"/>
        <v/>
      </c>
      <c r="BO323" s="222" t="str">
        <f t="shared" ca="1" si="486"/>
        <v/>
      </c>
      <c r="BP323" s="222" t="str">
        <f t="shared" ca="1" si="486"/>
        <v/>
      </c>
      <c r="BQ323" s="222" t="str">
        <f t="shared" ca="1" si="486"/>
        <v/>
      </c>
      <c r="BR323" s="222" t="str">
        <f t="shared" ca="1" si="486"/>
        <v/>
      </c>
      <c r="BS323" s="222" t="str">
        <f t="shared" ca="1" si="486"/>
        <v/>
      </c>
      <c r="BT323" s="222" t="str">
        <f t="shared" ca="1" si="487"/>
        <v/>
      </c>
      <c r="BU323" s="222" t="str">
        <f t="shared" ca="1" si="487"/>
        <v/>
      </c>
      <c r="BV323" s="222" t="str">
        <f t="shared" ca="1" si="487"/>
        <v/>
      </c>
      <c r="BW323" s="222" t="str">
        <f t="shared" ca="1" si="487"/>
        <v/>
      </c>
      <c r="BX323" s="222" t="str">
        <f t="shared" ca="1" si="487"/>
        <v/>
      </c>
      <c r="BY323" s="222" t="str">
        <f t="shared" ca="1" si="487"/>
        <v/>
      </c>
      <c r="BZ323" s="368" t="str">
        <f t="shared" ca="1" si="487"/>
        <v/>
      </c>
      <c r="CC323" s="482">
        <f t="shared" si="488"/>
        <v>2</v>
      </c>
    </row>
    <row r="324" spans="1:81">
      <c r="A324" s="50" t="str">
        <v>VIGRX</v>
      </c>
      <c r="B324" s="222">
        <f t="shared" ca="1" si="480"/>
        <v>0.96150059807657651</v>
      </c>
      <c r="C324" s="222">
        <f t="shared" ca="1" si="480"/>
        <v>0.81743246741540698</v>
      </c>
      <c r="D324" s="222">
        <f t="shared" ca="1" si="480"/>
        <v>0.96901269577814164</v>
      </c>
      <c r="E324" s="222">
        <f t="shared" ca="1" si="480"/>
        <v>1</v>
      </c>
      <c r="F324" s="222" t="str">
        <f t="shared" ca="1" si="480"/>
        <v/>
      </c>
      <c r="G324" s="222" t="str">
        <f t="shared" ca="1" si="480"/>
        <v/>
      </c>
      <c r="H324" s="222" t="str">
        <f t="shared" ca="1" si="480"/>
        <v/>
      </c>
      <c r="I324" s="222" t="str">
        <f t="shared" ca="1" si="480"/>
        <v/>
      </c>
      <c r="J324" s="222" t="str">
        <f t="shared" ca="1" si="480"/>
        <v/>
      </c>
      <c r="K324" s="222" t="str">
        <f t="shared" ca="1" si="480"/>
        <v/>
      </c>
      <c r="L324" s="222" t="str">
        <f t="shared" ca="1" si="481"/>
        <v/>
      </c>
      <c r="M324" s="222" t="str">
        <f t="shared" ca="1" si="481"/>
        <v/>
      </c>
      <c r="N324" s="222" t="str">
        <f t="shared" ca="1" si="481"/>
        <v/>
      </c>
      <c r="O324" s="222" t="str">
        <f t="shared" ca="1" si="481"/>
        <v/>
      </c>
      <c r="P324" s="222" t="str">
        <f t="shared" ca="1" si="481"/>
        <v/>
      </c>
      <c r="Q324" s="222" t="str">
        <f t="shared" ca="1" si="481"/>
        <v/>
      </c>
      <c r="R324" s="222" t="str">
        <f t="shared" ca="1" si="481"/>
        <v/>
      </c>
      <c r="S324" s="222" t="str">
        <f t="shared" ca="1" si="481"/>
        <v/>
      </c>
      <c r="T324" s="222" t="str">
        <f t="shared" ca="1" si="481"/>
        <v/>
      </c>
      <c r="U324" s="222" t="str">
        <f t="shared" ca="1" si="481"/>
        <v/>
      </c>
      <c r="V324" s="222" t="str">
        <f t="shared" ca="1" si="482"/>
        <v/>
      </c>
      <c r="W324" s="222" t="str">
        <f t="shared" ca="1" si="482"/>
        <v/>
      </c>
      <c r="X324" s="222" t="str">
        <f t="shared" ca="1" si="482"/>
        <v/>
      </c>
      <c r="Y324" s="222" t="str">
        <f t="shared" ca="1" si="482"/>
        <v/>
      </c>
      <c r="Z324" s="222" t="str">
        <f t="shared" ca="1" si="482"/>
        <v/>
      </c>
      <c r="AA324" s="222" t="str">
        <f t="shared" ca="1" si="482"/>
        <v/>
      </c>
      <c r="AB324" s="222" t="str">
        <f t="shared" ca="1" si="482"/>
        <v/>
      </c>
      <c r="AC324" s="222" t="str">
        <f t="shared" ca="1" si="482"/>
        <v/>
      </c>
      <c r="AD324" s="222" t="str">
        <f t="shared" ca="1" si="482"/>
        <v/>
      </c>
      <c r="AE324" s="222" t="str">
        <f t="shared" ca="1" si="482"/>
        <v/>
      </c>
      <c r="AF324" s="222" t="str">
        <f t="shared" ca="1" si="483"/>
        <v/>
      </c>
      <c r="AG324" s="222" t="str">
        <f t="shared" ca="1" si="483"/>
        <v/>
      </c>
      <c r="AH324" s="222" t="str">
        <f t="shared" ca="1" si="483"/>
        <v/>
      </c>
      <c r="AI324" s="222" t="str">
        <f t="shared" ca="1" si="483"/>
        <v/>
      </c>
      <c r="AJ324" s="222" t="str">
        <f t="shared" ca="1" si="483"/>
        <v/>
      </c>
      <c r="AK324" s="222" t="str">
        <f t="shared" ca="1" si="483"/>
        <v/>
      </c>
      <c r="AL324" s="222" t="str">
        <f t="shared" ca="1" si="483"/>
        <v/>
      </c>
      <c r="AM324" s="222" t="str">
        <f t="shared" ca="1" si="483"/>
        <v/>
      </c>
      <c r="AN324" s="222" t="str">
        <f t="shared" ca="1" si="483"/>
        <v/>
      </c>
      <c r="AO324" s="222" t="str">
        <f t="shared" ca="1" si="483"/>
        <v/>
      </c>
      <c r="AP324" s="222" t="str">
        <f t="shared" ca="1" si="484"/>
        <v/>
      </c>
      <c r="AQ324" s="222" t="str">
        <f t="shared" ca="1" si="484"/>
        <v/>
      </c>
      <c r="AR324" s="222" t="str">
        <f t="shared" ca="1" si="484"/>
        <v/>
      </c>
      <c r="AS324" s="222" t="str">
        <f t="shared" ca="1" si="484"/>
        <v/>
      </c>
      <c r="AT324" s="222" t="str">
        <f t="shared" ca="1" si="484"/>
        <v/>
      </c>
      <c r="AU324" s="222" t="str">
        <f t="shared" ca="1" si="484"/>
        <v/>
      </c>
      <c r="AV324" s="222" t="str">
        <f t="shared" ca="1" si="484"/>
        <v/>
      </c>
      <c r="AW324" s="222" t="str">
        <f t="shared" ca="1" si="484"/>
        <v/>
      </c>
      <c r="AX324" s="222" t="str">
        <f t="shared" ca="1" si="484"/>
        <v/>
      </c>
      <c r="AY324" s="222" t="str">
        <f t="shared" ca="1" si="484"/>
        <v/>
      </c>
      <c r="AZ324" s="222" t="str">
        <f t="shared" ca="1" si="485"/>
        <v/>
      </c>
      <c r="BA324" s="222" t="str">
        <f t="shared" ca="1" si="485"/>
        <v/>
      </c>
      <c r="BB324" s="222" t="str">
        <f t="shared" ca="1" si="485"/>
        <v/>
      </c>
      <c r="BC324" s="222" t="str">
        <f t="shared" ca="1" si="485"/>
        <v/>
      </c>
      <c r="BD324" s="222" t="str">
        <f t="shared" ca="1" si="485"/>
        <v/>
      </c>
      <c r="BE324" s="222" t="str">
        <f t="shared" ca="1" si="485"/>
        <v/>
      </c>
      <c r="BF324" s="222" t="str">
        <f t="shared" ca="1" si="485"/>
        <v/>
      </c>
      <c r="BG324" s="222" t="str">
        <f t="shared" ca="1" si="485"/>
        <v/>
      </c>
      <c r="BH324" s="222" t="str">
        <f t="shared" ca="1" si="485"/>
        <v/>
      </c>
      <c r="BI324" s="222" t="str">
        <f t="shared" ca="1" si="485"/>
        <v/>
      </c>
      <c r="BJ324" s="222" t="str">
        <f t="shared" ca="1" si="486"/>
        <v/>
      </c>
      <c r="BK324" s="222" t="str">
        <f t="shared" ca="1" si="486"/>
        <v/>
      </c>
      <c r="BL324" s="222" t="str">
        <f t="shared" ca="1" si="486"/>
        <v/>
      </c>
      <c r="BM324" s="222" t="str">
        <f t="shared" ca="1" si="486"/>
        <v/>
      </c>
      <c r="BN324" s="222" t="str">
        <f t="shared" ca="1" si="486"/>
        <v/>
      </c>
      <c r="BO324" s="222" t="str">
        <f t="shared" ca="1" si="486"/>
        <v/>
      </c>
      <c r="BP324" s="222" t="str">
        <f t="shared" ca="1" si="486"/>
        <v/>
      </c>
      <c r="BQ324" s="222" t="str">
        <f t="shared" ca="1" si="486"/>
        <v/>
      </c>
      <c r="BR324" s="222" t="str">
        <f t="shared" ca="1" si="486"/>
        <v/>
      </c>
      <c r="BS324" s="222" t="str">
        <f t="shared" ca="1" si="486"/>
        <v/>
      </c>
      <c r="BT324" s="222" t="str">
        <f t="shared" ca="1" si="487"/>
        <v/>
      </c>
      <c r="BU324" s="222" t="str">
        <f t="shared" ca="1" si="487"/>
        <v/>
      </c>
      <c r="BV324" s="222" t="str">
        <f t="shared" ca="1" si="487"/>
        <v/>
      </c>
      <c r="BW324" s="222" t="str">
        <f t="shared" ca="1" si="487"/>
        <v/>
      </c>
      <c r="BX324" s="222" t="str">
        <f t="shared" ca="1" si="487"/>
        <v/>
      </c>
      <c r="BY324" s="222" t="str">
        <f t="shared" ca="1" si="487"/>
        <v/>
      </c>
      <c r="BZ324" s="368" t="str">
        <f t="shared" ca="1" si="487"/>
        <v/>
      </c>
      <c r="CC324" s="482">
        <f t="shared" si="488"/>
        <v>3</v>
      </c>
    </row>
    <row r="325" spans="1:81">
      <c r="A325" s="50" t="str">
        <v>VIMSX</v>
      </c>
      <c r="B325" s="222">
        <f t="shared" ca="1" si="480"/>
        <v>0.92340834742236977</v>
      </c>
      <c r="C325" s="222">
        <f t="shared" ca="1" si="480"/>
        <v>0.9242018622122713</v>
      </c>
      <c r="D325" s="222">
        <f t="shared" ca="1" si="480"/>
        <v>0.8912277622361181</v>
      </c>
      <c r="E325" s="222">
        <f t="shared" ca="1" si="480"/>
        <v>0.82760166160158455</v>
      </c>
      <c r="F325" s="222">
        <f t="shared" ca="1" si="480"/>
        <v>1</v>
      </c>
      <c r="G325" s="222" t="str">
        <f t="shared" ca="1" si="480"/>
        <v/>
      </c>
      <c r="H325" s="222" t="str">
        <f t="shared" ca="1" si="480"/>
        <v/>
      </c>
      <c r="I325" s="222" t="str">
        <f t="shared" ca="1" si="480"/>
        <v/>
      </c>
      <c r="J325" s="222" t="str">
        <f t="shared" ca="1" si="480"/>
        <v/>
      </c>
      <c r="K325" s="222" t="str">
        <f t="shared" ca="1" si="480"/>
        <v/>
      </c>
      <c r="L325" s="222" t="str">
        <f t="shared" ca="1" si="481"/>
        <v/>
      </c>
      <c r="M325" s="222" t="str">
        <f t="shared" ca="1" si="481"/>
        <v/>
      </c>
      <c r="N325" s="222" t="str">
        <f t="shared" ca="1" si="481"/>
        <v/>
      </c>
      <c r="O325" s="222" t="str">
        <f t="shared" ca="1" si="481"/>
        <v/>
      </c>
      <c r="P325" s="222" t="str">
        <f t="shared" ca="1" si="481"/>
        <v/>
      </c>
      <c r="Q325" s="222" t="str">
        <f t="shared" ca="1" si="481"/>
        <v/>
      </c>
      <c r="R325" s="222" t="str">
        <f t="shared" ca="1" si="481"/>
        <v/>
      </c>
      <c r="S325" s="222" t="str">
        <f t="shared" ca="1" si="481"/>
        <v/>
      </c>
      <c r="T325" s="222" t="str">
        <f t="shared" ca="1" si="481"/>
        <v/>
      </c>
      <c r="U325" s="222" t="str">
        <f t="shared" ca="1" si="481"/>
        <v/>
      </c>
      <c r="V325" s="222" t="str">
        <f t="shared" ca="1" si="482"/>
        <v/>
      </c>
      <c r="W325" s="222" t="str">
        <f t="shared" ca="1" si="482"/>
        <v/>
      </c>
      <c r="X325" s="222" t="str">
        <f t="shared" ca="1" si="482"/>
        <v/>
      </c>
      <c r="Y325" s="222" t="str">
        <f t="shared" ca="1" si="482"/>
        <v/>
      </c>
      <c r="Z325" s="222" t="str">
        <f t="shared" ca="1" si="482"/>
        <v/>
      </c>
      <c r="AA325" s="222" t="str">
        <f t="shared" ca="1" si="482"/>
        <v/>
      </c>
      <c r="AB325" s="222" t="str">
        <f t="shared" ca="1" si="482"/>
        <v/>
      </c>
      <c r="AC325" s="222" t="str">
        <f t="shared" ca="1" si="482"/>
        <v/>
      </c>
      <c r="AD325" s="222" t="str">
        <f t="shared" ca="1" si="482"/>
        <v/>
      </c>
      <c r="AE325" s="222" t="str">
        <f t="shared" ca="1" si="482"/>
        <v/>
      </c>
      <c r="AF325" s="222" t="str">
        <f t="shared" ca="1" si="483"/>
        <v/>
      </c>
      <c r="AG325" s="222" t="str">
        <f t="shared" ca="1" si="483"/>
        <v/>
      </c>
      <c r="AH325" s="222" t="str">
        <f t="shared" ca="1" si="483"/>
        <v/>
      </c>
      <c r="AI325" s="222" t="str">
        <f t="shared" ca="1" si="483"/>
        <v/>
      </c>
      <c r="AJ325" s="222" t="str">
        <f t="shared" ca="1" si="483"/>
        <v/>
      </c>
      <c r="AK325" s="222" t="str">
        <f t="shared" ca="1" si="483"/>
        <v/>
      </c>
      <c r="AL325" s="222" t="str">
        <f t="shared" ca="1" si="483"/>
        <v/>
      </c>
      <c r="AM325" s="222" t="str">
        <f t="shared" ca="1" si="483"/>
        <v/>
      </c>
      <c r="AN325" s="222" t="str">
        <f t="shared" ca="1" si="483"/>
        <v/>
      </c>
      <c r="AO325" s="222" t="str">
        <f t="shared" ca="1" si="483"/>
        <v/>
      </c>
      <c r="AP325" s="222" t="str">
        <f t="shared" ca="1" si="484"/>
        <v/>
      </c>
      <c r="AQ325" s="222" t="str">
        <f t="shared" ca="1" si="484"/>
        <v/>
      </c>
      <c r="AR325" s="222" t="str">
        <f t="shared" ca="1" si="484"/>
        <v/>
      </c>
      <c r="AS325" s="222" t="str">
        <f t="shared" ca="1" si="484"/>
        <v/>
      </c>
      <c r="AT325" s="222" t="str">
        <f t="shared" ca="1" si="484"/>
        <v/>
      </c>
      <c r="AU325" s="222" t="str">
        <f t="shared" ca="1" si="484"/>
        <v/>
      </c>
      <c r="AV325" s="222" t="str">
        <f t="shared" ca="1" si="484"/>
        <v/>
      </c>
      <c r="AW325" s="222" t="str">
        <f t="shared" ca="1" si="484"/>
        <v/>
      </c>
      <c r="AX325" s="222" t="str">
        <f t="shared" ca="1" si="484"/>
        <v/>
      </c>
      <c r="AY325" s="222" t="str">
        <f t="shared" ca="1" si="484"/>
        <v/>
      </c>
      <c r="AZ325" s="222" t="str">
        <f t="shared" ca="1" si="485"/>
        <v/>
      </c>
      <c r="BA325" s="222" t="str">
        <f t="shared" ca="1" si="485"/>
        <v/>
      </c>
      <c r="BB325" s="222" t="str">
        <f t="shared" ca="1" si="485"/>
        <v/>
      </c>
      <c r="BC325" s="222" t="str">
        <f t="shared" ca="1" si="485"/>
        <v/>
      </c>
      <c r="BD325" s="222" t="str">
        <f t="shared" ca="1" si="485"/>
        <v/>
      </c>
      <c r="BE325" s="222" t="str">
        <f t="shared" ca="1" si="485"/>
        <v/>
      </c>
      <c r="BF325" s="222" t="str">
        <f t="shared" ca="1" si="485"/>
        <v/>
      </c>
      <c r="BG325" s="222" t="str">
        <f t="shared" ca="1" si="485"/>
        <v/>
      </c>
      <c r="BH325" s="222" t="str">
        <f t="shared" ca="1" si="485"/>
        <v/>
      </c>
      <c r="BI325" s="222" t="str">
        <f t="shared" ca="1" si="485"/>
        <v/>
      </c>
      <c r="BJ325" s="222" t="str">
        <f t="shared" ca="1" si="486"/>
        <v/>
      </c>
      <c r="BK325" s="222" t="str">
        <f t="shared" ca="1" si="486"/>
        <v/>
      </c>
      <c r="BL325" s="222" t="str">
        <f t="shared" ca="1" si="486"/>
        <v/>
      </c>
      <c r="BM325" s="222" t="str">
        <f t="shared" ca="1" si="486"/>
        <v/>
      </c>
      <c r="BN325" s="222" t="str">
        <f t="shared" ca="1" si="486"/>
        <v/>
      </c>
      <c r="BO325" s="222" t="str">
        <f t="shared" ca="1" si="486"/>
        <v/>
      </c>
      <c r="BP325" s="222" t="str">
        <f t="shared" ca="1" si="486"/>
        <v/>
      </c>
      <c r="BQ325" s="222" t="str">
        <f t="shared" ca="1" si="486"/>
        <v/>
      </c>
      <c r="BR325" s="222" t="str">
        <f t="shared" ca="1" si="486"/>
        <v/>
      </c>
      <c r="BS325" s="222" t="str">
        <f t="shared" ca="1" si="486"/>
        <v/>
      </c>
      <c r="BT325" s="222" t="str">
        <f t="shared" ca="1" si="487"/>
        <v/>
      </c>
      <c r="BU325" s="222" t="str">
        <f t="shared" ca="1" si="487"/>
        <v/>
      </c>
      <c r="BV325" s="222" t="str">
        <f t="shared" ca="1" si="487"/>
        <v/>
      </c>
      <c r="BW325" s="222" t="str">
        <f t="shared" ca="1" si="487"/>
        <v/>
      </c>
      <c r="BX325" s="222" t="str">
        <f t="shared" ca="1" si="487"/>
        <v/>
      </c>
      <c r="BY325" s="222" t="str">
        <f t="shared" ca="1" si="487"/>
        <v/>
      </c>
      <c r="BZ325" s="368" t="str">
        <f t="shared" ca="1" si="487"/>
        <v/>
      </c>
      <c r="CC325" s="482">
        <f t="shared" si="488"/>
        <v>4</v>
      </c>
    </row>
    <row r="326" spans="1:81">
      <c r="A326" s="50" t="str">
        <v>VISVX</v>
      </c>
      <c r="B326" s="222">
        <f t="shared" ca="1" si="480"/>
        <v>0.76031133108255133</v>
      </c>
      <c r="C326" s="222">
        <f t="shared" ca="1" si="480"/>
        <v>0.84342790103016407</v>
      </c>
      <c r="D326" s="222">
        <f t="shared" ca="1" si="480"/>
        <v>0.70391909927289875</v>
      </c>
      <c r="E326" s="222">
        <f t="shared" ca="1" si="480"/>
        <v>0.59369783634265416</v>
      </c>
      <c r="F326" s="222">
        <f t="shared" ca="1" si="480"/>
        <v>0.90590069950672736</v>
      </c>
      <c r="G326" s="222">
        <f t="shared" ca="1" si="480"/>
        <v>0.99999999999999989</v>
      </c>
      <c r="H326" s="222" t="str">
        <f t="shared" ca="1" si="480"/>
        <v/>
      </c>
      <c r="I326" s="222" t="str">
        <f t="shared" ca="1" si="480"/>
        <v/>
      </c>
      <c r="J326" s="222" t="str">
        <f t="shared" ca="1" si="480"/>
        <v/>
      </c>
      <c r="K326" s="222" t="str">
        <f t="shared" ca="1" si="480"/>
        <v/>
      </c>
      <c r="L326" s="222" t="str">
        <f t="shared" ca="1" si="481"/>
        <v/>
      </c>
      <c r="M326" s="222" t="str">
        <f t="shared" ca="1" si="481"/>
        <v/>
      </c>
      <c r="N326" s="222" t="str">
        <f t="shared" ca="1" si="481"/>
        <v/>
      </c>
      <c r="O326" s="222" t="str">
        <f t="shared" ca="1" si="481"/>
        <v/>
      </c>
      <c r="P326" s="222" t="str">
        <f t="shared" ca="1" si="481"/>
        <v/>
      </c>
      <c r="Q326" s="222" t="str">
        <f t="shared" ca="1" si="481"/>
        <v/>
      </c>
      <c r="R326" s="222" t="str">
        <f t="shared" ca="1" si="481"/>
        <v/>
      </c>
      <c r="S326" s="222" t="str">
        <f t="shared" ca="1" si="481"/>
        <v/>
      </c>
      <c r="T326" s="222" t="str">
        <f t="shared" ca="1" si="481"/>
        <v/>
      </c>
      <c r="U326" s="222" t="str">
        <f t="shared" ca="1" si="481"/>
        <v/>
      </c>
      <c r="V326" s="222" t="str">
        <f t="shared" ca="1" si="482"/>
        <v/>
      </c>
      <c r="W326" s="222" t="str">
        <f t="shared" ca="1" si="482"/>
        <v/>
      </c>
      <c r="X326" s="222" t="str">
        <f t="shared" ca="1" si="482"/>
        <v/>
      </c>
      <c r="Y326" s="222" t="str">
        <f t="shared" ca="1" si="482"/>
        <v/>
      </c>
      <c r="Z326" s="222" t="str">
        <f t="shared" ca="1" si="482"/>
        <v/>
      </c>
      <c r="AA326" s="222" t="str">
        <f t="shared" ca="1" si="482"/>
        <v/>
      </c>
      <c r="AB326" s="222" t="str">
        <f t="shared" ca="1" si="482"/>
        <v/>
      </c>
      <c r="AC326" s="222" t="str">
        <f t="shared" ca="1" si="482"/>
        <v/>
      </c>
      <c r="AD326" s="222" t="str">
        <f t="shared" ca="1" si="482"/>
        <v/>
      </c>
      <c r="AE326" s="222" t="str">
        <f t="shared" ca="1" si="482"/>
        <v/>
      </c>
      <c r="AF326" s="222" t="str">
        <f t="shared" ca="1" si="483"/>
        <v/>
      </c>
      <c r="AG326" s="222" t="str">
        <f t="shared" ca="1" si="483"/>
        <v/>
      </c>
      <c r="AH326" s="222" t="str">
        <f t="shared" ca="1" si="483"/>
        <v/>
      </c>
      <c r="AI326" s="222" t="str">
        <f t="shared" ca="1" si="483"/>
        <v/>
      </c>
      <c r="AJ326" s="222" t="str">
        <f t="shared" ca="1" si="483"/>
        <v/>
      </c>
      <c r="AK326" s="222" t="str">
        <f t="shared" ca="1" si="483"/>
        <v/>
      </c>
      <c r="AL326" s="222" t="str">
        <f t="shared" ca="1" si="483"/>
        <v/>
      </c>
      <c r="AM326" s="222" t="str">
        <f t="shared" ca="1" si="483"/>
        <v/>
      </c>
      <c r="AN326" s="222" t="str">
        <f t="shared" ca="1" si="483"/>
        <v/>
      </c>
      <c r="AO326" s="222" t="str">
        <f t="shared" ca="1" si="483"/>
        <v/>
      </c>
      <c r="AP326" s="222" t="str">
        <f t="shared" ca="1" si="484"/>
        <v/>
      </c>
      <c r="AQ326" s="222" t="str">
        <f t="shared" ca="1" si="484"/>
        <v/>
      </c>
      <c r="AR326" s="222" t="str">
        <f t="shared" ca="1" si="484"/>
        <v/>
      </c>
      <c r="AS326" s="222" t="str">
        <f t="shared" ca="1" si="484"/>
        <v/>
      </c>
      <c r="AT326" s="222" t="str">
        <f t="shared" ca="1" si="484"/>
        <v/>
      </c>
      <c r="AU326" s="222" t="str">
        <f t="shared" ca="1" si="484"/>
        <v/>
      </c>
      <c r="AV326" s="222" t="str">
        <f t="shared" ca="1" si="484"/>
        <v/>
      </c>
      <c r="AW326" s="222" t="str">
        <f t="shared" ca="1" si="484"/>
        <v/>
      </c>
      <c r="AX326" s="222" t="str">
        <f t="shared" ca="1" si="484"/>
        <v/>
      </c>
      <c r="AY326" s="222" t="str">
        <f t="shared" ca="1" si="484"/>
        <v/>
      </c>
      <c r="AZ326" s="222" t="str">
        <f t="shared" ca="1" si="485"/>
        <v/>
      </c>
      <c r="BA326" s="222" t="str">
        <f t="shared" ca="1" si="485"/>
        <v/>
      </c>
      <c r="BB326" s="222" t="str">
        <f t="shared" ca="1" si="485"/>
        <v/>
      </c>
      <c r="BC326" s="222" t="str">
        <f t="shared" ca="1" si="485"/>
        <v/>
      </c>
      <c r="BD326" s="222" t="str">
        <f t="shared" ca="1" si="485"/>
        <v/>
      </c>
      <c r="BE326" s="222" t="str">
        <f t="shared" ca="1" si="485"/>
        <v/>
      </c>
      <c r="BF326" s="222" t="str">
        <f t="shared" ca="1" si="485"/>
        <v/>
      </c>
      <c r="BG326" s="222" t="str">
        <f t="shared" ca="1" si="485"/>
        <v/>
      </c>
      <c r="BH326" s="222" t="str">
        <f t="shared" ca="1" si="485"/>
        <v/>
      </c>
      <c r="BI326" s="222" t="str">
        <f t="shared" ca="1" si="485"/>
        <v/>
      </c>
      <c r="BJ326" s="222" t="str">
        <f t="shared" ca="1" si="486"/>
        <v/>
      </c>
      <c r="BK326" s="222" t="str">
        <f t="shared" ca="1" si="486"/>
        <v/>
      </c>
      <c r="BL326" s="222" t="str">
        <f t="shared" ca="1" si="486"/>
        <v/>
      </c>
      <c r="BM326" s="222" t="str">
        <f t="shared" ca="1" si="486"/>
        <v/>
      </c>
      <c r="BN326" s="222" t="str">
        <f t="shared" ca="1" si="486"/>
        <v/>
      </c>
      <c r="BO326" s="222" t="str">
        <f t="shared" ca="1" si="486"/>
        <v/>
      </c>
      <c r="BP326" s="222" t="str">
        <f t="shared" ca="1" si="486"/>
        <v/>
      </c>
      <c r="BQ326" s="222" t="str">
        <f t="shared" ca="1" si="486"/>
        <v/>
      </c>
      <c r="BR326" s="222" t="str">
        <f t="shared" ca="1" si="486"/>
        <v/>
      </c>
      <c r="BS326" s="222" t="str">
        <f t="shared" ca="1" si="486"/>
        <v/>
      </c>
      <c r="BT326" s="222" t="str">
        <f t="shared" ca="1" si="487"/>
        <v/>
      </c>
      <c r="BU326" s="222" t="str">
        <f t="shared" ca="1" si="487"/>
        <v/>
      </c>
      <c r="BV326" s="222" t="str">
        <f t="shared" ca="1" si="487"/>
        <v/>
      </c>
      <c r="BW326" s="222" t="str">
        <f t="shared" ca="1" si="487"/>
        <v/>
      </c>
      <c r="BX326" s="222" t="str">
        <f t="shared" ca="1" si="487"/>
        <v/>
      </c>
      <c r="BY326" s="222" t="str">
        <f t="shared" ca="1" si="487"/>
        <v/>
      </c>
      <c r="BZ326" s="368" t="str">
        <f t="shared" ca="1" si="487"/>
        <v/>
      </c>
      <c r="CC326" s="482">
        <f t="shared" si="488"/>
        <v>5</v>
      </c>
    </row>
    <row r="327" spans="1:81">
      <c r="A327" s="326" t="str">
        <v>NAESX</v>
      </c>
      <c r="B327" s="222">
        <f t="shared" ca="1" si="480"/>
        <v>0.87949487658687309</v>
      </c>
      <c r="C327" s="222">
        <f t="shared" ca="1" si="480"/>
        <v>0.86806207095879362</v>
      </c>
      <c r="D327" s="222">
        <f t="shared" ca="1" si="480"/>
        <v>0.8219768930234187</v>
      </c>
      <c r="E327" s="222">
        <f t="shared" ca="1" si="480"/>
        <v>0.76749832983943189</v>
      </c>
      <c r="F327" s="222">
        <f t="shared" ca="1" si="480"/>
        <v>0.9472432456974248</v>
      </c>
      <c r="G327" s="222">
        <f t="shared" ca="1" si="480"/>
        <v>0.93856060502721461</v>
      </c>
      <c r="H327" s="222">
        <f t="shared" ca="1" si="480"/>
        <v>1</v>
      </c>
      <c r="I327" s="222" t="str">
        <f t="shared" ca="1" si="480"/>
        <v/>
      </c>
      <c r="J327" s="222" t="str">
        <f t="shared" ca="1" si="480"/>
        <v/>
      </c>
      <c r="K327" s="222" t="str">
        <f t="shared" ca="1" si="480"/>
        <v/>
      </c>
      <c r="L327" s="222" t="str">
        <f t="shared" ca="1" si="481"/>
        <v/>
      </c>
      <c r="M327" s="222" t="str">
        <f t="shared" ca="1" si="481"/>
        <v/>
      </c>
      <c r="N327" s="222" t="str">
        <f t="shared" ca="1" si="481"/>
        <v/>
      </c>
      <c r="O327" s="222" t="str">
        <f t="shared" ca="1" si="481"/>
        <v/>
      </c>
      <c r="P327" s="222" t="str">
        <f t="shared" ca="1" si="481"/>
        <v/>
      </c>
      <c r="Q327" s="222" t="str">
        <f t="shared" ca="1" si="481"/>
        <v/>
      </c>
      <c r="R327" s="222" t="str">
        <f t="shared" ca="1" si="481"/>
        <v/>
      </c>
      <c r="S327" s="222" t="str">
        <f t="shared" ca="1" si="481"/>
        <v/>
      </c>
      <c r="T327" s="222" t="str">
        <f t="shared" ca="1" si="481"/>
        <v/>
      </c>
      <c r="U327" s="222" t="str">
        <f t="shared" ca="1" si="481"/>
        <v/>
      </c>
      <c r="V327" s="222" t="str">
        <f t="shared" ca="1" si="482"/>
        <v/>
      </c>
      <c r="W327" s="222" t="str">
        <f t="shared" ca="1" si="482"/>
        <v/>
      </c>
      <c r="X327" s="222" t="str">
        <f t="shared" ca="1" si="482"/>
        <v/>
      </c>
      <c r="Y327" s="222" t="str">
        <f t="shared" ca="1" si="482"/>
        <v/>
      </c>
      <c r="Z327" s="222" t="str">
        <f t="shared" ca="1" si="482"/>
        <v/>
      </c>
      <c r="AA327" s="222" t="str">
        <f t="shared" ca="1" si="482"/>
        <v/>
      </c>
      <c r="AB327" s="222" t="str">
        <f t="shared" ca="1" si="482"/>
        <v/>
      </c>
      <c r="AC327" s="222" t="str">
        <f t="shared" ca="1" si="482"/>
        <v/>
      </c>
      <c r="AD327" s="222" t="str">
        <f t="shared" ca="1" si="482"/>
        <v/>
      </c>
      <c r="AE327" s="222" t="str">
        <f t="shared" ca="1" si="482"/>
        <v/>
      </c>
      <c r="AF327" s="222" t="str">
        <f t="shared" ca="1" si="483"/>
        <v/>
      </c>
      <c r="AG327" s="222" t="str">
        <f t="shared" ca="1" si="483"/>
        <v/>
      </c>
      <c r="AH327" s="222" t="str">
        <f t="shared" ca="1" si="483"/>
        <v/>
      </c>
      <c r="AI327" s="222" t="str">
        <f t="shared" ca="1" si="483"/>
        <v/>
      </c>
      <c r="AJ327" s="222" t="str">
        <f t="shared" ca="1" si="483"/>
        <v/>
      </c>
      <c r="AK327" s="222" t="str">
        <f t="shared" ca="1" si="483"/>
        <v/>
      </c>
      <c r="AL327" s="222" t="str">
        <f t="shared" ca="1" si="483"/>
        <v/>
      </c>
      <c r="AM327" s="222" t="str">
        <f t="shared" ca="1" si="483"/>
        <v/>
      </c>
      <c r="AN327" s="222" t="str">
        <f t="shared" ca="1" si="483"/>
        <v/>
      </c>
      <c r="AO327" s="222" t="str">
        <f t="shared" ca="1" si="483"/>
        <v/>
      </c>
      <c r="AP327" s="222" t="str">
        <f t="shared" ca="1" si="484"/>
        <v/>
      </c>
      <c r="AQ327" s="222" t="str">
        <f t="shared" ca="1" si="484"/>
        <v/>
      </c>
      <c r="AR327" s="222" t="str">
        <f t="shared" ca="1" si="484"/>
        <v/>
      </c>
      <c r="AS327" s="222" t="str">
        <f t="shared" ca="1" si="484"/>
        <v/>
      </c>
      <c r="AT327" s="222" t="str">
        <f t="shared" ca="1" si="484"/>
        <v/>
      </c>
      <c r="AU327" s="222" t="str">
        <f t="shared" ca="1" si="484"/>
        <v/>
      </c>
      <c r="AV327" s="222" t="str">
        <f t="shared" ca="1" si="484"/>
        <v/>
      </c>
      <c r="AW327" s="222" t="str">
        <f t="shared" ca="1" si="484"/>
        <v/>
      </c>
      <c r="AX327" s="222" t="str">
        <f t="shared" ca="1" si="484"/>
        <v/>
      </c>
      <c r="AY327" s="222" t="str">
        <f t="shared" ca="1" si="484"/>
        <v/>
      </c>
      <c r="AZ327" s="222" t="str">
        <f t="shared" ca="1" si="485"/>
        <v/>
      </c>
      <c r="BA327" s="222" t="str">
        <f t="shared" ca="1" si="485"/>
        <v/>
      </c>
      <c r="BB327" s="222" t="str">
        <f t="shared" ca="1" si="485"/>
        <v/>
      </c>
      <c r="BC327" s="222" t="str">
        <f t="shared" ca="1" si="485"/>
        <v/>
      </c>
      <c r="BD327" s="222" t="str">
        <f t="shared" ca="1" si="485"/>
        <v/>
      </c>
      <c r="BE327" s="222" t="str">
        <f t="shared" ca="1" si="485"/>
        <v/>
      </c>
      <c r="BF327" s="222" t="str">
        <f t="shared" ca="1" si="485"/>
        <v/>
      </c>
      <c r="BG327" s="222" t="str">
        <f t="shared" ca="1" si="485"/>
        <v/>
      </c>
      <c r="BH327" s="222" t="str">
        <f t="shared" ca="1" si="485"/>
        <v/>
      </c>
      <c r="BI327" s="222" t="str">
        <f t="shared" ca="1" si="485"/>
        <v/>
      </c>
      <c r="BJ327" s="222" t="str">
        <f t="shared" ca="1" si="486"/>
        <v/>
      </c>
      <c r="BK327" s="222" t="str">
        <f t="shared" ca="1" si="486"/>
        <v/>
      </c>
      <c r="BL327" s="222" t="str">
        <f t="shared" ca="1" si="486"/>
        <v/>
      </c>
      <c r="BM327" s="222" t="str">
        <f t="shared" ca="1" si="486"/>
        <v/>
      </c>
      <c r="BN327" s="222" t="str">
        <f t="shared" ca="1" si="486"/>
        <v/>
      </c>
      <c r="BO327" s="222" t="str">
        <f t="shared" ca="1" si="486"/>
        <v/>
      </c>
      <c r="BP327" s="222" t="str">
        <f t="shared" ca="1" si="486"/>
        <v/>
      </c>
      <c r="BQ327" s="222" t="str">
        <f t="shared" ca="1" si="486"/>
        <v/>
      </c>
      <c r="BR327" s="222" t="str">
        <f t="shared" ca="1" si="486"/>
        <v/>
      </c>
      <c r="BS327" s="222" t="str">
        <f t="shared" ca="1" si="486"/>
        <v/>
      </c>
      <c r="BT327" s="222" t="str">
        <f t="shared" ca="1" si="487"/>
        <v/>
      </c>
      <c r="BU327" s="222" t="str">
        <f t="shared" ca="1" si="487"/>
        <v/>
      </c>
      <c r="BV327" s="222" t="str">
        <f t="shared" ca="1" si="487"/>
        <v/>
      </c>
      <c r="BW327" s="222" t="str">
        <f t="shared" ca="1" si="487"/>
        <v/>
      </c>
      <c r="BX327" s="222" t="str">
        <f t="shared" ca="1" si="487"/>
        <v/>
      </c>
      <c r="BY327" s="222" t="str">
        <f t="shared" ca="1" si="487"/>
        <v/>
      </c>
      <c r="BZ327" s="368" t="str">
        <f t="shared" ca="1" si="487"/>
        <v/>
      </c>
      <c r="CC327" s="482">
        <f t="shared" si="488"/>
        <v>6</v>
      </c>
    </row>
    <row r="328" spans="1:81">
      <c r="A328" s="326" t="str">
        <v>VISGX</v>
      </c>
      <c r="B328" s="222">
        <f t="shared" ca="1" si="480"/>
        <v>0.85996313567933591</v>
      </c>
      <c r="C328" s="222">
        <f t="shared" ca="1" si="480"/>
        <v>0.80976042492895151</v>
      </c>
      <c r="D328" s="222">
        <f t="shared" ca="1" si="480"/>
        <v>0.80324169478902674</v>
      </c>
      <c r="E328" s="222">
        <f t="shared" ca="1" si="480"/>
        <v>0.7822452705206927</v>
      </c>
      <c r="F328" s="222">
        <f t="shared" ca="1" si="480"/>
        <v>0.93710092782545629</v>
      </c>
      <c r="G328" s="222">
        <f t="shared" ca="1" si="480"/>
        <v>0.87025784856142263</v>
      </c>
      <c r="H328" s="222">
        <f t="shared" ca="1" si="480"/>
        <v>0.97119968026825654</v>
      </c>
      <c r="I328" s="222">
        <f t="shared" ca="1" si="480"/>
        <v>1</v>
      </c>
      <c r="J328" s="222" t="str">
        <f t="shared" ca="1" si="480"/>
        <v/>
      </c>
      <c r="K328" s="222" t="str">
        <f t="shared" ca="1" si="480"/>
        <v/>
      </c>
      <c r="L328" s="222" t="str">
        <f t="shared" ca="1" si="481"/>
        <v/>
      </c>
      <c r="M328" s="222" t="str">
        <f t="shared" ca="1" si="481"/>
        <v/>
      </c>
      <c r="N328" s="222" t="str">
        <f t="shared" ca="1" si="481"/>
        <v/>
      </c>
      <c r="O328" s="222" t="str">
        <f t="shared" ca="1" si="481"/>
        <v/>
      </c>
      <c r="P328" s="222" t="str">
        <f t="shared" ca="1" si="481"/>
        <v/>
      </c>
      <c r="Q328" s="222" t="str">
        <f t="shared" ca="1" si="481"/>
        <v/>
      </c>
      <c r="R328" s="222" t="str">
        <f t="shared" ca="1" si="481"/>
        <v/>
      </c>
      <c r="S328" s="222" t="str">
        <f t="shared" ca="1" si="481"/>
        <v/>
      </c>
      <c r="T328" s="222" t="str">
        <f t="shared" ca="1" si="481"/>
        <v/>
      </c>
      <c r="U328" s="222" t="str">
        <f t="shared" ca="1" si="481"/>
        <v/>
      </c>
      <c r="V328" s="222" t="str">
        <f t="shared" ca="1" si="482"/>
        <v/>
      </c>
      <c r="W328" s="222" t="str">
        <f t="shared" ca="1" si="482"/>
        <v/>
      </c>
      <c r="X328" s="222" t="str">
        <f t="shared" ca="1" si="482"/>
        <v/>
      </c>
      <c r="Y328" s="222" t="str">
        <f t="shared" ca="1" si="482"/>
        <v/>
      </c>
      <c r="Z328" s="222" t="str">
        <f t="shared" ca="1" si="482"/>
        <v/>
      </c>
      <c r="AA328" s="222" t="str">
        <f t="shared" ca="1" si="482"/>
        <v/>
      </c>
      <c r="AB328" s="222" t="str">
        <f t="shared" ca="1" si="482"/>
        <v/>
      </c>
      <c r="AC328" s="222" t="str">
        <f t="shared" ca="1" si="482"/>
        <v/>
      </c>
      <c r="AD328" s="222" t="str">
        <f t="shared" ca="1" si="482"/>
        <v/>
      </c>
      <c r="AE328" s="222" t="str">
        <f t="shared" ca="1" si="482"/>
        <v/>
      </c>
      <c r="AF328" s="222" t="str">
        <f t="shared" ca="1" si="483"/>
        <v/>
      </c>
      <c r="AG328" s="222" t="str">
        <f t="shared" ca="1" si="483"/>
        <v/>
      </c>
      <c r="AH328" s="222" t="str">
        <f t="shared" ca="1" si="483"/>
        <v/>
      </c>
      <c r="AI328" s="222" t="str">
        <f t="shared" ca="1" si="483"/>
        <v/>
      </c>
      <c r="AJ328" s="222" t="str">
        <f t="shared" ca="1" si="483"/>
        <v/>
      </c>
      <c r="AK328" s="222" t="str">
        <f t="shared" ca="1" si="483"/>
        <v/>
      </c>
      <c r="AL328" s="222" t="str">
        <f t="shared" ca="1" si="483"/>
        <v/>
      </c>
      <c r="AM328" s="222" t="str">
        <f t="shared" ca="1" si="483"/>
        <v/>
      </c>
      <c r="AN328" s="222" t="str">
        <f t="shared" ca="1" si="483"/>
        <v/>
      </c>
      <c r="AO328" s="222" t="str">
        <f t="shared" ca="1" si="483"/>
        <v/>
      </c>
      <c r="AP328" s="222" t="str">
        <f t="shared" ca="1" si="484"/>
        <v/>
      </c>
      <c r="AQ328" s="222" t="str">
        <f t="shared" ca="1" si="484"/>
        <v/>
      </c>
      <c r="AR328" s="222" t="str">
        <f t="shared" ca="1" si="484"/>
        <v/>
      </c>
      <c r="AS328" s="222" t="str">
        <f t="shared" ca="1" si="484"/>
        <v/>
      </c>
      <c r="AT328" s="222" t="str">
        <f t="shared" ca="1" si="484"/>
        <v/>
      </c>
      <c r="AU328" s="222" t="str">
        <f t="shared" ca="1" si="484"/>
        <v/>
      </c>
      <c r="AV328" s="222" t="str">
        <f t="shared" ca="1" si="484"/>
        <v/>
      </c>
      <c r="AW328" s="222" t="str">
        <f t="shared" ca="1" si="484"/>
        <v/>
      </c>
      <c r="AX328" s="222" t="str">
        <f t="shared" ca="1" si="484"/>
        <v/>
      </c>
      <c r="AY328" s="222" t="str">
        <f t="shared" ca="1" si="484"/>
        <v/>
      </c>
      <c r="AZ328" s="222" t="str">
        <f t="shared" ca="1" si="485"/>
        <v/>
      </c>
      <c r="BA328" s="222" t="str">
        <f t="shared" ca="1" si="485"/>
        <v/>
      </c>
      <c r="BB328" s="222" t="str">
        <f t="shared" ca="1" si="485"/>
        <v/>
      </c>
      <c r="BC328" s="222" t="str">
        <f t="shared" ca="1" si="485"/>
        <v/>
      </c>
      <c r="BD328" s="222" t="str">
        <f t="shared" ca="1" si="485"/>
        <v/>
      </c>
      <c r="BE328" s="222" t="str">
        <f t="shared" ca="1" si="485"/>
        <v/>
      </c>
      <c r="BF328" s="222" t="str">
        <f t="shared" ca="1" si="485"/>
        <v/>
      </c>
      <c r="BG328" s="222" t="str">
        <f t="shared" ca="1" si="485"/>
        <v/>
      </c>
      <c r="BH328" s="222" t="str">
        <f t="shared" ca="1" si="485"/>
        <v/>
      </c>
      <c r="BI328" s="222" t="str">
        <f t="shared" ca="1" si="485"/>
        <v/>
      </c>
      <c r="BJ328" s="222" t="str">
        <f t="shared" ca="1" si="486"/>
        <v/>
      </c>
      <c r="BK328" s="222" t="str">
        <f t="shared" ca="1" si="486"/>
        <v/>
      </c>
      <c r="BL328" s="222" t="str">
        <f t="shared" ca="1" si="486"/>
        <v/>
      </c>
      <c r="BM328" s="222" t="str">
        <f t="shared" ca="1" si="486"/>
        <v/>
      </c>
      <c r="BN328" s="222" t="str">
        <f t="shared" ca="1" si="486"/>
        <v/>
      </c>
      <c r="BO328" s="222" t="str">
        <f t="shared" ca="1" si="486"/>
        <v/>
      </c>
      <c r="BP328" s="222" t="str">
        <f t="shared" ca="1" si="486"/>
        <v/>
      </c>
      <c r="BQ328" s="222" t="str">
        <f t="shared" ca="1" si="486"/>
        <v/>
      </c>
      <c r="BR328" s="222" t="str">
        <f t="shared" ca="1" si="486"/>
        <v/>
      </c>
      <c r="BS328" s="222" t="str">
        <f t="shared" ca="1" si="486"/>
        <v/>
      </c>
      <c r="BT328" s="222" t="str">
        <f t="shared" ca="1" si="487"/>
        <v/>
      </c>
      <c r="BU328" s="222" t="str">
        <f t="shared" ca="1" si="487"/>
        <v/>
      </c>
      <c r="BV328" s="222" t="str">
        <f t="shared" ca="1" si="487"/>
        <v/>
      </c>
      <c r="BW328" s="222" t="str">
        <f t="shared" ca="1" si="487"/>
        <v/>
      </c>
      <c r="BX328" s="222" t="str">
        <f t="shared" ca="1" si="487"/>
        <v/>
      </c>
      <c r="BY328" s="222" t="str">
        <f t="shared" ca="1" si="487"/>
        <v/>
      </c>
      <c r="BZ328" s="368" t="str">
        <f t="shared" ca="1" si="487"/>
        <v/>
      </c>
      <c r="CC328" s="482">
        <f t="shared" si="488"/>
        <v>7</v>
      </c>
    </row>
    <row r="329" spans="1:81">
      <c r="A329" s="326" t="str">
        <v>BRSIX</v>
      </c>
      <c r="B329" s="222">
        <f t="shared" ca="1" si="480"/>
        <v>0.74223093257263573</v>
      </c>
      <c r="C329" s="222">
        <f t="shared" ca="1" si="480"/>
        <v>0.75451150389241461</v>
      </c>
      <c r="D329" s="222">
        <f t="shared" ca="1" si="480"/>
        <v>0.67311853791876497</v>
      </c>
      <c r="E329" s="222">
        <f t="shared" ca="1" si="480"/>
        <v>0.60863304623153769</v>
      </c>
      <c r="F329" s="222">
        <f t="shared" ca="1" si="480"/>
        <v>0.84903138101055298</v>
      </c>
      <c r="G329" s="222">
        <f t="shared" ca="1" si="480"/>
        <v>0.90529561159868766</v>
      </c>
      <c r="H329" s="222">
        <f t="shared" ca="1" si="480"/>
        <v>0.93441484040393963</v>
      </c>
      <c r="I329" s="222">
        <f t="shared" ca="1" si="480"/>
        <v>0.89293944018720339</v>
      </c>
      <c r="J329" s="222">
        <f t="shared" ca="1" si="480"/>
        <v>1</v>
      </c>
      <c r="K329" s="222" t="str">
        <f t="shared" ca="1" si="480"/>
        <v/>
      </c>
      <c r="L329" s="222" t="str">
        <f t="shared" ca="1" si="481"/>
        <v/>
      </c>
      <c r="M329" s="222" t="str">
        <f t="shared" ca="1" si="481"/>
        <v/>
      </c>
      <c r="N329" s="222" t="str">
        <f t="shared" ca="1" si="481"/>
        <v/>
      </c>
      <c r="O329" s="222" t="str">
        <f t="shared" ca="1" si="481"/>
        <v/>
      </c>
      <c r="P329" s="222" t="str">
        <f t="shared" ca="1" si="481"/>
        <v/>
      </c>
      <c r="Q329" s="222" t="str">
        <f t="shared" ca="1" si="481"/>
        <v/>
      </c>
      <c r="R329" s="222" t="str">
        <f t="shared" ca="1" si="481"/>
        <v/>
      </c>
      <c r="S329" s="222" t="str">
        <f t="shared" ca="1" si="481"/>
        <v/>
      </c>
      <c r="T329" s="222" t="str">
        <f t="shared" ca="1" si="481"/>
        <v/>
      </c>
      <c r="U329" s="222" t="str">
        <f t="shared" ca="1" si="481"/>
        <v/>
      </c>
      <c r="V329" s="222" t="str">
        <f t="shared" ca="1" si="482"/>
        <v/>
      </c>
      <c r="W329" s="222" t="str">
        <f t="shared" ca="1" si="482"/>
        <v/>
      </c>
      <c r="X329" s="222" t="str">
        <f t="shared" ca="1" si="482"/>
        <v/>
      </c>
      <c r="Y329" s="222" t="str">
        <f t="shared" ca="1" si="482"/>
        <v/>
      </c>
      <c r="Z329" s="222" t="str">
        <f t="shared" ca="1" si="482"/>
        <v/>
      </c>
      <c r="AA329" s="222" t="str">
        <f t="shared" ca="1" si="482"/>
        <v/>
      </c>
      <c r="AB329" s="222" t="str">
        <f t="shared" ca="1" si="482"/>
        <v/>
      </c>
      <c r="AC329" s="222" t="str">
        <f t="shared" ca="1" si="482"/>
        <v/>
      </c>
      <c r="AD329" s="222" t="str">
        <f t="shared" ca="1" si="482"/>
        <v/>
      </c>
      <c r="AE329" s="222" t="str">
        <f t="shared" ca="1" si="482"/>
        <v/>
      </c>
      <c r="AF329" s="222" t="str">
        <f t="shared" ca="1" si="483"/>
        <v/>
      </c>
      <c r="AG329" s="222" t="str">
        <f t="shared" ca="1" si="483"/>
        <v/>
      </c>
      <c r="AH329" s="222" t="str">
        <f t="shared" ca="1" si="483"/>
        <v/>
      </c>
      <c r="AI329" s="222" t="str">
        <f t="shared" ca="1" si="483"/>
        <v/>
      </c>
      <c r="AJ329" s="222" t="str">
        <f t="shared" ca="1" si="483"/>
        <v/>
      </c>
      <c r="AK329" s="222" t="str">
        <f t="shared" ca="1" si="483"/>
        <v/>
      </c>
      <c r="AL329" s="222" t="str">
        <f t="shared" ca="1" si="483"/>
        <v/>
      </c>
      <c r="AM329" s="222" t="str">
        <f t="shared" ca="1" si="483"/>
        <v/>
      </c>
      <c r="AN329" s="222" t="str">
        <f t="shared" ca="1" si="483"/>
        <v/>
      </c>
      <c r="AO329" s="222" t="str">
        <f t="shared" ca="1" si="483"/>
        <v/>
      </c>
      <c r="AP329" s="222" t="str">
        <f t="shared" ca="1" si="484"/>
        <v/>
      </c>
      <c r="AQ329" s="222" t="str">
        <f t="shared" ca="1" si="484"/>
        <v/>
      </c>
      <c r="AR329" s="222" t="str">
        <f t="shared" ca="1" si="484"/>
        <v/>
      </c>
      <c r="AS329" s="222" t="str">
        <f t="shared" ca="1" si="484"/>
        <v/>
      </c>
      <c r="AT329" s="222" t="str">
        <f t="shared" ca="1" si="484"/>
        <v/>
      </c>
      <c r="AU329" s="222" t="str">
        <f t="shared" ca="1" si="484"/>
        <v/>
      </c>
      <c r="AV329" s="222" t="str">
        <f t="shared" ca="1" si="484"/>
        <v/>
      </c>
      <c r="AW329" s="222" t="str">
        <f t="shared" ca="1" si="484"/>
        <v/>
      </c>
      <c r="AX329" s="222" t="str">
        <f t="shared" ca="1" si="484"/>
        <v/>
      </c>
      <c r="AY329" s="222" t="str">
        <f t="shared" ca="1" si="484"/>
        <v/>
      </c>
      <c r="AZ329" s="222" t="str">
        <f t="shared" ca="1" si="485"/>
        <v/>
      </c>
      <c r="BA329" s="222" t="str">
        <f t="shared" ca="1" si="485"/>
        <v/>
      </c>
      <c r="BB329" s="222" t="str">
        <f t="shared" ca="1" si="485"/>
        <v/>
      </c>
      <c r="BC329" s="222" t="str">
        <f t="shared" ca="1" si="485"/>
        <v/>
      </c>
      <c r="BD329" s="222" t="str">
        <f t="shared" ca="1" si="485"/>
        <v/>
      </c>
      <c r="BE329" s="222" t="str">
        <f t="shared" ca="1" si="485"/>
        <v/>
      </c>
      <c r="BF329" s="222" t="str">
        <f t="shared" ca="1" si="485"/>
        <v/>
      </c>
      <c r="BG329" s="222" t="str">
        <f t="shared" ca="1" si="485"/>
        <v/>
      </c>
      <c r="BH329" s="222" t="str">
        <f t="shared" ca="1" si="485"/>
        <v/>
      </c>
      <c r="BI329" s="222" t="str">
        <f t="shared" ca="1" si="485"/>
        <v/>
      </c>
      <c r="BJ329" s="222" t="str">
        <f t="shared" ca="1" si="486"/>
        <v/>
      </c>
      <c r="BK329" s="222" t="str">
        <f t="shared" ca="1" si="486"/>
        <v/>
      </c>
      <c r="BL329" s="222" t="str">
        <f t="shared" ca="1" si="486"/>
        <v/>
      </c>
      <c r="BM329" s="222" t="str">
        <f t="shared" ca="1" si="486"/>
        <v/>
      </c>
      <c r="BN329" s="222" t="str">
        <f t="shared" ca="1" si="486"/>
        <v/>
      </c>
      <c r="BO329" s="222" t="str">
        <f t="shared" ca="1" si="486"/>
        <v/>
      </c>
      <c r="BP329" s="222" t="str">
        <f t="shared" ca="1" si="486"/>
        <v/>
      </c>
      <c r="BQ329" s="222" t="str">
        <f t="shared" ca="1" si="486"/>
        <v/>
      </c>
      <c r="BR329" s="222" t="str">
        <f t="shared" ca="1" si="486"/>
        <v/>
      </c>
      <c r="BS329" s="222" t="str">
        <f t="shared" ca="1" si="486"/>
        <v/>
      </c>
      <c r="BT329" s="222" t="str">
        <f t="shared" ca="1" si="487"/>
        <v/>
      </c>
      <c r="BU329" s="222" t="str">
        <f t="shared" ca="1" si="487"/>
        <v/>
      </c>
      <c r="BV329" s="222" t="str">
        <f t="shared" ca="1" si="487"/>
        <v/>
      </c>
      <c r="BW329" s="222" t="str">
        <f t="shared" ca="1" si="487"/>
        <v/>
      </c>
      <c r="BX329" s="222" t="str">
        <f t="shared" ca="1" si="487"/>
        <v/>
      </c>
      <c r="BY329" s="222" t="str">
        <f t="shared" ca="1" si="487"/>
        <v/>
      </c>
      <c r="BZ329" s="368" t="str">
        <f t="shared" ca="1" si="487"/>
        <v/>
      </c>
      <c r="CC329" s="482">
        <f t="shared" si="488"/>
        <v>8</v>
      </c>
    </row>
    <row r="330" spans="1:81">
      <c r="A330" s="326" t="str">
        <v>VGSIX</v>
      </c>
      <c r="B330" s="222">
        <f t="shared" ca="1" si="480"/>
        <v>0.59055723408983785</v>
      </c>
      <c r="C330" s="222">
        <f t="shared" ca="1" si="480"/>
        <v>0.66899299341795448</v>
      </c>
      <c r="D330" s="222">
        <f t="shared" ca="1" si="480"/>
        <v>0.544069921332475</v>
      </c>
      <c r="E330" s="222">
        <f t="shared" ca="1" si="480"/>
        <v>0.42863444782686594</v>
      </c>
      <c r="F330" s="222">
        <f t="shared" ca="1" si="480"/>
        <v>0.73495264522461068</v>
      </c>
      <c r="G330" s="222">
        <f t="shared" ca="1" si="480"/>
        <v>0.81301522638386325</v>
      </c>
      <c r="H330" s="222">
        <f t="shared" ca="1" si="480"/>
        <v>0.73784902296627142</v>
      </c>
      <c r="I330" s="222">
        <f t="shared" ca="1" si="480"/>
        <v>0.68251458496570938</v>
      </c>
      <c r="J330" s="222">
        <f t="shared" ca="1" si="480"/>
        <v>0.68286506637824207</v>
      </c>
      <c r="K330" s="222">
        <f t="shared" ca="1" si="480"/>
        <v>1</v>
      </c>
      <c r="L330" s="222" t="str">
        <f t="shared" ca="1" si="481"/>
        <v/>
      </c>
      <c r="M330" s="222" t="str">
        <f t="shared" ca="1" si="481"/>
        <v/>
      </c>
      <c r="N330" s="222" t="str">
        <f t="shared" ca="1" si="481"/>
        <v/>
      </c>
      <c r="O330" s="222" t="str">
        <f t="shared" ca="1" si="481"/>
        <v/>
      </c>
      <c r="P330" s="222" t="str">
        <f t="shared" ca="1" si="481"/>
        <v/>
      </c>
      <c r="Q330" s="222" t="str">
        <f t="shared" ca="1" si="481"/>
        <v/>
      </c>
      <c r="R330" s="222" t="str">
        <f t="shared" ca="1" si="481"/>
        <v/>
      </c>
      <c r="S330" s="222" t="str">
        <f t="shared" ca="1" si="481"/>
        <v/>
      </c>
      <c r="T330" s="222" t="str">
        <f t="shared" ca="1" si="481"/>
        <v/>
      </c>
      <c r="U330" s="222" t="str">
        <f t="shared" ca="1" si="481"/>
        <v/>
      </c>
      <c r="V330" s="222" t="str">
        <f t="shared" ca="1" si="482"/>
        <v/>
      </c>
      <c r="W330" s="222" t="str">
        <f t="shared" ca="1" si="482"/>
        <v/>
      </c>
      <c r="X330" s="222" t="str">
        <f t="shared" ca="1" si="482"/>
        <v/>
      </c>
      <c r="Y330" s="222" t="str">
        <f t="shared" ca="1" si="482"/>
        <v/>
      </c>
      <c r="Z330" s="222" t="str">
        <f t="shared" ca="1" si="482"/>
        <v/>
      </c>
      <c r="AA330" s="222" t="str">
        <f t="shared" ca="1" si="482"/>
        <v/>
      </c>
      <c r="AB330" s="222" t="str">
        <f t="shared" ca="1" si="482"/>
        <v/>
      </c>
      <c r="AC330" s="222" t="str">
        <f t="shared" ca="1" si="482"/>
        <v/>
      </c>
      <c r="AD330" s="222" t="str">
        <f t="shared" ca="1" si="482"/>
        <v/>
      </c>
      <c r="AE330" s="222" t="str">
        <f t="shared" ca="1" si="482"/>
        <v/>
      </c>
      <c r="AF330" s="222" t="str">
        <f t="shared" ca="1" si="483"/>
        <v/>
      </c>
      <c r="AG330" s="222" t="str">
        <f t="shared" ca="1" si="483"/>
        <v/>
      </c>
      <c r="AH330" s="222" t="str">
        <f t="shared" ca="1" si="483"/>
        <v/>
      </c>
      <c r="AI330" s="222" t="str">
        <f t="shared" ca="1" si="483"/>
        <v/>
      </c>
      <c r="AJ330" s="222" t="str">
        <f t="shared" ca="1" si="483"/>
        <v/>
      </c>
      <c r="AK330" s="222" t="str">
        <f t="shared" ca="1" si="483"/>
        <v/>
      </c>
      <c r="AL330" s="222" t="str">
        <f t="shared" ca="1" si="483"/>
        <v/>
      </c>
      <c r="AM330" s="222" t="str">
        <f t="shared" ca="1" si="483"/>
        <v/>
      </c>
      <c r="AN330" s="222" t="str">
        <f t="shared" ca="1" si="483"/>
        <v/>
      </c>
      <c r="AO330" s="222" t="str">
        <f t="shared" ca="1" si="483"/>
        <v/>
      </c>
      <c r="AP330" s="222" t="str">
        <f t="shared" ca="1" si="484"/>
        <v/>
      </c>
      <c r="AQ330" s="222" t="str">
        <f t="shared" ca="1" si="484"/>
        <v/>
      </c>
      <c r="AR330" s="222" t="str">
        <f t="shared" ca="1" si="484"/>
        <v/>
      </c>
      <c r="AS330" s="222" t="str">
        <f t="shared" ca="1" si="484"/>
        <v/>
      </c>
      <c r="AT330" s="222" t="str">
        <f t="shared" ca="1" si="484"/>
        <v/>
      </c>
      <c r="AU330" s="222" t="str">
        <f t="shared" ca="1" si="484"/>
        <v/>
      </c>
      <c r="AV330" s="222" t="str">
        <f t="shared" ca="1" si="484"/>
        <v/>
      </c>
      <c r="AW330" s="222" t="str">
        <f t="shared" ca="1" si="484"/>
        <v/>
      </c>
      <c r="AX330" s="222" t="str">
        <f t="shared" ca="1" si="484"/>
        <v/>
      </c>
      <c r="AY330" s="222" t="str">
        <f t="shared" ca="1" si="484"/>
        <v/>
      </c>
      <c r="AZ330" s="222" t="str">
        <f t="shared" ca="1" si="485"/>
        <v/>
      </c>
      <c r="BA330" s="222" t="str">
        <f t="shared" ca="1" si="485"/>
        <v/>
      </c>
      <c r="BB330" s="222" t="str">
        <f t="shared" ca="1" si="485"/>
        <v/>
      </c>
      <c r="BC330" s="222" t="str">
        <f t="shared" ca="1" si="485"/>
        <v/>
      </c>
      <c r="BD330" s="222" t="str">
        <f t="shared" ca="1" si="485"/>
        <v/>
      </c>
      <c r="BE330" s="222" t="str">
        <f t="shared" ca="1" si="485"/>
        <v/>
      </c>
      <c r="BF330" s="222" t="str">
        <f t="shared" ca="1" si="485"/>
        <v/>
      </c>
      <c r="BG330" s="222" t="str">
        <f t="shared" ca="1" si="485"/>
        <v/>
      </c>
      <c r="BH330" s="222" t="str">
        <f t="shared" ca="1" si="485"/>
        <v/>
      </c>
      <c r="BI330" s="222" t="str">
        <f t="shared" ca="1" si="485"/>
        <v/>
      </c>
      <c r="BJ330" s="222" t="str">
        <f t="shared" ca="1" si="486"/>
        <v/>
      </c>
      <c r="BK330" s="222" t="str">
        <f t="shared" ca="1" si="486"/>
        <v/>
      </c>
      <c r="BL330" s="222" t="str">
        <f t="shared" ca="1" si="486"/>
        <v/>
      </c>
      <c r="BM330" s="222" t="str">
        <f t="shared" ca="1" si="486"/>
        <v/>
      </c>
      <c r="BN330" s="222" t="str">
        <f t="shared" ca="1" si="486"/>
        <v/>
      </c>
      <c r="BO330" s="222" t="str">
        <f t="shared" ca="1" si="486"/>
        <v/>
      </c>
      <c r="BP330" s="222" t="str">
        <f t="shared" ca="1" si="486"/>
        <v/>
      </c>
      <c r="BQ330" s="222" t="str">
        <f t="shared" ca="1" si="486"/>
        <v/>
      </c>
      <c r="BR330" s="222" t="str">
        <f t="shared" ca="1" si="486"/>
        <v/>
      </c>
      <c r="BS330" s="222" t="str">
        <f t="shared" ca="1" si="486"/>
        <v/>
      </c>
      <c r="BT330" s="222" t="str">
        <f t="shared" ca="1" si="487"/>
        <v/>
      </c>
      <c r="BU330" s="222" t="str">
        <f t="shared" ca="1" si="487"/>
        <v/>
      </c>
      <c r="BV330" s="222" t="str">
        <f t="shared" ca="1" si="487"/>
        <v/>
      </c>
      <c r="BW330" s="222" t="str">
        <f t="shared" ca="1" si="487"/>
        <v/>
      </c>
      <c r="BX330" s="222" t="str">
        <f t="shared" ca="1" si="487"/>
        <v/>
      </c>
      <c r="BY330" s="222" t="str">
        <f t="shared" ca="1" si="487"/>
        <v/>
      </c>
      <c r="BZ330" s="368" t="str">
        <f t="shared" ca="1" si="487"/>
        <v/>
      </c>
      <c r="CC330" s="482">
        <f t="shared" si="488"/>
        <v>9</v>
      </c>
    </row>
    <row r="331" spans="1:81">
      <c r="A331" s="326" t="str">
        <v>VTMGX</v>
      </c>
      <c r="B331" s="222">
        <f t="shared" ref="B331:K340" ca="1" si="489">IF(OR($A331="",B$320=""), "", IF((COLUMN()-COLUMN($A331)) &gt; (1+$CC331), "", PEARSON(OFFSET($B$8, 0, $CC331, $A$320+1, 1), B$8:B$153)))</f>
        <v>0.65901920345766574</v>
      </c>
      <c r="C331" s="222">
        <f t="shared" ca="1" si="489"/>
        <v>0.63094751953243244</v>
      </c>
      <c r="D331" s="222">
        <f t="shared" ca="1" si="489"/>
        <v>0.6554789329617724</v>
      </c>
      <c r="E331" s="222">
        <f t="shared" ca="1" si="489"/>
        <v>0.60513783655392517</v>
      </c>
      <c r="F331" s="222">
        <f t="shared" ca="1" si="489"/>
        <v>0.58687813768232366</v>
      </c>
      <c r="G331" s="222">
        <f t="shared" ca="1" si="489"/>
        <v>0.45768107193780361</v>
      </c>
      <c r="H331" s="222">
        <f t="shared" ca="1" si="489"/>
        <v>0.56342906303133256</v>
      </c>
      <c r="I331" s="222">
        <f t="shared" ca="1" si="489"/>
        <v>0.54742353099193775</v>
      </c>
      <c r="J331" s="222">
        <f t="shared" ca="1" si="489"/>
        <v>0.46301309012833208</v>
      </c>
      <c r="K331" s="222">
        <f t="shared" ca="1" si="489"/>
        <v>0.37861849739707576</v>
      </c>
      <c r="L331" s="222">
        <f t="shared" ref="L331:U340" ca="1" si="490">IF(OR($A331="",L$320=""), "", IF((COLUMN()-COLUMN($A331)) &gt; (1+$CC331), "", PEARSON(OFFSET($B$8, 0, $CC331, $A$320+1, 1), L$8:L$153)))</f>
        <v>1</v>
      </c>
      <c r="M331" s="222" t="str">
        <f t="shared" ca="1" si="490"/>
        <v/>
      </c>
      <c r="N331" s="222" t="str">
        <f t="shared" ca="1" si="490"/>
        <v/>
      </c>
      <c r="O331" s="222" t="str">
        <f t="shared" ca="1" si="490"/>
        <v/>
      </c>
      <c r="P331" s="222" t="str">
        <f t="shared" ca="1" si="490"/>
        <v/>
      </c>
      <c r="Q331" s="222" t="str">
        <f t="shared" ca="1" si="490"/>
        <v/>
      </c>
      <c r="R331" s="222" t="str">
        <f t="shared" ca="1" si="490"/>
        <v/>
      </c>
      <c r="S331" s="222" t="str">
        <f t="shared" ca="1" si="490"/>
        <v/>
      </c>
      <c r="T331" s="222" t="str">
        <f t="shared" ca="1" si="490"/>
        <v/>
      </c>
      <c r="U331" s="222" t="str">
        <f t="shared" ca="1" si="490"/>
        <v/>
      </c>
      <c r="V331" s="222" t="str">
        <f t="shared" ref="V331:AE340" ca="1" si="491">IF(OR($A331="",V$320=""), "", IF((COLUMN()-COLUMN($A331)) &gt; (1+$CC331), "", PEARSON(OFFSET($B$8, 0, $CC331, $A$320+1, 1), V$8:V$153)))</f>
        <v/>
      </c>
      <c r="W331" s="222" t="str">
        <f t="shared" ca="1" si="491"/>
        <v/>
      </c>
      <c r="X331" s="222" t="str">
        <f t="shared" ca="1" si="491"/>
        <v/>
      </c>
      <c r="Y331" s="222" t="str">
        <f t="shared" ca="1" si="491"/>
        <v/>
      </c>
      <c r="Z331" s="222" t="str">
        <f t="shared" ca="1" si="491"/>
        <v/>
      </c>
      <c r="AA331" s="222" t="str">
        <f t="shared" ca="1" si="491"/>
        <v/>
      </c>
      <c r="AB331" s="222" t="str">
        <f t="shared" ca="1" si="491"/>
        <v/>
      </c>
      <c r="AC331" s="222" t="str">
        <f t="shared" ca="1" si="491"/>
        <v/>
      </c>
      <c r="AD331" s="222" t="str">
        <f t="shared" ca="1" si="491"/>
        <v/>
      </c>
      <c r="AE331" s="222" t="str">
        <f t="shared" ca="1" si="491"/>
        <v/>
      </c>
      <c r="AF331" s="222" t="str">
        <f t="shared" ref="AF331:AO340" ca="1" si="492">IF(OR($A331="",AF$320=""), "", IF((COLUMN()-COLUMN($A331)) &gt; (1+$CC331), "", PEARSON(OFFSET($B$8, 0, $CC331, $A$320+1, 1), AF$8:AF$153)))</f>
        <v/>
      </c>
      <c r="AG331" s="222" t="str">
        <f t="shared" ca="1" si="492"/>
        <v/>
      </c>
      <c r="AH331" s="222" t="str">
        <f t="shared" ca="1" si="492"/>
        <v/>
      </c>
      <c r="AI331" s="222" t="str">
        <f t="shared" ca="1" si="492"/>
        <v/>
      </c>
      <c r="AJ331" s="222" t="str">
        <f t="shared" ca="1" si="492"/>
        <v/>
      </c>
      <c r="AK331" s="222" t="str">
        <f t="shared" ca="1" si="492"/>
        <v/>
      </c>
      <c r="AL331" s="222" t="str">
        <f t="shared" ca="1" si="492"/>
        <v/>
      </c>
      <c r="AM331" s="222" t="str">
        <f t="shared" ca="1" si="492"/>
        <v/>
      </c>
      <c r="AN331" s="222" t="str">
        <f t="shared" ca="1" si="492"/>
        <v/>
      </c>
      <c r="AO331" s="222" t="str">
        <f t="shared" ca="1" si="492"/>
        <v/>
      </c>
      <c r="AP331" s="222" t="str">
        <f t="shared" ref="AP331:AY340" ca="1" si="493">IF(OR($A331="",AP$320=""), "", IF((COLUMN()-COLUMN($A331)) &gt; (1+$CC331), "", PEARSON(OFFSET($B$8, 0, $CC331, $A$320+1, 1), AP$8:AP$153)))</f>
        <v/>
      </c>
      <c r="AQ331" s="222" t="str">
        <f t="shared" ca="1" si="493"/>
        <v/>
      </c>
      <c r="AR331" s="222" t="str">
        <f t="shared" ca="1" si="493"/>
        <v/>
      </c>
      <c r="AS331" s="222" t="str">
        <f t="shared" ca="1" si="493"/>
        <v/>
      </c>
      <c r="AT331" s="222" t="str">
        <f t="shared" ca="1" si="493"/>
        <v/>
      </c>
      <c r="AU331" s="222" t="str">
        <f t="shared" ca="1" si="493"/>
        <v/>
      </c>
      <c r="AV331" s="222" t="str">
        <f t="shared" ca="1" si="493"/>
        <v/>
      </c>
      <c r="AW331" s="222" t="str">
        <f t="shared" ca="1" si="493"/>
        <v/>
      </c>
      <c r="AX331" s="222" t="str">
        <f t="shared" ca="1" si="493"/>
        <v/>
      </c>
      <c r="AY331" s="222" t="str">
        <f t="shared" ca="1" si="493"/>
        <v/>
      </c>
      <c r="AZ331" s="222" t="str">
        <f t="shared" ref="AZ331:BI340" ca="1" si="494">IF(OR($A331="",AZ$320=""), "", IF((COLUMN()-COLUMN($A331)) &gt; (1+$CC331), "", PEARSON(OFFSET($B$8, 0, $CC331, $A$320+1, 1), AZ$8:AZ$153)))</f>
        <v/>
      </c>
      <c r="BA331" s="222" t="str">
        <f t="shared" ca="1" si="494"/>
        <v/>
      </c>
      <c r="BB331" s="222" t="str">
        <f t="shared" ca="1" si="494"/>
        <v/>
      </c>
      <c r="BC331" s="222" t="str">
        <f t="shared" ca="1" si="494"/>
        <v/>
      </c>
      <c r="BD331" s="222" t="str">
        <f t="shared" ca="1" si="494"/>
        <v/>
      </c>
      <c r="BE331" s="222" t="str">
        <f t="shared" ca="1" si="494"/>
        <v/>
      </c>
      <c r="BF331" s="222" t="str">
        <f t="shared" ca="1" si="494"/>
        <v/>
      </c>
      <c r="BG331" s="222" t="str">
        <f t="shared" ca="1" si="494"/>
        <v/>
      </c>
      <c r="BH331" s="222" t="str">
        <f t="shared" ca="1" si="494"/>
        <v/>
      </c>
      <c r="BI331" s="222" t="str">
        <f t="shared" ca="1" si="494"/>
        <v/>
      </c>
      <c r="BJ331" s="222" t="str">
        <f t="shared" ref="BJ331:BS340" ca="1" si="495">IF(OR($A331="",BJ$320=""), "", IF((COLUMN()-COLUMN($A331)) &gt; (1+$CC331), "", PEARSON(OFFSET($B$8, 0, $CC331, $A$320+1, 1), BJ$8:BJ$153)))</f>
        <v/>
      </c>
      <c r="BK331" s="222" t="str">
        <f t="shared" ca="1" si="495"/>
        <v/>
      </c>
      <c r="BL331" s="222" t="str">
        <f t="shared" ca="1" si="495"/>
        <v/>
      </c>
      <c r="BM331" s="222" t="str">
        <f t="shared" ca="1" si="495"/>
        <v/>
      </c>
      <c r="BN331" s="222" t="str">
        <f t="shared" ca="1" si="495"/>
        <v/>
      </c>
      <c r="BO331" s="222" t="str">
        <f t="shared" ca="1" si="495"/>
        <v/>
      </c>
      <c r="BP331" s="222" t="str">
        <f t="shared" ca="1" si="495"/>
        <v/>
      </c>
      <c r="BQ331" s="222" t="str">
        <f t="shared" ca="1" si="495"/>
        <v/>
      </c>
      <c r="BR331" s="222" t="str">
        <f t="shared" ca="1" si="495"/>
        <v/>
      </c>
      <c r="BS331" s="222" t="str">
        <f t="shared" ca="1" si="495"/>
        <v/>
      </c>
      <c r="BT331" s="222" t="str">
        <f t="shared" ref="BT331:BZ340" ca="1" si="496">IF(OR($A331="",BT$320=""), "", IF((COLUMN()-COLUMN($A331)) &gt; (1+$CC331), "", PEARSON(OFFSET($B$8, 0, $CC331, $A$320+1, 1), BT$8:BT$153)))</f>
        <v/>
      </c>
      <c r="BU331" s="222" t="str">
        <f t="shared" ca="1" si="496"/>
        <v/>
      </c>
      <c r="BV331" s="222" t="str">
        <f t="shared" ca="1" si="496"/>
        <v/>
      </c>
      <c r="BW331" s="222" t="str">
        <f t="shared" ca="1" si="496"/>
        <v/>
      </c>
      <c r="BX331" s="222" t="str">
        <f t="shared" ca="1" si="496"/>
        <v/>
      </c>
      <c r="BY331" s="222" t="str">
        <f t="shared" ca="1" si="496"/>
        <v/>
      </c>
      <c r="BZ331" s="368" t="str">
        <f t="shared" ca="1" si="496"/>
        <v/>
      </c>
      <c r="CC331" s="482">
        <f t="shared" si="488"/>
        <v>10</v>
      </c>
    </row>
    <row r="332" spans="1:81">
      <c r="A332" s="326" t="str">
        <v>VEIEX</v>
      </c>
      <c r="B332" s="222">
        <f t="shared" ca="1" si="489"/>
        <v>0.53274672538960788</v>
      </c>
      <c r="C332" s="222">
        <f t="shared" ca="1" si="489"/>
        <v>0.47008600213324087</v>
      </c>
      <c r="D332" s="222">
        <f t="shared" ca="1" si="489"/>
        <v>0.49870520467872742</v>
      </c>
      <c r="E332" s="222">
        <f t="shared" ca="1" si="489"/>
        <v>0.48085157742655832</v>
      </c>
      <c r="F332" s="222">
        <f t="shared" ca="1" si="489"/>
        <v>0.51984294345907434</v>
      </c>
      <c r="G332" s="222">
        <f t="shared" ca="1" si="489"/>
        <v>0.42698193484668079</v>
      </c>
      <c r="H332" s="222">
        <f t="shared" ca="1" si="489"/>
        <v>0.54238419166215202</v>
      </c>
      <c r="I332" s="222">
        <f t="shared" ca="1" si="489"/>
        <v>0.53468421074501227</v>
      </c>
      <c r="J332" s="222">
        <f t="shared" ca="1" si="489"/>
        <v>0.4559790963022281</v>
      </c>
      <c r="K332" s="222">
        <f t="shared" ca="1" si="489"/>
        <v>0.39639225758864061</v>
      </c>
      <c r="L332" s="222">
        <f t="shared" ca="1" si="490"/>
        <v>0.79838517447684754</v>
      </c>
      <c r="M332" s="222">
        <f t="shared" ca="1" si="490"/>
        <v>1</v>
      </c>
      <c r="N332" s="222" t="str">
        <f t="shared" ca="1" si="490"/>
        <v/>
      </c>
      <c r="O332" s="222" t="str">
        <f t="shared" ca="1" si="490"/>
        <v/>
      </c>
      <c r="P332" s="222" t="str">
        <f t="shared" ca="1" si="490"/>
        <v/>
      </c>
      <c r="Q332" s="222" t="str">
        <f t="shared" ca="1" si="490"/>
        <v/>
      </c>
      <c r="R332" s="222" t="str">
        <f t="shared" ca="1" si="490"/>
        <v/>
      </c>
      <c r="S332" s="222" t="str">
        <f t="shared" ca="1" si="490"/>
        <v/>
      </c>
      <c r="T332" s="222" t="str">
        <f t="shared" ca="1" si="490"/>
        <v/>
      </c>
      <c r="U332" s="222" t="str">
        <f t="shared" ca="1" si="490"/>
        <v/>
      </c>
      <c r="V332" s="222" t="str">
        <f t="shared" ca="1" si="491"/>
        <v/>
      </c>
      <c r="W332" s="222" t="str">
        <f t="shared" ca="1" si="491"/>
        <v/>
      </c>
      <c r="X332" s="222" t="str">
        <f t="shared" ca="1" si="491"/>
        <v/>
      </c>
      <c r="Y332" s="222" t="str">
        <f t="shared" ca="1" si="491"/>
        <v/>
      </c>
      <c r="Z332" s="222" t="str">
        <f t="shared" ca="1" si="491"/>
        <v/>
      </c>
      <c r="AA332" s="222" t="str">
        <f t="shared" ca="1" si="491"/>
        <v/>
      </c>
      <c r="AB332" s="222" t="str">
        <f t="shared" ca="1" si="491"/>
        <v/>
      </c>
      <c r="AC332" s="222" t="str">
        <f t="shared" ca="1" si="491"/>
        <v/>
      </c>
      <c r="AD332" s="222" t="str">
        <f t="shared" ca="1" si="491"/>
        <v/>
      </c>
      <c r="AE332" s="222" t="str">
        <f t="shared" ca="1" si="491"/>
        <v/>
      </c>
      <c r="AF332" s="222" t="str">
        <f t="shared" ca="1" si="492"/>
        <v/>
      </c>
      <c r="AG332" s="222" t="str">
        <f t="shared" ca="1" si="492"/>
        <v/>
      </c>
      <c r="AH332" s="222" t="str">
        <f t="shared" ca="1" si="492"/>
        <v/>
      </c>
      <c r="AI332" s="222" t="str">
        <f t="shared" ca="1" si="492"/>
        <v/>
      </c>
      <c r="AJ332" s="222" t="str">
        <f t="shared" ca="1" si="492"/>
        <v/>
      </c>
      <c r="AK332" s="222" t="str">
        <f t="shared" ca="1" si="492"/>
        <v/>
      </c>
      <c r="AL332" s="222" t="str">
        <f t="shared" ca="1" si="492"/>
        <v/>
      </c>
      <c r="AM332" s="222" t="str">
        <f t="shared" ca="1" si="492"/>
        <v/>
      </c>
      <c r="AN332" s="222" t="str">
        <f t="shared" ca="1" si="492"/>
        <v/>
      </c>
      <c r="AO332" s="222" t="str">
        <f t="shared" ca="1" si="492"/>
        <v/>
      </c>
      <c r="AP332" s="222" t="str">
        <f t="shared" ca="1" si="493"/>
        <v/>
      </c>
      <c r="AQ332" s="222" t="str">
        <f t="shared" ca="1" si="493"/>
        <v/>
      </c>
      <c r="AR332" s="222" t="str">
        <f t="shared" ca="1" si="493"/>
        <v/>
      </c>
      <c r="AS332" s="222" t="str">
        <f t="shared" ca="1" si="493"/>
        <v/>
      </c>
      <c r="AT332" s="222" t="str">
        <f t="shared" ca="1" si="493"/>
        <v/>
      </c>
      <c r="AU332" s="222" t="str">
        <f t="shared" ca="1" si="493"/>
        <v/>
      </c>
      <c r="AV332" s="222" t="str">
        <f t="shared" ca="1" si="493"/>
        <v/>
      </c>
      <c r="AW332" s="222" t="str">
        <f t="shared" ca="1" si="493"/>
        <v/>
      </c>
      <c r="AX332" s="222" t="str">
        <f t="shared" ca="1" si="493"/>
        <v/>
      </c>
      <c r="AY332" s="222" t="str">
        <f t="shared" ca="1" si="493"/>
        <v/>
      </c>
      <c r="AZ332" s="222" t="str">
        <f t="shared" ca="1" si="494"/>
        <v/>
      </c>
      <c r="BA332" s="222" t="str">
        <f t="shared" ca="1" si="494"/>
        <v/>
      </c>
      <c r="BB332" s="222" t="str">
        <f t="shared" ca="1" si="494"/>
        <v/>
      </c>
      <c r="BC332" s="222" t="str">
        <f t="shared" ca="1" si="494"/>
        <v/>
      </c>
      <c r="BD332" s="222" t="str">
        <f t="shared" ca="1" si="494"/>
        <v/>
      </c>
      <c r="BE332" s="222" t="str">
        <f t="shared" ca="1" si="494"/>
        <v/>
      </c>
      <c r="BF332" s="222" t="str">
        <f t="shared" ca="1" si="494"/>
        <v/>
      </c>
      <c r="BG332" s="222" t="str">
        <f t="shared" ca="1" si="494"/>
        <v/>
      </c>
      <c r="BH332" s="222" t="str">
        <f t="shared" ca="1" si="494"/>
        <v/>
      </c>
      <c r="BI332" s="222" t="str">
        <f t="shared" ca="1" si="494"/>
        <v/>
      </c>
      <c r="BJ332" s="222" t="str">
        <f t="shared" ca="1" si="495"/>
        <v/>
      </c>
      <c r="BK332" s="222" t="str">
        <f t="shared" ca="1" si="495"/>
        <v/>
      </c>
      <c r="BL332" s="222" t="str">
        <f t="shared" ca="1" si="495"/>
        <v/>
      </c>
      <c r="BM332" s="222" t="str">
        <f t="shared" ca="1" si="495"/>
        <v/>
      </c>
      <c r="BN332" s="222" t="str">
        <f t="shared" ca="1" si="495"/>
        <v/>
      </c>
      <c r="BO332" s="222" t="str">
        <f t="shared" ca="1" si="495"/>
        <v/>
      </c>
      <c r="BP332" s="222" t="str">
        <f t="shared" ca="1" si="495"/>
        <v/>
      </c>
      <c r="BQ332" s="222" t="str">
        <f t="shared" ca="1" si="495"/>
        <v/>
      </c>
      <c r="BR332" s="222" t="str">
        <f t="shared" ca="1" si="495"/>
        <v/>
      </c>
      <c r="BS332" s="222" t="str">
        <f t="shared" ca="1" si="495"/>
        <v/>
      </c>
      <c r="BT332" s="222" t="str">
        <f t="shared" ca="1" si="496"/>
        <v/>
      </c>
      <c r="BU332" s="222" t="str">
        <f t="shared" ca="1" si="496"/>
        <v/>
      </c>
      <c r="BV332" s="222" t="str">
        <f t="shared" ca="1" si="496"/>
        <v/>
      </c>
      <c r="BW332" s="222" t="str">
        <f t="shared" ca="1" si="496"/>
        <v/>
      </c>
      <c r="BX332" s="222" t="str">
        <f t="shared" ca="1" si="496"/>
        <v/>
      </c>
      <c r="BY332" s="222" t="str">
        <f t="shared" ca="1" si="496"/>
        <v/>
      </c>
      <c r="BZ332" s="368" t="str">
        <f t="shared" ca="1" si="496"/>
        <v/>
      </c>
      <c r="CC332" s="482">
        <f t="shared" si="488"/>
        <v>11</v>
      </c>
    </row>
    <row r="333" spans="1:81">
      <c r="A333" s="326" t="str">
        <v>VGTSX</v>
      </c>
      <c r="B333" s="222">
        <f t="shared" ca="1" si="489"/>
        <v>0.6552685428446493</v>
      </c>
      <c r="C333" s="222">
        <f t="shared" ca="1" si="489"/>
        <v>0.62030991329041629</v>
      </c>
      <c r="D333" s="222">
        <f t="shared" ca="1" si="489"/>
        <v>0.6460870592404635</v>
      </c>
      <c r="E333" s="222">
        <f t="shared" ca="1" si="489"/>
        <v>0.60105268898874264</v>
      </c>
      <c r="F333" s="222">
        <f t="shared" ca="1" si="489"/>
        <v>0.59597653035216025</v>
      </c>
      <c r="G333" s="222">
        <f t="shared" ca="1" si="489"/>
        <v>0.46894903901816581</v>
      </c>
      <c r="H333" s="222">
        <f t="shared" ca="1" si="489"/>
        <v>0.57721873018876291</v>
      </c>
      <c r="I333" s="222">
        <f t="shared" ca="1" si="489"/>
        <v>0.56336300074431822</v>
      </c>
      <c r="J333" s="222">
        <f t="shared" ca="1" si="489"/>
        <v>0.47148823590435107</v>
      </c>
      <c r="K333" s="222">
        <f t="shared" ca="1" si="489"/>
        <v>0.40225867716116359</v>
      </c>
      <c r="L333" s="222">
        <f t="shared" ca="1" si="490"/>
        <v>0.99087979757149414</v>
      </c>
      <c r="M333" s="222">
        <f t="shared" ca="1" si="490"/>
        <v>0.86953780475778852</v>
      </c>
      <c r="N333" s="222">
        <f t="shared" ca="1" si="490"/>
        <v>1.0000000000000002</v>
      </c>
      <c r="O333" s="222" t="str">
        <f t="shared" ca="1" si="490"/>
        <v/>
      </c>
      <c r="P333" s="222" t="str">
        <f t="shared" ca="1" si="490"/>
        <v/>
      </c>
      <c r="Q333" s="222" t="str">
        <f t="shared" ca="1" si="490"/>
        <v/>
      </c>
      <c r="R333" s="222" t="str">
        <f t="shared" ca="1" si="490"/>
        <v/>
      </c>
      <c r="S333" s="222" t="str">
        <f t="shared" ca="1" si="490"/>
        <v/>
      </c>
      <c r="T333" s="222" t="str">
        <f t="shared" ca="1" si="490"/>
        <v/>
      </c>
      <c r="U333" s="222" t="str">
        <f t="shared" ca="1" si="490"/>
        <v/>
      </c>
      <c r="V333" s="222" t="str">
        <f t="shared" ca="1" si="491"/>
        <v/>
      </c>
      <c r="W333" s="222" t="str">
        <f t="shared" ca="1" si="491"/>
        <v/>
      </c>
      <c r="X333" s="222" t="str">
        <f t="shared" ca="1" si="491"/>
        <v/>
      </c>
      <c r="Y333" s="222" t="str">
        <f t="shared" ca="1" si="491"/>
        <v/>
      </c>
      <c r="Z333" s="222" t="str">
        <f t="shared" ca="1" si="491"/>
        <v/>
      </c>
      <c r="AA333" s="222" t="str">
        <f t="shared" ca="1" si="491"/>
        <v/>
      </c>
      <c r="AB333" s="222" t="str">
        <f t="shared" ca="1" si="491"/>
        <v/>
      </c>
      <c r="AC333" s="222" t="str">
        <f t="shared" ca="1" si="491"/>
        <v/>
      </c>
      <c r="AD333" s="222" t="str">
        <f t="shared" ca="1" si="491"/>
        <v/>
      </c>
      <c r="AE333" s="222" t="str">
        <f t="shared" ca="1" si="491"/>
        <v/>
      </c>
      <c r="AF333" s="222" t="str">
        <f t="shared" ca="1" si="492"/>
        <v/>
      </c>
      <c r="AG333" s="222" t="str">
        <f t="shared" ca="1" si="492"/>
        <v/>
      </c>
      <c r="AH333" s="222" t="str">
        <f t="shared" ca="1" si="492"/>
        <v/>
      </c>
      <c r="AI333" s="222" t="str">
        <f t="shared" ca="1" si="492"/>
        <v/>
      </c>
      <c r="AJ333" s="222" t="str">
        <f t="shared" ca="1" si="492"/>
        <v/>
      </c>
      <c r="AK333" s="222" t="str">
        <f t="shared" ca="1" si="492"/>
        <v/>
      </c>
      <c r="AL333" s="222" t="str">
        <f t="shared" ca="1" si="492"/>
        <v/>
      </c>
      <c r="AM333" s="222" t="str">
        <f t="shared" ca="1" si="492"/>
        <v/>
      </c>
      <c r="AN333" s="222" t="str">
        <f t="shared" ca="1" si="492"/>
        <v/>
      </c>
      <c r="AO333" s="222" t="str">
        <f t="shared" ca="1" si="492"/>
        <v/>
      </c>
      <c r="AP333" s="222" t="str">
        <f t="shared" ca="1" si="493"/>
        <v/>
      </c>
      <c r="AQ333" s="222" t="str">
        <f t="shared" ca="1" si="493"/>
        <v/>
      </c>
      <c r="AR333" s="222" t="str">
        <f t="shared" ca="1" si="493"/>
        <v/>
      </c>
      <c r="AS333" s="222" t="str">
        <f t="shared" ca="1" si="493"/>
        <v/>
      </c>
      <c r="AT333" s="222" t="str">
        <f t="shared" ca="1" si="493"/>
        <v/>
      </c>
      <c r="AU333" s="222" t="str">
        <f t="shared" ca="1" si="493"/>
        <v/>
      </c>
      <c r="AV333" s="222" t="str">
        <f t="shared" ca="1" si="493"/>
        <v/>
      </c>
      <c r="AW333" s="222" t="str">
        <f t="shared" ca="1" si="493"/>
        <v/>
      </c>
      <c r="AX333" s="222" t="str">
        <f t="shared" ca="1" si="493"/>
        <v/>
      </c>
      <c r="AY333" s="222" t="str">
        <f t="shared" ca="1" si="493"/>
        <v/>
      </c>
      <c r="AZ333" s="222" t="str">
        <f t="shared" ca="1" si="494"/>
        <v/>
      </c>
      <c r="BA333" s="222" t="str">
        <f t="shared" ca="1" si="494"/>
        <v/>
      </c>
      <c r="BB333" s="222" t="str">
        <f t="shared" ca="1" si="494"/>
        <v/>
      </c>
      <c r="BC333" s="222" t="str">
        <f t="shared" ca="1" si="494"/>
        <v/>
      </c>
      <c r="BD333" s="222" t="str">
        <f t="shared" ca="1" si="494"/>
        <v/>
      </c>
      <c r="BE333" s="222" t="str">
        <f t="shared" ca="1" si="494"/>
        <v/>
      </c>
      <c r="BF333" s="222" t="str">
        <f t="shared" ca="1" si="494"/>
        <v/>
      </c>
      <c r="BG333" s="222" t="str">
        <f t="shared" ca="1" si="494"/>
        <v/>
      </c>
      <c r="BH333" s="222" t="str">
        <f t="shared" ca="1" si="494"/>
        <v/>
      </c>
      <c r="BI333" s="222" t="str">
        <f t="shared" ca="1" si="494"/>
        <v/>
      </c>
      <c r="BJ333" s="222" t="str">
        <f t="shared" ca="1" si="495"/>
        <v/>
      </c>
      <c r="BK333" s="222" t="str">
        <f t="shared" ca="1" si="495"/>
        <v/>
      </c>
      <c r="BL333" s="222" t="str">
        <f t="shared" ca="1" si="495"/>
        <v/>
      </c>
      <c r="BM333" s="222" t="str">
        <f t="shared" ca="1" si="495"/>
        <v/>
      </c>
      <c r="BN333" s="222" t="str">
        <f t="shared" ca="1" si="495"/>
        <v/>
      </c>
      <c r="BO333" s="222" t="str">
        <f t="shared" ca="1" si="495"/>
        <v/>
      </c>
      <c r="BP333" s="222" t="str">
        <f t="shared" ca="1" si="495"/>
        <v/>
      </c>
      <c r="BQ333" s="222" t="str">
        <f t="shared" ca="1" si="495"/>
        <v/>
      </c>
      <c r="BR333" s="222" t="str">
        <f t="shared" ca="1" si="495"/>
        <v/>
      </c>
      <c r="BS333" s="222" t="str">
        <f t="shared" ca="1" si="495"/>
        <v/>
      </c>
      <c r="BT333" s="222" t="str">
        <f t="shared" ca="1" si="496"/>
        <v/>
      </c>
      <c r="BU333" s="222" t="str">
        <f t="shared" ca="1" si="496"/>
        <v/>
      </c>
      <c r="BV333" s="222" t="str">
        <f t="shared" ca="1" si="496"/>
        <v/>
      </c>
      <c r="BW333" s="222" t="str">
        <f t="shared" ca="1" si="496"/>
        <v/>
      </c>
      <c r="BX333" s="222" t="str">
        <f t="shared" ca="1" si="496"/>
        <v/>
      </c>
      <c r="BY333" s="222" t="str">
        <f t="shared" ca="1" si="496"/>
        <v/>
      </c>
      <c r="BZ333" s="368" t="str">
        <f t="shared" ca="1" si="496"/>
        <v/>
      </c>
      <c r="CC333" s="482">
        <f t="shared" si="488"/>
        <v>12</v>
      </c>
    </row>
    <row r="334" spans="1:81">
      <c r="A334" s="326" t="str">
        <v>VPACX</v>
      </c>
      <c r="B334" s="222">
        <f t="shared" ca="1" si="489"/>
        <v>0.43614675019895038</v>
      </c>
      <c r="C334" s="222">
        <f t="shared" ca="1" si="489"/>
        <v>0.40924301504617111</v>
      </c>
      <c r="D334" s="222">
        <f t="shared" ca="1" si="489"/>
        <v>0.42791825654302346</v>
      </c>
      <c r="E334" s="222">
        <f t="shared" ca="1" si="489"/>
        <v>0.39411576673277277</v>
      </c>
      <c r="F334" s="222">
        <f t="shared" ca="1" si="489"/>
        <v>0.35867758284405121</v>
      </c>
      <c r="G334" s="222">
        <f t="shared" ca="1" si="489"/>
        <v>0.26920888992005226</v>
      </c>
      <c r="H334" s="222">
        <f t="shared" ca="1" si="489"/>
        <v>0.37452902823868955</v>
      </c>
      <c r="I334" s="222">
        <f t="shared" ca="1" si="489"/>
        <v>0.34819244215042666</v>
      </c>
      <c r="J334" s="222">
        <f t="shared" ca="1" si="489"/>
        <v>0.30258280147555805</v>
      </c>
      <c r="K334" s="222">
        <f t="shared" ca="1" si="489"/>
        <v>0.23688594436705493</v>
      </c>
      <c r="L334" s="222">
        <f t="shared" ca="1" si="490"/>
        <v>0.86121205864049433</v>
      </c>
      <c r="M334" s="222">
        <f t="shared" ca="1" si="490"/>
        <v>0.72624958273171591</v>
      </c>
      <c r="N334" s="222">
        <f t="shared" ca="1" si="490"/>
        <v>0.85799551678089192</v>
      </c>
      <c r="O334" s="222">
        <f t="shared" ca="1" si="490"/>
        <v>0.99999999999999989</v>
      </c>
      <c r="P334" s="222" t="str">
        <f t="shared" ca="1" si="490"/>
        <v/>
      </c>
      <c r="Q334" s="222" t="str">
        <f t="shared" ca="1" si="490"/>
        <v/>
      </c>
      <c r="R334" s="222" t="str">
        <f t="shared" ca="1" si="490"/>
        <v/>
      </c>
      <c r="S334" s="222" t="str">
        <f t="shared" ca="1" si="490"/>
        <v/>
      </c>
      <c r="T334" s="222" t="str">
        <f t="shared" ca="1" si="490"/>
        <v/>
      </c>
      <c r="U334" s="222" t="str">
        <f t="shared" ca="1" si="490"/>
        <v/>
      </c>
      <c r="V334" s="222" t="str">
        <f t="shared" ca="1" si="491"/>
        <v/>
      </c>
      <c r="W334" s="222" t="str">
        <f t="shared" ca="1" si="491"/>
        <v/>
      </c>
      <c r="X334" s="222" t="str">
        <f t="shared" ca="1" si="491"/>
        <v/>
      </c>
      <c r="Y334" s="222" t="str">
        <f t="shared" ca="1" si="491"/>
        <v/>
      </c>
      <c r="Z334" s="222" t="str">
        <f t="shared" ca="1" si="491"/>
        <v/>
      </c>
      <c r="AA334" s="222" t="str">
        <f t="shared" ca="1" si="491"/>
        <v/>
      </c>
      <c r="AB334" s="222" t="str">
        <f t="shared" ca="1" si="491"/>
        <v/>
      </c>
      <c r="AC334" s="222" t="str">
        <f t="shared" ca="1" si="491"/>
        <v/>
      </c>
      <c r="AD334" s="222" t="str">
        <f t="shared" ca="1" si="491"/>
        <v/>
      </c>
      <c r="AE334" s="222" t="str">
        <f t="shared" ca="1" si="491"/>
        <v/>
      </c>
      <c r="AF334" s="222" t="str">
        <f t="shared" ca="1" si="492"/>
        <v/>
      </c>
      <c r="AG334" s="222" t="str">
        <f t="shared" ca="1" si="492"/>
        <v/>
      </c>
      <c r="AH334" s="222" t="str">
        <f t="shared" ca="1" si="492"/>
        <v/>
      </c>
      <c r="AI334" s="222" t="str">
        <f t="shared" ca="1" si="492"/>
        <v/>
      </c>
      <c r="AJ334" s="222" t="str">
        <f t="shared" ca="1" si="492"/>
        <v/>
      </c>
      <c r="AK334" s="222" t="str">
        <f t="shared" ca="1" si="492"/>
        <v/>
      </c>
      <c r="AL334" s="222" t="str">
        <f t="shared" ca="1" si="492"/>
        <v/>
      </c>
      <c r="AM334" s="222" t="str">
        <f t="shared" ca="1" si="492"/>
        <v/>
      </c>
      <c r="AN334" s="222" t="str">
        <f t="shared" ca="1" si="492"/>
        <v/>
      </c>
      <c r="AO334" s="222" t="str">
        <f t="shared" ca="1" si="492"/>
        <v/>
      </c>
      <c r="AP334" s="222" t="str">
        <f t="shared" ca="1" si="493"/>
        <v/>
      </c>
      <c r="AQ334" s="222" t="str">
        <f t="shared" ca="1" si="493"/>
        <v/>
      </c>
      <c r="AR334" s="222" t="str">
        <f t="shared" ca="1" si="493"/>
        <v/>
      </c>
      <c r="AS334" s="222" t="str">
        <f t="shared" ca="1" si="493"/>
        <v/>
      </c>
      <c r="AT334" s="222" t="str">
        <f t="shared" ca="1" si="493"/>
        <v/>
      </c>
      <c r="AU334" s="222" t="str">
        <f t="shared" ca="1" si="493"/>
        <v/>
      </c>
      <c r="AV334" s="222" t="str">
        <f t="shared" ca="1" si="493"/>
        <v/>
      </c>
      <c r="AW334" s="222" t="str">
        <f t="shared" ca="1" si="493"/>
        <v/>
      </c>
      <c r="AX334" s="222" t="str">
        <f t="shared" ca="1" si="493"/>
        <v/>
      </c>
      <c r="AY334" s="222" t="str">
        <f t="shared" ca="1" si="493"/>
        <v/>
      </c>
      <c r="AZ334" s="222" t="str">
        <f t="shared" ca="1" si="494"/>
        <v/>
      </c>
      <c r="BA334" s="222" t="str">
        <f t="shared" ca="1" si="494"/>
        <v/>
      </c>
      <c r="BB334" s="222" t="str">
        <f t="shared" ca="1" si="494"/>
        <v/>
      </c>
      <c r="BC334" s="222" t="str">
        <f t="shared" ca="1" si="494"/>
        <v/>
      </c>
      <c r="BD334" s="222" t="str">
        <f t="shared" ca="1" si="494"/>
        <v/>
      </c>
      <c r="BE334" s="222" t="str">
        <f t="shared" ca="1" si="494"/>
        <v/>
      </c>
      <c r="BF334" s="222" t="str">
        <f t="shared" ca="1" si="494"/>
        <v/>
      </c>
      <c r="BG334" s="222" t="str">
        <f t="shared" ca="1" si="494"/>
        <v/>
      </c>
      <c r="BH334" s="222" t="str">
        <f t="shared" ca="1" si="494"/>
        <v/>
      </c>
      <c r="BI334" s="222" t="str">
        <f t="shared" ca="1" si="494"/>
        <v/>
      </c>
      <c r="BJ334" s="222" t="str">
        <f t="shared" ca="1" si="495"/>
        <v/>
      </c>
      <c r="BK334" s="222" t="str">
        <f t="shared" ca="1" si="495"/>
        <v/>
      </c>
      <c r="BL334" s="222" t="str">
        <f t="shared" ca="1" si="495"/>
        <v/>
      </c>
      <c r="BM334" s="222" t="str">
        <f t="shared" ca="1" si="495"/>
        <v/>
      </c>
      <c r="BN334" s="222" t="str">
        <f t="shared" ca="1" si="495"/>
        <v/>
      </c>
      <c r="BO334" s="222" t="str">
        <f t="shared" ca="1" si="495"/>
        <v/>
      </c>
      <c r="BP334" s="222" t="str">
        <f t="shared" ca="1" si="495"/>
        <v/>
      </c>
      <c r="BQ334" s="222" t="str">
        <f t="shared" ca="1" si="495"/>
        <v/>
      </c>
      <c r="BR334" s="222" t="str">
        <f t="shared" ca="1" si="495"/>
        <v/>
      </c>
      <c r="BS334" s="222" t="str">
        <f t="shared" ca="1" si="495"/>
        <v/>
      </c>
      <c r="BT334" s="222" t="str">
        <f t="shared" ca="1" si="496"/>
        <v/>
      </c>
      <c r="BU334" s="222" t="str">
        <f t="shared" ca="1" si="496"/>
        <v/>
      </c>
      <c r="BV334" s="222" t="str">
        <f t="shared" ca="1" si="496"/>
        <v/>
      </c>
      <c r="BW334" s="222" t="str">
        <f t="shared" ca="1" si="496"/>
        <v/>
      </c>
      <c r="BX334" s="222" t="str">
        <f t="shared" ca="1" si="496"/>
        <v/>
      </c>
      <c r="BY334" s="222" t="str">
        <f t="shared" ca="1" si="496"/>
        <v/>
      </c>
      <c r="BZ334" s="368" t="str">
        <f t="shared" ca="1" si="496"/>
        <v/>
      </c>
      <c r="CC334" s="482">
        <f t="shared" si="488"/>
        <v>13</v>
      </c>
    </row>
    <row r="335" spans="1:81">
      <c r="A335" s="326" t="str">
        <v>VEURX</v>
      </c>
      <c r="B335" s="222">
        <f t="shared" ca="1" si="489"/>
        <v>0.7521379783599027</v>
      </c>
      <c r="C335" s="222">
        <f t="shared" ca="1" si="489"/>
        <v>0.71978447685372504</v>
      </c>
      <c r="D335" s="222">
        <f t="shared" ca="1" si="489"/>
        <v>0.75563231927046615</v>
      </c>
      <c r="E335" s="222">
        <f t="shared" ca="1" si="489"/>
        <v>0.71227718094682879</v>
      </c>
      <c r="F335" s="222">
        <f t="shared" ca="1" si="489"/>
        <v>0.67460247838450127</v>
      </c>
      <c r="G335" s="222">
        <f t="shared" ca="1" si="489"/>
        <v>0.5245485515264926</v>
      </c>
      <c r="H335" s="222">
        <f t="shared" ca="1" si="489"/>
        <v>0.62638763655585195</v>
      </c>
      <c r="I335" s="222">
        <f t="shared" ca="1" si="489"/>
        <v>0.61946335050872059</v>
      </c>
      <c r="J335" s="222">
        <f t="shared" ca="1" si="489"/>
        <v>0.5091014290558884</v>
      </c>
      <c r="K335" s="222">
        <f t="shared" ca="1" si="489"/>
        <v>0.40473944491317143</v>
      </c>
      <c r="L335" s="222">
        <f t="shared" ca="1" si="490"/>
        <v>0.88069671178901221</v>
      </c>
      <c r="M335" s="222">
        <f t="shared" ca="1" si="490"/>
        <v>0.70334161725949407</v>
      </c>
      <c r="N335" s="222">
        <f t="shared" ca="1" si="490"/>
        <v>0.87510132753549441</v>
      </c>
      <c r="O335" s="222">
        <f t="shared" ca="1" si="490"/>
        <v>0.56169303180721541</v>
      </c>
      <c r="P335" s="222">
        <f t="shared" ca="1" si="490"/>
        <v>0.99999999999999989</v>
      </c>
      <c r="Q335" s="222" t="str">
        <f t="shared" ca="1" si="490"/>
        <v/>
      </c>
      <c r="R335" s="222" t="str">
        <f t="shared" ca="1" si="490"/>
        <v/>
      </c>
      <c r="S335" s="222" t="str">
        <f t="shared" ca="1" si="490"/>
        <v/>
      </c>
      <c r="T335" s="222" t="str">
        <f t="shared" ca="1" si="490"/>
        <v/>
      </c>
      <c r="U335" s="222" t="str">
        <f t="shared" ca="1" si="490"/>
        <v/>
      </c>
      <c r="V335" s="222" t="str">
        <f t="shared" ca="1" si="491"/>
        <v/>
      </c>
      <c r="W335" s="222" t="str">
        <f t="shared" ca="1" si="491"/>
        <v/>
      </c>
      <c r="X335" s="222" t="str">
        <f t="shared" ca="1" si="491"/>
        <v/>
      </c>
      <c r="Y335" s="222" t="str">
        <f t="shared" ca="1" si="491"/>
        <v/>
      </c>
      <c r="Z335" s="222" t="str">
        <f t="shared" ca="1" si="491"/>
        <v/>
      </c>
      <c r="AA335" s="222" t="str">
        <f t="shared" ca="1" si="491"/>
        <v/>
      </c>
      <c r="AB335" s="222" t="str">
        <f t="shared" ca="1" si="491"/>
        <v/>
      </c>
      <c r="AC335" s="222" t="str">
        <f t="shared" ca="1" si="491"/>
        <v/>
      </c>
      <c r="AD335" s="222" t="str">
        <f t="shared" ca="1" si="491"/>
        <v/>
      </c>
      <c r="AE335" s="222" t="str">
        <f t="shared" ca="1" si="491"/>
        <v/>
      </c>
      <c r="AF335" s="222" t="str">
        <f t="shared" ca="1" si="492"/>
        <v/>
      </c>
      <c r="AG335" s="222" t="str">
        <f t="shared" ca="1" si="492"/>
        <v/>
      </c>
      <c r="AH335" s="222" t="str">
        <f t="shared" ca="1" si="492"/>
        <v/>
      </c>
      <c r="AI335" s="222" t="str">
        <f t="shared" ca="1" si="492"/>
        <v/>
      </c>
      <c r="AJ335" s="222" t="str">
        <f t="shared" ca="1" si="492"/>
        <v/>
      </c>
      <c r="AK335" s="222" t="str">
        <f t="shared" ca="1" si="492"/>
        <v/>
      </c>
      <c r="AL335" s="222" t="str">
        <f t="shared" ca="1" si="492"/>
        <v/>
      </c>
      <c r="AM335" s="222" t="str">
        <f t="shared" ca="1" si="492"/>
        <v/>
      </c>
      <c r="AN335" s="222" t="str">
        <f t="shared" ca="1" si="492"/>
        <v/>
      </c>
      <c r="AO335" s="222" t="str">
        <f t="shared" ca="1" si="492"/>
        <v/>
      </c>
      <c r="AP335" s="222" t="str">
        <f t="shared" ca="1" si="493"/>
        <v/>
      </c>
      <c r="AQ335" s="222" t="str">
        <f t="shared" ca="1" si="493"/>
        <v/>
      </c>
      <c r="AR335" s="222" t="str">
        <f t="shared" ca="1" si="493"/>
        <v/>
      </c>
      <c r="AS335" s="222" t="str">
        <f t="shared" ca="1" si="493"/>
        <v/>
      </c>
      <c r="AT335" s="222" t="str">
        <f t="shared" ca="1" si="493"/>
        <v/>
      </c>
      <c r="AU335" s="222" t="str">
        <f t="shared" ca="1" si="493"/>
        <v/>
      </c>
      <c r="AV335" s="222" t="str">
        <f t="shared" ca="1" si="493"/>
        <v/>
      </c>
      <c r="AW335" s="222" t="str">
        <f t="shared" ca="1" si="493"/>
        <v/>
      </c>
      <c r="AX335" s="222" t="str">
        <f t="shared" ca="1" si="493"/>
        <v/>
      </c>
      <c r="AY335" s="222" t="str">
        <f t="shared" ca="1" si="493"/>
        <v/>
      </c>
      <c r="AZ335" s="222" t="str">
        <f t="shared" ca="1" si="494"/>
        <v/>
      </c>
      <c r="BA335" s="222" t="str">
        <f t="shared" ca="1" si="494"/>
        <v/>
      </c>
      <c r="BB335" s="222" t="str">
        <f t="shared" ca="1" si="494"/>
        <v/>
      </c>
      <c r="BC335" s="222" t="str">
        <f t="shared" ca="1" si="494"/>
        <v/>
      </c>
      <c r="BD335" s="222" t="str">
        <f t="shared" ca="1" si="494"/>
        <v/>
      </c>
      <c r="BE335" s="222" t="str">
        <f t="shared" ca="1" si="494"/>
        <v/>
      </c>
      <c r="BF335" s="222" t="str">
        <f t="shared" ca="1" si="494"/>
        <v/>
      </c>
      <c r="BG335" s="222" t="str">
        <f t="shared" ca="1" si="494"/>
        <v/>
      </c>
      <c r="BH335" s="222" t="str">
        <f t="shared" ca="1" si="494"/>
        <v/>
      </c>
      <c r="BI335" s="222" t="str">
        <f t="shared" ca="1" si="494"/>
        <v/>
      </c>
      <c r="BJ335" s="222" t="str">
        <f t="shared" ca="1" si="495"/>
        <v/>
      </c>
      <c r="BK335" s="222" t="str">
        <f t="shared" ca="1" si="495"/>
        <v/>
      </c>
      <c r="BL335" s="222" t="str">
        <f t="shared" ca="1" si="495"/>
        <v/>
      </c>
      <c r="BM335" s="222" t="str">
        <f t="shared" ca="1" si="495"/>
        <v/>
      </c>
      <c r="BN335" s="222" t="str">
        <f t="shared" ca="1" si="495"/>
        <v/>
      </c>
      <c r="BO335" s="222" t="str">
        <f t="shared" ca="1" si="495"/>
        <v/>
      </c>
      <c r="BP335" s="222" t="str">
        <f t="shared" ca="1" si="495"/>
        <v/>
      </c>
      <c r="BQ335" s="222" t="str">
        <f t="shared" ca="1" si="495"/>
        <v/>
      </c>
      <c r="BR335" s="222" t="str">
        <f t="shared" ca="1" si="495"/>
        <v/>
      </c>
      <c r="BS335" s="222" t="str">
        <f t="shared" ca="1" si="495"/>
        <v/>
      </c>
      <c r="BT335" s="222" t="str">
        <f t="shared" ca="1" si="496"/>
        <v/>
      </c>
      <c r="BU335" s="222" t="str">
        <f t="shared" ca="1" si="496"/>
        <v/>
      </c>
      <c r="BV335" s="222" t="str">
        <f t="shared" ca="1" si="496"/>
        <v/>
      </c>
      <c r="BW335" s="222" t="str">
        <f t="shared" ca="1" si="496"/>
        <v/>
      </c>
      <c r="BX335" s="222" t="str">
        <f t="shared" ca="1" si="496"/>
        <v/>
      </c>
      <c r="BY335" s="222" t="str">
        <f t="shared" ca="1" si="496"/>
        <v/>
      </c>
      <c r="BZ335" s="368" t="str">
        <f t="shared" ca="1" si="496"/>
        <v/>
      </c>
      <c r="CC335" s="482">
        <f t="shared" si="488"/>
        <v>14</v>
      </c>
    </row>
    <row r="336" spans="1:81">
      <c r="A336" s="326" t="str">
        <v>VTRIX</v>
      </c>
      <c r="B336" s="222">
        <f t="shared" ca="1" si="489"/>
        <v>0.59761512156244734</v>
      </c>
      <c r="C336" s="222">
        <f t="shared" ca="1" si="489"/>
        <v>0.58881124211806513</v>
      </c>
      <c r="D336" s="222">
        <f t="shared" ca="1" si="489"/>
        <v>0.58974419091055819</v>
      </c>
      <c r="E336" s="222">
        <f t="shared" ca="1" si="489"/>
        <v>0.52969254014791423</v>
      </c>
      <c r="F336" s="222">
        <f t="shared" ca="1" si="489"/>
        <v>0.55891055882197249</v>
      </c>
      <c r="G336" s="222">
        <f t="shared" ca="1" si="489"/>
        <v>0.466331099431468</v>
      </c>
      <c r="H336" s="222">
        <f t="shared" ca="1" si="489"/>
        <v>0.54409662566691486</v>
      </c>
      <c r="I336" s="222">
        <f t="shared" ca="1" si="489"/>
        <v>0.52601972278999276</v>
      </c>
      <c r="J336" s="222">
        <f t="shared" ca="1" si="489"/>
        <v>0.46081921426853889</v>
      </c>
      <c r="K336" s="222">
        <f t="shared" ca="1" si="489"/>
        <v>0.37820828899676462</v>
      </c>
      <c r="L336" s="222">
        <f t="shared" ca="1" si="490"/>
        <v>0.97962872761190689</v>
      </c>
      <c r="M336" s="222">
        <f t="shared" ca="1" si="490"/>
        <v>0.83095305245549023</v>
      </c>
      <c r="N336" s="222">
        <f t="shared" ca="1" si="490"/>
        <v>0.98251295053555521</v>
      </c>
      <c r="O336" s="222">
        <f t="shared" ca="1" si="490"/>
        <v>0.84218154939193135</v>
      </c>
      <c r="P336" s="222">
        <f t="shared" ca="1" si="490"/>
        <v>0.85263462531188605</v>
      </c>
      <c r="Q336" s="222">
        <f t="shared" ca="1" si="490"/>
        <v>1.0000000000000002</v>
      </c>
      <c r="R336" s="222" t="str">
        <f t="shared" ca="1" si="490"/>
        <v/>
      </c>
      <c r="S336" s="222" t="str">
        <f t="shared" ca="1" si="490"/>
        <v/>
      </c>
      <c r="T336" s="222" t="str">
        <f t="shared" ca="1" si="490"/>
        <v/>
      </c>
      <c r="U336" s="222" t="str">
        <f t="shared" ca="1" si="490"/>
        <v/>
      </c>
      <c r="V336" s="222" t="str">
        <f t="shared" ca="1" si="491"/>
        <v/>
      </c>
      <c r="W336" s="222" t="str">
        <f t="shared" ca="1" si="491"/>
        <v/>
      </c>
      <c r="X336" s="222" t="str">
        <f t="shared" ca="1" si="491"/>
        <v/>
      </c>
      <c r="Y336" s="222" t="str">
        <f t="shared" ca="1" si="491"/>
        <v/>
      </c>
      <c r="Z336" s="222" t="str">
        <f t="shared" ca="1" si="491"/>
        <v/>
      </c>
      <c r="AA336" s="222" t="str">
        <f t="shared" ca="1" si="491"/>
        <v/>
      </c>
      <c r="AB336" s="222" t="str">
        <f t="shared" ca="1" si="491"/>
        <v/>
      </c>
      <c r="AC336" s="222" t="str">
        <f t="shared" ca="1" si="491"/>
        <v/>
      </c>
      <c r="AD336" s="222" t="str">
        <f t="shared" ca="1" si="491"/>
        <v/>
      </c>
      <c r="AE336" s="222" t="str">
        <f t="shared" ca="1" si="491"/>
        <v/>
      </c>
      <c r="AF336" s="222" t="str">
        <f t="shared" ca="1" si="492"/>
        <v/>
      </c>
      <c r="AG336" s="222" t="str">
        <f t="shared" ca="1" si="492"/>
        <v/>
      </c>
      <c r="AH336" s="222" t="str">
        <f t="shared" ca="1" si="492"/>
        <v/>
      </c>
      <c r="AI336" s="222" t="str">
        <f t="shared" ca="1" si="492"/>
        <v/>
      </c>
      <c r="AJ336" s="222" t="str">
        <f t="shared" ca="1" si="492"/>
        <v/>
      </c>
      <c r="AK336" s="222" t="str">
        <f t="shared" ca="1" si="492"/>
        <v/>
      </c>
      <c r="AL336" s="222" t="str">
        <f t="shared" ca="1" si="492"/>
        <v/>
      </c>
      <c r="AM336" s="222" t="str">
        <f t="shared" ca="1" si="492"/>
        <v/>
      </c>
      <c r="AN336" s="222" t="str">
        <f t="shared" ca="1" si="492"/>
        <v/>
      </c>
      <c r="AO336" s="222" t="str">
        <f t="shared" ca="1" si="492"/>
        <v/>
      </c>
      <c r="AP336" s="222" t="str">
        <f t="shared" ca="1" si="493"/>
        <v/>
      </c>
      <c r="AQ336" s="222" t="str">
        <f t="shared" ca="1" si="493"/>
        <v/>
      </c>
      <c r="AR336" s="222" t="str">
        <f t="shared" ca="1" si="493"/>
        <v/>
      </c>
      <c r="AS336" s="222" t="str">
        <f t="shared" ca="1" si="493"/>
        <v/>
      </c>
      <c r="AT336" s="222" t="str">
        <f t="shared" ca="1" si="493"/>
        <v/>
      </c>
      <c r="AU336" s="222" t="str">
        <f t="shared" ca="1" si="493"/>
        <v/>
      </c>
      <c r="AV336" s="222" t="str">
        <f t="shared" ca="1" si="493"/>
        <v/>
      </c>
      <c r="AW336" s="222" t="str">
        <f t="shared" ca="1" si="493"/>
        <v/>
      </c>
      <c r="AX336" s="222" t="str">
        <f t="shared" ca="1" si="493"/>
        <v/>
      </c>
      <c r="AY336" s="222" t="str">
        <f t="shared" ca="1" si="493"/>
        <v/>
      </c>
      <c r="AZ336" s="222" t="str">
        <f t="shared" ca="1" si="494"/>
        <v/>
      </c>
      <c r="BA336" s="222" t="str">
        <f t="shared" ca="1" si="494"/>
        <v/>
      </c>
      <c r="BB336" s="222" t="str">
        <f t="shared" ca="1" si="494"/>
        <v/>
      </c>
      <c r="BC336" s="222" t="str">
        <f t="shared" ca="1" si="494"/>
        <v/>
      </c>
      <c r="BD336" s="222" t="str">
        <f t="shared" ca="1" si="494"/>
        <v/>
      </c>
      <c r="BE336" s="222" t="str">
        <f t="shared" ca="1" si="494"/>
        <v/>
      </c>
      <c r="BF336" s="222" t="str">
        <f t="shared" ca="1" si="494"/>
        <v/>
      </c>
      <c r="BG336" s="222" t="str">
        <f t="shared" ca="1" si="494"/>
        <v/>
      </c>
      <c r="BH336" s="222" t="str">
        <f t="shared" ca="1" si="494"/>
        <v/>
      </c>
      <c r="BI336" s="222" t="str">
        <f t="shared" ca="1" si="494"/>
        <v/>
      </c>
      <c r="BJ336" s="222" t="str">
        <f t="shared" ca="1" si="495"/>
        <v/>
      </c>
      <c r="BK336" s="222" t="str">
        <f t="shared" ca="1" si="495"/>
        <v/>
      </c>
      <c r="BL336" s="222" t="str">
        <f t="shared" ca="1" si="495"/>
        <v/>
      </c>
      <c r="BM336" s="222" t="str">
        <f t="shared" ca="1" si="495"/>
        <v/>
      </c>
      <c r="BN336" s="222" t="str">
        <f t="shared" ca="1" si="495"/>
        <v/>
      </c>
      <c r="BO336" s="222" t="str">
        <f t="shared" ca="1" si="495"/>
        <v/>
      </c>
      <c r="BP336" s="222" t="str">
        <f t="shared" ca="1" si="495"/>
        <v/>
      </c>
      <c r="BQ336" s="222" t="str">
        <f t="shared" ca="1" si="495"/>
        <v/>
      </c>
      <c r="BR336" s="222" t="str">
        <f t="shared" ca="1" si="495"/>
        <v/>
      </c>
      <c r="BS336" s="222" t="str">
        <f t="shared" ca="1" si="495"/>
        <v/>
      </c>
      <c r="BT336" s="222" t="str">
        <f t="shared" ca="1" si="496"/>
        <v/>
      </c>
      <c r="BU336" s="222" t="str">
        <f t="shared" ca="1" si="496"/>
        <v/>
      </c>
      <c r="BV336" s="222" t="str">
        <f t="shared" ca="1" si="496"/>
        <v/>
      </c>
      <c r="BW336" s="222" t="str">
        <f t="shared" ca="1" si="496"/>
        <v/>
      </c>
      <c r="BX336" s="222" t="str">
        <f t="shared" ca="1" si="496"/>
        <v/>
      </c>
      <c r="BY336" s="222" t="str">
        <f t="shared" ca="1" si="496"/>
        <v/>
      </c>
      <c r="BZ336" s="368" t="str">
        <f t="shared" ca="1" si="496"/>
        <v/>
      </c>
      <c r="CC336" s="482">
        <f t="shared" si="488"/>
        <v>15</v>
      </c>
    </row>
    <row r="337" spans="1:81">
      <c r="A337" s="326" t="str">
        <v>PCRIX</v>
      </c>
      <c r="B337" s="222">
        <f t="shared" ca="1" si="489"/>
        <v>8.0209576850804126E-2</v>
      </c>
      <c r="C337" s="222">
        <f t="shared" ca="1" si="489"/>
        <v>9.891903533243171E-2</v>
      </c>
      <c r="D337" s="222">
        <f t="shared" ca="1" si="489"/>
        <v>7.5411271686616044E-2</v>
      </c>
      <c r="E337" s="222">
        <f t="shared" ca="1" si="489"/>
        <v>6.1792635609872588E-2</v>
      </c>
      <c r="F337" s="222">
        <f t="shared" ca="1" si="489"/>
        <v>0.1201135586100969</v>
      </c>
      <c r="G337" s="222">
        <f t="shared" ca="1" si="489"/>
        <v>1.8021730856706292E-2</v>
      </c>
      <c r="H337" s="222">
        <f t="shared" ca="1" si="489"/>
        <v>7.0739178494832494E-2</v>
      </c>
      <c r="I337" s="222">
        <f t="shared" ca="1" si="489"/>
        <v>9.8341949301924664E-2</v>
      </c>
      <c r="J337" s="222">
        <f t="shared" ca="1" si="489"/>
        <v>3.3046317946971354E-2</v>
      </c>
      <c r="K337" s="222">
        <f t="shared" ca="1" si="489"/>
        <v>0.12429127831503904</v>
      </c>
      <c r="L337" s="222">
        <f t="shared" ca="1" si="490"/>
        <v>0.1466990465057556</v>
      </c>
      <c r="M337" s="222">
        <f t="shared" ca="1" si="490"/>
        <v>0.3354749016563025</v>
      </c>
      <c r="N337" s="222">
        <f t="shared" ca="1" si="490"/>
        <v>0.19982588615764943</v>
      </c>
      <c r="O337" s="222">
        <f t="shared" ca="1" si="490"/>
        <v>0.15446196709020377</v>
      </c>
      <c r="P337" s="222">
        <f t="shared" ca="1" si="490"/>
        <v>0.20037363601567673</v>
      </c>
      <c r="Q337" s="222">
        <f t="shared" ca="1" si="490"/>
        <v>0.18382240219477106</v>
      </c>
      <c r="R337" s="222">
        <f t="shared" ca="1" si="490"/>
        <v>1.0000000000000002</v>
      </c>
      <c r="S337" s="222" t="str">
        <f t="shared" ca="1" si="490"/>
        <v/>
      </c>
      <c r="T337" s="222" t="str">
        <f t="shared" ca="1" si="490"/>
        <v/>
      </c>
      <c r="U337" s="222" t="str">
        <f t="shared" ca="1" si="490"/>
        <v/>
      </c>
      <c r="V337" s="222" t="str">
        <f t="shared" ca="1" si="491"/>
        <v/>
      </c>
      <c r="W337" s="222" t="str">
        <f t="shared" ca="1" si="491"/>
        <v/>
      </c>
      <c r="X337" s="222" t="str">
        <f t="shared" ca="1" si="491"/>
        <v/>
      </c>
      <c r="Y337" s="222" t="str">
        <f t="shared" ca="1" si="491"/>
        <v/>
      </c>
      <c r="Z337" s="222" t="str">
        <f t="shared" ca="1" si="491"/>
        <v/>
      </c>
      <c r="AA337" s="222" t="str">
        <f t="shared" ca="1" si="491"/>
        <v/>
      </c>
      <c r="AB337" s="222" t="str">
        <f t="shared" ca="1" si="491"/>
        <v/>
      </c>
      <c r="AC337" s="222" t="str">
        <f t="shared" ca="1" si="491"/>
        <v/>
      </c>
      <c r="AD337" s="222" t="str">
        <f t="shared" ca="1" si="491"/>
        <v/>
      </c>
      <c r="AE337" s="222" t="str">
        <f t="shared" ca="1" si="491"/>
        <v/>
      </c>
      <c r="AF337" s="222" t="str">
        <f t="shared" ca="1" si="492"/>
        <v/>
      </c>
      <c r="AG337" s="222" t="str">
        <f t="shared" ca="1" si="492"/>
        <v/>
      </c>
      <c r="AH337" s="222" t="str">
        <f t="shared" ca="1" si="492"/>
        <v/>
      </c>
      <c r="AI337" s="222" t="str">
        <f t="shared" ca="1" si="492"/>
        <v/>
      </c>
      <c r="AJ337" s="222" t="str">
        <f t="shared" ca="1" si="492"/>
        <v/>
      </c>
      <c r="AK337" s="222" t="str">
        <f t="shared" ca="1" si="492"/>
        <v/>
      </c>
      <c r="AL337" s="222" t="str">
        <f t="shared" ca="1" si="492"/>
        <v/>
      </c>
      <c r="AM337" s="222" t="str">
        <f t="shared" ca="1" si="492"/>
        <v/>
      </c>
      <c r="AN337" s="222" t="str">
        <f t="shared" ca="1" si="492"/>
        <v/>
      </c>
      <c r="AO337" s="222" t="str">
        <f t="shared" ca="1" si="492"/>
        <v/>
      </c>
      <c r="AP337" s="222" t="str">
        <f t="shared" ca="1" si="493"/>
        <v/>
      </c>
      <c r="AQ337" s="222" t="str">
        <f t="shared" ca="1" si="493"/>
        <v/>
      </c>
      <c r="AR337" s="222" t="str">
        <f t="shared" ca="1" si="493"/>
        <v/>
      </c>
      <c r="AS337" s="222" t="str">
        <f t="shared" ca="1" si="493"/>
        <v/>
      </c>
      <c r="AT337" s="222" t="str">
        <f t="shared" ca="1" si="493"/>
        <v/>
      </c>
      <c r="AU337" s="222" t="str">
        <f t="shared" ca="1" si="493"/>
        <v/>
      </c>
      <c r="AV337" s="222" t="str">
        <f t="shared" ca="1" si="493"/>
        <v/>
      </c>
      <c r="AW337" s="222" t="str">
        <f t="shared" ca="1" si="493"/>
        <v/>
      </c>
      <c r="AX337" s="222" t="str">
        <f t="shared" ca="1" si="493"/>
        <v/>
      </c>
      <c r="AY337" s="222" t="str">
        <f t="shared" ca="1" si="493"/>
        <v/>
      </c>
      <c r="AZ337" s="222" t="str">
        <f t="shared" ca="1" si="494"/>
        <v/>
      </c>
      <c r="BA337" s="222" t="str">
        <f t="shared" ca="1" si="494"/>
        <v/>
      </c>
      <c r="BB337" s="222" t="str">
        <f t="shared" ca="1" si="494"/>
        <v/>
      </c>
      <c r="BC337" s="222" t="str">
        <f t="shared" ca="1" si="494"/>
        <v/>
      </c>
      <c r="BD337" s="222" t="str">
        <f t="shared" ca="1" si="494"/>
        <v/>
      </c>
      <c r="BE337" s="222" t="str">
        <f t="shared" ca="1" si="494"/>
        <v/>
      </c>
      <c r="BF337" s="222" t="str">
        <f t="shared" ca="1" si="494"/>
        <v/>
      </c>
      <c r="BG337" s="222" t="str">
        <f t="shared" ca="1" si="494"/>
        <v/>
      </c>
      <c r="BH337" s="222" t="str">
        <f t="shared" ca="1" si="494"/>
        <v/>
      </c>
      <c r="BI337" s="222" t="str">
        <f t="shared" ca="1" si="494"/>
        <v/>
      </c>
      <c r="BJ337" s="222" t="str">
        <f t="shared" ca="1" si="495"/>
        <v/>
      </c>
      <c r="BK337" s="222" t="str">
        <f t="shared" ca="1" si="495"/>
        <v/>
      </c>
      <c r="BL337" s="222" t="str">
        <f t="shared" ca="1" si="495"/>
        <v/>
      </c>
      <c r="BM337" s="222" t="str">
        <f t="shared" ca="1" si="495"/>
        <v/>
      </c>
      <c r="BN337" s="222" t="str">
        <f t="shared" ca="1" si="495"/>
        <v/>
      </c>
      <c r="BO337" s="222" t="str">
        <f t="shared" ca="1" si="495"/>
        <v/>
      </c>
      <c r="BP337" s="222" t="str">
        <f t="shared" ca="1" si="495"/>
        <v/>
      </c>
      <c r="BQ337" s="222" t="str">
        <f t="shared" ca="1" si="495"/>
        <v/>
      </c>
      <c r="BR337" s="222" t="str">
        <f t="shared" ca="1" si="495"/>
        <v/>
      </c>
      <c r="BS337" s="222" t="str">
        <f t="shared" ca="1" si="495"/>
        <v/>
      </c>
      <c r="BT337" s="222" t="str">
        <f t="shared" ca="1" si="496"/>
        <v/>
      </c>
      <c r="BU337" s="222" t="str">
        <f t="shared" ca="1" si="496"/>
        <v/>
      </c>
      <c r="BV337" s="222" t="str">
        <f t="shared" ca="1" si="496"/>
        <v/>
      </c>
      <c r="BW337" s="222" t="str">
        <f t="shared" ca="1" si="496"/>
        <v/>
      </c>
      <c r="BX337" s="222" t="str">
        <f t="shared" ca="1" si="496"/>
        <v/>
      </c>
      <c r="BY337" s="222" t="str">
        <f t="shared" ca="1" si="496"/>
        <v/>
      </c>
      <c r="BZ337" s="368" t="str">
        <f t="shared" ca="1" si="496"/>
        <v/>
      </c>
      <c r="CC337" s="482">
        <f t="shared" si="488"/>
        <v>16</v>
      </c>
    </row>
    <row r="338" spans="1:81">
      <c r="A338" s="326" t="str">
        <v>VUSTX</v>
      </c>
      <c r="B338" s="222">
        <f t="shared" ca="1" si="489"/>
        <v>1.2390556044948835E-2</v>
      </c>
      <c r="C338" s="222">
        <f t="shared" ca="1" si="489"/>
        <v>5.9982669089102908E-2</v>
      </c>
      <c r="D338" s="222">
        <f t="shared" ca="1" si="489"/>
        <v>4.0017123316872655E-2</v>
      </c>
      <c r="E338" s="222">
        <f t="shared" ca="1" si="489"/>
        <v>-6.7901447692207953E-3</v>
      </c>
      <c r="F338" s="222">
        <f t="shared" ca="1" si="489"/>
        <v>2.2759637781485573E-2</v>
      </c>
      <c r="G338" s="222">
        <f t="shared" ca="1" si="489"/>
        <v>-1.8518693412076042E-3</v>
      </c>
      <c r="H338" s="222">
        <f t="shared" ca="1" si="489"/>
        <v>-7.8785576860218268E-2</v>
      </c>
      <c r="I338" s="222">
        <f t="shared" ca="1" si="489"/>
        <v>-6.9468410603017339E-2</v>
      </c>
      <c r="J338" s="222">
        <f t="shared" ca="1" si="489"/>
        <v>-9.6261399675289211E-2</v>
      </c>
      <c r="K338" s="222">
        <f t="shared" ca="1" si="489"/>
        <v>6.7142288208865045E-2</v>
      </c>
      <c r="L338" s="222">
        <f t="shared" ca="1" si="490"/>
        <v>-8.6452656364053262E-2</v>
      </c>
      <c r="M338" s="222">
        <f t="shared" ca="1" si="490"/>
        <v>-0.14073823085557458</v>
      </c>
      <c r="N338" s="222">
        <f t="shared" ca="1" si="490"/>
        <v>-9.3557027361935011E-2</v>
      </c>
      <c r="O338" s="222">
        <f t="shared" ca="1" si="490"/>
        <v>-0.16476731394179833</v>
      </c>
      <c r="P338" s="222">
        <f t="shared" ca="1" si="490"/>
        <v>-2.1572319991340345E-3</v>
      </c>
      <c r="Q338" s="222">
        <f t="shared" ca="1" si="490"/>
        <v>-0.13505944455695301</v>
      </c>
      <c r="R338" s="222">
        <f t="shared" ca="1" si="490"/>
        <v>-0.1988788724492751</v>
      </c>
      <c r="S338" s="222">
        <f t="shared" ca="1" si="490"/>
        <v>1</v>
      </c>
      <c r="T338" s="222" t="str">
        <f t="shared" ca="1" si="490"/>
        <v/>
      </c>
      <c r="U338" s="222" t="str">
        <f t="shared" ca="1" si="490"/>
        <v/>
      </c>
      <c r="V338" s="222" t="str">
        <f t="shared" ca="1" si="491"/>
        <v/>
      </c>
      <c r="W338" s="222" t="str">
        <f t="shared" ca="1" si="491"/>
        <v/>
      </c>
      <c r="X338" s="222" t="str">
        <f t="shared" ca="1" si="491"/>
        <v/>
      </c>
      <c r="Y338" s="222" t="str">
        <f t="shared" ca="1" si="491"/>
        <v/>
      </c>
      <c r="Z338" s="222" t="str">
        <f t="shared" ca="1" si="491"/>
        <v/>
      </c>
      <c r="AA338" s="222" t="str">
        <f t="shared" ca="1" si="491"/>
        <v/>
      </c>
      <c r="AB338" s="222" t="str">
        <f t="shared" ca="1" si="491"/>
        <v/>
      </c>
      <c r="AC338" s="222" t="str">
        <f t="shared" ca="1" si="491"/>
        <v/>
      </c>
      <c r="AD338" s="222" t="str">
        <f t="shared" ca="1" si="491"/>
        <v/>
      </c>
      <c r="AE338" s="222" t="str">
        <f t="shared" ca="1" si="491"/>
        <v/>
      </c>
      <c r="AF338" s="222" t="str">
        <f t="shared" ca="1" si="492"/>
        <v/>
      </c>
      <c r="AG338" s="222" t="str">
        <f t="shared" ca="1" si="492"/>
        <v/>
      </c>
      <c r="AH338" s="222" t="str">
        <f t="shared" ca="1" si="492"/>
        <v/>
      </c>
      <c r="AI338" s="222" t="str">
        <f t="shared" ca="1" si="492"/>
        <v/>
      </c>
      <c r="AJ338" s="222" t="str">
        <f t="shared" ca="1" si="492"/>
        <v/>
      </c>
      <c r="AK338" s="222" t="str">
        <f t="shared" ca="1" si="492"/>
        <v/>
      </c>
      <c r="AL338" s="222" t="str">
        <f t="shared" ca="1" si="492"/>
        <v/>
      </c>
      <c r="AM338" s="222" t="str">
        <f t="shared" ca="1" si="492"/>
        <v/>
      </c>
      <c r="AN338" s="222" t="str">
        <f t="shared" ca="1" si="492"/>
        <v/>
      </c>
      <c r="AO338" s="222" t="str">
        <f t="shared" ca="1" si="492"/>
        <v/>
      </c>
      <c r="AP338" s="222" t="str">
        <f t="shared" ca="1" si="493"/>
        <v/>
      </c>
      <c r="AQ338" s="222" t="str">
        <f t="shared" ca="1" si="493"/>
        <v/>
      </c>
      <c r="AR338" s="222" t="str">
        <f t="shared" ca="1" si="493"/>
        <v/>
      </c>
      <c r="AS338" s="222" t="str">
        <f t="shared" ca="1" si="493"/>
        <v/>
      </c>
      <c r="AT338" s="222" t="str">
        <f t="shared" ca="1" si="493"/>
        <v/>
      </c>
      <c r="AU338" s="222" t="str">
        <f t="shared" ca="1" si="493"/>
        <v/>
      </c>
      <c r="AV338" s="222" t="str">
        <f t="shared" ca="1" si="493"/>
        <v/>
      </c>
      <c r="AW338" s="222" t="str">
        <f t="shared" ca="1" si="493"/>
        <v/>
      </c>
      <c r="AX338" s="222" t="str">
        <f t="shared" ca="1" si="493"/>
        <v/>
      </c>
      <c r="AY338" s="222" t="str">
        <f t="shared" ca="1" si="493"/>
        <v/>
      </c>
      <c r="AZ338" s="222" t="str">
        <f t="shared" ca="1" si="494"/>
        <v/>
      </c>
      <c r="BA338" s="222" t="str">
        <f t="shared" ca="1" si="494"/>
        <v/>
      </c>
      <c r="BB338" s="222" t="str">
        <f t="shared" ca="1" si="494"/>
        <v/>
      </c>
      <c r="BC338" s="222" t="str">
        <f t="shared" ca="1" si="494"/>
        <v/>
      </c>
      <c r="BD338" s="222" t="str">
        <f t="shared" ca="1" si="494"/>
        <v/>
      </c>
      <c r="BE338" s="222" t="str">
        <f t="shared" ca="1" si="494"/>
        <v/>
      </c>
      <c r="BF338" s="222" t="str">
        <f t="shared" ca="1" si="494"/>
        <v/>
      </c>
      <c r="BG338" s="222" t="str">
        <f t="shared" ca="1" si="494"/>
        <v/>
      </c>
      <c r="BH338" s="222" t="str">
        <f t="shared" ca="1" si="494"/>
        <v/>
      </c>
      <c r="BI338" s="222" t="str">
        <f t="shared" ca="1" si="494"/>
        <v/>
      </c>
      <c r="BJ338" s="222" t="str">
        <f t="shared" ca="1" si="495"/>
        <v/>
      </c>
      <c r="BK338" s="222" t="str">
        <f t="shared" ca="1" si="495"/>
        <v/>
      </c>
      <c r="BL338" s="222" t="str">
        <f t="shared" ca="1" si="495"/>
        <v/>
      </c>
      <c r="BM338" s="222" t="str">
        <f t="shared" ca="1" si="495"/>
        <v/>
      </c>
      <c r="BN338" s="222" t="str">
        <f t="shared" ca="1" si="495"/>
        <v/>
      </c>
      <c r="BO338" s="222" t="str">
        <f t="shared" ca="1" si="495"/>
        <v/>
      </c>
      <c r="BP338" s="222" t="str">
        <f t="shared" ca="1" si="495"/>
        <v/>
      </c>
      <c r="BQ338" s="222" t="str">
        <f t="shared" ca="1" si="495"/>
        <v/>
      </c>
      <c r="BR338" s="222" t="str">
        <f t="shared" ca="1" si="495"/>
        <v/>
      </c>
      <c r="BS338" s="222" t="str">
        <f t="shared" ca="1" si="495"/>
        <v/>
      </c>
      <c r="BT338" s="222" t="str">
        <f t="shared" ca="1" si="496"/>
        <v/>
      </c>
      <c r="BU338" s="222" t="str">
        <f t="shared" ca="1" si="496"/>
        <v/>
      </c>
      <c r="BV338" s="222" t="str">
        <f t="shared" ca="1" si="496"/>
        <v/>
      </c>
      <c r="BW338" s="222" t="str">
        <f t="shared" ca="1" si="496"/>
        <v/>
      </c>
      <c r="BX338" s="222" t="str">
        <f t="shared" ca="1" si="496"/>
        <v/>
      </c>
      <c r="BY338" s="222" t="str">
        <f t="shared" ca="1" si="496"/>
        <v/>
      </c>
      <c r="BZ338" s="368" t="str">
        <f t="shared" ca="1" si="496"/>
        <v/>
      </c>
      <c r="CC338" s="482">
        <f t="shared" si="488"/>
        <v>17</v>
      </c>
    </row>
    <row r="339" spans="1:81">
      <c r="A339" s="326" t="str">
        <v>VFITX</v>
      </c>
      <c r="B339" s="222">
        <f t="shared" ca="1" si="489"/>
        <v>-4.602517287855025E-2</v>
      </c>
      <c r="C339" s="222">
        <f t="shared" ca="1" si="489"/>
        <v>7.4777564863162727E-2</v>
      </c>
      <c r="D339" s="222">
        <f t="shared" ca="1" si="489"/>
        <v>-3.7807874264403754E-2</v>
      </c>
      <c r="E339" s="222">
        <f t="shared" ca="1" si="489"/>
        <v>9.7029532846128145E-3</v>
      </c>
      <c r="F339" s="222">
        <f t="shared" ca="1" si="489"/>
        <v>5.3544063136233701E-2</v>
      </c>
      <c r="G339" s="222">
        <f t="shared" ca="1" si="489"/>
        <v>4.1527099669072351E-2</v>
      </c>
      <c r="H339" s="222">
        <f t="shared" ca="1" si="489"/>
        <v>-4.8320515861762635E-2</v>
      </c>
      <c r="I339" s="222">
        <f t="shared" ca="1" si="489"/>
        <v>-3.47933155715721E-2</v>
      </c>
      <c r="J339" s="222">
        <f t="shared" ca="1" si="489"/>
        <v>-6.0688297273571466E-2</v>
      </c>
      <c r="K339" s="222">
        <f t="shared" ca="1" si="489"/>
        <v>3.0799758762726583E-2</v>
      </c>
      <c r="L339" s="222">
        <f t="shared" ca="1" si="490"/>
        <v>-8.8797172439086552E-2</v>
      </c>
      <c r="M339" s="222">
        <f t="shared" ca="1" si="490"/>
        <v>-0.11543015031229377</v>
      </c>
      <c r="N339" s="222">
        <f t="shared" ca="1" si="490"/>
        <v>-8.8741921639411137E-2</v>
      </c>
      <c r="O339" s="222">
        <f t="shared" ca="1" si="490"/>
        <v>-0.17290129165569523</v>
      </c>
      <c r="P339" s="222">
        <f t="shared" ca="1" si="490"/>
        <v>2.2608283011543516E-2</v>
      </c>
      <c r="Q339" s="222">
        <f t="shared" ca="1" si="490"/>
        <v>-0.12491501028518608</v>
      </c>
      <c r="R339" s="222">
        <f t="shared" ca="1" si="490"/>
        <v>-9.9106351637576598E-2</v>
      </c>
      <c r="S339" s="222">
        <f t="shared" ca="1" si="490"/>
        <v>0.90889800343636329</v>
      </c>
      <c r="T339" s="222">
        <f t="shared" ca="1" si="490"/>
        <v>0.99999999999999989</v>
      </c>
      <c r="U339" s="222" t="str">
        <f t="shared" ca="1" si="490"/>
        <v/>
      </c>
      <c r="V339" s="222" t="str">
        <f t="shared" ca="1" si="491"/>
        <v/>
      </c>
      <c r="W339" s="222" t="str">
        <f t="shared" ca="1" si="491"/>
        <v/>
      </c>
      <c r="X339" s="222" t="str">
        <f t="shared" ca="1" si="491"/>
        <v/>
      </c>
      <c r="Y339" s="222" t="str">
        <f t="shared" ca="1" si="491"/>
        <v/>
      </c>
      <c r="Z339" s="222" t="str">
        <f t="shared" ca="1" si="491"/>
        <v/>
      </c>
      <c r="AA339" s="222" t="str">
        <f t="shared" ca="1" si="491"/>
        <v/>
      </c>
      <c r="AB339" s="222" t="str">
        <f t="shared" ca="1" si="491"/>
        <v/>
      </c>
      <c r="AC339" s="222" t="str">
        <f t="shared" ca="1" si="491"/>
        <v/>
      </c>
      <c r="AD339" s="222" t="str">
        <f t="shared" ca="1" si="491"/>
        <v/>
      </c>
      <c r="AE339" s="222" t="str">
        <f t="shared" ca="1" si="491"/>
        <v/>
      </c>
      <c r="AF339" s="222" t="str">
        <f t="shared" ca="1" si="492"/>
        <v/>
      </c>
      <c r="AG339" s="222" t="str">
        <f t="shared" ca="1" si="492"/>
        <v/>
      </c>
      <c r="AH339" s="222" t="str">
        <f t="shared" ca="1" si="492"/>
        <v/>
      </c>
      <c r="AI339" s="222" t="str">
        <f t="shared" ca="1" si="492"/>
        <v/>
      </c>
      <c r="AJ339" s="222" t="str">
        <f t="shared" ca="1" si="492"/>
        <v/>
      </c>
      <c r="AK339" s="222" t="str">
        <f t="shared" ca="1" si="492"/>
        <v/>
      </c>
      <c r="AL339" s="222" t="str">
        <f t="shared" ca="1" si="492"/>
        <v/>
      </c>
      <c r="AM339" s="222" t="str">
        <f t="shared" ca="1" si="492"/>
        <v/>
      </c>
      <c r="AN339" s="222" t="str">
        <f t="shared" ca="1" si="492"/>
        <v/>
      </c>
      <c r="AO339" s="222" t="str">
        <f t="shared" ca="1" si="492"/>
        <v/>
      </c>
      <c r="AP339" s="222" t="str">
        <f t="shared" ca="1" si="493"/>
        <v/>
      </c>
      <c r="AQ339" s="222" t="str">
        <f t="shared" ca="1" si="493"/>
        <v/>
      </c>
      <c r="AR339" s="222" t="str">
        <f t="shared" ca="1" si="493"/>
        <v/>
      </c>
      <c r="AS339" s="222" t="str">
        <f t="shared" ca="1" si="493"/>
        <v/>
      </c>
      <c r="AT339" s="222" t="str">
        <f t="shared" ca="1" si="493"/>
        <v/>
      </c>
      <c r="AU339" s="222" t="str">
        <f t="shared" ca="1" si="493"/>
        <v/>
      </c>
      <c r="AV339" s="222" t="str">
        <f t="shared" ca="1" si="493"/>
        <v/>
      </c>
      <c r="AW339" s="222" t="str">
        <f t="shared" ca="1" si="493"/>
        <v/>
      </c>
      <c r="AX339" s="222" t="str">
        <f t="shared" ca="1" si="493"/>
        <v/>
      </c>
      <c r="AY339" s="222" t="str">
        <f t="shared" ca="1" si="493"/>
        <v/>
      </c>
      <c r="AZ339" s="222" t="str">
        <f t="shared" ca="1" si="494"/>
        <v/>
      </c>
      <c r="BA339" s="222" t="str">
        <f t="shared" ca="1" si="494"/>
        <v/>
      </c>
      <c r="BB339" s="222" t="str">
        <f t="shared" ca="1" si="494"/>
        <v/>
      </c>
      <c r="BC339" s="222" t="str">
        <f t="shared" ca="1" si="494"/>
        <v/>
      </c>
      <c r="BD339" s="222" t="str">
        <f t="shared" ca="1" si="494"/>
        <v/>
      </c>
      <c r="BE339" s="222" t="str">
        <f t="shared" ca="1" si="494"/>
        <v/>
      </c>
      <c r="BF339" s="222" t="str">
        <f t="shared" ca="1" si="494"/>
        <v/>
      </c>
      <c r="BG339" s="222" t="str">
        <f t="shared" ca="1" si="494"/>
        <v/>
      </c>
      <c r="BH339" s="222" t="str">
        <f t="shared" ca="1" si="494"/>
        <v/>
      </c>
      <c r="BI339" s="222" t="str">
        <f t="shared" ca="1" si="494"/>
        <v/>
      </c>
      <c r="BJ339" s="222" t="str">
        <f t="shared" ca="1" si="495"/>
        <v/>
      </c>
      <c r="BK339" s="222" t="str">
        <f t="shared" ca="1" si="495"/>
        <v/>
      </c>
      <c r="BL339" s="222" t="str">
        <f t="shared" ca="1" si="495"/>
        <v/>
      </c>
      <c r="BM339" s="222" t="str">
        <f t="shared" ca="1" si="495"/>
        <v/>
      </c>
      <c r="BN339" s="222" t="str">
        <f t="shared" ca="1" si="495"/>
        <v/>
      </c>
      <c r="BO339" s="222" t="str">
        <f t="shared" ca="1" si="495"/>
        <v/>
      </c>
      <c r="BP339" s="222" t="str">
        <f t="shared" ca="1" si="495"/>
        <v/>
      </c>
      <c r="BQ339" s="222" t="str">
        <f t="shared" ca="1" si="495"/>
        <v/>
      </c>
      <c r="BR339" s="222" t="str">
        <f t="shared" ca="1" si="495"/>
        <v/>
      </c>
      <c r="BS339" s="222" t="str">
        <f t="shared" ca="1" si="495"/>
        <v/>
      </c>
      <c r="BT339" s="222" t="str">
        <f t="shared" ca="1" si="496"/>
        <v/>
      </c>
      <c r="BU339" s="222" t="str">
        <f t="shared" ca="1" si="496"/>
        <v/>
      </c>
      <c r="BV339" s="222" t="str">
        <f t="shared" ca="1" si="496"/>
        <v/>
      </c>
      <c r="BW339" s="222" t="str">
        <f t="shared" ca="1" si="496"/>
        <v/>
      </c>
      <c r="BX339" s="222" t="str">
        <f t="shared" ca="1" si="496"/>
        <v/>
      </c>
      <c r="BY339" s="222" t="str">
        <f t="shared" ca="1" si="496"/>
        <v/>
      </c>
      <c r="BZ339" s="368" t="str">
        <f t="shared" ca="1" si="496"/>
        <v/>
      </c>
      <c r="CC339" s="482">
        <f t="shared" si="488"/>
        <v>18</v>
      </c>
    </row>
    <row r="340" spans="1:81">
      <c r="A340" s="326" t="str">
        <v>VBMFX</v>
      </c>
      <c r="B340" s="222">
        <f t="shared" ca="1" si="489"/>
        <v>1.7427087362769666E-2</v>
      </c>
      <c r="C340" s="222">
        <f t="shared" ca="1" si="489"/>
        <v>0.26663728677325854</v>
      </c>
      <c r="D340" s="222">
        <f t="shared" ca="1" si="489"/>
        <v>2.0143786899040152E-2</v>
      </c>
      <c r="E340" s="222">
        <f t="shared" ca="1" si="489"/>
        <v>0.18657661006810658</v>
      </c>
      <c r="F340" s="222">
        <f t="shared" ca="1" si="489"/>
        <v>0.26331693860454602</v>
      </c>
      <c r="G340" s="222">
        <f t="shared" ca="1" si="489"/>
        <v>0.24590467696598806</v>
      </c>
      <c r="H340" s="222">
        <f t="shared" ca="1" si="489"/>
        <v>0.15343944725104988</v>
      </c>
      <c r="I340" s="222">
        <f t="shared" ca="1" si="489"/>
        <v>0.1454730281940036</v>
      </c>
      <c r="J340" s="222">
        <f t="shared" ca="1" si="489"/>
        <v>8.6876419888769998E-2</v>
      </c>
      <c r="K340" s="222">
        <f t="shared" ca="1" si="489"/>
        <v>0.23024797088121812</v>
      </c>
      <c r="L340" s="222">
        <f t="shared" ca="1" si="490"/>
        <v>2.6142890223601971E-3</v>
      </c>
      <c r="M340" s="222">
        <f t="shared" ca="1" si="490"/>
        <v>3.2351124198463123E-2</v>
      </c>
      <c r="N340" s="222">
        <f t="shared" ca="1" si="490"/>
        <v>2.1689829265614972E-2</v>
      </c>
      <c r="O340" s="222">
        <f t="shared" ca="1" si="490"/>
        <v>-0.10984519853677813</v>
      </c>
      <c r="P340" s="222">
        <f t="shared" ca="1" si="490"/>
        <v>0.13282154788803102</v>
      </c>
      <c r="Q340" s="222">
        <f t="shared" ca="1" si="490"/>
        <v>-2.1724701838460068E-2</v>
      </c>
      <c r="R340" s="222">
        <f t="shared" ca="1" si="490"/>
        <v>-2.8171552175013256E-2</v>
      </c>
      <c r="S340" s="222">
        <f t="shared" ca="1" si="490"/>
        <v>0.78845895302379732</v>
      </c>
      <c r="T340" s="222">
        <f t="shared" ca="1" si="490"/>
        <v>0.94845778226410615</v>
      </c>
      <c r="U340" s="222">
        <f t="shared" ca="1" si="490"/>
        <v>1</v>
      </c>
      <c r="V340" s="222" t="str">
        <f t="shared" ca="1" si="491"/>
        <v/>
      </c>
      <c r="W340" s="222" t="str">
        <f t="shared" ca="1" si="491"/>
        <v/>
      </c>
      <c r="X340" s="222" t="str">
        <f t="shared" ca="1" si="491"/>
        <v/>
      </c>
      <c r="Y340" s="222" t="str">
        <f t="shared" ca="1" si="491"/>
        <v/>
      </c>
      <c r="Z340" s="222" t="str">
        <f t="shared" ca="1" si="491"/>
        <v/>
      </c>
      <c r="AA340" s="222" t="str">
        <f t="shared" ca="1" si="491"/>
        <v/>
      </c>
      <c r="AB340" s="222" t="str">
        <f t="shared" ca="1" si="491"/>
        <v/>
      </c>
      <c r="AC340" s="222" t="str">
        <f t="shared" ca="1" si="491"/>
        <v/>
      </c>
      <c r="AD340" s="222" t="str">
        <f t="shared" ca="1" si="491"/>
        <v/>
      </c>
      <c r="AE340" s="222" t="str">
        <f t="shared" ca="1" si="491"/>
        <v/>
      </c>
      <c r="AF340" s="222" t="str">
        <f t="shared" ca="1" si="492"/>
        <v/>
      </c>
      <c r="AG340" s="222" t="str">
        <f t="shared" ca="1" si="492"/>
        <v/>
      </c>
      <c r="AH340" s="222" t="str">
        <f t="shared" ca="1" si="492"/>
        <v/>
      </c>
      <c r="AI340" s="222" t="str">
        <f t="shared" ca="1" si="492"/>
        <v/>
      </c>
      <c r="AJ340" s="222" t="str">
        <f t="shared" ca="1" si="492"/>
        <v/>
      </c>
      <c r="AK340" s="222" t="str">
        <f t="shared" ca="1" si="492"/>
        <v/>
      </c>
      <c r="AL340" s="222" t="str">
        <f t="shared" ca="1" si="492"/>
        <v/>
      </c>
      <c r="AM340" s="222" t="str">
        <f t="shared" ca="1" si="492"/>
        <v/>
      </c>
      <c r="AN340" s="222" t="str">
        <f t="shared" ca="1" si="492"/>
        <v/>
      </c>
      <c r="AO340" s="222" t="str">
        <f t="shared" ca="1" si="492"/>
        <v/>
      </c>
      <c r="AP340" s="222" t="str">
        <f t="shared" ca="1" si="493"/>
        <v/>
      </c>
      <c r="AQ340" s="222" t="str">
        <f t="shared" ca="1" si="493"/>
        <v/>
      </c>
      <c r="AR340" s="222" t="str">
        <f t="shared" ca="1" si="493"/>
        <v/>
      </c>
      <c r="AS340" s="222" t="str">
        <f t="shared" ca="1" si="493"/>
        <v/>
      </c>
      <c r="AT340" s="222" t="str">
        <f t="shared" ca="1" si="493"/>
        <v/>
      </c>
      <c r="AU340" s="222" t="str">
        <f t="shared" ca="1" si="493"/>
        <v/>
      </c>
      <c r="AV340" s="222" t="str">
        <f t="shared" ca="1" si="493"/>
        <v/>
      </c>
      <c r="AW340" s="222" t="str">
        <f t="shared" ca="1" si="493"/>
        <v/>
      </c>
      <c r="AX340" s="222" t="str">
        <f t="shared" ca="1" si="493"/>
        <v/>
      </c>
      <c r="AY340" s="222" t="str">
        <f t="shared" ca="1" si="493"/>
        <v/>
      </c>
      <c r="AZ340" s="222" t="str">
        <f t="shared" ca="1" si="494"/>
        <v/>
      </c>
      <c r="BA340" s="222" t="str">
        <f t="shared" ca="1" si="494"/>
        <v/>
      </c>
      <c r="BB340" s="222" t="str">
        <f t="shared" ca="1" si="494"/>
        <v/>
      </c>
      <c r="BC340" s="222" t="str">
        <f t="shared" ca="1" si="494"/>
        <v/>
      </c>
      <c r="BD340" s="222" t="str">
        <f t="shared" ca="1" si="494"/>
        <v/>
      </c>
      <c r="BE340" s="222" t="str">
        <f t="shared" ca="1" si="494"/>
        <v/>
      </c>
      <c r="BF340" s="222" t="str">
        <f t="shared" ca="1" si="494"/>
        <v/>
      </c>
      <c r="BG340" s="222" t="str">
        <f t="shared" ca="1" si="494"/>
        <v/>
      </c>
      <c r="BH340" s="222" t="str">
        <f t="shared" ca="1" si="494"/>
        <v/>
      </c>
      <c r="BI340" s="222" t="str">
        <f t="shared" ca="1" si="494"/>
        <v/>
      </c>
      <c r="BJ340" s="222" t="str">
        <f t="shared" ca="1" si="495"/>
        <v/>
      </c>
      <c r="BK340" s="222" t="str">
        <f t="shared" ca="1" si="495"/>
        <v/>
      </c>
      <c r="BL340" s="222" t="str">
        <f t="shared" ca="1" si="495"/>
        <v/>
      </c>
      <c r="BM340" s="222" t="str">
        <f t="shared" ca="1" si="495"/>
        <v/>
      </c>
      <c r="BN340" s="222" t="str">
        <f t="shared" ca="1" si="495"/>
        <v/>
      </c>
      <c r="BO340" s="222" t="str">
        <f t="shared" ca="1" si="495"/>
        <v/>
      </c>
      <c r="BP340" s="222" t="str">
        <f t="shared" ca="1" si="495"/>
        <v/>
      </c>
      <c r="BQ340" s="222" t="str">
        <f t="shared" ca="1" si="495"/>
        <v/>
      </c>
      <c r="BR340" s="222" t="str">
        <f t="shared" ca="1" si="495"/>
        <v/>
      </c>
      <c r="BS340" s="222" t="str">
        <f t="shared" ca="1" si="495"/>
        <v/>
      </c>
      <c r="BT340" s="222" t="str">
        <f t="shared" ca="1" si="496"/>
        <v/>
      </c>
      <c r="BU340" s="222" t="str">
        <f t="shared" ca="1" si="496"/>
        <v/>
      </c>
      <c r="BV340" s="222" t="str">
        <f t="shared" ca="1" si="496"/>
        <v/>
      </c>
      <c r="BW340" s="222" t="str">
        <f t="shared" ca="1" si="496"/>
        <v/>
      </c>
      <c r="BX340" s="222" t="str">
        <f t="shared" ca="1" si="496"/>
        <v/>
      </c>
      <c r="BY340" s="222" t="str">
        <f t="shared" ca="1" si="496"/>
        <v/>
      </c>
      <c r="BZ340" s="368" t="str">
        <f t="shared" ca="1" si="496"/>
        <v/>
      </c>
      <c r="CC340" s="482">
        <f t="shared" si="488"/>
        <v>19</v>
      </c>
    </row>
    <row r="341" spans="1:81">
      <c r="A341" s="326" t="str">
        <v>VUSXX</v>
      </c>
      <c r="B341" s="222">
        <f t="shared" ref="B341:K350" ca="1" si="497">IF(OR($A341="",B$320=""), "", IF((COLUMN()-COLUMN($A341)) &gt; (1+$CC341), "", PEARSON(OFFSET($B$8, 0, $CC341, $A$320+1, 1), B$8:B$153)))</f>
        <v>-0.10666136895782923</v>
      </c>
      <c r="C341" s="222">
        <f t="shared" ca="1" si="497"/>
        <v>7.5767062504846758E-2</v>
      </c>
      <c r="D341" s="222">
        <f t="shared" ca="1" si="497"/>
        <v>-0.10324857652686321</v>
      </c>
      <c r="E341" s="222">
        <f t="shared" ca="1" si="497"/>
        <v>2.1001769515858131E-2</v>
      </c>
      <c r="F341" s="222">
        <f t="shared" ca="1" si="497"/>
        <v>2.5305224999315867E-2</v>
      </c>
      <c r="G341" s="222">
        <f t="shared" ca="1" si="497"/>
        <v>6.3004363112016459E-2</v>
      </c>
      <c r="H341" s="222">
        <f t="shared" ca="1" si="497"/>
        <v>1.3985040610598602E-2</v>
      </c>
      <c r="I341" s="222">
        <f t="shared" ca="1" si="497"/>
        <v>-1.0149475510459031E-2</v>
      </c>
      <c r="J341" s="222">
        <f t="shared" ca="1" si="497"/>
        <v>-8.353397847462897E-2</v>
      </c>
      <c r="K341" s="222">
        <f t="shared" ca="1" si="497"/>
        <v>-2.1122789925824798E-2</v>
      </c>
      <c r="L341" s="222">
        <f t="shared" ref="L341:U350" ca="1" si="498">IF(OR($A341="",L$320=""), "", IF((COLUMN()-COLUMN($A341)) &gt; (1+$CC341), "", PEARSON(OFFSET($B$8, 0, $CC341, $A$320+1, 1), L$8:L$153)))</f>
        <v>2.297468869493435E-2</v>
      </c>
      <c r="M341" s="222">
        <f t="shared" ca="1" si="498"/>
        <v>3.7202731745114091E-2</v>
      </c>
      <c r="N341" s="222">
        <f t="shared" ca="1" si="498"/>
        <v>3.4917470667658476E-2</v>
      </c>
      <c r="O341" s="222">
        <f t="shared" ca="1" si="498"/>
        <v>6.4105457322890837E-3</v>
      </c>
      <c r="P341" s="222">
        <f t="shared" ca="1" si="498"/>
        <v>4.3301244424817475E-2</v>
      </c>
      <c r="Q341" s="222">
        <f t="shared" ca="1" si="498"/>
        <v>5.9645255231848056E-2</v>
      </c>
      <c r="R341" s="222">
        <f t="shared" ca="1" si="498"/>
        <v>7.9506312059021755E-2</v>
      </c>
      <c r="S341" s="222">
        <f t="shared" ca="1" si="498"/>
        <v>5.1714864048190215E-2</v>
      </c>
      <c r="T341" s="222">
        <f t="shared" ca="1" si="498"/>
        <v>0.39488789383924666</v>
      </c>
      <c r="U341" s="222">
        <f t="shared" ca="1" si="498"/>
        <v>0.49301270759007332</v>
      </c>
      <c r="V341" s="222">
        <f t="shared" ref="V341:AE350" ca="1" si="499">IF(OR($A341="",V$320=""), "", IF((COLUMN()-COLUMN($A341)) &gt; (1+$CC341), "", PEARSON(OFFSET($B$8, 0, $CC341, $A$320+1, 1), V$8:V$153)))</f>
        <v>0.99999999999999989</v>
      </c>
      <c r="W341" s="222" t="str">
        <f t="shared" ca="1" si="499"/>
        <v/>
      </c>
      <c r="X341" s="222" t="str">
        <f t="shared" ca="1" si="499"/>
        <v/>
      </c>
      <c r="Y341" s="222" t="str">
        <f t="shared" ca="1" si="499"/>
        <v/>
      </c>
      <c r="Z341" s="222" t="str">
        <f t="shared" ca="1" si="499"/>
        <v/>
      </c>
      <c r="AA341" s="222" t="str">
        <f t="shared" ca="1" si="499"/>
        <v/>
      </c>
      <c r="AB341" s="222" t="str">
        <f t="shared" ca="1" si="499"/>
        <v/>
      </c>
      <c r="AC341" s="222" t="str">
        <f t="shared" ca="1" si="499"/>
        <v/>
      </c>
      <c r="AD341" s="222" t="str">
        <f t="shared" ca="1" si="499"/>
        <v/>
      </c>
      <c r="AE341" s="222" t="str">
        <f t="shared" ca="1" si="499"/>
        <v/>
      </c>
      <c r="AF341" s="222" t="str">
        <f t="shared" ref="AF341:AO350" ca="1" si="500">IF(OR($A341="",AF$320=""), "", IF((COLUMN()-COLUMN($A341)) &gt; (1+$CC341), "", PEARSON(OFFSET($B$8, 0, $CC341, $A$320+1, 1), AF$8:AF$153)))</f>
        <v/>
      </c>
      <c r="AG341" s="222" t="str">
        <f t="shared" ca="1" si="500"/>
        <v/>
      </c>
      <c r="AH341" s="222" t="str">
        <f t="shared" ca="1" si="500"/>
        <v/>
      </c>
      <c r="AI341" s="222" t="str">
        <f t="shared" ca="1" si="500"/>
        <v/>
      </c>
      <c r="AJ341" s="222" t="str">
        <f t="shared" ca="1" si="500"/>
        <v/>
      </c>
      <c r="AK341" s="222" t="str">
        <f t="shared" ca="1" si="500"/>
        <v/>
      </c>
      <c r="AL341" s="222" t="str">
        <f t="shared" ca="1" si="500"/>
        <v/>
      </c>
      <c r="AM341" s="222" t="str">
        <f t="shared" ca="1" si="500"/>
        <v/>
      </c>
      <c r="AN341" s="222" t="str">
        <f t="shared" ca="1" si="500"/>
        <v/>
      </c>
      <c r="AO341" s="222" t="str">
        <f t="shared" ca="1" si="500"/>
        <v/>
      </c>
      <c r="AP341" s="222" t="str">
        <f t="shared" ref="AP341:AY350" ca="1" si="501">IF(OR($A341="",AP$320=""), "", IF((COLUMN()-COLUMN($A341)) &gt; (1+$CC341), "", PEARSON(OFFSET($B$8, 0, $CC341, $A$320+1, 1), AP$8:AP$153)))</f>
        <v/>
      </c>
      <c r="AQ341" s="222" t="str">
        <f t="shared" ca="1" si="501"/>
        <v/>
      </c>
      <c r="AR341" s="222" t="str">
        <f t="shared" ca="1" si="501"/>
        <v/>
      </c>
      <c r="AS341" s="222" t="str">
        <f t="shared" ca="1" si="501"/>
        <v/>
      </c>
      <c r="AT341" s="222" t="str">
        <f t="shared" ca="1" si="501"/>
        <v/>
      </c>
      <c r="AU341" s="222" t="str">
        <f t="shared" ca="1" si="501"/>
        <v/>
      </c>
      <c r="AV341" s="222" t="str">
        <f t="shared" ca="1" si="501"/>
        <v/>
      </c>
      <c r="AW341" s="222" t="str">
        <f t="shared" ca="1" si="501"/>
        <v/>
      </c>
      <c r="AX341" s="222" t="str">
        <f t="shared" ca="1" si="501"/>
        <v/>
      </c>
      <c r="AY341" s="222" t="str">
        <f t="shared" ca="1" si="501"/>
        <v/>
      </c>
      <c r="AZ341" s="222" t="str">
        <f t="shared" ref="AZ341:BI350" ca="1" si="502">IF(OR($A341="",AZ$320=""), "", IF((COLUMN()-COLUMN($A341)) &gt; (1+$CC341), "", PEARSON(OFFSET($B$8, 0, $CC341, $A$320+1, 1), AZ$8:AZ$153)))</f>
        <v/>
      </c>
      <c r="BA341" s="222" t="str">
        <f t="shared" ca="1" si="502"/>
        <v/>
      </c>
      <c r="BB341" s="222" t="str">
        <f t="shared" ca="1" si="502"/>
        <v/>
      </c>
      <c r="BC341" s="222" t="str">
        <f t="shared" ca="1" si="502"/>
        <v/>
      </c>
      <c r="BD341" s="222" t="str">
        <f t="shared" ca="1" si="502"/>
        <v/>
      </c>
      <c r="BE341" s="222" t="str">
        <f t="shared" ca="1" si="502"/>
        <v/>
      </c>
      <c r="BF341" s="222" t="str">
        <f t="shared" ca="1" si="502"/>
        <v/>
      </c>
      <c r="BG341" s="222" t="str">
        <f t="shared" ca="1" si="502"/>
        <v/>
      </c>
      <c r="BH341" s="222" t="str">
        <f t="shared" ca="1" si="502"/>
        <v/>
      </c>
      <c r="BI341" s="222" t="str">
        <f t="shared" ca="1" si="502"/>
        <v/>
      </c>
      <c r="BJ341" s="222" t="str">
        <f t="shared" ref="BJ341:BS350" ca="1" si="503">IF(OR($A341="",BJ$320=""), "", IF((COLUMN()-COLUMN($A341)) &gt; (1+$CC341), "", PEARSON(OFFSET($B$8, 0, $CC341, $A$320+1, 1), BJ$8:BJ$153)))</f>
        <v/>
      </c>
      <c r="BK341" s="222" t="str">
        <f t="shared" ca="1" si="503"/>
        <v/>
      </c>
      <c r="BL341" s="222" t="str">
        <f t="shared" ca="1" si="503"/>
        <v/>
      </c>
      <c r="BM341" s="222" t="str">
        <f t="shared" ca="1" si="503"/>
        <v/>
      </c>
      <c r="BN341" s="222" t="str">
        <f t="shared" ca="1" si="503"/>
        <v/>
      </c>
      <c r="BO341" s="222" t="str">
        <f t="shared" ca="1" si="503"/>
        <v/>
      </c>
      <c r="BP341" s="222" t="str">
        <f t="shared" ca="1" si="503"/>
        <v/>
      </c>
      <c r="BQ341" s="222" t="str">
        <f t="shared" ca="1" si="503"/>
        <v/>
      </c>
      <c r="BR341" s="222" t="str">
        <f t="shared" ca="1" si="503"/>
        <v/>
      </c>
      <c r="BS341" s="222" t="str">
        <f t="shared" ca="1" si="503"/>
        <v/>
      </c>
      <c r="BT341" s="222" t="str">
        <f t="shared" ref="BT341:BZ350" ca="1" si="504">IF(OR($A341="",BT$320=""), "", IF((COLUMN()-COLUMN($A341)) &gt; (1+$CC341), "", PEARSON(OFFSET($B$8, 0, $CC341, $A$320+1, 1), BT$8:BT$153)))</f>
        <v/>
      </c>
      <c r="BU341" s="222" t="str">
        <f t="shared" ca="1" si="504"/>
        <v/>
      </c>
      <c r="BV341" s="222" t="str">
        <f t="shared" ca="1" si="504"/>
        <v/>
      </c>
      <c r="BW341" s="222" t="str">
        <f t="shared" ca="1" si="504"/>
        <v/>
      </c>
      <c r="BX341" s="222" t="str">
        <f t="shared" ca="1" si="504"/>
        <v/>
      </c>
      <c r="BY341" s="222" t="str">
        <f t="shared" ca="1" si="504"/>
        <v/>
      </c>
      <c r="BZ341" s="368" t="str">
        <f t="shared" ca="1" si="504"/>
        <v/>
      </c>
      <c r="CC341" s="482">
        <f t="shared" si="488"/>
        <v>20</v>
      </c>
    </row>
    <row r="342" spans="1:81">
      <c r="A342" s="326" t="str">
        <v>VIPSX</v>
      </c>
      <c r="B342" s="222">
        <f t="shared" ca="1" si="497"/>
        <v>0.13429769744433012</v>
      </c>
      <c r="C342" s="222">
        <f t="shared" ca="1" si="497"/>
        <v>0.11232002589739684</v>
      </c>
      <c r="D342" s="222">
        <f t="shared" ca="1" si="497"/>
        <v>0.10727454607549676</v>
      </c>
      <c r="E342" s="222">
        <f t="shared" ca="1" si="497"/>
        <v>9.739095973148644E-2</v>
      </c>
      <c r="F342" s="222">
        <f t="shared" ca="1" si="497"/>
        <v>0.20570860516025788</v>
      </c>
      <c r="G342" s="222">
        <f t="shared" ca="1" si="497"/>
        <v>0.1783630168364832</v>
      </c>
      <c r="H342" s="222">
        <f t="shared" ca="1" si="497"/>
        <v>0.19683724807282943</v>
      </c>
      <c r="I342" s="222">
        <f t="shared" ca="1" si="497"/>
        <v>0.23452826768644958</v>
      </c>
      <c r="J342" s="222">
        <f t="shared" ca="1" si="497"/>
        <v>0.17804639008933962</v>
      </c>
      <c r="K342" s="222">
        <f t="shared" ca="1" si="497"/>
        <v>0.2456496586635904</v>
      </c>
      <c r="L342" s="222">
        <f t="shared" ca="1" si="498"/>
        <v>0.35677749937022746</v>
      </c>
      <c r="M342" s="222">
        <f t="shared" ca="1" si="498"/>
        <v>0.46622060045009434</v>
      </c>
      <c r="N342" s="222">
        <f t="shared" ca="1" si="498"/>
        <v>0.39893041698417059</v>
      </c>
      <c r="O342" s="222">
        <f t="shared" ca="1" si="498"/>
        <v>0.27020430945987056</v>
      </c>
      <c r="P342" s="222">
        <f t="shared" ca="1" si="498"/>
        <v>0.25694306051467308</v>
      </c>
      <c r="Q342" s="222">
        <f t="shared" ca="1" si="498"/>
        <v>0.37813481647438635</v>
      </c>
      <c r="R342" s="222">
        <f t="shared" ca="1" si="498"/>
        <v>0.11563506940615231</v>
      </c>
      <c r="S342" s="222">
        <f t="shared" ca="1" si="498"/>
        <v>5.9007340380334505E-2</v>
      </c>
      <c r="T342" s="222">
        <f t="shared" ca="1" si="498"/>
        <v>4.3350623071465394E-2</v>
      </c>
      <c r="U342" s="222">
        <f t="shared" ca="1" si="498"/>
        <v>0.13804178781695309</v>
      </c>
      <c r="V342" s="222">
        <f t="shared" ca="1" si="499"/>
        <v>0.16198710010365727</v>
      </c>
      <c r="W342" s="222">
        <f t="shared" ca="1" si="499"/>
        <v>1.0000000000000002</v>
      </c>
      <c r="X342" s="222" t="str">
        <f t="shared" ca="1" si="499"/>
        <v/>
      </c>
      <c r="Y342" s="222" t="str">
        <f t="shared" ca="1" si="499"/>
        <v/>
      </c>
      <c r="Z342" s="222" t="str">
        <f t="shared" ca="1" si="499"/>
        <v/>
      </c>
      <c r="AA342" s="222" t="str">
        <f t="shared" ca="1" si="499"/>
        <v/>
      </c>
      <c r="AB342" s="222" t="str">
        <f t="shared" ca="1" si="499"/>
        <v/>
      </c>
      <c r="AC342" s="222" t="str">
        <f t="shared" ca="1" si="499"/>
        <v/>
      </c>
      <c r="AD342" s="222" t="str">
        <f t="shared" ca="1" si="499"/>
        <v/>
      </c>
      <c r="AE342" s="222" t="str">
        <f t="shared" ca="1" si="499"/>
        <v/>
      </c>
      <c r="AF342" s="222" t="str">
        <f t="shared" ca="1" si="500"/>
        <v/>
      </c>
      <c r="AG342" s="222" t="str">
        <f t="shared" ca="1" si="500"/>
        <v/>
      </c>
      <c r="AH342" s="222" t="str">
        <f t="shared" ca="1" si="500"/>
        <v/>
      </c>
      <c r="AI342" s="222" t="str">
        <f t="shared" ca="1" si="500"/>
        <v/>
      </c>
      <c r="AJ342" s="222" t="str">
        <f t="shared" ca="1" si="500"/>
        <v/>
      </c>
      <c r="AK342" s="222" t="str">
        <f t="shared" ca="1" si="500"/>
        <v/>
      </c>
      <c r="AL342" s="222" t="str">
        <f t="shared" ca="1" si="500"/>
        <v/>
      </c>
      <c r="AM342" s="222" t="str">
        <f t="shared" ca="1" si="500"/>
        <v/>
      </c>
      <c r="AN342" s="222" t="str">
        <f t="shared" ca="1" si="500"/>
        <v/>
      </c>
      <c r="AO342" s="222" t="str">
        <f t="shared" ca="1" si="500"/>
        <v/>
      </c>
      <c r="AP342" s="222" t="str">
        <f t="shared" ca="1" si="501"/>
        <v/>
      </c>
      <c r="AQ342" s="222" t="str">
        <f t="shared" ca="1" si="501"/>
        <v/>
      </c>
      <c r="AR342" s="222" t="str">
        <f t="shared" ca="1" si="501"/>
        <v/>
      </c>
      <c r="AS342" s="222" t="str">
        <f t="shared" ca="1" si="501"/>
        <v/>
      </c>
      <c r="AT342" s="222" t="str">
        <f t="shared" ca="1" si="501"/>
        <v/>
      </c>
      <c r="AU342" s="222" t="str">
        <f t="shared" ca="1" si="501"/>
        <v/>
      </c>
      <c r="AV342" s="222" t="str">
        <f t="shared" ca="1" si="501"/>
        <v/>
      </c>
      <c r="AW342" s="222" t="str">
        <f t="shared" ca="1" si="501"/>
        <v/>
      </c>
      <c r="AX342" s="222" t="str">
        <f t="shared" ca="1" si="501"/>
        <v/>
      </c>
      <c r="AY342" s="222" t="str">
        <f t="shared" ca="1" si="501"/>
        <v/>
      </c>
      <c r="AZ342" s="222" t="str">
        <f t="shared" ca="1" si="502"/>
        <v/>
      </c>
      <c r="BA342" s="222" t="str">
        <f t="shared" ca="1" si="502"/>
        <v/>
      </c>
      <c r="BB342" s="222" t="str">
        <f t="shared" ca="1" si="502"/>
        <v/>
      </c>
      <c r="BC342" s="222" t="str">
        <f t="shared" ca="1" si="502"/>
        <v/>
      </c>
      <c r="BD342" s="222" t="str">
        <f t="shared" ca="1" si="502"/>
        <v/>
      </c>
      <c r="BE342" s="222" t="str">
        <f t="shared" ca="1" si="502"/>
        <v/>
      </c>
      <c r="BF342" s="222" t="str">
        <f t="shared" ca="1" si="502"/>
        <v/>
      </c>
      <c r="BG342" s="222" t="str">
        <f t="shared" ca="1" si="502"/>
        <v/>
      </c>
      <c r="BH342" s="222" t="str">
        <f t="shared" ca="1" si="502"/>
        <v/>
      </c>
      <c r="BI342" s="222" t="str">
        <f t="shared" ca="1" si="502"/>
        <v/>
      </c>
      <c r="BJ342" s="222" t="str">
        <f t="shared" ca="1" si="503"/>
        <v/>
      </c>
      <c r="BK342" s="222" t="str">
        <f t="shared" ca="1" si="503"/>
        <v/>
      </c>
      <c r="BL342" s="222" t="str">
        <f t="shared" ca="1" si="503"/>
        <v/>
      </c>
      <c r="BM342" s="222" t="str">
        <f t="shared" ca="1" si="503"/>
        <v/>
      </c>
      <c r="BN342" s="222" t="str">
        <f t="shared" ca="1" si="503"/>
        <v/>
      </c>
      <c r="BO342" s="222" t="str">
        <f t="shared" ca="1" si="503"/>
        <v/>
      </c>
      <c r="BP342" s="222" t="str">
        <f t="shared" ca="1" si="503"/>
        <v/>
      </c>
      <c r="BQ342" s="222" t="str">
        <f t="shared" ca="1" si="503"/>
        <v/>
      </c>
      <c r="BR342" s="222" t="str">
        <f t="shared" ca="1" si="503"/>
        <v/>
      </c>
      <c r="BS342" s="222" t="str">
        <f t="shared" ca="1" si="503"/>
        <v/>
      </c>
      <c r="BT342" s="222" t="str">
        <f t="shared" ca="1" si="504"/>
        <v/>
      </c>
      <c r="BU342" s="222" t="str">
        <f t="shared" ca="1" si="504"/>
        <v/>
      </c>
      <c r="BV342" s="222" t="str">
        <f t="shared" ca="1" si="504"/>
        <v/>
      </c>
      <c r="BW342" s="222" t="str">
        <f t="shared" ca="1" si="504"/>
        <v/>
      </c>
      <c r="BX342" s="222" t="str">
        <f t="shared" ca="1" si="504"/>
        <v/>
      </c>
      <c r="BY342" s="222" t="str">
        <f t="shared" ca="1" si="504"/>
        <v/>
      </c>
      <c r="BZ342" s="368" t="str">
        <f t="shared" ca="1" si="504"/>
        <v/>
      </c>
      <c r="CC342" s="482">
        <f t="shared" si="488"/>
        <v>21</v>
      </c>
    </row>
    <row r="343" spans="1:81">
      <c r="A343" s="326" t="str">
        <v>VWELX</v>
      </c>
      <c r="B343" s="222">
        <f t="shared" ca="1" si="497"/>
        <v>0.92259491482520173</v>
      </c>
      <c r="C343" s="222">
        <f t="shared" ca="1" si="497"/>
        <v>0.91681950331194473</v>
      </c>
      <c r="D343" s="222">
        <f t="shared" ca="1" si="497"/>
        <v>0.92142815916865195</v>
      </c>
      <c r="E343" s="222">
        <f t="shared" ca="1" si="497"/>
        <v>0.84163813918063624</v>
      </c>
      <c r="F343" s="222">
        <f t="shared" ca="1" si="497"/>
        <v>0.91887421602151542</v>
      </c>
      <c r="G343" s="222">
        <f t="shared" ca="1" si="497"/>
        <v>0.80161974423450344</v>
      </c>
      <c r="H343" s="222">
        <f t="shared" ca="1" si="497"/>
        <v>0.82686947734079552</v>
      </c>
      <c r="I343" s="222">
        <f t="shared" ca="1" si="497"/>
        <v>0.80306753605603753</v>
      </c>
      <c r="J343" s="222">
        <f t="shared" ca="1" si="497"/>
        <v>0.70233071216789655</v>
      </c>
      <c r="K343" s="222">
        <f t="shared" ca="1" si="497"/>
        <v>0.68549447805478958</v>
      </c>
      <c r="L343" s="222">
        <f t="shared" ca="1" si="498"/>
        <v>0.59900889345885633</v>
      </c>
      <c r="M343" s="222">
        <f t="shared" ca="1" si="498"/>
        <v>0.46992197206844144</v>
      </c>
      <c r="N343" s="222">
        <f t="shared" ca="1" si="498"/>
        <v>0.59676195816909272</v>
      </c>
      <c r="O343" s="222">
        <f t="shared" ca="1" si="498"/>
        <v>0.35020702244006879</v>
      </c>
      <c r="P343" s="222">
        <f t="shared" ca="1" si="498"/>
        <v>0.70401910298390968</v>
      </c>
      <c r="Q343" s="222">
        <f t="shared" ca="1" si="498"/>
        <v>0.55808678411173862</v>
      </c>
      <c r="R343" s="222">
        <f t="shared" ca="1" si="498"/>
        <v>8.1631651409761447E-2</v>
      </c>
      <c r="S343" s="222">
        <f t="shared" ca="1" si="498"/>
        <v>0.22641142215890181</v>
      </c>
      <c r="T343" s="222">
        <f t="shared" ca="1" si="498"/>
        <v>0.27169490098440596</v>
      </c>
      <c r="U343" s="222">
        <f t="shared" ca="1" si="498"/>
        <v>0.46631707624145652</v>
      </c>
      <c r="V343" s="222">
        <f t="shared" ca="1" si="499"/>
        <v>0.12179631412607025</v>
      </c>
      <c r="W343" s="222">
        <f t="shared" ca="1" si="499"/>
        <v>0.18518606384846473</v>
      </c>
      <c r="X343" s="222">
        <f t="shared" ca="1" si="499"/>
        <v>1</v>
      </c>
      <c r="Y343" s="222" t="str">
        <f t="shared" ca="1" si="499"/>
        <v/>
      </c>
      <c r="Z343" s="222" t="str">
        <f t="shared" ca="1" si="499"/>
        <v/>
      </c>
      <c r="AA343" s="222" t="str">
        <f t="shared" ca="1" si="499"/>
        <v/>
      </c>
      <c r="AB343" s="222" t="str">
        <f t="shared" ca="1" si="499"/>
        <v/>
      </c>
      <c r="AC343" s="222" t="str">
        <f t="shared" ca="1" si="499"/>
        <v/>
      </c>
      <c r="AD343" s="222" t="str">
        <f t="shared" ca="1" si="499"/>
        <v/>
      </c>
      <c r="AE343" s="222" t="str">
        <f t="shared" ca="1" si="499"/>
        <v/>
      </c>
      <c r="AF343" s="222" t="str">
        <f t="shared" ca="1" si="500"/>
        <v/>
      </c>
      <c r="AG343" s="222" t="str">
        <f t="shared" ca="1" si="500"/>
        <v/>
      </c>
      <c r="AH343" s="222" t="str">
        <f t="shared" ca="1" si="500"/>
        <v/>
      </c>
      <c r="AI343" s="222" t="str">
        <f t="shared" ca="1" si="500"/>
        <v/>
      </c>
      <c r="AJ343" s="222" t="str">
        <f t="shared" ca="1" si="500"/>
        <v/>
      </c>
      <c r="AK343" s="222" t="str">
        <f t="shared" ca="1" si="500"/>
        <v/>
      </c>
      <c r="AL343" s="222" t="str">
        <f t="shared" ca="1" si="500"/>
        <v/>
      </c>
      <c r="AM343" s="222" t="str">
        <f t="shared" ca="1" si="500"/>
        <v/>
      </c>
      <c r="AN343" s="222" t="str">
        <f t="shared" ca="1" si="500"/>
        <v/>
      </c>
      <c r="AO343" s="222" t="str">
        <f t="shared" ca="1" si="500"/>
        <v/>
      </c>
      <c r="AP343" s="222" t="str">
        <f t="shared" ca="1" si="501"/>
        <v/>
      </c>
      <c r="AQ343" s="222" t="str">
        <f t="shared" ca="1" si="501"/>
        <v/>
      </c>
      <c r="AR343" s="222" t="str">
        <f t="shared" ca="1" si="501"/>
        <v/>
      </c>
      <c r="AS343" s="222" t="str">
        <f t="shared" ca="1" si="501"/>
        <v/>
      </c>
      <c r="AT343" s="222" t="str">
        <f t="shared" ca="1" si="501"/>
        <v/>
      </c>
      <c r="AU343" s="222" t="str">
        <f t="shared" ca="1" si="501"/>
        <v/>
      </c>
      <c r="AV343" s="222" t="str">
        <f t="shared" ca="1" si="501"/>
        <v/>
      </c>
      <c r="AW343" s="222" t="str">
        <f t="shared" ca="1" si="501"/>
        <v/>
      </c>
      <c r="AX343" s="222" t="str">
        <f t="shared" ca="1" si="501"/>
        <v/>
      </c>
      <c r="AY343" s="222" t="str">
        <f t="shared" ca="1" si="501"/>
        <v/>
      </c>
      <c r="AZ343" s="222" t="str">
        <f t="shared" ca="1" si="502"/>
        <v/>
      </c>
      <c r="BA343" s="222" t="str">
        <f t="shared" ca="1" si="502"/>
        <v/>
      </c>
      <c r="BB343" s="222" t="str">
        <f t="shared" ca="1" si="502"/>
        <v/>
      </c>
      <c r="BC343" s="222" t="str">
        <f t="shared" ca="1" si="502"/>
        <v/>
      </c>
      <c r="BD343" s="222" t="str">
        <f t="shared" ca="1" si="502"/>
        <v/>
      </c>
      <c r="BE343" s="222" t="str">
        <f t="shared" ca="1" si="502"/>
        <v/>
      </c>
      <c r="BF343" s="222" t="str">
        <f t="shared" ca="1" si="502"/>
        <v/>
      </c>
      <c r="BG343" s="222" t="str">
        <f t="shared" ca="1" si="502"/>
        <v/>
      </c>
      <c r="BH343" s="222" t="str">
        <f t="shared" ca="1" si="502"/>
        <v/>
      </c>
      <c r="BI343" s="222" t="str">
        <f t="shared" ca="1" si="502"/>
        <v/>
      </c>
      <c r="BJ343" s="222" t="str">
        <f t="shared" ca="1" si="503"/>
        <v/>
      </c>
      <c r="BK343" s="222" t="str">
        <f t="shared" ca="1" si="503"/>
        <v/>
      </c>
      <c r="BL343" s="222" t="str">
        <f t="shared" ca="1" si="503"/>
        <v/>
      </c>
      <c r="BM343" s="222" t="str">
        <f t="shared" ca="1" si="503"/>
        <v/>
      </c>
      <c r="BN343" s="222" t="str">
        <f t="shared" ca="1" si="503"/>
        <v/>
      </c>
      <c r="BO343" s="222" t="str">
        <f t="shared" ca="1" si="503"/>
        <v/>
      </c>
      <c r="BP343" s="222" t="str">
        <f t="shared" ca="1" si="503"/>
        <v/>
      </c>
      <c r="BQ343" s="222" t="str">
        <f t="shared" ca="1" si="503"/>
        <v/>
      </c>
      <c r="BR343" s="222" t="str">
        <f t="shared" ca="1" si="503"/>
        <v/>
      </c>
      <c r="BS343" s="222" t="str">
        <f t="shared" ca="1" si="503"/>
        <v/>
      </c>
      <c r="BT343" s="222" t="str">
        <f t="shared" ca="1" si="504"/>
        <v/>
      </c>
      <c r="BU343" s="222" t="str">
        <f t="shared" ca="1" si="504"/>
        <v/>
      </c>
      <c r="BV343" s="222" t="str">
        <f t="shared" ca="1" si="504"/>
        <v/>
      </c>
      <c r="BW343" s="222" t="str">
        <f t="shared" ca="1" si="504"/>
        <v/>
      </c>
      <c r="BX343" s="222" t="str">
        <f t="shared" ca="1" si="504"/>
        <v/>
      </c>
      <c r="BY343" s="222" t="str">
        <f t="shared" ca="1" si="504"/>
        <v/>
      </c>
      <c r="BZ343" s="368" t="str">
        <f t="shared" ca="1" si="504"/>
        <v/>
      </c>
      <c r="CC343" s="482">
        <f t="shared" si="488"/>
        <v>22</v>
      </c>
    </row>
    <row r="344" spans="1:81">
      <c r="A344" s="326" t="str">
        <v>VWINX</v>
      </c>
      <c r="B344" s="222">
        <f t="shared" ca="1" si="497"/>
        <v>0.6962473637496398</v>
      </c>
      <c r="C344" s="222">
        <f t="shared" ca="1" si="497"/>
        <v>0.75346661903863765</v>
      </c>
      <c r="D344" s="222">
        <f t="shared" ca="1" si="497"/>
        <v>0.70409527574750885</v>
      </c>
      <c r="E344" s="222">
        <f t="shared" ca="1" si="497"/>
        <v>0.60319045499306378</v>
      </c>
      <c r="F344" s="222">
        <f t="shared" ca="1" si="497"/>
        <v>0.7355556032264926</v>
      </c>
      <c r="G344" s="222">
        <f t="shared" ca="1" si="497"/>
        <v>0.68414914742997035</v>
      </c>
      <c r="H344" s="222">
        <f t="shared" ca="1" si="497"/>
        <v>0.61002597665670333</v>
      </c>
      <c r="I344" s="222">
        <f t="shared" ca="1" si="497"/>
        <v>0.58039022097296988</v>
      </c>
      <c r="J344" s="222">
        <f t="shared" ca="1" si="497"/>
        <v>0.50059445466574604</v>
      </c>
      <c r="K344" s="222">
        <f t="shared" ca="1" si="497"/>
        <v>0.61694934092774023</v>
      </c>
      <c r="L344" s="222">
        <f t="shared" ca="1" si="498"/>
        <v>0.40182905027683702</v>
      </c>
      <c r="M344" s="222">
        <f t="shared" ca="1" si="498"/>
        <v>0.3179309899954193</v>
      </c>
      <c r="N344" s="222">
        <f t="shared" ca="1" si="498"/>
        <v>0.40777763473236572</v>
      </c>
      <c r="O344" s="222">
        <f t="shared" ca="1" si="498"/>
        <v>0.16969986261295553</v>
      </c>
      <c r="P344" s="222">
        <f t="shared" ca="1" si="498"/>
        <v>0.54369485395206241</v>
      </c>
      <c r="Q344" s="222">
        <f t="shared" ca="1" si="498"/>
        <v>0.37400113420634823</v>
      </c>
      <c r="R344" s="222">
        <f t="shared" ca="1" si="498"/>
        <v>2.3707922986657155E-2</v>
      </c>
      <c r="S344" s="222">
        <f t="shared" ca="1" si="498"/>
        <v>0.51079152763374813</v>
      </c>
      <c r="T344" s="222">
        <f t="shared" ca="1" si="498"/>
        <v>0.58721504308919781</v>
      </c>
      <c r="U344" s="222">
        <f t="shared" ca="1" si="498"/>
        <v>0.75497285803174874</v>
      </c>
      <c r="V344" s="222">
        <f t="shared" ca="1" si="499"/>
        <v>0.20834629779744301</v>
      </c>
      <c r="W344" s="222">
        <f t="shared" ca="1" si="499"/>
        <v>0.21278420103364826</v>
      </c>
      <c r="X344" s="222">
        <f t="shared" ca="1" si="499"/>
        <v>0.88337439106966953</v>
      </c>
      <c r="Y344" s="222">
        <f t="shared" ca="1" si="499"/>
        <v>1</v>
      </c>
      <c r="Z344" s="222" t="str">
        <f t="shared" ca="1" si="499"/>
        <v/>
      </c>
      <c r="AA344" s="222" t="str">
        <f t="shared" ca="1" si="499"/>
        <v/>
      </c>
      <c r="AB344" s="222" t="str">
        <f t="shared" ca="1" si="499"/>
        <v/>
      </c>
      <c r="AC344" s="222" t="str">
        <f t="shared" ca="1" si="499"/>
        <v/>
      </c>
      <c r="AD344" s="222" t="str">
        <f t="shared" ca="1" si="499"/>
        <v/>
      </c>
      <c r="AE344" s="222" t="str">
        <f t="shared" ca="1" si="499"/>
        <v/>
      </c>
      <c r="AF344" s="222" t="str">
        <f t="shared" ca="1" si="500"/>
        <v/>
      </c>
      <c r="AG344" s="222" t="str">
        <f t="shared" ca="1" si="500"/>
        <v/>
      </c>
      <c r="AH344" s="222" t="str">
        <f t="shared" ca="1" si="500"/>
        <v/>
      </c>
      <c r="AI344" s="222" t="str">
        <f t="shared" ca="1" si="500"/>
        <v/>
      </c>
      <c r="AJ344" s="222" t="str">
        <f t="shared" ca="1" si="500"/>
        <v/>
      </c>
      <c r="AK344" s="222" t="str">
        <f t="shared" ca="1" si="500"/>
        <v/>
      </c>
      <c r="AL344" s="222" t="str">
        <f t="shared" ca="1" si="500"/>
        <v/>
      </c>
      <c r="AM344" s="222" t="str">
        <f t="shared" ca="1" si="500"/>
        <v/>
      </c>
      <c r="AN344" s="222" t="str">
        <f t="shared" ca="1" si="500"/>
        <v/>
      </c>
      <c r="AO344" s="222" t="str">
        <f t="shared" ca="1" si="500"/>
        <v/>
      </c>
      <c r="AP344" s="222" t="str">
        <f t="shared" ca="1" si="501"/>
        <v/>
      </c>
      <c r="AQ344" s="222" t="str">
        <f t="shared" ca="1" si="501"/>
        <v/>
      </c>
      <c r="AR344" s="222" t="str">
        <f t="shared" ca="1" si="501"/>
        <v/>
      </c>
      <c r="AS344" s="222" t="str">
        <f t="shared" ca="1" si="501"/>
        <v/>
      </c>
      <c r="AT344" s="222" t="str">
        <f t="shared" ca="1" si="501"/>
        <v/>
      </c>
      <c r="AU344" s="222" t="str">
        <f t="shared" ca="1" si="501"/>
        <v/>
      </c>
      <c r="AV344" s="222" t="str">
        <f t="shared" ca="1" si="501"/>
        <v/>
      </c>
      <c r="AW344" s="222" t="str">
        <f t="shared" ca="1" si="501"/>
        <v/>
      </c>
      <c r="AX344" s="222" t="str">
        <f t="shared" ca="1" si="501"/>
        <v/>
      </c>
      <c r="AY344" s="222" t="str">
        <f t="shared" ca="1" si="501"/>
        <v/>
      </c>
      <c r="AZ344" s="222" t="str">
        <f t="shared" ca="1" si="502"/>
        <v/>
      </c>
      <c r="BA344" s="222" t="str">
        <f t="shared" ca="1" si="502"/>
        <v/>
      </c>
      <c r="BB344" s="222" t="str">
        <f t="shared" ca="1" si="502"/>
        <v/>
      </c>
      <c r="BC344" s="222" t="str">
        <f t="shared" ca="1" si="502"/>
        <v/>
      </c>
      <c r="BD344" s="222" t="str">
        <f t="shared" ca="1" si="502"/>
        <v/>
      </c>
      <c r="BE344" s="222" t="str">
        <f t="shared" ca="1" si="502"/>
        <v/>
      </c>
      <c r="BF344" s="222" t="str">
        <f t="shared" ca="1" si="502"/>
        <v/>
      </c>
      <c r="BG344" s="222" t="str">
        <f t="shared" ca="1" si="502"/>
        <v/>
      </c>
      <c r="BH344" s="222" t="str">
        <f t="shared" ca="1" si="502"/>
        <v/>
      </c>
      <c r="BI344" s="222" t="str">
        <f t="shared" ca="1" si="502"/>
        <v/>
      </c>
      <c r="BJ344" s="222" t="str">
        <f t="shared" ca="1" si="503"/>
        <v/>
      </c>
      <c r="BK344" s="222" t="str">
        <f t="shared" ca="1" si="503"/>
        <v/>
      </c>
      <c r="BL344" s="222" t="str">
        <f t="shared" ca="1" si="503"/>
        <v/>
      </c>
      <c r="BM344" s="222" t="str">
        <f t="shared" ca="1" si="503"/>
        <v/>
      </c>
      <c r="BN344" s="222" t="str">
        <f t="shared" ca="1" si="503"/>
        <v/>
      </c>
      <c r="BO344" s="222" t="str">
        <f t="shared" ca="1" si="503"/>
        <v/>
      </c>
      <c r="BP344" s="222" t="str">
        <f t="shared" ca="1" si="503"/>
        <v/>
      </c>
      <c r="BQ344" s="222" t="str">
        <f t="shared" ca="1" si="503"/>
        <v/>
      </c>
      <c r="BR344" s="222" t="str">
        <f t="shared" ca="1" si="503"/>
        <v/>
      </c>
      <c r="BS344" s="222" t="str">
        <f t="shared" ca="1" si="503"/>
        <v/>
      </c>
      <c r="BT344" s="222" t="str">
        <f t="shared" ca="1" si="504"/>
        <v/>
      </c>
      <c r="BU344" s="222" t="str">
        <f t="shared" ca="1" si="504"/>
        <v/>
      </c>
      <c r="BV344" s="222" t="str">
        <f t="shared" ca="1" si="504"/>
        <v/>
      </c>
      <c r="BW344" s="222" t="str">
        <f t="shared" ca="1" si="504"/>
        <v/>
      </c>
      <c r="BX344" s="222" t="str">
        <f t="shared" ca="1" si="504"/>
        <v/>
      </c>
      <c r="BY344" s="222" t="str">
        <f t="shared" ca="1" si="504"/>
        <v/>
      </c>
      <c r="BZ344" s="368" t="str">
        <f t="shared" ca="1" si="504"/>
        <v/>
      </c>
      <c r="CC344" s="482">
        <f t="shared" si="488"/>
        <v>23</v>
      </c>
    </row>
    <row r="345" spans="1:81">
      <c r="A345" s="326" t="str">
        <v>VWNDX</v>
      </c>
      <c r="B345" s="222">
        <f t="shared" ca="1" si="497"/>
        <v>0.85682814721785305</v>
      </c>
      <c r="C345" s="222">
        <f t="shared" ca="1" si="497"/>
        <v>0.92395017686199954</v>
      </c>
      <c r="D345" s="222">
        <f t="shared" ca="1" si="497"/>
        <v>0.82714882756683938</v>
      </c>
      <c r="E345" s="222">
        <f t="shared" ca="1" si="497"/>
        <v>0.7100665578270583</v>
      </c>
      <c r="F345" s="222">
        <f t="shared" ca="1" si="497"/>
        <v>0.93546417261879244</v>
      </c>
      <c r="G345" s="222">
        <f t="shared" ca="1" si="497"/>
        <v>0.92578806869812202</v>
      </c>
      <c r="H345" s="222">
        <f t="shared" ca="1" si="497"/>
        <v>0.90276315185353495</v>
      </c>
      <c r="I345" s="222">
        <f t="shared" ca="1" si="497"/>
        <v>0.83653832723210608</v>
      </c>
      <c r="J345" s="222">
        <f t="shared" ca="1" si="497"/>
        <v>0.82788912731362885</v>
      </c>
      <c r="K345" s="222">
        <f t="shared" ca="1" si="497"/>
        <v>0.76530118892936438</v>
      </c>
      <c r="L345" s="222">
        <f t="shared" ca="1" si="498"/>
        <v>0.59362725216504664</v>
      </c>
      <c r="M345" s="222">
        <f t="shared" ca="1" si="498"/>
        <v>0.49407945781102186</v>
      </c>
      <c r="N345" s="222">
        <f t="shared" ca="1" si="498"/>
        <v>0.59450473346182986</v>
      </c>
      <c r="O345" s="222">
        <f t="shared" ca="1" si="498"/>
        <v>0.39341244537749442</v>
      </c>
      <c r="P345" s="222">
        <f t="shared" ca="1" si="498"/>
        <v>0.62916246323947034</v>
      </c>
      <c r="Q345" s="222">
        <f t="shared" ca="1" si="498"/>
        <v>0.58648945694237697</v>
      </c>
      <c r="R345" s="222">
        <f t="shared" ca="1" si="498"/>
        <v>2.6081758669907446E-2</v>
      </c>
      <c r="S345" s="222">
        <f t="shared" ca="1" si="498"/>
        <v>-2.0656925825198076E-2</v>
      </c>
      <c r="T345" s="222">
        <f t="shared" ca="1" si="498"/>
        <v>2.1695112409439735E-2</v>
      </c>
      <c r="U345" s="222">
        <f t="shared" ca="1" si="498"/>
        <v>0.26242537535996624</v>
      </c>
      <c r="V345" s="222">
        <f t="shared" ca="1" si="499"/>
        <v>0.10355864784657384</v>
      </c>
      <c r="W345" s="222">
        <f t="shared" ca="1" si="499"/>
        <v>0.2077073868937486</v>
      </c>
      <c r="X345" s="222">
        <f t="shared" ca="1" si="499"/>
        <v>0.89160422552850582</v>
      </c>
      <c r="Y345" s="222">
        <f t="shared" ca="1" si="499"/>
        <v>0.73334589255077787</v>
      </c>
      <c r="Z345" s="222">
        <f t="shared" ca="1" si="499"/>
        <v>1.0000000000000002</v>
      </c>
      <c r="AA345" s="222" t="str">
        <f t="shared" ca="1" si="499"/>
        <v/>
      </c>
      <c r="AB345" s="222" t="str">
        <f t="shared" ca="1" si="499"/>
        <v/>
      </c>
      <c r="AC345" s="222" t="str">
        <f t="shared" ca="1" si="499"/>
        <v/>
      </c>
      <c r="AD345" s="222" t="str">
        <f t="shared" ca="1" si="499"/>
        <v/>
      </c>
      <c r="AE345" s="222" t="str">
        <f t="shared" ca="1" si="499"/>
        <v/>
      </c>
      <c r="AF345" s="222" t="str">
        <f t="shared" ca="1" si="500"/>
        <v/>
      </c>
      <c r="AG345" s="222" t="str">
        <f t="shared" ca="1" si="500"/>
        <v/>
      </c>
      <c r="AH345" s="222" t="str">
        <f t="shared" ca="1" si="500"/>
        <v/>
      </c>
      <c r="AI345" s="222" t="str">
        <f t="shared" ca="1" si="500"/>
        <v/>
      </c>
      <c r="AJ345" s="222" t="str">
        <f t="shared" ca="1" si="500"/>
        <v/>
      </c>
      <c r="AK345" s="222" t="str">
        <f t="shared" ca="1" si="500"/>
        <v/>
      </c>
      <c r="AL345" s="222" t="str">
        <f t="shared" ca="1" si="500"/>
        <v/>
      </c>
      <c r="AM345" s="222" t="str">
        <f t="shared" ca="1" si="500"/>
        <v/>
      </c>
      <c r="AN345" s="222" t="str">
        <f t="shared" ca="1" si="500"/>
        <v/>
      </c>
      <c r="AO345" s="222" t="str">
        <f t="shared" ca="1" si="500"/>
        <v/>
      </c>
      <c r="AP345" s="222" t="str">
        <f t="shared" ca="1" si="501"/>
        <v/>
      </c>
      <c r="AQ345" s="222" t="str">
        <f t="shared" ca="1" si="501"/>
        <v/>
      </c>
      <c r="AR345" s="222" t="str">
        <f t="shared" ca="1" si="501"/>
        <v/>
      </c>
      <c r="AS345" s="222" t="str">
        <f t="shared" ca="1" si="501"/>
        <v/>
      </c>
      <c r="AT345" s="222" t="str">
        <f t="shared" ca="1" si="501"/>
        <v/>
      </c>
      <c r="AU345" s="222" t="str">
        <f t="shared" ca="1" si="501"/>
        <v/>
      </c>
      <c r="AV345" s="222" t="str">
        <f t="shared" ca="1" si="501"/>
        <v/>
      </c>
      <c r="AW345" s="222" t="str">
        <f t="shared" ca="1" si="501"/>
        <v/>
      </c>
      <c r="AX345" s="222" t="str">
        <f t="shared" ca="1" si="501"/>
        <v/>
      </c>
      <c r="AY345" s="222" t="str">
        <f t="shared" ca="1" si="501"/>
        <v/>
      </c>
      <c r="AZ345" s="222" t="str">
        <f t="shared" ca="1" si="502"/>
        <v/>
      </c>
      <c r="BA345" s="222" t="str">
        <f t="shared" ca="1" si="502"/>
        <v/>
      </c>
      <c r="BB345" s="222" t="str">
        <f t="shared" ca="1" si="502"/>
        <v/>
      </c>
      <c r="BC345" s="222" t="str">
        <f t="shared" ca="1" si="502"/>
        <v/>
      </c>
      <c r="BD345" s="222" t="str">
        <f t="shared" ca="1" si="502"/>
        <v/>
      </c>
      <c r="BE345" s="222" t="str">
        <f t="shared" ca="1" si="502"/>
        <v/>
      </c>
      <c r="BF345" s="222" t="str">
        <f t="shared" ca="1" si="502"/>
        <v/>
      </c>
      <c r="BG345" s="222" t="str">
        <f t="shared" ca="1" si="502"/>
        <v/>
      </c>
      <c r="BH345" s="222" t="str">
        <f t="shared" ca="1" si="502"/>
        <v/>
      </c>
      <c r="BI345" s="222" t="str">
        <f t="shared" ca="1" si="502"/>
        <v/>
      </c>
      <c r="BJ345" s="222" t="str">
        <f t="shared" ca="1" si="503"/>
        <v/>
      </c>
      <c r="BK345" s="222" t="str">
        <f t="shared" ca="1" si="503"/>
        <v/>
      </c>
      <c r="BL345" s="222" t="str">
        <f t="shared" ca="1" si="503"/>
        <v/>
      </c>
      <c r="BM345" s="222" t="str">
        <f t="shared" ca="1" si="503"/>
        <v/>
      </c>
      <c r="BN345" s="222" t="str">
        <f t="shared" ca="1" si="503"/>
        <v/>
      </c>
      <c r="BO345" s="222" t="str">
        <f t="shared" ca="1" si="503"/>
        <v/>
      </c>
      <c r="BP345" s="222" t="str">
        <f t="shared" ca="1" si="503"/>
        <v/>
      </c>
      <c r="BQ345" s="222" t="str">
        <f t="shared" ca="1" si="503"/>
        <v/>
      </c>
      <c r="BR345" s="222" t="str">
        <f t="shared" ca="1" si="503"/>
        <v/>
      </c>
      <c r="BS345" s="222" t="str">
        <f t="shared" ca="1" si="503"/>
        <v/>
      </c>
      <c r="BT345" s="222" t="str">
        <f t="shared" ca="1" si="504"/>
        <v/>
      </c>
      <c r="BU345" s="222" t="str">
        <f t="shared" ca="1" si="504"/>
        <v/>
      </c>
      <c r="BV345" s="222" t="str">
        <f t="shared" ca="1" si="504"/>
        <v/>
      </c>
      <c r="BW345" s="222" t="str">
        <f t="shared" ca="1" si="504"/>
        <v/>
      </c>
      <c r="BX345" s="222" t="str">
        <f t="shared" ca="1" si="504"/>
        <v/>
      </c>
      <c r="BY345" s="222" t="str">
        <f t="shared" ca="1" si="504"/>
        <v/>
      </c>
      <c r="BZ345" s="368" t="str">
        <f t="shared" ca="1" si="504"/>
        <v/>
      </c>
      <c r="CC345" s="482">
        <f t="shared" si="488"/>
        <v>24</v>
      </c>
    </row>
    <row r="346" spans="1:81">
      <c r="A346" s="326" t="str">
        <v>VFISX</v>
      </c>
      <c r="B346" s="222">
        <f t="shared" ca="1" si="497"/>
        <v>3.591176099285677E-2</v>
      </c>
      <c r="C346" s="222">
        <f t="shared" ca="1" si="497"/>
        <v>7.3787895753219757E-2</v>
      </c>
      <c r="D346" s="222">
        <f t="shared" ca="1" si="497"/>
        <v>4.462205845125046E-2</v>
      </c>
      <c r="E346" s="222">
        <f t="shared" ca="1" si="497"/>
        <v>9.3887249080268371E-3</v>
      </c>
      <c r="F346" s="222">
        <f t="shared" ca="1" si="497"/>
        <v>6.9107208414119645E-2</v>
      </c>
      <c r="G346" s="222">
        <f t="shared" ca="1" si="497"/>
        <v>9.9232634930912653E-2</v>
      </c>
      <c r="H346" s="222">
        <f t="shared" ca="1" si="497"/>
        <v>1.8263501746404946E-2</v>
      </c>
      <c r="I346" s="222">
        <f t="shared" ca="1" si="497"/>
        <v>1.6215792916683465E-2</v>
      </c>
      <c r="J346" s="222">
        <f t="shared" ca="1" si="497"/>
        <v>-1.7656417736340912E-2</v>
      </c>
      <c r="K346" s="222">
        <f t="shared" ca="1" si="497"/>
        <v>1.6652326380687168E-2</v>
      </c>
      <c r="L346" s="222">
        <f t="shared" ca="1" si="498"/>
        <v>-5.3772154121120248E-2</v>
      </c>
      <c r="M346" s="222">
        <f t="shared" ca="1" si="498"/>
        <v>-5.8541446408947324E-2</v>
      </c>
      <c r="N346" s="222">
        <f t="shared" ca="1" si="498"/>
        <v>-4.7451583227716455E-2</v>
      </c>
      <c r="O346" s="222">
        <f t="shared" ca="1" si="498"/>
        <v>-8.4646994169423034E-2</v>
      </c>
      <c r="P346" s="222">
        <f t="shared" ca="1" si="498"/>
        <v>-1.6601144775875203E-2</v>
      </c>
      <c r="Q346" s="222">
        <f t="shared" ca="1" si="498"/>
        <v>-5.3515183811731502E-2</v>
      </c>
      <c r="R346" s="222">
        <f t="shared" ca="1" si="498"/>
        <v>-6.6319230188700312E-2</v>
      </c>
      <c r="S346" s="222">
        <f t="shared" ca="1" si="498"/>
        <v>0.46094757895332744</v>
      </c>
      <c r="T346" s="222">
        <f t="shared" ca="1" si="498"/>
        <v>0.70911996595018956</v>
      </c>
      <c r="U346" s="222">
        <f t="shared" ca="1" si="498"/>
        <v>0.79388740248368239</v>
      </c>
      <c r="V346" s="222">
        <f t="shared" ca="1" si="499"/>
        <v>0.81618974338693318</v>
      </c>
      <c r="W346" s="222">
        <f t="shared" ca="1" si="499"/>
        <v>0.16494617227301231</v>
      </c>
      <c r="X346" s="222">
        <f t="shared" ca="1" si="499"/>
        <v>0.22780749220198201</v>
      </c>
      <c r="Y346" s="222">
        <f t="shared" ca="1" si="499"/>
        <v>0.44686662868922927</v>
      </c>
      <c r="Z346" s="222">
        <f t="shared" ca="1" si="499"/>
        <v>0.11583775583667176</v>
      </c>
      <c r="AA346" s="222">
        <f t="shared" ca="1" si="499"/>
        <v>1.0000000000000002</v>
      </c>
      <c r="AB346" s="222" t="str">
        <f t="shared" ca="1" si="499"/>
        <v/>
      </c>
      <c r="AC346" s="222" t="str">
        <f t="shared" ca="1" si="499"/>
        <v/>
      </c>
      <c r="AD346" s="222" t="str">
        <f t="shared" ca="1" si="499"/>
        <v/>
      </c>
      <c r="AE346" s="222" t="str">
        <f t="shared" ca="1" si="499"/>
        <v/>
      </c>
      <c r="AF346" s="222" t="str">
        <f t="shared" ca="1" si="500"/>
        <v/>
      </c>
      <c r="AG346" s="222" t="str">
        <f t="shared" ca="1" si="500"/>
        <v/>
      </c>
      <c r="AH346" s="222" t="str">
        <f t="shared" ca="1" si="500"/>
        <v/>
      </c>
      <c r="AI346" s="222" t="str">
        <f t="shared" ca="1" si="500"/>
        <v/>
      </c>
      <c r="AJ346" s="222" t="str">
        <f t="shared" ca="1" si="500"/>
        <v/>
      </c>
      <c r="AK346" s="222" t="str">
        <f t="shared" ca="1" si="500"/>
        <v/>
      </c>
      <c r="AL346" s="222" t="str">
        <f t="shared" ca="1" si="500"/>
        <v/>
      </c>
      <c r="AM346" s="222" t="str">
        <f t="shared" ca="1" si="500"/>
        <v/>
      </c>
      <c r="AN346" s="222" t="str">
        <f t="shared" ca="1" si="500"/>
        <v/>
      </c>
      <c r="AO346" s="222" t="str">
        <f t="shared" ca="1" si="500"/>
        <v/>
      </c>
      <c r="AP346" s="222" t="str">
        <f t="shared" ca="1" si="501"/>
        <v/>
      </c>
      <c r="AQ346" s="222" t="str">
        <f t="shared" ca="1" si="501"/>
        <v/>
      </c>
      <c r="AR346" s="222" t="str">
        <f t="shared" ca="1" si="501"/>
        <v/>
      </c>
      <c r="AS346" s="222" t="str">
        <f t="shared" ca="1" si="501"/>
        <v/>
      </c>
      <c r="AT346" s="222" t="str">
        <f t="shared" ca="1" si="501"/>
        <v/>
      </c>
      <c r="AU346" s="222" t="str">
        <f t="shared" ca="1" si="501"/>
        <v/>
      </c>
      <c r="AV346" s="222" t="str">
        <f t="shared" ca="1" si="501"/>
        <v/>
      </c>
      <c r="AW346" s="222" t="str">
        <f t="shared" ca="1" si="501"/>
        <v/>
      </c>
      <c r="AX346" s="222" t="str">
        <f t="shared" ca="1" si="501"/>
        <v/>
      </c>
      <c r="AY346" s="222" t="str">
        <f t="shared" ca="1" si="501"/>
        <v/>
      </c>
      <c r="AZ346" s="222" t="str">
        <f t="shared" ca="1" si="502"/>
        <v/>
      </c>
      <c r="BA346" s="222" t="str">
        <f t="shared" ca="1" si="502"/>
        <v/>
      </c>
      <c r="BB346" s="222" t="str">
        <f t="shared" ca="1" si="502"/>
        <v/>
      </c>
      <c r="BC346" s="222" t="str">
        <f t="shared" ca="1" si="502"/>
        <v/>
      </c>
      <c r="BD346" s="222" t="str">
        <f t="shared" ca="1" si="502"/>
        <v/>
      </c>
      <c r="BE346" s="222" t="str">
        <f t="shared" ca="1" si="502"/>
        <v/>
      </c>
      <c r="BF346" s="222" t="str">
        <f t="shared" ca="1" si="502"/>
        <v/>
      </c>
      <c r="BG346" s="222" t="str">
        <f t="shared" ca="1" si="502"/>
        <v/>
      </c>
      <c r="BH346" s="222" t="str">
        <f t="shared" ca="1" si="502"/>
        <v/>
      </c>
      <c r="BI346" s="222" t="str">
        <f t="shared" ca="1" si="502"/>
        <v/>
      </c>
      <c r="BJ346" s="222" t="str">
        <f t="shared" ca="1" si="503"/>
        <v/>
      </c>
      <c r="BK346" s="222" t="str">
        <f t="shared" ca="1" si="503"/>
        <v/>
      </c>
      <c r="BL346" s="222" t="str">
        <f t="shared" ca="1" si="503"/>
        <v/>
      </c>
      <c r="BM346" s="222" t="str">
        <f t="shared" ca="1" si="503"/>
        <v/>
      </c>
      <c r="BN346" s="222" t="str">
        <f t="shared" ca="1" si="503"/>
        <v/>
      </c>
      <c r="BO346" s="222" t="str">
        <f t="shared" ca="1" si="503"/>
        <v/>
      </c>
      <c r="BP346" s="222" t="str">
        <f t="shared" ca="1" si="503"/>
        <v/>
      </c>
      <c r="BQ346" s="222" t="str">
        <f t="shared" ca="1" si="503"/>
        <v/>
      </c>
      <c r="BR346" s="222" t="str">
        <f t="shared" ca="1" si="503"/>
        <v/>
      </c>
      <c r="BS346" s="222" t="str">
        <f t="shared" ca="1" si="503"/>
        <v/>
      </c>
      <c r="BT346" s="222" t="str">
        <f t="shared" ca="1" si="504"/>
        <v/>
      </c>
      <c r="BU346" s="222" t="str">
        <f t="shared" ca="1" si="504"/>
        <v/>
      </c>
      <c r="BV346" s="222" t="str">
        <f t="shared" ca="1" si="504"/>
        <v/>
      </c>
      <c r="BW346" s="222" t="str">
        <f t="shared" ca="1" si="504"/>
        <v/>
      </c>
      <c r="BX346" s="222" t="str">
        <f t="shared" ca="1" si="504"/>
        <v/>
      </c>
      <c r="BY346" s="222" t="str">
        <f t="shared" ca="1" si="504"/>
        <v/>
      </c>
      <c r="BZ346" s="368" t="str">
        <f t="shared" ca="1" si="504"/>
        <v/>
      </c>
      <c r="CC346" s="482">
        <f t="shared" si="488"/>
        <v>25</v>
      </c>
    </row>
    <row r="347" spans="1:81">
      <c r="A347" s="326" t="str">
        <v>GLD</v>
      </c>
      <c r="B347" s="222">
        <f t="shared" ca="1" si="497"/>
        <v>-0.237784395928446</v>
      </c>
      <c r="C347" s="222">
        <f t="shared" ca="1" si="497"/>
        <v>-0.27290780193663533</v>
      </c>
      <c r="D347" s="222">
        <f t="shared" ca="1" si="497"/>
        <v>-0.25672373331626053</v>
      </c>
      <c r="E347" s="222">
        <f t="shared" ca="1" si="497"/>
        <v>-0.19159447749253372</v>
      </c>
      <c r="F347" s="222">
        <f t="shared" ca="1" si="497"/>
        <v>-0.23551446829343231</v>
      </c>
      <c r="G347" s="222">
        <f t="shared" ca="1" si="497"/>
        <v>-0.24987598657269561</v>
      </c>
      <c r="H347" s="222">
        <f t="shared" ca="1" si="497"/>
        <v>-0.16033656242886096</v>
      </c>
      <c r="I347" s="222">
        <f t="shared" ca="1" si="497"/>
        <v>-0.10577523622610895</v>
      </c>
      <c r="J347" s="222">
        <f t="shared" ca="1" si="497"/>
        <v>-0.19327211844501696</v>
      </c>
      <c r="K347" s="222">
        <f t="shared" ca="1" si="497"/>
        <v>-8.7760746277965068E-2</v>
      </c>
      <c r="L347" s="222">
        <f t="shared" ca="1" si="498"/>
        <v>-3.6764043262302058E-2</v>
      </c>
      <c r="M347" s="222">
        <f t="shared" ca="1" si="498"/>
        <v>2.8704739157224466E-2</v>
      </c>
      <c r="N347" s="222">
        <f t="shared" ca="1" si="498"/>
        <v>-1.7742834000177496E-2</v>
      </c>
      <c r="O347" s="222">
        <f t="shared" ca="1" si="498"/>
        <v>6.4062925469274626E-2</v>
      </c>
      <c r="P347" s="222">
        <f t="shared" ca="1" si="498"/>
        <v>-7.1262982729253951E-2</v>
      </c>
      <c r="Q347" s="222">
        <f t="shared" ca="1" si="498"/>
        <v>-3.8251157794040688E-2</v>
      </c>
      <c r="R347" s="222">
        <f t="shared" ca="1" si="498"/>
        <v>0.49336558834761796</v>
      </c>
      <c r="S347" s="222">
        <f t="shared" ca="1" si="498"/>
        <v>-0.15334937433913168</v>
      </c>
      <c r="T347" s="222">
        <f t="shared" ca="1" si="498"/>
        <v>-0.10980496275925118</v>
      </c>
      <c r="U347" s="222">
        <f t="shared" ca="1" si="498"/>
        <v>-0.13255294109562085</v>
      </c>
      <c r="V347" s="222">
        <f t="shared" ca="1" si="499"/>
        <v>6.7179740938888996E-2</v>
      </c>
      <c r="W347" s="222">
        <f t="shared" ca="1" si="499"/>
        <v>-5.411576513034444E-2</v>
      </c>
      <c r="X347" s="222">
        <f t="shared" ca="1" si="499"/>
        <v>-0.30609083367094109</v>
      </c>
      <c r="Y347" s="222">
        <f t="shared" ca="1" si="499"/>
        <v>-0.34368519451100704</v>
      </c>
      <c r="Z347" s="222">
        <f t="shared" ca="1" si="499"/>
        <v>-0.32470344744672092</v>
      </c>
      <c r="AA347" s="222">
        <f t="shared" ca="1" si="499"/>
        <v>-2.0705394709887807E-2</v>
      </c>
      <c r="AB347" s="222">
        <f t="shared" ca="1" si="499"/>
        <v>0.99999999999999989</v>
      </c>
      <c r="AC347" s="222" t="str">
        <f t="shared" ca="1" si="499"/>
        <v/>
      </c>
      <c r="AD347" s="222" t="str">
        <f t="shared" ca="1" si="499"/>
        <v/>
      </c>
      <c r="AE347" s="222" t="str">
        <f t="shared" ca="1" si="499"/>
        <v/>
      </c>
      <c r="AF347" s="222" t="str">
        <f t="shared" ca="1" si="500"/>
        <v/>
      </c>
      <c r="AG347" s="222" t="str">
        <f t="shared" ca="1" si="500"/>
        <v/>
      </c>
      <c r="AH347" s="222" t="str">
        <f t="shared" ca="1" si="500"/>
        <v/>
      </c>
      <c r="AI347" s="222" t="str">
        <f t="shared" ca="1" si="500"/>
        <v/>
      </c>
      <c r="AJ347" s="222" t="str">
        <f t="shared" ca="1" si="500"/>
        <v/>
      </c>
      <c r="AK347" s="222" t="str">
        <f t="shared" ca="1" si="500"/>
        <v/>
      </c>
      <c r="AL347" s="222" t="str">
        <f t="shared" ca="1" si="500"/>
        <v/>
      </c>
      <c r="AM347" s="222" t="str">
        <f t="shared" ca="1" si="500"/>
        <v/>
      </c>
      <c r="AN347" s="222" t="str">
        <f t="shared" ca="1" si="500"/>
        <v/>
      </c>
      <c r="AO347" s="222" t="str">
        <f t="shared" ca="1" si="500"/>
        <v/>
      </c>
      <c r="AP347" s="222" t="str">
        <f t="shared" ca="1" si="501"/>
        <v/>
      </c>
      <c r="AQ347" s="222" t="str">
        <f t="shared" ca="1" si="501"/>
        <v/>
      </c>
      <c r="AR347" s="222" t="str">
        <f t="shared" ca="1" si="501"/>
        <v/>
      </c>
      <c r="AS347" s="222" t="str">
        <f t="shared" ca="1" si="501"/>
        <v/>
      </c>
      <c r="AT347" s="222" t="str">
        <f t="shared" ca="1" si="501"/>
        <v/>
      </c>
      <c r="AU347" s="222" t="str">
        <f t="shared" ca="1" si="501"/>
        <v/>
      </c>
      <c r="AV347" s="222" t="str">
        <f t="shared" ca="1" si="501"/>
        <v/>
      </c>
      <c r="AW347" s="222" t="str">
        <f t="shared" ca="1" si="501"/>
        <v/>
      </c>
      <c r="AX347" s="222" t="str">
        <f t="shared" ca="1" si="501"/>
        <v/>
      </c>
      <c r="AY347" s="222" t="str">
        <f t="shared" ca="1" si="501"/>
        <v/>
      </c>
      <c r="AZ347" s="222" t="str">
        <f t="shared" ca="1" si="502"/>
        <v/>
      </c>
      <c r="BA347" s="222" t="str">
        <f t="shared" ca="1" si="502"/>
        <v/>
      </c>
      <c r="BB347" s="222" t="str">
        <f t="shared" ca="1" si="502"/>
        <v/>
      </c>
      <c r="BC347" s="222" t="str">
        <f t="shared" ca="1" si="502"/>
        <v/>
      </c>
      <c r="BD347" s="222" t="str">
        <f t="shared" ca="1" si="502"/>
        <v/>
      </c>
      <c r="BE347" s="222" t="str">
        <f t="shared" ca="1" si="502"/>
        <v/>
      </c>
      <c r="BF347" s="222" t="str">
        <f t="shared" ca="1" si="502"/>
        <v/>
      </c>
      <c r="BG347" s="222" t="str">
        <f t="shared" ca="1" si="502"/>
        <v/>
      </c>
      <c r="BH347" s="222" t="str">
        <f t="shared" ca="1" si="502"/>
        <v/>
      </c>
      <c r="BI347" s="222" t="str">
        <f t="shared" ca="1" si="502"/>
        <v/>
      </c>
      <c r="BJ347" s="222" t="str">
        <f t="shared" ca="1" si="503"/>
        <v/>
      </c>
      <c r="BK347" s="222" t="str">
        <f t="shared" ca="1" si="503"/>
        <v/>
      </c>
      <c r="BL347" s="222" t="str">
        <f t="shared" ca="1" si="503"/>
        <v/>
      </c>
      <c r="BM347" s="222" t="str">
        <f t="shared" ca="1" si="503"/>
        <v/>
      </c>
      <c r="BN347" s="222" t="str">
        <f t="shared" ca="1" si="503"/>
        <v/>
      </c>
      <c r="BO347" s="222" t="str">
        <f t="shared" ca="1" si="503"/>
        <v/>
      </c>
      <c r="BP347" s="222" t="str">
        <f t="shared" ca="1" si="503"/>
        <v/>
      </c>
      <c r="BQ347" s="222" t="str">
        <f t="shared" ca="1" si="503"/>
        <v/>
      </c>
      <c r="BR347" s="222" t="str">
        <f t="shared" ca="1" si="503"/>
        <v/>
      </c>
      <c r="BS347" s="222" t="str">
        <f t="shared" ca="1" si="503"/>
        <v/>
      </c>
      <c r="BT347" s="222" t="str">
        <f t="shared" ca="1" si="504"/>
        <v/>
      </c>
      <c r="BU347" s="222" t="str">
        <f t="shared" ca="1" si="504"/>
        <v/>
      </c>
      <c r="BV347" s="222" t="str">
        <f t="shared" ca="1" si="504"/>
        <v/>
      </c>
      <c r="BW347" s="222" t="str">
        <f t="shared" ca="1" si="504"/>
        <v/>
      </c>
      <c r="BX347" s="222" t="str">
        <f t="shared" ca="1" si="504"/>
        <v/>
      </c>
      <c r="BY347" s="222" t="str">
        <f t="shared" ca="1" si="504"/>
        <v/>
      </c>
      <c r="BZ347" s="368" t="str">
        <f t="shared" ca="1" si="504"/>
        <v/>
      </c>
      <c r="CC347" s="482">
        <f t="shared" si="488"/>
        <v>26</v>
      </c>
    </row>
    <row r="348" spans="1:81">
      <c r="A348" s="326" t="str">
        <v>VFSVX</v>
      </c>
      <c r="B348" s="222">
        <f t="shared" ca="1" si="497"/>
        <v>0.51554603619079375</v>
      </c>
      <c r="C348" s="222">
        <f t="shared" ca="1" si="497"/>
        <v>0.47301667441513112</v>
      </c>
      <c r="D348" s="222">
        <f t="shared" ca="1" si="497"/>
        <v>0.49819591539034996</v>
      </c>
      <c r="E348" s="222">
        <f t="shared" ca="1" si="497"/>
        <v>0.47550106625424543</v>
      </c>
      <c r="F348" s="222">
        <f t="shared" ca="1" si="497"/>
        <v>0.46349446297913427</v>
      </c>
      <c r="G348" s="222">
        <f t="shared" ca="1" si="497"/>
        <v>0.36623586518778739</v>
      </c>
      <c r="H348" s="222">
        <f t="shared" ca="1" si="497"/>
        <v>0.49192138556243897</v>
      </c>
      <c r="I348" s="222">
        <f t="shared" ca="1" si="497"/>
        <v>0.48523150704369938</v>
      </c>
      <c r="J348" s="222">
        <f t="shared" ca="1" si="497"/>
        <v>0.42555663028140622</v>
      </c>
      <c r="K348" s="222">
        <f t="shared" ca="1" si="497"/>
        <v>0.30212541119246084</v>
      </c>
      <c r="L348" s="222">
        <f t="shared" ca="1" si="498"/>
        <v>0.87702219965220662</v>
      </c>
      <c r="M348" s="222">
        <f t="shared" ca="1" si="498"/>
        <v>0.81511392253318771</v>
      </c>
      <c r="N348" s="222">
        <f t="shared" ca="1" si="498"/>
        <v>0.89164886564012891</v>
      </c>
      <c r="O348" s="222">
        <f t="shared" ca="1" si="498"/>
        <v>0.83767333458378901</v>
      </c>
      <c r="P348" s="222">
        <f t="shared" ca="1" si="498"/>
        <v>0.74515817454328404</v>
      </c>
      <c r="Q348" s="222">
        <f t="shared" ca="1" si="498"/>
        <v>0.88647953642847843</v>
      </c>
      <c r="R348" s="222">
        <f t="shared" ca="1" si="498"/>
        <v>0.24203388831764494</v>
      </c>
      <c r="S348" s="222">
        <f t="shared" ca="1" si="498"/>
        <v>-0.24272255363210782</v>
      </c>
      <c r="T348" s="222">
        <f t="shared" ca="1" si="498"/>
        <v>-0.24130617248604444</v>
      </c>
      <c r="U348" s="222">
        <f t="shared" ca="1" si="498"/>
        <v>-0.15692943426739786</v>
      </c>
      <c r="V348" s="222">
        <f t="shared" ca="1" si="499"/>
        <v>1.5172173378190242E-2</v>
      </c>
      <c r="W348" s="222">
        <f t="shared" ca="1" si="499"/>
        <v>0.25809535268129802</v>
      </c>
      <c r="X348" s="222">
        <f t="shared" ca="1" si="499"/>
        <v>0.39125707120505404</v>
      </c>
      <c r="Y348" s="222">
        <f t="shared" ca="1" si="499"/>
        <v>0.18937863213917105</v>
      </c>
      <c r="Z348" s="222">
        <f t="shared" ca="1" si="499"/>
        <v>0.44627769572984122</v>
      </c>
      <c r="AA348" s="222">
        <f t="shared" ca="1" si="499"/>
        <v>-0.1672895482367617</v>
      </c>
      <c r="AB348" s="222">
        <f t="shared" ca="1" si="499"/>
        <v>5.2928208242378795E-3</v>
      </c>
      <c r="AC348" s="222">
        <f t="shared" ca="1" si="499"/>
        <v>1</v>
      </c>
      <c r="AD348" s="222" t="str">
        <f t="shared" ca="1" si="499"/>
        <v/>
      </c>
      <c r="AE348" s="222" t="str">
        <f t="shared" ca="1" si="499"/>
        <v/>
      </c>
      <c r="AF348" s="222" t="str">
        <f t="shared" ca="1" si="500"/>
        <v/>
      </c>
      <c r="AG348" s="222" t="str">
        <f t="shared" ca="1" si="500"/>
        <v/>
      </c>
      <c r="AH348" s="222" t="str">
        <f t="shared" ca="1" si="500"/>
        <v/>
      </c>
      <c r="AI348" s="222" t="str">
        <f t="shared" ca="1" si="500"/>
        <v/>
      </c>
      <c r="AJ348" s="222" t="str">
        <f t="shared" ca="1" si="500"/>
        <v/>
      </c>
      <c r="AK348" s="222" t="str">
        <f t="shared" ca="1" si="500"/>
        <v/>
      </c>
      <c r="AL348" s="222" t="str">
        <f t="shared" ca="1" si="500"/>
        <v/>
      </c>
      <c r="AM348" s="222" t="str">
        <f t="shared" ca="1" si="500"/>
        <v/>
      </c>
      <c r="AN348" s="222" t="str">
        <f t="shared" ca="1" si="500"/>
        <v/>
      </c>
      <c r="AO348" s="222" t="str">
        <f t="shared" ca="1" si="500"/>
        <v/>
      </c>
      <c r="AP348" s="222" t="str">
        <f t="shared" ca="1" si="501"/>
        <v/>
      </c>
      <c r="AQ348" s="222" t="str">
        <f t="shared" ca="1" si="501"/>
        <v/>
      </c>
      <c r="AR348" s="222" t="str">
        <f t="shared" ca="1" si="501"/>
        <v/>
      </c>
      <c r="AS348" s="222" t="str">
        <f t="shared" ca="1" si="501"/>
        <v/>
      </c>
      <c r="AT348" s="222" t="str">
        <f t="shared" ca="1" si="501"/>
        <v/>
      </c>
      <c r="AU348" s="222" t="str">
        <f t="shared" ca="1" si="501"/>
        <v/>
      </c>
      <c r="AV348" s="222" t="str">
        <f t="shared" ca="1" si="501"/>
        <v/>
      </c>
      <c r="AW348" s="222" t="str">
        <f t="shared" ca="1" si="501"/>
        <v/>
      </c>
      <c r="AX348" s="222" t="str">
        <f t="shared" ca="1" si="501"/>
        <v/>
      </c>
      <c r="AY348" s="222" t="str">
        <f t="shared" ca="1" si="501"/>
        <v/>
      </c>
      <c r="AZ348" s="222" t="str">
        <f t="shared" ca="1" si="502"/>
        <v/>
      </c>
      <c r="BA348" s="222" t="str">
        <f t="shared" ca="1" si="502"/>
        <v/>
      </c>
      <c r="BB348" s="222" t="str">
        <f t="shared" ca="1" si="502"/>
        <v/>
      </c>
      <c r="BC348" s="222" t="str">
        <f t="shared" ca="1" si="502"/>
        <v/>
      </c>
      <c r="BD348" s="222" t="str">
        <f t="shared" ca="1" si="502"/>
        <v/>
      </c>
      <c r="BE348" s="222" t="str">
        <f t="shared" ca="1" si="502"/>
        <v/>
      </c>
      <c r="BF348" s="222" t="str">
        <f t="shared" ca="1" si="502"/>
        <v/>
      </c>
      <c r="BG348" s="222" t="str">
        <f t="shared" ca="1" si="502"/>
        <v/>
      </c>
      <c r="BH348" s="222" t="str">
        <f t="shared" ca="1" si="502"/>
        <v/>
      </c>
      <c r="BI348" s="222" t="str">
        <f t="shared" ca="1" si="502"/>
        <v/>
      </c>
      <c r="BJ348" s="222" t="str">
        <f t="shared" ca="1" si="503"/>
        <v/>
      </c>
      <c r="BK348" s="222" t="str">
        <f t="shared" ca="1" si="503"/>
        <v/>
      </c>
      <c r="BL348" s="222" t="str">
        <f t="shared" ca="1" si="503"/>
        <v/>
      </c>
      <c r="BM348" s="222" t="str">
        <f t="shared" ca="1" si="503"/>
        <v/>
      </c>
      <c r="BN348" s="222" t="str">
        <f t="shared" ca="1" si="503"/>
        <v/>
      </c>
      <c r="BO348" s="222" t="str">
        <f t="shared" ca="1" si="503"/>
        <v/>
      </c>
      <c r="BP348" s="222" t="str">
        <f t="shared" ca="1" si="503"/>
        <v/>
      </c>
      <c r="BQ348" s="222" t="str">
        <f t="shared" ca="1" si="503"/>
        <v/>
      </c>
      <c r="BR348" s="222" t="str">
        <f t="shared" ca="1" si="503"/>
        <v/>
      </c>
      <c r="BS348" s="222" t="str">
        <f t="shared" ca="1" si="503"/>
        <v/>
      </c>
      <c r="BT348" s="222" t="str">
        <f t="shared" ca="1" si="504"/>
        <v/>
      </c>
      <c r="BU348" s="222" t="str">
        <f t="shared" ca="1" si="504"/>
        <v/>
      </c>
      <c r="BV348" s="222" t="str">
        <f t="shared" ca="1" si="504"/>
        <v/>
      </c>
      <c r="BW348" s="222" t="str">
        <f t="shared" ca="1" si="504"/>
        <v/>
      </c>
      <c r="BX348" s="222" t="str">
        <f t="shared" ca="1" si="504"/>
        <v/>
      </c>
      <c r="BY348" s="222" t="str">
        <f t="shared" ca="1" si="504"/>
        <v/>
      </c>
      <c r="BZ348" s="368" t="str">
        <f t="shared" ca="1" si="504"/>
        <v/>
      </c>
      <c r="CC348" s="482">
        <f t="shared" si="488"/>
        <v>27</v>
      </c>
    </row>
    <row r="349" spans="1:81">
      <c r="A349" s="326" t="str">
        <v>VGENX</v>
      </c>
      <c r="B349" s="222">
        <f t="shared" ca="1" si="497"/>
        <v>0.47100380995001656</v>
      </c>
      <c r="C349" s="222">
        <f t="shared" ca="1" si="497"/>
        <v>0.55587940787011669</v>
      </c>
      <c r="D349" s="222">
        <f t="shared" ca="1" si="497"/>
        <v>0.44781879281566889</v>
      </c>
      <c r="E349" s="222">
        <f t="shared" ca="1" si="497"/>
        <v>0.34071066429996472</v>
      </c>
      <c r="F349" s="222">
        <f t="shared" ca="1" si="497"/>
        <v>0.62794439109597211</v>
      </c>
      <c r="G349" s="222">
        <f t="shared" ca="1" si="497"/>
        <v>0.53085198440263204</v>
      </c>
      <c r="H349" s="222">
        <f t="shared" ca="1" si="497"/>
        <v>0.54004489175563197</v>
      </c>
      <c r="I349" s="222">
        <f t="shared" ca="1" si="497"/>
        <v>0.56204010655832526</v>
      </c>
      <c r="J349" s="222">
        <f t="shared" ca="1" si="497"/>
        <v>0.43071900964178239</v>
      </c>
      <c r="K349" s="222">
        <f t="shared" ca="1" si="497"/>
        <v>0.49077319495990812</v>
      </c>
      <c r="L349" s="222">
        <f t="shared" ca="1" si="498"/>
        <v>0.44377123264120327</v>
      </c>
      <c r="M349" s="222">
        <f t="shared" ca="1" si="498"/>
        <v>0.59849028392830417</v>
      </c>
      <c r="N349" s="222">
        <f t="shared" ca="1" si="498"/>
        <v>0.49872140454697811</v>
      </c>
      <c r="O349" s="222">
        <f t="shared" ca="1" si="498"/>
        <v>0.32917372311848603</v>
      </c>
      <c r="P349" s="222">
        <f t="shared" ca="1" si="498"/>
        <v>0.51252039013874306</v>
      </c>
      <c r="Q349" s="222">
        <f t="shared" ca="1" si="498"/>
        <v>0.50729620572987522</v>
      </c>
      <c r="R349" s="222">
        <f t="shared" ca="1" si="498"/>
        <v>0.74548055387096968</v>
      </c>
      <c r="S349" s="222">
        <f t="shared" ca="1" si="498"/>
        <v>-0.17242149033080265</v>
      </c>
      <c r="T349" s="222">
        <f t="shared" ca="1" si="498"/>
        <v>-9.5664996360849963E-2</v>
      </c>
      <c r="U349" s="222">
        <f t="shared" ca="1" si="498"/>
        <v>0.10581734115981889</v>
      </c>
      <c r="V349" s="222">
        <f t="shared" ca="1" si="499"/>
        <v>0.2097735863242903</v>
      </c>
      <c r="W349" s="222">
        <f t="shared" ca="1" si="499"/>
        <v>0.19165174269741866</v>
      </c>
      <c r="X349" s="222">
        <f t="shared" ca="1" si="499"/>
        <v>0.57677320316480163</v>
      </c>
      <c r="Y349" s="222">
        <f t="shared" ca="1" si="499"/>
        <v>0.4023444471995552</v>
      </c>
      <c r="Z349" s="222">
        <f t="shared" ca="1" si="499"/>
        <v>0.59719252342698625</v>
      </c>
      <c r="AA349" s="222">
        <f t="shared" ca="1" si="499"/>
        <v>7.0582974292793628E-3</v>
      </c>
      <c r="AB349" s="222">
        <f t="shared" ca="1" si="499"/>
        <v>0.20098938208555397</v>
      </c>
      <c r="AC349" s="222">
        <f t="shared" ca="1" si="499"/>
        <v>0.47410262109916035</v>
      </c>
      <c r="AD349" s="222">
        <f t="shared" ca="1" si="499"/>
        <v>1.0000000000000002</v>
      </c>
      <c r="AE349" s="222" t="str">
        <f t="shared" ca="1" si="499"/>
        <v/>
      </c>
      <c r="AF349" s="222" t="str">
        <f t="shared" ca="1" si="500"/>
        <v/>
      </c>
      <c r="AG349" s="222" t="str">
        <f t="shared" ca="1" si="500"/>
        <v/>
      </c>
      <c r="AH349" s="222" t="str">
        <f t="shared" ca="1" si="500"/>
        <v/>
      </c>
      <c r="AI349" s="222" t="str">
        <f t="shared" ca="1" si="500"/>
        <v/>
      </c>
      <c r="AJ349" s="222" t="str">
        <f t="shared" ca="1" si="500"/>
        <v/>
      </c>
      <c r="AK349" s="222" t="str">
        <f t="shared" ca="1" si="500"/>
        <v/>
      </c>
      <c r="AL349" s="222" t="str">
        <f t="shared" ca="1" si="500"/>
        <v/>
      </c>
      <c r="AM349" s="222" t="str">
        <f t="shared" ca="1" si="500"/>
        <v/>
      </c>
      <c r="AN349" s="222" t="str">
        <f t="shared" ca="1" si="500"/>
        <v/>
      </c>
      <c r="AO349" s="222" t="str">
        <f t="shared" ca="1" si="500"/>
        <v/>
      </c>
      <c r="AP349" s="222" t="str">
        <f t="shared" ca="1" si="501"/>
        <v/>
      </c>
      <c r="AQ349" s="222" t="str">
        <f t="shared" ca="1" si="501"/>
        <v/>
      </c>
      <c r="AR349" s="222" t="str">
        <f t="shared" ca="1" si="501"/>
        <v/>
      </c>
      <c r="AS349" s="222" t="str">
        <f t="shared" ca="1" si="501"/>
        <v/>
      </c>
      <c r="AT349" s="222" t="str">
        <f t="shared" ca="1" si="501"/>
        <v/>
      </c>
      <c r="AU349" s="222" t="str">
        <f t="shared" ca="1" si="501"/>
        <v/>
      </c>
      <c r="AV349" s="222" t="str">
        <f t="shared" ca="1" si="501"/>
        <v/>
      </c>
      <c r="AW349" s="222" t="str">
        <f t="shared" ca="1" si="501"/>
        <v/>
      </c>
      <c r="AX349" s="222" t="str">
        <f t="shared" ca="1" si="501"/>
        <v/>
      </c>
      <c r="AY349" s="222" t="str">
        <f t="shared" ca="1" si="501"/>
        <v/>
      </c>
      <c r="AZ349" s="222" t="str">
        <f t="shared" ca="1" si="502"/>
        <v/>
      </c>
      <c r="BA349" s="222" t="str">
        <f t="shared" ca="1" si="502"/>
        <v/>
      </c>
      <c r="BB349" s="222" t="str">
        <f t="shared" ca="1" si="502"/>
        <v/>
      </c>
      <c r="BC349" s="222" t="str">
        <f t="shared" ca="1" si="502"/>
        <v/>
      </c>
      <c r="BD349" s="222" t="str">
        <f t="shared" ca="1" si="502"/>
        <v/>
      </c>
      <c r="BE349" s="222" t="str">
        <f t="shared" ca="1" si="502"/>
        <v/>
      </c>
      <c r="BF349" s="222" t="str">
        <f t="shared" ca="1" si="502"/>
        <v/>
      </c>
      <c r="BG349" s="222" t="str">
        <f t="shared" ca="1" si="502"/>
        <v/>
      </c>
      <c r="BH349" s="222" t="str">
        <f t="shared" ca="1" si="502"/>
        <v/>
      </c>
      <c r="BI349" s="222" t="str">
        <f t="shared" ca="1" si="502"/>
        <v/>
      </c>
      <c r="BJ349" s="222" t="str">
        <f t="shared" ca="1" si="503"/>
        <v/>
      </c>
      <c r="BK349" s="222" t="str">
        <f t="shared" ca="1" si="503"/>
        <v/>
      </c>
      <c r="BL349" s="222" t="str">
        <f t="shared" ca="1" si="503"/>
        <v/>
      </c>
      <c r="BM349" s="222" t="str">
        <f t="shared" ca="1" si="503"/>
        <v/>
      </c>
      <c r="BN349" s="222" t="str">
        <f t="shared" ca="1" si="503"/>
        <v/>
      </c>
      <c r="BO349" s="222" t="str">
        <f t="shared" ca="1" si="503"/>
        <v/>
      </c>
      <c r="BP349" s="222" t="str">
        <f t="shared" ca="1" si="503"/>
        <v/>
      </c>
      <c r="BQ349" s="222" t="str">
        <f t="shared" ca="1" si="503"/>
        <v/>
      </c>
      <c r="BR349" s="222" t="str">
        <f t="shared" ca="1" si="503"/>
        <v/>
      </c>
      <c r="BS349" s="222" t="str">
        <f t="shared" ca="1" si="503"/>
        <v/>
      </c>
      <c r="BT349" s="222" t="str">
        <f t="shared" ca="1" si="504"/>
        <v/>
      </c>
      <c r="BU349" s="222" t="str">
        <f t="shared" ca="1" si="504"/>
        <v/>
      </c>
      <c r="BV349" s="222" t="str">
        <f t="shared" ca="1" si="504"/>
        <v/>
      </c>
      <c r="BW349" s="222" t="str">
        <f t="shared" ca="1" si="504"/>
        <v/>
      </c>
      <c r="BX349" s="222" t="str">
        <f t="shared" ca="1" si="504"/>
        <v/>
      </c>
      <c r="BY349" s="222" t="str">
        <f t="shared" ca="1" si="504"/>
        <v/>
      </c>
      <c r="BZ349" s="368" t="str">
        <f t="shared" ca="1" si="504"/>
        <v/>
      </c>
      <c r="CC349" s="482">
        <f t="shared" si="488"/>
        <v>28</v>
      </c>
    </row>
    <row r="350" spans="1:81">
      <c r="A350" s="326" t="str">
        <v>VGHCX</v>
      </c>
      <c r="B350" s="222">
        <f t="shared" ca="1" si="497"/>
        <v>0.63659690131365854</v>
      </c>
      <c r="C350" s="222">
        <f t="shared" ca="1" si="497"/>
        <v>0.70401992281368075</v>
      </c>
      <c r="D350" s="222">
        <f t="shared" ca="1" si="497"/>
        <v>0.66317683361246804</v>
      </c>
      <c r="E350" s="222">
        <f t="shared" ca="1" si="497"/>
        <v>0.59111886738291652</v>
      </c>
      <c r="F350" s="222">
        <f t="shared" ca="1" si="497"/>
        <v>0.69146592727743483</v>
      </c>
      <c r="G350" s="222">
        <f t="shared" ca="1" si="497"/>
        <v>0.54991825398956429</v>
      </c>
      <c r="H350" s="222">
        <f t="shared" ca="1" si="497"/>
        <v>0.51058464307648677</v>
      </c>
      <c r="I350" s="222">
        <f t="shared" ca="1" si="497"/>
        <v>0.56509609493911017</v>
      </c>
      <c r="J350" s="222">
        <f t="shared" ca="1" si="497"/>
        <v>0.34823394463253665</v>
      </c>
      <c r="K350" s="222">
        <f t="shared" ca="1" si="497"/>
        <v>0.3713737801624592</v>
      </c>
      <c r="L350" s="222">
        <f t="shared" ca="1" si="498"/>
        <v>0.35323709637718204</v>
      </c>
      <c r="M350" s="222">
        <f t="shared" ca="1" si="498"/>
        <v>0.13135967706470264</v>
      </c>
      <c r="N350" s="222">
        <f t="shared" ca="1" si="498"/>
        <v>0.32684620328971181</v>
      </c>
      <c r="O350" s="222">
        <f t="shared" ca="1" si="498"/>
        <v>0.11143152545601644</v>
      </c>
      <c r="P350" s="222">
        <f t="shared" ca="1" si="498"/>
        <v>0.53089677250771017</v>
      </c>
      <c r="Q350" s="222">
        <f t="shared" ca="1" si="498"/>
        <v>0.33908595395108981</v>
      </c>
      <c r="R350" s="222">
        <f t="shared" ca="1" si="498"/>
        <v>0.14885806156139136</v>
      </c>
      <c r="S350" s="222">
        <f t="shared" ca="1" si="498"/>
        <v>0.23225354194706754</v>
      </c>
      <c r="T350" s="222">
        <f t="shared" ca="1" si="498"/>
        <v>0.25289561613440997</v>
      </c>
      <c r="U350" s="222">
        <f t="shared" ca="1" si="498"/>
        <v>0.44181352471139707</v>
      </c>
      <c r="V350" s="222">
        <f t="shared" ca="1" si="499"/>
        <v>0.31916375462954949</v>
      </c>
      <c r="W350" s="222">
        <f t="shared" ca="1" si="499"/>
        <v>-9.2018008611035929E-2</v>
      </c>
      <c r="X350" s="222">
        <f t="shared" ca="1" si="499"/>
        <v>0.73545770462381488</v>
      </c>
      <c r="Y350" s="222">
        <f t="shared" ca="1" si="499"/>
        <v>0.71361996853878118</v>
      </c>
      <c r="Z350" s="222">
        <f t="shared" ca="1" si="499"/>
        <v>0.63159687155672095</v>
      </c>
      <c r="AA350" s="222">
        <f t="shared" ca="1" si="499"/>
        <v>0.26159207801992684</v>
      </c>
      <c r="AB350" s="222">
        <f t="shared" ca="1" si="499"/>
        <v>-0.44998276056951825</v>
      </c>
      <c r="AC350" s="222">
        <f t="shared" ca="1" si="499"/>
        <v>0.24869847571968637</v>
      </c>
      <c r="AD350" s="222">
        <f t="shared" ca="1" si="499"/>
        <v>0.31555167786994703</v>
      </c>
      <c r="AE350" s="222">
        <f t="shared" ca="1" si="499"/>
        <v>1</v>
      </c>
      <c r="AF350" s="222" t="str">
        <f t="shared" ca="1" si="500"/>
        <v/>
      </c>
      <c r="AG350" s="222" t="str">
        <f t="shared" ca="1" si="500"/>
        <v/>
      </c>
      <c r="AH350" s="222" t="str">
        <f t="shared" ca="1" si="500"/>
        <v/>
      </c>
      <c r="AI350" s="222" t="str">
        <f t="shared" ca="1" si="500"/>
        <v/>
      </c>
      <c r="AJ350" s="222" t="str">
        <f t="shared" ca="1" si="500"/>
        <v/>
      </c>
      <c r="AK350" s="222" t="str">
        <f t="shared" ca="1" si="500"/>
        <v/>
      </c>
      <c r="AL350" s="222" t="str">
        <f t="shared" ca="1" si="500"/>
        <v/>
      </c>
      <c r="AM350" s="222" t="str">
        <f t="shared" ca="1" si="500"/>
        <v/>
      </c>
      <c r="AN350" s="222" t="str">
        <f t="shared" ca="1" si="500"/>
        <v/>
      </c>
      <c r="AO350" s="222" t="str">
        <f t="shared" ca="1" si="500"/>
        <v/>
      </c>
      <c r="AP350" s="222" t="str">
        <f t="shared" ca="1" si="501"/>
        <v/>
      </c>
      <c r="AQ350" s="222" t="str">
        <f t="shared" ca="1" si="501"/>
        <v/>
      </c>
      <c r="AR350" s="222" t="str">
        <f t="shared" ca="1" si="501"/>
        <v/>
      </c>
      <c r="AS350" s="222" t="str">
        <f t="shared" ca="1" si="501"/>
        <v/>
      </c>
      <c r="AT350" s="222" t="str">
        <f t="shared" ca="1" si="501"/>
        <v/>
      </c>
      <c r="AU350" s="222" t="str">
        <f t="shared" ca="1" si="501"/>
        <v/>
      </c>
      <c r="AV350" s="222" t="str">
        <f t="shared" ca="1" si="501"/>
        <v/>
      </c>
      <c r="AW350" s="222" t="str">
        <f t="shared" ca="1" si="501"/>
        <v/>
      </c>
      <c r="AX350" s="222" t="str">
        <f t="shared" ca="1" si="501"/>
        <v/>
      </c>
      <c r="AY350" s="222" t="str">
        <f t="shared" ca="1" si="501"/>
        <v/>
      </c>
      <c r="AZ350" s="222" t="str">
        <f t="shared" ca="1" si="502"/>
        <v/>
      </c>
      <c r="BA350" s="222" t="str">
        <f t="shared" ca="1" si="502"/>
        <v/>
      </c>
      <c r="BB350" s="222" t="str">
        <f t="shared" ca="1" si="502"/>
        <v/>
      </c>
      <c r="BC350" s="222" t="str">
        <f t="shared" ca="1" si="502"/>
        <v/>
      </c>
      <c r="BD350" s="222" t="str">
        <f t="shared" ca="1" si="502"/>
        <v/>
      </c>
      <c r="BE350" s="222" t="str">
        <f t="shared" ca="1" si="502"/>
        <v/>
      </c>
      <c r="BF350" s="222" t="str">
        <f t="shared" ca="1" si="502"/>
        <v/>
      </c>
      <c r="BG350" s="222" t="str">
        <f t="shared" ca="1" si="502"/>
        <v/>
      </c>
      <c r="BH350" s="222" t="str">
        <f t="shared" ca="1" si="502"/>
        <v/>
      </c>
      <c r="BI350" s="222" t="str">
        <f t="shared" ca="1" si="502"/>
        <v/>
      </c>
      <c r="BJ350" s="222" t="str">
        <f t="shared" ca="1" si="503"/>
        <v/>
      </c>
      <c r="BK350" s="222" t="str">
        <f t="shared" ca="1" si="503"/>
        <v/>
      </c>
      <c r="BL350" s="222" t="str">
        <f t="shared" ca="1" si="503"/>
        <v/>
      </c>
      <c r="BM350" s="222" t="str">
        <f t="shared" ca="1" si="503"/>
        <v/>
      </c>
      <c r="BN350" s="222" t="str">
        <f t="shared" ca="1" si="503"/>
        <v/>
      </c>
      <c r="BO350" s="222" t="str">
        <f t="shared" ca="1" si="503"/>
        <v/>
      </c>
      <c r="BP350" s="222" t="str">
        <f t="shared" ca="1" si="503"/>
        <v/>
      </c>
      <c r="BQ350" s="222" t="str">
        <f t="shared" ca="1" si="503"/>
        <v/>
      </c>
      <c r="BR350" s="222" t="str">
        <f t="shared" ca="1" si="503"/>
        <v/>
      </c>
      <c r="BS350" s="222" t="str">
        <f t="shared" ca="1" si="503"/>
        <v/>
      </c>
      <c r="BT350" s="222" t="str">
        <f t="shared" ca="1" si="504"/>
        <v/>
      </c>
      <c r="BU350" s="222" t="str">
        <f t="shared" ca="1" si="504"/>
        <v/>
      </c>
      <c r="BV350" s="222" t="str">
        <f t="shared" ca="1" si="504"/>
        <v/>
      </c>
      <c r="BW350" s="222" t="str">
        <f t="shared" ca="1" si="504"/>
        <v/>
      </c>
      <c r="BX350" s="222" t="str">
        <f t="shared" ca="1" si="504"/>
        <v/>
      </c>
      <c r="BY350" s="222" t="str">
        <f t="shared" ca="1" si="504"/>
        <v/>
      </c>
      <c r="BZ350" s="368" t="str">
        <f t="shared" ca="1" si="504"/>
        <v/>
      </c>
      <c r="CC350" s="482">
        <f t="shared" si="488"/>
        <v>29</v>
      </c>
    </row>
    <row r="351" spans="1:81">
      <c r="A351" s="326" t="str">
        <v>VGPMX</v>
      </c>
      <c r="B351" s="222">
        <f t="shared" ref="B351:K360" ca="1" si="505">IF(OR($A351="",B$320=""), "", IF((COLUMN()-COLUMN($A351)) &gt; (1+$CC351), "", PEARSON(OFFSET($B$8, 0, $CC351, $A$320+1, 1), B$8:B$153)))</f>
        <v>0.18089586036430186</v>
      </c>
      <c r="C351" s="222">
        <f t="shared" ca="1" si="505"/>
        <v>0.17179029878587793</v>
      </c>
      <c r="D351" s="222">
        <f t="shared" ca="1" si="505"/>
        <v>0.15294919791227063</v>
      </c>
      <c r="E351" s="222">
        <f t="shared" ca="1" si="505"/>
        <v>0.12698744062354397</v>
      </c>
      <c r="F351" s="222">
        <f t="shared" ca="1" si="505"/>
        <v>0.27884668950099567</v>
      </c>
      <c r="G351" s="222">
        <f t="shared" ca="1" si="505"/>
        <v>0.16881839103810056</v>
      </c>
      <c r="H351" s="222">
        <f t="shared" ca="1" si="505"/>
        <v>0.26008958259453863</v>
      </c>
      <c r="I351" s="222">
        <f t="shared" ca="1" si="505"/>
        <v>0.31291389178444295</v>
      </c>
      <c r="J351" s="222">
        <f t="shared" ca="1" si="505"/>
        <v>0.27041721980358308</v>
      </c>
      <c r="K351" s="222">
        <f t="shared" ca="1" si="505"/>
        <v>0.33495054300974397</v>
      </c>
      <c r="L351" s="222">
        <f t="shared" ref="L351:U360" ca="1" si="506">IF(OR($A351="",L$320=""), "", IF((COLUMN()-COLUMN($A351)) &gt; (1+$CC351), "", PEARSON(OFFSET($B$8, 0, $CC351, $A$320+1, 1), L$8:L$153)))</f>
        <v>0.51272199409366015</v>
      </c>
      <c r="M351" s="222">
        <f t="shared" ca="1" si="506"/>
        <v>0.75203416337966011</v>
      </c>
      <c r="N351" s="222">
        <f t="shared" ca="1" si="506"/>
        <v>0.59323222391550889</v>
      </c>
      <c r="O351" s="222">
        <f t="shared" ca="1" si="506"/>
        <v>0.56050649723030543</v>
      </c>
      <c r="P351" s="222">
        <f t="shared" ca="1" si="506"/>
        <v>0.35953188058296165</v>
      </c>
      <c r="Q351" s="222">
        <f t="shared" ca="1" si="506"/>
        <v>0.58166361530646882</v>
      </c>
      <c r="R351" s="222">
        <f t="shared" ca="1" si="506"/>
        <v>0.51482087841562929</v>
      </c>
      <c r="S351" s="222">
        <f t="shared" ca="1" si="506"/>
        <v>-0.13860161280127661</v>
      </c>
      <c r="T351" s="222">
        <f t="shared" ca="1" si="506"/>
        <v>-6.223498415015416E-2</v>
      </c>
      <c r="U351" s="222">
        <f t="shared" ca="1" si="506"/>
        <v>5.0730691618529306E-2</v>
      </c>
      <c r="V351" s="222">
        <f t="shared" ref="V351:AE360" ca="1" si="507">IF(OR($A351="",V$320=""), "", IF((COLUMN()-COLUMN($A351)) &gt; (1+$CC351), "", PEARSON(OFFSET($B$8, 0, $CC351, $A$320+1, 1), V$8:V$153)))</f>
        <v>-1.8827880637288131E-3</v>
      </c>
      <c r="W351" s="222">
        <f t="shared" ca="1" si="507"/>
        <v>0.45992011680254286</v>
      </c>
      <c r="X351" s="222">
        <f t="shared" ca="1" si="507"/>
        <v>0.22766157937746451</v>
      </c>
      <c r="Y351" s="222">
        <f t="shared" ca="1" si="507"/>
        <v>0.12441561600921153</v>
      </c>
      <c r="Z351" s="222">
        <f t="shared" ca="1" si="507"/>
        <v>0.26032599558724345</v>
      </c>
      <c r="AA351" s="222">
        <f t="shared" ca="1" si="507"/>
        <v>2.4573918915911024E-2</v>
      </c>
      <c r="AB351" s="222">
        <f t="shared" ca="1" si="507"/>
        <v>0.73143836856088185</v>
      </c>
      <c r="AC351" s="222">
        <f t="shared" ca="1" si="507"/>
        <v>0.5856663937314921</v>
      </c>
      <c r="AD351" s="222">
        <f t="shared" ca="1" si="507"/>
        <v>0.55014539928769524</v>
      </c>
      <c r="AE351" s="222">
        <f t="shared" ca="1" si="507"/>
        <v>-0.13244789095802625</v>
      </c>
      <c r="AF351" s="222">
        <f t="shared" ref="AF351:AO360" ca="1" si="508">IF(OR($A351="",AF$320=""), "", IF((COLUMN()-COLUMN($A351)) &gt; (1+$CC351), "", PEARSON(OFFSET($B$8, 0, $CC351, $A$320+1, 1), AF$8:AF$153)))</f>
        <v>1</v>
      </c>
      <c r="AG351" s="222" t="str">
        <f t="shared" ca="1" si="508"/>
        <v/>
      </c>
      <c r="AH351" s="222" t="str">
        <f t="shared" ca="1" si="508"/>
        <v/>
      </c>
      <c r="AI351" s="222" t="str">
        <f t="shared" ca="1" si="508"/>
        <v/>
      </c>
      <c r="AJ351" s="222" t="str">
        <f t="shared" ca="1" si="508"/>
        <v/>
      </c>
      <c r="AK351" s="222" t="str">
        <f t="shared" ca="1" si="508"/>
        <v/>
      </c>
      <c r="AL351" s="222" t="str">
        <f t="shared" ca="1" si="508"/>
        <v/>
      </c>
      <c r="AM351" s="222" t="str">
        <f t="shared" ca="1" si="508"/>
        <v/>
      </c>
      <c r="AN351" s="222" t="str">
        <f t="shared" ca="1" si="508"/>
        <v/>
      </c>
      <c r="AO351" s="222" t="str">
        <f t="shared" ca="1" si="508"/>
        <v/>
      </c>
      <c r="AP351" s="222" t="str">
        <f t="shared" ref="AP351:AY360" ca="1" si="509">IF(OR($A351="",AP$320=""), "", IF((COLUMN()-COLUMN($A351)) &gt; (1+$CC351), "", PEARSON(OFFSET($B$8, 0, $CC351, $A$320+1, 1), AP$8:AP$153)))</f>
        <v/>
      </c>
      <c r="AQ351" s="222" t="str">
        <f t="shared" ca="1" si="509"/>
        <v/>
      </c>
      <c r="AR351" s="222" t="str">
        <f t="shared" ca="1" si="509"/>
        <v/>
      </c>
      <c r="AS351" s="222" t="str">
        <f t="shared" ca="1" si="509"/>
        <v/>
      </c>
      <c r="AT351" s="222" t="str">
        <f t="shared" ca="1" si="509"/>
        <v/>
      </c>
      <c r="AU351" s="222" t="str">
        <f t="shared" ca="1" si="509"/>
        <v/>
      </c>
      <c r="AV351" s="222" t="str">
        <f t="shared" ca="1" si="509"/>
        <v/>
      </c>
      <c r="AW351" s="222" t="str">
        <f t="shared" ca="1" si="509"/>
        <v/>
      </c>
      <c r="AX351" s="222" t="str">
        <f t="shared" ca="1" si="509"/>
        <v/>
      </c>
      <c r="AY351" s="222" t="str">
        <f t="shared" ca="1" si="509"/>
        <v/>
      </c>
      <c r="AZ351" s="222" t="str">
        <f t="shared" ref="AZ351:BI360" ca="1" si="510">IF(OR($A351="",AZ$320=""), "", IF((COLUMN()-COLUMN($A351)) &gt; (1+$CC351), "", PEARSON(OFFSET($B$8, 0, $CC351, $A$320+1, 1), AZ$8:AZ$153)))</f>
        <v/>
      </c>
      <c r="BA351" s="222" t="str">
        <f t="shared" ca="1" si="510"/>
        <v/>
      </c>
      <c r="BB351" s="222" t="str">
        <f t="shared" ca="1" si="510"/>
        <v/>
      </c>
      <c r="BC351" s="222" t="str">
        <f t="shared" ca="1" si="510"/>
        <v/>
      </c>
      <c r="BD351" s="222" t="str">
        <f t="shared" ca="1" si="510"/>
        <v/>
      </c>
      <c r="BE351" s="222" t="str">
        <f t="shared" ca="1" si="510"/>
        <v/>
      </c>
      <c r="BF351" s="222" t="str">
        <f t="shared" ca="1" si="510"/>
        <v/>
      </c>
      <c r="BG351" s="222" t="str">
        <f t="shared" ca="1" si="510"/>
        <v/>
      </c>
      <c r="BH351" s="222" t="str">
        <f t="shared" ca="1" si="510"/>
        <v/>
      </c>
      <c r="BI351" s="222" t="str">
        <f t="shared" ca="1" si="510"/>
        <v/>
      </c>
      <c r="BJ351" s="222" t="str">
        <f t="shared" ref="BJ351:BS360" ca="1" si="511">IF(OR($A351="",BJ$320=""), "", IF((COLUMN()-COLUMN($A351)) &gt; (1+$CC351), "", PEARSON(OFFSET($B$8, 0, $CC351, $A$320+1, 1), BJ$8:BJ$153)))</f>
        <v/>
      </c>
      <c r="BK351" s="222" t="str">
        <f t="shared" ca="1" si="511"/>
        <v/>
      </c>
      <c r="BL351" s="222" t="str">
        <f t="shared" ca="1" si="511"/>
        <v/>
      </c>
      <c r="BM351" s="222" t="str">
        <f t="shared" ca="1" si="511"/>
        <v/>
      </c>
      <c r="BN351" s="222" t="str">
        <f t="shared" ca="1" si="511"/>
        <v/>
      </c>
      <c r="BO351" s="222" t="str">
        <f t="shared" ca="1" si="511"/>
        <v/>
      </c>
      <c r="BP351" s="222" t="str">
        <f t="shared" ca="1" si="511"/>
        <v/>
      </c>
      <c r="BQ351" s="222" t="str">
        <f t="shared" ca="1" si="511"/>
        <v/>
      </c>
      <c r="BR351" s="222" t="str">
        <f t="shared" ca="1" si="511"/>
        <v/>
      </c>
      <c r="BS351" s="222" t="str">
        <f t="shared" ca="1" si="511"/>
        <v/>
      </c>
      <c r="BT351" s="222" t="str">
        <f t="shared" ref="BT351:BZ360" ca="1" si="512">IF(OR($A351="",BT$320=""), "", IF((COLUMN()-COLUMN($A351)) &gt; (1+$CC351), "", PEARSON(OFFSET($B$8, 0, $CC351, $A$320+1, 1), BT$8:BT$153)))</f>
        <v/>
      </c>
      <c r="BU351" s="222" t="str">
        <f t="shared" ca="1" si="512"/>
        <v/>
      </c>
      <c r="BV351" s="222" t="str">
        <f t="shared" ca="1" si="512"/>
        <v/>
      </c>
      <c r="BW351" s="222" t="str">
        <f t="shared" ca="1" si="512"/>
        <v/>
      </c>
      <c r="BX351" s="222" t="str">
        <f t="shared" ca="1" si="512"/>
        <v/>
      </c>
      <c r="BY351" s="222" t="str">
        <f t="shared" ca="1" si="512"/>
        <v/>
      </c>
      <c r="BZ351" s="368" t="str">
        <f t="shared" ca="1" si="512"/>
        <v/>
      </c>
      <c r="CC351" s="482">
        <f t="shared" si="488"/>
        <v>30</v>
      </c>
    </row>
    <row r="352" spans="1:81">
      <c r="A352" s="326" t="str">
        <v>VWNFX</v>
      </c>
      <c r="B352" s="222">
        <f t="shared" ca="1" si="505"/>
        <v>0.8569966139687385</v>
      </c>
      <c r="C352" s="222">
        <f t="shared" ca="1" si="505"/>
        <v>0.92849921637648236</v>
      </c>
      <c r="D352" s="222">
        <f t="shared" ca="1" si="505"/>
        <v>0.85963321601719067</v>
      </c>
      <c r="E352" s="222">
        <f t="shared" ca="1" si="505"/>
        <v>0.75100903879806569</v>
      </c>
      <c r="F352" s="222">
        <f t="shared" ca="1" si="505"/>
        <v>0.90979874411947681</v>
      </c>
      <c r="G352" s="222">
        <f t="shared" ca="1" si="505"/>
        <v>0.8353574041208166</v>
      </c>
      <c r="H352" s="222">
        <f t="shared" ca="1" si="505"/>
        <v>0.81162308651320936</v>
      </c>
      <c r="I352" s="222">
        <f t="shared" ca="1" si="505"/>
        <v>0.79398358595108265</v>
      </c>
      <c r="J352" s="222">
        <f t="shared" ca="1" si="505"/>
        <v>0.6541343911687767</v>
      </c>
      <c r="K352" s="222">
        <f t="shared" ca="1" si="505"/>
        <v>0.67373858447352819</v>
      </c>
      <c r="L352" s="222">
        <f t="shared" ca="1" si="506"/>
        <v>0.53150798163317114</v>
      </c>
      <c r="M352" s="222">
        <f t="shared" ca="1" si="506"/>
        <v>0.40625893375722733</v>
      </c>
      <c r="N352" s="222">
        <f t="shared" ca="1" si="506"/>
        <v>0.53387606763318496</v>
      </c>
      <c r="O352" s="222">
        <f t="shared" ca="1" si="506"/>
        <v>0.27620401266055333</v>
      </c>
      <c r="P352" s="222">
        <f t="shared" ca="1" si="506"/>
        <v>0.65793367208787912</v>
      </c>
      <c r="Q352" s="222">
        <f t="shared" ca="1" si="506"/>
        <v>0.5340512525701504</v>
      </c>
      <c r="R352" s="222">
        <f t="shared" ca="1" si="506"/>
        <v>0.26529507669056857</v>
      </c>
      <c r="S352" s="222">
        <f t="shared" ca="1" si="506"/>
        <v>1.5062609410796358E-2</v>
      </c>
      <c r="T352" s="222">
        <f t="shared" ca="1" si="506"/>
        <v>3.1433586164384568E-2</v>
      </c>
      <c r="U352" s="222">
        <f t="shared" ca="1" si="506"/>
        <v>0.31235520364572572</v>
      </c>
      <c r="V352" s="222">
        <f t="shared" ca="1" si="507"/>
        <v>0.13475299252048137</v>
      </c>
      <c r="W352" s="222">
        <f t="shared" ca="1" si="507"/>
        <v>7.6552118774203246E-2</v>
      </c>
      <c r="X352" s="222">
        <f t="shared" ca="1" si="507"/>
        <v>0.93039878790312114</v>
      </c>
      <c r="Y352" s="222">
        <f t="shared" ca="1" si="507"/>
        <v>0.77373903455484871</v>
      </c>
      <c r="Z352" s="222">
        <f t="shared" ca="1" si="507"/>
        <v>0.90490289855307093</v>
      </c>
      <c r="AA352" s="222">
        <f t="shared" ca="1" si="507"/>
        <v>6.1893411856527823E-2</v>
      </c>
      <c r="AB352" s="222">
        <f t="shared" ca="1" si="507"/>
        <v>-0.25213665015398673</v>
      </c>
      <c r="AC352" s="222">
        <f t="shared" ca="1" si="507"/>
        <v>0.34046430970466096</v>
      </c>
      <c r="AD352" s="222">
        <f t="shared" ca="1" si="507"/>
        <v>0.58482221480070196</v>
      </c>
      <c r="AE352" s="222">
        <f t="shared" ca="1" si="507"/>
        <v>0.72156364137931728</v>
      </c>
      <c r="AF352" s="222">
        <f t="shared" ca="1" si="508"/>
        <v>0.16453976408703974</v>
      </c>
      <c r="AG352" s="222">
        <f t="shared" ca="1" si="508"/>
        <v>1</v>
      </c>
      <c r="AH352" s="222" t="str">
        <f t="shared" ca="1" si="508"/>
        <v/>
      </c>
      <c r="AI352" s="222" t="str">
        <f t="shared" ca="1" si="508"/>
        <v/>
      </c>
      <c r="AJ352" s="222" t="str">
        <f t="shared" ca="1" si="508"/>
        <v/>
      </c>
      <c r="AK352" s="222" t="str">
        <f t="shared" ca="1" si="508"/>
        <v/>
      </c>
      <c r="AL352" s="222" t="str">
        <f t="shared" ca="1" si="508"/>
        <v/>
      </c>
      <c r="AM352" s="222" t="str">
        <f t="shared" ca="1" si="508"/>
        <v/>
      </c>
      <c r="AN352" s="222" t="str">
        <f t="shared" ca="1" si="508"/>
        <v/>
      </c>
      <c r="AO352" s="222" t="str">
        <f t="shared" ca="1" si="508"/>
        <v/>
      </c>
      <c r="AP352" s="222" t="str">
        <f t="shared" ca="1" si="509"/>
        <v/>
      </c>
      <c r="AQ352" s="222" t="str">
        <f t="shared" ca="1" si="509"/>
        <v/>
      </c>
      <c r="AR352" s="222" t="str">
        <f t="shared" ca="1" si="509"/>
        <v/>
      </c>
      <c r="AS352" s="222" t="str">
        <f t="shared" ca="1" si="509"/>
        <v/>
      </c>
      <c r="AT352" s="222" t="str">
        <f t="shared" ca="1" si="509"/>
        <v/>
      </c>
      <c r="AU352" s="222" t="str">
        <f t="shared" ca="1" si="509"/>
        <v/>
      </c>
      <c r="AV352" s="222" t="str">
        <f t="shared" ca="1" si="509"/>
        <v/>
      </c>
      <c r="AW352" s="222" t="str">
        <f t="shared" ca="1" si="509"/>
        <v/>
      </c>
      <c r="AX352" s="222" t="str">
        <f t="shared" ca="1" si="509"/>
        <v/>
      </c>
      <c r="AY352" s="222" t="str">
        <f t="shared" ca="1" si="509"/>
        <v/>
      </c>
      <c r="AZ352" s="222" t="str">
        <f t="shared" ca="1" si="510"/>
        <v/>
      </c>
      <c r="BA352" s="222" t="str">
        <f t="shared" ca="1" si="510"/>
        <v/>
      </c>
      <c r="BB352" s="222" t="str">
        <f t="shared" ca="1" si="510"/>
        <v/>
      </c>
      <c r="BC352" s="222" t="str">
        <f t="shared" ca="1" si="510"/>
        <v/>
      </c>
      <c r="BD352" s="222" t="str">
        <f t="shared" ca="1" si="510"/>
        <v/>
      </c>
      <c r="BE352" s="222" t="str">
        <f t="shared" ca="1" si="510"/>
        <v/>
      </c>
      <c r="BF352" s="222" t="str">
        <f t="shared" ca="1" si="510"/>
        <v/>
      </c>
      <c r="BG352" s="222" t="str">
        <f t="shared" ca="1" si="510"/>
        <v/>
      </c>
      <c r="BH352" s="222" t="str">
        <f t="shared" ca="1" si="510"/>
        <v/>
      </c>
      <c r="BI352" s="222" t="str">
        <f t="shared" ca="1" si="510"/>
        <v/>
      </c>
      <c r="BJ352" s="222" t="str">
        <f t="shared" ca="1" si="511"/>
        <v/>
      </c>
      <c r="BK352" s="222" t="str">
        <f t="shared" ca="1" si="511"/>
        <v/>
      </c>
      <c r="BL352" s="222" t="str">
        <f t="shared" ca="1" si="511"/>
        <v/>
      </c>
      <c r="BM352" s="222" t="str">
        <f t="shared" ca="1" si="511"/>
        <v/>
      </c>
      <c r="BN352" s="222" t="str">
        <f t="shared" ca="1" si="511"/>
        <v/>
      </c>
      <c r="BO352" s="222" t="str">
        <f t="shared" ca="1" si="511"/>
        <v/>
      </c>
      <c r="BP352" s="222" t="str">
        <f t="shared" ca="1" si="511"/>
        <v/>
      </c>
      <c r="BQ352" s="222" t="str">
        <f t="shared" ca="1" si="511"/>
        <v/>
      </c>
      <c r="BR352" s="222" t="str">
        <f t="shared" ca="1" si="511"/>
        <v/>
      </c>
      <c r="BS352" s="222" t="str">
        <f t="shared" ca="1" si="511"/>
        <v/>
      </c>
      <c r="BT352" s="222" t="str">
        <f t="shared" ca="1" si="512"/>
        <v/>
      </c>
      <c r="BU352" s="222" t="str">
        <f t="shared" ca="1" si="512"/>
        <v/>
      </c>
      <c r="BV352" s="222" t="str">
        <f t="shared" ca="1" si="512"/>
        <v/>
      </c>
      <c r="BW352" s="222" t="str">
        <f t="shared" ca="1" si="512"/>
        <v/>
      </c>
      <c r="BX352" s="222" t="str">
        <f t="shared" ca="1" si="512"/>
        <v/>
      </c>
      <c r="BY352" s="222" t="str">
        <f t="shared" ca="1" si="512"/>
        <v/>
      </c>
      <c r="BZ352" s="368" t="str">
        <f t="shared" ca="1" si="512"/>
        <v/>
      </c>
      <c r="CC352" s="482">
        <f t="shared" si="488"/>
        <v>31</v>
      </c>
    </row>
    <row r="353" spans="1:81">
      <c r="A353" s="326" t="str">
        <v>VWSTX</v>
      </c>
      <c r="B353" s="222">
        <f t="shared" ca="1" si="505"/>
        <v>0.10291187836848269</v>
      </c>
      <c r="C353" s="222">
        <f t="shared" ca="1" si="505"/>
        <v>0.11317059541170123</v>
      </c>
      <c r="D353" s="222">
        <f t="shared" ca="1" si="505"/>
        <v>0.13074918898645452</v>
      </c>
      <c r="E353" s="222">
        <f t="shared" ca="1" si="505"/>
        <v>0.13135598011972341</v>
      </c>
      <c r="F353" s="222">
        <f t="shared" ca="1" si="505"/>
        <v>9.8689903846038249E-2</v>
      </c>
      <c r="G353" s="222">
        <f t="shared" ca="1" si="505"/>
        <v>3.1984616093437196E-2</v>
      </c>
      <c r="H353" s="222">
        <f t="shared" ca="1" si="505"/>
        <v>-2.3188331527173683E-2</v>
      </c>
      <c r="I353" s="222">
        <f t="shared" ca="1" si="505"/>
        <v>2.0415349916898216E-4</v>
      </c>
      <c r="J353" s="222">
        <f t="shared" ca="1" si="505"/>
        <v>-0.12695084808257481</v>
      </c>
      <c r="K353" s="222">
        <f t="shared" ca="1" si="505"/>
        <v>-8.3299815639895747E-2</v>
      </c>
      <c r="L353" s="222">
        <f t="shared" ca="1" si="506"/>
        <v>0.12863692057234535</v>
      </c>
      <c r="M353" s="222">
        <f t="shared" ca="1" si="506"/>
        <v>0.25625167022827516</v>
      </c>
      <c r="N353" s="222">
        <f t="shared" ca="1" si="506"/>
        <v>0.17272062543788624</v>
      </c>
      <c r="O353" s="222">
        <f t="shared" ca="1" si="506"/>
        <v>2.9519965719452017E-2</v>
      </c>
      <c r="P353" s="222">
        <f t="shared" ca="1" si="506"/>
        <v>0.2289519087847415</v>
      </c>
      <c r="Q353" s="222">
        <f t="shared" ca="1" si="506"/>
        <v>0.15650529130290783</v>
      </c>
      <c r="R353" s="222">
        <f t="shared" ca="1" si="506"/>
        <v>0.18809864105995089</v>
      </c>
      <c r="S353" s="222">
        <f t="shared" ca="1" si="506"/>
        <v>0.45996813327366748</v>
      </c>
      <c r="T353" s="222">
        <f t="shared" ca="1" si="506"/>
        <v>0.69855642270968787</v>
      </c>
      <c r="U353" s="222">
        <f t="shared" ca="1" si="506"/>
        <v>0.76639589702167443</v>
      </c>
      <c r="V353" s="222">
        <f t="shared" ca="1" si="507"/>
        <v>0.86937237118649369</v>
      </c>
      <c r="W353" s="222">
        <f t="shared" ca="1" si="507"/>
        <v>0.42796782849156201</v>
      </c>
      <c r="X353" s="222">
        <f t="shared" ca="1" si="507"/>
        <v>0.28209334750433757</v>
      </c>
      <c r="Y353" s="222">
        <f t="shared" ca="1" si="507"/>
        <v>0.5074840045551603</v>
      </c>
      <c r="Z353" s="222">
        <f t="shared" ca="1" si="507"/>
        <v>6.6054952594579677E-2</v>
      </c>
      <c r="AA353" s="222">
        <f t="shared" ca="1" si="507"/>
        <v>0.91365753935910798</v>
      </c>
      <c r="AB353" s="222">
        <f t="shared" ca="1" si="507"/>
        <v>-7.5056178673715251E-2</v>
      </c>
      <c r="AC353" s="222">
        <f t="shared" ca="1" si="507"/>
        <v>1.4636006158164168E-2</v>
      </c>
      <c r="AD353" s="222">
        <f t="shared" ca="1" si="507"/>
        <v>9.3986533661001598E-2</v>
      </c>
      <c r="AE353" s="222">
        <f t="shared" ca="1" si="507"/>
        <v>0.28244502698654561</v>
      </c>
      <c r="AF353" s="222">
        <f t="shared" ca="1" si="508"/>
        <v>5.6415503506007353E-2</v>
      </c>
      <c r="AG353" s="222">
        <f t="shared" ca="1" si="508"/>
        <v>0.14077803527067265</v>
      </c>
      <c r="AH353" s="222">
        <f t="shared" ca="1" si="508"/>
        <v>1</v>
      </c>
      <c r="AI353" s="222" t="str">
        <f t="shared" ca="1" si="508"/>
        <v/>
      </c>
      <c r="AJ353" s="222" t="str">
        <f t="shared" ca="1" si="508"/>
        <v/>
      </c>
      <c r="AK353" s="222" t="str">
        <f t="shared" ca="1" si="508"/>
        <v/>
      </c>
      <c r="AL353" s="222" t="str">
        <f t="shared" ca="1" si="508"/>
        <v/>
      </c>
      <c r="AM353" s="222" t="str">
        <f t="shared" ca="1" si="508"/>
        <v/>
      </c>
      <c r="AN353" s="222" t="str">
        <f t="shared" ca="1" si="508"/>
        <v/>
      </c>
      <c r="AO353" s="222" t="str">
        <f t="shared" ca="1" si="508"/>
        <v/>
      </c>
      <c r="AP353" s="222" t="str">
        <f t="shared" ca="1" si="509"/>
        <v/>
      </c>
      <c r="AQ353" s="222" t="str">
        <f t="shared" ca="1" si="509"/>
        <v/>
      </c>
      <c r="AR353" s="222" t="str">
        <f t="shared" ca="1" si="509"/>
        <v/>
      </c>
      <c r="AS353" s="222" t="str">
        <f t="shared" ca="1" si="509"/>
        <v/>
      </c>
      <c r="AT353" s="222" t="str">
        <f t="shared" ca="1" si="509"/>
        <v/>
      </c>
      <c r="AU353" s="222" t="str">
        <f t="shared" ca="1" si="509"/>
        <v/>
      </c>
      <c r="AV353" s="222" t="str">
        <f t="shared" ca="1" si="509"/>
        <v/>
      </c>
      <c r="AW353" s="222" t="str">
        <f t="shared" ca="1" si="509"/>
        <v/>
      </c>
      <c r="AX353" s="222" t="str">
        <f t="shared" ca="1" si="509"/>
        <v/>
      </c>
      <c r="AY353" s="222" t="str">
        <f t="shared" ca="1" si="509"/>
        <v/>
      </c>
      <c r="AZ353" s="222" t="str">
        <f t="shared" ca="1" si="510"/>
        <v/>
      </c>
      <c r="BA353" s="222" t="str">
        <f t="shared" ca="1" si="510"/>
        <v/>
      </c>
      <c r="BB353" s="222" t="str">
        <f t="shared" ca="1" si="510"/>
        <v/>
      </c>
      <c r="BC353" s="222" t="str">
        <f t="shared" ca="1" si="510"/>
        <v/>
      </c>
      <c r="BD353" s="222" t="str">
        <f t="shared" ca="1" si="510"/>
        <v/>
      </c>
      <c r="BE353" s="222" t="str">
        <f t="shared" ca="1" si="510"/>
        <v/>
      </c>
      <c r="BF353" s="222" t="str">
        <f t="shared" ca="1" si="510"/>
        <v/>
      </c>
      <c r="BG353" s="222" t="str">
        <f t="shared" ca="1" si="510"/>
        <v/>
      </c>
      <c r="BH353" s="222" t="str">
        <f t="shared" ca="1" si="510"/>
        <v/>
      </c>
      <c r="BI353" s="222" t="str">
        <f t="shared" ca="1" si="510"/>
        <v/>
      </c>
      <c r="BJ353" s="222" t="str">
        <f t="shared" ca="1" si="511"/>
        <v/>
      </c>
      <c r="BK353" s="222" t="str">
        <f t="shared" ca="1" si="511"/>
        <v/>
      </c>
      <c r="BL353" s="222" t="str">
        <f t="shared" ca="1" si="511"/>
        <v/>
      </c>
      <c r="BM353" s="222" t="str">
        <f t="shared" ca="1" si="511"/>
        <v/>
      </c>
      <c r="BN353" s="222" t="str">
        <f t="shared" ca="1" si="511"/>
        <v/>
      </c>
      <c r="BO353" s="222" t="str">
        <f t="shared" ca="1" si="511"/>
        <v/>
      </c>
      <c r="BP353" s="222" t="str">
        <f t="shared" ca="1" si="511"/>
        <v/>
      </c>
      <c r="BQ353" s="222" t="str">
        <f t="shared" ca="1" si="511"/>
        <v/>
      </c>
      <c r="BR353" s="222" t="str">
        <f t="shared" ca="1" si="511"/>
        <v/>
      </c>
      <c r="BS353" s="222" t="str">
        <f t="shared" ca="1" si="511"/>
        <v/>
      </c>
      <c r="BT353" s="222" t="str">
        <f t="shared" ca="1" si="512"/>
        <v/>
      </c>
      <c r="BU353" s="222" t="str">
        <f t="shared" ca="1" si="512"/>
        <v/>
      </c>
      <c r="BV353" s="222" t="str">
        <f t="shared" ca="1" si="512"/>
        <v/>
      </c>
      <c r="BW353" s="222" t="str">
        <f t="shared" ca="1" si="512"/>
        <v/>
      </c>
      <c r="BX353" s="222" t="str">
        <f t="shared" ca="1" si="512"/>
        <v/>
      </c>
      <c r="BY353" s="222" t="str">
        <f t="shared" ca="1" si="512"/>
        <v/>
      </c>
      <c r="BZ353" s="368" t="str">
        <f t="shared" ca="1" si="512"/>
        <v/>
      </c>
      <c r="CC353" s="482">
        <f t="shared" si="488"/>
        <v>32</v>
      </c>
    </row>
    <row r="354" spans="1:81">
      <c r="A354" s="326" t="str">
        <v>VWITX</v>
      </c>
      <c r="B354" s="222">
        <f t="shared" ca="1" si="505"/>
        <v>0.30194866911087354</v>
      </c>
      <c r="C354" s="222">
        <f t="shared" ca="1" si="505"/>
        <v>0.37715815514175077</v>
      </c>
      <c r="D354" s="222">
        <f t="shared" ca="1" si="505"/>
        <v>0.31107626071952832</v>
      </c>
      <c r="E354" s="222">
        <f t="shared" ca="1" si="505"/>
        <v>0.24221264337637968</v>
      </c>
      <c r="F354" s="222">
        <f t="shared" ca="1" si="505"/>
        <v>0.37570025066177787</v>
      </c>
      <c r="G354" s="222">
        <f t="shared" ca="1" si="505"/>
        <v>0.33213629186063975</v>
      </c>
      <c r="H354" s="222">
        <f t="shared" ca="1" si="505"/>
        <v>0.23962554303670316</v>
      </c>
      <c r="I354" s="222">
        <f t="shared" ca="1" si="505"/>
        <v>0.26337835470399967</v>
      </c>
      <c r="J354" s="222">
        <f t="shared" ca="1" si="505"/>
        <v>0.12484013008891187</v>
      </c>
      <c r="K354" s="222">
        <f t="shared" ca="1" si="505"/>
        <v>0.35744612735018155</v>
      </c>
      <c r="L354" s="222">
        <f t="shared" ca="1" si="506"/>
        <v>0.31860110986000173</v>
      </c>
      <c r="M354" s="222">
        <f t="shared" ca="1" si="506"/>
        <v>0.35410378374641371</v>
      </c>
      <c r="N354" s="222">
        <f t="shared" ca="1" si="506"/>
        <v>0.35374059208275882</v>
      </c>
      <c r="O354" s="222">
        <f t="shared" ca="1" si="506"/>
        <v>0.16230802134406505</v>
      </c>
      <c r="P354" s="222">
        <f t="shared" ca="1" si="506"/>
        <v>0.42492948553486382</v>
      </c>
      <c r="Q354" s="222">
        <f t="shared" ca="1" si="506"/>
        <v>0.31492327681869409</v>
      </c>
      <c r="R354" s="222">
        <f t="shared" ca="1" si="506"/>
        <v>0.20875950998725279</v>
      </c>
      <c r="S354" s="222">
        <f t="shared" ca="1" si="506"/>
        <v>0.68907440688155941</v>
      </c>
      <c r="T354" s="222">
        <f t="shared" ca="1" si="506"/>
        <v>0.74382988007327588</v>
      </c>
      <c r="U354" s="222">
        <f t="shared" ca="1" si="506"/>
        <v>0.87951673795733476</v>
      </c>
      <c r="V354" s="222">
        <f t="shared" ca="1" si="507"/>
        <v>0.39280398713037123</v>
      </c>
      <c r="W354" s="222">
        <f t="shared" ca="1" si="507"/>
        <v>0.58322405696479773</v>
      </c>
      <c r="X354" s="222">
        <f t="shared" ca="1" si="507"/>
        <v>0.55037833149852489</v>
      </c>
      <c r="Y354" s="222">
        <f t="shared" ca="1" si="507"/>
        <v>0.81533059311831924</v>
      </c>
      <c r="Z354" s="222">
        <f t="shared" ca="1" si="507"/>
        <v>0.35213012976810593</v>
      </c>
      <c r="AA354" s="222">
        <f t="shared" ca="1" si="507"/>
        <v>0.69631157198737503</v>
      </c>
      <c r="AB354" s="222">
        <f t="shared" ca="1" si="507"/>
        <v>4.5585272578191373E-2</v>
      </c>
      <c r="AC354" s="222">
        <f t="shared" ca="1" si="507"/>
        <v>0.10259699566297492</v>
      </c>
      <c r="AD354" s="222">
        <f t="shared" ca="1" si="507"/>
        <v>0.16063644709589001</v>
      </c>
      <c r="AE354" s="222">
        <f t="shared" ca="1" si="507"/>
        <v>0.44593282776423254</v>
      </c>
      <c r="AF354" s="222">
        <f t="shared" ca="1" si="508"/>
        <v>0.16594529008203862</v>
      </c>
      <c r="AG354" s="222">
        <f t="shared" ca="1" si="508"/>
        <v>0.40157370322839786</v>
      </c>
      <c r="AH354" s="222">
        <f t="shared" ca="1" si="508"/>
        <v>0.67263914779126766</v>
      </c>
      <c r="AI354" s="222">
        <f t="shared" ca="1" si="508"/>
        <v>1</v>
      </c>
      <c r="AJ354" s="222" t="str">
        <f t="shared" ca="1" si="508"/>
        <v/>
      </c>
      <c r="AK354" s="222" t="str">
        <f t="shared" ca="1" si="508"/>
        <v/>
      </c>
      <c r="AL354" s="222" t="str">
        <f t="shared" ca="1" si="508"/>
        <v/>
      </c>
      <c r="AM354" s="222" t="str">
        <f t="shared" ca="1" si="508"/>
        <v/>
      </c>
      <c r="AN354" s="222" t="str">
        <f t="shared" ca="1" si="508"/>
        <v/>
      </c>
      <c r="AO354" s="222" t="str">
        <f t="shared" ca="1" si="508"/>
        <v/>
      </c>
      <c r="AP354" s="222" t="str">
        <f t="shared" ca="1" si="509"/>
        <v/>
      </c>
      <c r="AQ354" s="222" t="str">
        <f t="shared" ca="1" si="509"/>
        <v/>
      </c>
      <c r="AR354" s="222" t="str">
        <f t="shared" ca="1" si="509"/>
        <v/>
      </c>
      <c r="AS354" s="222" t="str">
        <f t="shared" ca="1" si="509"/>
        <v/>
      </c>
      <c r="AT354" s="222" t="str">
        <f t="shared" ca="1" si="509"/>
        <v/>
      </c>
      <c r="AU354" s="222" t="str">
        <f t="shared" ca="1" si="509"/>
        <v/>
      </c>
      <c r="AV354" s="222" t="str">
        <f t="shared" ca="1" si="509"/>
        <v/>
      </c>
      <c r="AW354" s="222" t="str">
        <f t="shared" ca="1" si="509"/>
        <v/>
      </c>
      <c r="AX354" s="222" t="str">
        <f t="shared" ca="1" si="509"/>
        <v/>
      </c>
      <c r="AY354" s="222" t="str">
        <f t="shared" ca="1" si="509"/>
        <v/>
      </c>
      <c r="AZ354" s="222" t="str">
        <f t="shared" ca="1" si="510"/>
        <v/>
      </c>
      <c r="BA354" s="222" t="str">
        <f t="shared" ca="1" si="510"/>
        <v/>
      </c>
      <c r="BB354" s="222" t="str">
        <f t="shared" ca="1" si="510"/>
        <v/>
      </c>
      <c r="BC354" s="222" t="str">
        <f t="shared" ca="1" si="510"/>
        <v/>
      </c>
      <c r="BD354" s="222" t="str">
        <f t="shared" ca="1" si="510"/>
        <v/>
      </c>
      <c r="BE354" s="222" t="str">
        <f t="shared" ca="1" si="510"/>
        <v/>
      </c>
      <c r="BF354" s="222" t="str">
        <f t="shared" ca="1" si="510"/>
        <v/>
      </c>
      <c r="BG354" s="222" t="str">
        <f t="shared" ca="1" si="510"/>
        <v/>
      </c>
      <c r="BH354" s="222" t="str">
        <f t="shared" ca="1" si="510"/>
        <v/>
      </c>
      <c r="BI354" s="222" t="str">
        <f t="shared" ca="1" si="510"/>
        <v/>
      </c>
      <c r="BJ354" s="222" t="str">
        <f t="shared" ca="1" si="511"/>
        <v/>
      </c>
      <c r="BK354" s="222" t="str">
        <f t="shared" ca="1" si="511"/>
        <v/>
      </c>
      <c r="BL354" s="222" t="str">
        <f t="shared" ca="1" si="511"/>
        <v/>
      </c>
      <c r="BM354" s="222" t="str">
        <f t="shared" ca="1" si="511"/>
        <v/>
      </c>
      <c r="BN354" s="222" t="str">
        <f t="shared" ca="1" si="511"/>
        <v/>
      </c>
      <c r="BO354" s="222" t="str">
        <f t="shared" ca="1" si="511"/>
        <v/>
      </c>
      <c r="BP354" s="222" t="str">
        <f t="shared" ca="1" si="511"/>
        <v/>
      </c>
      <c r="BQ354" s="222" t="str">
        <f t="shared" ca="1" si="511"/>
        <v/>
      </c>
      <c r="BR354" s="222" t="str">
        <f t="shared" ca="1" si="511"/>
        <v/>
      </c>
      <c r="BS354" s="222" t="str">
        <f t="shared" ca="1" si="511"/>
        <v/>
      </c>
      <c r="BT354" s="222" t="str">
        <f t="shared" ca="1" si="512"/>
        <v/>
      </c>
      <c r="BU354" s="222" t="str">
        <f t="shared" ca="1" si="512"/>
        <v/>
      </c>
      <c r="BV354" s="222" t="str">
        <f t="shared" ca="1" si="512"/>
        <v/>
      </c>
      <c r="BW354" s="222" t="str">
        <f t="shared" ca="1" si="512"/>
        <v/>
      </c>
      <c r="BX354" s="222" t="str">
        <f t="shared" ca="1" si="512"/>
        <v/>
      </c>
      <c r="BY354" s="222" t="str">
        <f t="shared" ca="1" si="512"/>
        <v/>
      </c>
      <c r="BZ354" s="368" t="str">
        <f t="shared" ca="1" si="512"/>
        <v/>
      </c>
      <c r="CC354" s="482">
        <f t="shared" si="488"/>
        <v>33</v>
      </c>
    </row>
    <row r="355" spans="1:81">
      <c r="A355" s="326" t="str">
        <v>VWLTX</v>
      </c>
      <c r="B355" s="222">
        <f t="shared" ca="1" si="505"/>
        <v>0.34426725906670352</v>
      </c>
      <c r="C355" s="222">
        <f t="shared" ca="1" si="505"/>
        <v>0.43736180583936635</v>
      </c>
      <c r="D355" s="222">
        <f t="shared" ca="1" si="505"/>
        <v>0.35289148173117324</v>
      </c>
      <c r="E355" s="222">
        <f t="shared" ca="1" si="505"/>
        <v>0.2687024785523236</v>
      </c>
      <c r="F355" s="222">
        <f t="shared" ca="1" si="505"/>
        <v>0.44844648335287995</v>
      </c>
      <c r="G355" s="222">
        <f t="shared" ca="1" si="505"/>
        <v>0.39946405562487874</v>
      </c>
      <c r="H355" s="222">
        <f t="shared" ca="1" si="505"/>
        <v>0.29072865857347951</v>
      </c>
      <c r="I355" s="222">
        <f t="shared" ca="1" si="505"/>
        <v>0.31871062315617632</v>
      </c>
      <c r="J355" s="222">
        <f t="shared" ca="1" si="505"/>
        <v>0.17840923023900152</v>
      </c>
      <c r="K355" s="222">
        <f t="shared" ca="1" si="505"/>
        <v>0.45295402260717466</v>
      </c>
      <c r="L355" s="222">
        <f t="shared" ca="1" si="506"/>
        <v>0.31780804248421274</v>
      </c>
      <c r="M355" s="222">
        <f t="shared" ca="1" si="506"/>
        <v>0.32629235808925111</v>
      </c>
      <c r="N355" s="222">
        <f t="shared" ca="1" si="506"/>
        <v>0.34778331818023422</v>
      </c>
      <c r="O355" s="222">
        <f t="shared" ca="1" si="506"/>
        <v>0.14144962329175037</v>
      </c>
      <c r="P355" s="222">
        <f t="shared" ca="1" si="506"/>
        <v>0.43804775798495188</v>
      </c>
      <c r="Q355" s="222">
        <f t="shared" ca="1" si="506"/>
        <v>0.31400606113140644</v>
      </c>
      <c r="R355" s="222">
        <f t="shared" ca="1" si="506"/>
        <v>0.2503815278354663</v>
      </c>
      <c r="S355" s="222">
        <f t="shared" ca="1" si="506"/>
        <v>0.65231258066774778</v>
      </c>
      <c r="T355" s="222">
        <f t="shared" ca="1" si="506"/>
        <v>0.68210237385371353</v>
      </c>
      <c r="U355" s="222">
        <f t="shared" ca="1" si="506"/>
        <v>0.8402535929330468</v>
      </c>
      <c r="V355" s="222">
        <f t="shared" ca="1" si="507"/>
        <v>0.29873555997122636</v>
      </c>
      <c r="W355" s="222">
        <f t="shared" ca="1" si="507"/>
        <v>0.52495660725462789</v>
      </c>
      <c r="X355" s="222">
        <f t="shared" ca="1" si="507"/>
        <v>0.6068240196241752</v>
      </c>
      <c r="Y355" s="222">
        <f t="shared" ca="1" si="507"/>
        <v>0.85009617140765736</v>
      </c>
      <c r="Z355" s="222">
        <f t="shared" ca="1" si="507"/>
        <v>0.4213514547624988</v>
      </c>
      <c r="AA355" s="222">
        <f t="shared" ca="1" si="507"/>
        <v>0.60184895910988179</v>
      </c>
      <c r="AB355" s="222">
        <f t="shared" ca="1" si="507"/>
        <v>2.9528542997848999E-2</v>
      </c>
      <c r="AC355" s="222">
        <f t="shared" ca="1" si="507"/>
        <v>0.10126073031332451</v>
      </c>
      <c r="AD355" s="222">
        <f t="shared" ca="1" si="507"/>
        <v>0.22551434563774816</v>
      </c>
      <c r="AE355" s="222">
        <f t="shared" ca="1" si="507"/>
        <v>0.50960745905620386</v>
      </c>
      <c r="AF355" s="222">
        <f t="shared" ca="1" si="508"/>
        <v>0.16895699671193637</v>
      </c>
      <c r="AG355" s="222">
        <f t="shared" ca="1" si="508"/>
        <v>0.48543577047171904</v>
      </c>
      <c r="AH355" s="222">
        <f t="shared" ca="1" si="508"/>
        <v>0.5613057447239278</v>
      </c>
      <c r="AI355" s="222">
        <f t="shared" ca="1" si="508"/>
        <v>0.97878932547383768</v>
      </c>
      <c r="AJ355" s="222">
        <f t="shared" ca="1" si="508"/>
        <v>1</v>
      </c>
      <c r="AK355" s="222" t="str">
        <f t="shared" ca="1" si="508"/>
        <v/>
      </c>
      <c r="AL355" s="222" t="str">
        <f t="shared" ca="1" si="508"/>
        <v/>
      </c>
      <c r="AM355" s="222" t="str">
        <f t="shared" ca="1" si="508"/>
        <v/>
      </c>
      <c r="AN355" s="222" t="str">
        <f t="shared" ca="1" si="508"/>
        <v/>
      </c>
      <c r="AO355" s="222" t="str">
        <f t="shared" ca="1" si="508"/>
        <v/>
      </c>
      <c r="AP355" s="222" t="str">
        <f t="shared" ca="1" si="509"/>
        <v/>
      </c>
      <c r="AQ355" s="222" t="str">
        <f t="shared" ca="1" si="509"/>
        <v/>
      </c>
      <c r="AR355" s="222" t="str">
        <f t="shared" ca="1" si="509"/>
        <v/>
      </c>
      <c r="AS355" s="222" t="str">
        <f t="shared" ca="1" si="509"/>
        <v/>
      </c>
      <c r="AT355" s="222" t="str">
        <f t="shared" ca="1" si="509"/>
        <v/>
      </c>
      <c r="AU355" s="222" t="str">
        <f t="shared" ca="1" si="509"/>
        <v/>
      </c>
      <c r="AV355" s="222" t="str">
        <f t="shared" ca="1" si="509"/>
        <v/>
      </c>
      <c r="AW355" s="222" t="str">
        <f t="shared" ca="1" si="509"/>
        <v/>
      </c>
      <c r="AX355" s="222" t="str">
        <f t="shared" ca="1" si="509"/>
        <v/>
      </c>
      <c r="AY355" s="222" t="str">
        <f t="shared" ca="1" si="509"/>
        <v/>
      </c>
      <c r="AZ355" s="222" t="str">
        <f t="shared" ca="1" si="510"/>
        <v/>
      </c>
      <c r="BA355" s="222" t="str">
        <f t="shared" ca="1" si="510"/>
        <v/>
      </c>
      <c r="BB355" s="222" t="str">
        <f t="shared" ca="1" si="510"/>
        <v/>
      </c>
      <c r="BC355" s="222" t="str">
        <f t="shared" ca="1" si="510"/>
        <v/>
      </c>
      <c r="BD355" s="222" t="str">
        <f t="shared" ca="1" si="510"/>
        <v/>
      </c>
      <c r="BE355" s="222" t="str">
        <f t="shared" ca="1" si="510"/>
        <v/>
      </c>
      <c r="BF355" s="222" t="str">
        <f t="shared" ca="1" si="510"/>
        <v/>
      </c>
      <c r="BG355" s="222" t="str">
        <f t="shared" ca="1" si="510"/>
        <v/>
      </c>
      <c r="BH355" s="222" t="str">
        <f t="shared" ca="1" si="510"/>
        <v/>
      </c>
      <c r="BI355" s="222" t="str">
        <f t="shared" ca="1" si="510"/>
        <v/>
      </c>
      <c r="BJ355" s="222" t="str">
        <f t="shared" ca="1" si="511"/>
        <v/>
      </c>
      <c r="BK355" s="222" t="str">
        <f t="shared" ca="1" si="511"/>
        <v/>
      </c>
      <c r="BL355" s="222" t="str">
        <f t="shared" ca="1" si="511"/>
        <v/>
      </c>
      <c r="BM355" s="222" t="str">
        <f t="shared" ca="1" si="511"/>
        <v/>
      </c>
      <c r="BN355" s="222" t="str">
        <f t="shared" ca="1" si="511"/>
        <v/>
      </c>
      <c r="BO355" s="222" t="str">
        <f t="shared" ca="1" si="511"/>
        <v/>
      </c>
      <c r="BP355" s="222" t="str">
        <f t="shared" ca="1" si="511"/>
        <v/>
      </c>
      <c r="BQ355" s="222" t="str">
        <f t="shared" ca="1" si="511"/>
        <v/>
      </c>
      <c r="BR355" s="222" t="str">
        <f t="shared" ca="1" si="511"/>
        <v/>
      </c>
      <c r="BS355" s="222" t="str">
        <f t="shared" ca="1" si="511"/>
        <v/>
      </c>
      <c r="BT355" s="222" t="str">
        <f t="shared" ca="1" si="512"/>
        <v/>
      </c>
      <c r="BU355" s="222" t="str">
        <f t="shared" ca="1" si="512"/>
        <v/>
      </c>
      <c r="BV355" s="222" t="str">
        <f t="shared" ca="1" si="512"/>
        <v/>
      </c>
      <c r="BW355" s="222" t="str">
        <f t="shared" ca="1" si="512"/>
        <v/>
      </c>
      <c r="BX355" s="222" t="str">
        <f t="shared" ca="1" si="512"/>
        <v/>
      </c>
      <c r="BY355" s="222" t="str">
        <f t="shared" ca="1" si="512"/>
        <v/>
      </c>
      <c r="BZ355" s="368" t="str">
        <f t="shared" ca="1" si="512"/>
        <v/>
      </c>
      <c r="CC355" s="482">
        <f t="shared" si="488"/>
        <v>34</v>
      </c>
    </row>
    <row r="356" spans="1:81">
      <c r="A356" s="326" t="str">
        <v>VWEHX</v>
      </c>
      <c r="B356" s="222">
        <f t="shared" ca="1" si="505"/>
        <v>0.75569947510181934</v>
      </c>
      <c r="C356" s="222">
        <f t="shared" ca="1" si="505"/>
        <v>0.76731991385619513</v>
      </c>
      <c r="D356" s="222">
        <f t="shared" ca="1" si="505"/>
        <v>0.7170709408086724</v>
      </c>
      <c r="E356" s="222">
        <f t="shared" ca="1" si="505"/>
        <v>0.64949883950406917</v>
      </c>
      <c r="F356" s="222">
        <f t="shared" ca="1" si="505"/>
        <v>0.81556087272046451</v>
      </c>
      <c r="G356" s="222">
        <f t="shared" ca="1" si="505"/>
        <v>0.79651616987572271</v>
      </c>
      <c r="H356" s="222">
        <f t="shared" ca="1" si="505"/>
        <v>0.81537712037173915</v>
      </c>
      <c r="I356" s="222">
        <f t="shared" ca="1" si="505"/>
        <v>0.80143476408449899</v>
      </c>
      <c r="J356" s="222">
        <f t="shared" ca="1" si="505"/>
        <v>0.70871707104702764</v>
      </c>
      <c r="K356" s="222">
        <f t="shared" ca="1" si="505"/>
        <v>0.71019459193095436</v>
      </c>
      <c r="L356" s="222">
        <f t="shared" ca="1" si="506"/>
        <v>0.63646460178800146</v>
      </c>
      <c r="M356" s="222">
        <f t="shared" ca="1" si="506"/>
        <v>0.63548231330195937</v>
      </c>
      <c r="N356" s="222">
        <f t="shared" ca="1" si="506"/>
        <v>0.67098530800407286</v>
      </c>
      <c r="O356" s="222">
        <f t="shared" ca="1" si="506"/>
        <v>0.46192166006403673</v>
      </c>
      <c r="P356" s="222">
        <f t="shared" ca="1" si="506"/>
        <v>0.67377919125562635</v>
      </c>
      <c r="Q356" s="222">
        <f t="shared" ca="1" si="506"/>
        <v>0.62187266818396192</v>
      </c>
      <c r="R356" s="222">
        <f t="shared" ca="1" si="506"/>
        <v>0.30285619652127516</v>
      </c>
      <c r="S356" s="222">
        <f t="shared" ca="1" si="506"/>
        <v>0.14169658354652725</v>
      </c>
      <c r="T356" s="222">
        <f t="shared" ca="1" si="506"/>
        <v>0.18540709037692851</v>
      </c>
      <c r="U356" s="222">
        <f t="shared" ca="1" si="506"/>
        <v>0.45136349820824856</v>
      </c>
      <c r="V356" s="222">
        <f t="shared" ca="1" si="507"/>
        <v>4.9259623272286904E-2</v>
      </c>
      <c r="W356" s="222">
        <f t="shared" ca="1" si="507"/>
        <v>0.47684467141598758</v>
      </c>
      <c r="X356" s="222">
        <f t="shared" ca="1" si="507"/>
        <v>0.8232526870625454</v>
      </c>
      <c r="Y356" s="222">
        <f t="shared" ca="1" si="507"/>
        <v>0.749395802603536</v>
      </c>
      <c r="Z356" s="222">
        <f t="shared" ca="1" si="507"/>
        <v>0.80885315733441543</v>
      </c>
      <c r="AA356" s="222">
        <f t="shared" ca="1" si="507"/>
        <v>0.20964792407056346</v>
      </c>
      <c r="AB356" s="222">
        <f t="shared" ca="1" si="507"/>
        <v>6.7506131636586225E-2</v>
      </c>
      <c r="AC356" s="222">
        <f t="shared" ca="1" si="507"/>
        <v>0.44228761734352695</v>
      </c>
      <c r="AD356" s="222">
        <f t="shared" ca="1" si="507"/>
        <v>0.39395445076494495</v>
      </c>
      <c r="AE356" s="222">
        <f t="shared" ca="1" si="507"/>
        <v>0.44370933084994729</v>
      </c>
      <c r="AF356" s="222">
        <f t="shared" ca="1" si="508"/>
        <v>0.37313528859965711</v>
      </c>
      <c r="AG356" s="222">
        <f t="shared" ca="1" si="508"/>
        <v>0.7404393321102587</v>
      </c>
      <c r="AH356" s="222">
        <f t="shared" ca="1" si="508"/>
        <v>0.22441215915177565</v>
      </c>
      <c r="AI356" s="222">
        <f t="shared" ca="1" si="508"/>
        <v>0.6225419066604565</v>
      </c>
      <c r="AJ356" s="222">
        <f t="shared" ca="1" si="508"/>
        <v>0.64468219526560566</v>
      </c>
      <c r="AK356" s="222">
        <f t="shared" ca="1" si="508"/>
        <v>1.0000000000000002</v>
      </c>
      <c r="AL356" s="222" t="str">
        <f t="shared" ca="1" si="508"/>
        <v/>
      </c>
      <c r="AM356" s="222" t="str">
        <f t="shared" ca="1" si="508"/>
        <v/>
      </c>
      <c r="AN356" s="222" t="str">
        <f t="shared" ca="1" si="508"/>
        <v/>
      </c>
      <c r="AO356" s="222" t="str">
        <f t="shared" ca="1" si="508"/>
        <v/>
      </c>
      <c r="AP356" s="222" t="str">
        <f t="shared" ca="1" si="509"/>
        <v/>
      </c>
      <c r="AQ356" s="222" t="str">
        <f t="shared" ca="1" si="509"/>
        <v/>
      </c>
      <c r="AR356" s="222" t="str">
        <f t="shared" ca="1" si="509"/>
        <v/>
      </c>
      <c r="AS356" s="222" t="str">
        <f t="shared" ca="1" si="509"/>
        <v/>
      </c>
      <c r="AT356" s="222" t="str">
        <f t="shared" ca="1" si="509"/>
        <v/>
      </c>
      <c r="AU356" s="222" t="str">
        <f t="shared" ca="1" si="509"/>
        <v/>
      </c>
      <c r="AV356" s="222" t="str">
        <f t="shared" ca="1" si="509"/>
        <v/>
      </c>
      <c r="AW356" s="222" t="str">
        <f t="shared" ca="1" si="509"/>
        <v/>
      </c>
      <c r="AX356" s="222" t="str">
        <f t="shared" ca="1" si="509"/>
        <v/>
      </c>
      <c r="AY356" s="222" t="str">
        <f t="shared" ca="1" si="509"/>
        <v/>
      </c>
      <c r="AZ356" s="222" t="str">
        <f t="shared" ca="1" si="510"/>
        <v/>
      </c>
      <c r="BA356" s="222" t="str">
        <f t="shared" ca="1" si="510"/>
        <v/>
      </c>
      <c r="BB356" s="222" t="str">
        <f t="shared" ca="1" si="510"/>
        <v/>
      </c>
      <c r="BC356" s="222" t="str">
        <f t="shared" ca="1" si="510"/>
        <v/>
      </c>
      <c r="BD356" s="222" t="str">
        <f t="shared" ca="1" si="510"/>
        <v/>
      </c>
      <c r="BE356" s="222" t="str">
        <f t="shared" ca="1" si="510"/>
        <v/>
      </c>
      <c r="BF356" s="222" t="str">
        <f t="shared" ca="1" si="510"/>
        <v/>
      </c>
      <c r="BG356" s="222" t="str">
        <f t="shared" ca="1" si="510"/>
        <v/>
      </c>
      <c r="BH356" s="222" t="str">
        <f t="shared" ca="1" si="510"/>
        <v/>
      </c>
      <c r="BI356" s="222" t="str">
        <f t="shared" ca="1" si="510"/>
        <v/>
      </c>
      <c r="BJ356" s="222" t="str">
        <f t="shared" ca="1" si="511"/>
        <v/>
      </c>
      <c r="BK356" s="222" t="str">
        <f t="shared" ca="1" si="511"/>
        <v/>
      </c>
      <c r="BL356" s="222" t="str">
        <f t="shared" ca="1" si="511"/>
        <v/>
      </c>
      <c r="BM356" s="222" t="str">
        <f t="shared" ca="1" si="511"/>
        <v/>
      </c>
      <c r="BN356" s="222" t="str">
        <f t="shared" ca="1" si="511"/>
        <v/>
      </c>
      <c r="BO356" s="222" t="str">
        <f t="shared" ca="1" si="511"/>
        <v/>
      </c>
      <c r="BP356" s="222" t="str">
        <f t="shared" ca="1" si="511"/>
        <v/>
      </c>
      <c r="BQ356" s="222" t="str">
        <f t="shared" ca="1" si="511"/>
        <v/>
      </c>
      <c r="BR356" s="222" t="str">
        <f t="shared" ca="1" si="511"/>
        <v/>
      </c>
      <c r="BS356" s="222" t="str">
        <f t="shared" ca="1" si="511"/>
        <v/>
      </c>
      <c r="BT356" s="222" t="str">
        <f t="shared" ca="1" si="512"/>
        <v/>
      </c>
      <c r="BU356" s="222" t="str">
        <f t="shared" ca="1" si="512"/>
        <v/>
      </c>
      <c r="BV356" s="222" t="str">
        <f t="shared" ca="1" si="512"/>
        <v/>
      </c>
      <c r="BW356" s="222" t="str">
        <f t="shared" ca="1" si="512"/>
        <v/>
      </c>
      <c r="BX356" s="222" t="str">
        <f t="shared" ca="1" si="512"/>
        <v/>
      </c>
      <c r="BY356" s="222" t="str">
        <f t="shared" ca="1" si="512"/>
        <v/>
      </c>
      <c r="BZ356" s="368" t="str">
        <f t="shared" ca="1" si="512"/>
        <v/>
      </c>
      <c r="CC356" s="482">
        <f t="shared" si="488"/>
        <v>35</v>
      </c>
    </row>
    <row r="357" spans="1:81">
      <c r="A357" s="326" t="str">
        <v>VMGIX</v>
      </c>
      <c r="B357" s="222">
        <f t="shared" ca="1" si="505"/>
        <v>0.90059894754839109</v>
      </c>
      <c r="C357" s="222">
        <f t="shared" ca="1" si="505"/>
        <v>0.7776861647902451</v>
      </c>
      <c r="D357" s="222">
        <f t="shared" ca="1" si="505"/>
        <v>0.86929925047854306</v>
      </c>
      <c r="E357" s="222">
        <f t="shared" ca="1" si="505"/>
        <v>0.88661652182390771</v>
      </c>
      <c r="F357" s="222">
        <f t="shared" ca="1" si="505"/>
        <v>0.79733530650345552</v>
      </c>
      <c r="G357" s="222">
        <f t="shared" ca="1" si="505"/>
        <v>0.5777107934409802</v>
      </c>
      <c r="H357" s="222">
        <f t="shared" ca="1" si="505"/>
        <v>0.82268177672248211</v>
      </c>
      <c r="I357" s="222">
        <f t="shared" ca="1" si="505"/>
        <v>0.83415787548271325</v>
      </c>
      <c r="J357" s="222">
        <f t="shared" ca="1" si="505"/>
        <v>0.65851284818493683</v>
      </c>
      <c r="K357" s="222">
        <f t="shared" ca="1" si="505"/>
        <v>0.3812179045290271</v>
      </c>
      <c r="L357" s="222">
        <f t="shared" ca="1" si="506"/>
        <v>0.65216139225222547</v>
      </c>
      <c r="M357" s="222">
        <f t="shared" ca="1" si="506"/>
        <v>0.69146170771669879</v>
      </c>
      <c r="N357" s="222">
        <f t="shared" ca="1" si="506"/>
        <v>0.68374306189904455</v>
      </c>
      <c r="O357" s="222">
        <f t="shared" ca="1" si="506"/>
        <v>0.56766126160368047</v>
      </c>
      <c r="P357" s="222">
        <f t="shared" ca="1" si="506"/>
        <v>0.6908831331739671</v>
      </c>
      <c r="Q357" s="222">
        <f t="shared" ca="1" si="506"/>
        <v>0.60069545590627615</v>
      </c>
      <c r="R357" s="222">
        <f t="shared" ca="1" si="506"/>
        <v>0.31075727429284161</v>
      </c>
      <c r="S357" s="222">
        <f t="shared" ca="1" si="506"/>
        <v>-0.22393619947723789</v>
      </c>
      <c r="T357" s="222">
        <f t="shared" ca="1" si="506"/>
        <v>-0.20389793509895796</v>
      </c>
      <c r="U357" s="222">
        <f t="shared" ca="1" si="506"/>
        <v>6.0386286451445254E-2</v>
      </c>
      <c r="V357" s="222">
        <f t="shared" ca="1" si="507"/>
        <v>7.2885452827366984E-2</v>
      </c>
      <c r="W357" s="222">
        <f t="shared" ca="1" si="507"/>
        <v>0.1055595849864271</v>
      </c>
      <c r="X357" s="222">
        <f t="shared" ca="1" si="507"/>
        <v>0.70857807737343959</v>
      </c>
      <c r="Y357" s="222">
        <f t="shared" ca="1" si="507"/>
        <v>0.4066177100002496</v>
      </c>
      <c r="Z357" s="222">
        <f t="shared" ca="1" si="507"/>
        <v>0.71156720861899769</v>
      </c>
      <c r="AA357" s="222">
        <f t="shared" ca="1" si="507"/>
        <v>-9.3521083205528738E-2</v>
      </c>
      <c r="AB357" s="222">
        <f t="shared" ca="1" si="507"/>
        <v>-3.3875063369238512E-2</v>
      </c>
      <c r="AC357" s="222">
        <f t="shared" ca="1" si="507"/>
        <v>0.70997799806111384</v>
      </c>
      <c r="AD357" s="222">
        <f t="shared" ca="1" si="507"/>
        <v>0.47828320216582076</v>
      </c>
      <c r="AE357" s="222">
        <f t="shared" ca="1" si="507"/>
        <v>0.41999992539576797</v>
      </c>
      <c r="AF357" s="222">
        <f t="shared" ca="1" si="508"/>
        <v>0.33554328487734758</v>
      </c>
      <c r="AG357" s="222">
        <f t="shared" ca="1" si="508"/>
        <v>0.6232676280509426</v>
      </c>
      <c r="AH357" s="222">
        <f t="shared" ca="1" si="508"/>
        <v>1.5086042035132495E-2</v>
      </c>
      <c r="AI357" s="222">
        <f t="shared" ca="1" si="508"/>
        <v>0.13906775026282275</v>
      </c>
      <c r="AJ357" s="222">
        <f t="shared" ca="1" si="508"/>
        <v>0.16071631837079992</v>
      </c>
      <c r="AK357" s="222">
        <f t="shared" ca="1" si="508"/>
        <v>0.64889463415016502</v>
      </c>
      <c r="AL357" s="222">
        <f t="shared" ca="1" si="508"/>
        <v>1</v>
      </c>
      <c r="AM357" s="222" t="str">
        <f t="shared" ca="1" si="508"/>
        <v/>
      </c>
      <c r="AN357" s="222" t="str">
        <f t="shared" ca="1" si="508"/>
        <v/>
      </c>
      <c r="AO357" s="222" t="str">
        <f t="shared" ca="1" si="508"/>
        <v/>
      </c>
      <c r="AP357" s="222" t="str">
        <f t="shared" ca="1" si="509"/>
        <v/>
      </c>
      <c r="AQ357" s="222" t="str">
        <f t="shared" ca="1" si="509"/>
        <v/>
      </c>
      <c r="AR357" s="222" t="str">
        <f t="shared" ca="1" si="509"/>
        <v/>
      </c>
      <c r="AS357" s="222" t="str">
        <f t="shared" ca="1" si="509"/>
        <v/>
      </c>
      <c r="AT357" s="222" t="str">
        <f t="shared" ca="1" si="509"/>
        <v/>
      </c>
      <c r="AU357" s="222" t="str">
        <f t="shared" ca="1" si="509"/>
        <v/>
      </c>
      <c r="AV357" s="222" t="str">
        <f t="shared" ca="1" si="509"/>
        <v/>
      </c>
      <c r="AW357" s="222" t="str">
        <f t="shared" ca="1" si="509"/>
        <v/>
      </c>
      <c r="AX357" s="222" t="str">
        <f t="shared" ca="1" si="509"/>
        <v/>
      </c>
      <c r="AY357" s="222" t="str">
        <f t="shared" ca="1" si="509"/>
        <v/>
      </c>
      <c r="AZ357" s="222" t="str">
        <f t="shared" ca="1" si="510"/>
        <v/>
      </c>
      <c r="BA357" s="222" t="str">
        <f t="shared" ca="1" si="510"/>
        <v/>
      </c>
      <c r="BB357" s="222" t="str">
        <f t="shared" ca="1" si="510"/>
        <v/>
      </c>
      <c r="BC357" s="222" t="str">
        <f t="shared" ca="1" si="510"/>
        <v/>
      </c>
      <c r="BD357" s="222" t="str">
        <f t="shared" ca="1" si="510"/>
        <v/>
      </c>
      <c r="BE357" s="222" t="str">
        <f t="shared" ca="1" si="510"/>
        <v/>
      </c>
      <c r="BF357" s="222" t="str">
        <f t="shared" ca="1" si="510"/>
        <v/>
      </c>
      <c r="BG357" s="222" t="str">
        <f t="shared" ca="1" si="510"/>
        <v/>
      </c>
      <c r="BH357" s="222" t="str">
        <f t="shared" ca="1" si="510"/>
        <v/>
      </c>
      <c r="BI357" s="222" t="str">
        <f t="shared" ca="1" si="510"/>
        <v/>
      </c>
      <c r="BJ357" s="222" t="str">
        <f t="shared" ca="1" si="511"/>
        <v/>
      </c>
      <c r="BK357" s="222" t="str">
        <f t="shared" ca="1" si="511"/>
        <v/>
      </c>
      <c r="BL357" s="222" t="str">
        <f t="shared" ca="1" si="511"/>
        <v/>
      </c>
      <c r="BM357" s="222" t="str">
        <f t="shared" ca="1" si="511"/>
        <v/>
      </c>
      <c r="BN357" s="222" t="str">
        <f t="shared" ca="1" si="511"/>
        <v/>
      </c>
      <c r="BO357" s="222" t="str">
        <f t="shared" ca="1" si="511"/>
        <v/>
      </c>
      <c r="BP357" s="222" t="str">
        <f t="shared" ca="1" si="511"/>
        <v/>
      </c>
      <c r="BQ357" s="222" t="str">
        <f t="shared" ca="1" si="511"/>
        <v/>
      </c>
      <c r="BR357" s="222" t="str">
        <f t="shared" ca="1" si="511"/>
        <v/>
      </c>
      <c r="BS357" s="222" t="str">
        <f t="shared" ca="1" si="511"/>
        <v/>
      </c>
      <c r="BT357" s="222" t="str">
        <f t="shared" ca="1" si="512"/>
        <v/>
      </c>
      <c r="BU357" s="222" t="str">
        <f t="shared" ca="1" si="512"/>
        <v/>
      </c>
      <c r="BV357" s="222" t="str">
        <f t="shared" ca="1" si="512"/>
        <v/>
      </c>
      <c r="BW357" s="222" t="str">
        <f t="shared" ca="1" si="512"/>
        <v/>
      </c>
      <c r="BX357" s="222" t="str">
        <f t="shared" ca="1" si="512"/>
        <v/>
      </c>
      <c r="BY357" s="222" t="str">
        <f t="shared" ca="1" si="512"/>
        <v/>
      </c>
      <c r="BZ357" s="368" t="str">
        <f t="shared" ca="1" si="512"/>
        <v/>
      </c>
      <c r="CC357" s="482">
        <f t="shared" si="488"/>
        <v>36</v>
      </c>
    </row>
    <row r="358" spans="1:81">
      <c r="A358" s="326" t="str">
        <v>VMVIX</v>
      </c>
      <c r="B358" s="222">
        <f t="shared" ca="1" si="505"/>
        <v>0.82425054841754819</v>
      </c>
      <c r="C358" s="222">
        <f t="shared" ca="1" si="505"/>
        <v>0.89552784443031219</v>
      </c>
      <c r="D358" s="222">
        <f t="shared" ca="1" si="505"/>
        <v>0.79112366287757063</v>
      </c>
      <c r="E358" s="222">
        <f t="shared" ca="1" si="505"/>
        <v>0.67354826224903785</v>
      </c>
      <c r="F358" s="222">
        <f t="shared" ca="1" si="505"/>
        <v>0.95963976300342324</v>
      </c>
      <c r="G358" s="222">
        <f t="shared" ca="1" si="505"/>
        <v>0.96212114214753608</v>
      </c>
      <c r="H358" s="222">
        <f t="shared" ca="1" si="505"/>
        <v>0.91286317635958114</v>
      </c>
      <c r="I358" s="222">
        <f t="shared" ca="1" si="505"/>
        <v>0.88113930892946657</v>
      </c>
      <c r="J358" s="222">
        <f t="shared" ca="1" si="505"/>
        <v>0.80413666828762909</v>
      </c>
      <c r="K358" s="222">
        <f t="shared" ca="1" si="505"/>
        <v>0.7875936641156811</v>
      </c>
      <c r="L358" s="222">
        <f t="shared" ca="1" si="506"/>
        <v>0.5259830317203823</v>
      </c>
      <c r="M358" s="222">
        <f t="shared" ca="1" si="506"/>
        <v>0.47203100364262729</v>
      </c>
      <c r="N358" s="222">
        <f t="shared" ca="1" si="506"/>
        <v>0.54004945770477741</v>
      </c>
      <c r="O358" s="222">
        <f t="shared" ca="1" si="506"/>
        <v>0.29769185056516401</v>
      </c>
      <c r="P358" s="222">
        <f t="shared" ca="1" si="506"/>
        <v>0.64908078910574707</v>
      </c>
      <c r="Q358" s="222">
        <f t="shared" ca="1" si="506"/>
        <v>0.52516856820796587</v>
      </c>
      <c r="R358" s="222">
        <f t="shared" ca="1" si="506"/>
        <v>0.32204717551982265</v>
      </c>
      <c r="S358" s="222">
        <f t="shared" ca="1" si="506"/>
        <v>-2.8148484859090741E-2</v>
      </c>
      <c r="T358" s="222">
        <f t="shared" ca="1" si="506"/>
        <v>1.5941513479725141E-3</v>
      </c>
      <c r="U358" s="222">
        <f t="shared" ca="1" si="506"/>
        <v>0.29865377647168223</v>
      </c>
      <c r="V358" s="222">
        <f t="shared" ca="1" si="507"/>
        <v>2.5105637385551771E-2</v>
      </c>
      <c r="W358" s="222">
        <f t="shared" ca="1" si="507"/>
        <v>9.7687135742631243E-2</v>
      </c>
      <c r="X358" s="222">
        <f t="shared" ca="1" si="507"/>
        <v>0.91077932911014869</v>
      </c>
      <c r="Y358" s="222">
        <f t="shared" ca="1" si="507"/>
        <v>0.75624447456032873</v>
      </c>
      <c r="Z358" s="222">
        <f t="shared" ca="1" si="507"/>
        <v>0.94822814572082292</v>
      </c>
      <c r="AA358" s="222">
        <f t="shared" ca="1" si="507"/>
        <v>3.0747449522305136E-2</v>
      </c>
      <c r="AB358" s="222">
        <f t="shared" ca="1" si="507"/>
        <v>-0.22485066149643879</v>
      </c>
      <c r="AC358" s="222">
        <f t="shared" ca="1" si="507"/>
        <v>0.38787822999561794</v>
      </c>
      <c r="AD358" s="222">
        <f t="shared" ca="1" si="507"/>
        <v>0.59755237835881869</v>
      </c>
      <c r="AE358" s="222">
        <f t="shared" ca="1" si="507"/>
        <v>0.64785057280039571</v>
      </c>
      <c r="AF358" s="222">
        <f t="shared" ca="1" si="508"/>
        <v>0.1980184716739693</v>
      </c>
      <c r="AG358" s="222">
        <f t="shared" ca="1" si="508"/>
        <v>0.91782434435105442</v>
      </c>
      <c r="AH358" s="222">
        <f t="shared" ca="1" si="508"/>
        <v>7.5931728911024343E-2</v>
      </c>
      <c r="AI358" s="222">
        <f t="shared" ca="1" si="508"/>
        <v>0.3975728687359677</v>
      </c>
      <c r="AJ358" s="222">
        <f t="shared" ca="1" si="508"/>
        <v>0.48017927535332289</v>
      </c>
      <c r="AK358" s="222">
        <f t="shared" ca="1" si="508"/>
        <v>0.8039011379685117</v>
      </c>
      <c r="AL358" s="222">
        <f t="shared" ca="1" si="508"/>
        <v>0.63970281460402101</v>
      </c>
      <c r="AM358" s="222">
        <f t="shared" ca="1" si="508"/>
        <v>0.99999999999999978</v>
      </c>
      <c r="AN358" s="222" t="str">
        <f t="shared" ca="1" si="508"/>
        <v/>
      </c>
      <c r="AO358" s="222" t="str">
        <f t="shared" ca="1" si="508"/>
        <v/>
      </c>
      <c r="AP358" s="222" t="str">
        <f t="shared" ca="1" si="509"/>
        <v/>
      </c>
      <c r="AQ358" s="222" t="str">
        <f t="shared" ca="1" si="509"/>
        <v/>
      </c>
      <c r="AR358" s="222" t="str">
        <f t="shared" ca="1" si="509"/>
        <v/>
      </c>
      <c r="AS358" s="222" t="str">
        <f t="shared" ca="1" si="509"/>
        <v/>
      </c>
      <c r="AT358" s="222" t="str">
        <f t="shared" ca="1" si="509"/>
        <v/>
      </c>
      <c r="AU358" s="222" t="str">
        <f t="shared" ca="1" si="509"/>
        <v/>
      </c>
      <c r="AV358" s="222" t="str">
        <f t="shared" ca="1" si="509"/>
        <v/>
      </c>
      <c r="AW358" s="222" t="str">
        <f t="shared" ca="1" si="509"/>
        <v/>
      </c>
      <c r="AX358" s="222" t="str">
        <f t="shared" ca="1" si="509"/>
        <v/>
      </c>
      <c r="AY358" s="222" t="str">
        <f t="shared" ca="1" si="509"/>
        <v/>
      </c>
      <c r="AZ358" s="222" t="str">
        <f t="shared" ca="1" si="510"/>
        <v/>
      </c>
      <c r="BA358" s="222" t="str">
        <f t="shared" ca="1" si="510"/>
        <v/>
      </c>
      <c r="BB358" s="222" t="str">
        <f t="shared" ca="1" si="510"/>
        <v/>
      </c>
      <c r="BC358" s="222" t="str">
        <f t="shared" ca="1" si="510"/>
        <v/>
      </c>
      <c r="BD358" s="222" t="str">
        <f t="shared" ca="1" si="510"/>
        <v/>
      </c>
      <c r="BE358" s="222" t="str">
        <f t="shared" ca="1" si="510"/>
        <v/>
      </c>
      <c r="BF358" s="222" t="str">
        <f t="shared" ca="1" si="510"/>
        <v/>
      </c>
      <c r="BG358" s="222" t="str">
        <f t="shared" ca="1" si="510"/>
        <v/>
      </c>
      <c r="BH358" s="222" t="str">
        <f t="shared" ca="1" si="510"/>
        <v/>
      </c>
      <c r="BI358" s="222" t="str">
        <f t="shared" ca="1" si="510"/>
        <v/>
      </c>
      <c r="BJ358" s="222" t="str">
        <f t="shared" ca="1" si="511"/>
        <v/>
      </c>
      <c r="BK358" s="222" t="str">
        <f t="shared" ca="1" si="511"/>
        <v/>
      </c>
      <c r="BL358" s="222" t="str">
        <f t="shared" ca="1" si="511"/>
        <v/>
      </c>
      <c r="BM358" s="222" t="str">
        <f t="shared" ca="1" si="511"/>
        <v/>
      </c>
      <c r="BN358" s="222" t="str">
        <f t="shared" ca="1" si="511"/>
        <v/>
      </c>
      <c r="BO358" s="222" t="str">
        <f t="shared" ca="1" si="511"/>
        <v/>
      </c>
      <c r="BP358" s="222" t="str">
        <f t="shared" ca="1" si="511"/>
        <v/>
      </c>
      <c r="BQ358" s="222" t="str">
        <f t="shared" ca="1" si="511"/>
        <v/>
      </c>
      <c r="BR358" s="222" t="str">
        <f t="shared" ca="1" si="511"/>
        <v/>
      </c>
      <c r="BS358" s="222" t="str">
        <f t="shared" ca="1" si="511"/>
        <v/>
      </c>
      <c r="BT358" s="222" t="str">
        <f t="shared" ca="1" si="512"/>
        <v/>
      </c>
      <c r="BU358" s="222" t="str">
        <f t="shared" ca="1" si="512"/>
        <v/>
      </c>
      <c r="BV358" s="222" t="str">
        <f t="shared" ca="1" si="512"/>
        <v/>
      </c>
      <c r="BW358" s="222" t="str">
        <f t="shared" ca="1" si="512"/>
        <v/>
      </c>
      <c r="BX358" s="222" t="str">
        <f t="shared" ca="1" si="512"/>
        <v/>
      </c>
      <c r="BY358" s="222" t="str">
        <f t="shared" ca="1" si="512"/>
        <v/>
      </c>
      <c r="BZ358" s="368" t="str">
        <f t="shared" ca="1" si="512"/>
        <v/>
      </c>
      <c r="CC358" s="482">
        <f t="shared" si="488"/>
        <v>37</v>
      </c>
    </row>
    <row r="359" spans="1:81">
      <c r="A359" s="326" t="str">
        <v>VEXMX</v>
      </c>
      <c r="B359" s="222">
        <f t="shared" ca="1" si="505"/>
        <v>0.95366829052923818</v>
      </c>
      <c r="C359" s="222">
        <f t="shared" ca="1" si="505"/>
        <v>0.89634892498609864</v>
      </c>
      <c r="D359" s="222">
        <f t="shared" ca="1" si="505"/>
        <v>0.91236882632871086</v>
      </c>
      <c r="E359" s="222">
        <f t="shared" ca="1" si="505"/>
        <v>0.87435662968524841</v>
      </c>
      <c r="F359" s="222">
        <f t="shared" ca="1" si="505"/>
        <v>0.9177313398956094</v>
      </c>
      <c r="G359" s="222">
        <f t="shared" ca="1" si="505"/>
        <v>0.80324899315063625</v>
      </c>
      <c r="H359" s="222">
        <f t="shared" ca="1" si="505"/>
        <v>0.95980038139150237</v>
      </c>
      <c r="I359" s="222">
        <f t="shared" ca="1" si="505"/>
        <v>0.94552701415764218</v>
      </c>
      <c r="J359" s="222">
        <f t="shared" ca="1" si="505"/>
        <v>0.82225606075607005</v>
      </c>
      <c r="K359" s="222">
        <f t="shared" ca="1" si="505"/>
        <v>0.56534449722581415</v>
      </c>
      <c r="L359" s="222">
        <f t="shared" ca="1" si="506"/>
        <v>0.66125593756220724</v>
      </c>
      <c r="M359" s="222">
        <f t="shared" ca="1" si="506"/>
        <v>0.6498621454161011</v>
      </c>
      <c r="N359" s="222">
        <f t="shared" ca="1" si="506"/>
        <v>0.68313541658006272</v>
      </c>
      <c r="O359" s="222">
        <f t="shared" ca="1" si="506"/>
        <v>0.50718756747540383</v>
      </c>
      <c r="P359" s="222">
        <f t="shared" ca="1" si="506"/>
        <v>0.73844806065972635</v>
      </c>
      <c r="Q359" s="222">
        <f t="shared" ca="1" si="506"/>
        <v>0.62528924609579339</v>
      </c>
      <c r="R359" s="222">
        <f t="shared" ca="1" si="506"/>
        <v>0.2976046295567451</v>
      </c>
      <c r="S359" s="222">
        <f t="shared" ca="1" si="506"/>
        <v>-0.1887781476936839</v>
      </c>
      <c r="T359" s="222">
        <f t="shared" ca="1" si="506"/>
        <v>-0.15812454674734366</v>
      </c>
      <c r="U359" s="222">
        <f t="shared" ca="1" si="506"/>
        <v>0.12946332041929212</v>
      </c>
      <c r="V359" s="222">
        <f t="shared" ca="1" si="507"/>
        <v>2.5632034370470431E-3</v>
      </c>
      <c r="W359" s="222">
        <f t="shared" ca="1" si="507"/>
        <v>8.3157215384135938E-2</v>
      </c>
      <c r="X359" s="222">
        <f t="shared" ca="1" si="507"/>
        <v>0.84135355502981257</v>
      </c>
      <c r="Y359" s="222">
        <f t="shared" ca="1" si="507"/>
        <v>0.56350486456123672</v>
      </c>
      <c r="Z359" s="222">
        <f t="shared" ca="1" si="507"/>
        <v>0.87047651099455337</v>
      </c>
      <c r="AA359" s="222">
        <f t="shared" ca="1" si="507"/>
        <v>-8.783682435922581E-2</v>
      </c>
      <c r="AB359" s="222">
        <f t="shared" ca="1" si="507"/>
        <v>-0.1163700784120434</v>
      </c>
      <c r="AC359" s="222">
        <f t="shared" ca="1" si="507"/>
        <v>0.62702223282462222</v>
      </c>
      <c r="AD359" s="222">
        <f t="shared" ca="1" si="507"/>
        <v>0.53074464701717283</v>
      </c>
      <c r="AE359" s="222">
        <f t="shared" ca="1" si="507"/>
        <v>0.50312923266580833</v>
      </c>
      <c r="AF359" s="222">
        <f t="shared" ca="1" si="508"/>
        <v>0.28910362269988404</v>
      </c>
      <c r="AG359" s="222">
        <f t="shared" ca="1" si="508"/>
        <v>0.79046250224469572</v>
      </c>
      <c r="AH359" s="222">
        <f t="shared" ca="1" si="508"/>
        <v>-4.0548894503571612E-3</v>
      </c>
      <c r="AI359" s="222">
        <f t="shared" ca="1" si="508"/>
        <v>0.21486521280061341</v>
      </c>
      <c r="AJ359" s="222">
        <f t="shared" ca="1" si="508"/>
        <v>0.25797782951090181</v>
      </c>
      <c r="AK359" s="222">
        <f t="shared" ca="1" si="508"/>
        <v>0.77750493538237597</v>
      </c>
      <c r="AL359" s="222">
        <f t="shared" ca="1" si="508"/>
        <v>0.9351116866277247</v>
      </c>
      <c r="AM359" s="222">
        <f t="shared" ca="1" si="508"/>
        <v>0.84154430680395564</v>
      </c>
      <c r="AN359" s="222">
        <f t="shared" ca="1" si="508"/>
        <v>1</v>
      </c>
      <c r="AO359" s="222" t="str">
        <f t="shared" ca="1" si="508"/>
        <v/>
      </c>
      <c r="AP359" s="222" t="str">
        <f t="shared" ca="1" si="509"/>
        <v/>
      </c>
      <c r="AQ359" s="222" t="str">
        <f t="shared" ca="1" si="509"/>
        <v/>
      </c>
      <c r="AR359" s="222" t="str">
        <f t="shared" ca="1" si="509"/>
        <v/>
      </c>
      <c r="AS359" s="222" t="str">
        <f t="shared" ca="1" si="509"/>
        <v/>
      </c>
      <c r="AT359" s="222" t="str">
        <f t="shared" ca="1" si="509"/>
        <v/>
      </c>
      <c r="AU359" s="222" t="str">
        <f t="shared" ca="1" si="509"/>
        <v/>
      </c>
      <c r="AV359" s="222" t="str">
        <f t="shared" ca="1" si="509"/>
        <v/>
      </c>
      <c r="AW359" s="222" t="str">
        <f t="shared" ca="1" si="509"/>
        <v/>
      </c>
      <c r="AX359" s="222" t="str">
        <f t="shared" ca="1" si="509"/>
        <v/>
      </c>
      <c r="AY359" s="222" t="str">
        <f t="shared" ca="1" si="509"/>
        <v/>
      </c>
      <c r="AZ359" s="222" t="str">
        <f t="shared" ca="1" si="510"/>
        <v/>
      </c>
      <c r="BA359" s="222" t="str">
        <f t="shared" ca="1" si="510"/>
        <v/>
      </c>
      <c r="BB359" s="222" t="str">
        <f t="shared" ca="1" si="510"/>
        <v/>
      </c>
      <c r="BC359" s="222" t="str">
        <f t="shared" ca="1" si="510"/>
        <v/>
      </c>
      <c r="BD359" s="222" t="str">
        <f t="shared" ca="1" si="510"/>
        <v/>
      </c>
      <c r="BE359" s="222" t="str">
        <f t="shared" ca="1" si="510"/>
        <v/>
      </c>
      <c r="BF359" s="222" t="str">
        <f t="shared" ca="1" si="510"/>
        <v/>
      </c>
      <c r="BG359" s="222" t="str">
        <f t="shared" ca="1" si="510"/>
        <v/>
      </c>
      <c r="BH359" s="222" t="str">
        <f t="shared" ca="1" si="510"/>
        <v/>
      </c>
      <c r="BI359" s="222" t="str">
        <f t="shared" ca="1" si="510"/>
        <v/>
      </c>
      <c r="BJ359" s="222" t="str">
        <f t="shared" ca="1" si="511"/>
        <v/>
      </c>
      <c r="BK359" s="222" t="str">
        <f t="shared" ca="1" si="511"/>
        <v/>
      </c>
      <c r="BL359" s="222" t="str">
        <f t="shared" ca="1" si="511"/>
        <v/>
      </c>
      <c r="BM359" s="222" t="str">
        <f t="shared" ca="1" si="511"/>
        <v/>
      </c>
      <c r="BN359" s="222" t="str">
        <f t="shared" ca="1" si="511"/>
        <v/>
      </c>
      <c r="BO359" s="222" t="str">
        <f t="shared" ca="1" si="511"/>
        <v/>
      </c>
      <c r="BP359" s="222" t="str">
        <f t="shared" ca="1" si="511"/>
        <v/>
      </c>
      <c r="BQ359" s="222" t="str">
        <f t="shared" ca="1" si="511"/>
        <v/>
      </c>
      <c r="BR359" s="222" t="str">
        <f t="shared" ca="1" si="511"/>
        <v/>
      </c>
      <c r="BS359" s="222" t="str">
        <f t="shared" ca="1" si="511"/>
        <v/>
      </c>
      <c r="BT359" s="222" t="str">
        <f t="shared" ca="1" si="512"/>
        <v/>
      </c>
      <c r="BU359" s="222" t="str">
        <f t="shared" ca="1" si="512"/>
        <v/>
      </c>
      <c r="BV359" s="222" t="str">
        <f t="shared" ca="1" si="512"/>
        <v/>
      </c>
      <c r="BW359" s="222" t="str">
        <f t="shared" ca="1" si="512"/>
        <v/>
      </c>
      <c r="BX359" s="222" t="str">
        <f t="shared" ca="1" si="512"/>
        <v/>
      </c>
      <c r="BY359" s="222" t="str">
        <f t="shared" ca="1" si="512"/>
        <v/>
      </c>
      <c r="BZ359" s="368" t="str">
        <f t="shared" ca="1" si="512"/>
        <v/>
      </c>
      <c r="CC359" s="482">
        <f t="shared" si="488"/>
        <v>38</v>
      </c>
    </row>
    <row r="360" spans="1:81">
      <c r="A360" s="326" t="str">
        <v>PIGLX</v>
      </c>
      <c r="B360" s="222">
        <f t="shared" ca="1" si="505"/>
        <v>0.21486278020381169</v>
      </c>
      <c r="C360" s="222">
        <f t="shared" ca="1" si="505"/>
        <v>0.16905042932345077</v>
      </c>
      <c r="D360" s="222">
        <f t="shared" ca="1" si="505"/>
        <v>0.20231538206169541</v>
      </c>
      <c r="E360" s="222">
        <f t="shared" ca="1" si="505"/>
        <v>0.22329329743949874</v>
      </c>
      <c r="F360" s="222">
        <f t="shared" ca="1" si="505"/>
        <v>0.24002887732693337</v>
      </c>
      <c r="G360" s="222">
        <f t="shared" ca="1" si="505"/>
        <v>0.16784412959098102</v>
      </c>
      <c r="H360" s="222">
        <f t="shared" ca="1" si="505"/>
        <v>0.22228139241643355</v>
      </c>
      <c r="I360" s="222">
        <f t="shared" ca="1" si="505"/>
        <v>0.31712951796073752</v>
      </c>
      <c r="J360" s="222">
        <f t="shared" ca="1" si="505"/>
        <v>0.25216481353150361</v>
      </c>
      <c r="K360" s="222">
        <f t="shared" ca="1" si="505"/>
        <v>0.25965270748595948</v>
      </c>
      <c r="L360" s="222">
        <f t="shared" ca="1" si="506"/>
        <v>6.8692517340653375E-2</v>
      </c>
      <c r="M360" s="222">
        <f t="shared" ca="1" si="506"/>
        <v>0.2719628144100128</v>
      </c>
      <c r="N360" s="222">
        <f t="shared" ca="1" si="506"/>
        <v>0.13225222243943704</v>
      </c>
      <c r="O360" s="222">
        <f t="shared" ca="1" si="506"/>
        <v>-2.9194188783289405E-2</v>
      </c>
      <c r="P360" s="222">
        <f t="shared" ca="1" si="506"/>
        <v>0.14926115472140952</v>
      </c>
      <c r="Q360" s="222">
        <f t="shared" ca="1" si="506"/>
        <v>0.10728695274198975</v>
      </c>
      <c r="R360" s="222">
        <f t="shared" ca="1" si="506"/>
        <v>0.46574625092511901</v>
      </c>
      <c r="S360" s="222">
        <f t="shared" ca="1" si="506"/>
        <v>0.21893891384040917</v>
      </c>
      <c r="T360" s="222">
        <f t="shared" ca="1" si="506"/>
        <v>0.33569493601233036</v>
      </c>
      <c r="U360" s="222">
        <f t="shared" ca="1" si="506"/>
        <v>0.46065952257195081</v>
      </c>
      <c r="V360" s="222">
        <f t="shared" ca="1" si="507"/>
        <v>-1.630116994910602E-2</v>
      </c>
      <c r="W360" s="222">
        <f t="shared" ca="1" si="507"/>
        <v>0.4155833538920794</v>
      </c>
      <c r="X360" s="222">
        <f t="shared" ca="1" si="507"/>
        <v>0.29458351573505687</v>
      </c>
      <c r="Y360" s="222">
        <f t="shared" ca="1" si="507"/>
        <v>0.41673408029100451</v>
      </c>
      <c r="Z360" s="222">
        <f t="shared" ca="1" si="507"/>
        <v>0.14481644629949703</v>
      </c>
      <c r="AA360" s="222">
        <f t="shared" ca="1" si="507"/>
        <v>0.26091609647831038</v>
      </c>
      <c r="AB360" s="222">
        <f t="shared" ca="1" si="507"/>
        <v>0.37953224219190912</v>
      </c>
      <c r="AC360" s="222">
        <f t="shared" ca="1" si="507"/>
        <v>3.4259492379108795E-2</v>
      </c>
      <c r="AD360" s="222">
        <f t="shared" ca="1" si="507"/>
        <v>0.19399061085178099</v>
      </c>
      <c r="AE360" s="222">
        <f t="shared" ca="1" si="507"/>
        <v>7.5525476505949901E-2</v>
      </c>
      <c r="AF360" s="222">
        <f t="shared" ca="1" si="508"/>
        <v>0.40687107967752961</v>
      </c>
      <c r="AG360" s="222">
        <f t="shared" ca="1" si="508"/>
        <v>0.28697341449029812</v>
      </c>
      <c r="AH360" s="222">
        <f t="shared" ca="1" si="508"/>
        <v>0.21900673654260286</v>
      </c>
      <c r="AI360" s="222">
        <f t="shared" ca="1" si="508"/>
        <v>0.42003441756404319</v>
      </c>
      <c r="AJ360" s="222">
        <f t="shared" ca="1" si="508"/>
        <v>0.4307437955332144</v>
      </c>
      <c r="AK360" s="222">
        <f t="shared" ca="1" si="508"/>
        <v>0.44072694185020128</v>
      </c>
      <c r="AL360" s="222">
        <f t="shared" ca="1" si="508"/>
        <v>0.17521263012951219</v>
      </c>
      <c r="AM360" s="222">
        <f t="shared" ca="1" si="508"/>
        <v>0.21715884897906143</v>
      </c>
      <c r="AN360" s="222">
        <f t="shared" ca="1" si="508"/>
        <v>0.23273568645363149</v>
      </c>
      <c r="AO360" s="222">
        <f t="shared" ca="1" si="508"/>
        <v>1</v>
      </c>
      <c r="AP360" s="222" t="str">
        <f t="shared" ca="1" si="509"/>
        <v/>
      </c>
      <c r="AQ360" s="222" t="str">
        <f t="shared" ca="1" si="509"/>
        <v/>
      </c>
      <c r="AR360" s="222" t="str">
        <f t="shared" ca="1" si="509"/>
        <v/>
      </c>
      <c r="AS360" s="222" t="str">
        <f t="shared" ca="1" si="509"/>
        <v/>
      </c>
      <c r="AT360" s="222" t="str">
        <f t="shared" ca="1" si="509"/>
        <v/>
      </c>
      <c r="AU360" s="222" t="str">
        <f t="shared" ca="1" si="509"/>
        <v/>
      </c>
      <c r="AV360" s="222" t="str">
        <f t="shared" ca="1" si="509"/>
        <v/>
      </c>
      <c r="AW360" s="222" t="str">
        <f t="shared" ca="1" si="509"/>
        <v/>
      </c>
      <c r="AX360" s="222" t="str">
        <f t="shared" ca="1" si="509"/>
        <v/>
      </c>
      <c r="AY360" s="222" t="str">
        <f t="shared" ca="1" si="509"/>
        <v/>
      </c>
      <c r="AZ360" s="222" t="str">
        <f t="shared" ca="1" si="510"/>
        <v/>
      </c>
      <c r="BA360" s="222" t="str">
        <f t="shared" ca="1" si="510"/>
        <v/>
      </c>
      <c r="BB360" s="222" t="str">
        <f t="shared" ca="1" si="510"/>
        <v/>
      </c>
      <c r="BC360" s="222" t="str">
        <f t="shared" ca="1" si="510"/>
        <v/>
      </c>
      <c r="BD360" s="222" t="str">
        <f t="shared" ca="1" si="510"/>
        <v/>
      </c>
      <c r="BE360" s="222" t="str">
        <f t="shared" ca="1" si="510"/>
        <v/>
      </c>
      <c r="BF360" s="222" t="str">
        <f t="shared" ca="1" si="510"/>
        <v/>
      </c>
      <c r="BG360" s="222" t="str">
        <f t="shared" ca="1" si="510"/>
        <v/>
      </c>
      <c r="BH360" s="222" t="str">
        <f t="shared" ca="1" si="510"/>
        <v/>
      </c>
      <c r="BI360" s="222" t="str">
        <f t="shared" ca="1" si="510"/>
        <v/>
      </c>
      <c r="BJ360" s="222" t="str">
        <f t="shared" ca="1" si="511"/>
        <v/>
      </c>
      <c r="BK360" s="222" t="str">
        <f t="shared" ca="1" si="511"/>
        <v/>
      </c>
      <c r="BL360" s="222" t="str">
        <f t="shared" ca="1" si="511"/>
        <v/>
      </c>
      <c r="BM360" s="222" t="str">
        <f t="shared" ca="1" si="511"/>
        <v/>
      </c>
      <c r="BN360" s="222" t="str">
        <f t="shared" ca="1" si="511"/>
        <v/>
      </c>
      <c r="BO360" s="222" t="str">
        <f t="shared" ca="1" si="511"/>
        <v/>
      </c>
      <c r="BP360" s="222" t="str">
        <f t="shared" ca="1" si="511"/>
        <v/>
      </c>
      <c r="BQ360" s="222" t="str">
        <f t="shared" ca="1" si="511"/>
        <v/>
      </c>
      <c r="BR360" s="222" t="str">
        <f t="shared" ca="1" si="511"/>
        <v/>
      </c>
      <c r="BS360" s="222" t="str">
        <f t="shared" ca="1" si="511"/>
        <v/>
      </c>
      <c r="BT360" s="222" t="str">
        <f t="shared" ca="1" si="512"/>
        <v/>
      </c>
      <c r="BU360" s="222" t="str">
        <f t="shared" ca="1" si="512"/>
        <v/>
      </c>
      <c r="BV360" s="222" t="str">
        <f t="shared" ca="1" si="512"/>
        <v/>
      </c>
      <c r="BW360" s="222" t="str">
        <f t="shared" ca="1" si="512"/>
        <v/>
      </c>
      <c r="BX360" s="222" t="str">
        <f t="shared" ca="1" si="512"/>
        <v/>
      </c>
      <c r="BY360" s="222" t="str">
        <f t="shared" ca="1" si="512"/>
        <v/>
      </c>
      <c r="BZ360" s="368" t="str">
        <f t="shared" ca="1" si="512"/>
        <v/>
      </c>
      <c r="CC360" s="482">
        <f t="shared" si="488"/>
        <v>39</v>
      </c>
    </row>
    <row r="361" spans="1:81">
      <c r="A361" s="326" t="str">
        <v>VFSTX</v>
      </c>
      <c r="B361" s="222">
        <f t="shared" ref="B361:K370" ca="1" si="513">IF(OR($A361="",B$320=""), "", IF((COLUMN()-COLUMN($A361)) &gt; (1+$CC361), "", PEARSON(OFFSET($B$8, 0, $CC361, $A$320+1, 1), B$8:B$153)))</f>
        <v>0.50042138517943602</v>
      </c>
      <c r="C361" s="222">
        <f t="shared" ca="1" si="513"/>
        <v>0.48755873902870428</v>
      </c>
      <c r="D361" s="222">
        <f t="shared" ca="1" si="513"/>
        <v>0.50401629994362762</v>
      </c>
      <c r="E361" s="222">
        <f t="shared" ca="1" si="513"/>
        <v>0.48991246777123604</v>
      </c>
      <c r="F361" s="222">
        <f t="shared" ca="1" si="513"/>
        <v>0.58312149539673219</v>
      </c>
      <c r="G361" s="222">
        <f t="shared" ca="1" si="513"/>
        <v>0.44667133746269788</v>
      </c>
      <c r="H361" s="222">
        <f t="shared" ca="1" si="513"/>
        <v>0.42948002396374818</v>
      </c>
      <c r="I361" s="222">
        <f t="shared" ca="1" si="513"/>
        <v>0.49202994790004906</v>
      </c>
      <c r="J361" s="222">
        <f t="shared" ca="1" si="513"/>
        <v>0.27637814493309665</v>
      </c>
      <c r="K361" s="222">
        <f t="shared" ca="1" si="513"/>
        <v>0.35667731656615148</v>
      </c>
      <c r="L361" s="222">
        <f t="shared" ref="L361:U370" ca="1" si="514">IF(OR($A361="",L$320=""), "", IF((COLUMN()-COLUMN($A361)) &gt; (1+$CC361), "", PEARSON(OFFSET($B$8, 0, $CC361, $A$320+1, 1), L$8:L$153)))</f>
        <v>0.39107431490996097</v>
      </c>
      <c r="M361" s="222">
        <f t="shared" ca="1" si="514"/>
        <v>0.52328028882510425</v>
      </c>
      <c r="N361" s="222">
        <f t="shared" ca="1" si="514"/>
        <v>0.45196007914301861</v>
      </c>
      <c r="O361" s="222">
        <f t="shared" ca="1" si="514"/>
        <v>0.19109910710790415</v>
      </c>
      <c r="P361" s="222">
        <f t="shared" ca="1" si="514"/>
        <v>0.55072730254468805</v>
      </c>
      <c r="Q361" s="222">
        <f t="shared" ca="1" si="514"/>
        <v>0.41059180437676351</v>
      </c>
      <c r="R361" s="222">
        <f t="shared" ca="1" si="514"/>
        <v>0.45773170551845904</v>
      </c>
      <c r="S361" s="222">
        <f t="shared" ca="1" si="514"/>
        <v>0.28844982381807016</v>
      </c>
      <c r="T361" s="222">
        <f t="shared" ca="1" si="514"/>
        <v>0.52565845188545146</v>
      </c>
      <c r="U361" s="222">
        <f t="shared" ca="1" si="514"/>
        <v>0.77887568179433875</v>
      </c>
      <c r="V361" s="222">
        <f t="shared" ref="V361:AE370" ca="1" si="515">IF(OR($A361="",V$320=""), "", IF((COLUMN()-COLUMN($A361)) &gt; (1+$CC361), "", PEARSON(OFFSET($B$8, 0, $CC361, $A$320+1, 1), V$8:V$153)))</f>
        <v>0.55922378198200839</v>
      </c>
      <c r="W361" s="222">
        <f t="shared" ca="1" si="515"/>
        <v>0.45542672491039166</v>
      </c>
      <c r="X361" s="222">
        <f t="shared" ca="1" si="515"/>
        <v>0.68750072277280994</v>
      </c>
      <c r="Y361" s="222">
        <f t="shared" ca="1" si="515"/>
        <v>0.81253867851966921</v>
      </c>
      <c r="Z361" s="222">
        <f t="shared" ca="1" si="515"/>
        <v>0.50633162346652527</v>
      </c>
      <c r="AA361" s="222">
        <f t="shared" ca="1" si="515"/>
        <v>0.68210235176757372</v>
      </c>
      <c r="AB361" s="222">
        <f t="shared" ca="1" si="515"/>
        <v>6.0905068245010588E-2</v>
      </c>
      <c r="AC361" s="222">
        <f t="shared" ca="1" si="515"/>
        <v>0.28975084991519989</v>
      </c>
      <c r="AD361" s="222">
        <f t="shared" ca="1" si="515"/>
        <v>0.37932014358475674</v>
      </c>
      <c r="AE361" s="222">
        <f t="shared" ca="1" si="515"/>
        <v>0.49839746043351002</v>
      </c>
      <c r="AF361" s="222">
        <f t="shared" ref="AF361:AO370" ca="1" si="516">IF(OR($A361="",AF$320=""), "", IF((COLUMN()-COLUMN($A361)) &gt; (1+$CC361), "", PEARSON(OFFSET($B$8, 0, $CC361, $A$320+1, 1), AF$8:AF$153)))</f>
        <v>0.33123813337447755</v>
      </c>
      <c r="AG361" s="222">
        <f t="shared" ca="1" si="516"/>
        <v>0.51278324088300575</v>
      </c>
      <c r="AH361" s="222">
        <f t="shared" ca="1" si="516"/>
        <v>0.73915320723347833</v>
      </c>
      <c r="AI361" s="222">
        <f t="shared" ca="1" si="516"/>
        <v>0.80697764264118754</v>
      </c>
      <c r="AJ361" s="222">
        <f t="shared" ca="1" si="516"/>
        <v>0.78580058180048518</v>
      </c>
      <c r="AK361" s="222">
        <f t="shared" ca="1" si="516"/>
        <v>0.6648325185707582</v>
      </c>
      <c r="AL361" s="222">
        <f t="shared" ca="1" si="516"/>
        <v>0.4023621301471707</v>
      </c>
      <c r="AM361" s="222">
        <f t="shared" ca="1" si="516"/>
        <v>0.53057679643190891</v>
      </c>
      <c r="AN361" s="222">
        <f t="shared" ca="1" si="516"/>
        <v>0.43635005533428678</v>
      </c>
      <c r="AO361" s="222">
        <f t="shared" ca="1" si="516"/>
        <v>0.45705544402807458</v>
      </c>
      <c r="AP361" s="222">
        <f t="shared" ref="AP361:AY370" ca="1" si="517">IF(OR($A361="",AP$320=""), "", IF((COLUMN()-COLUMN($A361)) &gt; (1+$CC361), "", PEARSON(OFFSET($B$8, 0, $CC361, $A$320+1, 1), AP$8:AP$153)))</f>
        <v>1</v>
      </c>
      <c r="AQ361" s="222" t="str">
        <f t="shared" ca="1" si="517"/>
        <v/>
      </c>
      <c r="AR361" s="222" t="str">
        <f t="shared" ca="1" si="517"/>
        <v/>
      </c>
      <c r="AS361" s="222" t="str">
        <f t="shared" ca="1" si="517"/>
        <v/>
      </c>
      <c r="AT361" s="222" t="str">
        <f t="shared" ca="1" si="517"/>
        <v/>
      </c>
      <c r="AU361" s="222" t="str">
        <f t="shared" ca="1" si="517"/>
        <v/>
      </c>
      <c r="AV361" s="222" t="str">
        <f t="shared" ca="1" si="517"/>
        <v/>
      </c>
      <c r="AW361" s="222" t="str">
        <f t="shared" ca="1" si="517"/>
        <v/>
      </c>
      <c r="AX361" s="222" t="str">
        <f t="shared" ca="1" si="517"/>
        <v/>
      </c>
      <c r="AY361" s="222" t="str">
        <f t="shared" ca="1" si="517"/>
        <v/>
      </c>
      <c r="AZ361" s="222" t="str">
        <f t="shared" ref="AZ361:BI370" ca="1" si="518">IF(OR($A361="",AZ$320=""), "", IF((COLUMN()-COLUMN($A361)) &gt; (1+$CC361), "", PEARSON(OFFSET($B$8, 0, $CC361, $A$320+1, 1), AZ$8:AZ$153)))</f>
        <v/>
      </c>
      <c r="BA361" s="222" t="str">
        <f t="shared" ca="1" si="518"/>
        <v/>
      </c>
      <c r="BB361" s="222" t="str">
        <f t="shared" ca="1" si="518"/>
        <v/>
      </c>
      <c r="BC361" s="222" t="str">
        <f t="shared" ca="1" si="518"/>
        <v/>
      </c>
      <c r="BD361" s="222" t="str">
        <f t="shared" ca="1" si="518"/>
        <v/>
      </c>
      <c r="BE361" s="222" t="str">
        <f t="shared" ca="1" si="518"/>
        <v/>
      </c>
      <c r="BF361" s="222" t="str">
        <f t="shared" ca="1" si="518"/>
        <v/>
      </c>
      <c r="BG361" s="222" t="str">
        <f t="shared" ca="1" si="518"/>
        <v/>
      </c>
      <c r="BH361" s="222" t="str">
        <f t="shared" ca="1" si="518"/>
        <v/>
      </c>
      <c r="BI361" s="222" t="str">
        <f t="shared" ca="1" si="518"/>
        <v/>
      </c>
      <c r="BJ361" s="222" t="str">
        <f t="shared" ref="BJ361:BS370" ca="1" si="519">IF(OR($A361="",BJ$320=""), "", IF((COLUMN()-COLUMN($A361)) &gt; (1+$CC361), "", PEARSON(OFFSET($B$8, 0, $CC361, $A$320+1, 1), BJ$8:BJ$153)))</f>
        <v/>
      </c>
      <c r="BK361" s="222" t="str">
        <f t="shared" ca="1" si="519"/>
        <v/>
      </c>
      <c r="BL361" s="222" t="str">
        <f t="shared" ca="1" si="519"/>
        <v/>
      </c>
      <c r="BM361" s="222" t="str">
        <f t="shared" ca="1" si="519"/>
        <v/>
      </c>
      <c r="BN361" s="222" t="str">
        <f t="shared" ca="1" si="519"/>
        <v/>
      </c>
      <c r="BO361" s="222" t="str">
        <f t="shared" ca="1" si="519"/>
        <v/>
      </c>
      <c r="BP361" s="222" t="str">
        <f t="shared" ca="1" si="519"/>
        <v/>
      </c>
      <c r="BQ361" s="222" t="str">
        <f t="shared" ca="1" si="519"/>
        <v/>
      </c>
      <c r="BR361" s="222" t="str">
        <f t="shared" ca="1" si="519"/>
        <v/>
      </c>
      <c r="BS361" s="222" t="str">
        <f t="shared" ca="1" si="519"/>
        <v/>
      </c>
      <c r="BT361" s="222" t="str">
        <f t="shared" ref="BT361:BZ370" ca="1" si="520">IF(OR($A361="",BT$320=""), "", IF((COLUMN()-COLUMN($A361)) &gt; (1+$CC361), "", PEARSON(OFFSET($B$8, 0, $CC361, $A$320+1, 1), BT$8:BT$153)))</f>
        <v/>
      </c>
      <c r="BU361" s="222" t="str">
        <f t="shared" ca="1" si="520"/>
        <v/>
      </c>
      <c r="BV361" s="222" t="str">
        <f t="shared" ca="1" si="520"/>
        <v/>
      </c>
      <c r="BW361" s="222" t="str">
        <f t="shared" ca="1" si="520"/>
        <v/>
      </c>
      <c r="BX361" s="222" t="str">
        <f t="shared" ca="1" si="520"/>
        <v/>
      </c>
      <c r="BY361" s="222" t="str">
        <f t="shared" ca="1" si="520"/>
        <v/>
      </c>
      <c r="BZ361" s="368" t="str">
        <f t="shared" ca="1" si="520"/>
        <v/>
      </c>
      <c r="CC361" s="482">
        <f t="shared" si="488"/>
        <v>40</v>
      </c>
    </row>
    <row r="362" spans="1:81">
      <c r="A362" s="326" t="str">
        <v/>
      </c>
      <c r="B362" s="222" t="str">
        <f t="shared" ca="1" si="513"/>
        <v/>
      </c>
      <c r="C362" s="222" t="str">
        <f t="shared" ca="1" si="513"/>
        <v/>
      </c>
      <c r="D362" s="222" t="str">
        <f t="shared" ca="1" si="513"/>
        <v/>
      </c>
      <c r="E362" s="222" t="str">
        <f t="shared" ca="1" si="513"/>
        <v/>
      </c>
      <c r="F362" s="222" t="str">
        <f t="shared" ca="1" si="513"/>
        <v/>
      </c>
      <c r="G362" s="222" t="str">
        <f t="shared" ca="1" si="513"/>
        <v/>
      </c>
      <c r="H362" s="222" t="str">
        <f t="shared" ca="1" si="513"/>
        <v/>
      </c>
      <c r="I362" s="222" t="str">
        <f t="shared" ca="1" si="513"/>
        <v/>
      </c>
      <c r="J362" s="222" t="str">
        <f t="shared" ca="1" si="513"/>
        <v/>
      </c>
      <c r="K362" s="222" t="str">
        <f t="shared" ca="1" si="513"/>
        <v/>
      </c>
      <c r="L362" s="222" t="str">
        <f t="shared" ca="1" si="514"/>
        <v/>
      </c>
      <c r="M362" s="222" t="str">
        <f t="shared" ca="1" si="514"/>
        <v/>
      </c>
      <c r="N362" s="222" t="str">
        <f t="shared" ca="1" si="514"/>
        <v/>
      </c>
      <c r="O362" s="222" t="str">
        <f t="shared" ca="1" si="514"/>
        <v/>
      </c>
      <c r="P362" s="222" t="str">
        <f t="shared" ca="1" si="514"/>
        <v/>
      </c>
      <c r="Q362" s="222" t="str">
        <f t="shared" ca="1" si="514"/>
        <v/>
      </c>
      <c r="R362" s="222" t="str">
        <f t="shared" ca="1" si="514"/>
        <v/>
      </c>
      <c r="S362" s="222" t="str">
        <f t="shared" ca="1" si="514"/>
        <v/>
      </c>
      <c r="T362" s="222" t="str">
        <f t="shared" ca="1" si="514"/>
        <v/>
      </c>
      <c r="U362" s="222" t="str">
        <f t="shared" ca="1" si="514"/>
        <v/>
      </c>
      <c r="V362" s="222" t="str">
        <f t="shared" ca="1" si="515"/>
        <v/>
      </c>
      <c r="W362" s="222" t="str">
        <f t="shared" ca="1" si="515"/>
        <v/>
      </c>
      <c r="X362" s="222" t="str">
        <f t="shared" ca="1" si="515"/>
        <v/>
      </c>
      <c r="Y362" s="222" t="str">
        <f t="shared" ca="1" si="515"/>
        <v/>
      </c>
      <c r="Z362" s="222" t="str">
        <f t="shared" ca="1" si="515"/>
        <v/>
      </c>
      <c r="AA362" s="222" t="str">
        <f t="shared" ca="1" si="515"/>
        <v/>
      </c>
      <c r="AB362" s="222" t="str">
        <f t="shared" ca="1" si="515"/>
        <v/>
      </c>
      <c r="AC362" s="222" t="str">
        <f t="shared" ca="1" si="515"/>
        <v/>
      </c>
      <c r="AD362" s="222" t="str">
        <f t="shared" ca="1" si="515"/>
        <v/>
      </c>
      <c r="AE362" s="222" t="str">
        <f t="shared" ca="1" si="515"/>
        <v/>
      </c>
      <c r="AF362" s="222" t="str">
        <f t="shared" ca="1" si="516"/>
        <v/>
      </c>
      <c r="AG362" s="222" t="str">
        <f t="shared" ca="1" si="516"/>
        <v/>
      </c>
      <c r="AH362" s="222" t="str">
        <f t="shared" ca="1" si="516"/>
        <v/>
      </c>
      <c r="AI362" s="222" t="str">
        <f t="shared" ca="1" si="516"/>
        <v/>
      </c>
      <c r="AJ362" s="222" t="str">
        <f t="shared" ca="1" si="516"/>
        <v/>
      </c>
      <c r="AK362" s="222" t="str">
        <f t="shared" ca="1" si="516"/>
        <v/>
      </c>
      <c r="AL362" s="222" t="str">
        <f t="shared" ca="1" si="516"/>
        <v/>
      </c>
      <c r="AM362" s="222" t="str">
        <f t="shared" ca="1" si="516"/>
        <v/>
      </c>
      <c r="AN362" s="222" t="str">
        <f t="shared" ca="1" si="516"/>
        <v/>
      </c>
      <c r="AO362" s="222" t="str">
        <f t="shared" ca="1" si="516"/>
        <v/>
      </c>
      <c r="AP362" s="222" t="str">
        <f t="shared" ca="1" si="517"/>
        <v/>
      </c>
      <c r="AQ362" s="222" t="str">
        <f t="shared" ca="1" si="517"/>
        <v/>
      </c>
      <c r="AR362" s="222" t="str">
        <f t="shared" ca="1" si="517"/>
        <v/>
      </c>
      <c r="AS362" s="222" t="str">
        <f t="shared" ca="1" si="517"/>
        <v/>
      </c>
      <c r="AT362" s="222" t="str">
        <f t="shared" ca="1" si="517"/>
        <v/>
      </c>
      <c r="AU362" s="222" t="str">
        <f t="shared" ca="1" si="517"/>
        <v/>
      </c>
      <c r="AV362" s="222" t="str">
        <f t="shared" ca="1" si="517"/>
        <v/>
      </c>
      <c r="AW362" s="222" t="str">
        <f t="shared" ca="1" si="517"/>
        <v/>
      </c>
      <c r="AX362" s="222" t="str">
        <f t="shared" ca="1" si="517"/>
        <v/>
      </c>
      <c r="AY362" s="222" t="str">
        <f t="shared" ca="1" si="517"/>
        <v/>
      </c>
      <c r="AZ362" s="222" t="str">
        <f t="shared" ca="1" si="518"/>
        <v/>
      </c>
      <c r="BA362" s="222" t="str">
        <f t="shared" ca="1" si="518"/>
        <v/>
      </c>
      <c r="BB362" s="222" t="str">
        <f t="shared" ca="1" si="518"/>
        <v/>
      </c>
      <c r="BC362" s="222" t="str">
        <f t="shared" ca="1" si="518"/>
        <v/>
      </c>
      <c r="BD362" s="222" t="str">
        <f t="shared" ca="1" si="518"/>
        <v/>
      </c>
      <c r="BE362" s="222" t="str">
        <f t="shared" ca="1" si="518"/>
        <v/>
      </c>
      <c r="BF362" s="222" t="str">
        <f t="shared" ca="1" si="518"/>
        <v/>
      </c>
      <c r="BG362" s="222" t="str">
        <f t="shared" ca="1" si="518"/>
        <v/>
      </c>
      <c r="BH362" s="222" t="str">
        <f t="shared" ca="1" si="518"/>
        <v/>
      </c>
      <c r="BI362" s="222" t="str">
        <f t="shared" ca="1" si="518"/>
        <v/>
      </c>
      <c r="BJ362" s="222" t="str">
        <f t="shared" ca="1" si="519"/>
        <v/>
      </c>
      <c r="BK362" s="222" t="str">
        <f t="shared" ca="1" si="519"/>
        <v/>
      </c>
      <c r="BL362" s="222" t="str">
        <f t="shared" ca="1" si="519"/>
        <v/>
      </c>
      <c r="BM362" s="222" t="str">
        <f t="shared" ca="1" si="519"/>
        <v/>
      </c>
      <c r="BN362" s="222" t="str">
        <f t="shared" ca="1" si="519"/>
        <v/>
      </c>
      <c r="BO362" s="222" t="str">
        <f t="shared" ca="1" si="519"/>
        <v/>
      </c>
      <c r="BP362" s="222" t="str">
        <f t="shared" ca="1" si="519"/>
        <v/>
      </c>
      <c r="BQ362" s="222" t="str">
        <f t="shared" ca="1" si="519"/>
        <v/>
      </c>
      <c r="BR362" s="222" t="str">
        <f t="shared" ca="1" si="519"/>
        <v/>
      </c>
      <c r="BS362" s="222" t="str">
        <f t="shared" ca="1" si="519"/>
        <v/>
      </c>
      <c r="BT362" s="222" t="str">
        <f t="shared" ca="1" si="520"/>
        <v/>
      </c>
      <c r="BU362" s="222" t="str">
        <f t="shared" ca="1" si="520"/>
        <v/>
      </c>
      <c r="BV362" s="222" t="str">
        <f t="shared" ca="1" si="520"/>
        <v/>
      </c>
      <c r="BW362" s="222" t="str">
        <f t="shared" ca="1" si="520"/>
        <v/>
      </c>
      <c r="BX362" s="222" t="str">
        <f t="shared" ca="1" si="520"/>
        <v/>
      </c>
      <c r="BY362" s="222" t="str">
        <f t="shared" ca="1" si="520"/>
        <v/>
      </c>
      <c r="BZ362" s="368" t="str">
        <f t="shared" ca="1" si="520"/>
        <v/>
      </c>
      <c r="CC362" s="482">
        <f t="shared" si="488"/>
        <v>41</v>
      </c>
    </row>
    <row r="363" spans="1:81">
      <c r="A363" s="326" t="str">
        <v/>
      </c>
      <c r="B363" s="222" t="str">
        <f t="shared" ca="1" si="513"/>
        <v/>
      </c>
      <c r="C363" s="222" t="str">
        <f t="shared" ca="1" si="513"/>
        <v/>
      </c>
      <c r="D363" s="222" t="str">
        <f t="shared" ca="1" si="513"/>
        <v/>
      </c>
      <c r="E363" s="222" t="str">
        <f t="shared" ca="1" si="513"/>
        <v/>
      </c>
      <c r="F363" s="222" t="str">
        <f t="shared" ca="1" si="513"/>
        <v/>
      </c>
      <c r="G363" s="222" t="str">
        <f t="shared" ca="1" si="513"/>
        <v/>
      </c>
      <c r="H363" s="222" t="str">
        <f t="shared" ca="1" si="513"/>
        <v/>
      </c>
      <c r="I363" s="222" t="str">
        <f t="shared" ca="1" si="513"/>
        <v/>
      </c>
      <c r="J363" s="222" t="str">
        <f t="shared" ca="1" si="513"/>
        <v/>
      </c>
      <c r="K363" s="222" t="str">
        <f t="shared" ca="1" si="513"/>
        <v/>
      </c>
      <c r="L363" s="222" t="str">
        <f t="shared" ca="1" si="514"/>
        <v/>
      </c>
      <c r="M363" s="222" t="str">
        <f t="shared" ca="1" si="514"/>
        <v/>
      </c>
      <c r="N363" s="222" t="str">
        <f t="shared" ca="1" si="514"/>
        <v/>
      </c>
      <c r="O363" s="222" t="str">
        <f t="shared" ca="1" si="514"/>
        <v/>
      </c>
      <c r="P363" s="222" t="str">
        <f t="shared" ca="1" si="514"/>
        <v/>
      </c>
      <c r="Q363" s="222" t="str">
        <f t="shared" ca="1" si="514"/>
        <v/>
      </c>
      <c r="R363" s="222" t="str">
        <f t="shared" ca="1" si="514"/>
        <v/>
      </c>
      <c r="S363" s="222" t="str">
        <f t="shared" ca="1" si="514"/>
        <v/>
      </c>
      <c r="T363" s="222" t="str">
        <f t="shared" ca="1" si="514"/>
        <v/>
      </c>
      <c r="U363" s="222" t="str">
        <f t="shared" ca="1" si="514"/>
        <v/>
      </c>
      <c r="V363" s="222" t="str">
        <f t="shared" ca="1" si="515"/>
        <v/>
      </c>
      <c r="W363" s="222" t="str">
        <f t="shared" ca="1" si="515"/>
        <v/>
      </c>
      <c r="X363" s="222" t="str">
        <f t="shared" ca="1" si="515"/>
        <v/>
      </c>
      <c r="Y363" s="222" t="str">
        <f t="shared" ca="1" si="515"/>
        <v/>
      </c>
      <c r="Z363" s="222" t="str">
        <f t="shared" ca="1" si="515"/>
        <v/>
      </c>
      <c r="AA363" s="222" t="str">
        <f t="shared" ca="1" si="515"/>
        <v/>
      </c>
      <c r="AB363" s="222" t="str">
        <f t="shared" ca="1" si="515"/>
        <v/>
      </c>
      <c r="AC363" s="222" t="str">
        <f t="shared" ca="1" si="515"/>
        <v/>
      </c>
      <c r="AD363" s="222" t="str">
        <f t="shared" ca="1" si="515"/>
        <v/>
      </c>
      <c r="AE363" s="222" t="str">
        <f t="shared" ca="1" si="515"/>
        <v/>
      </c>
      <c r="AF363" s="222" t="str">
        <f t="shared" ca="1" si="516"/>
        <v/>
      </c>
      <c r="AG363" s="222" t="str">
        <f t="shared" ca="1" si="516"/>
        <v/>
      </c>
      <c r="AH363" s="222" t="str">
        <f t="shared" ca="1" si="516"/>
        <v/>
      </c>
      <c r="AI363" s="222" t="str">
        <f t="shared" ca="1" si="516"/>
        <v/>
      </c>
      <c r="AJ363" s="222" t="str">
        <f t="shared" ca="1" si="516"/>
        <v/>
      </c>
      <c r="AK363" s="222" t="str">
        <f t="shared" ca="1" si="516"/>
        <v/>
      </c>
      <c r="AL363" s="222" t="str">
        <f t="shared" ca="1" si="516"/>
        <v/>
      </c>
      <c r="AM363" s="222" t="str">
        <f t="shared" ca="1" si="516"/>
        <v/>
      </c>
      <c r="AN363" s="222" t="str">
        <f t="shared" ca="1" si="516"/>
        <v/>
      </c>
      <c r="AO363" s="222" t="str">
        <f t="shared" ca="1" si="516"/>
        <v/>
      </c>
      <c r="AP363" s="222" t="str">
        <f t="shared" ca="1" si="517"/>
        <v/>
      </c>
      <c r="AQ363" s="222" t="str">
        <f t="shared" ca="1" si="517"/>
        <v/>
      </c>
      <c r="AR363" s="222" t="str">
        <f t="shared" ca="1" si="517"/>
        <v/>
      </c>
      <c r="AS363" s="222" t="str">
        <f t="shared" ca="1" si="517"/>
        <v/>
      </c>
      <c r="AT363" s="222" t="str">
        <f t="shared" ca="1" si="517"/>
        <v/>
      </c>
      <c r="AU363" s="222" t="str">
        <f t="shared" ca="1" si="517"/>
        <v/>
      </c>
      <c r="AV363" s="222" t="str">
        <f t="shared" ca="1" si="517"/>
        <v/>
      </c>
      <c r="AW363" s="222" t="str">
        <f t="shared" ca="1" si="517"/>
        <v/>
      </c>
      <c r="AX363" s="222" t="str">
        <f t="shared" ca="1" si="517"/>
        <v/>
      </c>
      <c r="AY363" s="222" t="str">
        <f t="shared" ca="1" si="517"/>
        <v/>
      </c>
      <c r="AZ363" s="222" t="str">
        <f t="shared" ca="1" si="518"/>
        <v/>
      </c>
      <c r="BA363" s="222" t="str">
        <f t="shared" ca="1" si="518"/>
        <v/>
      </c>
      <c r="BB363" s="222" t="str">
        <f t="shared" ca="1" si="518"/>
        <v/>
      </c>
      <c r="BC363" s="222" t="str">
        <f t="shared" ca="1" si="518"/>
        <v/>
      </c>
      <c r="BD363" s="222" t="str">
        <f t="shared" ca="1" si="518"/>
        <v/>
      </c>
      <c r="BE363" s="222" t="str">
        <f t="shared" ca="1" si="518"/>
        <v/>
      </c>
      <c r="BF363" s="222" t="str">
        <f t="shared" ca="1" si="518"/>
        <v/>
      </c>
      <c r="BG363" s="222" t="str">
        <f t="shared" ca="1" si="518"/>
        <v/>
      </c>
      <c r="BH363" s="222" t="str">
        <f t="shared" ca="1" si="518"/>
        <v/>
      </c>
      <c r="BI363" s="222" t="str">
        <f t="shared" ca="1" si="518"/>
        <v/>
      </c>
      <c r="BJ363" s="222" t="str">
        <f t="shared" ca="1" si="519"/>
        <v/>
      </c>
      <c r="BK363" s="222" t="str">
        <f t="shared" ca="1" si="519"/>
        <v/>
      </c>
      <c r="BL363" s="222" t="str">
        <f t="shared" ca="1" si="519"/>
        <v/>
      </c>
      <c r="BM363" s="222" t="str">
        <f t="shared" ca="1" si="519"/>
        <v/>
      </c>
      <c r="BN363" s="222" t="str">
        <f t="shared" ca="1" si="519"/>
        <v/>
      </c>
      <c r="BO363" s="222" t="str">
        <f t="shared" ca="1" si="519"/>
        <v/>
      </c>
      <c r="BP363" s="222" t="str">
        <f t="shared" ca="1" si="519"/>
        <v/>
      </c>
      <c r="BQ363" s="222" t="str">
        <f t="shared" ca="1" si="519"/>
        <v/>
      </c>
      <c r="BR363" s="222" t="str">
        <f t="shared" ca="1" si="519"/>
        <v/>
      </c>
      <c r="BS363" s="222" t="str">
        <f t="shared" ca="1" si="519"/>
        <v/>
      </c>
      <c r="BT363" s="222" t="str">
        <f t="shared" ca="1" si="520"/>
        <v/>
      </c>
      <c r="BU363" s="222" t="str">
        <f t="shared" ca="1" si="520"/>
        <v/>
      </c>
      <c r="BV363" s="222" t="str">
        <f t="shared" ca="1" si="520"/>
        <v/>
      </c>
      <c r="BW363" s="222" t="str">
        <f t="shared" ca="1" si="520"/>
        <v/>
      </c>
      <c r="BX363" s="222" t="str">
        <f t="shared" ca="1" si="520"/>
        <v/>
      </c>
      <c r="BY363" s="222" t="str">
        <f t="shared" ca="1" si="520"/>
        <v/>
      </c>
      <c r="BZ363" s="368" t="str">
        <f t="shared" ca="1" si="520"/>
        <v/>
      </c>
      <c r="CC363" s="482">
        <f t="shared" si="488"/>
        <v>42</v>
      </c>
    </row>
    <row r="364" spans="1:81">
      <c r="A364" s="326" t="str">
        <v/>
      </c>
      <c r="B364" s="222" t="str">
        <f t="shared" ca="1" si="513"/>
        <v/>
      </c>
      <c r="C364" s="222" t="str">
        <f t="shared" ca="1" si="513"/>
        <v/>
      </c>
      <c r="D364" s="222" t="str">
        <f t="shared" ca="1" si="513"/>
        <v/>
      </c>
      <c r="E364" s="222" t="str">
        <f t="shared" ca="1" si="513"/>
        <v/>
      </c>
      <c r="F364" s="222" t="str">
        <f t="shared" ca="1" si="513"/>
        <v/>
      </c>
      <c r="G364" s="222" t="str">
        <f t="shared" ca="1" si="513"/>
        <v/>
      </c>
      <c r="H364" s="222" t="str">
        <f t="shared" ca="1" si="513"/>
        <v/>
      </c>
      <c r="I364" s="222" t="str">
        <f t="shared" ca="1" si="513"/>
        <v/>
      </c>
      <c r="J364" s="222" t="str">
        <f t="shared" ca="1" si="513"/>
        <v/>
      </c>
      <c r="K364" s="222" t="str">
        <f t="shared" ca="1" si="513"/>
        <v/>
      </c>
      <c r="L364" s="222" t="str">
        <f t="shared" ca="1" si="514"/>
        <v/>
      </c>
      <c r="M364" s="222" t="str">
        <f t="shared" ca="1" si="514"/>
        <v/>
      </c>
      <c r="N364" s="222" t="str">
        <f t="shared" ca="1" si="514"/>
        <v/>
      </c>
      <c r="O364" s="222" t="str">
        <f t="shared" ca="1" si="514"/>
        <v/>
      </c>
      <c r="P364" s="222" t="str">
        <f t="shared" ca="1" si="514"/>
        <v/>
      </c>
      <c r="Q364" s="222" t="str">
        <f t="shared" ca="1" si="514"/>
        <v/>
      </c>
      <c r="R364" s="222" t="str">
        <f t="shared" ca="1" si="514"/>
        <v/>
      </c>
      <c r="S364" s="222" t="str">
        <f t="shared" ca="1" si="514"/>
        <v/>
      </c>
      <c r="T364" s="222" t="str">
        <f t="shared" ca="1" si="514"/>
        <v/>
      </c>
      <c r="U364" s="222" t="str">
        <f t="shared" ca="1" si="514"/>
        <v/>
      </c>
      <c r="V364" s="222" t="str">
        <f t="shared" ca="1" si="515"/>
        <v/>
      </c>
      <c r="W364" s="222" t="str">
        <f t="shared" ca="1" si="515"/>
        <v/>
      </c>
      <c r="X364" s="222" t="str">
        <f t="shared" ca="1" si="515"/>
        <v/>
      </c>
      <c r="Y364" s="222" t="str">
        <f t="shared" ca="1" si="515"/>
        <v/>
      </c>
      <c r="Z364" s="222" t="str">
        <f t="shared" ca="1" si="515"/>
        <v/>
      </c>
      <c r="AA364" s="222" t="str">
        <f t="shared" ca="1" si="515"/>
        <v/>
      </c>
      <c r="AB364" s="222" t="str">
        <f t="shared" ca="1" si="515"/>
        <v/>
      </c>
      <c r="AC364" s="222" t="str">
        <f t="shared" ca="1" si="515"/>
        <v/>
      </c>
      <c r="AD364" s="222" t="str">
        <f t="shared" ca="1" si="515"/>
        <v/>
      </c>
      <c r="AE364" s="222" t="str">
        <f t="shared" ca="1" si="515"/>
        <v/>
      </c>
      <c r="AF364" s="222" t="str">
        <f t="shared" ca="1" si="516"/>
        <v/>
      </c>
      <c r="AG364" s="222" t="str">
        <f t="shared" ca="1" si="516"/>
        <v/>
      </c>
      <c r="AH364" s="222" t="str">
        <f t="shared" ca="1" si="516"/>
        <v/>
      </c>
      <c r="AI364" s="222" t="str">
        <f t="shared" ca="1" si="516"/>
        <v/>
      </c>
      <c r="AJ364" s="222" t="str">
        <f t="shared" ca="1" si="516"/>
        <v/>
      </c>
      <c r="AK364" s="222" t="str">
        <f t="shared" ca="1" si="516"/>
        <v/>
      </c>
      <c r="AL364" s="222" t="str">
        <f t="shared" ca="1" si="516"/>
        <v/>
      </c>
      <c r="AM364" s="222" t="str">
        <f t="shared" ca="1" si="516"/>
        <v/>
      </c>
      <c r="AN364" s="222" t="str">
        <f t="shared" ca="1" si="516"/>
        <v/>
      </c>
      <c r="AO364" s="222" t="str">
        <f t="shared" ca="1" si="516"/>
        <v/>
      </c>
      <c r="AP364" s="222" t="str">
        <f t="shared" ca="1" si="517"/>
        <v/>
      </c>
      <c r="AQ364" s="222" t="str">
        <f t="shared" ca="1" si="517"/>
        <v/>
      </c>
      <c r="AR364" s="222" t="str">
        <f t="shared" ca="1" si="517"/>
        <v/>
      </c>
      <c r="AS364" s="222" t="str">
        <f t="shared" ca="1" si="517"/>
        <v/>
      </c>
      <c r="AT364" s="222" t="str">
        <f t="shared" ca="1" si="517"/>
        <v/>
      </c>
      <c r="AU364" s="222" t="str">
        <f t="shared" ca="1" si="517"/>
        <v/>
      </c>
      <c r="AV364" s="222" t="str">
        <f t="shared" ca="1" si="517"/>
        <v/>
      </c>
      <c r="AW364" s="222" t="str">
        <f t="shared" ca="1" si="517"/>
        <v/>
      </c>
      <c r="AX364" s="222" t="str">
        <f t="shared" ca="1" si="517"/>
        <v/>
      </c>
      <c r="AY364" s="222" t="str">
        <f t="shared" ca="1" si="517"/>
        <v/>
      </c>
      <c r="AZ364" s="222" t="str">
        <f t="shared" ca="1" si="518"/>
        <v/>
      </c>
      <c r="BA364" s="222" t="str">
        <f t="shared" ca="1" si="518"/>
        <v/>
      </c>
      <c r="BB364" s="222" t="str">
        <f t="shared" ca="1" si="518"/>
        <v/>
      </c>
      <c r="BC364" s="222" t="str">
        <f t="shared" ca="1" si="518"/>
        <v/>
      </c>
      <c r="BD364" s="222" t="str">
        <f t="shared" ca="1" si="518"/>
        <v/>
      </c>
      <c r="BE364" s="222" t="str">
        <f t="shared" ca="1" si="518"/>
        <v/>
      </c>
      <c r="BF364" s="222" t="str">
        <f t="shared" ca="1" si="518"/>
        <v/>
      </c>
      <c r="BG364" s="222" t="str">
        <f t="shared" ca="1" si="518"/>
        <v/>
      </c>
      <c r="BH364" s="222" t="str">
        <f t="shared" ca="1" si="518"/>
        <v/>
      </c>
      <c r="BI364" s="222" t="str">
        <f t="shared" ca="1" si="518"/>
        <v/>
      </c>
      <c r="BJ364" s="222" t="str">
        <f t="shared" ca="1" si="519"/>
        <v/>
      </c>
      <c r="BK364" s="222" t="str">
        <f t="shared" ca="1" si="519"/>
        <v/>
      </c>
      <c r="BL364" s="222" t="str">
        <f t="shared" ca="1" si="519"/>
        <v/>
      </c>
      <c r="BM364" s="222" t="str">
        <f t="shared" ca="1" si="519"/>
        <v/>
      </c>
      <c r="BN364" s="222" t="str">
        <f t="shared" ca="1" si="519"/>
        <v/>
      </c>
      <c r="BO364" s="222" t="str">
        <f t="shared" ca="1" si="519"/>
        <v/>
      </c>
      <c r="BP364" s="222" t="str">
        <f t="shared" ca="1" si="519"/>
        <v/>
      </c>
      <c r="BQ364" s="222" t="str">
        <f t="shared" ca="1" si="519"/>
        <v/>
      </c>
      <c r="BR364" s="222" t="str">
        <f t="shared" ca="1" si="519"/>
        <v/>
      </c>
      <c r="BS364" s="222" t="str">
        <f t="shared" ca="1" si="519"/>
        <v/>
      </c>
      <c r="BT364" s="222" t="str">
        <f t="shared" ca="1" si="520"/>
        <v/>
      </c>
      <c r="BU364" s="222" t="str">
        <f t="shared" ca="1" si="520"/>
        <v/>
      </c>
      <c r="BV364" s="222" t="str">
        <f t="shared" ca="1" si="520"/>
        <v/>
      </c>
      <c r="BW364" s="222" t="str">
        <f t="shared" ca="1" si="520"/>
        <v/>
      </c>
      <c r="BX364" s="222" t="str">
        <f t="shared" ca="1" si="520"/>
        <v/>
      </c>
      <c r="BY364" s="222" t="str">
        <f t="shared" ca="1" si="520"/>
        <v/>
      </c>
      <c r="BZ364" s="368" t="str">
        <f t="shared" ca="1" si="520"/>
        <v/>
      </c>
      <c r="CC364" s="482">
        <f t="shared" si="488"/>
        <v>43</v>
      </c>
    </row>
    <row r="365" spans="1:81">
      <c r="A365" s="326" t="str">
        <v/>
      </c>
      <c r="B365" s="222" t="str">
        <f t="shared" ca="1" si="513"/>
        <v/>
      </c>
      <c r="C365" s="222" t="str">
        <f t="shared" ca="1" si="513"/>
        <v/>
      </c>
      <c r="D365" s="222" t="str">
        <f t="shared" ca="1" si="513"/>
        <v/>
      </c>
      <c r="E365" s="222" t="str">
        <f t="shared" ca="1" si="513"/>
        <v/>
      </c>
      <c r="F365" s="222" t="str">
        <f t="shared" ca="1" si="513"/>
        <v/>
      </c>
      <c r="G365" s="222" t="str">
        <f t="shared" ca="1" si="513"/>
        <v/>
      </c>
      <c r="H365" s="222" t="str">
        <f t="shared" ca="1" si="513"/>
        <v/>
      </c>
      <c r="I365" s="222" t="str">
        <f t="shared" ca="1" si="513"/>
        <v/>
      </c>
      <c r="J365" s="222" t="str">
        <f t="shared" ca="1" si="513"/>
        <v/>
      </c>
      <c r="K365" s="222" t="str">
        <f t="shared" ca="1" si="513"/>
        <v/>
      </c>
      <c r="L365" s="222" t="str">
        <f t="shared" ca="1" si="514"/>
        <v/>
      </c>
      <c r="M365" s="222" t="str">
        <f t="shared" ca="1" si="514"/>
        <v/>
      </c>
      <c r="N365" s="222" t="str">
        <f t="shared" ca="1" si="514"/>
        <v/>
      </c>
      <c r="O365" s="222" t="str">
        <f t="shared" ca="1" si="514"/>
        <v/>
      </c>
      <c r="P365" s="222" t="str">
        <f t="shared" ca="1" si="514"/>
        <v/>
      </c>
      <c r="Q365" s="222" t="str">
        <f t="shared" ca="1" si="514"/>
        <v/>
      </c>
      <c r="R365" s="222" t="str">
        <f t="shared" ca="1" si="514"/>
        <v/>
      </c>
      <c r="S365" s="222" t="str">
        <f t="shared" ca="1" si="514"/>
        <v/>
      </c>
      <c r="T365" s="222" t="str">
        <f t="shared" ca="1" si="514"/>
        <v/>
      </c>
      <c r="U365" s="222" t="str">
        <f t="shared" ca="1" si="514"/>
        <v/>
      </c>
      <c r="V365" s="222" t="str">
        <f t="shared" ca="1" si="515"/>
        <v/>
      </c>
      <c r="W365" s="222" t="str">
        <f t="shared" ca="1" si="515"/>
        <v/>
      </c>
      <c r="X365" s="222" t="str">
        <f t="shared" ca="1" si="515"/>
        <v/>
      </c>
      <c r="Y365" s="222" t="str">
        <f t="shared" ca="1" si="515"/>
        <v/>
      </c>
      <c r="Z365" s="222" t="str">
        <f t="shared" ca="1" si="515"/>
        <v/>
      </c>
      <c r="AA365" s="222" t="str">
        <f t="shared" ca="1" si="515"/>
        <v/>
      </c>
      <c r="AB365" s="222" t="str">
        <f t="shared" ca="1" si="515"/>
        <v/>
      </c>
      <c r="AC365" s="222" t="str">
        <f t="shared" ca="1" si="515"/>
        <v/>
      </c>
      <c r="AD365" s="222" t="str">
        <f t="shared" ca="1" si="515"/>
        <v/>
      </c>
      <c r="AE365" s="222" t="str">
        <f t="shared" ca="1" si="515"/>
        <v/>
      </c>
      <c r="AF365" s="222" t="str">
        <f t="shared" ca="1" si="516"/>
        <v/>
      </c>
      <c r="AG365" s="222" t="str">
        <f t="shared" ca="1" si="516"/>
        <v/>
      </c>
      <c r="AH365" s="222" t="str">
        <f t="shared" ca="1" si="516"/>
        <v/>
      </c>
      <c r="AI365" s="222" t="str">
        <f t="shared" ca="1" si="516"/>
        <v/>
      </c>
      <c r="AJ365" s="222" t="str">
        <f t="shared" ca="1" si="516"/>
        <v/>
      </c>
      <c r="AK365" s="222" t="str">
        <f t="shared" ca="1" si="516"/>
        <v/>
      </c>
      <c r="AL365" s="222" t="str">
        <f t="shared" ca="1" si="516"/>
        <v/>
      </c>
      <c r="AM365" s="222" t="str">
        <f t="shared" ca="1" si="516"/>
        <v/>
      </c>
      <c r="AN365" s="222" t="str">
        <f t="shared" ca="1" si="516"/>
        <v/>
      </c>
      <c r="AO365" s="222" t="str">
        <f t="shared" ca="1" si="516"/>
        <v/>
      </c>
      <c r="AP365" s="222" t="str">
        <f t="shared" ca="1" si="517"/>
        <v/>
      </c>
      <c r="AQ365" s="222" t="str">
        <f t="shared" ca="1" si="517"/>
        <v/>
      </c>
      <c r="AR365" s="222" t="str">
        <f t="shared" ca="1" si="517"/>
        <v/>
      </c>
      <c r="AS365" s="222" t="str">
        <f t="shared" ca="1" si="517"/>
        <v/>
      </c>
      <c r="AT365" s="222" t="str">
        <f t="shared" ca="1" si="517"/>
        <v/>
      </c>
      <c r="AU365" s="222" t="str">
        <f t="shared" ca="1" si="517"/>
        <v/>
      </c>
      <c r="AV365" s="222" t="str">
        <f t="shared" ca="1" si="517"/>
        <v/>
      </c>
      <c r="AW365" s="222" t="str">
        <f t="shared" ca="1" si="517"/>
        <v/>
      </c>
      <c r="AX365" s="222" t="str">
        <f t="shared" ca="1" si="517"/>
        <v/>
      </c>
      <c r="AY365" s="222" t="str">
        <f t="shared" ca="1" si="517"/>
        <v/>
      </c>
      <c r="AZ365" s="222" t="str">
        <f t="shared" ca="1" si="518"/>
        <v/>
      </c>
      <c r="BA365" s="222" t="str">
        <f t="shared" ca="1" si="518"/>
        <v/>
      </c>
      <c r="BB365" s="222" t="str">
        <f t="shared" ca="1" si="518"/>
        <v/>
      </c>
      <c r="BC365" s="222" t="str">
        <f t="shared" ca="1" si="518"/>
        <v/>
      </c>
      <c r="BD365" s="222" t="str">
        <f t="shared" ca="1" si="518"/>
        <v/>
      </c>
      <c r="BE365" s="222" t="str">
        <f t="shared" ca="1" si="518"/>
        <v/>
      </c>
      <c r="BF365" s="222" t="str">
        <f t="shared" ca="1" si="518"/>
        <v/>
      </c>
      <c r="BG365" s="222" t="str">
        <f t="shared" ca="1" si="518"/>
        <v/>
      </c>
      <c r="BH365" s="222" t="str">
        <f t="shared" ca="1" si="518"/>
        <v/>
      </c>
      <c r="BI365" s="222" t="str">
        <f t="shared" ca="1" si="518"/>
        <v/>
      </c>
      <c r="BJ365" s="222" t="str">
        <f t="shared" ca="1" si="519"/>
        <v/>
      </c>
      <c r="BK365" s="222" t="str">
        <f t="shared" ca="1" si="519"/>
        <v/>
      </c>
      <c r="BL365" s="222" t="str">
        <f t="shared" ca="1" si="519"/>
        <v/>
      </c>
      <c r="BM365" s="222" t="str">
        <f t="shared" ca="1" si="519"/>
        <v/>
      </c>
      <c r="BN365" s="222" t="str">
        <f t="shared" ca="1" si="519"/>
        <v/>
      </c>
      <c r="BO365" s="222" t="str">
        <f t="shared" ca="1" si="519"/>
        <v/>
      </c>
      <c r="BP365" s="222" t="str">
        <f t="shared" ca="1" si="519"/>
        <v/>
      </c>
      <c r="BQ365" s="222" t="str">
        <f t="shared" ca="1" si="519"/>
        <v/>
      </c>
      <c r="BR365" s="222" t="str">
        <f t="shared" ca="1" si="519"/>
        <v/>
      </c>
      <c r="BS365" s="222" t="str">
        <f t="shared" ca="1" si="519"/>
        <v/>
      </c>
      <c r="BT365" s="222" t="str">
        <f t="shared" ca="1" si="520"/>
        <v/>
      </c>
      <c r="BU365" s="222" t="str">
        <f t="shared" ca="1" si="520"/>
        <v/>
      </c>
      <c r="BV365" s="222" t="str">
        <f t="shared" ca="1" si="520"/>
        <v/>
      </c>
      <c r="BW365" s="222" t="str">
        <f t="shared" ca="1" si="520"/>
        <v/>
      </c>
      <c r="BX365" s="222" t="str">
        <f t="shared" ca="1" si="520"/>
        <v/>
      </c>
      <c r="BY365" s="222" t="str">
        <f t="shared" ca="1" si="520"/>
        <v/>
      </c>
      <c r="BZ365" s="368" t="str">
        <f t="shared" ca="1" si="520"/>
        <v/>
      </c>
      <c r="CC365" s="482">
        <f t="shared" si="488"/>
        <v>44</v>
      </c>
    </row>
    <row r="366" spans="1:81">
      <c r="A366" s="326" t="str">
        <v/>
      </c>
      <c r="B366" s="222" t="str">
        <f t="shared" ca="1" si="513"/>
        <v/>
      </c>
      <c r="C366" s="222" t="str">
        <f t="shared" ca="1" si="513"/>
        <v/>
      </c>
      <c r="D366" s="222" t="str">
        <f t="shared" ca="1" si="513"/>
        <v/>
      </c>
      <c r="E366" s="222" t="str">
        <f t="shared" ca="1" si="513"/>
        <v/>
      </c>
      <c r="F366" s="222" t="str">
        <f t="shared" ca="1" si="513"/>
        <v/>
      </c>
      <c r="G366" s="222" t="str">
        <f t="shared" ca="1" si="513"/>
        <v/>
      </c>
      <c r="H366" s="222" t="str">
        <f t="shared" ca="1" si="513"/>
        <v/>
      </c>
      <c r="I366" s="222" t="str">
        <f t="shared" ca="1" si="513"/>
        <v/>
      </c>
      <c r="J366" s="222" t="str">
        <f t="shared" ca="1" si="513"/>
        <v/>
      </c>
      <c r="K366" s="222" t="str">
        <f t="shared" ca="1" si="513"/>
        <v/>
      </c>
      <c r="L366" s="222" t="str">
        <f t="shared" ca="1" si="514"/>
        <v/>
      </c>
      <c r="M366" s="222" t="str">
        <f t="shared" ca="1" si="514"/>
        <v/>
      </c>
      <c r="N366" s="222" t="str">
        <f t="shared" ca="1" si="514"/>
        <v/>
      </c>
      <c r="O366" s="222" t="str">
        <f t="shared" ca="1" si="514"/>
        <v/>
      </c>
      <c r="P366" s="222" t="str">
        <f t="shared" ca="1" si="514"/>
        <v/>
      </c>
      <c r="Q366" s="222" t="str">
        <f t="shared" ca="1" si="514"/>
        <v/>
      </c>
      <c r="R366" s="222" t="str">
        <f t="shared" ca="1" si="514"/>
        <v/>
      </c>
      <c r="S366" s="222" t="str">
        <f t="shared" ca="1" si="514"/>
        <v/>
      </c>
      <c r="T366" s="222" t="str">
        <f t="shared" ca="1" si="514"/>
        <v/>
      </c>
      <c r="U366" s="222" t="str">
        <f t="shared" ca="1" si="514"/>
        <v/>
      </c>
      <c r="V366" s="222" t="str">
        <f t="shared" ca="1" si="515"/>
        <v/>
      </c>
      <c r="W366" s="222" t="str">
        <f t="shared" ca="1" si="515"/>
        <v/>
      </c>
      <c r="X366" s="222" t="str">
        <f t="shared" ca="1" si="515"/>
        <v/>
      </c>
      <c r="Y366" s="222" t="str">
        <f t="shared" ca="1" si="515"/>
        <v/>
      </c>
      <c r="Z366" s="222" t="str">
        <f t="shared" ca="1" si="515"/>
        <v/>
      </c>
      <c r="AA366" s="222" t="str">
        <f t="shared" ca="1" si="515"/>
        <v/>
      </c>
      <c r="AB366" s="222" t="str">
        <f t="shared" ca="1" si="515"/>
        <v/>
      </c>
      <c r="AC366" s="222" t="str">
        <f t="shared" ca="1" si="515"/>
        <v/>
      </c>
      <c r="AD366" s="222" t="str">
        <f t="shared" ca="1" si="515"/>
        <v/>
      </c>
      <c r="AE366" s="222" t="str">
        <f t="shared" ca="1" si="515"/>
        <v/>
      </c>
      <c r="AF366" s="222" t="str">
        <f t="shared" ca="1" si="516"/>
        <v/>
      </c>
      <c r="AG366" s="222" t="str">
        <f t="shared" ca="1" si="516"/>
        <v/>
      </c>
      <c r="AH366" s="222" t="str">
        <f t="shared" ca="1" si="516"/>
        <v/>
      </c>
      <c r="AI366" s="222" t="str">
        <f t="shared" ca="1" si="516"/>
        <v/>
      </c>
      <c r="AJ366" s="222" t="str">
        <f t="shared" ca="1" si="516"/>
        <v/>
      </c>
      <c r="AK366" s="222" t="str">
        <f t="shared" ca="1" si="516"/>
        <v/>
      </c>
      <c r="AL366" s="222" t="str">
        <f t="shared" ca="1" si="516"/>
        <v/>
      </c>
      <c r="AM366" s="222" t="str">
        <f t="shared" ca="1" si="516"/>
        <v/>
      </c>
      <c r="AN366" s="222" t="str">
        <f t="shared" ca="1" si="516"/>
        <v/>
      </c>
      <c r="AO366" s="222" t="str">
        <f t="shared" ca="1" si="516"/>
        <v/>
      </c>
      <c r="AP366" s="222" t="str">
        <f t="shared" ca="1" si="517"/>
        <v/>
      </c>
      <c r="AQ366" s="222" t="str">
        <f t="shared" ca="1" si="517"/>
        <v/>
      </c>
      <c r="AR366" s="222" t="str">
        <f t="shared" ca="1" si="517"/>
        <v/>
      </c>
      <c r="AS366" s="222" t="str">
        <f t="shared" ca="1" si="517"/>
        <v/>
      </c>
      <c r="AT366" s="222" t="str">
        <f t="shared" ca="1" si="517"/>
        <v/>
      </c>
      <c r="AU366" s="222" t="str">
        <f t="shared" ca="1" si="517"/>
        <v/>
      </c>
      <c r="AV366" s="222" t="str">
        <f t="shared" ca="1" si="517"/>
        <v/>
      </c>
      <c r="AW366" s="222" t="str">
        <f t="shared" ca="1" si="517"/>
        <v/>
      </c>
      <c r="AX366" s="222" t="str">
        <f t="shared" ca="1" si="517"/>
        <v/>
      </c>
      <c r="AY366" s="222" t="str">
        <f t="shared" ca="1" si="517"/>
        <v/>
      </c>
      <c r="AZ366" s="222" t="str">
        <f t="shared" ca="1" si="518"/>
        <v/>
      </c>
      <c r="BA366" s="222" t="str">
        <f t="shared" ca="1" si="518"/>
        <v/>
      </c>
      <c r="BB366" s="222" t="str">
        <f t="shared" ca="1" si="518"/>
        <v/>
      </c>
      <c r="BC366" s="222" t="str">
        <f t="shared" ca="1" si="518"/>
        <v/>
      </c>
      <c r="BD366" s="222" t="str">
        <f t="shared" ca="1" si="518"/>
        <v/>
      </c>
      <c r="BE366" s="222" t="str">
        <f t="shared" ca="1" si="518"/>
        <v/>
      </c>
      <c r="BF366" s="222" t="str">
        <f t="shared" ca="1" si="518"/>
        <v/>
      </c>
      <c r="BG366" s="222" t="str">
        <f t="shared" ca="1" si="518"/>
        <v/>
      </c>
      <c r="BH366" s="222" t="str">
        <f t="shared" ca="1" si="518"/>
        <v/>
      </c>
      <c r="BI366" s="222" t="str">
        <f t="shared" ca="1" si="518"/>
        <v/>
      </c>
      <c r="BJ366" s="222" t="str">
        <f t="shared" ca="1" si="519"/>
        <v/>
      </c>
      <c r="BK366" s="222" t="str">
        <f t="shared" ca="1" si="519"/>
        <v/>
      </c>
      <c r="BL366" s="222" t="str">
        <f t="shared" ca="1" si="519"/>
        <v/>
      </c>
      <c r="BM366" s="222" t="str">
        <f t="shared" ca="1" si="519"/>
        <v/>
      </c>
      <c r="BN366" s="222" t="str">
        <f t="shared" ca="1" si="519"/>
        <v/>
      </c>
      <c r="BO366" s="222" t="str">
        <f t="shared" ca="1" si="519"/>
        <v/>
      </c>
      <c r="BP366" s="222" t="str">
        <f t="shared" ca="1" si="519"/>
        <v/>
      </c>
      <c r="BQ366" s="222" t="str">
        <f t="shared" ca="1" si="519"/>
        <v/>
      </c>
      <c r="BR366" s="222" t="str">
        <f t="shared" ca="1" si="519"/>
        <v/>
      </c>
      <c r="BS366" s="222" t="str">
        <f t="shared" ca="1" si="519"/>
        <v/>
      </c>
      <c r="BT366" s="222" t="str">
        <f t="shared" ca="1" si="520"/>
        <v/>
      </c>
      <c r="BU366" s="222" t="str">
        <f t="shared" ca="1" si="520"/>
        <v/>
      </c>
      <c r="BV366" s="222" t="str">
        <f t="shared" ca="1" si="520"/>
        <v/>
      </c>
      <c r="BW366" s="222" t="str">
        <f t="shared" ca="1" si="520"/>
        <v/>
      </c>
      <c r="BX366" s="222" t="str">
        <f t="shared" ca="1" si="520"/>
        <v/>
      </c>
      <c r="BY366" s="222" t="str">
        <f t="shared" ca="1" si="520"/>
        <v/>
      </c>
      <c r="BZ366" s="368" t="str">
        <f t="shared" ca="1" si="520"/>
        <v/>
      </c>
      <c r="CC366" s="482">
        <f t="shared" si="488"/>
        <v>45</v>
      </c>
    </row>
    <row r="367" spans="1:81">
      <c r="A367" s="326" t="str">
        <v/>
      </c>
      <c r="B367" s="222" t="str">
        <f t="shared" ca="1" si="513"/>
        <v/>
      </c>
      <c r="C367" s="222" t="str">
        <f t="shared" ca="1" si="513"/>
        <v/>
      </c>
      <c r="D367" s="222" t="str">
        <f t="shared" ca="1" si="513"/>
        <v/>
      </c>
      <c r="E367" s="222" t="str">
        <f t="shared" ca="1" si="513"/>
        <v/>
      </c>
      <c r="F367" s="222" t="str">
        <f t="shared" ca="1" si="513"/>
        <v/>
      </c>
      <c r="G367" s="222" t="str">
        <f t="shared" ca="1" si="513"/>
        <v/>
      </c>
      <c r="H367" s="222" t="str">
        <f t="shared" ca="1" si="513"/>
        <v/>
      </c>
      <c r="I367" s="222" t="str">
        <f t="shared" ca="1" si="513"/>
        <v/>
      </c>
      <c r="J367" s="222" t="str">
        <f t="shared" ca="1" si="513"/>
        <v/>
      </c>
      <c r="K367" s="222" t="str">
        <f t="shared" ca="1" si="513"/>
        <v/>
      </c>
      <c r="L367" s="222" t="str">
        <f t="shared" ca="1" si="514"/>
        <v/>
      </c>
      <c r="M367" s="222" t="str">
        <f t="shared" ca="1" si="514"/>
        <v/>
      </c>
      <c r="N367" s="222" t="str">
        <f t="shared" ca="1" si="514"/>
        <v/>
      </c>
      <c r="O367" s="222" t="str">
        <f t="shared" ca="1" si="514"/>
        <v/>
      </c>
      <c r="P367" s="222" t="str">
        <f t="shared" ca="1" si="514"/>
        <v/>
      </c>
      <c r="Q367" s="222" t="str">
        <f t="shared" ca="1" si="514"/>
        <v/>
      </c>
      <c r="R367" s="222" t="str">
        <f t="shared" ca="1" si="514"/>
        <v/>
      </c>
      <c r="S367" s="222" t="str">
        <f t="shared" ca="1" si="514"/>
        <v/>
      </c>
      <c r="T367" s="222" t="str">
        <f t="shared" ca="1" si="514"/>
        <v/>
      </c>
      <c r="U367" s="222" t="str">
        <f t="shared" ca="1" si="514"/>
        <v/>
      </c>
      <c r="V367" s="222" t="str">
        <f t="shared" ca="1" si="515"/>
        <v/>
      </c>
      <c r="W367" s="222" t="str">
        <f t="shared" ca="1" si="515"/>
        <v/>
      </c>
      <c r="X367" s="222" t="str">
        <f t="shared" ca="1" si="515"/>
        <v/>
      </c>
      <c r="Y367" s="222" t="str">
        <f t="shared" ca="1" si="515"/>
        <v/>
      </c>
      <c r="Z367" s="222" t="str">
        <f t="shared" ca="1" si="515"/>
        <v/>
      </c>
      <c r="AA367" s="222" t="str">
        <f t="shared" ca="1" si="515"/>
        <v/>
      </c>
      <c r="AB367" s="222" t="str">
        <f t="shared" ca="1" si="515"/>
        <v/>
      </c>
      <c r="AC367" s="222" t="str">
        <f t="shared" ca="1" si="515"/>
        <v/>
      </c>
      <c r="AD367" s="222" t="str">
        <f t="shared" ca="1" si="515"/>
        <v/>
      </c>
      <c r="AE367" s="222" t="str">
        <f t="shared" ca="1" si="515"/>
        <v/>
      </c>
      <c r="AF367" s="222" t="str">
        <f t="shared" ca="1" si="516"/>
        <v/>
      </c>
      <c r="AG367" s="222" t="str">
        <f t="shared" ca="1" si="516"/>
        <v/>
      </c>
      <c r="AH367" s="222" t="str">
        <f t="shared" ca="1" si="516"/>
        <v/>
      </c>
      <c r="AI367" s="222" t="str">
        <f t="shared" ca="1" si="516"/>
        <v/>
      </c>
      <c r="AJ367" s="222" t="str">
        <f t="shared" ca="1" si="516"/>
        <v/>
      </c>
      <c r="AK367" s="222" t="str">
        <f t="shared" ca="1" si="516"/>
        <v/>
      </c>
      <c r="AL367" s="222" t="str">
        <f t="shared" ca="1" si="516"/>
        <v/>
      </c>
      <c r="AM367" s="222" t="str">
        <f t="shared" ca="1" si="516"/>
        <v/>
      </c>
      <c r="AN367" s="222" t="str">
        <f t="shared" ca="1" si="516"/>
        <v/>
      </c>
      <c r="AO367" s="222" t="str">
        <f t="shared" ca="1" si="516"/>
        <v/>
      </c>
      <c r="AP367" s="222" t="str">
        <f t="shared" ca="1" si="517"/>
        <v/>
      </c>
      <c r="AQ367" s="222" t="str">
        <f t="shared" ca="1" si="517"/>
        <v/>
      </c>
      <c r="AR367" s="222" t="str">
        <f t="shared" ca="1" si="517"/>
        <v/>
      </c>
      <c r="AS367" s="222" t="str">
        <f t="shared" ca="1" si="517"/>
        <v/>
      </c>
      <c r="AT367" s="222" t="str">
        <f t="shared" ca="1" si="517"/>
        <v/>
      </c>
      <c r="AU367" s="222" t="str">
        <f t="shared" ca="1" si="517"/>
        <v/>
      </c>
      <c r="AV367" s="222" t="str">
        <f t="shared" ca="1" si="517"/>
        <v/>
      </c>
      <c r="AW367" s="222" t="str">
        <f t="shared" ca="1" si="517"/>
        <v/>
      </c>
      <c r="AX367" s="222" t="str">
        <f t="shared" ca="1" si="517"/>
        <v/>
      </c>
      <c r="AY367" s="222" t="str">
        <f t="shared" ca="1" si="517"/>
        <v/>
      </c>
      <c r="AZ367" s="222" t="str">
        <f t="shared" ca="1" si="518"/>
        <v/>
      </c>
      <c r="BA367" s="222" t="str">
        <f t="shared" ca="1" si="518"/>
        <v/>
      </c>
      <c r="BB367" s="222" t="str">
        <f t="shared" ca="1" si="518"/>
        <v/>
      </c>
      <c r="BC367" s="222" t="str">
        <f t="shared" ca="1" si="518"/>
        <v/>
      </c>
      <c r="BD367" s="222" t="str">
        <f t="shared" ca="1" si="518"/>
        <v/>
      </c>
      <c r="BE367" s="222" t="str">
        <f t="shared" ca="1" si="518"/>
        <v/>
      </c>
      <c r="BF367" s="222" t="str">
        <f t="shared" ca="1" si="518"/>
        <v/>
      </c>
      <c r="BG367" s="222" t="str">
        <f t="shared" ca="1" si="518"/>
        <v/>
      </c>
      <c r="BH367" s="222" t="str">
        <f t="shared" ca="1" si="518"/>
        <v/>
      </c>
      <c r="BI367" s="222" t="str">
        <f t="shared" ca="1" si="518"/>
        <v/>
      </c>
      <c r="BJ367" s="222" t="str">
        <f t="shared" ca="1" si="519"/>
        <v/>
      </c>
      <c r="BK367" s="222" t="str">
        <f t="shared" ca="1" si="519"/>
        <v/>
      </c>
      <c r="BL367" s="222" t="str">
        <f t="shared" ca="1" si="519"/>
        <v/>
      </c>
      <c r="BM367" s="222" t="str">
        <f t="shared" ca="1" si="519"/>
        <v/>
      </c>
      <c r="BN367" s="222" t="str">
        <f t="shared" ca="1" si="519"/>
        <v/>
      </c>
      <c r="BO367" s="222" t="str">
        <f t="shared" ca="1" si="519"/>
        <v/>
      </c>
      <c r="BP367" s="222" t="str">
        <f t="shared" ca="1" si="519"/>
        <v/>
      </c>
      <c r="BQ367" s="222" t="str">
        <f t="shared" ca="1" si="519"/>
        <v/>
      </c>
      <c r="BR367" s="222" t="str">
        <f t="shared" ca="1" si="519"/>
        <v/>
      </c>
      <c r="BS367" s="222" t="str">
        <f t="shared" ca="1" si="519"/>
        <v/>
      </c>
      <c r="BT367" s="222" t="str">
        <f t="shared" ca="1" si="520"/>
        <v/>
      </c>
      <c r="BU367" s="222" t="str">
        <f t="shared" ca="1" si="520"/>
        <v/>
      </c>
      <c r="BV367" s="222" t="str">
        <f t="shared" ca="1" si="520"/>
        <v/>
      </c>
      <c r="BW367" s="222" t="str">
        <f t="shared" ca="1" si="520"/>
        <v/>
      </c>
      <c r="BX367" s="222" t="str">
        <f t="shared" ca="1" si="520"/>
        <v/>
      </c>
      <c r="BY367" s="222" t="str">
        <f t="shared" ca="1" si="520"/>
        <v/>
      </c>
      <c r="BZ367" s="368" t="str">
        <f t="shared" ca="1" si="520"/>
        <v/>
      </c>
      <c r="CC367" s="482">
        <f t="shared" si="488"/>
        <v>46</v>
      </c>
    </row>
    <row r="368" spans="1:81">
      <c r="A368" s="326" t="str">
        <v/>
      </c>
      <c r="B368" s="222" t="str">
        <f t="shared" ca="1" si="513"/>
        <v/>
      </c>
      <c r="C368" s="222" t="str">
        <f t="shared" ca="1" si="513"/>
        <v/>
      </c>
      <c r="D368" s="222" t="str">
        <f t="shared" ca="1" si="513"/>
        <v/>
      </c>
      <c r="E368" s="222" t="str">
        <f t="shared" ca="1" si="513"/>
        <v/>
      </c>
      <c r="F368" s="222" t="str">
        <f t="shared" ca="1" si="513"/>
        <v/>
      </c>
      <c r="G368" s="222" t="str">
        <f t="shared" ca="1" si="513"/>
        <v/>
      </c>
      <c r="H368" s="222" t="str">
        <f t="shared" ca="1" si="513"/>
        <v/>
      </c>
      <c r="I368" s="222" t="str">
        <f t="shared" ca="1" si="513"/>
        <v/>
      </c>
      <c r="J368" s="222" t="str">
        <f t="shared" ca="1" si="513"/>
        <v/>
      </c>
      <c r="K368" s="222" t="str">
        <f t="shared" ca="1" si="513"/>
        <v/>
      </c>
      <c r="L368" s="222" t="str">
        <f t="shared" ca="1" si="514"/>
        <v/>
      </c>
      <c r="M368" s="222" t="str">
        <f t="shared" ca="1" si="514"/>
        <v/>
      </c>
      <c r="N368" s="222" t="str">
        <f t="shared" ca="1" si="514"/>
        <v/>
      </c>
      <c r="O368" s="222" t="str">
        <f t="shared" ca="1" si="514"/>
        <v/>
      </c>
      <c r="P368" s="222" t="str">
        <f t="shared" ca="1" si="514"/>
        <v/>
      </c>
      <c r="Q368" s="222" t="str">
        <f t="shared" ca="1" si="514"/>
        <v/>
      </c>
      <c r="R368" s="222" t="str">
        <f t="shared" ca="1" si="514"/>
        <v/>
      </c>
      <c r="S368" s="222" t="str">
        <f t="shared" ca="1" si="514"/>
        <v/>
      </c>
      <c r="T368" s="222" t="str">
        <f t="shared" ca="1" si="514"/>
        <v/>
      </c>
      <c r="U368" s="222" t="str">
        <f t="shared" ca="1" si="514"/>
        <v/>
      </c>
      <c r="V368" s="222" t="str">
        <f t="shared" ca="1" si="515"/>
        <v/>
      </c>
      <c r="W368" s="222" t="str">
        <f t="shared" ca="1" si="515"/>
        <v/>
      </c>
      <c r="X368" s="222" t="str">
        <f t="shared" ca="1" si="515"/>
        <v/>
      </c>
      <c r="Y368" s="222" t="str">
        <f t="shared" ca="1" si="515"/>
        <v/>
      </c>
      <c r="Z368" s="222" t="str">
        <f t="shared" ca="1" si="515"/>
        <v/>
      </c>
      <c r="AA368" s="222" t="str">
        <f t="shared" ca="1" si="515"/>
        <v/>
      </c>
      <c r="AB368" s="222" t="str">
        <f t="shared" ca="1" si="515"/>
        <v/>
      </c>
      <c r="AC368" s="222" t="str">
        <f t="shared" ca="1" si="515"/>
        <v/>
      </c>
      <c r="AD368" s="222" t="str">
        <f t="shared" ca="1" si="515"/>
        <v/>
      </c>
      <c r="AE368" s="222" t="str">
        <f t="shared" ca="1" si="515"/>
        <v/>
      </c>
      <c r="AF368" s="222" t="str">
        <f t="shared" ca="1" si="516"/>
        <v/>
      </c>
      <c r="AG368" s="222" t="str">
        <f t="shared" ca="1" si="516"/>
        <v/>
      </c>
      <c r="AH368" s="222" t="str">
        <f t="shared" ca="1" si="516"/>
        <v/>
      </c>
      <c r="AI368" s="222" t="str">
        <f t="shared" ca="1" si="516"/>
        <v/>
      </c>
      <c r="AJ368" s="222" t="str">
        <f t="shared" ca="1" si="516"/>
        <v/>
      </c>
      <c r="AK368" s="222" t="str">
        <f t="shared" ca="1" si="516"/>
        <v/>
      </c>
      <c r="AL368" s="222" t="str">
        <f t="shared" ca="1" si="516"/>
        <v/>
      </c>
      <c r="AM368" s="222" t="str">
        <f t="shared" ca="1" si="516"/>
        <v/>
      </c>
      <c r="AN368" s="222" t="str">
        <f t="shared" ca="1" si="516"/>
        <v/>
      </c>
      <c r="AO368" s="222" t="str">
        <f t="shared" ca="1" si="516"/>
        <v/>
      </c>
      <c r="AP368" s="222" t="str">
        <f t="shared" ca="1" si="517"/>
        <v/>
      </c>
      <c r="AQ368" s="222" t="str">
        <f t="shared" ca="1" si="517"/>
        <v/>
      </c>
      <c r="AR368" s="222" t="str">
        <f t="shared" ca="1" si="517"/>
        <v/>
      </c>
      <c r="AS368" s="222" t="str">
        <f t="shared" ca="1" si="517"/>
        <v/>
      </c>
      <c r="AT368" s="222" t="str">
        <f t="shared" ca="1" si="517"/>
        <v/>
      </c>
      <c r="AU368" s="222" t="str">
        <f t="shared" ca="1" si="517"/>
        <v/>
      </c>
      <c r="AV368" s="222" t="str">
        <f t="shared" ca="1" si="517"/>
        <v/>
      </c>
      <c r="AW368" s="222" t="str">
        <f t="shared" ca="1" si="517"/>
        <v/>
      </c>
      <c r="AX368" s="222" t="str">
        <f t="shared" ca="1" si="517"/>
        <v/>
      </c>
      <c r="AY368" s="222" t="str">
        <f t="shared" ca="1" si="517"/>
        <v/>
      </c>
      <c r="AZ368" s="222" t="str">
        <f t="shared" ca="1" si="518"/>
        <v/>
      </c>
      <c r="BA368" s="222" t="str">
        <f t="shared" ca="1" si="518"/>
        <v/>
      </c>
      <c r="BB368" s="222" t="str">
        <f t="shared" ca="1" si="518"/>
        <v/>
      </c>
      <c r="BC368" s="222" t="str">
        <f t="shared" ca="1" si="518"/>
        <v/>
      </c>
      <c r="BD368" s="222" t="str">
        <f t="shared" ca="1" si="518"/>
        <v/>
      </c>
      <c r="BE368" s="222" t="str">
        <f t="shared" ca="1" si="518"/>
        <v/>
      </c>
      <c r="BF368" s="222" t="str">
        <f t="shared" ca="1" si="518"/>
        <v/>
      </c>
      <c r="BG368" s="222" t="str">
        <f t="shared" ca="1" si="518"/>
        <v/>
      </c>
      <c r="BH368" s="222" t="str">
        <f t="shared" ca="1" si="518"/>
        <v/>
      </c>
      <c r="BI368" s="222" t="str">
        <f t="shared" ca="1" si="518"/>
        <v/>
      </c>
      <c r="BJ368" s="222" t="str">
        <f t="shared" ca="1" si="519"/>
        <v/>
      </c>
      <c r="BK368" s="222" t="str">
        <f t="shared" ca="1" si="519"/>
        <v/>
      </c>
      <c r="BL368" s="222" t="str">
        <f t="shared" ca="1" si="519"/>
        <v/>
      </c>
      <c r="BM368" s="222" t="str">
        <f t="shared" ca="1" si="519"/>
        <v/>
      </c>
      <c r="BN368" s="222" t="str">
        <f t="shared" ca="1" si="519"/>
        <v/>
      </c>
      <c r="BO368" s="222" t="str">
        <f t="shared" ca="1" si="519"/>
        <v/>
      </c>
      <c r="BP368" s="222" t="str">
        <f t="shared" ca="1" si="519"/>
        <v/>
      </c>
      <c r="BQ368" s="222" t="str">
        <f t="shared" ca="1" si="519"/>
        <v/>
      </c>
      <c r="BR368" s="222" t="str">
        <f t="shared" ca="1" si="519"/>
        <v/>
      </c>
      <c r="BS368" s="222" t="str">
        <f t="shared" ca="1" si="519"/>
        <v/>
      </c>
      <c r="BT368" s="222" t="str">
        <f t="shared" ca="1" si="520"/>
        <v/>
      </c>
      <c r="BU368" s="222" t="str">
        <f t="shared" ca="1" si="520"/>
        <v/>
      </c>
      <c r="BV368" s="222" t="str">
        <f t="shared" ca="1" si="520"/>
        <v/>
      </c>
      <c r="BW368" s="222" t="str">
        <f t="shared" ca="1" si="520"/>
        <v/>
      </c>
      <c r="BX368" s="222" t="str">
        <f t="shared" ca="1" si="520"/>
        <v/>
      </c>
      <c r="BY368" s="222" t="str">
        <f t="shared" ca="1" si="520"/>
        <v/>
      </c>
      <c r="BZ368" s="368" t="str">
        <f t="shared" ca="1" si="520"/>
        <v/>
      </c>
      <c r="CC368" s="482">
        <f t="shared" si="488"/>
        <v>47</v>
      </c>
    </row>
    <row r="369" spans="1:81">
      <c r="A369" s="326" t="str">
        <v/>
      </c>
      <c r="B369" s="222" t="str">
        <f t="shared" ca="1" si="513"/>
        <v/>
      </c>
      <c r="C369" s="222" t="str">
        <f t="shared" ca="1" si="513"/>
        <v/>
      </c>
      <c r="D369" s="222" t="str">
        <f t="shared" ca="1" si="513"/>
        <v/>
      </c>
      <c r="E369" s="222" t="str">
        <f t="shared" ca="1" si="513"/>
        <v/>
      </c>
      <c r="F369" s="222" t="str">
        <f t="shared" ca="1" si="513"/>
        <v/>
      </c>
      <c r="G369" s="222" t="str">
        <f t="shared" ca="1" si="513"/>
        <v/>
      </c>
      <c r="H369" s="222" t="str">
        <f t="shared" ca="1" si="513"/>
        <v/>
      </c>
      <c r="I369" s="222" t="str">
        <f t="shared" ca="1" si="513"/>
        <v/>
      </c>
      <c r="J369" s="222" t="str">
        <f t="shared" ca="1" si="513"/>
        <v/>
      </c>
      <c r="K369" s="222" t="str">
        <f t="shared" ca="1" si="513"/>
        <v/>
      </c>
      <c r="L369" s="222" t="str">
        <f t="shared" ca="1" si="514"/>
        <v/>
      </c>
      <c r="M369" s="222" t="str">
        <f t="shared" ca="1" si="514"/>
        <v/>
      </c>
      <c r="N369" s="222" t="str">
        <f t="shared" ca="1" si="514"/>
        <v/>
      </c>
      <c r="O369" s="222" t="str">
        <f t="shared" ca="1" si="514"/>
        <v/>
      </c>
      <c r="P369" s="222" t="str">
        <f t="shared" ca="1" si="514"/>
        <v/>
      </c>
      <c r="Q369" s="222" t="str">
        <f t="shared" ca="1" si="514"/>
        <v/>
      </c>
      <c r="R369" s="222" t="str">
        <f t="shared" ca="1" si="514"/>
        <v/>
      </c>
      <c r="S369" s="222" t="str">
        <f t="shared" ca="1" si="514"/>
        <v/>
      </c>
      <c r="T369" s="222" t="str">
        <f t="shared" ca="1" si="514"/>
        <v/>
      </c>
      <c r="U369" s="222" t="str">
        <f t="shared" ca="1" si="514"/>
        <v/>
      </c>
      <c r="V369" s="222" t="str">
        <f t="shared" ca="1" si="515"/>
        <v/>
      </c>
      <c r="W369" s="222" t="str">
        <f t="shared" ca="1" si="515"/>
        <v/>
      </c>
      <c r="X369" s="222" t="str">
        <f t="shared" ca="1" si="515"/>
        <v/>
      </c>
      <c r="Y369" s="222" t="str">
        <f t="shared" ca="1" si="515"/>
        <v/>
      </c>
      <c r="Z369" s="222" t="str">
        <f t="shared" ca="1" si="515"/>
        <v/>
      </c>
      <c r="AA369" s="222" t="str">
        <f t="shared" ca="1" si="515"/>
        <v/>
      </c>
      <c r="AB369" s="222" t="str">
        <f t="shared" ca="1" si="515"/>
        <v/>
      </c>
      <c r="AC369" s="222" t="str">
        <f t="shared" ca="1" si="515"/>
        <v/>
      </c>
      <c r="AD369" s="222" t="str">
        <f t="shared" ca="1" si="515"/>
        <v/>
      </c>
      <c r="AE369" s="222" t="str">
        <f t="shared" ca="1" si="515"/>
        <v/>
      </c>
      <c r="AF369" s="222" t="str">
        <f t="shared" ca="1" si="516"/>
        <v/>
      </c>
      <c r="AG369" s="222" t="str">
        <f t="shared" ca="1" si="516"/>
        <v/>
      </c>
      <c r="AH369" s="222" t="str">
        <f t="shared" ca="1" si="516"/>
        <v/>
      </c>
      <c r="AI369" s="222" t="str">
        <f t="shared" ca="1" si="516"/>
        <v/>
      </c>
      <c r="AJ369" s="222" t="str">
        <f t="shared" ca="1" si="516"/>
        <v/>
      </c>
      <c r="AK369" s="222" t="str">
        <f t="shared" ca="1" si="516"/>
        <v/>
      </c>
      <c r="AL369" s="222" t="str">
        <f t="shared" ca="1" si="516"/>
        <v/>
      </c>
      <c r="AM369" s="222" t="str">
        <f t="shared" ca="1" si="516"/>
        <v/>
      </c>
      <c r="AN369" s="222" t="str">
        <f t="shared" ca="1" si="516"/>
        <v/>
      </c>
      <c r="AO369" s="222" t="str">
        <f t="shared" ca="1" si="516"/>
        <v/>
      </c>
      <c r="AP369" s="222" t="str">
        <f t="shared" ca="1" si="517"/>
        <v/>
      </c>
      <c r="AQ369" s="222" t="str">
        <f t="shared" ca="1" si="517"/>
        <v/>
      </c>
      <c r="AR369" s="222" t="str">
        <f t="shared" ca="1" si="517"/>
        <v/>
      </c>
      <c r="AS369" s="222" t="str">
        <f t="shared" ca="1" si="517"/>
        <v/>
      </c>
      <c r="AT369" s="222" t="str">
        <f t="shared" ca="1" si="517"/>
        <v/>
      </c>
      <c r="AU369" s="222" t="str">
        <f t="shared" ca="1" si="517"/>
        <v/>
      </c>
      <c r="AV369" s="222" t="str">
        <f t="shared" ca="1" si="517"/>
        <v/>
      </c>
      <c r="AW369" s="222" t="str">
        <f t="shared" ca="1" si="517"/>
        <v/>
      </c>
      <c r="AX369" s="222" t="str">
        <f t="shared" ca="1" si="517"/>
        <v/>
      </c>
      <c r="AY369" s="222" t="str">
        <f t="shared" ca="1" si="517"/>
        <v/>
      </c>
      <c r="AZ369" s="222" t="str">
        <f t="shared" ca="1" si="518"/>
        <v/>
      </c>
      <c r="BA369" s="222" t="str">
        <f t="shared" ca="1" si="518"/>
        <v/>
      </c>
      <c r="BB369" s="222" t="str">
        <f t="shared" ca="1" si="518"/>
        <v/>
      </c>
      <c r="BC369" s="222" t="str">
        <f t="shared" ca="1" si="518"/>
        <v/>
      </c>
      <c r="BD369" s="222" t="str">
        <f t="shared" ca="1" si="518"/>
        <v/>
      </c>
      <c r="BE369" s="222" t="str">
        <f t="shared" ca="1" si="518"/>
        <v/>
      </c>
      <c r="BF369" s="222" t="str">
        <f t="shared" ca="1" si="518"/>
        <v/>
      </c>
      <c r="BG369" s="222" t="str">
        <f t="shared" ca="1" si="518"/>
        <v/>
      </c>
      <c r="BH369" s="222" t="str">
        <f t="shared" ca="1" si="518"/>
        <v/>
      </c>
      <c r="BI369" s="222" t="str">
        <f t="shared" ca="1" si="518"/>
        <v/>
      </c>
      <c r="BJ369" s="222" t="str">
        <f t="shared" ca="1" si="519"/>
        <v/>
      </c>
      <c r="BK369" s="222" t="str">
        <f t="shared" ca="1" si="519"/>
        <v/>
      </c>
      <c r="BL369" s="222" t="str">
        <f t="shared" ca="1" si="519"/>
        <v/>
      </c>
      <c r="BM369" s="222" t="str">
        <f t="shared" ca="1" si="519"/>
        <v/>
      </c>
      <c r="BN369" s="222" t="str">
        <f t="shared" ca="1" si="519"/>
        <v/>
      </c>
      <c r="BO369" s="222" t="str">
        <f t="shared" ca="1" si="519"/>
        <v/>
      </c>
      <c r="BP369" s="222" t="str">
        <f t="shared" ca="1" si="519"/>
        <v/>
      </c>
      <c r="BQ369" s="222" t="str">
        <f t="shared" ca="1" si="519"/>
        <v/>
      </c>
      <c r="BR369" s="222" t="str">
        <f t="shared" ca="1" si="519"/>
        <v/>
      </c>
      <c r="BS369" s="222" t="str">
        <f t="shared" ca="1" si="519"/>
        <v/>
      </c>
      <c r="BT369" s="222" t="str">
        <f t="shared" ca="1" si="520"/>
        <v/>
      </c>
      <c r="BU369" s="222" t="str">
        <f t="shared" ca="1" si="520"/>
        <v/>
      </c>
      <c r="BV369" s="222" t="str">
        <f t="shared" ca="1" si="520"/>
        <v/>
      </c>
      <c r="BW369" s="222" t="str">
        <f t="shared" ca="1" si="520"/>
        <v/>
      </c>
      <c r="BX369" s="222" t="str">
        <f t="shared" ca="1" si="520"/>
        <v/>
      </c>
      <c r="BY369" s="222" t="str">
        <f t="shared" ca="1" si="520"/>
        <v/>
      </c>
      <c r="BZ369" s="368" t="str">
        <f t="shared" ca="1" si="520"/>
        <v/>
      </c>
      <c r="CC369" s="482">
        <f t="shared" si="488"/>
        <v>48</v>
      </c>
    </row>
    <row r="370" spans="1:81">
      <c r="A370" s="326" t="str">
        <v/>
      </c>
      <c r="B370" s="222" t="str">
        <f t="shared" ca="1" si="513"/>
        <v/>
      </c>
      <c r="C370" s="222" t="str">
        <f t="shared" ca="1" si="513"/>
        <v/>
      </c>
      <c r="D370" s="222" t="str">
        <f t="shared" ca="1" si="513"/>
        <v/>
      </c>
      <c r="E370" s="222" t="str">
        <f t="shared" ca="1" si="513"/>
        <v/>
      </c>
      <c r="F370" s="222" t="str">
        <f t="shared" ca="1" si="513"/>
        <v/>
      </c>
      <c r="G370" s="222" t="str">
        <f t="shared" ca="1" si="513"/>
        <v/>
      </c>
      <c r="H370" s="222" t="str">
        <f t="shared" ca="1" si="513"/>
        <v/>
      </c>
      <c r="I370" s="222" t="str">
        <f t="shared" ca="1" si="513"/>
        <v/>
      </c>
      <c r="J370" s="222" t="str">
        <f t="shared" ca="1" si="513"/>
        <v/>
      </c>
      <c r="K370" s="222" t="str">
        <f t="shared" ca="1" si="513"/>
        <v/>
      </c>
      <c r="L370" s="222" t="str">
        <f t="shared" ca="1" si="514"/>
        <v/>
      </c>
      <c r="M370" s="222" t="str">
        <f t="shared" ca="1" si="514"/>
        <v/>
      </c>
      <c r="N370" s="222" t="str">
        <f t="shared" ca="1" si="514"/>
        <v/>
      </c>
      <c r="O370" s="222" t="str">
        <f t="shared" ca="1" si="514"/>
        <v/>
      </c>
      <c r="P370" s="222" t="str">
        <f t="shared" ca="1" si="514"/>
        <v/>
      </c>
      <c r="Q370" s="222" t="str">
        <f t="shared" ca="1" si="514"/>
        <v/>
      </c>
      <c r="R370" s="222" t="str">
        <f t="shared" ca="1" si="514"/>
        <v/>
      </c>
      <c r="S370" s="222" t="str">
        <f t="shared" ca="1" si="514"/>
        <v/>
      </c>
      <c r="T370" s="222" t="str">
        <f t="shared" ca="1" si="514"/>
        <v/>
      </c>
      <c r="U370" s="222" t="str">
        <f t="shared" ca="1" si="514"/>
        <v/>
      </c>
      <c r="V370" s="222" t="str">
        <f t="shared" ca="1" si="515"/>
        <v/>
      </c>
      <c r="W370" s="222" t="str">
        <f t="shared" ca="1" si="515"/>
        <v/>
      </c>
      <c r="X370" s="222" t="str">
        <f t="shared" ca="1" si="515"/>
        <v/>
      </c>
      <c r="Y370" s="222" t="str">
        <f t="shared" ca="1" si="515"/>
        <v/>
      </c>
      <c r="Z370" s="222" t="str">
        <f t="shared" ca="1" si="515"/>
        <v/>
      </c>
      <c r="AA370" s="222" t="str">
        <f t="shared" ca="1" si="515"/>
        <v/>
      </c>
      <c r="AB370" s="222" t="str">
        <f t="shared" ca="1" si="515"/>
        <v/>
      </c>
      <c r="AC370" s="222" t="str">
        <f t="shared" ca="1" si="515"/>
        <v/>
      </c>
      <c r="AD370" s="222" t="str">
        <f t="shared" ca="1" si="515"/>
        <v/>
      </c>
      <c r="AE370" s="222" t="str">
        <f t="shared" ca="1" si="515"/>
        <v/>
      </c>
      <c r="AF370" s="222" t="str">
        <f t="shared" ca="1" si="516"/>
        <v/>
      </c>
      <c r="AG370" s="222" t="str">
        <f t="shared" ca="1" si="516"/>
        <v/>
      </c>
      <c r="AH370" s="222" t="str">
        <f t="shared" ca="1" si="516"/>
        <v/>
      </c>
      <c r="AI370" s="222" t="str">
        <f t="shared" ca="1" si="516"/>
        <v/>
      </c>
      <c r="AJ370" s="222" t="str">
        <f t="shared" ca="1" si="516"/>
        <v/>
      </c>
      <c r="AK370" s="222" t="str">
        <f t="shared" ca="1" si="516"/>
        <v/>
      </c>
      <c r="AL370" s="222" t="str">
        <f t="shared" ca="1" si="516"/>
        <v/>
      </c>
      <c r="AM370" s="222" t="str">
        <f t="shared" ca="1" si="516"/>
        <v/>
      </c>
      <c r="AN370" s="222" t="str">
        <f t="shared" ca="1" si="516"/>
        <v/>
      </c>
      <c r="AO370" s="222" t="str">
        <f t="shared" ca="1" si="516"/>
        <v/>
      </c>
      <c r="AP370" s="222" t="str">
        <f t="shared" ca="1" si="517"/>
        <v/>
      </c>
      <c r="AQ370" s="222" t="str">
        <f t="shared" ca="1" si="517"/>
        <v/>
      </c>
      <c r="AR370" s="222" t="str">
        <f t="shared" ca="1" si="517"/>
        <v/>
      </c>
      <c r="AS370" s="222" t="str">
        <f t="shared" ca="1" si="517"/>
        <v/>
      </c>
      <c r="AT370" s="222" t="str">
        <f t="shared" ca="1" si="517"/>
        <v/>
      </c>
      <c r="AU370" s="222" t="str">
        <f t="shared" ca="1" si="517"/>
        <v/>
      </c>
      <c r="AV370" s="222" t="str">
        <f t="shared" ca="1" si="517"/>
        <v/>
      </c>
      <c r="AW370" s="222" t="str">
        <f t="shared" ca="1" si="517"/>
        <v/>
      </c>
      <c r="AX370" s="222" t="str">
        <f t="shared" ca="1" si="517"/>
        <v/>
      </c>
      <c r="AY370" s="222" t="str">
        <f t="shared" ca="1" si="517"/>
        <v/>
      </c>
      <c r="AZ370" s="222" t="str">
        <f t="shared" ca="1" si="518"/>
        <v/>
      </c>
      <c r="BA370" s="222" t="str">
        <f t="shared" ca="1" si="518"/>
        <v/>
      </c>
      <c r="BB370" s="222" t="str">
        <f t="shared" ca="1" si="518"/>
        <v/>
      </c>
      <c r="BC370" s="222" t="str">
        <f t="shared" ca="1" si="518"/>
        <v/>
      </c>
      <c r="BD370" s="222" t="str">
        <f t="shared" ca="1" si="518"/>
        <v/>
      </c>
      <c r="BE370" s="222" t="str">
        <f t="shared" ca="1" si="518"/>
        <v/>
      </c>
      <c r="BF370" s="222" t="str">
        <f t="shared" ca="1" si="518"/>
        <v/>
      </c>
      <c r="BG370" s="222" t="str">
        <f t="shared" ca="1" si="518"/>
        <v/>
      </c>
      <c r="BH370" s="222" t="str">
        <f t="shared" ca="1" si="518"/>
        <v/>
      </c>
      <c r="BI370" s="222" t="str">
        <f t="shared" ca="1" si="518"/>
        <v/>
      </c>
      <c r="BJ370" s="222" t="str">
        <f t="shared" ca="1" si="519"/>
        <v/>
      </c>
      <c r="BK370" s="222" t="str">
        <f t="shared" ca="1" si="519"/>
        <v/>
      </c>
      <c r="BL370" s="222" t="str">
        <f t="shared" ca="1" si="519"/>
        <v/>
      </c>
      <c r="BM370" s="222" t="str">
        <f t="shared" ca="1" si="519"/>
        <v/>
      </c>
      <c r="BN370" s="222" t="str">
        <f t="shared" ca="1" si="519"/>
        <v/>
      </c>
      <c r="BO370" s="222" t="str">
        <f t="shared" ca="1" si="519"/>
        <v/>
      </c>
      <c r="BP370" s="222" t="str">
        <f t="shared" ca="1" si="519"/>
        <v/>
      </c>
      <c r="BQ370" s="222" t="str">
        <f t="shared" ca="1" si="519"/>
        <v/>
      </c>
      <c r="BR370" s="222" t="str">
        <f t="shared" ca="1" si="519"/>
        <v/>
      </c>
      <c r="BS370" s="222" t="str">
        <f t="shared" ca="1" si="519"/>
        <v/>
      </c>
      <c r="BT370" s="222" t="str">
        <f t="shared" ca="1" si="520"/>
        <v/>
      </c>
      <c r="BU370" s="222" t="str">
        <f t="shared" ca="1" si="520"/>
        <v/>
      </c>
      <c r="BV370" s="222" t="str">
        <f t="shared" ca="1" si="520"/>
        <v/>
      </c>
      <c r="BW370" s="222" t="str">
        <f t="shared" ca="1" si="520"/>
        <v/>
      </c>
      <c r="BX370" s="222" t="str">
        <f t="shared" ca="1" si="520"/>
        <v/>
      </c>
      <c r="BY370" s="222" t="str">
        <f t="shared" ca="1" si="520"/>
        <v/>
      </c>
      <c r="BZ370" s="368" t="str">
        <f t="shared" ca="1" si="520"/>
        <v/>
      </c>
      <c r="CC370" s="482">
        <f t="shared" si="488"/>
        <v>49</v>
      </c>
    </row>
    <row r="371" spans="1:81">
      <c r="A371" s="326" t="str">
        <v/>
      </c>
      <c r="B371" s="222" t="str">
        <f t="shared" ref="B371:K380" ca="1" si="521">IF(OR($A371="",B$320=""), "", IF((COLUMN()-COLUMN($A371)) &gt; (1+$CC371), "", PEARSON(OFFSET($B$8, 0, $CC371, $A$320+1, 1), B$8:B$153)))</f>
        <v/>
      </c>
      <c r="C371" s="222" t="str">
        <f t="shared" ca="1" si="521"/>
        <v/>
      </c>
      <c r="D371" s="222" t="str">
        <f t="shared" ca="1" si="521"/>
        <v/>
      </c>
      <c r="E371" s="222" t="str">
        <f t="shared" ca="1" si="521"/>
        <v/>
      </c>
      <c r="F371" s="222" t="str">
        <f t="shared" ca="1" si="521"/>
        <v/>
      </c>
      <c r="G371" s="222" t="str">
        <f t="shared" ca="1" si="521"/>
        <v/>
      </c>
      <c r="H371" s="222" t="str">
        <f t="shared" ca="1" si="521"/>
        <v/>
      </c>
      <c r="I371" s="222" t="str">
        <f t="shared" ca="1" si="521"/>
        <v/>
      </c>
      <c r="J371" s="222" t="str">
        <f t="shared" ca="1" si="521"/>
        <v/>
      </c>
      <c r="K371" s="222" t="str">
        <f t="shared" ca="1" si="521"/>
        <v/>
      </c>
      <c r="L371" s="222" t="str">
        <f t="shared" ref="L371:U380" ca="1" si="522">IF(OR($A371="",L$320=""), "", IF((COLUMN()-COLUMN($A371)) &gt; (1+$CC371), "", PEARSON(OFFSET($B$8, 0, $CC371, $A$320+1, 1), L$8:L$153)))</f>
        <v/>
      </c>
      <c r="M371" s="222" t="str">
        <f t="shared" ca="1" si="522"/>
        <v/>
      </c>
      <c r="N371" s="222" t="str">
        <f t="shared" ca="1" si="522"/>
        <v/>
      </c>
      <c r="O371" s="222" t="str">
        <f t="shared" ca="1" si="522"/>
        <v/>
      </c>
      <c r="P371" s="222" t="str">
        <f t="shared" ca="1" si="522"/>
        <v/>
      </c>
      <c r="Q371" s="222" t="str">
        <f t="shared" ca="1" si="522"/>
        <v/>
      </c>
      <c r="R371" s="222" t="str">
        <f t="shared" ca="1" si="522"/>
        <v/>
      </c>
      <c r="S371" s="222" t="str">
        <f t="shared" ca="1" si="522"/>
        <v/>
      </c>
      <c r="T371" s="222" t="str">
        <f t="shared" ca="1" si="522"/>
        <v/>
      </c>
      <c r="U371" s="222" t="str">
        <f t="shared" ca="1" si="522"/>
        <v/>
      </c>
      <c r="V371" s="222" t="str">
        <f t="shared" ref="V371:AE380" ca="1" si="523">IF(OR($A371="",V$320=""), "", IF((COLUMN()-COLUMN($A371)) &gt; (1+$CC371), "", PEARSON(OFFSET($B$8, 0, $CC371, $A$320+1, 1), V$8:V$153)))</f>
        <v/>
      </c>
      <c r="W371" s="222" t="str">
        <f t="shared" ca="1" si="523"/>
        <v/>
      </c>
      <c r="X371" s="222" t="str">
        <f t="shared" ca="1" si="523"/>
        <v/>
      </c>
      <c r="Y371" s="222" t="str">
        <f t="shared" ca="1" si="523"/>
        <v/>
      </c>
      <c r="Z371" s="222" t="str">
        <f t="shared" ca="1" si="523"/>
        <v/>
      </c>
      <c r="AA371" s="222" t="str">
        <f t="shared" ca="1" si="523"/>
        <v/>
      </c>
      <c r="AB371" s="222" t="str">
        <f t="shared" ca="1" si="523"/>
        <v/>
      </c>
      <c r="AC371" s="222" t="str">
        <f t="shared" ca="1" si="523"/>
        <v/>
      </c>
      <c r="AD371" s="222" t="str">
        <f t="shared" ca="1" si="523"/>
        <v/>
      </c>
      <c r="AE371" s="222" t="str">
        <f t="shared" ca="1" si="523"/>
        <v/>
      </c>
      <c r="AF371" s="222" t="str">
        <f t="shared" ref="AF371:AO380" ca="1" si="524">IF(OR($A371="",AF$320=""), "", IF((COLUMN()-COLUMN($A371)) &gt; (1+$CC371), "", PEARSON(OFFSET($B$8, 0, $CC371, $A$320+1, 1), AF$8:AF$153)))</f>
        <v/>
      </c>
      <c r="AG371" s="222" t="str">
        <f t="shared" ca="1" si="524"/>
        <v/>
      </c>
      <c r="AH371" s="222" t="str">
        <f t="shared" ca="1" si="524"/>
        <v/>
      </c>
      <c r="AI371" s="222" t="str">
        <f t="shared" ca="1" si="524"/>
        <v/>
      </c>
      <c r="AJ371" s="222" t="str">
        <f t="shared" ca="1" si="524"/>
        <v/>
      </c>
      <c r="AK371" s="222" t="str">
        <f t="shared" ca="1" si="524"/>
        <v/>
      </c>
      <c r="AL371" s="222" t="str">
        <f t="shared" ca="1" si="524"/>
        <v/>
      </c>
      <c r="AM371" s="222" t="str">
        <f t="shared" ca="1" si="524"/>
        <v/>
      </c>
      <c r="AN371" s="222" t="str">
        <f t="shared" ca="1" si="524"/>
        <v/>
      </c>
      <c r="AO371" s="222" t="str">
        <f t="shared" ca="1" si="524"/>
        <v/>
      </c>
      <c r="AP371" s="222" t="str">
        <f t="shared" ref="AP371:AY380" ca="1" si="525">IF(OR($A371="",AP$320=""), "", IF((COLUMN()-COLUMN($A371)) &gt; (1+$CC371), "", PEARSON(OFFSET($B$8, 0, $CC371, $A$320+1, 1), AP$8:AP$153)))</f>
        <v/>
      </c>
      <c r="AQ371" s="222" t="str">
        <f t="shared" ca="1" si="525"/>
        <v/>
      </c>
      <c r="AR371" s="222" t="str">
        <f t="shared" ca="1" si="525"/>
        <v/>
      </c>
      <c r="AS371" s="222" t="str">
        <f t="shared" ca="1" si="525"/>
        <v/>
      </c>
      <c r="AT371" s="222" t="str">
        <f t="shared" ca="1" si="525"/>
        <v/>
      </c>
      <c r="AU371" s="222" t="str">
        <f t="shared" ca="1" si="525"/>
        <v/>
      </c>
      <c r="AV371" s="222" t="str">
        <f t="shared" ca="1" si="525"/>
        <v/>
      </c>
      <c r="AW371" s="222" t="str">
        <f t="shared" ca="1" si="525"/>
        <v/>
      </c>
      <c r="AX371" s="222" t="str">
        <f t="shared" ca="1" si="525"/>
        <v/>
      </c>
      <c r="AY371" s="222" t="str">
        <f t="shared" ca="1" si="525"/>
        <v/>
      </c>
      <c r="AZ371" s="222" t="str">
        <f t="shared" ref="AZ371:BI380" ca="1" si="526">IF(OR($A371="",AZ$320=""), "", IF((COLUMN()-COLUMN($A371)) &gt; (1+$CC371), "", PEARSON(OFFSET($B$8, 0, $CC371, $A$320+1, 1), AZ$8:AZ$153)))</f>
        <v/>
      </c>
      <c r="BA371" s="222" t="str">
        <f t="shared" ca="1" si="526"/>
        <v/>
      </c>
      <c r="BB371" s="222" t="str">
        <f t="shared" ca="1" si="526"/>
        <v/>
      </c>
      <c r="BC371" s="222" t="str">
        <f t="shared" ca="1" si="526"/>
        <v/>
      </c>
      <c r="BD371" s="222" t="str">
        <f t="shared" ca="1" si="526"/>
        <v/>
      </c>
      <c r="BE371" s="222" t="str">
        <f t="shared" ca="1" si="526"/>
        <v/>
      </c>
      <c r="BF371" s="222" t="str">
        <f t="shared" ca="1" si="526"/>
        <v/>
      </c>
      <c r="BG371" s="222" t="str">
        <f t="shared" ca="1" si="526"/>
        <v/>
      </c>
      <c r="BH371" s="222" t="str">
        <f t="shared" ca="1" si="526"/>
        <v/>
      </c>
      <c r="BI371" s="222" t="str">
        <f t="shared" ca="1" si="526"/>
        <v/>
      </c>
      <c r="BJ371" s="222" t="str">
        <f t="shared" ref="BJ371:BS380" ca="1" si="527">IF(OR($A371="",BJ$320=""), "", IF((COLUMN()-COLUMN($A371)) &gt; (1+$CC371), "", PEARSON(OFFSET($B$8, 0, $CC371, $A$320+1, 1), BJ$8:BJ$153)))</f>
        <v/>
      </c>
      <c r="BK371" s="222" t="str">
        <f t="shared" ca="1" si="527"/>
        <v/>
      </c>
      <c r="BL371" s="222" t="str">
        <f t="shared" ca="1" si="527"/>
        <v/>
      </c>
      <c r="BM371" s="222" t="str">
        <f t="shared" ca="1" si="527"/>
        <v/>
      </c>
      <c r="BN371" s="222" t="str">
        <f t="shared" ca="1" si="527"/>
        <v/>
      </c>
      <c r="BO371" s="222" t="str">
        <f t="shared" ca="1" si="527"/>
        <v/>
      </c>
      <c r="BP371" s="222" t="str">
        <f t="shared" ca="1" si="527"/>
        <v/>
      </c>
      <c r="BQ371" s="222" t="str">
        <f t="shared" ca="1" si="527"/>
        <v/>
      </c>
      <c r="BR371" s="222" t="str">
        <f t="shared" ca="1" si="527"/>
        <v/>
      </c>
      <c r="BS371" s="222" t="str">
        <f t="shared" ca="1" si="527"/>
        <v/>
      </c>
      <c r="BT371" s="222" t="str">
        <f t="shared" ref="BT371:BZ380" ca="1" si="528">IF(OR($A371="",BT$320=""), "", IF((COLUMN()-COLUMN($A371)) &gt; (1+$CC371), "", PEARSON(OFFSET($B$8, 0, $CC371, $A$320+1, 1), BT$8:BT$153)))</f>
        <v/>
      </c>
      <c r="BU371" s="222" t="str">
        <f t="shared" ca="1" si="528"/>
        <v/>
      </c>
      <c r="BV371" s="222" t="str">
        <f t="shared" ca="1" si="528"/>
        <v/>
      </c>
      <c r="BW371" s="222" t="str">
        <f t="shared" ca="1" si="528"/>
        <v/>
      </c>
      <c r="BX371" s="222" t="str">
        <f t="shared" ca="1" si="528"/>
        <v/>
      </c>
      <c r="BY371" s="222" t="str">
        <f t="shared" ca="1" si="528"/>
        <v/>
      </c>
      <c r="BZ371" s="368" t="str">
        <f t="shared" ca="1" si="528"/>
        <v/>
      </c>
      <c r="CC371" s="482">
        <f t="shared" si="488"/>
        <v>50</v>
      </c>
    </row>
    <row r="372" spans="1:81">
      <c r="A372" s="326" t="str">
        <v/>
      </c>
      <c r="B372" s="222" t="str">
        <f t="shared" ca="1" si="521"/>
        <v/>
      </c>
      <c r="C372" s="222" t="str">
        <f t="shared" ca="1" si="521"/>
        <v/>
      </c>
      <c r="D372" s="222" t="str">
        <f t="shared" ca="1" si="521"/>
        <v/>
      </c>
      <c r="E372" s="222" t="str">
        <f t="shared" ca="1" si="521"/>
        <v/>
      </c>
      <c r="F372" s="222" t="str">
        <f t="shared" ca="1" si="521"/>
        <v/>
      </c>
      <c r="G372" s="222" t="str">
        <f t="shared" ca="1" si="521"/>
        <v/>
      </c>
      <c r="H372" s="222" t="str">
        <f t="shared" ca="1" si="521"/>
        <v/>
      </c>
      <c r="I372" s="222" t="str">
        <f t="shared" ca="1" si="521"/>
        <v/>
      </c>
      <c r="J372" s="222" t="str">
        <f t="shared" ca="1" si="521"/>
        <v/>
      </c>
      <c r="K372" s="222" t="str">
        <f t="shared" ca="1" si="521"/>
        <v/>
      </c>
      <c r="L372" s="222" t="str">
        <f t="shared" ca="1" si="522"/>
        <v/>
      </c>
      <c r="M372" s="222" t="str">
        <f t="shared" ca="1" si="522"/>
        <v/>
      </c>
      <c r="N372" s="222" t="str">
        <f t="shared" ca="1" si="522"/>
        <v/>
      </c>
      <c r="O372" s="222" t="str">
        <f t="shared" ca="1" si="522"/>
        <v/>
      </c>
      <c r="P372" s="222" t="str">
        <f t="shared" ca="1" si="522"/>
        <v/>
      </c>
      <c r="Q372" s="222" t="str">
        <f t="shared" ca="1" si="522"/>
        <v/>
      </c>
      <c r="R372" s="222" t="str">
        <f t="shared" ca="1" si="522"/>
        <v/>
      </c>
      <c r="S372" s="222" t="str">
        <f t="shared" ca="1" si="522"/>
        <v/>
      </c>
      <c r="T372" s="222" t="str">
        <f t="shared" ca="1" si="522"/>
        <v/>
      </c>
      <c r="U372" s="222" t="str">
        <f t="shared" ca="1" si="522"/>
        <v/>
      </c>
      <c r="V372" s="222" t="str">
        <f t="shared" ca="1" si="523"/>
        <v/>
      </c>
      <c r="W372" s="222" t="str">
        <f t="shared" ca="1" si="523"/>
        <v/>
      </c>
      <c r="X372" s="222" t="str">
        <f t="shared" ca="1" si="523"/>
        <v/>
      </c>
      <c r="Y372" s="222" t="str">
        <f t="shared" ca="1" si="523"/>
        <v/>
      </c>
      <c r="Z372" s="222" t="str">
        <f t="shared" ca="1" si="523"/>
        <v/>
      </c>
      <c r="AA372" s="222" t="str">
        <f t="shared" ca="1" si="523"/>
        <v/>
      </c>
      <c r="AB372" s="222" t="str">
        <f t="shared" ca="1" si="523"/>
        <v/>
      </c>
      <c r="AC372" s="222" t="str">
        <f t="shared" ca="1" si="523"/>
        <v/>
      </c>
      <c r="AD372" s="222" t="str">
        <f t="shared" ca="1" si="523"/>
        <v/>
      </c>
      <c r="AE372" s="222" t="str">
        <f t="shared" ca="1" si="523"/>
        <v/>
      </c>
      <c r="AF372" s="222" t="str">
        <f t="shared" ca="1" si="524"/>
        <v/>
      </c>
      <c r="AG372" s="222" t="str">
        <f t="shared" ca="1" si="524"/>
        <v/>
      </c>
      <c r="AH372" s="222" t="str">
        <f t="shared" ca="1" si="524"/>
        <v/>
      </c>
      <c r="AI372" s="222" t="str">
        <f t="shared" ca="1" si="524"/>
        <v/>
      </c>
      <c r="AJ372" s="222" t="str">
        <f t="shared" ca="1" si="524"/>
        <v/>
      </c>
      <c r="AK372" s="222" t="str">
        <f t="shared" ca="1" si="524"/>
        <v/>
      </c>
      <c r="AL372" s="222" t="str">
        <f t="shared" ca="1" si="524"/>
        <v/>
      </c>
      <c r="AM372" s="222" t="str">
        <f t="shared" ca="1" si="524"/>
        <v/>
      </c>
      <c r="AN372" s="222" t="str">
        <f t="shared" ca="1" si="524"/>
        <v/>
      </c>
      <c r="AO372" s="222" t="str">
        <f t="shared" ca="1" si="524"/>
        <v/>
      </c>
      <c r="AP372" s="222" t="str">
        <f t="shared" ca="1" si="525"/>
        <v/>
      </c>
      <c r="AQ372" s="222" t="str">
        <f t="shared" ca="1" si="525"/>
        <v/>
      </c>
      <c r="AR372" s="222" t="str">
        <f t="shared" ca="1" si="525"/>
        <v/>
      </c>
      <c r="AS372" s="222" t="str">
        <f t="shared" ca="1" si="525"/>
        <v/>
      </c>
      <c r="AT372" s="222" t="str">
        <f t="shared" ca="1" si="525"/>
        <v/>
      </c>
      <c r="AU372" s="222" t="str">
        <f t="shared" ca="1" si="525"/>
        <v/>
      </c>
      <c r="AV372" s="222" t="str">
        <f t="shared" ca="1" si="525"/>
        <v/>
      </c>
      <c r="AW372" s="222" t="str">
        <f t="shared" ca="1" si="525"/>
        <v/>
      </c>
      <c r="AX372" s="222" t="str">
        <f t="shared" ca="1" si="525"/>
        <v/>
      </c>
      <c r="AY372" s="222" t="str">
        <f t="shared" ca="1" si="525"/>
        <v/>
      </c>
      <c r="AZ372" s="222" t="str">
        <f t="shared" ca="1" si="526"/>
        <v/>
      </c>
      <c r="BA372" s="222" t="str">
        <f t="shared" ca="1" si="526"/>
        <v/>
      </c>
      <c r="BB372" s="222" t="str">
        <f t="shared" ca="1" si="526"/>
        <v/>
      </c>
      <c r="BC372" s="222" t="str">
        <f t="shared" ca="1" si="526"/>
        <v/>
      </c>
      <c r="BD372" s="222" t="str">
        <f t="shared" ca="1" si="526"/>
        <v/>
      </c>
      <c r="BE372" s="222" t="str">
        <f t="shared" ca="1" si="526"/>
        <v/>
      </c>
      <c r="BF372" s="222" t="str">
        <f t="shared" ca="1" si="526"/>
        <v/>
      </c>
      <c r="BG372" s="222" t="str">
        <f t="shared" ca="1" si="526"/>
        <v/>
      </c>
      <c r="BH372" s="222" t="str">
        <f t="shared" ca="1" si="526"/>
        <v/>
      </c>
      <c r="BI372" s="222" t="str">
        <f t="shared" ca="1" si="526"/>
        <v/>
      </c>
      <c r="BJ372" s="222" t="str">
        <f t="shared" ca="1" si="527"/>
        <v/>
      </c>
      <c r="BK372" s="222" t="str">
        <f t="shared" ca="1" si="527"/>
        <v/>
      </c>
      <c r="BL372" s="222" t="str">
        <f t="shared" ca="1" si="527"/>
        <v/>
      </c>
      <c r="BM372" s="222" t="str">
        <f t="shared" ca="1" si="527"/>
        <v/>
      </c>
      <c r="BN372" s="222" t="str">
        <f t="shared" ca="1" si="527"/>
        <v/>
      </c>
      <c r="BO372" s="222" t="str">
        <f t="shared" ca="1" si="527"/>
        <v/>
      </c>
      <c r="BP372" s="222" t="str">
        <f t="shared" ca="1" si="527"/>
        <v/>
      </c>
      <c r="BQ372" s="222" t="str">
        <f t="shared" ca="1" si="527"/>
        <v/>
      </c>
      <c r="BR372" s="222" t="str">
        <f t="shared" ca="1" si="527"/>
        <v/>
      </c>
      <c r="BS372" s="222" t="str">
        <f t="shared" ca="1" si="527"/>
        <v/>
      </c>
      <c r="BT372" s="222" t="str">
        <f t="shared" ca="1" si="528"/>
        <v/>
      </c>
      <c r="BU372" s="222" t="str">
        <f t="shared" ca="1" si="528"/>
        <v/>
      </c>
      <c r="BV372" s="222" t="str">
        <f t="shared" ca="1" si="528"/>
        <v/>
      </c>
      <c r="BW372" s="222" t="str">
        <f t="shared" ca="1" si="528"/>
        <v/>
      </c>
      <c r="BX372" s="222" t="str">
        <f t="shared" ca="1" si="528"/>
        <v/>
      </c>
      <c r="BY372" s="222" t="str">
        <f t="shared" ca="1" si="528"/>
        <v/>
      </c>
      <c r="BZ372" s="368" t="str">
        <f t="shared" ca="1" si="528"/>
        <v/>
      </c>
      <c r="CC372" s="482">
        <f t="shared" si="488"/>
        <v>51</v>
      </c>
    </row>
    <row r="373" spans="1:81">
      <c r="A373" s="326" t="str">
        <v/>
      </c>
      <c r="B373" s="222" t="str">
        <f t="shared" ca="1" si="521"/>
        <v/>
      </c>
      <c r="C373" s="222" t="str">
        <f t="shared" ca="1" si="521"/>
        <v/>
      </c>
      <c r="D373" s="222" t="str">
        <f t="shared" ca="1" si="521"/>
        <v/>
      </c>
      <c r="E373" s="222" t="str">
        <f t="shared" ca="1" si="521"/>
        <v/>
      </c>
      <c r="F373" s="222" t="str">
        <f t="shared" ca="1" si="521"/>
        <v/>
      </c>
      <c r="G373" s="222" t="str">
        <f t="shared" ca="1" si="521"/>
        <v/>
      </c>
      <c r="H373" s="222" t="str">
        <f t="shared" ca="1" si="521"/>
        <v/>
      </c>
      <c r="I373" s="222" t="str">
        <f t="shared" ca="1" si="521"/>
        <v/>
      </c>
      <c r="J373" s="222" t="str">
        <f t="shared" ca="1" si="521"/>
        <v/>
      </c>
      <c r="K373" s="222" t="str">
        <f t="shared" ca="1" si="521"/>
        <v/>
      </c>
      <c r="L373" s="222" t="str">
        <f t="shared" ca="1" si="522"/>
        <v/>
      </c>
      <c r="M373" s="222" t="str">
        <f t="shared" ca="1" si="522"/>
        <v/>
      </c>
      <c r="N373" s="222" t="str">
        <f t="shared" ca="1" si="522"/>
        <v/>
      </c>
      <c r="O373" s="222" t="str">
        <f t="shared" ca="1" si="522"/>
        <v/>
      </c>
      <c r="P373" s="222" t="str">
        <f t="shared" ca="1" si="522"/>
        <v/>
      </c>
      <c r="Q373" s="222" t="str">
        <f t="shared" ca="1" si="522"/>
        <v/>
      </c>
      <c r="R373" s="222" t="str">
        <f t="shared" ca="1" si="522"/>
        <v/>
      </c>
      <c r="S373" s="222" t="str">
        <f t="shared" ca="1" si="522"/>
        <v/>
      </c>
      <c r="T373" s="222" t="str">
        <f t="shared" ca="1" si="522"/>
        <v/>
      </c>
      <c r="U373" s="222" t="str">
        <f t="shared" ca="1" si="522"/>
        <v/>
      </c>
      <c r="V373" s="222" t="str">
        <f t="shared" ca="1" si="523"/>
        <v/>
      </c>
      <c r="W373" s="222" t="str">
        <f t="shared" ca="1" si="523"/>
        <v/>
      </c>
      <c r="X373" s="222" t="str">
        <f t="shared" ca="1" si="523"/>
        <v/>
      </c>
      <c r="Y373" s="222" t="str">
        <f t="shared" ca="1" si="523"/>
        <v/>
      </c>
      <c r="Z373" s="222" t="str">
        <f t="shared" ca="1" si="523"/>
        <v/>
      </c>
      <c r="AA373" s="222" t="str">
        <f t="shared" ca="1" si="523"/>
        <v/>
      </c>
      <c r="AB373" s="222" t="str">
        <f t="shared" ca="1" si="523"/>
        <v/>
      </c>
      <c r="AC373" s="222" t="str">
        <f t="shared" ca="1" si="523"/>
        <v/>
      </c>
      <c r="AD373" s="222" t="str">
        <f t="shared" ca="1" si="523"/>
        <v/>
      </c>
      <c r="AE373" s="222" t="str">
        <f t="shared" ca="1" si="523"/>
        <v/>
      </c>
      <c r="AF373" s="222" t="str">
        <f t="shared" ca="1" si="524"/>
        <v/>
      </c>
      <c r="AG373" s="222" t="str">
        <f t="shared" ca="1" si="524"/>
        <v/>
      </c>
      <c r="AH373" s="222" t="str">
        <f t="shared" ca="1" si="524"/>
        <v/>
      </c>
      <c r="AI373" s="222" t="str">
        <f t="shared" ca="1" si="524"/>
        <v/>
      </c>
      <c r="AJ373" s="222" t="str">
        <f t="shared" ca="1" si="524"/>
        <v/>
      </c>
      <c r="AK373" s="222" t="str">
        <f t="shared" ca="1" si="524"/>
        <v/>
      </c>
      <c r="AL373" s="222" t="str">
        <f t="shared" ca="1" si="524"/>
        <v/>
      </c>
      <c r="AM373" s="222" t="str">
        <f t="shared" ca="1" si="524"/>
        <v/>
      </c>
      <c r="AN373" s="222" t="str">
        <f t="shared" ca="1" si="524"/>
        <v/>
      </c>
      <c r="AO373" s="222" t="str">
        <f t="shared" ca="1" si="524"/>
        <v/>
      </c>
      <c r="AP373" s="222" t="str">
        <f t="shared" ca="1" si="525"/>
        <v/>
      </c>
      <c r="AQ373" s="222" t="str">
        <f t="shared" ca="1" si="525"/>
        <v/>
      </c>
      <c r="AR373" s="222" t="str">
        <f t="shared" ca="1" si="525"/>
        <v/>
      </c>
      <c r="AS373" s="222" t="str">
        <f t="shared" ca="1" si="525"/>
        <v/>
      </c>
      <c r="AT373" s="222" t="str">
        <f t="shared" ca="1" si="525"/>
        <v/>
      </c>
      <c r="AU373" s="222" t="str">
        <f t="shared" ca="1" si="525"/>
        <v/>
      </c>
      <c r="AV373" s="222" t="str">
        <f t="shared" ca="1" si="525"/>
        <v/>
      </c>
      <c r="AW373" s="222" t="str">
        <f t="shared" ca="1" si="525"/>
        <v/>
      </c>
      <c r="AX373" s="222" t="str">
        <f t="shared" ca="1" si="525"/>
        <v/>
      </c>
      <c r="AY373" s="222" t="str">
        <f t="shared" ca="1" si="525"/>
        <v/>
      </c>
      <c r="AZ373" s="222" t="str">
        <f t="shared" ca="1" si="526"/>
        <v/>
      </c>
      <c r="BA373" s="222" t="str">
        <f t="shared" ca="1" si="526"/>
        <v/>
      </c>
      <c r="BB373" s="222" t="str">
        <f t="shared" ca="1" si="526"/>
        <v/>
      </c>
      <c r="BC373" s="222" t="str">
        <f t="shared" ca="1" si="526"/>
        <v/>
      </c>
      <c r="BD373" s="222" t="str">
        <f t="shared" ca="1" si="526"/>
        <v/>
      </c>
      <c r="BE373" s="222" t="str">
        <f t="shared" ca="1" si="526"/>
        <v/>
      </c>
      <c r="BF373" s="222" t="str">
        <f t="shared" ca="1" si="526"/>
        <v/>
      </c>
      <c r="BG373" s="222" t="str">
        <f t="shared" ca="1" si="526"/>
        <v/>
      </c>
      <c r="BH373" s="222" t="str">
        <f t="shared" ca="1" si="526"/>
        <v/>
      </c>
      <c r="BI373" s="222" t="str">
        <f t="shared" ca="1" si="526"/>
        <v/>
      </c>
      <c r="BJ373" s="222" t="str">
        <f t="shared" ca="1" si="527"/>
        <v/>
      </c>
      <c r="BK373" s="222" t="str">
        <f t="shared" ca="1" si="527"/>
        <v/>
      </c>
      <c r="BL373" s="222" t="str">
        <f t="shared" ca="1" si="527"/>
        <v/>
      </c>
      <c r="BM373" s="222" t="str">
        <f t="shared" ca="1" si="527"/>
        <v/>
      </c>
      <c r="BN373" s="222" t="str">
        <f t="shared" ca="1" si="527"/>
        <v/>
      </c>
      <c r="BO373" s="222" t="str">
        <f t="shared" ca="1" si="527"/>
        <v/>
      </c>
      <c r="BP373" s="222" t="str">
        <f t="shared" ca="1" si="527"/>
        <v/>
      </c>
      <c r="BQ373" s="222" t="str">
        <f t="shared" ca="1" si="527"/>
        <v/>
      </c>
      <c r="BR373" s="222" t="str">
        <f t="shared" ca="1" si="527"/>
        <v/>
      </c>
      <c r="BS373" s="222" t="str">
        <f t="shared" ca="1" si="527"/>
        <v/>
      </c>
      <c r="BT373" s="222" t="str">
        <f t="shared" ca="1" si="528"/>
        <v/>
      </c>
      <c r="BU373" s="222" t="str">
        <f t="shared" ca="1" si="528"/>
        <v/>
      </c>
      <c r="BV373" s="222" t="str">
        <f t="shared" ca="1" si="528"/>
        <v/>
      </c>
      <c r="BW373" s="222" t="str">
        <f t="shared" ca="1" si="528"/>
        <v/>
      </c>
      <c r="BX373" s="222" t="str">
        <f t="shared" ca="1" si="528"/>
        <v/>
      </c>
      <c r="BY373" s="222" t="str">
        <f t="shared" ca="1" si="528"/>
        <v/>
      </c>
      <c r="BZ373" s="368" t="str">
        <f t="shared" ca="1" si="528"/>
        <v/>
      </c>
      <c r="CC373" s="482">
        <f t="shared" si="488"/>
        <v>52</v>
      </c>
    </row>
    <row r="374" spans="1:81">
      <c r="A374" s="326" t="str">
        <v/>
      </c>
      <c r="B374" s="222" t="str">
        <f t="shared" ca="1" si="521"/>
        <v/>
      </c>
      <c r="C374" s="222" t="str">
        <f t="shared" ca="1" si="521"/>
        <v/>
      </c>
      <c r="D374" s="222" t="str">
        <f t="shared" ca="1" si="521"/>
        <v/>
      </c>
      <c r="E374" s="222" t="str">
        <f t="shared" ca="1" si="521"/>
        <v/>
      </c>
      <c r="F374" s="222" t="str">
        <f t="shared" ca="1" si="521"/>
        <v/>
      </c>
      <c r="G374" s="222" t="str">
        <f t="shared" ca="1" si="521"/>
        <v/>
      </c>
      <c r="H374" s="222" t="str">
        <f t="shared" ca="1" si="521"/>
        <v/>
      </c>
      <c r="I374" s="222" t="str">
        <f t="shared" ca="1" si="521"/>
        <v/>
      </c>
      <c r="J374" s="222" t="str">
        <f t="shared" ca="1" si="521"/>
        <v/>
      </c>
      <c r="K374" s="222" t="str">
        <f t="shared" ca="1" si="521"/>
        <v/>
      </c>
      <c r="L374" s="222" t="str">
        <f t="shared" ca="1" si="522"/>
        <v/>
      </c>
      <c r="M374" s="222" t="str">
        <f t="shared" ca="1" si="522"/>
        <v/>
      </c>
      <c r="N374" s="222" t="str">
        <f t="shared" ca="1" si="522"/>
        <v/>
      </c>
      <c r="O374" s="222" t="str">
        <f t="shared" ca="1" si="522"/>
        <v/>
      </c>
      <c r="P374" s="222" t="str">
        <f t="shared" ca="1" si="522"/>
        <v/>
      </c>
      <c r="Q374" s="222" t="str">
        <f t="shared" ca="1" si="522"/>
        <v/>
      </c>
      <c r="R374" s="222" t="str">
        <f t="shared" ca="1" si="522"/>
        <v/>
      </c>
      <c r="S374" s="222" t="str">
        <f t="shared" ca="1" si="522"/>
        <v/>
      </c>
      <c r="T374" s="222" t="str">
        <f t="shared" ca="1" si="522"/>
        <v/>
      </c>
      <c r="U374" s="222" t="str">
        <f t="shared" ca="1" si="522"/>
        <v/>
      </c>
      <c r="V374" s="222" t="str">
        <f t="shared" ca="1" si="523"/>
        <v/>
      </c>
      <c r="W374" s="222" t="str">
        <f t="shared" ca="1" si="523"/>
        <v/>
      </c>
      <c r="X374" s="222" t="str">
        <f t="shared" ca="1" si="523"/>
        <v/>
      </c>
      <c r="Y374" s="222" t="str">
        <f t="shared" ca="1" si="523"/>
        <v/>
      </c>
      <c r="Z374" s="222" t="str">
        <f t="shared" ca="1" si="523"/>
        <v/>
      </c>
      <c r="AA374" s="222" t="str">
        <f t="shared" ca="1" si="523"/>
        <v/>
      </c>
      <c r="AB374" s="222" t="str">
        <f t="shared" ca="1" si="523"/>
        <v/>
      </c>
      <c r="AC374" s="222" t="str">
        <f t="shared" ca="1" si="523"/>
        <v/>
      </c>
      <c r="AD374" s="222" t="str">
        <f t="shared" ca="1" si="523"/>
        <v/>
      </c>
      <c r="AE374" s="222" t="str">
        <f t="shared" ca="1" si="523"/>
        <v/>
      </c>
      <c r="AF374" s="222" t="str">
        <f t="shared" ca="1" si="524"/>
        <v/>
      </c>
      <c r="AG374" s="222" t="str">
        <f t="shared" ca="1" si="524"/>
        <v/>
      </c>
      <c r="AH374" s="222" t="str">
        <f t="shared" ca="1" si="524"/>
        <v/>
      </c>
      <c r="AI374" s="222" t="str">
        <f t="shared" ca="1" si="524"/>
        <v/>
      </c>
      <c r="AJ374" s="222" t="str">
        <f t="shared" ca="1" si="524"/>
        <v/>
      </c>
      <c r="AK374" s="222" t="str">
        <f t="shared" ca="1" si="524"/>
        <v/>
      </c>
      <c r="AL374" s="222" t="str">
        <f t="shared" ca="1" si="524"/>
        <v/>
      </c>
      <c r="AM374" s="222" t="str">
        <f t="shared" ca="1" si="524"/>
        <v/>
      </c>
      <c r="AN374" s="222" t="str">
        <f t="shared" ca="1" si="524"/>
        <v/>
      </c>
      <c r="AO374" s="222" t="str">
        <f t="shared" ca="1" si="524"/>
        <v/>
      </c>
      <c r="AP374" s="222" t="str">
        <f t="shared" ca="1" si="525"/>
        <v/>
      </c>
      <c r="AQ374" s="222" t="str">
        <f t="shared" ca="1" si="525"/>
        <v/>
      </c>
      <c r="AR374" s="222" t="str">
        <f t="shared" ca="1" si="525"/>
        <v/>
      </c>
      <c r="AS374" s="222" t="str">
        <f t="shared" ca="1" si="525"/>
        <v/>
      </c>
      <c r="AT374" s="222" t="str">
        <f t="shared" ca="1" si="525"/>
        <v/>
      </c>
      <c r="AU374" s="222" t="str">
        <f t="shared" ca="1" si="525"/>
        <v/>
      </c>
      <c r="AV374" s="222" t="str">
        <f t="shared" ca="1" si="525"/>
        <v/>
      </c>
      <c r="AW374" s="222" t="str">
        <f t="shared" ca="1" si="525"/>
        <v/>
      </c>
      <c r="AX374" s="222" t="str">
        <f t="shared" ca="1" si="525"/>
        <v/>
      </c>
      <c r="AY374" s="222" t="str">
        <f t="shared" ca="1" si="525"/>
        <v/>
      </c>
      <c r="AZ374" s="222" t="str">
        <f t="shared" ca="1" si="526"/>
        <v/>
      </c>
      <c r="BA374" s="222" t="str">
        <f t="shared" ca="1" si="526"/>
        <v/>
      </c>
      <c r="BB374" s="222" t="str">
        <f t="shared" ca="1" si="526"/>
        <v/>
      </c>
      <c r="BC374" s="222" t="str">
        <f t="shared" ca="1" si="526"/>
        <v/>
      </c>
      <c r="BD374" s="222" t="str">
        <f t="shared" ca="1" si="526"/>
        <v/>
      </c>
      <c r="BE374" s="222" t="str">
        <f t="shared" ca="1" si="526"/>
        <v/>
      </c>
      <c r="BF374" s="222" t="str">
        <f t="shared" ca="1" si="526"/>
        <v/>
      </c>
      <c r="BG374" s="222" t="str">
        <f t="shared" ca="1" si="526"/>
        <v/>
      </c>
      <c r="BH374" s="222" t="str">
        <f t="shared" ca="1" si="526"/>
        <v/>
      </c>
      <c r="BI374" s="222" t="str">
        <f t="shared" ca="1" si="526"/>
        <v/>
      </c>
      <c r="BJ374" s="222" t="str">
        <f t="shared" ca="1" si="527"/>
        <v/>
      </c>
      <c r="BK374" s="222" t="str">
        <f t="shared" ca="1" si="527"/>
        <v/>
      </c>
      <c r="BL374" s="222" t="str">
        <f t="shared" ca="1" si="527"/>
        <v/>
      </c>
      <c r="BM374" s="222" t="str">
        <f t="shared" ca="1" si="527"/>
        <v/>
      </c>
      <c r="BN374" s="222" t="str">
        <f t="shared" ca="1" si="527"/>
        <v/>
      </c>
      <c r="BO374" s="222" t="str">
        <f t="shared" ca="1" si="527"/>
        <v/>
      </c>
      <c r="BP374" s="222" t="str">
        <f t="shared" ca="1" si="527"/>
        <v/>
      </c>
      <c r="BQ374" s="222" t="str">
        <f t="shared" ca="1" si="527"/>
        <v/>
      </c>
      <c r="BR374" s="222" t="str">
        <f t="shared" ca="1" si="527"/>
        <v/>
      </c>
      <c r="BS374" s="222" t="str">
        <f t="shared" ca="1" si="527"/>
        <v/>
      </c>
      <c r="BT374" s="222" t="str">
        <f t="shared" ca="1" si="528"/>
        <v/>
      </c>
      <c r="BU374" s="222" t="str">
        <f t="shared" ca="1" si="528"/>
        <v/>
      </c>
      <c r="BV374" s="222" t="str">
        <f t="shared" ca="1" si="528"/>
        <v/>
      </c>
      <c r="BW374" s="222" t="str">
        <f t="shared" ca="1" si="528"/>
        <v/>
      </c>
      <c r="BX374" s="222" t="str">
        <f t="shared" ca="1" si="528"/>
        <v/>
      </c>
      <c r="BY374" s="222" t="str">
        <f t="shared" ca="1" si="528"/>
        <v/>
      </c>
      <c r="BZ374" s="368" t="str">
        <f t="shared" ca="1" si="528"/>
        <v/>
      </c>
      <c r="CC374" s="482">
        <f t="shared" si="488"/>
        <v>53</v>
      </c>
    </row>
    <row r="375" spans="1:81">
      <c r="A375" s="326" t="str">
        <v/>
      </c>
      <c r="B375" s="222" t="str">
        <f t="shared" ca="1" si="521"/>
        <v/>
      </c>
      <c r="C375" s="222" t="str">
        <f t="shared" ca="1" si="521"/>
        <v/>
      </c>
      <c r="D375" s="222" t="str">
        <f t="shared" ca="1" si="521"/>
        <v/>
      </c>
      <c r="E375" s="222" t="str">
        <f t="shared" ca="1" si="521"/>
        <v/>
      </c>
      <c r="F375" s="222" t="str">
        <f t="shared" ca="1" si="521"/>
        <v/>
      </c>
      <c r="G375" s="222" t="str">
        <f t="shared" ca="1" si="521"/>
        <v/>
      </c>
      <c r="H375" s="222" t="str">
        <f t="shared" ca="1" si="521"/>
        <v/>
      </c>
      <c r="I375" s="222" t="str">
        <f t="shared" ca="1" si="521"/>
        <v/>
      </c>
      <c r="J375" s="222" t="str">
        <f t="shared" ca="1" si="521"/>
        <v/>
      </c>
      <c r="K375" s="222" t="str">
        <f t="shared" ca="1" si="521"/>
        <v/>
      </c>
      <c r="L375" s="222" t="str">
        <f t="shared" ca="1" si="522"/>
        <v/>
      </c>
      <c r="M375" s="222" t="str">
        <f t="shared" ca="1" si="522"/>
        <v/>
      </c>
      <c r="N375" s="222" t="str">
        <f t="shared" ca="1" si="522"/>
        <v/>
      </c>
      <c r="O375" s="222" t="str">
        <f t="shared" ca="1" si="522"/>
        <v/>
      </c>
      <c r="P375" s="222" t="str">
        <f t="shared" ca="1" si="522"/>
        <v/>
      </c>
      <c r="Q375" s="222" t="str">
        <f t="shared" ca="1" si="522"/>
        <v/>
      </c>
      <c r="R375" s="222" t="str">
        <f t="shared" ca="1" si="522"/>
        <v/>
      </c>
      <c r="S375" s="222" t="str">
        <f t="shared" ca="1" si="522"/>
        <v/>
      </c>
      <c r="T375" s="222" t="str">
        <f t="shared" ca="1" si="522"/>
        <v/>
      </c>
      <c r="U375" s="222" t="str">
        <f t="shared" ca="1" si="522"/>
        <v/>
      </c>
      <c r="V375" s="222" t="str">
        <f t="shared" ca="1" si="523"/>
        <v/>
      </c>
      <c r="W375" s="222" t="str">
        <f t="shared" ca="1" si="523"/>
        <v/>
      </c>
      <c r="X375" s="222" t="str">
        <f t="shared" ca="1" si="523"/>
        <v/>
      </c>
      <c r="Y375" s="222" t="str">
        <f t="shared" ca="1" si="523"/>
        <v/>
      </c>
      <c r="Z375" s="222" t="str">
        <f t="shared" ca="1" si="523"/>
        <v/>
      </c>
      <c r="AA375" s="222" t="str">
        <f t="shared" ca="1" si="523"/>
        <v/>
      </c>
      <c r="AB375" s="222" t="str">
        <f t="shared" ca="1" si="523"/>
        <v/>
      </c>
      <c r="AC375" s="222" t="str">
        <f t="shared" ca="1" si="523"/>
        <v/>
      </c>
      <c r="AD375" s="222" t="str">
        <f t="shared" ca="1" si="523"/>
        <v/>
      </c>
      <c r="AE375" s="222" t="str">
        <f t="shared" ca="1" si="523"/>
        <v/>
      </c>
      <c r="AF375" s="222" t="str">
        <f t="shared" ca="1" si="524"/>
        <v/>
      </c>
      <c r="AG375" s="222" t="str">
        <f t="shared" ca="1" si="524"/>
        <v/>
      </c>
      <c r="AH375" s="222" t="str">
        <f t="shared" ca="1" si="524"/>
        <v/>
      </c>
      <c r="AI375" s="222" t="str">
        <f t="shared" ca="1" si="524"/>
        <v/>
      </c>
      <c r="AJ375" s="222" t="str">
        <f t="shared" ca="1" si="524"/>
        <v/>
      </c>
      <c r="AK375" s="222" t="str">
        <f t="shared" ca="1" si="524"/>
        <v/>
      </c>
      <c r="AL375" s="222" t="str">
        <f t="shared" ca="1" si="524"/>
        <v/>
      </c>
      <c r="AM375" s="222" t="str">
        <f t="shared" ca="1" si="524"/>
        <v/>
      </c>
      <c r="AN375" s="222" t="str">
        <f t="shared" ca="1" si="524"/>
        <v/>
      </c>
      <c r="AO375" s="222" t="str">
        <f t="shared" ca="1" si="524"/>
        <v/>
      </c>
      <c r="AP375" s="222" t="str">
        <f t="shared" ca="1" si="525"/>
        <v/>
      </c>
      <c r="AQ375" s="222" t="str">
        <f t="shared" ca="1" si="525"/>
        <v/>
      </c>
      <c r="AR375" s="222" t="str">
        <f t="shared" ca="1" si="525"/>
        <v/>
      </c>
      <c r="AS375" s="222" t="str">
        <f t="shared" ca="1" si="525"/>
        <v/>
      </c>
      <c r="AT375" s="222" t="str">
        <f t="shared" ca="1" si="525"/>
        <v/>
      </c>
      <c r="AU375" s="222" t="str">
        <f t="shared" ca="1" si="525"/>
        <v/>
      </c>
      <c r="AV375" s="222" t="str">
        <f t="shared" ca="1" si="525"/>
        <v/>
      </c>
      <c r="AW375" s="222" t="str">
        <f t="shared" ca="1" si="525"/>
        <v/>
      </c>
      <c r="AX375" s="222" t="str">
        <f t="shared" ca="1" si="525"/>
        <v/>
      </c>
      <c r="AY375" s="222" t="str">
        <f t="shared" ca="1" si="525"/>
        <v/>
      </c>
      <c r="AZ375" s="222" t="str">
        <f t="shared" ca="1" si="526"/>
        <v/>
      </c>
      <c r="BA375" s="222" t="str">
        <f t="shared" ca="1" si="526"/>
        <v/>
      </c>
      <c r="BB375" s="222" t="str">
        <f t="shared" ca="1" si="526"/>
        <v/>
      </c>
      <c r="BC375" s="222" t="str">
        <f t="shared" ca="1" si="526"/>
        <v/>
      </c>
      <c r="BD375" s="222" t="str">
        <f t="shared" ca="1" si="526"/>
        <v/>
      </c>
      <c r="BE375" s="222" t="str">
        <f t="shared" ca="1" si="526"/>
        <v/>
      </c>
      <c r="BF375" s="222" t="str">
        <f t="shared" ca="1" si="526"/>
        <v/>
      </c>
      <c r="BG375" s="222" t="str">
        <f t="shared" ca="1" si="526"/>
        <v/>
      </c>
      <c r="BH375" s="222" t="str">
        <f t="shared" ca="1" si="526"/>
        <v/>
      </c>
      <c r="BI375" s="222" t="str">
        <f t="shared" ca="1" si="526"/>
        <v/>
      </c>
      <c r="BJ375" s="222" t="str">
        <f t="shared" ca="1" si="527"/>
        <v/>
      </c>
      <c r="BK375" s="222" t="str">
        <f t="shared" ca="1" si="527"/>
        <v/>
      </c>
      <c r="BL375" s="222" t="str">
        <f t="shared" ca="1" si="527"/>
        <v/>
      </c>
      <c r="BM375" s="222" t="str">
        <f t="shared" ca="1" si="527"/>
        <v/>
      </c>
      <c r="BN375" s="222" t="str">
        <f t="shared" ca="1" si="527"/>
        <v/>
      </c>
      <c r="BO375" s="222" t="str">
        <f t="shared" ca="1" si="527"/>
        <v/>
      </c>
      <c r="BP375" s="222" t="str">
        <f t="shared" ca="1" si="527"/>
        <v/>
      </c>
      <c r="BQ375" s="222" t="str">
        <f t="shared" ca="1" si="527"/>
        <v/>
      </c>
      <c r="BR375" s="222" t="str">
        <f t="shared" ca="1" si="527"/>
        <v/>
      </c>
      <c r="BS375" s="222" t="str">
        <f t="shared" ca="1" si="527"/>
        <v/>
      </c>
      <c r="BT375" s="222" t="str">
        <f t="shared" ca="1" si="528"/>
        <v/>
      </c>
      <c r="BU375" s="222" t="str">
        <f t="shared" ca="1" si="528"/>
        <v/>
      </c>
      <c r="BV375" s="222" t="str">
        <f t="shared" ca="1" si="528"/>
        <v/>
      </c>
      <c r="BW375" s="222" t="str">
        <f t="shared" ca="1" si="528"/>
        <v/>
      </c>
      <c r="BX375" s="222" t="str">
        <f t="shared" ca="1" si="528"/>
        <v/>
      </c>
      <c r="BY375" s="222" t="str">
        <f t="shared" ca="1" si="528"/>
        <v/>
      </c>
      <c r="BZ375" s="368" t="str">
        <f t="shared" ca="1" si="528"/>
        <v/>
      </c>
      <c r="CC375" s="482">
        <f t="shared" si="488"/>
        <v>54</v>
      </c>
    </row>
    <row r="376" spans="1:81">
      <c r="A376" s="326" t="str">
        <v/>
      </c>
      <c r="B376" s="222" t="str">
        <f t="shared" ca="1" si="521"/>
        <v/>
      </c>
      <c r="C376" s="222" t="str">
        <f t="shared" ca="1" si="521"/>
        <v/>
      </c>
      <c r="D376" s="222" t="str">
        <f t="shared" ca="1" si="521"/>
        <v/>
      </c>
      <c r="E376" s="222" t="str">
        <f t="shared" ca="1" si="521"/>
        <v/>
      </c>
      <c r="F376" s="222" t="str">
        <f t="shared" ca="1" si="521"/>
        <v/>
      </c>
      <c r="G376" s="222" t="str">
        <f t="shared" ca="1" si="521"/>
        <v/>
      </c>
      <c r="H376" s="222" t="str">
        <f t="shared" ca="1" si="521"/>
        <v/>
      </c>
      <c r="I376" s="222" t="str">
        <f t="shared" ca="1" si="521"/>
        <v/>
      </c>
      <c r="J376" s="222" t="str">
        <f t="shared" ca="1" si="521"/>
        <v/>
      </c>
      <c r="K376" s="222" t="str">
        <f t="shared" ca="1" si="521"/>
        <v/>
      </c>
      <c r="L376" s="222" t="str">
        <f t="shared" ca="1" si="522"/>
        <v/>
      </c>
      <c r="M376" s="222" t="str">
        <f t="shared" ca="1" si="522"/>
        <v/>
      </c>
      <c r="N376" s="222" t="str">
        <f t="shared" ca="1" si="522"/>
        <v/>
      </c>
      <c r="O376" s="222" t="str">
        <f t="shared" ca="1" si="522"/>
        <v/>
      </c>
      <c r="P376" s="222" t="str">
        <f t="shared" ca="1" si="522"/>
        <v/>
      </c>
      <c r="Q376" s="222" t="str">
        <f t="shared" ca="1" si="522"/>
        <v/>
      </c>
      <c r="R376" s="222" t="str">
        <f t="shared" ca="1" si="522"/>
        <v/>
      </c>
      <c r="S376" s="222" t="str">
        <f t="shared" ca="1" si="522"/>
        <v/>
      </c>
      <c r="T376" s="222" t="str">
        <f t="shared" ca="1" si="522"/>
        <v/>
      </c>
      <c r="U376" s="222" t="str">
        <f t="shared" ca="1" si="522"/>
        <v/>
      </c>
      <c r="V376" s="222" t="str">
        <f t="shared" ca="1" si="523"/>
        <v/>
      </c>
      <c r="W376" s="222" t="str">
        <f t="shared" ca="1" si="523"/>
        <v/>
      </c>
      <c r="X376" s="222" t="str">
        <f t="shared" ca="1" si="523"/>
        <v/>
      </c>
      <c r="Y376" s="222" t="str">
        <f t="shared" ca="1" si="523"/>
        <v/>
      </c>
      <c r="Z376" s="222" t="str">
        <f t="shared" ca="1" si="523"/>
        <v/>
      </c>
      <c r="AA376" s="222" t="str">
        <f t="shared" ca="1" si="523"/>
        <v/>
      </c>
      <c r="AB376" s="222" t="str">
        <f t="shared" ca="1" si="523"/>
        <v/>
      </c>
      <c r="AC376" s="222" t="str">
        <f t="shared" ca="1" si="523"/>
        <v/>
      </c>
      <c r="AD376" s="222" t="str">
        <f t="shared" ca="1" si="523"/>
        <v/>
      </c>
      <c r="AE376" s="222" t="str">
        <f t="shared" ca="1" si="523"/>
        <v/>
      </c>
      <c r="AF376" s="222" t="str">
        <f t="shared" ca="1" si="524"/>
        <v/>
      </c>
      <c r="AG376" s="222" t="str">
        <f t="shared" ca="1" si="524"/>
        <v/>
      </c>
      <c r="AH376" s="222" t="str">
        <f t="shared" ca="1" si="524"/>
        <v/>
      </c>
      <c r="AI376" s="222" t="str">
        <f t="shared" ca="1" si="524"/>
        <v/>
      </c>
      <c r="AJ376" s="222" t="str">
        <f t="shared" ca="1" si="524"/>
        <v/>
      </c>
      <c r="AK376" s="222" t="str">
        <f t="shared" ca="1" si="524"/>
        <v/>
      </c>
      <c r="AL376" s="222" t="str">
        <f t="shared" ca="1" si="524"/>
        <v/>
      </c>
      <c r="AM376" s="222" t="str">
        <f t="shared" ca="1" si="524"/>
        <v/>
      </c>
      <c r="AN376" s="222" t="str">
        <f t="shared" ca="1" si="524"/>
        <v/>
      </c>
      <c r="AO376" s="222" t="str">
        <f t="shared" ca="1" si="524"/>
        <v/>
      </c>
      <c r="AP376" s="222" t="str">
        <f t="shared" ca="1" si="525"/>
        <v/>
      </c>
      <c r="AQ376" s="222" t="str">
        <f t="shared" ca="1" si="525"/>
        <v/>
      </c>
      <c r="AR376" s="222" t="str">
        <f t="shared" ca="1" si="525"/>
        <v/>
      </c>
      <c r="AS376" s="222" t="str">
        <f t="shared" ca="1" si="525"/>
        <v/>
      </c>
      <c r="AT376" s="222" t="str">
        <f t="shared" ca="1" si="525"/>
        <v/>
      </c>
      <c r="AU376" s="222" t="str">
        <f t="shared" ca="1" si="525"/>
        <v/>
      </c>
      <c r="AV376" s="222" t="str">
        <f t="shared" ca="1" si="525"/>
        <v/>
      </c>
      <c r="AW376" s="222" t="str">
        <f t="shared" ca="1" si="525"/>
        <v/>
      </c>
      <c r="AX376" s="222" t="str">
        <f t="shared" ca="1" si="525"/>
        <v/>
      </c>
      <c r="AY376" s="222" t="str">
        <f t="shared" ca="1" si="525"/>
        <v/>
      </c>
      <c r="AZ376" s="222" t="str">
        <f t="shared" ca="1" si="526"/>
        <v/>
      </c>
      <c r="BA376" s="222" t="str">
        <f t="shared" ca="1" si="526"/>
        <v/>
      </c>
      <c r="BB376" s="222" t="str">
        <f t="shared" ca="1" si="526"/>
        <v/>
      </c>
      <c r="BC376" s="222" t="str">
        <f t="shared" ca="1" si="526"/>
        <v/>
      </c>
      <c r="BD376" s="222" t="str">
        <f t="shared" ca="1" si="526"/>
        <v/>
      </c>
      <c r="BE376" s="222" t="str">
        <f t="shared" ca="1" si="526"/>
        <v/>
      </c>
      <c r="BF376" s="222" t="str">
        <f t="shared" ca="1" si="526"/>
        <v/>
      </c>
      <c r="BG376" s="222" t="str">
        <f t="shared" ca="1" si="526"/>
        <v/>
      </c>
      <c r="BH376" s="222" t="str">
        <f t="shared" ca="1" si="526"/>
        <v/>
      </c>
      <c r="BI376" s="222" t="str">
        <f t="shared" ca="1" si="526"/>
        <v/>
      </c>
      <c r="BJ376" s="222" t="str">
        <f t="shared" ca="1" si="527"/>
        <v/>
      </c>
      <c r="BK376" s="222" t="str">
        <f t="shared" ca="1" si="527"/>
        <v/>
      </c>
      <c r="BL376" s="222" t="str">
        <f t="shared" ca="1" si="527"/>
        <v/>
      </c>
      <c r="BM376" s="222" t="str">
        <f t="shared" ca="1" si="527"/>
        <v/>
      </c>
      <c r="BN376" s="222" t="str">
        <f t="shared" ca="1" si="527"/>
        <v/>
      </c>
      <c r="BO376" s="222" t="str">
        <f t="shared" ca="1" si="527"/>
        <v/>
      </c>
      <c r="BP376" s="222" t="str">
        <f t="shared" ca="1" si="527"/>
        <v/>
      </c>
      <c r="BQ376" s="222" t="str">
        <f t="shared" ca="1" si="527"/>
        <v/>
      </c>
      <c r="BR376" s="222" t="str">
        <f t="shared" ca="1" si="527"/>
        <v/>
      </c>
      <c r="BS376" s="222" t="str">
        <f t="shared" ca="1" si="527"/>
        <v/>
      </c>
      <c r="BT376" s="222" t="str">
        <f t="shared" ca="1" si="528"/>
        <v/>
      </c>
      <c r="BU376" s="222" t="str">
        <f t="shared" ca="1" si="528"/>
        <v/>
      </c>
      <c r="BV376" s="222" t="str">
        <f t="shared" ca="1" si="528"/>
        <v/>
      </c>
      <c r="BW376" s="222" t="str">
        <f t="shared" ca="1" si="528"/>
        <v/>
      </c>
      <c r="BX376" s="222" t="str">
        <f t="shared" ca="1" si="528"/>
        <v/>
      </c>
      <c r="BY376" s="222" t="str">
        <f t="shared" ca="1" si="528"/>
        <v/>
      </c>
      <c r="BZ376" s="368" t="str">
        <f t="shared" ca="1" si="528"/>
        <v/>
      </c>
      <c r="CC376" s="482">
        <f t="shared" si="488"/>
        <v>55</v>
      </c>
    </row>
    <row r="377" spans="1:81">
      <c r="A377" s="326" t="str">
        <v/>
      </c>
      <c r="B377" s="222" t="str">
        <f t="shared" ca="1" si="521"/>
        <v/>
      </c>
      <c r="C377" s="222" t="str">
        <f t="shared" ca="1" si="521"/>
        <v/>
      </c>
      <c r="D377" s="222" t="str">
        <f t="shared" ca="1" si="521"/>
        <v/>
      </c>
      <c r="E377" s="222" t="str">
        <f t="shared" ca="1" si="521"/>
        <v/>
      </c>
      <c r="F377" s="222" t="str">
        <f t="shared" ca="1" si="521"/>
        <v/>
      </c>
      <c r="G377" s="222" t="str">
        <f t="shared" ca="1" si="521"/>
        <v/>
      </c>
      <c r="H377" s="222" t="str">
        <f t="shared" ca="1" si="521"/>
        <v/>
      </c>
      <c r="I377" s="222" t="str">
        <f t="shared" ca="1" si="521"/>
        <v/>
      </c>
      <c r="J377" s="222" t="str">
        <f t="shared" ca="1" si="521"/>
        <v/>
      </c>
      <c r="K377" s="222" t="str">
        <f t="shared" ca="1" si="521"/>
        <v/>
      </c>
      <c r="L377" s="222" t="str">
        <f t="shared" ca="1" si="522"/>
        <v/>
      </c>
      <c r="M377" s="222" t="str">
        <f t="shared" ca="1" si="522"/>
        <v/>
      </c>
      <c r="N377" s="222" t="str">
        <f t="shared" ca="1" si="522"/>
        <v/>
      </c>
      <c r="O377" s="222" t="str">
        <f t="shared" ca="1" si="522"/>
        <v/>
      </c>
      <c r="P377" s="222" t="str">
        <f t="shared" ca="1" si="522"/>
        <v/>
      </c>
      <c r="Q377" s="222" t="str">
        <f t="shared" ca="1" si="522"/>
        <v/>
      </c>
      <c r="R377" s="222" t="str">
        <f t="shared" ca="1" si="522"/>
        <v/>
      </c>
      <c r="S377" s="222" t="str">
        <f t="shared" ca="1" si="522"/>
        <v/>
      </c>
      <c r="T377" s="222" t="str">
        <f t="shared" ca="1" si="522"/>
        <v/>
      </c>
      <c r="U377" s="222" t="str">
        <f t="shared" ca="1" si="522"/>
        <v/>
      </c>
      <c r="V377" s="222" t="str">
        <f t="shared" ca="1" si="523"/>
        <v/>
      </c>
      <c r="W377" s="222" t="str">
        <f t="shared" ca="1" si="523"/>
        <v/>
      </c>
      <c r="X377" s="222" t="str">
        <f t="shared" ca="1" si="523"/>
        <v/>
      </c>
      <c r="Y377" s="222" t="str">
        <f t="shared" ca="1" si="523"/>
        <v/>
      </c>
      <c r="Z377" s="222" t="str">
        <f t="shared" ca="1" si="523"/>
        <v/>
      </c>
      <c r="AA377" s="222" t="str">
        <f t="shared" ca="1" si="523"/>
        <v/>
      </c>
      <c r="AB377" s="222" t="str">
        <f t="shared" ca="1" si="523"/>
        <v/>
      </c>
      <c r="AC377" s="222" t="str">
        <f t="shared" ca="1" si="523"/>
        <v/>
      </c>
      <c r="AD377" s="222" t="str">
        <f t="shared" ca="1" si="523"/>
        <v/>
      </c>
      <c r="AE377" s="222" t="str">
        <f t="shared" ca="1" si="523"/>
        <v/>
      </c>
      <c r="AF377" s="222" t="str">
        <f t="shared" ca="1" si="524"/>
        <v/>
      </c>
      <c r="AG377" s="222" t="str">
        <f t="shared" ca="1" si="524"/>
        <v/>
      </c>
      <c r="AH377" s="222" t="str">
        <f t="shared" ca="1" si="524"/>
        <v/>
      </c>
      <c r="AI377" s="222" t="str">
        <f t="shared" ca="1" si="524"/>
        <v/>
      </c>
      <c r="AJ377" s="222" t="str">
        <f t="shared" ca="1" si="524"/>
        <v/>
      </c>
      <c r="AK377" s="222" t="str">
        <f t="shared" ca="1" si="524"/>
        <v/>
      </c>
      <c r="AL377" s="222" t="str">
        <f t="shared" ca="1" si="524"/>
        <v/>
      </c>
      <c r="AM377" s="222" t="str">
        <f t="shared" ca="1" si="524"/>
        <v/>
      </c>
      <c r="AN377" s="222" t="str">
        <f t="shared" ca="1" si="524"/>
        <v/>
      </c>
      <c r="AO377" s="222" t="str">
        <f t="shared" ca="1" si="524"/>
        <v/>
      </c>
      <c r="AP377" s="222" t="str">
        <f t="shared" ca="1" si="525"/>
        <v/>
      </c>
      <c r="AQ377" s="222" t="str">
        <f t="shared" ca="1" si="525"/>
        <v/>
      </c>
      <c r="AR377" s="222" t="str">
        <f t="shared" ca="1" si="525"/>
        <v/>
      </c>
      <c r="AS377" s="222" t="str">
        <f t="shared" ca="1" si="525"/>
        <v/>
      </c>
      <c r="AT377" s="222" t="str">
        <f t="shared" ca="1" si="525"/>
        <v/>
      </c>
      <c r="AU377" s="222" t="str">
        <f t="shared" ca="1" si="525"/>
        <v/>
      </c>
      <c r="AV377" s="222" t="str">
        <f t="shared" ca="1" si="525"/>
        <v/>
      </c>
      <c r="AW377" s="222" t="str">
        <f t="shared" ca="1" si="525"/>
        <v/>
      </c>
      <c r="AX377" s="222" t="str">
        <f t="shared" ca="1" si="525"/>
        <v/>
      </c>
      <c r="AY377" s="222" t="str">
        <f t="shared" ca="1" si="525"/>
        <v/>
      </c>
      <c r="AZ377" s="222" t="str">
        <f t="shared" ca="1" si="526"/>
        <v/>
      </c>
      <c r="BA377" s="222" t="str">
        <f t="shared" ca="1" si="526"/>
        <v/>
      </c>
      <c r="BB377" s="222" t="str">
        <f t="shared" ca="1" si="526"/>
        <v/>
      </c>
      <c r="BC377" s="222" t="str">
        <f t="shared" ca="1" si="526"/>
        <v/>
      </c>
      <c r="BD377" s="222" t="str">
        <f t="shared" ca="1" si="526"/>
        <v/>
      </c>
      <c r="BE377" s="222" t="str">
        <f t="shared" ca="1" si="526"/>
        <v/>
      </c>
      <c r="BF377" s="222" t="str">
        <f t="shared" ca="1" si="526"/>
        <v/>
      </c>
      <c r="BG377" s="222" t="str">
        <f t="shared" ca="1" si="526"/>
        <v/>
      </c>
      <c r="BH377" s="222" t="str">
        <f t="shared" ca="1" si="526"/>
        <v/>
      </c>
      <c r="BI377" s="222" t="str">
        <f t="shared" ca="1" si="526"/>
        <v/>
      </c>
      <c r="BJ377" s="222" t="str">
        <f t="shared" ca="1" si="527"/>
        <v/>
      </c>
      <c r="BK377" s="222" t="str">
        <f t="shared" ca="1" si="527"/>
        <v/>
      </c>
      <c r="BL377" s="222" t="str">
        <f t="shared" ca="1" si="527"/>
        <v/>
      </c>
      <c r="BM377" s="222" t="str">
        <f t="shared" ca="1" si="527"/>
        <v/>
      </c>
      <c r="BN377" s="222" t="str">
        <f t="shared" ca="1" si="527"/>
        <v/>
      </c>
      <c r="BO377" s="222" t="str">
        <f t="shared" ca="1" si="527"/>
        <v/>
      </c>
      <c r="BP377" s="222" t="str">
        <f t="shared" ca="1" si="527"/>
        <v/>
      </c>
      <c r="BQ377" s="222" t="str">
        <f t="shared" ca="1" si="527"/>
        <v/>
      </c>
      <c r="BR377" s="222" t="str">
        <f t="shared" ca="1" si="527"/>
        <v/>
      </c>
      <c r="BS377" s="222" t="str">
        <f t="shared" ca="1" si="527"/>
        <v/>
      </c>
      <c r="BT377" s="222" t="str">
        <f t="shared" ca="1" si="528"/>
        <v/>
      </c>
      <c r="BU377" s="222" t="str">
        <f t="shared" ca="1" si="528"/>
        <v/>
      </c>
      <c r="BV377" s="222" t="str">
        <f t="shared" ca="1" si="528"/>
        <v/>
      </c>
      <c r="BW377" s="222" t="str">
        <f t="shared" ca="1" si="528"/>
        <v/>
      </c>
      <c r="BX377" s="222" t="str">
        <f t="shared" ca="1" si="528"/>
        <v/>
      </c>
      <c r="BY377" s="222" t="str">
        <f t="shared" ca="1" si="528"/>
        <v/>
      </c>
      <c r="BZ377" s="368" t="str">
        <f t="shared" ca="1" si="528"/>
        <v/>
      </c>
      <c r="CC377" s="482">
        <f t="shared" si="488"/>
        <v>56</v>
      </c>
    </row>
    <row r="378" spans="1:81">
      <c r="A378" s="326" t="str">
        <v/>
      </c>
      <c r="B378" s="222" t="str">
        <f t="shared" ca="1" si="521"/>
        <v/>
      </c>
      <c r="C378" s="222" t="str">
        <f t="shared" ca="1" si="521"/>
        <v/>
      </c>
      <c r="D378" s="222" t="str">
        <f t="shared" ca="1" si="521"/>
        <v/>
      </c>
      <c r="E378" s="222" t="str">
        <f t="shared" ca="1" si="521"/>
        <v/>
      </c>
      <c r="F378" s="222" t="str">
        <f t="shared" ca="1" si="521"/>
        <v/>
      </c>
      <c r="G378" s="222" t="str">
        <f t="shared" ca="1" si="521"/>
        <v/>
      </c>
      <c r="H378" s="222" t="str">
        <f t="shared" ca="1" si="521"/>
        <v/>
      </c>
      <c r="I378" s="222" t="str">
        <f t="shared" ca="1" si="521"/>
        <v/>
      </c>
      <c r="J378" s="222" t="str">
        <f t="shared" ca="1" si="521"/>
        <v/>
      </c>
      <c r="K378" s="222" t="str">
        <f t="shared" ca="1" si="521"/>
        <v/>
      </c>
      <c r="L378" s="222" t="str">
        <f t="shared" ca="1" si="522"/>
        <v/>
      </c>
      <c r="M378" s="222" t="str">
        <f t="shared" ca="1" si="522"/>
        <v/>
      </c>
      <c r="N378" s="222" t="str">
        <f t="shared" ca="1" si="522"/>
        <v/>
      </c>
      <c r="O378" s="222" t="str">
        <f t="shared" ca="1" si="522"/>
        <v/>
      </c>
      <c r="P378" s="222" t="str">
        <f t="shared" ca="1" si="522"/>
        <v/>
      </c>
      <c r="Q378" s="222" t="str">
        <f t="shared" ca="1" si="522"/>
        <v/>
      </c>
      <c r="R378" s="222" t="str">
        <f t="shared" ca="1" si="522"/>
        <v/>
      </c>
      <c r="S378" s="222" t="str">
        <f t="shared" ca="1" si="522"/>
        <v/>
      </c>
      <c r="T378" s="222" t="str">
        <f t="shared" ca="1" si="522"/>
        <v/>
      </c>
      <c r="U378" s="222" t="str">
        <f t="shared" ca="1" si="522"/>
        <v/>
      </c>
      <c r="V378" s="222" t="str">
        <f t="shared" ca="1" si="523"/>
        <v/>
      </c>
      <c r="W378" s="222" t="str">
        <f t="shared" ca="1" si="523"/>
        <v/>
      </c>
      <c r="X378" s="222" t="str">
        <f t="shared" ca="1" si="523"/>
        <v/>
      </c>
      <c r="Y378" s="222" t="str">
        <f t="shared" ca="1" si="523"/>
        <v/>
      </c>
      <c r="Z378" s="222" t="str">
        <f t="shared" ca="1" si="523"/>
        <v/>
      </c>
      <c r="AA378" s="222" t="str">
        <f t="shared" ca="1" si="523"/>
        <v/>
      </c>
      <c r="AB378" s="222" t="str">
        <f t="shared" ca="1" si="523"/>
        <v/>
      </c>
      <c r="AC378" s="222" t="str">
        <f t="shared" ca="1" si="523"/>
        <v/>
      </c>
      <c r="AD378" s="222" t="str">
        <f t="shared" ca="1" si="523"/>
        <v/>
      </c>
      <c r="AE378" s="222" t="str">
        <f t="shared" ca="1" si="523"/>
        <v/>
      </c>
      <c r="AF378" s="222" t="str">
        <f t="shared" ca="1" si="524"/>
        <v/>
      </c>
      <c r="AG378" s="222" t="str">
        <f t="shared" ca="1" si="524"/>
        <v/>
      </c>
      <c r="AH378" s="222" t="str">
        <f t="shared" ca="1" si="524"/>
        <v/>
      </c>
      <c r="AI378" s="222" t="str">
        <f t="shared" ca="1" si="524"/>
        <v/>
      </c>
      <c r="AJ378" s="222" t="str">
        <f t="shared" ca="1" si="524"/>
        <v/>
      </c>
      <c r="AK378" s="222" t="str">
        <f t="shared" ca="1" si="524"/>
        <v/>
      </c>
      <c r="AL378" s="222" t="str">
        <f t="shared" ca="1" si="524"/>
        <v/>
      </c>
      <c r="AM378" s="222" t="str">
        <f t="shared" ca="1" si="524"/>
        <v/>
      </c>
      <c r="AN378" s="222" t="str">
        <f t="shared" ca="1" si="524"/>
        <v/>
      </c>
      <c r="AO378" s="222" t="str">
        <f t="shared" ca="1" si="524"/>
        <v/>
      </c>
      <c r="AP378" s="222" t="str">
        <f t="shared" ca="1" si="525"/>
        <v/>
      </c>
      <c r="AQ378" s="222" t="str">
        <f t="shared" ca="1" si="525"/>
        <v/>
      </c>
      <c r="AR378" s="222" t="str">
        <f t="shared" ca="1" si="525"/>
        <v/>
      </c>
      <c r="AS378" s="222" t="str">
        <f t="shared" ca="1" si="525"/>
        <v/>
      </c>
      <c r="AT378" s="222" t="str">
        <f t="shared" ca="1" si="525"/>
        <v/>
      </c>
      <c r="AU378" s="222" t="str">
        <f t="shared" ca="1" si="525"/>
        <v/>
      </c>
      <c r="AV378" s="222" t="str">
        <f t="shared" ca="1" si="525"/>
        <v/>
      </c>
      <c r="AW378" s="222" t="str">
        <f t="shared" ca="1" si="525"/>
        <v/>
      </c>
      <c r="AX378" s="222" t="str">
        <f t="shared" ca="1" si="525"/>
        <v/>
      </c>
      <c r="AY378" s="222" t="str">
        <f t="shared" ca="1" si="525"/>
        <v/>
      </c>
      <c r="AZ378" s="222" t="str">
        <f t="shared" ca="1" si="526"/>
        <v/>
      </c>
      <c r="BA378" s="222" t="str">
        <f t="shared" ca="1" si="526"/>
        <v/>
      </c>
      <c r="BB378" s="222" t="str">
        <f t="shared" ca="1" si="526"/>
        <v/>
      </c>
      <c r="BC378" s="222" t="str">
        <f t="shared" ca="1" si="526"/>
        <v/>
      </c>
      <c r="BD378" s="222" t="str">
        <f t="shared" ca="1" si="526"/>
        <v/>
      </c>
      <c r="BE378" s="222" t="str">
        <f t="shared" ca="1" si="526"/>
        <v/>
      </c>
      <c r="BF378" s="222" t="str">
        <f t="shared" ca="1" si="526"/>
        <v/>
      </c>
      <c r="BG378" s="222" t="str">
        <f t="shared" ca="1" si="526"/>
        <v/>
      </c>
      <c r="BH378" s="222" t="str">
        <f t="shared" ca="1" si="526"/>
        <v/>
      </c>
      <c r="BI378" s="222" t="str">
        <f t="shared" ca="1" si="526"/>
        <v/>
      </c>
      <c r="BJ378" s="222" t="str">
        <f t="shared" ca="1" si="527"/>
        <v/>
      </c>
      <c r="BK378" s="222" t="str">
        <f t="shared" ca="1" si="527"/>
        <v/>
      </c>
      <c r="BL378" s="222" t="str">
        <f t="shared" ca="1" si="527"/>
        <v/>
      </c>
      <c r="BM378" s="222" t="str">
        <f t="shared" ca="1" si="527"/>
        <v/>
      </c>
      <c r="BN378" s="222" t="str">
        <f t="shared" ca="1" si="527"/>
        <v/>
      </c>
      <c r="BO378" s="222" t="str">
        <f t="shared" ca="1" si="527"/>
        <v/>
      </c>
      <c r="BP378" s="222" t="str">
        <f t="shared" ca="1" si="527"/>
        <v/>
      </c>
      <c r="BQ378" s="222" t="str">
        <f t="shared" ca="1" si="527"/>
        <v/>
      </c>
      <c r="BR378" s="222" t="str">
        <f t="shared" ca="1" si="527"/>
        <v/>
      </c>
      <c r="BS378" s="222" t="str">
        <f t="shared" ca="1" si="527"/>
        <v/>
      </c>
      <c r="BT378" s="222" t="str">
        <f t="shared" ca="1" si="528"/>
        <v/>
      </c>
      <c r="BU378" s="222" t="str">
        <f t="shared" ca="1" si="528"/>
        <v/>
      </c>
      <c r="BV378" s="222" t="str">
        <f t="shared" ca="1" si="528"/>
        <v/>
      </c>
      <c r="BW378" s="222" t="str">
        <f t="shared" ca="1" si="528"/>
        <v/>
      </c>
      <c r="BX378" s="222" t="str">
        <f t="shared" ca="1" si="528"/>
        <v/>
      </c>
      <c r="BY378" s="222" t="str">
        <f t="shared" ca="1" si="528"/>
        <v/>
      </c>
      <c r="BZ378" s="368" t="str">
        <f t="shared" ca="1" si="528"/>
        <v/>
      </c>
      <c r="CC378" s="482">
        <f t="shared" si="488"/>
        <v>57</v>
      </c>
    </row>
    <row r="379" spans="1:81">
      <c r="A379" s="326" t="str">
        <v/>
      </c>
      <c r="B379" s="222" t="str">
        <f t="shared" ca="1" si="521"/>
        <v/>
      </c>
      <c r="C379" s="222" t="str">
        <f t="shared" ca="1" si="521"/>
        <v/>
      </c>
      <c r="D379" s="222" t="str">
        <f t="shared" ca="1" si="521"/>
        <v/>
      </c>
      <c r="E379" s="222" t="str">
        <f t="shared" ca="1" si="521"/>
        <v/>
      </c>
      <c r="F379" s="222" t="str">
        <f t="shared" ca="1" si="521"/>
        <v/>
      </c>
      <c r="G379" s="222" t="str">
        <f t="shared" ca="1" si="521"/>
        <v/>
      </c>
      <c r="H379" s="222" t="str">
        <f t="shared" ca="1" si="521"/>
        <v/>
      </c>
      <c r="I379" s="222" t="str">
        <f t="shared" ca="1" si="521"/>
        <v/>
      </c>
      <c r="J379" s="222" t="str">
        <f t="shared" ca="1" si="521"/>
        <v/>
      </c>
      <c r="K379" s="222" t="str">
        <f t="shared" ca="1" si="521"/>
        <v/>
      </c>
      <c r="L379" s="222" t="str">
        <f t="shared" ca="1" si="522"/>
        <v/>
      </c>
      <c r="M379" s="222" t="str">
        <f t="shared" ca="1" si="522"/>
        <v/>
      </c>
      <c r="N379" s="222" t="str">
        <f t="shared" ca="1" si="522"/>
        <v/>
      </c>
      <c r="O379" s="222" t="str">
        <f t="shared" ca="1" si="522"/>
        <v/>
      </c>
      <c r="P379" s="222" t="str">
        <f t="shared" ca="1" si="522"/>
        <v/>
      </c>
      <c r="Q379" s="222" t="str">
        <f t="shared" ca="1" si="522"/>
        <v/>
      </c>
      <c r="R379" s="222" t="str">
        <f t="shared" ca="1" si="522"/>
        <v/>
      </c>
      <c r="S379" s="222" t="str">
        <f t="shared" ca="1" si="522"/>
        <v/>
      </c>
      <c r="T379" s="222" t="str">
        <f t="shared" ca="1" si="522"/>
        <v/>
      </c>
      <c r="U379" s="222" t="str">
        <f t="shared" ca="1" si="522"/>
        <v/>
      </c>
      <c r="V379" s="222" t="str">
        <f t="shared" ca="1" si="523"/>
        <v/>
      </c>
      <c r="W379" s="222" t="str">
        <f t="shared" ca="1" si="523"/>
        <v/>
      </c>
      <c r="X379" s="222" t="str">
        <f t="shared" ca="1" si="523"/>
        <v/>
      </c>
      <c r="Y379" s="222" t="str">
        <f t="shared" ca="1" si="523"/>
        <v/>
      </c>
      <c r="Z379" s="222" t="str">
        <f t="shared" ca="1" si="523"/>
        <v/>
      </c>
      <c r="AA379" s="222" t="str">
        <f t="shared" ca="1" si="523"/>
        <v/>
      </c>
      <c r="AB379" s="222" t="str">
        <f t="shared" ca="1" si="523"/>
        <v/>
      </c>
      <c r="AC379" s="222" t="str">
        <f t="shared" ca="1" si="523"/>
        <v/>
      </c>
      <c r="AD379" s="222" t="str">
        <f t="shared" ca="1" si="523"/>
        <v/>
      </c>
      <c r="AE379" s="222" t="str">
        <f t="shared" ca="1" si="523"/>
        <v/>
      </c>
      <c r="AF379" s="222" t="str">
        <f t="shared" ca="1" si="524"/>
        <v/>
      </c>
      <c r="AG379" s="222" t="str">
        <f t="shared" ca="1" si="524"/>
        <v/>
      </c>
      <c r="AH379" s="222" t="str">
        <f t="shared" ca="1" si="524"/>
        <v/>
      </c>
      <c r="AI379" s="222" t="str">
        <f t="shared" ca="1" si="524"/>
        <v/>
      </c>
      <c r="AJ379" s="222" t="str">
        <f t="shared" ca="1" si="524"/>
        <v/>
      </c>
      <c r="AK379" s="222" t="str">
        <f t="shared" ca="1" si="524"/>
        <v/>
      </c>
      <c r="AL379" s="222" t="str">
        <f t="shared" ca="1" si="524"/>
        <v/>
      </c>
      <c r="AM379" s="222" t="str">
        <f t="shared" ca="1" si="524"/>
        <v/>
      </c>
      <c r="AN379" s="222" t="str">
        <f t="shared" ca="1" si="524"/>
        <v/>
      </c>
      <c r="AO379" s="222" t="str">
        <f t="shared" ca="1" si="524"/>
        <v/>
      </c>
      <c r="AP379" s="222" t="str">
        <f t="shared" ca="1" si="525"/>
        <v/>
      </c>
      <c r="AQ379" s="222" t="str">
        <f t="shared" ca="1" si="525"/>
        <v/>
      </c>
      <c r="AR379" s="222" t="str">
        <f t="shared" ca="1" si="525"/>
        <v/>
      </c>
      <c r="AS379" s="222" t="str">
        <f t="shared" ca="1" si="525"/>
        <v/>
      </c>
      <c r="AT379" s="222" t="str">
        <f t="shared" ca="1" si="525"/>
        <v/>
      </c>
      <c r="AU379" s="222" t="str">
        <f t="shared" ca="1" si="525"/>
        <v/>
      </c>
      <c r="AV379" s="222" t="str">
        <f t="shared" ca="1" si="525"/>
        <v/>
      </c>
      <c r="AW379" s="222" t="str">
        <f t="shared" ca="1" si="525"/>
        <v/>
      </c>
      <c r="AX379" s="222" t="str">
        <f t="shared" ca="1" si="525"/>
        <v/>
      </c>
      <c r="AY379" s="222" t="str">
        <f t="shared" ca="1" si="525"/>
        <v/>
      </c>
      <c r="AZ379" s="222" t="str">
        <f t="shared" ca="1" si="526"/>
        <v/>
      </c>
      <c r="BA379" s="222" t="str">
        <f t="shared" ca="1" si="526"/>
        <v/>
      </c>
      <c r="BB379" s="222" t="str">
        <f t="shared" ca="1" si="526"/>
        <v/>
      </c>
      <c r="BC379" s="222" t="str">
        <f t="shared" ca="1" si="526"/>
        <v/>
      </c>
      <c r="BD379" s="222" t="str">
        <f t="shared" ca="1" si="526"/>
        <v/>
      </c>
      <c r="BE379" s="222" t="str">
        <f t="shared" ca="1" si="526"/>
        <v/>
      </c>
      <c r="BF379" s="222" t="str">
        <f t="shared" ca="1" si="526"/>
        <v/>
      </c>
      <c r="BG379" s="222" t="str">
        <f t="shared" ca="1" si="526"/>
        <v/>
      </c>
      <c r="BH379" s="222" t="str">
        <f t="shared" ca="1" si="526"/>
        <v/>
      </c>
      <c r="BI379" s="222" t="str">
        <f t="shared" ca="1" si="526"/>
        <v/>
      </c>
      <c r="BJ379" s="222" t="str">
        <f t="shared" ca="1" si="527"/>
        <v/>
      </c>
      <c r="BK379" s="222" t="str">
        <f t="shared" ca="1" si="527"/>
        <v/>
      </c>
      <c r="BL379" s="222" t="str">
        <f t="shared" ca="1" si="527"/>
        <v/>
      </c>
      <c r="BM379" s="222" t="str">
        <f t="shared" ca="1" si="527"/>
        <v/>
      </c>
      <c r="BN379" s="222" t="str">
        <f t="shared" ca="1" si="527"/>
        <v/>
      </c>
      <c r="BO379" s="222" t="str">
        <f t="shared" ca="1" si="527"/>
        <v/>
      </c>
      <c r="BP379" s="222" t="str">
        <f t="shared" ca="1" si="527"/>
        <v/>
      </c>
      <c r="BQ379" s="222" t="str">
        <f t="shared" ca="1" si="527"/>
        <v/>
      </c>
      <c r="BR379" s="222" t="str">
        <f t="shared" ca="1" si="527"/>
        <v/>
      </c>
      <c r="BS379" s="222" t="str">
        <f t="shared" ca="1" si="527"/>
        <v/>
      </c>
      <c r="BT379" s="222" t="str">
        <f t="shared" ca="1" si="528"/>
        <v/>
      </c>
      <c r="BU379" s="222" t="str">
        <f t="shared" ca="1" si="528"/>
        <v/>
      </c>
      <c r="BV379" s="222" t="str">
        <f t="shared" ca="1" si="528"/>
        <v/>
      </c>
      <c r="BW379" s="222" t="str">
        <f t="shared" ca="1" si="528"/>
        <v/>
      </c>
      <c r="BX379" s="222" t="str">
        <f t="shared" ca="1" si="528"/>
        <v/>
      </c>
      <c r="BY379" s="222" t="str">
        <f t="shared" ca="1" si="528"/>
        <v/>
      </c>
      <c r="BZ379" s="368" t="str">
        <f t="shared" ca="1" si="528"/>
        <v/>
      </c>
      <c r="CC379" s="482">
        <f t="shared" si="488"/>
        <v>58</v>
      </c>
    </row>
    <row r="380" spans="1:81">
      <c r="A380" s="326" t="str">
        <v/>
      </c>
      <c r="B380" s="222" t="str">
        <f t="shared" ca="1" si="521"/>
        <v/>
      </c>
      <c r="C380" s="222" t="str">
        <f t="shared" ca="1" si="521"/>
        <v/>
      </c>
      <c r="D380" s="222" t="str">
        <f t="shared" ca="1" si="521"/>
        <v/>
      </c>
      <c r="E380" s="222" t="str">
        <f t="shared" ca="1" si="521"/>
        <v/>
      </c>
      <c r="F380" s="222" t="str">
        <f t="shared" ca="1" si="521"/>
        <v/>
      </c>
      <c r="G380" s="222" t="str">
        <f t="shared" ca="1" si="521"/>
        <v/>
      </c>
      <c r="H380" s="222" t="str">
        <f t="shared" ca="1" si="521"/>
        <v/>
      </c>
      <c r="I380" s="222" t="str">
        <f t="shared" ca="1" si="521"/>
        <v/>
      </c>
      <c r="J380" s="222" t="str">
        <f t="shared" ca="1" si="521"/>
        <v/>
      </c>
      <c r="K380" s="222" t="str">
        <f t="shared" ca="1" si="521"/>
        <v/>
      </c>
      <c r="L380" s="222" t="str">
        <f t="shared" ca="1" si="522"/>
        <v/>
      </c>
      <c r="M380" s="222" t="str">
        <f t="shared" ca="1" si="522"/>
        <v/>
      </c>
      <c r="N380" s="222" t="str">
        <f t="shared" ca="1" si="522"/>
        <v/>
      </c>
      <c r="O380" s="222" t="str">
        <f t="shared" ca="1" si="522"/>
        <v/>
      </c>
      <c r="P380" s="222" t="str">
        <f t="shared" ca="1" si="522"/>
        <v/>
      </c>
      <c r="Q380" s="222" t="str">
        <f t="shared" ca="1" si="522"/>
        <v/>
      </c>
      <c r="R380" s="222" t="str">
        <f t="shared" ca="1" si="522"/>
        <v/>
      </c>
      <c r="S380" s="222" t="str">
        <f t="shared" ca="1" si="522"/>
        <v/>
      </c>
      <c r="T380" s="222" t="str">
        <f t="shared" ca="1" si="522"/>
        <v/>
      </c>
      <c r="U380" s="222" t="str">
        <f t="shared" ca="1" si="522"/>
        <v/>
      </c>
      <c r="V380" s="222" t="str">
        <f t="shared" ca="1" si="523"/>
        <v/>
      </c>
      <c r="W380" s="222" t="str">
        <f t="shared" ca="1" si="523"/>
        <v/>
      </c>
      <c r="X380" s="222" t="str">
        <f t="shared" ca="1" si="523"/>
        <v/>
      </c>
      <c r="Y380" s="222" t="str">
        <f t="shared" ca="1" si="523"/>
        <v/>
      </c>
      <c r="Z380" s="222" t="str">
        <f t="shared" ca="1" si="523"/>
        <v/>
      </c>
      <c r="AA380" s="222" t="str">
        <f t="shared" ca="1" si="523"/>
        <v/>
      </c>
      <c r="AB380" s="222" t="str">
        <f t="shared" ca="1" si="523"/>
        <v/>
      </c>
      <c r="AC380" s="222" t="str">
        <f t="shared" ca="1" si="523"/>
        <v/>
      </c>
      <c r="AD380" s="222" t="str">
        <f t="shared" ca="1" si="523"/>
        <v/>
      </c>
      <c r="AE380" s="222" t="str">
        <f t="shared" ca="1" si="523"/>
        <v/>
      </c>
      <c r="AF380" s="222" t="str">
        <f t="shared" ca="1" si="524"/>
        <v/>
      </c>
      <c r="AG380" s="222" t="str">
        <f t="shared" ca="1" si="524"/>
        <v/>
      </c>
      <c r="AH380" s="222" t="str">
        <f t="shared" ca="1" si="524"/>
        <v/>
      </c>
      <c r="AI380" s="222" t="str">
        <f t="shared" ca="1" si="524"/>
        <v/>
      </c>
      <c r="AJ380" s="222" t="str">
        <f t="shared" ca="1" si="524"/>
        <v/>
      </c>
      <c r="AK380" s="222" t="str">
        <f t="shared" ca="1" si="524"/>
        <v/>
      </c>
      <c r="AL380" s="222" t="str">
        <f t="shared" ca="1" si="524"/>
        <v/>
      </c>
      <c r="AM380" s="222" t="str">
        <f t="shared" ca="1" si="524"/>
        <v/>
      </c>
      <c r="AN380" s="222" t="str">
        <f t="shared" ca="1" si="524"/>
        <v/>
      </c>
      <c r="AO380" s="222" t="str">
        <f t="shared" ca="1" si="524"/>
        <v/>
      </c>
      <c r="AP380" s="222" t="str">
        <f t="shared" ca="1" si="525"/>
        <v/>
      </c>
      <c r="AQ380" s="222" t="str">
        <f t="shared" ca="1" si="525"/>
        <v/>
      </c>
      <c r="AR380" s="222" t="str">
        <f t="shared" ca="1" si="525"/>
        <v/>
      </c>
      <c r="AS380" s="222" t="str">
        <f t="shared" ca="1" si="525"/>
        <v/>
      </c>
      <c r="AT380" s="222" t="str">
        <f t="shared" ca="1" si="525"/>
        <v/>
      </c>
      <c r="AU380" s="222" t="str">
        <f t="shared" ca="1" si="525"/>
        <v/>
      </c>
      <c r="AV380" s="222" t="str">
        <f t="shared" ca="1" si="525"/>
        <v/>
      </c>
      <c r="AW380" s="222" t="str">
        <f t="shared" ca="1" si="525"/>
        <v/>
      </c>
      <c r="AX380" s="222" t="str">
        <f t="shared" ca="1" si="525"/>
        <v/>
      </c>
      <c r="AY380" s="222" t="str">
        <f t="shared" ca="1" si="525"/>
        <v/>
      </c>
      <c r="AZ380" s="222" t="str">
        <f t="shared" ca="1" si="526"/>
        <v/>
      </c>
      <c r="BA380" s="222" t="str">
        <f t="shared" ca="1" si="526"/>
        <v/>
      </c>
      <c r="BB380" s="222" t="str">
        <f t="shared" ca="1" si="526"/>
        <v/>
      </c>
      <c r="BC380" s="222" t="str">
        <f t="shared" ca="1" si="526"/>
        <v/>
      </c>
      <c r="BD380" s="222" t="str">
        <f t="shared" ca="1" si="526"/>
        <v/>
      </c>
      <c r="BE380" s="222" t="str">
        <f t="shared" ca="1" si="526"/>
        <v/>
      </c>
      <c r="BF380" s="222" t="str">
        <f t="shared" ca="1" si="526"/>
        <v/>
      </c>
      <c r="BG380" s="222" t="str">
        <f t="shared" ca="1" si="526"/>
        <v/>
      </c>
      <c r="BH380" s="222" t="str">
        <f t="shared" ca="1" si="526"/>
        <v/>
      </c>
      <c r="BI380" s="222" t="str">
        <f t="shared" ca="1" si="526"/>
        <v/>
      </c>
      <c r="BJ380" s="222" t="str">
        <f t="shared" ca="1" si="527"/>
        <v/>
      </c>
      <c r="BK380" s="222" t="str">
        <f t="shared" ca="1" si="527"/>
        <v/>
      </c>
      <c r="BL380" s="222" t="str">
        <f t="shared" ca="1" si="527"/>
        <v/>
      </c>
      <c r="BM380" s="222" t="str">
        <f t="shared" ca="1" si="527"/>
        <v/>
      </c>
      <c r="BN380" s="222" t="str">
        <f t="shared" ca="1" si="527"/>
        <v/>
      </c>
      <c r="BO380" s="222" t="str">
        <f t="shared" ca="1" si="527"/>
        <v/>
      </c>
      <c r="BP380" s="222" t="str">
        <f t="shared" ca="1" si="527"/>
        <v/>
      </c>
      <c r="BQ380" s="222" t="str">
        <f t="shared" ca="1" si="527"/>
        <v/>
      </c>
      <c r="BR380" s="222" t="str">
        <f t="shared" ca="1" si="527"/>
        <v/>
      </c>
      <c r="BS380" s="222" t="str">
        <f t="shared" ca="1" si="527"/>
        <v/>
      </c>
      <c r="BT380" s="222" t="str">
        <f t="shared" ca="1" si="528"/>
        <v/>
      </c>
      <c r="BU380" s="222" t="str">
        <f t="shared" ca="1" si="528"/>
        <v/>
      </c>
      <c r="BV380" s="222" t="str">
        <f t="shared" ca="1" si="528"/>
        <v/>
      </c>
      <c r="BW380" s="222" t="str">
        <f t="shared" ca="1" si="528"/>
        <v/>
      </c>
      <c r="BX380" s="222" t="str">
        <f t="shared" ca="1" si="528"/>
        <v/>
      </c>
      <c r="BY380" s="222" t="str">
        <f t="shared" ca="1" si="528"/>
        <v/>
      </c>
      <c r="BZ380" s="368" t="str">
        <f t="shared" ca="1" si="528"/>
        <v/>
      </c>
      <c r="CC380" s="482">
        <f t="shared" si="488"/>
        <v>59</v>
      </c>
    </row>
    <row r="381" spans="1:81">
      <c r="A381" s="326" t="str">
        <v/>
      </c>
      <c r="B381" s="222" t="str">
        <f t="shared" ref="B381:K390" ca="1" si="529">IF(OR($A381="",B$320=""), "", IF((COLUMN()-COLUMN($A381)) &gt; (1+$CC381), "", PEARSON(OFFSET($B$8, 0, $CC381, $A$320+1, 1), B$8:B$153)))</f>
        <v/>
      </c>
      <c r="C381" s="222" t="str">
        <f t="shared" ca="1" si="529"/>
        <v/>
      </c>
      <c r="D381" s="222" t="str">
        <f t="shared" ca="1" si="529"/>
        <v/>
      </c>
      <c r="E381" s="222" t="str">
        <f t="shared" ca="1" si="529"/>
        <v/>
      </c>
      <c r="F381" s="222" t="str">
        <f t="shared" ca="1" si="529"/>
        <v/>
      </c>
      <c r="G381" s="222" t="str">
        <f t="shared" ca="1" si="529"/>
        <v/>
      </c>
      <c r="H381" s="222" t="str">
        <f t="shared" ca="1" si="529"/>
        <v/>
      </c>
      <c r="I381" s="222" t="str">
        <f t="shared" ca="1" si="529"/>
        <v/>
      </c>
      <c r="J381" s="222" t="str">
        <f t="shared" ca="1" si="529"/>
        <v/>
      </c>
      <c r="K381" s="222" t="str">
        <f t="shared" ca="1" si="529"/>
        <v/>
      </c>
      <c r="L381" s="222" t="str">
        <f t="shared" ref="L381:U390" ca="1" si="530">IF(OR($A381="",L$320=""), "", IF((COLUMN()-COLUMN($A381)) &gt; (1+$CC381), "", PEARSON(OFFSET($B$8, 0, $CC381, $A$320+1, 1), L$8:L$153)))</f>
        <v/>
      </c>
      <c r="M381" s="222" t="str">
        <f t="shared" ca="1" si="530"/>
        <v/>
      </c>
      <c r="N381" s="222" t="str">
        <f t="shared" ca="1" si="530"/>
        <v/>
      </c>
      <c r="O381" s="222" t="str">
        <f t="shared" ca="1" si="530"/>
        <v/>
      </c>
      <c r="P381" s="222" t="str">
        <f t="shared" ca="1" si="530"/>
        <v/>
      </c>
      <c r="Q381" s="222" t="str">
        <f t="shared" ca="1" si="530"/>
        <v/>
      </c>
      <c r="R381" s="222" t="str">
        <f t="shared" ca="1" si="530"/>
        <v/>
      </c>
      <c r="S381" s="222" t="str">
        <f t="shared" ca="1" si="530"/>
        <v/>
      </c>
      <c r="T381" s="222" t="str">
        <f t="shared" ca="1" si="530"/>
        <v/>
      </c>
      <c r="U381" s="222" t="str">
        <f t="shared" ca="1" si="530"/>
        <v/>
      </c>
      <c r="V381" s="222" t="str">
        <f t="shared" ref="V381:AE390" ca="1" si="531">IF(OR($A381="",V$320=""), "", IF((COLUMN()-COLUMN($A381)) &gt; (1+$CC381), "", PEARSON(OFFSET($B$8, 0, $CC381, $A$320+1, 1), V$8:V$153)))</f>
        <v/>
      </c>
      <c r="W381" s="222" t="str">
        <f t="shared" ca="1" si="531"/>
        <v/>
      </c>
      <c r="X381" s="222" t="str">
        <f t="shared" ca="1" si="531"/>
        <v/>
      </c>
      <c r="Y381" s="222" t="str">
        <f t="shared" ca="1" si="531"/>
        <v/>
      </c>
      <c r="Z381" s="222" t="str">
        <f t="shared" ca="1" si="531"/>
        <v/>
      </c>
      <c r="AA381" s="222" t="str">
        <f t="shared" ca="1" si="531"/>
        <v/>
      </c>
      <c r="AB381" s="222" t="str">
        <f t="shared" ca="1" si="531"/>
        <v/>
      </c>
      <c r="AC381" s="222" t="str">
        <f t="shared" ca="1" si="531"/>
        <v/>
      </c>
      <c r="AD381" s="222" t="str">
        <f t="shared" ca="1" si="531"/>
        <v/>
      </c>
      <c r="AE381" s="222" t="str">
        <f t="shared" ca="1" si="531"/>
        <v/>
      </c>
      <c r="AF381" s="222" t="str">
        <f t="shared" ref="AF381:AO390" ca="1" si="532">IF(OR($A381="",AF$320=""), "", IF((COLUMN()-COLUMN($A381)) &gt; (1+$CC381), "", PEARSON(OFFSET($B$8, 0, $CC381, $A$320+1, 1), AF$8:AF$153)))</f>
        <v/>
      </c>
      <c r="AG381" s="222" t="str">
        <f t="shared" ca="1" si="532"/>
        <v/>
      </c>
      <c r="AH381" s="222" t="str">
        <f t="shared" ca="1" si="532"/>
        <v/>
      </c>
      <c r="AI381" s="222" t="str">
        <f t="shared" ca="1" si="532"/>
        <v/>
      </c>
      <c r="AJ381" s="222" t="str">
        <f t="shared" ca="1" si="532"/>
        <v/>
      </c>
      <c r="AK381" s="222" t="str">
        <f t="shared" ca="1" si="532"/>
        <v/>
      </c>
      <c r="AL381" s="222" t="str">
        <f t="shared" ca="1" si="532"/>
        <v/>
      </c>
      <c r="AM381" s="222" t="str">
        <f t="shared" ca="1" si="532"/>
        <v/>
      </c>
      <c r="AN381" s="222" t="str">
        <f t="shared" ca="1" si="532"/>
        <v/>
      </c>
      <c r="AO381" s="222" t="str">
        <f t="shared" ca="1" si="532"/>
        <v/>
      </c>
      <c r="AP381" s="222" t="str">
        <f t="shared" ref="AP381:AY390" ca="1" si="533">IF(OR($A381="",AP$320=""), "", IF((COLUMN()-COLUMN($A381)) &gt; (1+$CC381), "", PEARSON(OFFSET($B$8, 0, $CC381, $A$320+1, 1), AP$8:AP$153)))</f>
        <v/>
      </c>
      <c r="AQ381" s="222" t="str">
        <f t="shared" ca="1" si="533"/>
        <v/>
      </c>
      <c r="AR381" s="222" t="str">
        <f t="shared" ca="1" si="533"/>
        <v/>
      </c>
      <c r="AS381" s="222" t="str">
        <f t="shared" ca="1" si="533"/>
        <v/>
      </c>
      <c r="AT381" s="222" t="str">
        <f t="shared" ca="1" si="533"/>
        <v/>
      </c>
      <c r="AU381" s="222" t="str">
        <f t="shared" ca="1" si="533"/>
        <v/>
      </c>
      <c r="AV381" s="222" t="str">
        <f t="shared" ca="1" si="533"/>
        <v/>
      </c>
      <c r="AW381" s="222" t="str">
        <f t="shared" ca="1" si="533"/>
        <v/>
      </c>
      <c r="AX381" s="222" t="str">
        <f t="shared" ca="1" si="533"/>
        <v/>
      </c>
      <c r="AY381" s="222" t="str">
        <f t="shared" ca="1" si="533"/>
        <v/>
      </c>
      <c r="AZ381" s="222" t="str">
        <f t="shared" ref="AZ381:BI390" ca="1" si="534">IF(OR($A381="",AZ$320=""), "", IF((COLUMN()-COLUMN($A381)) &gt; (1+$CC381), "", PEARSON(OFFSET($B$8, 0, $CC381, $A$320+1, 1), AZ$8:AZ$153)))</f>
        <v/>
      </c>
      <c r="BA381" s="222" t="str">
        <f t="shared" ca="1" si="534"/>
        <v/>
      </c>
      <c r="BB381" s="222" t="str">
        <f t="shared" ca="1" si="534"/>
        <v/>
      </c>
      <c r="BC381" s="222" t="str">
        <f t="shared" ca="1" si="534"/>
        <v/>
      </c>
      <c r="BD381" s="222" t="str">
        <f t="shared" ca="1" si="534"/>
        <v/>
      </c>
      <c r="BE381" s="222" t="str">
        <f t="shared" ca="1" si="534"/>
        <v/>
      </c>
      <c r="BF381" s="222" t="str">
        <f t="shared" ca="1" si="534"/>
        <v/>
      </c>
      <c r="BG381" s="222" t="str">
        <f t="shared" ca="1" si="534"/>
        <v/>
      </c>
      <c r="BH381" s="222" t="str">
        <f t="shared" ca="1" si="534"/>
        <v/>
      </c>
      <c r="BI381" s="222" t="str">
        <f t="shared" ca="1" si="534"/>
        <v/>
      </c>
      <c r="BJ381" s="222" t="str">
        <f t="shared" ref="BJ381:BS390" ca="1" si="535">IF(OR($A381="",BJ$320=""), "", IF((COLUMN()-COLUMN($A381)) &gt; (1+$CC381), "", PEARSON(OFFSET($B$8, 0, $CC381, $A$320+1, 1), BJ$8:BJ$153)))</f>
        <v/>
      </c>
      <c r="BK381" s="222" t="str">
        <f t="shared" ca="1" si="535"/>
        <v/>
      </c>
      <c r="BL381" s="222" t="str">
        <f t="shared" ca="1" si="535"/>
        <v/>
      </c>
      <c r="BM381" s="222" t="str">
        <f t="shared" ca="1" si="535"/>
        <v/>
      </c>
      <c r="BN381" s="222" t="str">
        <f t="shared" ca="1" si="535"/>
        <v/>
      </c>
      <c r="BO381" s="222" t="str">
        <f t="shared" ca="1" si="535"/>
        <v/>
      </c>
      <c r="BP381" s="222" t="str">
        <f t="shared" ca="1" si="535"/>
        <v/>
      </c>
      <c r="BQ381" s="222" t="str">
        <f t="shared" ca="1" si="535"/>
        <v/>
      </c>
      <c r="BR381" s="222" t="str">
        <f t="shared" ca="1" si="535"/>
        <v/>
      </c>
      <c r="BS381" s="222" t="str">
        <f t="shared" ca="1" si="535"/>
        <v/>
      </c>
      <c r="BT381" s="222" t="str">
        <f t="shared" ref="BT381:BZ390" ca="1" si="536">IF(OR($A381="",BT$320=""), "", IF((COLUMN()-COLUMN($A381)) &gt; (1+$CC381), "", PEARSON(OFFSET($B$8, 0, $CC381, $A$320+1, 1), BT$8:BT$153)))</f>
        <v/>
      </c>
      <c r="BU381" s="222" t="str">
        <f t="shared" ca="1" si="536"/>
        <v/>
      </c>
      <c r="BV381" s="222" t="str">
        <f t="shared" ca="1" si="536"/>
        <v/>
      </c>
      <c r="BW381" s="222" t="str">
        <f t="shared" ca="1" si="536"/>
        <v/>
      </c>
      <c r="BX381" s="222" t="str">
        <f t="shared" ca="1" si="536"/>
        <v/>
      </c>
      <c r="BY381" s="222" t="str">
        <f t="shared" ca="1" si="536"/>
        <v/>
      </c>
      <c r="BZ381" s="368" t="str">
        <f t="shared" ca="1" si="536"/>
        <v/>
      </c>
      <c r="CC381" s="482">
        <f t="shared" si="488"/>
        <v>60</v>
      </c>
    </row>
    <row r="382" spans="1:81">
      <c r="A382" s="326" t="str">
        <v/>
      </c>
      <c r="B382" s="222" t="str">
        <f t="shared" ca="1" si="529"/>
        <v/>
      </c>
      <c r="C382" s="222" t="str">
        <f t="shared" ca="1" si="529"/>
        <v/>
      </c>
      <c r="D382" s="222" t="str">
        <f t="shared" ca="1" si="529"/>
        <v/>
      </c>
      <c r="E382" s="222" t="str">
        <f t="shared" ca="1" si="529"/>
        <v/>
      </c>
      <c r="F382" s="222" t="str">
        <f t="shared" ca="1" si="529"/>
        <v/>
      </c>
      <c r="G382" s="222" t="str">
        <f t="shared" ca="1" si="529"/>
        <v/>
      </c>
      <c r="H382" s="222" t="str">
        <f t="shared" ca="1" si="529"/>
        <v/>
      </c>
      <c r="I382" s="222" t="str">
        <f t="shared" ca="1" si="529"/>
        <v/>
      </c>
      <c r="J382" s="222" t="str">
        <f t="shared" ca="1" si="529"/>
        <v/>
      </c>
      <c r="K382" s="222" t="str">
        <f t="shared" ca="1" si="529"/>
        <v/>
      </c>
      <c r="L382" s="222" t="str">
        <f t="shared" ca="1" si="530"/>
        <v/>
      </c>
      <c r="M382" s="222" t="str">
        <f t="shared" ca="1" si="530"/>
        <v/>
      </c>
      <c r="N382" s="222" t="str">
        <f t="shared" ca="1" si="530"/>
        <v/>
      </c>
      <c r="O382" s="222" t="str">
        <f t="shared" ca="1" si="530"/>
        <v/>
      </c>
      <c r="P382" s="222" t="str">
        <f t="shared" ca="1" si="530"/>
        <v/>
      </c>
      <c r="Q382" s="222" t="str">
        <f t="shared" ca="1" si="530"/>
        <v/>
      </c>
      <c r="R382" s="222" t="str">
        <f t="shared" ca="1" si="530"/>
        <v/>
      </c>
      <c r="S382" s="222" t="str">
        <f t="shared" ca="1" si="530"/>
        <v/>
      </c>
      <c r="T382" s="222" t="str">
        <f t="shared" ca="1" si="530"/>
        <v/>
      </c>
      <c r="U382" s="222" t="str">
        <f t="shared" ca="1" si="530"/>
        <v/>
      </c>
      <c r="V382" s="222" t="str">
        <f t="shared" ca="1" si="531"/>
        <v/>
      </c>
      <c r="W382" s="222" t="str">
        <f t="shared" ca="1" si="531"/>
        <v/>
      </c>
      <c r="X382" s="222" t="str">
        <f t="shared" ca="1" si="531"/>
        <v/>
      </c>
      <c r="Y382" s="222" t="str">
        <f t="shared" ca="1" si="531"/>
        <v/>
      </c>
      <c r="Z382" s="222" t="str">
        <f t="shared" ca="1" si="531"/>
        <v/>
      </c>
      <c r="AA382" s="222" t="str">
        <f t="shared" ca="1" si="531"/>
        <v/>
      </c>
      <c r="AB382" s="222" t="str">
        <f t="shared" ca="1" si="531"/>
        <v/>
      </c>
      <c r="AC382" s="222" t="str">
        <f t="shared" ca="1" si="531"/>
        <v/>
      </c>
      <c r="AD382" s="222" t="str">
        <f t="shared" ca="1" si="531"/>
        <v/>
      </c>
      <c r="AE382" s="222" t="str">
        <f t="shared" ca="1" si="531"/>
        <v/>
      </c>
      <c r="AF382" s="222" t="str">
        <f t="shared" ca="1" si="532"/>
        <v/>
      </c>
      <c r="AG382" s="222" t="str">
        <f t="shared" ca="1" si="532"/>
        <v/>
      </c>
      <c r="AH382" s="222" t="str">
        <f t="shared" ca="1" si="532"/>
        <v/>
      </c>
      <c r="AI382" s="222" t="str">
        <f t="shared" ca="1" si="532"/>
        <v/>
      </c>
      <c r="AJ382" s="222" t="str">
        <f t="shared" ca="1" si="532"/>
        <v/>
      </c>
      <c r="AK382" s="222" t="str">
        <f t="shared" ca="1" si="532"/>
        <v/>
      </c>
      <c r="AL382" s="222" t="str">
        <f t="shared" ca="1" si="532"/>
        <v/>
      </c>
      <c r="AM382" s="222" t="str">
        <f t="shared" ca="1" si="532"/>
        <v/>
      </c>
      <c r="AN382" s="222" t="str">
        <f t="shared" ca="1" si="532"/>
        <v/>
      </c>
      <c r="AO382" s="222" t="str">
        <f t="shared" ca="1" si="532"/>
        <v/>
      </c>
      <c r="AP382" s="222" t="str">
        <f t="shared" ca="1" si="533"/>
        <v/>
      </c>
      <c r="AQ382" s="222" t="str">
        <f t="shared" ca="1" si="533"/>
        <v/>
      </c>
      <c r="AR382" s="222" t="str">
        <f t="shared" ca="1" si="533"/>
        <v/>
      </c>
      <c r="AS382" s="222" t="str">
        <f t="shared" ca="1" si="533"/>
        <v/>
      </c>
      <c r="AT382" s="222" t="str">
        <f t="shared" ca="1" si="533"/>
        <v/>
      </c>
      <c r="AU382" s="222" t="str">
        <f t="shared" ca="1" si="533"/>
        <v/>
      </c>
      <c r="AV382" s="222" t="str">
        <f t="shared" ca="1" si="533"/>
        <v/>
      </c>
      <c r="AW382" s="222" t="str">
        <f t="shared" ca="1" si="533"/>
        <v/>
      </c>
      <c r="AX382" s="222" t="str">
        <f t="shared" ca="1" si="533"/>
        <v/>
      </c>
      <c r="AY382" s="222" t="str">
        <f t="shared" ca="1" si="533"/>
        <v/>
      </c>
      <c r="AZ382" s="222" t="str">
        <f t="shared" ca="1" si="534"/>
        <v/>
      </c>
      <c r="BA382" s="222" t="str">
        <f t="shared" ca="1" si="534"/>
        <v/>
      </c>
      <c r="BB382" s="222" t="str">
        <f t="shared" ca="1" si="534"/>
        <v/>
      </c>
      <c r="BC382" s="222" t="str">
        <f t="shared" ca="1" si="534"/>
        <v/>
      </c>
      <c r="BD382" s="222" t="str">
        <f t="shared" ca="1" si="534"/>
        <v/>
      </c>
      <c r="BE382" s="222" t="str">
        <f t="shared" ca="1" si="534"/>
        <v/>
      </c>
      <c r="BF382" s="222" t="str">
        <f t="shared" ca="1" si="534"/>
        <v/>
      </c>
      <c r="BG382" s="222" t="str">
        <f t="shared" ca="1" si="534"/>
        <v/>
      </c>
      <c r="BH382" s="222" t="str">
        <f t="shared" ca="1" si="534"/>
        <v/>
      </c>
      <c r="BI382" s="222" t="str">
        <f t="shared" ca="1" si="534"/>
        <v/>
      </c>
      <c r="BJ382" s="222" t="str">
        <f t="shared" ca="1" si="535"/>
        <v/>
      </c>
      <c r="BK382" s="222" t="str">
        <f t="shared" ca="1" si="535"/>
        <v/>
      </c>
      <c r="BL382" s="222" t="str">
        <f t="shared" ca="1" si="535"/>
        <v/>
      </c>
      <c r="BM382" s="222" t="str">
        <f t="shared" ca="1" si="535"/>
        <v/>
      </c>
      <c r="BN382" s="222" t="str">
        <f t="shared" ca="1" si="535"/>
        <v/>
      </c>
      <c r="BO382" s="222" t="str">
        <f t="shared" ca="1" si="535"/>
        <v/>
      </c>
      <c r="BP382" s="222" t="str">
        <f t="shared" ca="1" si="535"/>
        <v/>
      </c>
      <c r="BQ382" s="222" t="str">
        <f t="shared" ca="1" si="535"/>
        <v/>
      </c>
      <c r="BR382" s="222" t="str">
        <f t="shared" ca="1" si="535"/>
        <v/>
      </c>
      <c r="BS382" s="222" t="str">
        <f t="shared" ca="1" si="535"/>
        <v/>
      </c>
      <c r="BT382" s="222" t="str">
        <f t="shared" ca="1" si="536"/>
        <v/>
      </c>
      <c r="BU382" s="222" t="str">
        <f t="shared" ca="1" si="536"/>
        <v/>
      </c>
      <c r="BV382" s="222" t="str">
        <f t="shared" ca="1" si="536"/>
        <v/>
      </c>
      <c r="BW382" s="222" t="str">
        <f t="shared" ca="1" si="536"/>
        <v/>
      </c>
      <c r="BX382" s="222" t="str">
        <f t="shared" ca="1" si="536"/>
        <v/>
      </c>
      <c r="BY382" s="222" t="str">
        <f t="shared" ca="1" si="536"/>
        <v/>
      </c>
      <c r="BZ382" s="368" t="str">
        <f t="shared" ca="1" si="536"/>
        <v/>
      </c>
      <c r="CC382" s="482">
        <f t="shared" si="488"/>
        <v>61</v>
      </c>
    </row>
    <row r="383" spans="1:81">
      <c r="A383" s="326" t="str">
        <v/>
      </c>
      <c r="B383" s="222" t="str">
        <f t="shared" ca="1" si="529"/>
        <v/>
      </c>
      <c r="C383" s="222" t="str">
        <f t="shared" ca="1" si="529"/>
        <v/>
      </c>
      <c r="D383" s="222" t="str">
        <f t="shared" ca="1" si="529"/>
        <v/>
      </c>
      <c r="E383" s="222" t="str">
        <f t="shared" ca="1" si="529"/>
        <v/>
      </c>
      <c r="F383" s="222" t="str">
        <f t="shared" ca="1" si="529"/>
        <v/>
      </c>
      <c r="G383" s="222" t="str">
        <f t="shared" ca="1" si="529"/>
        <v/>
      </c>
      <c r="H383" s="222" t="str">
        <f t="shared" ca="1" si="529"/>
        <v/>
      </c>
      <c r="I383" s="222" t="str">
        <f t="shared" ca="1" si="529"/>
        <v/>
      </c>
      <c r="J383" s="222" t="str">
        <f t="shared" ca="1" si="529"/>
        <v/>
      </c>
      <c r="K383" s="222" t="str">
        <f t="shared" ca="1" si="529"/>
        <v/>
      </c>
      <c r="L383" s="222" t="str">
        <f t="shared" ca="1" si="530"/>
        <v/>
      </c>
      <c r="M383" s="222" t="str">
        <f t="shared" ca="1" si="530"/>
        <v/>
      </c>
      <c r="N383" s="222" t="str">
        <f t="shared" ca="1" si="530"/>
        <v/>
      </c>
      <c r="O383" s="222" t="str">
        <f t="shared" ca="1" si="530"/>
        <v/>
      </c>
      <c r="P383" s="222" t="str">
        <f t="shared" ca="1" si="530"/>
        <v/>
      </c>
      <c r="Q383" s="222" t="str">
        <f t="shared" ca="1" si="530"/>
        <v/>
      </c>
      <c r="R383" s="222" t="str">
        <f t="shared" ca="1" si="530"/>
        <v/>
      </c>
      <c r="S383" s="222" t="str">
        <f t="shared" ca="1" si="530"/>
        <v/>
      </c>
      <c r="T383" s="222" t="str">
        <f t="shared" ca="1" si="530"/>
        <v/>
      </c>
      <c r="U383" s="222" t="str">
        <f t="shared" ca="1" si="530"/>
        <v/>
      </c>
      <c r="V383" s="222" t="str">
        <f t="shared" ca="1" si="531"/>
        <v/>
      </c>
      <c r="W383" s="222" t="str">
        <f t="shared" ca="1" si="531"/>
        <v/>
      </c>
      <c r="X383" s="222" t="str">
        <f t="shared" ca="1" si="531"/>
        <v/>
      </c>
      <c r="Y383" s="222" t="str">
        <f t="shared" ca="1" si="531"/>
        <v/>
      </c>
      <c r="Z383" s="222" t="str">
        <f t="shared" ca="1" si="531"/>
        <v/>
      </c>
      <c r="AA383" s="222" t="str">
        <f t="shared" ca="1" si="531"/>
        <v/>
      </c>
      <c r="AB383" s="222" t="str">
        <f t="shared" ca="1" si="531"/>
        <v/>
      </c>
      <c r="AC383" s="222" t="str">
        <f t="shared" ca="1" si="531"/>
        <v/>
      </c>
      <c r="AD383" s="222" t="str">
        <f t="shared" ca="1" si="531"/>
        <v/>
      </c>
      <c r="AE383" s="222" t="str">
        <f t="shared" ca="1" si="531"/>
        <v/>
      </c>
      <c r="AF383" s="222" t="str">
        <f t="shared" ca="1" si="532"/>
        <v/>
      </c>
      <c r="AG383" s="222" t="str">
        <f t="shared" ca="1" si="532"/>
        <v/>
      </c>
      <c r="AH383" s="222" t="str">
        <f t="shared" ca="1" si="532"/>
        <v/>
      </c>
      <c r="AI383" s="222" t="str">
        <f t="shared" ca="1" si="532"/>
        <v/>
      </c>
      <c r="AJ383" s="222" t="str">
        <f t="shared" ca="1" si="532"/>
        <v/>
      </c>
      <c r="AK383" s="222" t="str">
        <f t="shared" ca="1" si="532"/>
        <v/>
      </c>
      <c r="AL383" s="222" t="str">
        <f t="shared" ca="1" si="532"/>
        <v/>
      </c>
      <c r="AM383" s="222" t="str">
        <f t="shared" ca="1" si="532"/>
        <v/>
      </c>
      <c r="AN383" s="222" t="str">
        <f t="shared" ca="1" si="532"/>
        <v/>
      </c>
      <c r="AO383" s="222" t="str">
        <f t="shared" ca="1" si="532"/>
        <v/>
      </c>
      <c r="AP383" s="222" t="str">
        <f t="shared" ca="1" si="533"/>
        <v/>
      </c>
      <c r="AQ383" s="222" t="str">
        <f t="shared" ca="1" si="533"/>
        <v/>
      </c>
      <c r="AR383" s="222" t="str">
        <f t="shared" ca="1" si="533"/>
        <v/>
      </c>
      <c r="AS383" s="222" t="str">
        <f t="shared" ca="1" si="533"/>
        <v/>
      </c>
      <c r="AT383" s="222" t="str">
        <f t="shared" ca="1" si="533"/>
        <v/>
      </c>
      <c r="AU383" s="222" t="str">
        <f t="shared" ca="1" si="533"/>
        <v/>
      </c>
      <c r="AV383" s="222" t="str">
        <f t="shared" ca="1" si="533"/>
        <v/>
      </c>
      <c r="AW383" s="222" t="str">
        <f t="shared" ca="1" si="533"/>
        <v/>
      </c>
      <c r="AX383" s="222" t="str">
        <f t="shared" ca="1" si="533"/>
        <v/>
      </c>
      <c r="AY383" s="222" t="str">
        <f t="shared" ca="1" si="533"/>
        <v/>
      </c>
      <c r="AZ383" s="222" t="str">
        <f t="shared" ca="1" si="534"/>
        <v/>
      </c>
      <c r="BA383" s="222" t="str">
        <f t="shared" ca="1" si="534"/>
        <v/>
      </c>
      <c r="BB383" s="222" t="str">
        <f t="shared" ca="1" si="534"/>
        <v/>
      </c>
      <c r="BC383" s="222" t="str">
        <f t="shared" ca="1" si="534"/>
        <v/>
      </c>
      <c r="BD383" s="222" t="str">
        <f t="shared" ca="1" si="534"/>
        <v/>
      </c>
      <c r="BE383" s="222" t="str">
        <f t="shared" ca="1" si="534"/>
        <v/>
      </c>
      <c r="BF383" s="222" t="str">
        <f t="shared" ca="1" si="534"/>
        <v/>
      </c>
      <c r="BG383" s="222" t="str">
        <f t="shared" ca="1" si="534"/>
        <v/>
      </c>
      <c r="BH383" s="222" t="str">
        <f t="shared" ca="1" si="534"/>
        <v/>
      </c>
      <c r="BI383" s="222" t="str">
        <f t="shared" ca="1" si="534"/>
        <v/>
      </c>
      <c r="BJ383" s="222" t="str">
        <f t="shared" ca="1" si="535"/>
        <v/>
      </c>
      <c r="BK383" s="222" t="str">
        <f t="shared" ca="1" si="535"/>
        <v/>
      </c>
      <c r="BL383" s="222" t="str">
        <f t="shared" ca="1" si="535"/>
        <v/>
      </c>
      <c r="BM383" s="222" t="str">
        <f t="shared" ca="1" si="535"/>
        <v/>
      </c>
      <c r="BN383" s="222" t="str">
        <f t="shared" ca="1" si="535"/>
        <v/>
      </c>
      <c r="BO383" s="222" t="str">
        <f t="shared" ca="1" si="535"/>
        <v/>
      </c>
      <c r="BP383" s="222" t="str">
        <f t="shared" ca="1" si="535"/>
        <v/>
      </c>
      <c r="BQ383" s="222" t="str">
        <f t="shared" ca="1" si="535"/>
        <v/>
      </c>
      <c r="BR383" s="222" t="str">
        <f t="shared" ca="1" si="535"/>
        <v/>
      </c>
      <c r="BS383" s="222" t="str">
        <f t="shared" ca="1" si="535"/>
        <v/>
      </c>
      <c r="BT383" s="222" t="str">
        <f t="shared" ca="1" si="536"/>
        <v/>
      </c>
      <c r="BU383" s="222" t="str">
        <f t="shared" ca="1" si="536"/>
        <v/>
      </c>
      <c r="BV383" s="222" t="str">
        <f t="shared" ca="1" si="536"/>
        <v/>
      </c>
      <c r="BW383" s="222" t="str">
        <f t="shared" ca="1" si="536"/>
        <v/>
      </c>
      <c r="BX383" s="222" t="str">
        <f t="shared" ca="1" si="536"/>
        <v/>
      </c>
      <c r="BY383" s="222" t="str">
        <f t="shared" ca="1" si="536"/>
        <v/>
      </c>
      <c r="BZ383" s="368" t="str">
        <f t="shared" ca="1" si="536"/>
        <v/>
      </c>
      <c r="CC383" s="482">
        <f t="shared" si="488"/>
        <v>62</v>
      </c>
    </row>
    <row r="384" spans="1:81">
      <c r="A384" s="326" t="str">
        <v/>
      </c>
      <c r="B384" s="222" t="str">
        <f t="shared" ca="1" si="529"/>
        <v/>
      </c>
      <c r="C384" s="222" t="str">
        <f t="shared" ca="1" si="529"/>
        <v/>
      </c>
      <c r="D384" s="222" t="str">
        <f t="shared" ca="1" si="529"/>
        <v/>
      </c>
      <c r="E384" s="222" t="str">
        <f t="shared" ca="1" si="529"/>
        <v/>
      </c>
      <c r="F384" s="222" t="str">
        <f t="shared" ca="1" si="529"/>
        <v/>
      </c>
      <c r="G384" s="222" t="str">
        <f t="shared" ca="1" si="529"/>
        <v/>
      </c>
      <c r="H384" s="222" t="str">
        <f t="shared" ca="1" si="529"/>
        <v/>
      </c>
      <c r="I384" s="222" t="str">
        <f t="shared" ca="1" si="529"/>
        <v/>
      </c>
      <c r="J384" s="222" t="str">
        <f t="shared" ca="1" si="529"/>
        <v/>
      </c>
      <c r="K384" s="222" t="str">
        <f t="shared" ca="1" si="529"/>
        <v/>
      </c>
      <c r="L384" s="222" t="str">
        <f t="shared" ca="1" si="530"/>
        <v/>
      </c>
      <c r="M384" s="222" t="str">
        <f t="shared" ca="1" si="530"/>
        <v/>
      </c>
      <c r="N384" s="222" t="str">
        <f t="shared" ca="1" si="530"/>
        <v/>
      </c>
      <c r="O384" s="222" t="str">
        <f t="shared" ca="1" si="530"/>
        <v/>
      </c>
      <c r="P384" s="222" t="str">
        <f t="shared" ca="1" si="530"/>
        <v/>
      </c>
      <c r="Q384" s="222" t="str">
        <f t="shared" ca="1" si="530"/>
        <v/>
      </c>
      <c r="R384" s="222" t="str">
        <f t="shared" ca="1" si="530"/>
        <v/>
      </c>
      <c r="S384" s="222" t="str">
        <f t="shared" ca="1" si="530"/>
        <v/>
      </c>
      <c r="T384" s="222" t="str">
        <f t="shared" ca="1" si="530"/>
        <v/>
      </c>
      <c r="U384" s="222" t="str">
        <f t="shared" ca="1" si="530"/>
        <v/>
      </c>
      <c r="V384" s="222" t="str">
        <f t="shared" ca="1" si="531"/>
        <v/>
      </c>
      <c r="W384" s="222" t="str">
        <f t="shared" ca="1" si="531"/>
        <v/>
      </c>
      <c r="X384" s="222" t="str">
        <f t="shared" ca="1" si="531"/>
        <v/>
      </c>
      <c r="Y384" s="222" t="str">
        <f t="shared" ca="1" si="531"/>
        <v/>
      </c>
      <c r="Z384" s="222" t="str">
        <f t="shared" ca="1" si="531"/>
        <v/>
      </c>
      <c r="AA384" s="222" t="str">
        <f t="shared" ca="1" si="531"/>
        <v/>
      </c>
      <c r="AB384" s="222" t="str">
        <f t="shared" ca="1" si="531"/>
        <v/>
      </c>
      <c r="AC384" s="222" t="str">
        <f t="shared" ca="1" si="531"/>
        <v/>
      </c>
      <c r="AD384" s="222" t="str">
        <f t="shared" ca="1" si="531"/>
        <v/>
      </c>
      <c r="AE384" s="222" t="str">
        <f t="shared" ca="1" si="531"/>
        <v/>
      </c>
      <c r="AF384" s="222" t="str">
        <f t="shared" ca="1" si="532"/>
        <v/>
      </c>
      <c r="AG384" s="222" t="str">
        <f t="shared" ca="1" si="532"/>
        <v/>
      </c>
      <c r="AH384" s="222" t="str">
        <f t="shared" ca="1" si="532"/>
        <v/>
      </c>
      <c r="AI384" s="222" t="str">
        <f t="shared" ca="1" si="532"/>
        <v/>
      </c>
      <c r="AJ384" s="222" t="str">
        <f t="shared" ca="1" si="532"/>
        <v/>
      </c>
      <c r="AK384" s="222" t="str">
        <f t="shared" ca="1" si="532"/>
        <v/>
      </c>
      <c r="AL384" s="222" t="str">
        <f t="shared" ca="1" si="532"/>
        <v/>
      </c>
      <c r="AM384" s="222" t="str">
        <f t="shared" ca="1" si="532"/>
        <v/>
      </c>
      <c r="AN384" s="222" t="str">
        <f t="shared" ca="1" si="532"/>
        <v/>
      </c>
      <c r="AO384" s="222" t="str">
        <f t="shared" ca="1" si="532"/>
        <v/>
      </c>
      <c r="AP384" s="222" t="str">
        <f t="shared" ca="1" si="533"/>
        <v/>
      </c>
      <c r="AQ384" s="222" t="str">
        <f t="shared" ca="1" si="533"/>
        <v/>
      </c>
      <c r="AR384" s="222" t="str">
        <f t="shared" ca="1" si="533"/>
        <v/>
      </c>
      <c r="AS384" s="222" t="str">
        <f t="shared" ca="1" si="533"/>
        <v/>
      </c>
      <c r="AT384" s="222" t="str">
        <f t="shared" ca="1" si="533"/>
        <v/>
      </c>
      <c r="AU384" s="222" t="str">
        <f t="shared" ca="1" si="533"/>
        <v/>
      </c>
      <c r="AV384" s="222" t="str">
        <f t="shared" ca="1" si="533"/>
        <v/>
      </c>
      <c r="AW384" s="222" t="str">
        <f t="shared" ca="1" si="533"/>
        <v/>
      </c>
      <c r="AX384" s="222" t="str">
        <f t="shared" ca="1" si="533"/>
        <v/>
      </c>
      <c r="AY384" s="222" t="str">
        <f t="shared" ca="1" si="533"/>
        <v/>
      </c>
      <c r="AZ384" s="222" t="str">
        <f t="shared" ca="1" si="534"/>
        <v/>
      </c>
      <c r="BA384" s="222" t="str">
        <f t="shared" ca="1" si="534"/>
        <v/>
      </c>
      <c r="BB384" s="222" t="str">
        <f t="shared" ca="1" si="534"/>
        <v/>
      </c>
      <c r="BC384" s="222" t="str">
        <f t="shared" ca="1" si="534"/>
        <v/>
      </c>
      <c r="BD384" s="222" t="str">
        <f t="shared" ca="1" si="534"/>
        <v/>
      </c>
      <c r="BE384" s="222" t="str">
        <f t="shared" ca="1" si="534"/>
        <v/>
      </c>
      <c r="BF384" s="222" t="str">
        <f t="shared" ca="1" si="534"/>
        <v/>
      </c>
      <c r="BG384" s="222" t="str">
        <f t="shared" ca="1" si="534"/>
        <v/>
      </c>
      <c r="BH384" s="222" t="str">
        <f t="shared" ca="1" si="534"/>
        <v/>
      </c>
      <c r="BI384" s="222" t="str">
        <f t="shared" ca="1" si="534"/>
        <v/>
      </c>
      <c r="BJ384" s="222" t="str">
        <f t="shared" ca="1" si="535"/>
        <v/>
      </c>
      <c r="BK384" s="222" t="str">
        <f t="shared" ca="1" si="535"/>
        <v/>
      </c>
      <c r="BL384" s="222" t="str">
        <f t="shared" ca="1" si="535"/>
        <v/>
      </c>
      <c r="BM384" s="222" t="str">
        <f t="shared" ca="1" si="535"/>
        <v/>
      </c>
      <c r="BN384" s="222" t="str">
        <f t="shared" ca="1" si="535"/>
        <v/>
      </c>
      <c r="BO384" s="222" t="str">
        <f t="shared" ca="1" si="535"/>
        <v/>
      </c>
      <c r="BP384" s="222" t="str">
        <f t="shared" ca="1" si="535"/>
        <v/>
      </c>
      <c r="BQ384" s="222" t="str">
        <f t="shared" ca="1" si="535"/>
        <v/>
      </c>
      <c r="BR384" s="222" t="str">
        <f t="shared" ca="1" si="535"/>
        <v/>
      </c>
      <c r="BS384" s="222" t="str">
        <f t="shared" ca="1" si="535"/>
        <v/>
      </c>
      <c r="BT384" s="222" t="str">
        <f t="shared" ca="1" si="536"/>
        <v/>
      </c>
      <c r="BU384" s="222" t="str">
        <f t="shared" ca="1" si="536"/>
        <v/>
      </c>
      <c r="BV384" s="222" t="str">
        <f t="shared" ca="1" si="536"/>
        <v/>
      </c>
      <c r="BW384" s="222" t="str">
        <f t="shared" ca="1" si="536"/>
        <v/>
      </c>
      <c r="BX384" s="222" t="str">
        <f t="shared" ca="1" si="536"/>
        <v/>
      </c>
      <c r="BY384" s="222" t="str">
        <f t="shared" ca="1" si="536"/>
        <v/>
      </c>
      <c r="BZ384" s="368" t="str">
        <f t="shared" ca="1" si="536"/>
        <v/>
      </c>
      <c r="CC384" s="482">
        <f t="shared" si="488"/>
        <v>63</v>
      </c>
    </row>
    <row r="385" spans="1:81">
      <c r="A385" s="326" t="str">
        <v/>
      </c>
      <c r="B385" s="222" t="str">
        <f t="shared" ca="1" si="529"/>
        <v/>
      </c>
      <c r="C385" s="222" t="str">
        <f t="shared" ca="1" si="529"/>
        <v/>
      </c>
      <c r="D385" s="222" t="str">
        <f t="shared" ca="1" si="529"/>
        <v/>
      </c>
      <c r="E385" s="222" t="str">
        <f t="shared" ca="1" si="529"/>
        <v/>
      </c>
      <c r="F385" s="222" t="str">
        <f t="shared" ca="1" si="529"/>
        <v/>
      </c>
      <c r="G385" s="222" t="str">
        <f t="shared" ca="1" si="529"/>
        <v/>
      </c>
      <c r="H385" s="222" t="str">
        <f t="shared" ca="1" si="529"/>
        <v/>
      </c>
      <c r="I385" s="222" t="str">
        <f t="shared" ca="1" si="529"/>
        <v/>
      </c>
      <c r="J385" s="222" t="str">
        <f t="shared" ca="1" si="529"/>
        <v/>
      </c>
      <c r="K385" s="222" t="str">
        <f t="shared" ca="1" si="529"/>
        <v/>
      </c>
      <c r="L385" s="222" t="str">
        <f t="shared" ca="1" si="530"/>
        <v/>
      </c>
      <c r="M385" s="222" t="str">
        <f t="shared" ca="1" si="530"/>
        <v/>
      </c>
      <c r="N385" s="222" t="str">
        <f t="shared" ca="1" si="530"/>
        <v/>
      </c>
      <c r="O385" s="222" t="str">
        <f t="shared" ca="1" si="530"/>
        <v/>
      </c>
      <c r="P385" s="222" t="str">
        <f t="shared" ca="1" si="530"/>
        <v/>
      </c>
      <c r="Q385" s="222" t="str">
        <f t="shared" ca="1" si="530"/>
        <v/>
      </c>
      <c r="R385" s="222" t="str">
        <f t="shared" ca="1" si="530"/>
        <v/>
      </c>
      <c r="S385" s="222" t="str">
        <f t="shared" ca="1" si="530"/>
        <v/>
      </c>
      <c r="T385" s="222" t="str">
        <f t="shared" ca="1" si="530"/>
        <v/>
      </c>
      <c r="U385" s="222" t="str">
        <f t="shared" ca="1" si="530"/>
        <v/>
      </c>
      <c r="V385" s="222" t="str">
        <f t="shared" ca="1" si="531"/>
        <v/>
      </c>
      <c r="W385" s="222" t="str">
        <f t="shared" ca="1" si="531"/>
        <v/>
      </c>
      <c r="X385" s="222" t="str">
        <f t="shared" ca="1" si="531"/>
        <v/>
      </c>
      <c r="Y385" s="222" t="str">
        <f t="shared" ca="1" si="531"/>
        <v/>
      </c>
      <c r="Z385" s="222" t="str">
        <f t="shared" ca="1" si="531"/>
        <v/>
      </c>
      <c r="AA385" s="222" t="str">
        <f t="shared" ca="1" si="531"/>
        <v/>
      </c>
      <c r="AB385" s="222" t="str">
        <f t="shared" ca="1" si="531"/>
        <v/>
      </c>
      <c r="AC385" s="222" t="str">
        <f t="shared" ca="1" si="531"/>
        <v/>
      </c>
      <c r="AD385" s="222" t="str">
        <f t="shared" ca="1" si="531"/>
        <v/>
      </c>
      <c r="AE385" s="222" t="str">
        <f t="shared" ca="1" si="531"/>
        <v/>
      </c>
      <c r="AF385" s="222" t="str">
        <f t="shared" ca="1" si="532"/>
        <v/>
      </c>
      <c r="AG385" s="222" t="str">
        <f t="shared" ca="1" si="532"/>
        <v/>
      </c>
      <c r="AH385" s="222" t="str">
        <f t="shared" ca="1" si="532"/>
        <v/>
      </c>
      <c r="AI385" s="222" t="str">
        <f t="shared" ca="1" si="532"/>
        <v/>
      </c>
      <c r="AJ385" s="222" t="str">
        <f t="shared" ca="1" si="532"/>
        <v/>
      </c>
      <c r="AK385" s="222" t="str">
        <f t="shared" ca="1" si="532"/>
        <v/>
      </c>
      <c r="AL385" s="222" t="str">
        <f t="shared" ca="1" si="532"/>
        <v/>
      </c>
      <c r="AM385" s="222" t="str">
        <f t="shared" ca="1" si="532"/>
        <v/>
      </c>
      <c r="AN385" s="222" t="str">
        <f t="shared" ca="1" si="532"/>
        <v/>
      </c>
      <c r="AO385" s="222" t="str">
        <f t="shared" ca="1" si="532"/>
        <v/>
      </c>
      <c r="AP385" s="222" t="str">
        <f t="shared" ca="1" si="533"/>
        <v/>
      </c>
      <c r="AQ385" s="222" t="str">
        <f t="shared" ca="1" si="533"/>
        <v/>
      </c>
      <c r="AR385" s="222" t="str">
        <f t="shared" ca="1" si="533"/>
        <v/>
      </c>
      <c r="AS385" s="222" t="str">
        <f t="shared" ca="1" si="533"/>
        <v/>
      </c>
      <c r="AT385" s="222" t="str">
        <f t="shared" ca="1" si="533"/>
        <v/>
      </c>
      <c r="AU385" s="222" t="str">
        <f t="shared" ca="1" si="533"/>
        <v/>
      </c>
      <c r="AV385" s="222" t="str">
        <f t="shared" ca="1" si="533"/>
        <v/>
      </c>
      <c r="AW385" s="222" t="str">
        <f t="shared" ca="1" si="533"/>
        <v/>
      </c>
      <c r="AX385" s="222" t="str">
        <f t="shared" ca="1" si="533"/>
        <v/>
      </c>
      <c r="AY385" s="222" t="str">
        <f t="shared" ca="1" si="533"/>
        <v/>
      </c>
      <c r="AZ385" s="222" t="str">
        <f t="shared" ca="1" si="534"/>
        <v/>
      </c>
      <c r="BA385" s="222" t="str">
        <f t="shared" ca="1" si="534"/>
        <v/>
      </c>
      <c r="BB385" s="222" t="str">
        <f t="shared" ca="1" si="534"/>
        <v/>
      </c>
      <c r="BC385" s="222" t="str">
        <f t="shared" ca="1" si="534"/>
        <v/>
      </c>
      <c r="BD385" s="222" t="str">
        <f t="shared" ca="1" si="534"/>
        <v/>
      </c>
      <c r="BE385" s="222" t="str">
        <f t="shared" ca="1" si="534"/>
        <v/>
      </c>
      <c r="BF385" s="222" t="str">
        <f t="shared" ca="1" si="534"/>
        <v/>
      </c>
      <c r="BG385" s="222" t="str">
        <f t="shared" ca="1" si="534"/>
        <v/>
      </c>
      <c r="BH385" s="222" t="str">
        <f t="shared" ca="1" si="534"/>
        <v/>
      </c>
      <c r="BI385" s="222" t="str">
        <f t="shared" ca="1" si="534"/>
        <v/>
      </c>
      <c r="BJ385" s="222" t="str">
        <f t="shared" ca="1" si="535"/>
        <v/>
      </c>
      <c r="BK385" s="222" t="str">
        <f t="shared" ca="1" si="535"/>
        <v/>
      </c>
      <c r="BL385" s="222" t="str">
        <f t="shared" ca="1" si="535"/>
        <v/>
      </c>
      <c r="BM385" s="222" t="str">
        <f t="shared" ca="1" si="535"/>
        <v/>
      </c>
      <c r="BN385" s="222" t="str">
        <f t="shared" ca="1" si="535"/>
        <v/>
      </c>
      <c r="BO385" s="222" t="str">
        <f t="shared" ca="1" si="535"/>
        <v/>
      </c>
      <c r="BP385" s="222" t="str">
        <f t="shared" ca="1" si="535"/>
        <v/>
      </c>
      <c r="BQ385" s="222" t="str">
        <f t="shared" ca="1" si="535"/>
        <v/>
      </c>
      <c r="BR385" s="222" t="str">
        <f t="shared" ca="1" si="535"/>
        <v/>
      </c>
      <c r="BS385" s="222" t="str">
        <f t="shared" ca="1" si="535"/>
        <v/>
      </c>
      <c r="BT385" s="222" t="str">
        <f t="shared" ca="1" si="536"/>
        <v/>
      </c>
      <c r="BU385" s="222" t="str">
        <f t="shared" ca="1" si="536"/>
        <v/>
      </c>
      <c r="BV385" s="222" t="str">
        <f t="shared" ca="1" si="536"/>
        <v/>
      </c>
      <c r="BW385" s="222" t="str">
        <f t="shared" ca="1" si="536"/>
        <v/>
      </c>
      <c r="BX385" s="222" t="str">
        <f t="shared" ca="1" si="536"/>
        <v/>
      </c>
      <c r="BY385" s="222" t="str">
        <f t="shared" ca="1" si="536"/>
        <v/>
      </c>
      <c r="BZ385" s="368" t="str">
        <f t="shared" ca="1" si="536"/>
        <v/>
      </c>
      <c r="CC385" s="482">
        <f t="shared" si="488"/>
        <v>64</v>
      </c>
    </row>
    <row r="386" spans="1:81">
      <c r="A386" s="326" t="str">
        <v/>
      </c>
      <c r="B386" s="222" t="str">
        <f t="shared" ca="1" si="529"/>
        <v/>
      </c>
      <c r="C386" s="222" t="str">
        <f t="shared" ca="1" si="529"/>
        <v/>
      </c>
      <c r="D386" s="222" t="str">
        <f t="shared" ca="1" si="529"/>
        <v/>
      </c>
      <c r="E386" s="222" t="str">
        <f t="shared" ca="1" si="529"/>
        <v/>
      </c>
      <c r="F386" s="222" t="str">
        <f t="shared" ca="1" si="529"/>
        <v/>
      </c>
      <c r="G386" s="222" t="str">
        <f t="shared" ca="1" si="529"/>
        <v/>
      </c>
      <c r="H386" s="222" t="str">
        <f t="shared" ca="1" si="529"/>
        <v/>
      </c>
      <c r="I386" s="222" t="str">
        <f t="shared" ca="1" si="529"/>
        <v/>
      </c>
      <c r="J386" s="222" t="str">
        <f t="shared" ca="1" si="529"/>
        <v/>
      </c>
      <c r="K386" s="222" t="str">
        <f t="shared" ca="1" si="529"/>
        <v/>
      </c>
      <c r="L386" s="222" t="str">
        <f t="shared" ca="1" si="530"/>
        <v/>
      </c>
      <c r="M386" s="222" t="str">
        <f t="shared" ca="1" si="530"/>
        <v/>
      </c>
      <c r="N386" s="222" t="str">
        <f t="shared" ca="1" si="530"/>
        <v/>
      </c>
      <c r="O386" s="222" t="str">
        <f t="shared" ca="1" si="530"/>
        <v/>
      </c>
      <c r="P386" s="222" t="str">
        <f t="shared" ca="1" si="530"/>
        <v/>
      </c>
      <c r="Q386" s="222" t="str">
        <f t="shared" ca="1" si="530"/>
        <v/>
      </c>
      <c r="R386" s="222" t="str">
        <f t="shared" ca="1" si="530"/>
        <v/>
      </c>
      <c r="S386" s="222" t="str">
        <f t="shared" ca="1" si="530"/>
        <v/>
      </c>
      <c r="T386" s="222" t="str">
        <f t="shared" ca="1" si="530"/>
        <v/>
      </c>
      <c r="U386" s="222" t="str">
        <f t="shared" ca="1" si="530"/>
        <v/>
      </c>
      <c r="V386" s="222" t="str">
        <f t="shared" ca="1" si="531"/>
        <v/>
      </c>
      <c r="W386" s="222" t="str">
        <f t="shared" ca="1" si="531"/>
        <v/>
      </c>
      <c r="X386" s="222" t="str">
        <f t="shared" ca="1" si="531"/>
        <v/>
      </c>
      <c r="Y386" s="222" t="str">
        <f t="shared" ca="1" si="531"/>
        <v/>
      </c>
      <c r="Z386" s="222" t="str">
        <f t="shared" ca="1" si="531"/>
        <v/>
      </c>
      <c r="AA386" s="222" t="str">
        <f t="shared" ca="1" si="531"/>
        <v/>
      </c>
      <c r="AB386" s="222" t="str">
        <f t="shared" ca="1" si="531"/>
        <v/>
      </c>
      <c r="AC386" s="222" t="str">
        <f t="shared" ca="1" si="531"/>
        <v/>
      </c>
      <c r="AD386" s="222" t="str">
        <f t="shared" ca="1" si="531"/>
        <v/>
      </c>
      <c r="AE386" s="222" t="str">
        <f t="shared" ca="1" si="531"/>
        <v/>
      </c>
      <c r="AF386" s="222" t="str">
        <f t="shared" ca="1" si="532"/>
        <v/>
      </c>
      <c r="AG386" s="222" t="str">
        <f t="shared" ca="1" si="532"/>
        <v/>
      </c>
      <c r="AH386" s="222" t="str">
        <f t="shared" ca="1" si="532"/>
        <v/>
      </c>
      <c r="AI386" s="222" t="str">
        <f t="shared" ca="1" si="532"/>
        <v/>
      </c>
      <c r="AJ386" s="222" t="str">
        <f t="shared" ca="1" si="532"/>
        <v/>
      </c>
      <c r="AK386" s="222" t="str">
        <f t="shared" ca="1" si="532"/>
        <v/>
      </c>
      <c r="AL386" s="222" t="str">
        <f t="shared" ca="1" si="532"/>
        <v/>
      </c>
      <c r="AM386" s="222" t="str">
        <f t="shared" ca="1" si="532"/>
        <v/>
      </c>
      <c r="AN386" s="222" t="str">
        <f t="shared" ca="1" si="532"/>
        <v/>
      </c>
      <c r="AO386" s="222" t="str">
        <f t="shared" ca="1" si="532"/>
        <v/>
      </c>
      <c r="AP386" s="222" t="str">
        <f t="shared" ca="1" si="533"/>
        <v/>
      </c>
      <c r="AQ386" s="222" t="str">
        <f t="shared" ca="1" si="533"/>
        <v/>
      </c>
      <c r="AR386" s="222" t="str">
        <f t="shared" ca="1" si="533"/>
        <v/>
      </c>
      <c r="AS386" s="222" t="str">
        <f t="shared" ca="1" si="533"/>
        <v/>
      </c>
      <c r="AT386" s="222" t="str">
        <f t="shared" ca="1" si="533"/>
        <v/>
      </c>
      <c r="AU386" s="222" t="str">
        <f t="shared" ca="1" si="533"/>
        <v/>
      </c>
      <c r="AV386" s="222" t="str">
        <f t="shared" ca="1" si="533"/>
        <v/>
      </c>
      <c r="AW386" s="222" t="str">
        <f t="shared" ca="1" si="533"/>
        <v/>
      </c>
      <c r="AX386" s="222" t="str">
        <f t="shared" ca="1" si="533"/>
        <v/>
      </c>
      <c r="AY386" s="222" t="str">
        <f t="shared" ca="1" si="533"/>
        <v/>
      </c>
      <c r="AZ386" s="222" t="str">
        <f t="shared" ca="1" si="534"/>
        <v/>
      </c>
      <c r="BA386" s="222" t="str">
        <f t="shared" ca="1" si="534"/>
        <v/>
      </c>
      <c r="BB386" s="222" t="str">
        <f t="shared" ca="1" si="534"/>
        <v/>
      </c>
      <c r="BC386" s="222" t="str">
        <f t="shared" ca="1" si="534"/>
        <v/>
      </c>
      <c r="BD386" s="222" t="str">
        <f t="shared" ca="1" si="534"/>
        <v/>
      </c>
      <c r="BE386" s="222" t="str">
        <f t="shared" ca="1" si="534"/>
        <v/>
      </c>
      <c r="BF386" s="222" t="str">
        <f t="shared" ca="1" si="534"/>
        <v/>
      </c>
      <c r="BG386" s="222" t="str">
        <f t="shared" ca="1" si="534"/>
        <v/>
      </c>
      <c r="BH386" s="222" t="str">
        <f t="shared" ca="1" si="534"/>
        <v/>
      </c>
      <c r="BI386" s="222" t="str">
        <f t="shared" ca="1" si="534"/>
        <v/>
      </c>
      <c r="BJ386" s="222" t="str">
        <f t="shared" ca="1" si="535"/>
        <v/>
      </c>
      <c r="BK386" s="222" t="str">
        <f t="shared" ca="1" si="535"/>
        <v/>
      </c>
      <c r="BL386" s="222" t="str">
        <f t="shared" ca="1" si="535"/>
        <v/>
      </c>
      <c r="BM386" s="222" t="str">
        <f t="shared" ca="1" si="535"/>
        <v/>
      </c>
      <c r="BN386" s="222" t="str">
        <f t="shared" ca="1" si="535"/>
        <v/>
      </c>
      <c r="BO386" s="222" t="str">
        <f t="shared" ca="1" si="535"/>
        <v/>
      </c>
      <c r="BP386" s="222" t="str">
        <f t="shared" ca="1" si="535"/>
        <v/>
      </c>
      <c r="BQ386" s="222" t="str">
        <f t="shared" ca="1" si="535"/>
        <v/>
      </c>
      <c r="BR386" s="222" t="str">
        <f t="shared" ca="1" si="535"/>
        <v/>
      </c>
      <c r="BS386" s="222" t="str">
        <f t="shared" ca="1" si="535"/>
        <v/>
      </c>
      <c r="BT386" s="222" t="str">
        <f t="shared" ca="1" si="536"/>
        <v/>
      </c>
      <c r="BU386" s="222" t="str">
        <f t="shared" ca="1" si="536"/>
        <v/>
      </c>
      <c r="BV386" s="222" t="str">
        <f t="shared" ca="1" si="536"/>
        <v/>
      </c>
      <c r="BW386" s="222" t="str">
        <f t="shared" ca="1" si="536"/>
        <v/>
      </c>
      <c r="BX386" s="222" t="str">
        <f t="shared" ca="1" si="536"/>
        <v/>
      </c>
      <c r="BY386" s="222" t="str">
        <f t="shared" ca="1" si="536"/>
        <v/>
      </c>
      <c r="BZ386" s="368" t="str">
        <f t="shared" ca="1" si="536"/>
        <v/>
      </c>
      <c r="CC386" s="482">
        <f t="shared" ref="CC386:CC397" si="537">ROW()-ROW(CC$320)-1</f>
        <v>65</v>
      </c>
    </row>
    <row r="387" spans="1:81">
      <c r="A387" s="326" t="str">
        <v/>
      </c>
      <c r="B387" s="222" t="str">
        <f t="shared" ca="1" si="529"/>
        <v/>
      </c>
      <c r="C387" s="222" t="str">
        <f t="shared" ca="1" si="529"/>
        <v/>
      </c>
      <c r="D387" s="222" t="str">
        <f t="shared" ca="1" si="529"/>
        <v/>
      </c>
      <c r="E387" s="222" t="str">
        <f t="shared" ca="1" si="529"/>
        <v/>
      </c>
      <c r="F387" s="222" t="str">
        <f t="shared" ca="1" si="529"/>
        <v/>
      </c>
      <c r="G387" s="222" t="str">
        <f t="shared" ca="1" si="529"/>
        <v/>
      </c>
      <c r="H387" s="222" t="str">
        <f t="shared" ca="1" si="529"/>
        <v/>
      </c>
      <c r="I387" s="222" t="str">
        <f t="shared" ca="1" si="529"/>
        <v/>
      </c>
      <c r="J387" s="222" t="str">
        <f t="shared" ca="1" si="529"/>
        <v/>
      </c>
      <c r="K387" s="222" t="str">
        <f t="shared" ca="1" si="529"/>
        <v/>
      </c>
      <c r="L387" s="222" t="str">
        <f t="shared" ca="1" si="530"/>
        <v/>
      </c>
      <c r="M387" s="222" t="str">
        <f t="shared" ca="1" si="530"/>
        <v/>
      </c>
      <c r="N387" s="222" t="str">
        <f t="shared" ca="1" si="530"/>
        <v/>
      </c>
      <c r="O387" s="222" t="str">
        <f t="shared" ca="1" si="530"/>
        <v/>
      </c>
      <c r="P387" s="222" t="str">
        <f t="shared" ca="1" si="530"/>
        <v/>
      </c>
      <c r="Q387" s="222" t="str">
        <f t="shared" ca="1" si="530"/>
        <v/>
      </c>
      <c r="R387" s="222" t="str">
        <f t="shared" ca="1" si="530"/>
        <v/>
      </c>
      <c r="S387" s="222" t="str">
        <f t="shared" ca="1" si="530"/>
        <v/>
      </c>
      <c r="T387" s="222" t="str">
        <f t="shared" ca="1" si="530"/>
        <v/>
      </c>
      <c r="U387" s="222" t="str">
        <f t="shared" ca="1" si="530"/>
        <v/>
      </c>
      <c r="V387" s="222" t="str">
        <f t="shared" ca="1" si="531"/>
        <v/>
      </c>
      <c r="W387" s="222" t="str">
        <f t="shared" ca="1" si="531"/>
        <v/>
      </c>
      <c r="X387" s="222" t="str">
        <f t="shared" ca="1" si="531"/>
        <v/>
      </c>
      <c r="Y387" s="222" t="str">
        <f t="shared" ca="1" si="531"/>
        <v/>
      </c>
      <c r="Z387" s="222" t="str">
        <f t="shared" ca="1" si="531"/>
        <v/>
      </c>
      <c r="AA387" s="222" t="str">
        <f t="shared" ca="1" si="531"/>
        <v/>
      </c>
      <c r="AB387" s="222" t="str">
        <f t="shared" ca="1" si="531"/>
        <v/>
      </c>
      <c r="AC387" s="222" t="str">
        <f t="shared" ca="1" si="531"/>
        <v/>
      </c>
      <c r="AD387" s="222" t="str">
        <f t="shared" ca="1" si="531"/>
        <v/>
      </c>
      <c r="AE387" s="222" t="str">
        <f t="shared" ca="1" si="531"/>
        <v/>
      </c>
      <c r="AF387" s="222" t="str">
        <f t="shared" ca="1" si="532"/>
        <v/>
      </c>
      <c r="AG387" s="222" t="str">
        <f t="shared" ca="1" si="532"/>
        <v/>
      </c>
      <c r="AH387" s="222" t="str">
        <f t="shared" ca="1" si="532"/>
        <v/>
      </c>
      <c r="AI387" s="222" t="str">
        <f t="shared" ca="1" si="532"/>
        <v/>
      </c>
      <c r="AJ387" s="222" t="str">
        <f t="shared" ca="1" si="532"/>
        <v/>
      </c>
      <c r="AK387" s="222" t="str">
        <f t="shared" ca="1" si="532"/>
        <v/>
      </c>
      <c r="AL387" s="222" t="str">
        <f t="shared" ca="1" si="532"/>
        <v/>
      </c>
      <c r="AM387" s="222" t="str">
        <f t="shared" ca="1" si="532"/>
        <v/>
      </c>
      <c r="AN387" s="222" t="str">
        <f t="shared" ca="1" si="532"/>
        <v/>
      </c>
      <c r="AO387" s="222" t="str">
        <f t="shared" ca="1" si="532"/>
        <v/>
      </c>
      <c r="AP387" s="222" t="str">
        <f t="shared" ca="1" si="533"/>
        <v/>
      </c>
      <c r="AQ387" s="222" t="str">
        <f t="shared" ca="1" si="533"/>
        <v/>
      </c>
      <c r="AR387" s="222" t="str">
        <f t="shared" ca="1" si="533"/>
        <v/>
      </c>
      <c r="AS387" s="222" t="str">
        <f t="shared" ca="1" si="533"/>
        <v/>
      </c>
      <c r="AT387" s="222" t="str">
        <f t="shared" ca="1" si="533"/>
        <v/>
      </c>
      <c r="AU387" s="222" t="str">
        <f t="shared" ca="1" si="533"/>
        <v/>
      </c>
      <c r="AV387" s="222" t="str">
        <f t="shared" ca="1" si="533"/>
        <v/>
      </c>
      <c r="AW387" s="222" t="str">
        <f t="shared" ca="1" si="533"/>
        <v/>
      </c>
      <c r="AX387" s="222" t="str">
        <f t="shared" ca="1" si="533"/>
        <v/>
      </c>
      <c r="AY387" s="222" t="str">
        <f t="shared" ca="1" si="533"/>
        <v/>
      </c>
      <c r="AZ387" s="222" t="str">
        <f t="shared" ca="1" si="534"/>
        <v/>
      </c>
      <c r="BA387" s="222" t="str">
        <f t="shared" ca="1" si="534"/>
        <v/>
      </c>
      <c r="BB387" s="222" t="str">
        <f t="shared" ca="1" si="534"/>
        <v/>
      </c>
      <c r="BC387" s="222" t="str">
        <f t="shared" ca="1" si="534"/>
        <v/>
      </c>
      <c r="BD387" s="222" t="str">
        <f t="shared" ca="1" si="534"/>
        <v/>
      </c>
      <c r="BE387" s="222" t="str">
        <f t="shared" ca="1" si="534"/>
        <v/>
      </c>
      <c r="BF387" s="222" t="str">
        <f t="shared" ca="1" si="534"/>
        <v/>
      </c>
      <c r="BG387" s="222" t="str">
        <f t="shared" ca="1" si="534"/>
        <v/>
      </c>
      <c r="BH387" s="222" t="str">
        <f t="shared" ca="1" si="534"/>
        <v/>
      </c>
      <c r="BI387" s="222" t="str">
        <f t="shared" ca="1" si="534"/>
        <v/>
      </c>
      <c r="BJ387" s="222" t="str">
        <f t="shared" ca="1" si="535"/>
        <v/>
      </c>
      <c r="BK387" s="222" t="str">
        <f t="shared" ca="1" si="535"/>
        <v/>
      </c>
      <c r="BL387" s="222" t="str">
        <f t="shared" ca="1" si="535"/>
        <v/>
      </c>
      <c r="BM387" s="222" t="str">
        <f t="shared" ca="1" si="535"/>
        <v/>
      </c>
      <c r="BN387" s="222" t="str">
        <f t="shared" ca="1" si="535"/>
        <v/>
      </c>
      <c r="BO387" s="222" t="str">
        <f t="shared" ca="1" si="535"/>
        <v/>
      </c>
      <c r="BP387" s="222" t="str">
        <f t="shared" ca="1" si="535"/>
        <v/>
      </c>
      <c r="BQ387" s="222" t="str">
        <f t="shared" ca="1" si="535"/>
        <v/>
      </c>
      <c r="BR387" s="222" t="str">
        <f t="shared" ca="1" si="535"/>
        <v/>
      </c>
      <c r="BS387" s="222" t="str">
        <f t="shared" ca="1" si="535"/>
        <v/>
      </c>
      <c r="BT387" s="222" t="str">
        <f t="shared" ca="1" si="536"/>
        <v/>
      </c>
      <c r="BU387" s="222" t="str">
        <f t="shared" ca="1" si="536"/>
        <v/>
      </c>
      <c r="BV387" s="222" t="str">
        <f t="shared" ca="1" si="536"/>
        <v/>
      </c>
      <c r="BW387" s="222" t="str">
        <f t="shared" ca="1" si="536"/>
        <v/>
      </c>
      <c r="BX387" s="222" t="str">
        <f t="shared" ca="1" si="536"/>
        <v/>
      </c>
      <c r="BY387" s="222" t="str">
        <f t="shared" ca="1" si="536"/>
        <v/>
      </c>
      <c r="BZ387" s="368" t="str">
        <f t="shared" ca="1" si="536"/>
        <v/>
      </c>
      <c r="CC387" s="482">
        <f t="shared" si="537"/>
        <v>66</v>
      </c>
    </row>
    <row r="388" spans="1:81">
      <c r="A388" s="326" t="str">
        <v/>
      </c>
      <c r="B388" s="222" t="str">
        <f t="shared" ca="1" si="529"/>
        <v/>
      </c>
      <c r="C388" s="222" t="str">
        <f t="shared" ca="1" si="529"/>
        <v/>
      </c>
      <c r="D388" s="222" t="str">
        <f t="shared" ca="1" si="529"/>
        <v/>
      </c>
      <c r="E388" s="222" t="str">
        <f t="shared" ca="1" si="529"/>
        <v/>
      </c>
      <c r="F388" s="222" t="str">
        <f t="shared" ca="1" si="529"/>
        <v/>
      </c>
      <c r="G388" s="222" t="str">
        <f t="shared" ca="1" si="529"/>
        <v/>
      </c>
      <c r="H388" s="222" t="str">
        <f t="shared" ca="1" si="529"/>
        <v/>
      </c>
      <c r="I388" s="222" t="str">
        <f t="shared" ca="1" si="529"/>
        <v/>
      </c>
      <c r="J388" s="222" t="str">
        <f t="shared" ca="1" si="529"/>
        <v/>
      </c>
      <c r="K388" s="222" t="str">
        <f t="shared" ca="1" si="529"/>
        <v/>
      </c>
      <c r="L388" s="222" t="str">
        <f t="shared" ca="1" si="530"/>
        <v/>
      </c>
      <c r="M388" s="222" t="str">
        <f t="shared" ca="1" si="530"/>
        <v/>
      </c>
      <c r="N388" s="222" t="str">
        <f t="shared" ca="1" si="530"/>
        <v/>
      </c>
      <c r="O388" s="222" t="str">
        <f t="shared" ca="1" si="530"/>
        <v/>
      </c>
      <c r="P388" s="222" t="str">
        <f t="shared" ca="1" si="530"/>
        <v/>
      </c>
      <c r="Q388" s="222" t="str">
        <f t="shared" ca="1" si="530"/>
        <v/>
      </c>
      <c r="R388" s="222" t="str">
        <f t="shared" ca="1" si="530"/>
        <v/>
      </c>
      <c r="S388" s="222" t="str">
        <f t="shared" ca="1" si="530"/>
        <v/>
      </c>
      <c r="T388" s="222" t="str">
        <f t="shared" ca="1" si="530"/>
        <v/>
      </c>
      <c r="U388" s="222" t="str">
        <f t="shared" ca="1" si="530"/>
        <v/>
      </c>
      <c r="V388" s="222" t="str">
        <f t="shared" ca="1" si="531"/>
        <v/>
      </c>
      <c r="W388" s="222" t="str">
        <f t="shared" ca="1" si="531"/>
        <v/>
      </c>
      <c r="X388" s="222" t="str">
        <f t="shared" ca="1" si="531"/>
        <v/>
      </c>
      <c r="Y388" s="222" t="str">
        <f t="shared" ca="1" si="531"/>
        <v/>
      </c>
      <c r="Z388" s="222" t="str">
        <f t="shared" ca="1" si="531"/>
        <v/>
      </c>
      <c r="AA388" s="222" t="str">
        <f t="shared" ca="1" si="531"/>
        <v/>
      </c>
      <c r="AB388" s="222" t="str">
        <f t="shared" ca="1" si="531"/>
        <v/>
      </c>
      <c r="AC388" s="222" t="str">
        <f t="shared" ca="1" si="531"/>
        <v/>
      </c>
      <c r="AD388" s="222" t="str">
        <f t="shared" ca="1" si="531"/>
        <v/>
      </c>
      <c r="AE388" s="222" t="str">
        <f t="shared" ca="1" si="531"/>
        <v/>
      </c>
      <c r="AF388" s="222" t="str">
        <f t="shared" ca="1" si="532"/>
        <v/>
      </c>
      <c r="AG388" s="222" t="str">
        <f t="shared" ca="1" si="532"/>
        <v/>
      </c>
      <c r="AH388" s="222" t="str">
        <f t="shared" ca="1" si="532"/>
        <v/>
      </c>
      <c r="AI388" s="222" t="str">
        <f t="shared" ca="1" si="532"/>
        <v/>
      </c>
      <c r="AJ388" s="222" t="str">
        <f t="shared" ca="1" si="532"/>
        <v/>
      </c>
      <c r="AK388" s="222" t="str">
        <f t="shared" ca="1" si="532"/>
        <v/>
      </c>
      <c r="AL388" s="222" t="str">
        <f t="shared" ca="1" si="532"/>
        <v/>
      </c>
      <c r="AM388" s="222" t="str">
        <f t="shared" ca="1" si="532"/>
        <v/>
      </c>
      <c r="AN388" s="222" t="str">
        <f t="shared" ca="1" si="532"/>
        <v/>
      </c>
      <c r="AO388" s="222" t="str">
        <f t="shared" ca="1" si="532"/>
        <v/>
      </c>
      <c r="AP388" s="222" t="str">
        <f t="shared" ca="1" si="533"/>
        <v/>
      </c>
      <c r="AQ388" s="222" t="str">
        <f t="shared" ca="1" si="533"/>
        <v/>
      </c>
      <c r="AR388" s="222" t="str">
        <f t="shared" ca="1" si="533"/>
        <v/>
      </c>
      <c r="AS388" s="222" t="str">
        <f t="shared" ca="1" si="533"/>
        <v/>
      </c>
      <c r="AT388" s="222" t="str">
        <f t="shared" ca="1" si="533"/>
        <v/>
      </c>
      <c r="AU388" s="222" t="str">
        <f t="shared" ca="1" si="533"/>
        <v/>
      </c>
      <c r="AV388" s="222" t="str">
        <f t="shared" ca="1" si="533"/>
        <v/>
      </c>
      <c r="AW388" s="222" t="str">
        <f t="shared" ca="1" si="533"/>
        <v/>
      </c>
      <c r="AX388" s="222" t="str">
        <f t="shared" ca="1" si="533"/>
        <v/>
      </c>
      <c r="AY388" s="222" t="str">
        <f t="shared" ca="1" si="533"/>
        <v/>
      </c>
      <c r="AZ388" s="222" t="str">
        <f t="shared" ca="1" si="534"/>
        <v/>
      </c>
      <c r="BA388" s="222" t="str">
        <f t="shared" ca="1" si="534"/>
        <v/>
      </c>
      <c r="BB388" s="222" t="str">
        <f t="shared" ca="1" si="534"/>
        <v/>
      </c>
      <c r="BC388" s="222" t="str">
        <f t="shared" ca="1" si="534"/>
        <v/>
      </c>
      <c r="BD388" s="222" t="str">
        <f t="shared" ca="1" si="534"/>
        <v/>
      </c>
      <c r="BE388" s="222" t="str">
        <f t="shared" ca="1" si="534"/>
        <v/>
      </c>
      <c r="BF388" s="222" t="str">
        <f t="shared" ca="1" si="534"/>
        <v/>
      </c>
      <c r="BG388" s="222" t="str">
        <f t="shared" ca="1" si="534"/>
        <v/>
      </c>
      <c r="BH388" s="222" t="str">
        <f t="shared" ca="1" si="534"/>
        <v/>
      </c>
      <c r="BI388" s="222" t="str">
        <f t="shared" ca="1" si="534"/>
        <v/>
      </c>
      <c r="BJ388" s="222" t="str">
        <f t="shared" ca="1" si="535"/>
        <v/>
      </c>
      <c r="BK388" s="222" t="str">
        <f t="shared" ca="1" si="535"/>
        <v/>
      </c>
      <c r="BL388" s="222" t="str">
        <f t="shared" ca="1" si="535"/>
        <v/>
      </c>
      <c r="BM388" s="222" t="str">
        <f t="shared" ca="1" si="535"/>
        <v/>
      </c>
      <c r="BN388" s="222" t="str">
        <f t="shared" ca="1" si="535"/>
        <v/>
      </c>
      <c r="BO388" s="222" t="str">
        <f t="shared" ca="1" si="535"/>
        <v/>
      </c>
      <c r="BP388" s="222" t="str">
        <f t="shared" ca="1" si="535"/>
        <v/>
      </c>
      <c r="BQ388" s="222" t="str">
        <f t="shared" ca="1" si="535"/>
        <v/>
      </c>
      <c r="BR388" s="222" t="str">
        <f t="shared" ca="1" si="535"/>
        <v/>
      </c>
      <c r="BS388" s="222" t="str">
        <f t="shared" ca="1" si="535"/>
        <v/>
      </c>
      <c r="BT388" s="222" t="str">
        <f t="shared" ca="1" si="536"/>
        <v/>
      </c>
      <c r="BU388" s="222" t="str">
        <f t="shared" ca="1" si="536"/>
        <v/>
      </c>
      <c r="BV388" s="222" t="str">
        <f t="shared" ca="1" si="536"/>
        <v/>
      </c>
      <c r="BW388" s="222" t="str">
        <f t="shared" ca="1" si="536"/>
        <v/>
      </c>
      <c r="BX388" s="222" t="str">
        <f t="shared" ca="1" si="536"/>
        <v/>
      </c>
      <c r="BY388" s="222" t="str">
        <f t="shared" ca="1" si="536"/>
        <v/>
      </c>
      <c r="BZ388" s="368" t="str">
        <f t="shared" ca="1" si="536"/>
        <v/>
      </c>
      <c r="CC388" s="482">
        <f t="shared" si="537"/>
        <v>67</v>
      </c>
    </row>
    <row r="389" spans="1:81">
      <c r="A389" s="326" t="str">
        <v/>
      </c>
      <c r="B389" s="222" t="str">
        <f t="shared" ca="1" si="529"/>
        <v/>
      </c>
      <c r="C389" s="222" t="str">
        <f t="shared" ca="1" si="529"/>
        <v/>
      </c>
      <c r="D389" s="222" t="str">
        <f t="shared" ca="1" si="529"/>
        <v/>
      </c>
      <c r="E389" s="222" t="str">
        <f t="shared" ca="1" si="529"/>
        <v/>
      </c>
      <c r="F389" s="222" t="str">
        <f t="shared" ca="1" si="529"/>
        <v/>
      </c>
      <c r="G389" s="222" t="str">
        <f t="shared" ca="1" si="529"/>
        <v/>
      </c>
      <c r="H389" s="222" t="str">
        <f t="shared" ca="1" si="529"/>
        <v/>
      </c>
      <c r="I389" s="222" t="str">
        <f t="shared" ca="1" si="529"/>
        <v/>
      </c>
      <c r="J389" s="222" t="str">
        <f t="shared" ca="1" si="529"/>
        <v/>
      </c>
      <c r="K389" s="222" t="str">
        <f t="shared" ca="1" si="529"/>
        <v/>
      </c>
      <c r="L389" s="222" t="str">
        <f t="shared" ca="1" si="530"/>
        <v/>
      </c>
      <c r="M389" s="222" t="str">
        <f t="shared" ca="1" si="530"/>
        <v/>
      </c>
      <c r="N389" s="222" t="str">
        <f t="shared" ca="1" si="530"/>
        <v/>
      </c>
      <c r="O389" s="222" t="str">
        <f t="shared" ca="1" si="530"/>
        <v/>
      </c>
      <c r="P389" s="222" t="str">
        <f t="shared" ca="1" si="530"/>
        <v/>
      </c>
      <c r="Q389" s="222" t="str">
        <f t="shared" ca="1" si="530"/>
        <v/>
      </c>
      <c r="R389" s="222" t="str">
        <f t="shared" ca="1" si="530"/>
        <v/>
      </c>
      <c r="S389" s="222" t="str">
        <f t="shared" ca="1" si="530"/>
        <v/>
      </c>
      <c r="T389" s="222" t="str">
        <f t="shared" ca="1" si="530"/>
        <v/>
      </c>
      <c r="U389" s="222" t="str">
        <f t="shared" ca="1" si="530"/>
        <v/>
      </c>
      <c r="V389" s="222" t="str">
        <f t="shared" ca="1" si="531"/>
        <v/>
      </c>
      <c r="W389" s="222" t="str">
        <f t="shared" ca="1" si="531"/>
        <v/>
      </c>
      <c r="X389" s="222" t="str">
        <f t="shared" ca="1" si="531"/>
        <v/>
      </c>
      <c r="Y389" s="222" t="str">
        <f t="shared" ca="1" si="531"/>
        <v/>
      </c>
      <c r="Z389" s="222" t="str">
        <f t="shared" ca="1" si="531"/>
        <v/>
      </c>
      <c r="AA389" s="222" t="str">
        <f t="shared" ca="1" si="531"/>
        <v/>
      </c>
      <c r="AB389" s="222" t="str">
        <f t="shared" ca="1" si="531"/>
        <v/>
      </c>
      <c r="AC389" s="222" t="str">
        <f t="shared" ca="1" si="531"/>
        <v/>
      </c>
      <c r="AD389" s="222" t="str">
        <f t="shared" ca="1" si="531"/>
        <v/>
      </c>
      <c r="AE389" s="222" t="str">
        <f t="shared" ca="1" si="531"/>
        <v/>
      </c>
      <c r="AF389" s="222" t="str">
        <f t="shared" ca="1" si="532"/>
        <v/>
      </c>
      <c r="AG389" s="222" t="str">
        <f t="shared" ca="1" si="532"/>
        <v/>
      </c>
      <c r="AH389" s="222" t="str">
        <f t="shared" ca="1" si="532"/>
        <v/>
      </c>
      <c r="AI389" s="222" t="str">
        <f t="shared" ca="1" si="532"/>
        <v/>
      </c>
      <c r="AJ389" s="222" t="str">
        <f t="shared" ca="1" si="532"/>
        <v/>
      </c>
      <c r="AK389" s="222" t="str">
        <f t="shared" ca="1" si="532"/>
        <v/>
      </c>
      <c r="AL389" s="222" t="str">
        <f t="shared" ca="1" si="532"/>
        <v/>
      </c>
      <c r="AM389" s="222" t="str">
        <f t="shared" ca="1" si="532"/>
        <v/>
      </c>
      <c r="AN389" s="222" t="str">
        <f t="shared" ca="1" si="532"/>
        <v/>
      </c>
      <c r="AO389" s="222" t="str">
        <f t="shared" ca="1" si="532"/>
        <v/>
      </c>
      <c r="AP389" s="222" t="str">
        <f t="shared" ca="1" si="533"/>
        <v/>
      </c>
      <c r="AQ389" s="222" t="str">
        <f t="shared" ca="1" si="533"/>
        <v/>
      </c>
      <c r="AR389" s="222" t="str">
        <f t="shared" ca="1" si="533"/>
        <v/>
      </c>
      <c r="AS389" s="222" t="str">
        <f t="shared" ca="1" si="533"/>
        <v/>
      </c>
      <c r="AT389" s="222" t="str">
        <f t="shared" ca="1" si="533"/>
        <v/>
      </c>
      <c r="AU389" s="222" t="str">
        <f t="shared" ca="1" si="533"/>
        <v/>
      </c>
      <c r="AV389" s="222" t="str">
        <f t="shared" ca="1" si="533"/>
        <v/>
      </c>
      <c r="AW389" s="222" t="str">
        <f t="shared" ca="1" si="533"/>
        <v/>
      </c>
      <c r="AX389" s="222" t="str">
        <f t="shared" ca="1" si="533"/>
        <v/>
      </c>
      <c r="AY389" s="222" t="str">
        <f t="shared" ca="1" si="533"/>
        <v/>
      </c>
      <c r="AZ389" s="222" t="str">
        <f t="shared" ca="1" si="534"/>
        <v/>
      </c>
      <c r="BA389" s="222" t="str">
        <f t="shared" ca="1" si="534"/>
        <v/>
      </c>
      <c r="BB389" s="222" t="str">
        <f t="shared" ca="1" si="534"/>
        <v/>
      </c>
      <c r="BC389" s="222" t="str">
        <f t="shared" ca="1" si="534"/>
        <v/>
      </c>
      <c r="BD389" s="222" t="str">
        <f t="shared" ca="1" si="534"/>
        <v/>
      </c>
      <c r="BE389" s="222" t="str">
        <f t="shared" ca="1" si="534"/>
        <v/>
      </c>
      <c r="BF389" s="222" t="str">
        <f t="shared" ca="1" si="534"/>
        <v/>
      </c>
      <c r="BG389" s="222" t="str">
        <f t="shared" ca="1" si="534"/>
        <v/>
      </c>
      <c r="BH389" s="222" t="str">
        <f t="shared" ca="1" si="534"/>
        <v/>
      </c>
      <c r="BI389" s="222" t="str">
        <f t="shared" ca="1" si="534"/>
        <v/>
      </c>
      <c r="BJ389" s="222" t="str">
        <f t="shared" ca="1" si="535"/>
        <v/>
      </c>
      <c r="BK389" s="222" t="str">
        <f t="shared" ca="1" si="535"/>
        <v/>
      </c>
      <c r="BL389" s="222" t="str">
        <f t="shared" ca="1" si="535"/>
        <v/>
      </c>
      <c r="BM389" s="222" t="str">
        <f t="shared" ca="1" si="535"/>
        <v/>
      </c>
      <c r="BN389" s="222" t="str">
        <f t="shared" ca="1" si="535"/>
        <v/>
      </c>
      <c r="BO389" s="222" t="str">
        <f t="shared" ca="1" si="535"/>
        <v/>
      </c>
      <c r="BP389" s="222" t="str">
        <f t="shared" ca="1" si="535"/>
        <v/>
      </c>
      <c r="BQ389" s="222" t="str">
        <f t="shared" ca="1" si="535"/>
        <v/>
      </c>
      <c r="BR389" s="222" t="str">
        <f t="shared" ca="1" si="535"/>
        <v/>
      </c>
      <c r="BS389" s="222" t="str">
        <f t="shared" ca="1" si="535"/>
        <v/>
      </c>
      <c r="BT389" s="222" t="str">
        <f t="shared" ca="1" si="536"/>
        <v/>
      </c>
      <c r="BU389" s="222" t="str">
        <f t="shared" ca="1" si="536"/>
        <v/>
      </c>
      <c r="BV389" s="222" t="str">
        <f t="shared" ca="1" si="536"/>
        <v/>
      </c>
      <c r="BW389" s="222" t="str">
        <f t="shared" ca="1" si="536"/>
        <v/>
      </c>
      <c r="BX389" s="222" t="str">
        <f t="shared" ca="1" si="536"/>
        <v/>
      </c>
      <c r="BY389" s="222" t="str">
        <f t="shared" ca="1" si="536"/>
        <v/>
      </c>
      <c r="BZ389" s="368" t="str">
        <f t="shared" ca="1" si="536"/>
        <v/>
      </c>
      <c r="CC389" s="482">
        <f t="shared" si="537"/>
        <v>68</v>
      </c>
    </row>
    <row r="390" spans="1:81">
      <c r="A390" s="326" t="str">
        <v/>
      </c>
      <c r="B390" s="222" t="str">
        <f t="shared" ca="1" si="529"/>
        <v/>
      </c>
      <c r="C390" s="222" t="str">
        <f t="shared" ca="1" si="529"/>
        <v/>
      </c>
      <c r="D390" s="222" t="str">
        <f t="shared" ca="1" si="529"/>
        <v/>
      </c>
      <c r="E390" s="222" t="str">
        <f t="shared" ca="1" si="529"/>
        <v/>
      </c>
      <c r="F390" s="222" t="str">
        <f t="shared" ca="1" si="529"/>
        <v/>
      </c>
      <c r="G390" s="222" t="str">
        <f t="shared" ca="1" si="529"/>
        <v/>
      </c>
      <c r="H390" s="222" t="str">
        <f t="shared" ca="1" si="529"/>
        <v/>
      </c>
      <c r="I390" s="222" t="str">
        <f t="shared" ca="1" si="529"/>
        <v/>
      </c>
      <c r="J390" s="222" t="str">
        <f t="shared" ca="1" si="529"/>
        <v/>
      </c>
      <c r="K390" s="222" t="str">
        <f t="shared" ca="1" si="529"/>
        <v/>
      </c>
      <c r="L390" s="222" t="str">
        <f t="shared" ca="1" si="530"/>
        <v/>
      </c>
      <c r="M390" s="222" t="str">
        <f t="shared" ca="1" si="530"/>
        <v/>
      </c>
      <c r="N390" s="222" t="str">
        <f t="shared" ca="1" si="530"/>
        <v/>
      </c>
      <c r="O390" s="222" t="str">
        <f t="shared" ca="1" si="530"/>
        <v/>
      </c>
      <c r="P390" s="222" t="str">
        <f t="shared" ca="1" si="530"/>
        <v/>
      </c>
      <c r="Q390" s="222" t="str">
        <f t="shared" ca="1" si="530"/>
        <v/>
      </c>
      <c r="R390" s="222" t="str">
        <f t="shared" ca="1" si="530"/>
        <v/>
      </c>
      <c r="S390" s="222" t="str">
        <f t="shared" ca="1" si="530"/>
        <v/>
      </c>
      <c r="T390" s="222" t="str">
        <f t="shared" ca="1" si="530"/>
        <v/>
      </c>
      <c r="U390" s="222" t="str">
        <f t="shared" ca="1" si="530"/>
        <v/>
      </c>
      <c r="V390" s="222" t="str">
        <f t="shared" ca="1" si="531"/>
        <v/>
      </c>
      <c r="W390" s="222" t="str">
        <f t="shared" ca="1" si="531"/>
        <v/>
      </c>
      <c r="X390" s="222" t="str">
        <f t="shared" ca="1" si="531"/>
        <v/>
      </c>
      <c r="Y390" s="222" t="str">
        <f t="shared" ca="1" si="531"/>
        <v/>
      </c>
      <c r="Z390" s="222" t="str">
        <f t="shared" ca="1" si="531"/>
        <v/>
      </c>
      <c r="AA390" s="222" t="str">
        <f t="shared" ca="1" si="531"/>
        <v/>
      </c>
      <c r="AB390" s="222" t="str">
        <f t="shared" ca="1" si="531"/>
        <v/>
      </c>
      <c r="AC390" s="222" t="str">
        <f t="shared" ca="1" si="531"/>
        <v/>
      </c>
      <c r="AD390" s="222" t="str">
        <f t="shared" ca="1" si="531"/>
        <v/>
      </c>
      <c r="AE390" s="222" t="str">
        <f t="shared" ca="1" si="531"/>
        <v/>
      </c>
      <c r="AF390" s="222" t="str">
        <f t="shared" ca="1" si="532"/>
        <v/>
      </c>
      <c r="AG390" s="222" t="str">
        <f t="shared" ca="1" si="532"/>
        <v/>
      </c>
      <c r="AH390" s="222" t="str">
        <f t="shared" ca="1" si="532"/>
        <v/>
      </c>
      <c r="AI390" s="222" t="str">
        <f t="shared" ca="1" si="532"/>
        <v/>
      </c>
      <c r="AJ390" s="222" t="str">
        <f t="shared" ca="1" si="532"/>
        <v/>
      </c>
      <c r="AK390" s="222" t="str">
        <f t="shared" ca="1" si="532"/>
        <v/>
      </c>
      <c r="AL390" s="222" t="str">
        <f t="shared" ca="1" si="532"/>
        <v/>
      </c>
      <c r="AM390" s="222" t="str">
        <f t="shared" ca="1" si="532"/>
        <v/>
      </c>
      <c r="AN390" s="222" t="str">
        <f t="shared" ca="1" si="532"/>
        <v/>
      </c>
      <c r="AO390" s="222" t="str">
        <f t="shared" ca="1" si="532"/>
        <v/>
      </c>
      <c r="AP390" s="222" t="str">
        <f t="shared" ca="1" si="533"/>
        <v/>
      </c>
      <c r="AQ390" s="222" t="str">
        <f t="shared" ca="1" si="533"/>
        <v/>
      </c>
      <c r="AR390" s="222" t="str">
        <f t="shared" ca="1" si="533"/>
        <v/>
      </c>
      <c r="AS390" s="222" t="str">
        <f t="shared" ca="1" si="533"/>
        <v/>
      </c>
      <c r="AT390" s="222" t="str">
        <f t="shared" ca="1" si="533"/>
        <v/>
      </c>
      <c r="AU390" s="222" t="str">
        <f t="shared" ca="1" si="533"/>
        <v/>
      </c>
      <c r="AV390" s="222" t="str">
        <f t="shared" ca="1" si="533"/>
        <v/>
      </c>
      <c r="AW390" s="222" t="str">
        <f t="shared" ca="1" si="533"/>
        <v/>
      </c>
      <c r="AX390" s="222" t="str">
        <f t="shared" ca="1" si="533"/>
        <v/>
      </c>
      <c r="AY390" s="222" t="str">
        <f t="shared" ca="1" si="533"/>
        <v/>
      </c>
      <c r="AZ390" s="222" t="str">
        <f t="shared" ca="1" si="534"/>
        <v/>
      </c>
      <c r="BA390" s="222" t="str">
        <f t="shared" ca="1" si="534"/>
        <v/>
      </c>
      <c r="BB390" s="222" t="str">
        <f t="shared" ca="1" si="534"/>
        <v/>
      </c>
      <c r="BC390" s="222" t="str">
        <f t="shared" ca="1" si="534"/>
        <v/>
      </c>
      <c r="BD390" s="222" t="str">
        <f t="shared" ca="1" si="534"/>
        <v/>
      </c>
      <c r="BE390" s="222" t="str">
        <f t="shared" ca="1" si="534"/>
        <v/>
      </c>
      <c r="BF390" s="222" t="str">
        <f t="shared" ca="1" si="534"/>
        <v/>
      </c>
      <c r="BG390" s="222" t="str">
        <f t="shared" ca="1" si="534"/>
        <v/>
      </c>
      <c r="BH390" s="222" t="str">
        <f t="shared" ca="1" si="534"/>
        <v/>
      </c>
      <c r="BI390" s="222" t="str">
        <f t="shared" ca="1" si="534"/>
        <v/>
      </c>
      <c r="BJ390" s="222" t="str">
        <f t="shared" ca="1" si="535"/>
        <v/>
      </c>
      <c r="BK390" s="222" t="str">
        <f t="shared" ca="1" si="535"/>
        <v/>
      </c>
      <c r="BL390" s="222" t="str">
        <f t="shared" ca="1" si="535"/>
        <v/>
      </c>
      <c r="BM390" s="222" t="str">
        <f t="shared" ca="1" si="535"/>
        <v/>
      </c>
      <c r="BN390" s="222" t="str">
        <f t="shared" ca="1" si="535"/>
        <v/>
      </c>
      <c r="BO390" s="222" t="str">
        <f t="shared" ca="1" si="535"/>
        <v/>
      </c>
      <c r="BP390" s="222" t="str">
        <f t="shared" ca="1" si="535"/>
        <v/>
      </c>
      <c r="BQ390" s="222" t="str">
        <f t="shared" ca="1" si="535"/>
        <v/>
      </c>
      <c r="BR390" s="222" t="str">
        <f t="shared" ca="1" si="535"/>
        <v/>
      </c>
      <c r="BS390" s="222" t="str">
        <f t="shared" ca="1" si="535"/>
        <v/>
      </c>
      <c r="BT390" s="222" t="str">
        <f t="shared" ca="1" si="536"/>
        <v/>
      </c>
      <c r="BU390" s="222" t="str">
        <f t="shared" ca="1" si="536"/>
        <v/>
      </c>
      <c r="BV390" s="222" t="str">
        <f t="shared" ca="1" si="536"/>
        <v/>
      </c>
      <c r="BW390" s="222" t="str">
        <f t="shared" ca="1" si="536"/>
        <v/>
      </c>
      <c r="BX390" s="222" t="str">
        <f t="shared" ca="1" si="536"/>
        <v/>
      </c>
      <c r="BY390" s="222" t="str">
        <f t="shared" ca="1" si="536"/>
        <v/>
      </c>
      <c r="BZ390" s="368" t="str">
        <f t="shared" ca="1" si="536"/>
        <v/>
      </c>
      <c r="CC390" s="482">
        <f t="shared" si="537"/>
        <v>69</v>
      </c>
    </row>
    <row r="391" spans="1:81">
      <c r="A391" s="326" t="str">
        <v/>
      </c>
      <c r="B391" s="222" t="str">
        <f t="shared" ref="B391:K397" ca="1" si="538">IF(OR($A391="",B$320=""), "", IF((COLUMN()-COLUMN($A391)) &gt; (1+$CC391), "", PEARSON(OFFSET($B$8, 0, $CC391, $A$320+1, 1), B$8:B$153)))</f>
        <v/>
      </c>
      <c r="C391" s="222" t="str">
        <f t="shared" ca="1" si="538"/>
        <v/>
      </c>
      <c r="D391" s="222" t="str">
        <f t="shared" ca="1" si="538"/>
        <v/>
      </c>
      <c r="E391" s="222" t="str">
        <f t="shared" ca="1" si="538"/>
        <v/>
      </c>
      <c r="F391" s="222" t="str">
        <f t="shared" ca="1" si="538"/>
        <v/>
      </c>
      <c r="G391" s="222" t="str">
        <f t="shared" ca="1" si="538"/>
        <v/>
      </c>
      <c r="H391" s="222" t="str">
        <f t="shared" ca="1" si="538"/>
        <v/>
      </c>
      <c r="I391" s="222" t="str">
        <f t="shared" ca="1" si="538"/>
        <v/>
      </c>
      <c r="J391" s="222" t="str">
        <f t="shared" ca="1" si="538"/>
        <v/>
      </c>
      <c r="K391" s="222" t="str">
        <f t="shared" ca="1" si="538"/>
        <v/>
      </c>
      <c r="L391" s="222" t="str">
        <f t="shared" ref="L391:U397" ca="1" si="539">IF(OR($A391="",L$320=""), "", IF((COLUMN()-COLUMN($A391)) &gt; (1+$CC391), "", PEARSON(OFFSET($B$8, 0, $CC391, $A$320+1, 1), L$8:L$153)))</f>
        <v/>
      </c>
      <c r="M391" s="222" t="str">
        <f t="shared" ca="1" si="539"/>
        <v/>
      </c>
      <c r="N391" s="222" t="str">
        <f t="shared" ca="1" si="539"/>
        <v/>
      </c>
      <c r="O391" s="222" t="str">
        <f t="shared" ca="1" si="539"/>
        <v/>
      </c>
      <c r="P391" s="222" t="str">
        <f t="shared" ca="1" si="539"/>
        <v/>
      </c>
      <c r="Q391" s="222" t="str">
        <f t="shared" ca="1" si="539"/>
        <v/>
      </c>
      <c r="R391" s="222" t="str">
        <f t="shared" ca="1" si="539"/>
        <v/>
      </c>
      <c r="S391" s="222" t="str">
        <f t="shared" ca="1" si="539"/>
        <v/>
      </c>
      <c r="T391" s="222" t="str">
        <f t="shared" ca="1" si="539"/>
        <v/>
      </c>
      <c r="U391" s="222" t="str">
        <f t="shared" ca="1" si="539"/>
        <v/>
      </c>
      <c r="V391" s="222" t="str">
        <f t="shared" ref="V391:AE397" ca="1" si="540">IF(OR($A391="",V$320=""), "", IF((COLUMN()-COLUMN($A391)) &gt; (1+$CC391), "", PEARSON(OFFSET($B$8, 0, $CC391, $A$320+1, 1), V$8:V$153)))</f>
        <v/>
      </c>
      <c r="W391" s="222" t="str">
        <f t="shared" ca="1" si="540"/>
        <v/>
      </c>
      <c r="X391" s="222" t="str">
        <f t="shared" ca="1" si="540"/>
        <v/>
      </c>
      <c r="Y391" s="222" t="str">
        <f t="shared" ca="1" si="540"/>
        <v/>
      </c>
      <c r="Z391" s="222" t="str">
        <f t="shared" ca="1" si="540"/>
        <v/>
      </c>
      <c r="AA391" s="222" t="str">
        <f t="shared" ca="1" si="540"/>
        <v/>
      </c>
      <c r="AB391" s="222" t="str">
        <f t="shared" ca="1" si="540"/>
        <v/>
      </c>
      <c r="AC391" s="222" t="str">
        <f t="shared" ca="1" si="540"/>
        <v/>
      </c>
      <c r="AD391" s="222" t="str">
        <f t="shared" ca="1" si="540"/>
        <v/>
      </c>
      <c r="AE391" s="222" t="str">
        <f t="shared" ca="1" si="540"/>
        <v/>
      </c>
      <c r="AF391" s="222" t="str">
        <f t="shared" ref="AF391:AO397" ca="1" si="541">IF(OR($A391="",AF$320=""), "", IF((COLUMN()-COLUMN($A391)) &gt; (1+$CC391), "", PEARSON(OFFSET($B$8, 0, $CC391, $A$320+1, 1), AF$8:AF$153)))</f>
        <v/>
      </c>
      <c r="AG391" s="222" t="str">
        <f t="shared" ca="1" si="541"/>
        <v/>
      </c>
      <c r="AH391" s="222" t="str">
        <f t="shared" ca="1" si="541"/>
        <v/>
      </c>
      <c r="AI391" s="222" t="str">
        <f t="shared" ca="1" si="541"/>
        <v/>
      </c>
      <c r="AJ391" s="222" t="str">
        <f t="shared" ca="1" si="541"/>
        <v/>
      </c>
      <c r="AK391" s="222" t="str">
        <f t="shared" ca="1" si="541"/>
        <v/>
      </c>
      <c r="AL391" s="222" t="str">
        <f t="shared" ca="1" si="541"/>
        <v/>
      </c>
      <c r="AM391" s="222" t="str">
        <f t="shared" ca="1" si="541"/>
        <v/>
      </c>
      <c r="AN391" s="222" t="str">
        <f t="shared" ca="1" si="541"/>
        <v/>
      </c>
      <c r="AO391" s="222" t="str">
        <f t="shared" ca="1" si="541"/>
        <v/>
      </c>
      <c r="AP391" s="222" t="str">
        <f t="shared" ref="AP391:AY397" ca="1" si="542">IF(OR($A391="",AP$320=""), "", IF((COLUMN()-COLUMN($A391)) &gt; (1+$CC391), "", PEARSON(OFFSET($B$8, 0, $CC391, $A$320+1, 1), AP$8:AP$153)))</f>
        <v/>
      </c>
      <c r="AQ391" s="222" t="str">
        <f t="shared" ca="1" si="542"/>
        <v/>
      </c>
      <c r="AR391" s="222" t="str">
        <f t="shared" ca="1" si="542"/>
        <v/>
      </c>
      <c r="AS391" s="222" t="str">
        <f t="shared" ca="1" si="542"/>
        <v/>
      </c>
      <c r="AT391" s="222" t="str">
        <f t="shared" ca="1" si="542"/>
        <v/>
      </c>
      <c r="AU391" s="222" t="str">
        <f t="shared" ca="1" si="542"/>
        <v/>
      </c>
      <c r="AV391" s="222" t="str">
        <f t="shared" ca="1" si="542"/>
        <v/>
      </c>
      <c r="AW391" s="222" t="str">
        <f t="shared" ca="1" si="542"/>
        <v/>
      </c>
      <c r="AX391" s="222" t="str">
        <f t="shared" ca="1" si="542"/>
        <v/>
      </c>
      <c r="AY391" s="222" t="str">
        <f t="shared" ca="1" si="542"/>
        <v/>
      </c>
      <c r="AZ391" s="222" t="str">
        <f t="shared" ref="AZ391:BI397" ca="1" si="543">IF(OR($A391="",AZ$320=""), "", IF((COLUMN()-COLUMN($A391)) &gt; (1+$CC391), "", PEARSON(OFFSET($B$8, 0, $CC391, $A$320+1, 1), AZ$8:AZ$153)))</f>
        <v/>
      </c>
      <c r="BA391" s="222" t="str">
        <f t="shared" ca="1" si="543"/>
        <v/>
      </c>
      <c r="BB391" s="222" t="str">
        <f t="shared" ca="1" si="543"/>
        <v/>
      </c>
      <c r="BC391" s="222" t="str">
        <f t="shared" ca="1" si="543"/>
        <v/>
      </c>
      <c r="BD391" s="222" t="str">
        <f t="shared" ca="1" si="543"/>
        <v/>
      </c>
      <c r="BE391" s="222" t="str">
        <f t="shared" ca="1" si="543"/>
        <v/>
      </c>
      <c r="BF391" s="222" t="str">
        <f t="shared" ca="1" si="543"/>
        <v/>
      </c>
      <c r="BG391" s="222" t="str">
        <f t="shared" ca="1" si="543"/>
        <v/>
      </c>
      <c r="BH391" s="222" t="str">
        <f t="shared" ca="1" si="543"/>
        <v/>
      </c>
      <c r="BI391" s="222" t="str">
        <f t="shared" ca="1" si="543"/>
        <v/>
      </c>
      <c r="BJ391" s="222" t="str">
        <f t="shared" ref="BJ391:BS397" ca="1" si="544">IF(OR($A391="",BJ$320=""), "", IF((COLUMN()-COLUMN($A391)) &gt; (1+$CC391), "", PEARSON(OFFSET($B$8, 0, $CC391, $A$320+1, 1), BJ$8:BJ$153)))</f>
        <v/>
      </c>
      <c r="BK391" s="222" t="str">
        <f t="shared" ca="1" si="544"/>
        <v/>
      </c>
      <c r="BL391" s="222" t="str">
        <f t="shared" ca="1" si="544"/>
        <v/>
      </c>
      <c r="BM391" s="222" t="str">
        <f t="shared" ca="1" si="544"/>
        <v/>
      </c>
      <c r="BN391" s="222" t="str">
        <f t="shared" ca="1" si="544"/>
        <v/>
      </c>
      <c r="BO391" s="222" t="str">
        <f t="shared" ca="1" si="544"/>
        <v/>
      </c>
      <c r="BP391" s="222" t="str">
        <f t="shared" ca="1" si="544"/>
        <v/>
      </c>
      <c r="BQ391" s="222" t="str">
        <f t="shared" ca="1" si="544"/>
        <v/>
      </c>
      <c r="BR391" s="222" t="str">
        <f t="shared" ca="1" si="544"/>
        <v/>
      </c>
      <c r="BS391" s="222" t="str">
        <f t="shared" ca="1" si="544"/>
        <v/>
      </c>
      <c r="BT391" s="222" t="str">
        <f t="shared" ref="BT391:BZ397" ca="1" si="545">IF(OR($A391="",BT$320=""), "", IF((COLUMN()-COLUMN($A391)) &gt; (1+$CC391), "", PEARSON(OFFSET($B$8, 0, $CC391, $A$320+1, 1), BT$8:BT$153)))</f>
        <v/>
      </c>
      <c r="BU391" s="222" t="str">
        <f t="shared" ca="1" si="545"/>
        <v/>
      </c>
      <c r="BV391" s="222" t="str">
        <f t="shared" ca="1" si="545"/>
        <v/>
      </c>
      <c r="BW391" s="222" t="str">
        <f t="shared" ca="1" si="545"/>
        <v/>
      </c>
      <c r="BX391" s="222" t="str">
        <f t="shared" ca="1" si="545"/>
        <v/>
      </c>
      <c r="BY391" s="222" t="str">
        <f t="shared" ca="1" si="545"/>
        <v/>
      </c>
      <c r="BZ391" s="368" t="str">
        <f t="shared" ca="1" si="545"/>
        <v/>
      </c>
      <c r="CC391" s="482">
        <f t="shared" si="537"/>
        <v>70</v>
      </c>
    </row>
    <row r="392" spans="1:81">
      <c r="A392" s="326" t="str">
        <v/>
      </c>
      <c r="B392" s="222" t="str">
        <f t="shared" ca="1" si="538"/>
        <v/>
      </c>
      <c r="C392" s="222" t="str">
        <f t="shared" ca="1" si="538"/>
        <v/>
      </c>
      <c r="D392" s="222" t="str">
        <f t="shared" ca="1" si="538"/>
        <v/>
      </c>
      <c r="E392" s="222" t="str">
        <f t="shared" ca="1" si="538"/>
        <v/>
      </c>
      <c r="F392" s="222" t="str">
        <f t="shared" ca="1" si="538"/>
        <v/>
      </c>
      <c r="G392" s="222" t="str">
        <f t="shared" ca="1" si="538"/>
        <v/>
      </c>
      <c r="H392" s="222" t="str">
        <f t="shared" ca="1" si="538"/>
        <v/>
      </c>
      <c r="I392" s="222" t="str">
        <f t="shared" ca="1" si="538"/>
        <v/>
      </c>
      <c r="J392" s="222" t="str">
        <f t="shared" ca="1" si="538"/>
        <v/>
      </c>
      <c r="K392" s="222" t="str">
        <f t="shared" ca="1" si="538"/>
        <v/>
      </c>
      <c r="L392" s="222" t="str">
        <f t="shared" ca="1" si="539"/>
        <v/>
      </c>
      <c r="M392" s="222" t="str">
        <f t="shared" ca="1" si="539"/>
        <v/>
      </c>
      <c r="N392" s="222" t="str">
        <f t="shared" ca="1" si="539"/>
        <v/>
      </c>
      <c r="O392" s="222" t="str">
        <f t="shared" ca="1" si="539"/>
        <v/>
      </c>
      <c r="P392" s="222" t="str">
        <f t="shared" ca="1" si="539"/>
        <v/>
      </c>
      <c r="Q392" s="222" t="str">
        <f t="shared" ca="1" si="539"/>
        <v/>
      </c>
      <c r="R392" s="222" t="str">
        <f t="shared" ca="1" si="539"/>
        <v/>
      </c>
      <c r="S392" s="222" t="str">
        <f t="shared" ca="1" si="539"/>
        <v/>
      </c>
      <c r="T392" s="222" t="str">
        <f t="shared" ca="1" si="539"/>
        <v/>
      </c>
      <c r="U392" s="222" t="str">
        <f t="shared" ca="1" si="539"/>
        <v/>
      </c>
      <c r="V392" s="222" t="str">
        <f t="shared" ca="1" si="540"/>
        <v/>
      </c>
      <c r="W392" s="222" t="str">
        <f t="shared" ca="1" si="540"/>
        <v/>
      </c>
      <c r="X392" s="222" t="str">
        <f t="shared" ca="1" si="540"/>
        <v/>
      </c>
      <c r="Y392" s="222" t="str">
        <f t="shared" ca="1" si="540"/>
        <v/>
      </c>
      <c r="Z392" s="222" t="str">
        <f t="shared" ca="1" si="540"/>
        <v/>
      </c>
      <c r="AA392" s="222" t="str">
        <f t="shared" ca="1" si="540"/>
        <v/>
      </c>
      <c r="AB392" s="222" t="str">
        <f t="shared" ca="1" si="540"/>
        <v/>
      </c>
      <c r="AC392" s="222" t="str">
        <f t="shared" ca="1" si="540"/>
        <v/>
      </c>
      <c r="AD392" s="222" t="str">
        <f t="shared" ca="1" si="540"/>
        <v/>
      </c>
      <c r="AE392" s="222" t="str">
        <f t="shared" ca="1" si="540"/>
        <v/>
      </c>
      <c r="AF392" s="222" t="str">
        <f t="shared" ca="1" si="541"/>
        <v/>
      </c>
      <c r="AG392" s="222" t="str">
        <f t="shared" ca="1" si="541"/>
        <v/>
      </c>
      <c r="AH392" s="222" t="str">
        <f t="shared" ca="1" si="541"/>
        <v/>
      </c>
      <c r="AI392" s="222" t="str">
        <f t="shared" ca="1" si="541"/>
        <v/>
      </c>
      <c r="AJ392" s="222" t="str">
        <f t="shared" ca="1" si="541"/>
        <v/>
      </c>
      <c r="AK392" s="222" t="str">
        <f t="shared" ca="1" si="541"/>
        <v/>
      </c>
      <c r="AL392" s="222" t="str">
        <f t="shared" ca="1" si="541"/>
        <v/>
      </c>
      <c r="AM392" s="222" t="str">
        <f t="shared" ca="1" si="541"/>
        <v/>
      </c>
      <c r="AN392" s="222" t="str">
        <f t="shared" ca="1" si="541"/>
        <v/>
      </c>
      <c r="AO392" s="222" t="str">
        <f t="shared" ca="1" si="541"/>
        <v/>
      </c>
      <c r="AP392" s="222" t="str">
        <f t="shared" ca="1" si="542"/>
        <v/>
      </c>
      <c r="AQ392" s="222" t="str">
        <f t="shared" ca="1" si="542"/>
        <v/>
      </c>
      <c r="AR392" s="222" t="str">
        <f t="shared" ca="1" si="542"/>
        <v/>
      </c>
      <c r="AS392" s="222" t="str">
        <f t="shared" ca="1" si="542"/>
        <v/>
      </c>
      <c r="AT392" s="222" t="str">
        <f t="shared" ca="1" si="542"/>
        <v/>
      </c>
      <c r="AU392" s="222" t="str">
        <f t="shared" ca="1" si="542"/>
        <v/>
      </c>
      <c r="AV392" s="222" t="str">
        <f t="shared" ca="1" si="542"/>
        <v/>
      </c>
      <c r="AW392" s="222" t="str">
        <f t="shared" ca="1" si="542"/>
        <v/>
      </c>
      <c r="AX392" s="222" t="str">
        <f t="shared" ca="1" si="542"/>
        <v/>
      </c>
      <c r="AY392" s="222" t="str">
        <f t="shared" ca="1" si="542"/>
        <v/>
      </c>
      <c r="AZ392" s="222" t="str">
        <f t="shared" ca="1" si="543"/>
        <v/>
      </c>
      <c r="BA392" s="222" t="str">
        <f t="shared" ca="1" si="543"/>
        <v/>
      </c>
      <c r="BB392" s="222" t="str">
        <f t="shared" ca="1" si="543"/>
        <v/>
      </c>
      <c r="BC392" s="222" t="str">
        <f t="shared" ca="1" si="543"/>
        <v/>
      </c>
      <c r="BD392" s="222" t="str">
        <f t="shared" ca="1" si="543"/>
        <v/>
      </c>
      <c r="BE392" s="222" t="str">
        <f t="shared" ca="1" si="543"/>
        <v/>
      </c>
      <c r="BF392" s="222" t="str">
        <f t="shared" ca="1" si="543"/>
        <v/>
      </c>
      <c r="BG392" s="222" t="str">
        <f t="shared" ca="1" si="543"/>
        <v/>
      </c>
      <c r="BH392" s="222" t="str">
        <f t="shared" ca="1" si="543"/>
        <v/>
      </c>
      <c r="BI392" s="222" t="str">
        <f t="shared" ca="1" si="543"/>
        <v/>
      </c>
      <c r="BJ392" s="222" t="str">
        <f t="shared" ca="1" si="544"/>
        <v/>
      </c>
      <c r="BK392" s="222" t="str">
        <f t="shared" ca="1" si="544"/>
        <v/>
      </c>
      <c r="BL392" s="222" t="str">
        <f t="shared" ca="1" si="544"/>
        <v/>
      </c>
      <c r="BM392" s="222" t="str">
        <f t="shared" ca="1" si="544"/>
        <v/>
      </c>
      <c r="BN392" s="222" t="str">
        <f t="shared" ca="1" si="544"/>
        <v/>
      </c>
      <c r="BO392" s="222" t="str">
        <f t="shared" ca="1" si="544"/>
        <v/>
      </c>
      <c r="BP392" s="222" t="str">
        <f t="shared" ca="1" si="544"/>
        <v/>
      </c>
      <c r="BQ392" s="222" t="str">
        <f t="shared" ca="1" si="544"/>
        <v/>
      </c>
      <c r="BR392" s="222" t="str">
        <f t="shared" ca="1" si="544"/>
        <v/>
      </c>
      <c r="BS392" s="222" t="str">
        <f t="shared" ca="1" si="544"/>
        <v/>
      </c>
      <c r="BT392" s="222" t="str">
        <f t="shared" ca="1" si="545"/>
        <v/>
      </c>
      <c r="BU392" s="222" t="str">
        <f t="shared" ca="1" si="545"/>
        <v/>
      </c>
      <c r="BV392" s="222" t="str">
        <f t="shared" ca="1" si="545"/>
        <v/>
      </c>
      <c r="BW392" s="222" t="str">
        <f t="shared" ca="1" si="545"/>
        <v/>
      </c>
      <c r="BX392" s="222" t="str">
        <f t="shared" ca="1" si="545"/>
        <v/>
      </c>
      <c r="BY392" s="222" t="str">
        <f t="shared" ca="1" si="545"/>
        <v/>
      </c>
      <c r="BZ392" s="368" t="str">
        <f t="shared" ca="1" si="545"/>
        <v/>
      </c>
      <c r="CC392" s="482">
        <f t="shared" si="537"/>
        <v>71</v>
      </c>
    </row>
    <row r="393" spans="1:81">
      <c r="A393" s="326" t="str">
        <v/>
      </c>
      <c r="B393" s="222" t="str">
        <f t="shared" ca="1" si="538"/>
        <v/>
      </c>
      <c r="C393" s="222" t="str">
        <f t="shared" ca="1" si="538"/>
        <v/>
      </c>
      <c r="D393" s="222" t="str">
        <f t="shared" ca="1" si="538"/>
        <v/>
      </c>
      <c r="E393" s="222" t="str">
        <f t="shared" ca="1" si="538"/>
        <v/>
      </c>
      <c r="F393" s="222" t="str">
        <f t="shared" ca="1" si="538"/>
        <v/>
      </c>
      <c r="G393" s="222" t="str">
        <f t="shared" ca="1" si="538"/>
        <v/>
      </c>
      <c r="H393" s="222" t="str">
        <f t="shared" ca="1" si="538"/>
        <v/>
      </c>
      <c r="I393" s="222" t="str">
        <f t="shared" ca="1" si="538"/>
        <v/>
      </c>
      <c r="J393" s="222" t="str">
        <f t="shared" ca="1" si="538"/>
        <v/>
      </c>
      <c r="K393" s="222" t="str">
        <f t="shared" ca="1" si="538"/>
        <v/>
      </c>
      <c r="L393" s="222" t="str">
        <f t="shared" ca="1" si="539"/>
        <v/>
      </c>
      <c r="M393" s="222" t="str">
        <f t="shared" ca="1" si="539"/>
        <v/>
      </c>
      <c r="N393" s="222" t="str">
        <f t="shared" ca="1" si="539"/>
        <v/>
      </c>
      <c r="O393" s="222" t="str">
        <f t="shared" ca="1" si="539"/>
        <v/>
      </c>
      <c r="P393" s="222" t="str">
        <f t="shared" ca="1" si="539"/>
        <v/>
      </c>
      <c r="Q393" s="222" t="str">
        <f t="shared" ca="1" si="539"/>
        <v/>
      </c>
      <c r="R393" s="222" t="str">
        <f t="shared" ca="1" si="539"/>
        <v/>
      </c>
      <c r="S393" s="222" t="str">
        <f t="shared" ca="1" si="539"/>
        <v/>
      </c>
      <c r="T393" s="222" t="str">
        <f t="shared" ca="1" si="539"/>
        <v/>
      </c>
      <c r="U393" s="222" t="str">
        <f t="shared" ca="1" si="539"/>
        <v/>
      </c>
      <c r="V393" s="222" t="str">
        <f t="shared" ca="1" si="540"/>
        <v/>
      </c>
      <c r="W393" s="222" t="str">
        <f t="shared" ca="1" si="540"/>
        <v/>
      </c>
      <c r="X393" s="222" t="str">
        <f t="shared" ca="1" si="540"/>
        <v/>
      </c>
      <c r="Y393" s="222" t="str">
        <f t="shared" ca="1" si="540"/>
        <v/>
      </c>
      <c r="Z393" s="222" t="str">
        <f t="shared" ca="1" si="540"/>
        <v/>
      </c>
      <c r="AA393" s="222" t="str">
        <f t="shared" ca="1" si="540"/>
        <v/>
      </c>
      <c r="AB393" s="222" t="str">
        <f t="shared" ca="1" si="540"/>
        <v/>
      </c>
      <c r="AC393" s="222" t="str">
        <f t="shared" ca="1" si="540"/>
        <v/>
      </c>
      <c r="AD393" s="222" t="str">
        <f t="shared" ca="1" si="540"/>
        <v/>
      </c>
      <c r="AE393" s="222" t="str">
        <f t="shared" ca="1" si="540"/>
        <v/>
      </c>
      <c r="AF393" s="222" t="str">
        <f t="shared" ca="1" si="541"/>
        <v/>
      </c>
      <c r="AG393" s="222" t="str">
        <f t="shared" ca="1" si="541"/>
        <v/>
      </c>
      <c r="AH393" s="222" t="str">
        <f t="shared" ca="1" si="541"/>
        <v/>
      </c>
      <c r="AI393" s="222" t="str">
        <f t="shared" ca="1" si="541"/>
        <v/>
      </c>
      <c r="AJ393" s="222" t="str">
        <f t="shared" ca="1" si="541"/>
        <v/>
      </c>
      <c r="AK393" s="222" t="str">
        <f t="shared" ca="1" si="541"/>
        <v/>
      </c>
      <c r="AL393" s="222" t="str">
        <f t="shared" ca="1" si="541"/>
        <v/>
      </c>
      <c r="AM393" s="222" t="str">
        <f t="shared" ca="1" si="541"/>
        <v/>
      </c>
      <c r="AN393" s="222" t="str">
        <f t="shared" ca="1" si="541"/>
        <v/>
      </c>
      <c r="AO393" s="222" t="str">
        <f t="shared" ca="1" si="541"/>
        <v/>
      </c>
      <c r="AP393" s="222" t="str">
        <f t="shared" ca="1" si="542"/>
        <v/>
      </c>
      <c r="AQ393" s="222" t="str">
        <f t="shared" ca="1" si="542"/>
        <v/>
      </c>
      <c r="AR393" s="222" t="str">
        <f t="shared" ca="1" si="542"/>
        <v/>
      </c>
      <c r="AS393" s="222" t="str">
        <f t="shared" ca="1" si="542"/>
        <v/>
      </c>
      <c r="AT393" s="222" t="str">
        <f t="shared" ca="1" si="542"/>
        <v/>
      </c>
      <c r="AU393" s="222" t="str">
        <f t="shared" ca="1" si="542"/>
        <v/>
      </c>
      <c r="AV393" s="222" t="str">
        <f t="shared" ca="1" si="542"/>
        <v/>
      </c>
      <c r="AW393" s="222" t="str">
        <f t="shared" ca="1" si="542"/>
        <v/>
      </c>
      <c r="AX393" s="222" t="str">
        <f t="shared" ca="1" si="542"/>
        <v/>
      </c>
      <c r="AY393" s="222" t="str">
        <f t="shared" ca="1" si="542"/>
        <v/>
      </c>
      <c r="AZ393" s="222" t="str">
        <f t="shared" ca="1" si="543"/>
        <v/>
      </c>
      <c r="BA393" s="222" t="str">
        <f t="shared" ca="1" si="543"/>
        <v/>
      </c>
      <c r="BB393" s="222" t="str">
        <f t="shared" ca="1" si="543"/>
        <v/>
      </c>
      <c r="BC393" s="222" t="str">
        <f t="shared" ca="1" si="543"/>
        <v/>
      </c>
      <c r="BD393" s="222" t="str">
        <f t="shared" ca="1" si="543"/>
        <v/>
      </c>
      <c r="BE393" s="222" t="str">
        <f t="shared" ca="1" si="543"/>
        <v/>
      </c>
      <c r="BF393" s="222" t="str">
        <f t="shared" ca="1" si="543"/>
        <v/>
      </c>
      <c r="BG393" s="222" t="str">
        <f t="shared" ca="1" si="543"/>
        <v/>
      </c>
      <c r="BH393" s="222" t="str">
        <f t="shared" ca="1" si="543"/>
        <v/>
      </c>
      <c r="BI393" s="222" t="str">
        <f t="shared" ca="1" si="543"/>
        <v/>
      </c>
      <c r="BJ393" s="222" t="str">
        <f t="shared" ca="1" si="544"/>
        <v/>
      </c>
      <c r="BK393" s="222" t="str">
        <f t="shared" ca="1" si="544"/>
        <v/>
      </c>
      <c r="BL393" s="222" t="str">
        <f t="shared" ca="1" si="544"/>
        <v/>
      </c>
      <c r="BM393" s="222" t="str">
        <f t="shared" ca="1" si="544"/>
        <v/>
      </c>
      <c r="BN393" s="222" t="str">
        <f t="shared" ca="1" si="544"/>
        <v/>
      </c>
      <c r="BO393" s="222" t="str">
        <f t="shared" ca="1" si="544"/>
        <v/>
      </c>
      <c r="BP393" s="222" t="str">
        <f t="shared" ca="1" si="544"/>
        <v/>
      </c>
      <c r="BQ393" s="222" t="str">
        <f t="shared" ca="1" si="544"/>
        <v/>
      </c>
      <c r="BR393" s="222" t="str">
        <f t="shared" ca="1" si="544"/>
        <v/>
      </c>
      <c r="BS393" s="222" t="str">
        <f t="shared" ca="1" si="544"/>
        <v/>
      </c>
      <c r="BT393" s="222" t="str">
        <f t="shared" ca="1" si="545"/>
        <v/>
      </c>
      <c r="BU393" s="222" t="str">
        <f t="shared" ca="1" si="545"/>
        <v/>
      </c>
      <c r="BV393" s="222" t="str">
        <f t="shared" ca="1" si="545"/>
        <v/>
      </c>
      <c r="BW393" s="222" t="str">
        <f t="shared" ca="1" si="545"/>
        <v/>
      </c>
      <c r="BX393" s="222" t="str">
        <f t="shared" ca="1" si="545"/>
        <v/>
      </c>
      <c r="BY393" s="222" t="str">
        <f t="shared" ca="1" si="545"/>
        <v/>
      </c>
      <c r="BZ393" s="368" t="str">
        <f t="shared" ca="1" si="545"/>
        <v/>
      </c>
      <c r="CC393" s="482">
        <f t="shared" si="537"/>
        <v>72</v>
      </c>
    </row>
    <row r="394" spans="1:81">
      <c r="A394" s="326" t="str">
        <v/>
      </c>
      <c r="B394" s="222" t="str">
        <f t="shared" ca="1" si="538"/>
        <v/>
      </c>
      <c r="C394" s="222" t="str">
        <f t="shared" ca="1" si="538"/>
        <v/>
      </c>
      <c r="D394" s="222" t="str">
        <f t="shared" ca="1" si="538"/>
        <v/>
      </c>
      <c r="E394" s="222" t="str">
        <f t="shared" ca="1" si="538"/>
        <v/>
      </c>
      <c r="F394" s="222" t="str">
        <f t="shared" ca="1" si="538"/>
        <v/>
      </c>
      <c r="G394" s="222" t="str">
        <f t="shared" ca="1" si="538"/>
        <v/>
      </c>
      <c r="H394" s="222" t="str">
        <f t="shared" ca="1" si="538"/>
        <v/>
      </c>
      <c r="I394" s="222" t="str">
        <f t="shared" ca="1" si="538"/>
        <v/>
      </c>
      <c r="J394" s="222" t="str">
        <f t="shared" ca="1" si="538"/>
        <v/>
      </c>
      <c r="K394" s="222" t="str">
        <f t="shared" ca="1" si="538"/>
        <v/>
      </c>
      <c r="L394" s="222" t="str">
        <f t="shared" ca="1" si="539"/>
        <v/>
      </c>
      <c r="M394" s="222" t="str">
        <f t="shared" ca="1" si="539"/>
        <v/>
      </c>
      <c r="N394" s="222" t="str">
        <f t="shared" ca="1" si="539"/>
        <v/>
      </c>
      <c r="O394" s="222" t="str">
        <f t="shared" ca="1" si="539"/>
        <v/>
      </c>
      <c r="P394" s="222" t="str">
        <f t="shared" ca="1" si="539"/>
        <v/>
      </c>
      <c r="Q394" s="222" t="str">
        <f t="shared" ca="1" si="539"/>
        <v/>
      </c>
      <c r="R394" s="222" t="str">
        <f t="shared" ca="1" si="539"/>
        <v/>
      </c>
      <c r="S394" s="222" t="str">
        <f t="shared" ca="1" si="539"/>
        <v/>
      </c>
      <c r="T394" s="222" t="str">
        <f t="shared" ca="1" si="539"/>
        <v/>
      </c>
      <c r="U394" s="222" t="str">
        <f t="shared" ca="1" si="539"/>
        <v/>
      </c>
      <c r="V394" s="222" t="str">
        <f t="shared" ca="1" si="540"/>
        <v/>
      </c>
      <c r="W394" s="222" t="str">
        <f t="shared" ca="1" si="540"/>
        <v/>
      </c>
      <c r="X394" s="222" t="str">
        <f t="shared" ca="1" si="540"/>
        <v/>
      </c>
      <c r="Y394" s="222" t="str">
        <f t="shared" ca="1" si="540"/>
        <v/>
      </c>
      <c r="Z394" s="222" t="str">
        <f t="shared" ca="1" si="540"/>
        <v/>
      </c>
      <c r="AA394" s="222" t="str">
        <f t="shared" ca="1" si="540"/>
        <v/>
      </c>
      <c r="AB394" s="222" t="str">
        <f t="shared" ca="1" si="540"/>
        <v/>
      </c>
      <c r="AC394" s="222" t="str">
        <f t="shared" ca="1" si="540"/>
        <v/>
      </c>
      <c r="AD394" s="222" t="str">
        <f t="shared" ca="1" si="540"/>
        <v/>
      </c>
      <c r="AE394" s="222" t="str">
        <f t="shared" ca="1" si="540"/>
        <v/>
      </c>
      <c r="AF394" s="222" t="str">
        <f t="shared" ca="1" si="541"/>
        <v/>
      </c>
      <c r="AG394" s="222" t="str">
        <f t="shared" ca="1" si="541"/>
        <v/>
      </c>
      <c r="AH394" s="222" t="str">
        <f t="shared" ca="1" si="541"/>
        <v/>
      </c>
      <c r="AI394" s="222" t="str">
        <f t="shared" ca="1" si="541"/>
        <v/>
      </c>
      <c r="AJ394" s="222" t="str">
        <f t="shared" ca="1" si="541"/>
        <v/>
      </c>
      <c r="AK394" s="222" t="str">
        <f t="shared" ca="1" si="541"/>
        <v/>
      </c>
      <c r="AL394" s="222" t="str">
        <f t="shared" ca="1" si="541"/>
        <v/>
      </c>
      <c r="AM394" s="222" t="str">
        <f t="shared" ca="1" si="541"/>
        <v/>
      </c>
      <c r="AN394" s="222" t="str">
        <f t="shared" ca="1" si="541"/>
        <v/>
      </c>
      <c r="AO394" s="222" t="str">
        <f t="shared" ca="1" si="541"/>
        <v/>
      </c>
      <c r="AP394" s="222" t="str">
        <f t="shared" ca="1" si="542"/>
        <v/>
      </c>
      <c r="AQ394" s="222" t="str">
        <f t="shared" ca="1" si="542"/>
        <v/>
      </c>
      <c r="AR394" s="222" t="str">
        <f t="shared" ca="1" si="542"/>
        <v/>
      </c>
      <c r="AS394" s="222" t="str">
        <f t="shared" ca="1" si="542"/>
        <v/>
      </c>
      <c r="AT394" s="222" t="str">
        <f t="shared" ca="1" si="542"/>
        <v/>
      </c>
      <c r="AU394" s="222" t="str">
        <f t="shared" ca="1" si="542"/>
        <v/>
      </c>
      <c r="AV394" s="222" t="str">
        <f t="shared" ca="1" si="542"/>
        <v/>
      </c>
      <c r="AW394" s="222" t="str">
        <f t="shared" ca="1" si="542"/>
        <v/>
      </c>
      <c r="AX394" s="222" t="str">
        <f t="shared" ca="1" si="542"/>
        <v/>
      </c>
      <c r="AY394" s="222" t="str">
        <f t="shared" ca="1" si="542"/>
        <v/>
      </c>
      <c r="AZ394" s="222" t="str">
        <f t="shared" ca="1" si="543"/>
        <v/>
      </c>
      <c r="BA394" s="222" t="str">
        <f t="shared" ca="1" si="543"/>
        <v/>
      </c>
      <c r="BB394" s="222" t="str">
        <f t="shared" ca="1" si="543"/>
        <v/>
      </c>
      <c r="BC394" s="222" t="str">
        <f t="shared" ca="1" si="543"/>
        <v/>
      </c>
      <c r="BD394" s="222" t="str">
        <f t="shared" ca="1" si="543"/>
        <v/>
      </c>
      <c r="BE394" s="222" t="str">
        <f t="shared" ca="1" si="543"/>
        <v/>
      </c>
      <c r="BF394" s="222" t="str">
        <f t="shared" ca="1" si="543"/>
        <v/>
      </c>
      <c r="BG394" s="222" t="str">
        <f t="shared" ca="1" si="543"/>
        <v/>
      </c>
      <c r="BH394" s="222" t="str">
        <f t="shared" ca="1" si="543"/>
        <v/>
      </c>
      <c r="BI394" s="222" t="str">
        <f t="shared" ca="1" si="543"/>
        <v/>
      </c>
      <c r="BJ394" s="222" t="str">
        <f t="shared" ca="1" si="544"/>
        <v/>
      </c>
      <c r="BK394" s="222" t="str">
        <f t="shared" ca="1" si="544"/>
        <v/>
      </c>
      <c r="BL394" s="222" t="str">
        <f t="shared" ca="1" si="544"/>
        <v/>
      </c>
      <c r="BM394" s="222" t="str">
        <f t="shared" ca="1" si="544"/>
        <v/>
      </c>
      <c r="BN394" s="222" t="str">
        <f t="shared" ca="1" si="544"/>
        <v/>
      </c>
      <c r="BO394" s="222" t="str">
        <f t="shared" ca="1" si="544"/>
        <v/>
      </c>
      <c r="BP394" s="222" t="str">
        <f t="shared" ca="1" si="544"/>
        <v/>
      </c>
      <c r="BQ394" s="222" t="str">
        <f t="shared" ca="1" si="544"/>
        <v/>
      </c>
      <c r="BR394" s="222" t="str">
        <f t="shared" ca="1" si="544"/>
        <v/>
      </c>
      <c r="BS394" s="222" t="str">
        <f t="shared" ca="1" si="544"/>
        <v/>
      </c>
      <c r="BT394" s="222" t="str">
        <f t="shared" ca="1" si="545"/>
        <v/>
      </c>
      <c r="BU394" s="222" t="str">
        <f t="shared" ca="1" si="545"/>
        <v/>
      </c>
      <c r="BV394" s="222" t="str">
        <f t="shared" ca="1" si="545"/>
        <v/>
      </c>
      <c r="BW394" s="222" t="str">
        <f t="shared" ca="1" si="545"/>
        <v/>
      </c>
      <c r="BX394" s="222" t="str">
        <f t="shared" ca="1" si="545"/>
        <v/>
      </c>
      <c r="BY394" s="222" t="str">
        <f t="shared" ca="1" si="545"/>
        <v/>
      </c>
      <c r="BZ394" s="368" t="str">
        <f t="shared" ca="1" si="545"/>
        <v/>
      </c>
      <c r="CC394" s="482">
        <f t="shared" si="537"/>
        <v>73</v>
      </c>
    </row>
    <row r="395" spans="1:81">
      <c r="A395" s="326" t="str">
        <v>S&amp;P500(h)</v>
      </c>
      <c r="B395" s="222">
        <f t="shared" ca="1" si="538"/>
        <v>0.98554283303346224</v>
      </c>
      <c r="C395" s="222">
        <f t="shared" ca="1" si="538"/>
        <v>0.87980696584033546</v>
      </c>
      <c r="D395" s="222">
        <f t="shared" ca="1" si="538"/>
        <v>0.98852627332031018</v>
      </c>
      <c r="E395" s="222">
        <f t="shared" ca="1" si="538"/>
        <v>0.93041293232480549</v>
      </c>
      <c r="F395" s="222">
        <f t="shared" ca="1" si="538"/>
        <v>0.86595433086145668</v>
      </c>
      <c r="G395" s="222">
        <f t="shared" ca="1" si="538"/>
        <v>0.67661220868286132</v>
      </c>
      <c r="H395" s="222">
        <f t="shared" ca="1" si="538"/>
        <v>0.7861001917385354</v>
      </c>
      <c r="I395" s="222">
        <f t="shared" ca="1" si="538"/>
        <v>0.77074422200693216</v>
      </c>
      <c r="J395" s="222">
        <f t="shared" ca="1" si="538"/>
        <v>0.64204702392691482</v>
      </c>
      <c r="K395" s="222">
        <f t="shared" ca="1" si="538"/>
        <v>0.54784560957719908</v>
      </c>
      <c r="L395" s="222">
        <f t="shared" ca="1" si="539"/>
        <v>0.68432393294380001</v>
      </c>
      <c r="M395" s="222">
        <f t="shared" ca="1" si="539"/>
        <v>0.51548820189421474</v>
      </c>
      <c r="N395" s="222">
        <f t="shared" ca="1" si="539"/>
        <v>0.67620714310905283</v>
      </c>
      <c r="O395" s="222">
        <f t="shared" ca="1" si="539"/>
        <v>0.45159880424840804</v>
      </c>
      <c r="P395" s="222">
        <f t="shared" ca="1" si="539"/>
        <v>0.76753256345994947</v>
      </c>
      <c r="Q395" s="222">
        <f t="shared" ca="1" si="539"/>
        <v>0.62348044590718965</v>
      </c>
      <c r="R395" s="222">
        <f t="shared" ca="1" si="539"/>
        <v>9.5738183550170275E-2</v>
      </c>
      <c r="S395" s="222">
        <f t="shared" ca="1" si="539"/>
        <v>0.10932890497913129</v>
      </c>
      <c r="T395" s="222">
        <f t="shared" ca="1" si="539"/>
        <v>-1.6866473606420816E-2</v>
      </c>
      <c r="U395" s="222">
        <f t="shared" ca="1" si="539"/>
        <v>3.1347028931058916E-2</v>
      </c>
      <c r="V395" s="222">
        <f t="shared" ca="1" si="540"/>
        <v>-0.10480444548410237</v>
      </c>
      <c r="W395" s="222">
        <f t="shared" ca="1" si="540"/>
        <v>0.17080130671511604</v>
      </c>
      <c r="X395" s="222">
        <f t="shared" ca="1" si="540"/>
        <v>0.89987549474473405</v>
      </c>
      <c r="Y395" s="222">
        <f t="shared" ca="1" si="540"/>
        <v>0.70592884171850834</v>
      </c>
      <c r="Z395" s="222">
        <f t="shared" ca="1" si="540"/>
        <v>0.80943672943113631</v>
      </c>
      <c r="AA395" s="222">
        <f t="shared" ca="1" si="540"/>
        <v>7.3639014682120085E-2</v>
      </c>
      <c r="AB395" s="222">
        <f t="shared" ca="1" si="540"/>
        <v>-0.21023011783933859</v>
      </c>
      <c r="AC395" s="222">
        <f t="shared" ca="1" si="540"/>
        <v>0.5038072297130779</v>
      </c>
      <c r="AD395" s="222">
        <f t="shared" ca="1" si="540"/>
        <v>0.4369629012788574</v>
      </c>
      <c r="AE395" s="222">
        <f t="shared" ca="1" si="540"/>
        <v>0.67790746700393545</v>
      </c>
      <c r="AF395" s="222">
        <f t="shared" ca="1" si="541"/>
        <v>0.21307801813440427</v>
      </c>
      <c r="AG395" s="222">
        <f t="shared" ca="1" si="541"/>
        <v>0.87326810374464992</v>
      </c>
      <c r="AH395" s="222">
        <f t="shared" ca="1" si="541"/>
        <v>0.17316373848069114</v>
      </c>
      <c r="AI395" s="222">
        <f t="shared" ca="1" si="541"/>
        <v>0.40414517487141544</v>
      </c>
      <c r="AJ395" s="222">
        <f t="shared" ca="1" si="541"/>
        <v>0.44612100074782546</v>
      </c>
      <c r="AK395" s="222">
        <f t="shared" ca="1" si="541"/>
        <v>0.76947442491230011</v>
      </c>
      <c r="AL395" s="222">
        <f t="shared" ca="1" si="541"/>
        <v>0.82887879514948914</v>
      </c>
      <c r="AM395" s="222">
        <f t="shared" ca="1" si="541"/>
        <v>0.79036846508442571</v>
      </c>
      <c r="AN395" s="222">
        <f t="shared" ca="1" si="541"/>
        <v>0.87774574721752385</v>
      </c>
      <c r="AO395" s="222">
        <f t="shared" ca="1" si="541"/>
        <v>0.23699526336161464</v>
      </c>
      <c r="AP395" s="222">
        <f t="shared" ca="1" si="542"/>
        <v>0.54985576243280265</v>
      </c>
      <c r="AQ395" s="222" t="str">
        <f t="shared" ca="1" si="542"/>
        <v/>
      </c>
      <c r="AR395" s="222" t="str">
        <f t="shared" ca="1" si="542"/>
        <v/>
      </c>
      <c r="AS395" s="222" t="str">
        <f t="shared" ca="1" si="542"/>
        <v/>
      </c>
      <c r="AT395" s="222" t="str">
        <f t="shared" ca="1" si="542"/>
        <v/>
      </c>
      <c r="AU395" s="222" t="str">
        <f t="shared" ca="1" si="542"/>
        <v/>
      </c>
      <c r="AV395" s="222" t="str">
        <f t="shared" ca="1" si="542"/>
        <v/>
      </c>
      <c r="AW395" s="222" t="str">
        <f t="shared" ca="1" si="542"/>
        <v/>
      </c>
      <c r="AX395" s="222" t="str">
        <f t="shared" ca="1" si="542"/>
        <v/>
      </c>
      <c r="AY395" s="222" t="str">
        <f t="shared" ca="1" si="542"/>
        <v/>
      </c>
      <c r="AZ395" s="222" t="str">
        <f t="shared" ca="1" si="543"/>
        <v/>
      </c>
      <c r="BA395" s="222" t="str">
        <f t="shared" ca="1" si="543"/>
        <v/>
      </c>
      <c r="BB395" s="222" t="str">
        <f t="shared" ca="1" si="543"/>
        <v/>
      </c>
      <c r="BC395" s="222" t="str">
        <f t="shared" ca="1" si="543"/>
        <v/>
      </c>
      <c r="BD395" s="222" t="str">
        <f t="shared" ca="1" si="543"/>
        <v/>
      </c>
      <c r="BE395" s="222" t="str">
        <f t="shared" ca="1" si="543"/>
        <v/>
      </c>
      <c r="BF395" s="222" t="str">
        <f t="shared" ca="1" si="543"/>
        <v/>
      </c>
      <c r="BG395" s="222" t="str">
        <f t="shared" ca="1" si="543"/>
        <v/>
      </c>
      <c r="BH395" s="222" t="str">
        <f t="shared" ca="1" si="543"/>
        <v/>
      </c>
      <c r="BI395" s="222" t="str">
        <f t="shared" ca="1" si="543"/>
        <v/>
      </c>
      <c r="BJ395" s="222" t="str">
        <f t="shared" ca="1" si="544"/>
        <v/>
      </c>
      <c r="BK395" s="222" t="str">
        <f t="shared" ca="1" si="544"/>
        <v/>
      </c>
      <c r="BL395" s="222" t="str">
        <f t="shared" ca="1" si="544"/>
        <v/>
      </c>
      <c r="BM395" s="222" t="str">
        <f t="shared" ca="1" si="544"/>
        <v/>
      </c>
      <c r="BN395" s="222" t="str">
        <f t="shared" ca="1" si="544"/>
        <v/>
      </c>
      <c r="BO395" s="222" t="str">
        <f t="shared" ca="1" si="544"/>
        <v/>
      </c>
      <c r="BP395" s="222" t="str">
        <f t="shared" ca="1" si="544"/>
        <v/>
      </c>
      <c r="BQ395" s="222" t="str">
        <f t="shared" ca="1" si="544"/>
        <v/>
      </c>
      <c r="BR395" s="222" t="str">
        <f t="shared" ca="1" si="544"/>
        <v/>
      </c>
      <c r="BS395" s="222" t="str">
        <f t="shared" ca="1" si="544"/>
        <v/>
      </c>
      <c r="BT395" s="222" t="str">
        <f t="shared" ca="1" si="545"/>
        <v/>
      </c>
      <c r="BU395" s="222" t="str">
        <f t="shared" ca="1" si="545"/>
        <v/>
      </c>
      <c r="BV395" s="222" t="str">
        <f t="shared" ca="1" si="545"/>
        <v/>
      </c>
      <c r="BW395" s="222" t="str">
        <f t="shared" ca="1" si="545"/>
        <v/>
      </c>
      <c r="BX395" s="222">
        <f t="shared" ca="1" si="545"/>
        <v>1.0000000000000002</v>
      </c>
      <c r="BY395" s="222" t="str">
        <f t="shared" ca="1" si="545"/>
        <v/>
      </c>
      <c r="BZ395" s="368" t="str">
        <f t="shared" ca="1" si="545"/>
        <v/>
      </c>
      <c r="CC395" s="482">
        <f t="shared" si="537"/>
        <v>74</v>
      </c>
    </row>
    <row r="396" spans="1:81">
      <c r="A396" s="326" t="str">
        <v>IT Bonds(h)</v>
      </c>
      <c r="B396" s="222">
        <f t="shared" ca="1" si="538"/>
        <v>-2.733725969571469E-2</v>
      </c>
      <c r="C396" s="222">
        <f t="shared" ca="1" si="538"/>
        <v>0.1273267692444211</v>
      </c>
      <c r="D396" s="222">
        <f t="shared" ca="1" si="538"/>
        <v>-1.9506652175935921E-2</v>
      </c>
      <c r="E396" s="222">
        <f t="shared" ca="1" si="538"/>
        <v>5.4848831378776337E-2</v>
      </c>
      <c r="F396" s="222">
        <f t="shared" ca="1" si="538"/>
        <v>0.10394588652660941</v>
      </c>
      <c r="G396" s="222">
        <f t="shared" ca="1" si="538"/>
        <v>8.9816371497720121E-2</v>
      </c>
      <c r="H396" s="222">
        <f t="shared" ca="1" si="538"/>
        <v>-1.1456261772351418E-3</v>
      </c>
      <c r="I396" s="222">
        <f t="shared" ca="1" si="538"/>
        <v>2.4430913061866751E-3</v>
      </c>
      <c r="J396" s="222">
        <f t="shared" ca="1" si="538"/>
        <v>-2.3231216612370119E-2</v>
      </c>
      <c r="K396" s="222">
        <f t="shared" ca="1" si="538"/>
        <v>6.021866728851074E-2</v>
      </c>
      <c r="L396" s="222">
        <f t="shared" ca="1" si="539"/>
        <v>-5.867430992158159E-2</v>
      </c>
      <c r="M396" s="222">
        <f t="shared" ca="1" si="539"/>
        <v>-8.0336462190855037E-2</v>
      </c>
      <c r="N396" s="222">
        <f t="shared" ca="1" si="539"/>
        <v>-5.6730034207076493E-2</v>
      </c>
      <c r="O396" s="222">
        <f t="shared" ca="1" si="539"/>
        <v>-0.15824434942830806</v>
      </c>
      <c r="P396" s="222">
        <f t="shared" ca="1" si="539"/>
        <v>6.1687889987132073E-2</v>
      </c>
      <c r="Q396" s="222">
        <f t="shared" ca="1" si="539"/>
        <v>-9.7187886694895878E-2</v>
      </c>
      <c r="R396" s="222">
        <f t="shared" ca="1" si="539"/>
        <v>-9.1201443644634506E-2</v>
      </c>
      <c r="S396" s="222">
        <f t="shared" ca="1" si="539"/>
        <v>0.89713782171937839</v>
      </c>
      <c r="T396" s="222">
        <f t="shared" ca="1" si="539"/>
        <v>0.99297896172832445</v>
      </c>
      <c r="U396" s="222">
        <f t="shared" ca="1" si="539"/>
        <v>0.95373231191655716</v>
      </c>
      <c r="V396" s="222">
        <f t="shared" ca="1" si="540"/>
        <v>0.41574405853608076</v>
      </c>
      <c r="W396" s="222">
        <f t="shared" ca="1" si="540"/>
        <v>4.8462225758356958E-2</v>
      </c>
      <c r="X396" s="222">
        <f t="shared" ca="1" si="540"/>
        <v>0.31935603415210273</v>
      </c>
      <c r="Y396" s="222">
        <f t="shared" ca="1" si="540"/>
        <v>0.61679587640982658</v>
      </c>
      <c r="Z396" s="222">
        <f t="shared" ca="1" si="540"/>
        <v>7.8751492644989873E-2</v>
      </c>
      <c r="AA396" s="222">
        <f t="shared" ca="1" si="540"/>
        <v>0.72218947539431133</v>
      </c>
      <c r="AB396" s="222">
        <f t="shared" ca="1" si="540"/>
        <v>-0.12291315597801471</v>
      </c>
      <c r="AC396" s="222">
        <f t="shared" ca="1" si="540"/>
        <v>-0.2222564826195835</v>
      </c>
      <c r="AD396" s="222">
        <f t="shared" ca="1" si="540"/>
        <v>-3.9604370262282688E-2</v>
      </c>
      <c r="AE396" s="222">
        <f t="shared" ca="1" si="540"/>
        <v>0.31498999542321299</v>
      </c>
      <c r="AF396" s="222">
        <f t="shared" ca="1" si="541"/>
        <v>-7.0162070795109138E-2</v>
      </c>
      <c r="AG396" s="222">
        <f t="shared" ca="1" si="541"/>
        <v>0.10581184494142937</v>
      </c>
      <c r="AH396" s="222">
        <f t="shared" ca="1" si="541"/>
        <v>0.72984456091984928</v>
      </c>
      <c r="AI396" s="222">
        <f t="shared" ca="1" si="541"/>
        <v>0.77163524705961817</v>
      </c>
      <c r="AJ396" s="222">
        <f t="shared" ca="1" si="541"/>
        <v>0.70918547569133672</v>
      </c>
      <c r="AK396" s="222">
        <f t="shared" ca="1" si="541"/>
        <v>0.23772103913017464</v>
      </c>
      <c r="AL396" s="222">
        <f t="shared" ca="1" si="541"/>
        <v>-0.1360935864103883</v>
      </c>
      <c r="AM396" s="222">
        <f t="shared" ca="1" si="541"/>
        <v>7.7272604493970512E-2</v>
      </c>
      <c r="AN396" s="222">
        <f t="shared" ca="1" si="541"/>
        <v>-8.9675292169604362E-2</v>
      </c>
      <c r="AO396" s="222">
        <f t="shared" ca="1" si="541"/>
        <v>0.28882826840220499</v>
      </c>
      <c r="AP396" s="222">
        <f t="shared" ca="1" si="542"/>
        <v>0.5739044604156377</v>
      </c>
      <c r="AQ396" s="222" t="str">
        <f t="shared" ca="1" si="542"/>
        <v/>
      </c>
      <c r="AR396" s="222" t="str">
        <f t="shared" ca="1" si="542"/>
        <v/>
      </c>
      <c r="AS396" s="222" t="str">
        <f t="shared" ca="1" si="542"/>
        <v/>
      </c>
      <c r="AT396" s="222" t="str">
        <f t="shared" ca="1" si="542"/>
        <v/>
      </c>
      <c r="AU396" s="222" t="str">
        <f t="shared" ca="1" si="542"/>
        <v/>
      </c>
      <c r="AV396" s="222" t="str">
        <f t="shared" ca="1" si="542"/>
        <v/>
      </c>
      <c r="AW396" s="222" t="str">
        <f t="shared" ca="1" si="542"/>
        <v/>
      </c>
      <c r="AX396" s="222" t="str">
        <f t="shared" ca="1" si="542"/>
        <v/>
      </c>
      <c r="AY396" s="222" t="str">
        <f t="shared" ca="1" si="542"/>
        <v/>
      </c>
      <c r="AZ396" s="222" t="str">
        <f t="shared" ca="1" si="543"/>
        <v/>
      </c>
      <c r="BA396" s="222" t="str">
        <f t="shared" ca="1" si="543"/>
        <v/>
      </c>
      <c r="BB396" s="222" t="str">
        <f t="shared" ca="1" si="543"/>
        <v/>
      </c>
      <c r="BC396" s="222" t="str">
        <f t="shared" ca="1" si="543"/>
        <v/>
      </c>
      <c r="BD396" s="222" t="str">
        <f t="shared" ca="1" si="543"/>
        <v/>
      </c>
      <c r="BE396" s="222" t="str">
        <f t="shared" ca="1" si="543"/>
        <v/>
      </c>
      <c r="BF396" s="222" t="str">
        <f t="shared" ca="1" si="543"/>
        <v/>
      </c>
      <c r="BG396" s="222" t="str">
        <f t="shared" ca="1" si="543"/>
        <v/>
      </c>
      <c r="BH396" s="222" t="str">
        <f t="shared" ca="1" si="543"/>
        <v/>
      </c>
      <c r="BI396" s="222" t="str">
        <f t="shared" ca="1" si="543"/>
        <v/>
      </c>
      <c r="BJ396" s="222" t="str">
        <f t="shared" ca="1" si="544"/>
        <v/>
      </c>
      <c r="BK396" s="222" t="str">
        <f t="shared" ca="1" si="544"/>
        <v/>
      </c>
      <c r="BL396" s="222" t="str">
        <f t="shared" ca="1" si="544"/>
        <v/>
      </c>
      <c r="BM396" s="222" t="str">
        <f t="shared" ca="1" si="544"/>
        <v/>
      </c>
      <c r="BN396" s="222" t="str">
        <f t="shared" ca="1" si="544"/>
        <v/>
      </c>
      <c r="BO396" s="222" t="str">
        <f t="shared" ca="1" si="544"/>
        <v/>
      </c>
      <c r="BP396" s="222" t="str">
        <f t="shared" ca="1" si="544"/>
        <v/>
      </c>
      <c r="BQ396" s="222" t="str">
        <f t="shared" ca="1" si="544"/>
        <v/>
      </c>
      <c r="BR396" s="222" t="str">
        <f t="shared" ca="1" si="544"/>
        <v/>
      </c>
      <c r="BS396" s="222" t="str">
        <f t="shared" ca="1" si="544"/>
        <v/>
      </c>
      <c r="BT396" s="222" t="str">
        <f t="shared" ca="1" si="545"/>
        <v/>
      </c>
      <c r="BU396" s="222" t="str">
        <f t="shared" ca="1" si="545"/>
        <v/>
      </c>
      <c r="BV396" s="222" t="str">
        <f t="shared" ca="1" si="545"/>
        <v/>
      </c>
      <c r="BW396" s="222" t="str">
        <f t="shared" ca="1" si="545"/>
        <v/>
      </c>
      <c r="BX396" s="222">
        <f t="shared" ca="1" si="545"/>
        <v>-1.2505459388771187E-3</v>
      </c>
      <c r="BY396" s="222">
        <f t="shared" ca="1" si="545"/>
        <v>1.0000000000000002</v>
      </c>
      <c r="BZ396" s="368" t="str">
        <f t="shared" ca="1" si="545"/>
        <v/>
      </c>
      <c r="CC396" s="482">
        <f t="shared" si="537"/>
        <v>75</v>
      </c>
    </row>
    <row r="397" spans="1:81" ht="13" thickBot="1">
      <c r="A397" s="499" t="str">
        <v>TBills(h)</v>
      </c>
      <c r="B397" s="328">
        <f t="shared" ca="1" si="538"/>
        <v>-7.2838752732922799E-2</v>
      </c>
      <c r="C397" s="328">
        <f t="shared" ca="1" si="538"/>
        <v>0.13664759911323546</v>
      </c>
      <c r="D397" s="328">
        <f t="shared" ca="1" si="538"/>
        <v>-7.0439268822061779E-2</v>
      </c>
      <c r="E397" s="328">
        <f t="shared" ca="1" si="538"/>
        <v>8.0245864711074213E-2</v>
      </c>
      <c r="F397" s="328">
        <f t="shared" ca="1" si="538"/>
        <v>9.6530616425958768E-2</v>
      </c>
      <c r="G397" s="328">
        <f t="shared" ca="1" si="538"/>
        <v>0.12828620453726311</v>
      </c>
      <c r="H397" s="328">
        <f t="shared" ca="1" si="538"/>
        <v>8.0694613676300694E-2</v>
      </c>
      <c r="I397" s="328">
        <f t="shared" ca="1" si="538"/>
        <v>6.0131531010895904E-2</v>
      </c>
      <c r="J397" s="328">
        <f t="shared" ca="1" si="538"/>
        <v>-1.1536787700901068E-2</v>
      </c>
      <c r="K397" s="328">
        <f t="shared" ca="1" si="538"/>
        <v>2.7860311563135384E-2</v>
      </c>
      <c r="L397" s="328">
        <f t="shared" ca="1" si="539"/>
        <v>5.9147641491895761E-2</v>
      </c>
      <c r="M397" s="328">
        <f t="shared" ca="1" si="539"/>
        <v>5.3803227574403395E-2</v>
      </c>
      <c r="N397" s="328">
        <f t="shared" ca="1" si="539"/>
        <v>6.785778122058686E-2</v>
      </c>
      <c r="O397" s="328">
        <f t="shared" ca="1" si="539"/>
        <v>3.0555634285212616E-2</v>
      </c>
      <c r="P397" s="328">
        <f t="shared" ca="1" si="539"/>
        <v>8.8850528331808287E-2</v>
      </c>
      <c r="Q397" s="328">
        <f t="shared" ca="1" si="539"/>
        <v>8.0532885873777174E-2</v>
      </c>
      <c r="R397" s="328">
        <f t="shared" ca="1" si="539"/>
        <v>4.2136039538222744E-2</v>
      </c>
      <c r="S397" s="328">
        <f t="shared" ca="1" si="539"/>
        <v>0.20061409993591631</v>
      </c>
      <c r="T397" s="328">
        <f t="shared" ca="1" si="539"/>
        <v>0.49630509856471056</v>
      </c>
      <c r="U397" s="328">
        <f t="shared" ca="1" si="539"/>
        <v>0.57415656496931022</v>
      </c>
      <c r="V397" s="328">
        <f t="shared" ca="1" si="540"/>
        <v>0.98612511240243572</v>
      </c>
      <c r="W397" s="328">
        <f t="shared" ca="1" si="540"/>
        <v>0.14551786550444754</v>
      </c>
      <c r="X397" s="328">
        <f t="shared" ca="1" si="540"/>
        <v>0.21438370422949582</v>
      </c>
      <c r="Y397" s="328">
        <f t="shared" ca="1" si="540"/>
        <v>0.31812188771673089</v>
      </c>
      <c r="Z397" s="328">
        <f t="shared" ca="1" si="540"/>
        <v>0.15864898829019422</v>
      </c>
      <c r="AA397" s="328">
        <f t="shared" ca="1" si="540"/>
        <v>0.88752904750809247</v>
      </c>
      <c r="AB397" s="328">
        <f t="shared" ca="1" si="540"/>
        <v>4.0908672500339027E-2</v>
      </c>
      <c r="AC397" s="328">
        <f t="shared" ca="1" si="540"/>
        <v>2.5837660093377478E-2</v>
      </c>
      <c r="AD397" s="328">
        <f t="shared" ca="1" si="540"/>
        <v>0.18567938376719156</v>
      </c>
      <c r="AE397" s="328">
        <f t="shared" ca="1" si="540"/>
        <v>0.33910256151047108</v>
      </c>
      <c r="AF397" s="328">
        <f t="shared" ca="1" si="541"/>
        <v>1.6216742481169541E-3</v>
      </c>
      <c r="AG397" s="328">
        <f t="shared" ca="1" si="541"/>
        <v>0.15155938114329967</v>
      </c>
      <c r="AH397" s="328">
        <f t="shared" ca="1" si="541"/>
        <v>0.91893422434516236</v>
      </c>
      <c r="AI397" s="328">
        <f t="shared" ca="1" si="541"/>
        <v>0.49325554193253141</v>
      </c>
      <c r="AJ397" s="328">
        <f t="shared" ca="1" si="541"/>
        <v>0.39385991894467548</v>
      </c>
      <c r="AK397" s="328">
        <f t="shared" ca="1" si="541"/>
        <v>0.11739355111707379</v>
      </c>
      <c r="AL397" s="328">
        <f t="shared" ca="1" si="541"/>
        <v>7.5416446134025386E-2</v>
      </c>
      <c r="AM397" s="328">
        <f t="shared" ca="1" si="541"/>
        <v>6.282393419969251E-2</v>
      </c>
      <c r="AN397" s="328">
        <f t="shared" ca="1" si="541"/>
        <v>2.3906246785110722E-2</v>
      </c>
      <c r="AO397" s="328">
        <f t="shared" ca="1" si="541"/>
        <v>1.7103180567652265E-2</v>
      </c>
      <c r="AP397" s="328">
        <f t="shared" ca="1" si="542"/>
        <v>0.61935595130176857</v>
      </c>
      <c r="AQ397" s="328" t="str">
        <f t="shared" ca="1" si="542"/>
        <v/>
      </c>
      <c r="AR397" s="328" t="str">
        <f t="shared" ca="1" si="542"/>
        <v/>
      </c>
      <c r="AS397" s="328" t="str">
        <f t="shared" ca="1" si="542"/>
        <v/>
      </c>
      <c r="AT397" s="328" t="str">
        <f t="shared" ca="1" si="542"/>
        <v/>
      </c>
      <c r="AU397" s="328" t="str">
        <f t="shared" ca="1" si="542"/>
        <v/>
      </c>
      <c r="AV397" s="328" t="str">
        <f t="shared" ca="1" si="542"/>
        <v/>
      </c>
      <c r="AW397" s="328" t="str">
        <f t="shared" ca="1" si="542"/>
        <v/>
      </c>
      <c r="AX397" s="328" t="str">
        <f t="shared" ca="1" si="542"/>
        <v/>
      </c>
      <c r="AY397" s="328" t="str">
        <f t="shared" ca="1" si="542"/>
        <v/>
      </c>
      <c r="AZ397" s="328" t="str">
        <f t="shared" ca="1" si="543"/>
        <v/>
      </c>
      <c r="BA397" s="328" t="str">
        <f t="shared" ca="1" si="543"/>
        <v/>
      </c>
      <c r="BB397" s="328" t="str">
        <f t="shared" ca="1" si="543"/>
        <v/>
      </c>
      <c r="BC397" s="328" t="str">
        <f t="shared" ca="1" si="543"/>
        <v/>
      </c>
      <c r="BD397" s="328" t="str">
        <f t="shared" ca="1" si="543"/>
        <v/>
      </c>
      <c r="BE397" s="328" t="str">
        <f t="shared" ca="1" si="543"/>
        <v/>
      </c>
      <c r="BF397" s="328" t="str">
        <f t="shared" ca="1" si="543"/>
        <v/>
      </c>
      <c r="BG397" s="328" t="str">
        <f t="shared" ca="1" si="543"/>
        <v/>
      </c>
      <c r="BH397" s="328" t="str">
        <f t="shared" ca="1" si="543"/>
        <v/>
      </c>
      <c r="BI397" s="328" t="str">
        <f t="shared" ca="1" si="543"/>
        <v/>
      </c>
      <c r="BJ397" s="328" t="str">
        <f t="shared" ca="1" si="544"/>
        <v/>
      </c>
      <c r="BK397" s="328" t="str">
        <f t="shared" ca="1" si="544"/>
        <v/>
      </c>
      <c r="BL397" s="328" t="str">
        <f t="shared" ca="1" si="544"/>
        <v/>
      </c>
      <c r="BM397" s="328" t="str">
        <f t="shared" ca="1" si="544"/>
        <v/>
      </c>
      <c r="BN397" s="328" t="str">
        <f t="shared" ca="1" si="544"/>
        <v/>
      </c>
      <c r="BO397" s="328" t="str">
        <f t="shared" ca="1" si="544"/>
        <v/>
      </c>
      <c r="BP397" s="328" t="str">
        <f t="shared" ca="1" si="544"/>
        <v/>
      </c>
      <c r="BQ397" s="328" t="str">
        <f t="shared" ca="1" si="544"/>
        <v/>
      </c>
      <c r="BR397" s="328" t="str">
        <f t="shared" ca="1" si="544"/>
        <v/>
      </c>
      <c r="BS397" s="328" t="str">
        <f t="shared" ca="1" si="544"/>
        <v/>
      </c>
      <c r="BT397" s="328" t="str">
        <f t="shared" ca="1" si="545"/>
        <v/>
      </c>
      <c r="BU397" s="328" t="str">
        <f t="shared" ca="1" si="545"/>
        <v/>
      </c>
      <c r="BV397" s="328" t="str">
        <f t="shared" ca="1" si="545"/>
        <v/>
      </c>
      <c r="BW397" s="328" t="str">
        <f t="shared" ca="1" si="545"/>
        <v/>
      </c>
      <c r="BX397" s="328">
        <f t="shared" ca="1" si="545"/>
        <v>-6.7748857110654009E-2</v>
      </c>
      <c r="BY397" s="328">
        <f t="shared" ca="1" si="545"/>
        <v>0.516183467091197</v>
      </c>
      <c r="BZ397" s="329">
        <f t="shared" ca="1" si="545"/>
        <v>0.99999999999999989</v>
      </c>
      <c r="CC397" s="482">
        <f t="shared" si="537"/>
        <v>76</v>
      </c>
    </row>
    <row r="403" spans="1:81">
      <c r="A403" s="8" t="s">
        <v>745</v>
      </c>
      <c r="B403" s="8"/>
      <c r="E403" s="8"/>
      <c r="F403" s="8"/>
    </row>
    <row r="404" spans="1:81" ht="13" thickBot="1"/>
    <row r="405" spans="1:81" ht="36">
      <c r="A405" s="330"/>
      <c r="B405" s="331" t="str">
        <f t="shared" ref="B405:AT405" si="546">IF(B$1="","",B$1)</f>
        <v>MKT-TSM</v>
      </c>
      <c r="C405" s="332" t="str">
        <f t="shared" si="546"/>
        <v>LCV</v>
      </c>
      <c r="D405" s="332" t="str">
        <f t="shared" si="546"/>
        <v>500 Idx</v>
      </c>
      <c r="E405" s="332" t="str">
        <f t="shared" si="546"/>
        <v>LCG</v>
      </c>
      <c r="F405" s="332" t="str">
        <f t="shared" si="546"/>
        <v>MCB</v>
      </c>
      <c r="G405" s="332" t="str">
        <f t="shared" si="546"/>
        <v>SCV</v>
      </c>
      <c r="H405" s="332" t="str">
        <f t="shared" si="546"/>
        <v>SCB</v>
      </c>
      <c r="I405" s="332" t="str">
        <f t="shared" si="546"/>
        <v>SCG</v>
      </c>
      <c r="J405" s="332" t="str">
        <f t="shared" si="546"/>
        <v>D10</v>
      </c>
      <c r="K405" s="332" t="str">
        <f t="shared" si="546"/>
        <v>REIT</v>
      </c>
      <c r="L405" s="332" t="str">
        <f t="shared" si="546"/>
        <v>EAFED</v>
      </c>
      <c r="M405" s="332" t="str">
        <f t="shared" si="546"/>
        <v>EM</v>
      </c>
      <c r="N405" s="332" t="str">
        <f t="shared" si="546"/>
        <v>Total Intl</v>
      </c>
      <c r="O405" s="332" t="str">
        <f t="shared" si="546"/>
        <v>Pacific</v>
      </c>
      <c r="P405" s="332" t="str">
        <f t="shared" si="546"/>
        <v>Europe</v>
      </c>
      <c r="Q405" s="332" t="str">
        <f t="shared" si="546"/>
        <v>Intl Value</v>
      </c>
      <c r="R405" s="332" t="str">
        <f t="shared" si="546"/>
        <v>COMM</v>
      </c>
      <c r="S405" s="332" t="str">
        <f t="shared" si="546"/>
        <v>LTGB</v>
      </c>
      <c r="T405" s="332" t="str">
        <f t="shared" si="546"/>
        <v>5 Yr T</v>
      </c>
      <c r="U405" s="332" t="str">
        <f t="shared" si="546"/>
        <v>ITB</v>
      </c>
      <c r="V405" s="332" t="str">
        <f t="shared" si="546"/>
        <v>TBILL</v>
      </c>
      <c r="W405" s="332" t="str">
        <f t="shared" si="546"/>
        <v>S-TIPS</v>
      </c>
      <c r="X405" s="332" t="str">
        <f t="shared" si="546"/>
        <v>Wellington</v>
      </c>
      <c r="Y405" s="332" t="str">
        <f t="shared" si="546"/>
        <v>Wellesley</v>
      </c>
      <c r="Z405" s="332" t="str">
        <f t="shared" si="546"/>
        <v>Windsor</v>
      </c>
      <c r="AA405" s="332" t="str">
        <f t="shared" si="546"/>
        <v>ST Trsry</v>
      </c>
      <c r="AB405" s="332" t="str">
        <f t="shared" si="546"/>
        <v>GOLD</v>
      </c>
      <c r="AC405" s="332" t="str">
        <f t="shared" si="546"/>
        <v>VG Intl Small</v>
      </c>
      <c r="AD405" s="332" t="str">
        <f t="shared" si="546"/>
        <v>Energy</v>
      </c>
      <c r="AE405" s="332" t="str">
        <f t="shared" si="546"/>
        <v>Health</v>
      </c>
      <c r="AF405" s="332" t="str">
        <f t="shared" si="546"/>
        <v>P.Metals</v>
      </c>
      <c r="AG405" s="332" t="str">
        <f t="shared" si="546"/>
        <v>Windsor II</v>
      </c>
      <c r="AH405" s="332" t="str">
        <f t="shared" si="546"/>
        <v>V ST TE</v>
      </c>
      <c r="AI405" s="332" t="str">
        <f t="shared" si="546"/>
        <v>V Int TE</v>
      </c>
      <c r="AJ405" s="332" t="str">
        <f t="shared" si="546"/>
        <v>V LT TE</v>
      </c>
      <c r="AK405" s="332" t="str">
        <f t="shared" si="546"/>
        <v>Hi-Yld C</v>
      </c>
      <c r="AL405" s="332" t="str">
        <f t="shared" si="546"/>
        <v>MidCap Growth</v>
      </c>
      <c r="AM405" s="332" t="str">
        <f t="shared" si="546"/>
        <v>MidCap Val</v>
      </c>
      <c r="AN405" s="332" t="str">
        <f t="shared" si="546"/>
        <v>V Ext Mkt</v>
      </c>
      <c r="AO405" s="332" t="str">
        <f t="shared" si="546"/>
        <v>Global Bd Fund</v>
      </c>
      <c r="AP405" s="332" t="str">
        <f t="shared" si="546"/>
        <v>ST Invest. Grade</v>
      </c>
      <c r="AQ405" s="332" t="str">
        <f t="shared" si="546"/>
        <v/>
      </c>
      <c r="AR405" s="332" t="str">
        <f t="shared" si="546"/>
        <v/>
      </c>
      <c r="AS405" s="332" t="str">
        <f t="shared" si="546"/>
        <v/>
      </c>
      <c r="AT405" s="332" t="str">
        <f t="shared" si="546"/>
        <v/>
      </c>
      <c r="AU405" s="332" t="str">
        <f t="shared" ref="AU405:BZ405" si="547">IF(AU$1="","",AU$1)</f>
        <v/>
      </c>
      <c r="AV405" s="332" t="str">
        <f t="shared" si="547"/>
        <v/>
      </c>
      <c r="AW405" s="332" t="str">
        <f t="shared" si="547"/>
        <v/>
      </c>
      <c r="AX405" s="332" t="str">
        <f t="shared" si="547"/>
        <v/>
      </c>
      <c r="AY405" s="332" t="str">
        <f t="shared" si="547"/>
        <v/>
      </c>
      <c r="AZ405" s="332" t="str">
        <f t="shared" si="547"/>
        <v/>
      </c>
      <c r="BA405" s="332" t="str">
        <f t="shared" si="547"/>
        <v/>
      </c>
      <c r="BB405" s="332" t="str">
        <f t="shared" si="547"/>
        <v/>
      </c>
      <c r="BC405" s="332" t="str">
        <f t="shared" si="547"/>
        <v/>
      </c>
      <c r="BD405" s="332" t="str">
        <f t="shared" si="547"/>
        <v/>
      </c>
      <c r="BE405" s="332" t="str">
        <f t="shared" si="547"/>
        <v/>
      </c>
      <c r="BF405" s="332" t="str">
        <f t="shared" si="547"/>
        <v/>
      </c>
      <c r="BG405" s="332" t="str">
        <f t="shared" si="547"/>
        <v/>
      </c>
      <c r="BH405" s="332" t="str">
        <f t="shared" si="547"/>
        <v/>
      </c>
      <c r="BI405" s="332" t="str">
        <f t="shared" si="547"/>
        <v/>
      </c>
      <c r="BJ405" s="332" t="str">
        <f t="shared" si="547"/>
        <v/>
      </c>
      <c r="BK405" s="332" t="str">
        <f t="shared" si="547"/>
        <v/>
      </c>
      <c r="BL405" s="332" t="str">
        <f t="shared" si="547"/>
        <v/>
      </c>
      <c r="BM405" s="332" t="str">
        <f t="shared" si="547"/>
        <v/>
      </c>
      <c r="BN405" s="332" t="str">
        <f t="shared" si="547"/>
        <v/>
      </c>
      <c r="BO405" s="332" t="str">
        <f t="shared" si="547"/>
        <v/>
      </c>
      <c r="BP405" s="332" t="str">
        <f t="shared" si="547"/>
        <v/>
      </c>
      <c r="BQ405" s="332" t="str">
        <f t="shared" si="547"/>
        <v/>
      </c>
      <c r="BR405" s="332" t="str">
        <f t="shared" si="547"/>
        <v/>
      </c>
      <c r="BS405" s="332" t="str">
        <f t="shared" si="547"/>
        <v/>
      </c>
      <c r="BT405" s="332" t="str">
        <f t="shared" si="547"/>
        <v/>
      </c>
      <c r="BU405" s="332" t="str">
        <f t="shared" si="547"/>
        <v/>
      </c>
      <c r="BV405" s="332" t="str">
        <f t="shared" si="547"/>
        <v/>
      </c>
      <c r="BW405" s="332" t="str">
        <f t="shared" si="547"/>
        <v/>
      </c>
      <c r="BX405" s="332" t="str">
        <f t="shared" si="547"/>
        <v>S&amp;P500(h)</v>
      </c>
      <c r="BY405" s="332" t="str">
        <f t="shared" si="547"/>
        <v>IT Bonds(h)</v>
      </c>
      <c r="BZ405" s="332" t="str">
        <f t="shared" si="547"/>
        <v>TBills(h)</v>
      </c>
      <c r="CA405" s="530" t="str">
        <f>IF(CA$1="","",CA$1)</f>
        <v>Inflation</v>
      </c>
    </row>
    <row r="406" spans="1:81">
      <c r="A406" s="481">
        <f>A$8</f>
        <v>1871</v>
      </c>
      <c r="B406" s="336" t="str">
        <f t="shared" ref="B406:AT406" si="548">IF(B$2="","",B$2)</f>
        <v>VTSMX</v>
      </c>
      <c r="C406" s="335" t="str">
        <f t="shared" si="548"/>
        <v>VIVAX</v>
      </c>
      <c r="D406" s="335" t="str">
        <f t="shared" si="548"/>
        <v>VFINX</v>
      </c>
      <c r="E406" s="335" t="str">
        <f t="shared" si="548"/>
        <v>VIGRX</v>
      </c>
      <c r="F406" s="335" t="str">
        <f t="shared" si="548"/>
        <v>VIMSX</v>
      </c>
      <c r="G406" s="335" t="str">
        <f t="shared" si="548"/>
        <v>VISVX</v>
      </c>
      <c r="H406" s="335" t="str">
        <f t="shared" si="548"/>
        <v>NAESX</v>
      </c>
      <c r="I406" s="335" t="str">
        <f t="shared" si="548"/>
        <v>VISGX</v>
      </c>
      <c r="J406" s="335" t="str">
        <f t="shared" si="548"/>
        <v>BRSIX</v>
      </c>
      <c r="K406" s="335" t="str">
        <f t="shared" si="548"/>
        <v>VGSIX</v>
      </c>
      <c r="L406" s="335" t="str">
        <f t="shared" si="548"/>
        <v>VTMGX</v>
      </c>
      <c r="M406" s="335" t="str">
        <f t="shared" si="548"/>
        <v>VEIEX</v>
      </c>
      <c r="N406" s="335" t="str">
        <f t="shared" si="548"/>
        <v>VGTSX</v>
      </c>
      <c r="O406" s="335" t="str">
        <f t="shared" si="548"/>
        <v>VPACX</v>
      </c>
      <c r="P406" s="335" t="str">
        <f t="shared" si="548"/>
        <v>VEURX</v>
      </c>
      <c r="Q406" s="335" t="str">
        <f t="shared" si="548"/>
        <v>VTRIX</v>
      </c>
      <c r="R406" s="335" t="str">
        <f t="shared" si="548"/>
        <v>PCRIX</v>
      </c>
      <c r="S406" s="335" t="str">
        <f t="shared" si="548"/>
        <v>VUSTX</v>
      </c>
      <c r="T406" s="335" t="str">
        <f t="shared" si="548"/>
        <v>VFITX</v>
      </c>
      <c r="U406" s="335" t="str">
        <f t="shared" si="548"/>
        <v>VBMFX</v>
      </c>
      <c r="V406" s="335" t="str">
        <f t="shared" si="548"/>
        <v>VUSXX</v>
      </c>
      <c r="W406" s="335" t="str">
        <f t="shared" si="548"/>
        <v>VIPSX</v>
      </c>
      <c r="X406" s="335" t="str">
        <f t="shared" si="548"/>
        <v>VWELX</v>
      </c>
      <c r="Y406" s="335" t="str">
        <f t="shared" si="548"/>
        <v>VWINX</v>
      </c>
      <c r="Z406" s="335" t="str">
        <f t="shared" si="548"/>
        <v>VWNDX</v>
      </c>
      <c r="AA406" s="335" t="str">
        <f t="shared" si="548"/>
        <v>VFISX</v>
      </c>
      <c r="AB406" s="335" t="str">
        <f t="shared" si="548"/>
        <v>GLD</v>
      </c>
      <c r="AC406" s="335" t="str">
        <f t="shared" si="548"/>
        <v>VFSVX</v>
      </c>
      <c r="AD406" s="335" t="str">
        <f t="shared" si="548"/>
        <v>VGENX</v>
      </c>
      <c r="AE406" s="335" t="str">
        <f t="shared" si="548"/>
        <v>VGHCX</v>
      </c>
      <c r="AF406" s="335" t="str">
        <f t="shared" si="548"/>
        <v>VGPMX</v>
      </c>
      <c r="AG406" s="335" t="str">
        <f t="shared" si="548"/>
        <v>VWNFX</v>
      </c>
      <c r="AH406" s="335" t="str">
        <f t="shared" si="548"/>
        <v>VWSTX</v>
      </c>
      <c r="AI406" s="335" t="str">
        <f t="shared" si="548"/>
        <v>VWITX</v>
      </c>
      <c r="AJ406" s="335" t="str">
        <f t="shared" si="548"/>
        <v>VWLTX</v>
      </c>
      <c r="AK406" s="335" t="str">
        <f t="shared" si="548"/>
        <v>VWEHX</v>
      </c>
      <c r="AL406" s="335" t="str">
        <f t="shared" si="548"/>
        <v>VMGIX</v>
      </c>
      <c r="AM406" s="335" t="str">
        <f t="shared" si="548"/>
        <v>VMVIX</v>
      </c>
      <c r="AN406" s="335" t="str">
        <f t="shared" si="548"/>
        <v>VEXMX</v>
      </c>
      <c r="AO406" s="335" t="str">
        <f t="shared" si="548"/>
        <v>PIGLX</v>
      </c>
      <c r="AP406" s="335" t="str">
        <f t="shared" si="548"/>
        <v>VFSTX</v>
      </c>
      <c r="AQ406" s="335" t="str">
        <f t="shared" si="548"/>
        <v/>
      </c>
      <c r="AR406" s="335" t="str">
        <f t="shared" si="548"/>
        <v/>
      </c>
      <c r="AS406" s="335" t="str">
        <f t="shared" si="548"/>
        <v/>
      </c>
      <c r="AT406" s="335" t="str">
        <f t="shared" si="548"/>
        <v/>
      </c>
      <c r="AU406" s="335" t="str">
        <f t="shared" ref="AU406:BZ406" si="549">IF(AU$2="","",AU$2)</f>
        <v/>
      </c>
      <c r="AV406" s="335" t="str">
        <f t="shared" si="549"/>
        <v/>
      </c>
      <c r="AW406" s="335" t="str">
        <f t="shared" si="549"/>
        <v/>
      </c>
      <c r="AX406" s="335" t="str">
        <f t="shared" si="549"/>
        <v/>
      </c>
      <c r="AY406" s="335" t="str">
        <f t="shared" si="549"/>
        <v/>
      </c>
      <c r="AZ406" s="335" t="str">
        <f t="shared" si="549"/>
        <v/>
      </c>
      <c r="BA406" s="335" t="str">
        <f t="shared" si="549"/>
        <v/>
      </c>
      <c r="BB406" s="335" t="str">
        <f t="shared" si="549"/>
        <v/>
      </c>
      <c r="BC406" s="335" t="str">
        <f t="shared" si="549"/>
        <v/>
      </c>
      <c r="BD406" s="335" t="str">
        <f t="shared" si="549"/>
        <v/>
      </c>
      <c r="BE406" s="335" t="str">
        <f t="shared" si="549"/>
        <v/>
      </c>
      <c r="BF406" s="335" t="str">
        <f t="shared" si="549"/>
        <v/>
      </c>
      <c r="BG406" s="335" t="str">
        <f t="shared" si="549"/>
        <v/>
      </c>
      <c r="BH406" s="335" t="str">
        <f t="shared" si="549"/>
        <v/>
      </c>
      <c r="BI406" s="335" t="str">
        <f t="shared" si="549"/>
        <v/>
      </c>
      <c r="BJ406" s="335" t="str">
        <f t="shared" si="549"/>
        <v/>
      </c>
      <c r="BK406" s="335" t="str">
        <f t="shared" si="549"/>
        <v/>
      </c>
      <c r="BL406" s="335" t="str">
        <f t="shared" si="549"/>
        <v/>
      </c>
      <c r="BM406" s="335" t="str">
        <f t="shared" si="549"/>
        <v/>
      </c>
      <c r="BN406" s="335" t="str">
        <f t="shared" si="549"/>
        <v/>
      </c>
      <c r="BO406" s="335" t="str">
        <f t="shared" si="549"/>
        <v/>
      </c>
      <c r="BP406" s="335" t="str">
        <f t="shared" si="549"/>
        <v/>
      </c>
      <c r="BQ406" s="335" t="str">
        <f t="shared" si="549"/>
        <v/>
      </c>
      <c r="BR406" s="335" t="str">
        <f t="shared" si="549"/>
        <v/>
      </c>
      <c r="BS406" s="335" t="str">
        <f t="shared" si="549"/>
        <v/>
      </c>
      <c r="BT406" s="335" t="str">
        <f t="shared" si="549"/>
        <v/>
      </c>
      <c r="BU406" s="335" t="str">
        <f t="shared" si="549"/>
        <v/>
      </c>
      <c r="BV406" s="335" t="str">
        <f t="shared" si="549"/>
        <v/>
      </c>
      <c r="BW406" s="335" t="str">
        <f t="shared" si="549"/>
        <v/>
      </c>
      <c r="BX406" s="335" t="str">
        <f t="shared" si="549"/>
        <v>S&amp;P500(h)</v>
      </c>
      <c r="BY406" s="335" t="str">
        <f t="shared" si="549"/>
        <v>IT Bonds(h)</v>
      </c>
      <c r="BZ406" s="335" t="str">
        <f t="shared" si="549"/>
        <v>TBills(h)</v>
      </c>
      <c r="CA406" s="531" t="str">
        <f>IF(CA$2="","",CA$2)</f>
        <v>CPI-U</v>
      </c>
    </row>
    <row r="407" spans="1:81" ht="14">
      <c r="A407" s="338" t="str">
        <f>CONCATENATE(A$406+10*(ROW()-ROW(A$406)-1), "-", A$406+10*(ROW()-ROW(A$406))-1)</f>
        <v>1871-1880</v>
      </c>
      <c r="B407" s="339">
        <f t="array" aca="1" ref="B407" ca="1">IF(B$406="", "", IF(ISERROR(PRODUCT(1+OFFSET(B$8, $CC407, 0, 10, 1)%)), "", PRODUCT(1+OFFSET(B$8, $CC407, 0, 10, 1)%)^(1/10)-1))</f>
        <v>9.3592641220479056E-2</v>
      </c>
      <c r="C407" s="340" t="str">
        <f t="array" aca="1" ref="C407" ca="1">IF(C$406="", "", IF(ISERROR(PRODUCT(1+OFFSET(C$8, $CC407, 0, 10, 1)%)), "", PRODUCT(1+OFFSET(C$8, $CC407, 0, 10, 1)%)^(1/10)-1))</f>
        <v/>
      </c>
      <c r="D407" s="340">
        <f t="array" aca="1" ref="D407" ca="1">IF(D$406="", "", IF(ISERROR(PRODUCT(1+OFFSET(D$8, $CC407, 0, 10, 1)%)), "", PRODUCT(1+OFFSET(D$8, $CC407, 0, 10, 1)%)^(1/10)-1))</f>
        <v>9.3592641220479056E-2</v>
      </c>
      <c r="E407" s="340" t="str">
        <f t="array" aca="1" ref="E407" ca="1">IF(E$406="", "", IF(ISERROR(PRODUCT(1+OFFSET(E$8, $CC407, 0, 10, 1)%)), "", PRODUCT(1+OFFSET(E$8, $CC407, 0, 10, 1)%)^(1/10)-1))</f>
        <v/>
      </c>
      <c r="F407" s="340" t="str">
        <f t="array" aca="1" ref="F407" ca="1">IF(F$406="", "", IF(ISERROR(PRODUCT(1+OFFSET(F$8, $CC407, 0, 10, 1)%)), "", PRODUCT(1+OFFSET(F$8, $CC407, 0, 10, 1)%)^(1/10)-1))</f>
        <v/>
      </c>
      <c r="G407" s="340" t="str">
        <f t="array" aca="1" ref="G407" ca="1">IF(G$406="", "", IF(ISERROR(PRODUCT(1+OFFSET(G$8, $CC407, 0, 10, 1)%)), "", PRODUCT(1+OFFSET(G$8, $CC407, 0, 10, 1)%)^(1/10)-1))</f>
        <v/>
      </c>
      <c r="H407" s="340" t="str">
        <f t="array" aca="1" ref="H407" ca="1">IF(H$406="", "", IF(ISERROR(PRODUCT(1+OFFSET(H$8, $CC407, 0, 10, 1)%)), "", PRODUCT(1+OFFSET(H$8, $CC407, 0, 10, 1)%)^(1/10)-1))</f>
        <v/>
      </c>
      <c r="I407" s="340" t="str">
        <f t="array" aca="1" ref="I407" ca="1">IF(I$406="", "", IF(ISERROR(PRODUCT(1+OFFSET(I$8, $CC407, 0, 10, 1)%)), "", PRODUCT(1+OFFSET(I$8, $CC407, 0, 10, 1)%)^(1/10)-1))</f>
        <v/>
      </c>
      <c r="J407" s="340" t="str">
        <f t="array" aca="1" ref="J407" ca="1">IF(J$406="", "", IF(ISERROR(PRODUCT(1+OFFSET(J$8, $CC407, 0, 10, 1)%)), "", PRODUCT(1+OFFSET(J$8, $CC407, 0, 10, 1)%)^(1/10)-1))</f>
        <v/>
      </c>
      <c r="K407" s="340" t="str">
        <f t="array" aca="1" ref="K407" ca="1">IF(K$406="", "", IF(ISERROR(PRODUCT(1+OFFSET(K$8, $CC407, 0, 10, 1)%)), "", PRODUCT(1+OFFSET(K$8, $CC407, 0, 10, 1)%)^(1/10)-1))</f>
        <v/>
      </c>
      <c r="L407" s="340" t="str">
        <f t="array" aca="1" ref="L407" ca="1">IF(L$406="", "", IF(ISERROR(PRODUCT(1+OFFSET(L$8, $CC407, 0, 10, 1)%)), "", PRODUCT(1+OFFSET(L$8, $CC407, 0, 10, 1)%)^(1/10)-1))</f>
        <v/>
      </c>
      <c r="M407" s="340" t="str">
        <f t="array" aca="1" ref="M407" ca="1">IF(M$406="", "", IF(ISERROR(PRODUCT(1+OFFSET(M$8, $CC407, 0, 10, 1)%)), "", PRODUCT(1+OFFSET(M$8, $CC407, 0, 10, 1)%)^(1/10)-1))</f>
        <v/>
      </c>
      <c r="N407" s="498" t="str">
        <f t="array" aca="1" ref="N407" ca="1">IF(N$406="", "", IF(ISERROR(PRODUCT(1+OFFSET(N$8, $CC407, 0, 10, 1)%)), "", PRODUCT(1+OFFSET(N$8, $CC407, 0, 10, 1)%)^(1/10)-1))</f>
        <v/>
      </c>
      <c r="O407" s="340" t="str">
        <f t="array" aca="1" ref="O407" ca="1">IF(O$406="", "", IF(ISERROR(PRODUCT(1+OFFSET(O$8, $CC407, 0, 10, 1)%)), "", PRODUCT(1+OFFSET(O$8, $CC407, 0, 10, 1)%)^(1/10)-1))</f>
        <v/>
      </c>
      <c r="P407" s="340" t="str">
        <f t="array" aca="1" ref="P407" ca="1">IF(P$406="", "", IF(ISERROR(PRODUCT(1+OFFSET(P$8, $CC407, 0, 10, 1)%)), "", PRODUCT(1+OFFSET(P$8, $CC407, 0, 10, 1)%)^(1/10)-1))</f>
        <v/>
      </c>
      <c r="Q407" s="340" t="str">
        <f t="array" aca="1" ref="Q407" ca="1">IF(Q$406="", "", IF(ISERROR(PRODUCT(1+OFFSET(Q$8, $CC407, 0, 10, 1)%)), "", PRODUCT(1+OFFSET(Q$8, $CC407, 0, 10, 1)%)^(1/10)-1))</f>
        <v/>
      </c>
      <c r="R407" s="340" t="str">
        <f t="array" aca="1" ref="R407" ca="1">IF(R$406="", "", IF(ISERROR(PRODUCT(1+OFFSET(R$8, $CC407, 0, 10, 1)%)), "", PRODUCT(1+OFFSET(R$8, $CC407, 0, 10, 1)%)^(1/10)-1))</f>
        <v/>
      </c>
      <c r="S407" s="340" t="str">
        <f t="array" aca="1" ref="S407" ca="1">IF(S$406="", "", IF(ISERROR(PRODUCT(1+OFFSET(S$8, $CC407, 0, 10, 1)%)), "", PRODUCT(1+OFFSET(S$8, $CC407, 0, 10, 1)%)^(1/10)-1))</f>
        <v/>
      </c>
      <c r="T407" s="340">
        <f t="array" aca="1" ref="T407" ca="1">IF(T$406="", "", IF(ISERROR(PRODUCT(1+OFFSET(T$8, $CC407, 0, 10, 1)%)), "", PRODUCT(1+OFFSET(T$8, $CC407, 0, 10, 1)%)^(1/10)-1))</f>
        <v>5.2533997027542023E-2</v>
      </c>
      <c r="U407" s="340">
        <f t="array" aca="1" ref="U407" ca="1">IF(U$406="", "", IF(ISERROR(PRODUCT(1+OFFSET(U$8, $CC407, 0, 10, 1)%)), "", PRODUCT(1+OFFSET(U$8, $CC407, 0, 10, 1)%)^(1/10)-1))</f>
        <v>5.2533997027542023E-2</v>
      </c>
      <c r="V407" s="340">
        <f t="array" aca="1" ref="V407" ca="1">IF(V$406="", "", IF(ISERROR(PRODUCT(1+OFFSET(V$8, $CC407, 0, 10, 1)%)), "", PRODUCT(1+OFFSET(V$8, $CC407, 0, 10, 1)%)^(1/10)-1))</f>
        <v>5.7907576065528543E-2</v>
      </c>
      <c r="W407" s="340" t="str">
        <f t="array" aca="1" ref="W407" ca="1">IF(W$406="", "", IF(ISERROR(PRODUCT(1+OFFSET(W$8, $CC407, 0, 10, 1)%)), "", PRODUCT(1+OFFSET(W$8, $CC407, 0, 10, 1)%)^(1/10)-1))</f>
        <v/>
      </c>
      <c r="X407" s="340" t="str">
        <f t="array" aca="1" ref="X407" ca="1">IF(X$406="", "", IF(ISERROR(PRODUCT(1+OFFSET(X$8, $CC407, 0, 10, 1)%)), "", PRODUCT(1+OFFSET(X$8, $CC407, 0, 10, 1)%)^(1/10)-1))</f>
        <v/>
      </c>
      <c r="Y407" s="340" t="str">
        <f t="array" aca="1" ref="Y407" ca="1">IF(Y$406="", "", IF(ISERROR(PRODUCT(1+OFFSET(Y$8, $CC407, 0, 10, 1)%)), "", PRODUCT(1+OFFSET(Y$8, $CC407, 0, 10, 1)%)^(1/10)-1))</f>
        <v/>
      </c>
      <c r="Z407" s="340" t="str">
        <f t="array" aca="1" ref="Z407" ca="1">IF(Z$406="", "", IF(ISERROR(PRODUCT(1+OFFSET(Z$8, $CC407, 0, 10, 1)%)), "", PRODUCT(1+OFFSET(Z$8, $CC407, 0, 10, 1)%)^(1/10)-1))</f>
        <v/>
      </c>
      <c r="AA407" s="340" t="str">
        <f t="array" aca="1" ref="AA407" ca="1">IF(AA$406="", "", IF(ISERROR(PRODUCT(1+OFFSET(AA$8, $CC407, 0, 10, 1)%)), "", PRODUCT(1+OFFSET(AA$8, $CC407, 0, 10, 1)%)^(1/10)-1))</f>
        <v/>
      </c>
      <c r="AB407" s="340" t="str">
        <f t="array" aca="1" ref="AB407" ca="1">IF(AB$406="", "", IF(ISERROR(PRODUCT(1+OFFSET(AB$8, $CC407, 0, 10, 1)%)), "", PRODUCT(1+OFFSET(AB$8, $CC407, 0, 10, 1)%)^(1/10)-1))</f>
        <v/>
      </c>
      <c r="AC407" s="340" t="str">
        <f t="array" aca="1" ref="AC407" ca="1">IF(AC$406="", "", IF(ISERROR(PRODUCT(1+OFFSET(AC$8, $CC407, 0, 10, 1)%)), "", PRODUCT(1+OFFSET(AC$8, $CC407, 0, 10, 1)%)^(1/10)-1))</f>
        <v/>
      </c>
      <c r="AD407" s="340" t="str">
        <f t="array" aca="1" ref="AD407" ca="1">IF(AD$406="", "", IF(ISERROR(PRODUCT(1+OFFSET(AD$8, $CC407, 0, 10, 1)%)), "", PRODUCT(1+OFFSET(AD$8, $CC407, 0, 10, 1)%)^(1/10)-1))</f>
        <v/>
      </c>
      <c r="AE407" s="340" t="str">
        <f t="array" aca="1" ref="AE407" ca="1">IF(AE$406="", "", IF(ISERROR(PRODUCT(1+OFFSET(AE$8, $CC407, 0, 10, 1)%)), "", PRODUCT(1+OFFSET(AE$8, $CC407, 0, 10, 1)%)^(1/10)-1))</f>
        <v/>
      </c>
      <c r="AF407" s="340" t="str">
        <f t="array" aca="1" ref="AF407" ca="1">IF(AF$406="", "", IF(ISERROR(PRODUCT(1+OFFSET(AF$8, $CC407, 0, 10, 1)%)), "", PRODUCT(1+OFFSET(AF$8, $CC407, 0, 10, 1)%)^(1/10)-1))</f>
        <v/>
      </c>
      <c r="AG407" s="340" t="str">
        <f t="array" aca="1" ref="AG407" ca="1">IF(AG$406="", "", IF(ISERROR(PRODUCT(1+OFFSET(AG$8, $CC407, 0, 10, 1)%)), "", PRODUCT(1+OFFSET(AG$8, $CC407, 0, 10, 1)%)^(1/10)-1))</f>
        <v/>
      </c>
      <c r="AH407" s="340" t="str">
        <f t="array" aca="1" ref="AH407" ca="1">IF(AH$406="", "", IF(ISERROR(PRODUCT(1+OFFSET(AH$8, $CC407, 0, 10, 1)%)), "", PRODUCT(1+OFFSET(AH$8, $CC407, 0, 10, 1)%)^(1/10)-1))</f>
        <v/>
      </c>
      <c r="AI407" s="340" t="str">
        <f t="array" aca="1" ref="AI407" ca="1">IF(AI$406="", "", IF(ISERROR(PRODUCT(1+OFFSET(AI$8, $CC407, 0, 10, 1)%)), "", PRODUCT(1+OFFSET(AI$8, $CC407, 0, 10, 1)%)^(1/10)-1))</f>
        <v/>
      </c>
      <c r="AJ407" s="340" t="str">
        <f t="array" aca="1" ref="AJ407" ca="1">IF(AJ$406="", "", IF(ISERROR(PRODUCT(1+OFFSET(AJ$8, $CC407, 0, 10, 1)%)), "", PRODUCT(1+OFFSET(AJ$8, $CC407, 0, 10, 1)%)^(1/10)-1))</f>
        <v/>
      </c>
      <c r="AK407" s="340" t="str">
        <f t="array" aca="1" ref="AK407" ca="1">IF(AK$406="", "", IF(ISERROR(PRODUCT(1+OFFSET(AK$8, $CC407, 0, 10, 1)%)), "", PRODUCT(1+OFFSET(AK$8, $CC407, 0, 10, 1)%)^(1/10)-1))</f>
        <v/>
      </c>
      <c r="AL407" s="340" t="str">
        <f t="array" aca="1" ref="AL407" ca="1">IF(AL$406="", "", IF(ISERROR(PRODUCT(1+OFFSET(AL$8, $CC407, 0, 10, 1)%)), "", PRODUCT(1+OFFSET(AL$8, $CC407, 0, 10, 1)%)^(1/10)-1))</f>
        <v/>
      </c>
      <c r="AM407" s="340" t="str">
        <f t="array" aca="1" ref="AM407" ca="1">IF(AM$406="", "", IF(ISERROR(PRODUCT(1+OFFSET(AM$8, $CC407, 0, 10, 1)%)), "", PRODUCT(1+OFFSET(AM$8, $CC407, 0, 10, 1)%)^(1/10)-1))</f>
        <v/>
      </c>
      <c r="AN407" s="340" t="str">
        <f t="array" aca="1" ref="AN407" ca="1">IF(AN$406="", "", IF(ISERROR(PRODUCT(1+OFFSET(AN$8, $CC407, 0, 10, 1)%)), "", PRODUCT(1+OFFSET(AN$8, $CC407, 0, 10, 1)%)^(1/10)-1))</f>
        <v/>
      </c>
      <c r="AO407" s="340" t="str">
        <f t="array" aca="1" ref="AO407" ca="1">IF(AO$406="", "", IF(ISERROR(PRODUCT(1+OFFSET(AO$8, $CC407, 0, 10, 1)%)), "", PRODUCT(1+OFFSET(AO$8, $CC407, 0, 10, 1)%)^(1/10)-1))</f>
        <v/>
      </c>
      <c r="AP407" s="340" t="str">
        <f t="array" aca="1" ref="AP407" ca="1">IF(AP$406="", "", IF(ISERROR(PRODUCT(1+OFFSET(AP$8, $CC407, 0, 10, 1)%)), "", PRODUCT(1+OFFSET(AP$8, $CC407, 0, 10, 1)%)^(1/10)-1))</f>
        <v/>
      </c>
      <c r="AQ407" s="340" t="str">
        <f t="array" aca="1" ref="AQ407" ca="1">IF(AQ$406="", "", IF(ISERROR(PRODUCT(1+OFFSET(AQ$8, $CC407, 0, 10, 1)%)), "", PRODUCT(1+OFFSET(AQ$8, $CC407, 0, 10, 1)%)^(1/10)-1))</f>
        <v/>
      </c>
      <c r="AR407" s="340" t="str">
        <f t="array" aca="1" ref="AR407" ca="1">IF(AR$406="", "", IF(ISERROR(PRODUCT(1+OFFSET(AR$8, $CC407, 0, 10, 1)%)), "", PRODUCT(1+OFFSET(AR$8, $CC407, 0, 10, 1)%)^(1/10)-1))</f>
        <v/>
      </c>
      <c r="AS407" s="340" t="str">
        <f t="array" aca="1" ref="AS407" ca="1">IF(AS$406="", "", IF(ISERROR(PRODUCT(1+OFFSET(AS$8, $CC407, 0, 10, 1)%)), "", PRODUCT(1+OFFSET(AS$8, $CC407, 0, 10, 1)%)^(1/10)-1))</f>
        <v/>
      </c>
      <c r="AT407" s="340" t="str">
        <f t="array" aca="1" ref="AT407" ca="1">IF(AT$406="", "", IF(ISERROR(PRODUCT(1+OFFSET(AT$8, $CC407, 0, 10, 1)%)), "", PRODUCT(1+OFFSET(AT$8, $CC407, 0, 10, 1)%)^(1/10)-1))</f>
        <v/>
      </c>
      <c r="AU407" s="340" t="str">
        <f t="array" aca="1" ref="AU407" ca="1">IF(AU$406="", "", IF(ISERROR(PRODUCT(1+OFFSET(AU$8, $CC407, 0, 10, 1)%)), "", PRODUCT(1+OFFSET(AU$8, $CC407, 0, 10, 1)%)^(1/10)-1))</f>
        <v/>
      </c>
      <c r="AV407" s="340" t="str">
        <f t="array" aca="1" ref="AV407" ca="1">IF(AV$406="", "", IF(ISERROR(PRODUCT(1+OFFSET(AV$8, $CC407, 0, 10, 1)%)), "", PRODUCT(1+OFFSET(AV$8, $CC407, 0, 10, 1)%)^(1/10)-1))</f>
        <v/>
      </c>
      <c r="AW407" s="340" t="str">
        <f t="array" aca="1" ref="AW407" ca="1">IF(AW$406="", "", IF(ISERROR(PRODUCT(1+OFFSET(AW$8, $CC407, 0, 10, 1)%)), "", PRODUCT(1+OFFSET(AW$8, $CC407, 0, 10, 1)%)^(1/10)-1))</f>
        <v/>
      </c>
      <c r="AX407" s="340" t="str">
        <f t="array" aca="1" ref="AX407" ca="1">IF(AX$406="", "", IF(ISERROR(PRODUCT(1+OFFSET(AX$8, $CC407, 0, 10, 1)%)), "", PRODUCT(1+OFFSET(AX$8, $CC407, 0, 10, 1)%)^(1/10)-1))</f>
        <v/>
      </c>
      <c r="AY407" s="340" t="str">
        <f t="array" aca="1" ref="AY407" ca="1">IF(AY$406="", "", IF(ISERROR(PRODUCT(1+OFFSET(AY$8, $CC407, 0, 10, 1)%)), "", PRODUCT(1+OFFSET(AY$8, $CC407, 0, 10, 1)%)^(1/10)-1))</f>
        <v/>
      </c>
      <c r="AZ407" s="340" t="str">
        <f t="array" aca="1" ref="AZ407" ca="1">IF(AZ$406="", "", IF(ISERROR(PRODUCT(1+OFFSET(AZ$8, $CC407, 0, 10, 1)%)), "", PRODUCT(1+OFFSET(AZ$8, $CC407, 0, 10, 1)%)^(1/10)-1))</f>
        <v/>
      </c>
      <c r="BA407" s="340" t="str">
        <f t="array" aca="1" ref="BA407" ca="1">IF(BA$406="", "", IF(ISERROR(PRODUCT(1+OFFSET(BA$8, $CC407, 0, 10, 1)%)), "", PRODUCT(1+OFFSET(BA$8, $CC407, 0, 10, 1)%)^(1/10)-1))</f>
        <v/>
      </c>
      <c r="BB407" s="340" t="str">
        <f t="array" aca="1" ref="BB407" ca="1">IF(BB$406="", "", IF(ISERROR(PRODUCT(1+OFFSET(BB$8, $CC407, 0, 10, 1)%)), "", PRODUCT(1+OFFSET(BB$8, $CC407, 0, 10, 1)%)^(1/10)-1))</f>
        <v/>
      </c>
      <c r="BC407" s="340" t="str">
        <f t="array" aca="1" ref="BC407" ca="1">IF(BC$406="", "", IF(ISERROR(PRODUCT(1+OFFSET(BC$8, $CC407, 0, 10, 1)%)), "", PRODUCT(1+OFFSET(BC$8, $CC407, 0, 10, 1)%)^(1/10)-1))</f>
        <v/>
      </c>
      <c r="BD407" s="340" t="str">
        <f t="array" aca="1" ref="BD407" ca="1">IF(BD$406="", "", IF(ISERROR(PRODUCT(1+OFFSET(BD$8, $CC407, 0, 10, 1)%)), "", PRODUCT(1+OFFSET(BD$8, $CC407, 0, 10, 1)%)^(1/10)-1))</f>
        <v/>
      </c>
      <c r="BE407" s="340" t="str">
        <f t="array" aca="1" ref="BE407" ca="1">IF(BE$406="", "", IF(ISERROR(PRODUCT(1+OFFSET(BE$8, $CC407, 0, 10, 1)%)), "", PRODUCT(1+OFFSET(BE$8, $CC407, 0, 10, 1)%)^(1/10)-1))</f>
        <v/>
      </c>
      <c r="BF407" s="340" t="str">
        <f t="array" aca="1" ref="BF407" ca="1">IF(BF$406="", "", IF(ISERROR(PRODUCT(1+OFFSET(BF$8, $CC407, 0, 10, 1)%)), "", PRODUCT(1+OFFSET(BF$8, $CC407, 0, 10, 1)%)^(1/10)-1))</f>
        <v/>
      </c>
      <c r="BG407" s="340" t="str">
        <f t="array" aca="1" ref="BG407" ca="1">IF(BG$406="", "", IF(ISERROR(PRODUCT(1+OFFSET(BG$8, $CC407, 0, 10, 1)%)), "", PRODUCT(1+OFFSET(BG$8, $CC407, 0, 10, 1)%)^(1/10)-1))</f>
        <v/>
      </c>
      <c r="BH407" s="340" t="str">
        <f t="array" aca="1" ref="BH407" ca="1">IF(BH$406="", "", IF(ISERROR(PRODUCT(1+OFFSET(BH$8, $CC407, 0, 10, 1)%)), "", PRODUCT(1+OFFSET(BH$8, $CC407, 0, 10, 1)%)^(1/10)-1))</f>
        <v/>
      </c>
      <c r="BI407" s="340" t="str">
        <f t="array" aca="1" ref="BI407" ca="1">IF(BI$406="", "", IF(ISERROR(PRODUCT(1+OFFSET(BI$8, $CC407, 0, 10, 1)%)), "", PRODUCT(1+OFFSET(BI$8, $CC407, 0, 10, 1)%)^(1/10)-1))</f>
        <v/>
      </c>
      <c r="BJ407" s="340" t="str">
        <f t="array" aca="1" ref="BJ407" ca="1">IF(BJ$406="", "", IF(ISERROR(PRODUCT(1+OFFSET(BJ$8, $CC407, 0, 10, 1)%)), "", PRODUCT(1+OFFSET(BJ$8, $CC407, 0, 10, 1)%)^(1/10)-1))</f>
        <v/>
      </c>
      <c r="BK407" s="340" t="str">
        <f t="array" aca="1" ref="BK407" ca="1">IF(BK$406="", "", IF(ISERROR(PRODUCT(1+OFFSET(BK$8, $CC407, 0, 10, 1)%)), "", PRODUCT(1+OFFSET(BK$8, $CC407, 0, 10, 1)%)^(1/10)-1))</f>
        <v/>
      </c>
      <c r="BL407" s="340" t="str">
        <f t="array" aca="1" ref="BL407" ca="1">IF(BL$406="", "", IF(ISERROR(PRODUCT(1+OFFSET(BL$8, $CC407, 0, 10, 1)%)), "", PRODUCT(1+OFFSET(BL$8, $CC407, 0, 10, 1)%)^(1/10)-1))</f>
        <v/>
      </c>
      <c r="BM407" s="340" t="str">
        <f t="array" aca="1" ref="BM407" ca="1">IF(BM$406="", "", IF(ISERROR(PRODUCT(1+OFFSET(BM$8, $CC407, 0, 10, 1)%)), "", PRODUCT(1+OFFSET(BM$8, $CC407, 0, 10, 1)%)^(1/10)-1))</f>
        <v/>
      </c>
      <c r="BN407" s="340" t="str">
        <f t="array" aca="1" ref="BN407" ca="1">IF(BN$406="", "", IF(ISERROR(PRODUCT(1+OFFSET(BN$8, $CC407, 0, 10, 1)%)), "", PRODUCT(1+OFFSET(BN$8, $CC407, 0, 10, 1)%)^(1/10)-1))</f>
        <v/>
      </c>
      <c r="BO407" s="340" t="str">
        <f t="array" aca="1" ref="BO407" ca="1">IF(BO$406="", "", IF(ISERROR(PRODUCT(1+OFFSET(BO$8, $CC407, 0, 10, 1)%)), "", PRODUCT(1+OFFSET(BO$8, $CC407, 0, 10, 1)%)^(1/10)-1))</f>
        <v/>
      </c>
      <c r="BP407" s="340" t="str">
        <f t="array" aca="1" ref="BP407" ca="1">IF(BP$406="", "", IF(ISERROR(PRODUCT(1+OFFSET(BP$8, $CC407, 0, 10, 1)%)), "", PRODUCT(1+OFFSET(BP$8, $CC407, 0, 10, 1)%)^(1/10)-1))</f>
        <v/>
      </c>
      <c r="BQ407" s="340" t="str">
        <f t="array" aca="1" ref="BQ407" ca="1">IF(BQ$406="", "", IF(ISERROR(PRODUCT(1+OFFSET(BQ$8, $CC407, 0, 10, 1)%)), "", PRODUCT(1+OFFSET(BQ$8, $CC407, 0, 10, 1)%)^(1/10)-1))</f>
        <v/>
      </c>
      <c r="BR407" s="340" t="str">
        <f t="array" aca="1" ref="BR407" ca="1">IF(BR$406="", "", IF(ISERROR(PRODUCT(1+OFFSET(BR$8, $CC407, 0, 10, 1)%)), "", PRODUCT(1+OFFSET(BR$8, $CC407, 0, 10, 1)%)^(1/10)-1))</f>
        <v/>
      </c>
      <c r="BS407" s="340" t="str">
        <f t="array" aca="1" ref="BS407" ca="1">IF(BS$406="", "", IF(ISERROR(PRODUCT(1+OFFSET(BS$8, $CC407, 0, 10, 1)%)), "", PRODUCT(1+OFFSET(BS$8, $CC407, 0, 10, 1)%)^(1/10)-1))</f>
        <v/>
      </c>
      <c r="BT407" s="340" t="str">
        <f t="array" aca="1" ref="BT407" ca="1">IF(BT$406="", "", IF(ISERROR(PRODUCT(1+OFFSET(BT$8, $CC407, 0, 10, 1)%)), "", PRODUCT(1+OFFSET(BT$8, $CC407, 0, 10, 1)%)^(1/10)-1))</f>
        <v/>
      </c>
      <c r="BU407" s="340" t="str">
        <f t="array" aca="1" ref="BU407" ca="1">IF(BU$406="", "", IF(ISERROR(PRODUCT(1+OFFSET(BU$8, $CC407, 0, 10, 1)%)), "", PRODUCT(1+OFFSET(BU$8, $CC407, 0, 10, 1)%)^(1/10)-1))</f>
        <v/>
      </c>
      <c r="BV407" s="340" t="str">
        <f t="array" aca="1" ref="BV407" ca="1">IF(BV$406="", "", IF(ISERROR(PRODUCT(1+OFFSET(BV$8, $CC407, 0, 10, 1)%)), "", PRODUCT(1+OFFSET(BV$8, $CC407, 0, 10, 1)%)^(1/10)-1))</f>
        <v/>
      </c>
      <c r="BW407" s="340" t="str">
        <f t="array" aca="1" ref="BW407" ca="1">IF(BW$406="", "", IF(ISERROR(PRODUCT(1+OFFSET(BW$8, $CC407, 0, 10, 1)%)), "", PRODUCT(1+OFFSET(BW$8, $CC407, 0, 10, 1)%)^(1/10)-1))</f>
        <v/>
      </c>
      <c r="BX407" s="340">
        <f t="array" aca="1" ref="BX407" ca="1">IF(BX$406="", "", IF(ISERROR(PRODUCT(1+OFFSET(BX$8, $CC407, 0, 10, 1)%)), "", PRODUCT(1+OFFSET(BX$8, $CC407, 0, 10, 1)%)^(1/10)-1))</f>
        <v>9.545174871055373E-2</v>
      </c>
      <c r="BY407" s="340">
        <f t="array" aca="1" ref="BY407" ca="1">IF(BY$406="", "", IF(ISERROR(PRODUCT(1+OFFSET(BY$8, $CC407, 0, 10, 1)%)), "", PRODUCT(1+OFFSET(BY$8, $CC407, 0, 10, 1)%)^(1/10)-1))</f>
        <v>5.46390650215971E-2</v>
      </c>
      <c r="BZ407" s="340">
        <f t="array" aca="1" ref="BZ407" ca="1">IF(BZ$406="", "", IF(ISERROR(PRODUCT(1+OFFSET(BZ$8, $CC407, 0, 10, 1)%)), "", PRODUCT(1+OFFSET(BZ$8, $CC407, 0, 10, 1)%)^(1/10)-1))</f>
        <v>5.8859692883987513E-2</v>
      </c>
      <c r="CA407" s="532">
        <f t="array" aca="1" ref="CA407" ca="1">IF(CA$406="", "", IF(ISERROR(PRODUCT(1+OFFSET(CA$8, $CC407, 0, 10, 1)%)), "", PRODUCT(1+OFFSET(CA$8, $CC407, 0, 10, 1)%)^(1/10)-1))</f>
        <v>-2.7619012516841179E-2</v>
      </c>
      <c r="CC407" s="482">
        <f>10*(ROW()-ROW($A$406)-1)</f>
        <v>0</v>
      </c>
    </row>
    <row r="408" spans="1:81" ht="14">
      <c r="A408" s="338" t="str">
        <f t="shared" ref="A408:A420" si="550">CONCATENATE(A$406+10*(ROW()-ROW(A$406)-1), "-", A$406+10*(ROW()-ROW(A$406))-1)</f>
        <v>1881-1890</v>
      </c>
      <c r="B408" s="339">
        <f t="array" aca="1" ref="B408" ca="1">IF(B$406="", "", IF(ISERROR(PRODUCT(1+OFFSET(B$8, $CC408, 0, 10, 1)%)), "", PRODUCT(1+OFFSET(B$8, $CC408, 0, 10, 1)%)^(1/10)-1))</f>
        <v>2.3559078468254002E-2</v>
      </c>
      <c r="C408" s="340" t="str">
        <f t="array" aca="1" ref="C408" ca="1">IF(C$406="", "", IF(ISERROR(PRODUCT(1+OFFSET(C$8, $CC408, 0, 10, 1)%)), "", PRODUCT(1+OFFSET(C$8, $CC408, 0, 10, 1)%)^(1/10)-1))</f>
        <v/>
      </c>
      <c r="D408" s="340">
        <f t="array" aca="1" ref="D408" ca="1">IF(D$406="", "", IF(ISERROR(PRODUCT(1+OFFSET(D$8, $CC408, 0, 10, 1)%)), "", PRODUCT(1+OFFSET(D$8, $CC408, 0, 10, 1)%)^(1/10)-1))</f>
        <v>2.3559078468254002E-2</v>
      </c>
      <c r="E408" s="340" t="str">
        <f t="array" aca="1" ref="E408" ca="1">IF(E$406="", "", IF(ISERROR(PRODUCT(1+OFFSET(E$8, $CC408, 0, 10, 1)%)), "", PRODUCT(1+OFFSET(E$8, $CC408, 0, 10, 1)%)^(1/10)-1))</f>
        <v/>
      </c>
      <c r="F408" s="340" t="str">
        <f t="array" aca="1" ref="F408" ca="1">IF(F$406="", "", IF(ISERROR(PRODUCT(1+OFFSET(F$8, $CC408, 0, 10, 1)%)), "", PRODUCT(1+OFFSET(F$8, $CC408, 0, 10, 1)%)^(1/10)-1))</f>
        <v/>
      </c>
      <c r="G408" s="340" t="str">
        <f t="array" aca="1" ref="G408" ca="1">IF(G$406="", "", IF(ISERROR(PRODUCT(1+OFFSET(G$8, $CC408, 0, 10, 1)%)), "", PRODUCT(1+OFFSET(G$8, $CC408, 0, 10, 1)%)^(1/10)-1))</f>
        <v/>
      </c>
      <c r="H408" s="340" t="str">
        <f t="array" aca="1" ref="H408" ca="1">IF(H$406="", "", IF(ISERROR(PRODUCT(1+OFFSET(H$8, $CC408, 0, 10, 1)%)), "", PRODUCT(1+OFFSET(H$8, $CC408, 0, 10, 1)%)^(1/10)-1))</f>
        <v/>
      </c>
      <c r="I408" s="340" t="str">
        <f t="array" aca="1" ref="I408" ca="1">IF(I$406="", "", IF(ISERROR(PRODUCT(1+OFFSET(I$8, $CC408, 0, 10, 1)%)), "", PRODUCT(1+OFFSET(I$8, $CC408, 0, 10, 1)%)^(1/10)-1))</f>
        <v/>
      </c>
      <c r="J408" s="340" t="str">
        <f t="array" aca="1" ref="J408" ca="1">IF(J$406="", "", IF(ISERROR(PRODUCT(1+OFFSET(J$8, $CC408, 0, 10, 1)%)), "", PRODUCT(1+OFFSET(J$8, $CC408, 0, 10, 1)%)^(1/10)-1))</f>
        <v/>
      </c>
      <c r="K408" s="340" t="str">
        <f t="array" aca="1" ref="K408" ca="1">IF(K$406="", "", IF(ISERROR(PRODUCT(1+OFFSET(K$8, $CC408, 0, 10, 1)%)), "", PRODUCT(1+OFFSET(K$8, $CC408, 0, 10, 1)%)^(1/10)-1))</f>
        <v/>
      </c>
      <c r="L408" s="340" t="str">
        <f t="array" aca="1" ref="L408" ca="1">IF(L$406="", "", IF(ISERROR(PRODUCT(1+OFFSET(L$8, $CC408, 0, 10, 1)%)), "", PRODUCT(1+OFFSET(L$8, $CC408, 0, 10, 1)%)^(1/10)-1))</f>
        <v/>
      </c>
      <c r="M408" s="340" t="str">
        <f t="array" aca="1" ref="M408" ca="1">IF(M$406="", "", IF(ISERROR(PRODUCT(1+OFFSET(M$8, $CC408, 0, 10, 1)%)), "", PRODUCT(1+OFFSET(M$8, $CC408, 0, 10, 1)%)^(1/10)-1))</f>
        <v/>
      </c>
      <c r="N408" s="498" t="str">
        <f t="array" aca="1" ref="N408" ca="1">IF(N$406="", "", IF(ISERROR(PRODUCT(1+OFFSET(N$8, $CC408, 0, 10, 1)%)), "", PRODUCT(1+OFFSET(N$8, $CC408, 0, 10, 1)%)^(1/10)-1))</f>
        <v/>
      </c>
      <c r="O408" s="340" t="str">
        <f t="array" aca="1" ref="O408" ca="1">IF(O$406="", "", IF(ISERROR(PRODUCT(1+OFFSET(O$8, $CC408, 0, 10, 1)%)), "", PRODUCT(1+OFFSET(O$8, $CC408, 0, 10, 1)%)^(1/10)-1))</f>
        <v/>
      </c>
      <c r="P408" s="340" t="str">
        <f t="array" aca="1" ref="P408" ca="1">IF(P$406="", "", IF(ISERROR(PRODUCT(1+OFFSET(P$8, $CC408, 0, 10, 1)%)), "", PRODUCT(1+OFFSET(P$8, $CC408, 0, 10, 1)%)^(1/10)-1))</f>
        <v/>
      </c>
      <c r="Q408" s="340" t="str">
        <f t="array" aca="1" ref="Q408" ca="1">IF(Q$406="", "", IF(ISERROR(PRODUCT(1+OFFSET(Q$8, $CC408, 0, 10, 1)%)), "", PRODUCT(1+OFFSET(Q$8, $CC408, 0, 10, 1)%)^(1/10)-1))</f>
        <v/>
      </c>
      <c r="R408" s="340" t="str">
        <f t="array" aca="1" ref="R408" ca="1">IF(R$406="", "", IF(ISERROR(PRODUCT(1+OFFSET(R$8, $CC408, 0, 10, 1)%)), "", PRODUCT(1+OFFSET(R$8, $CC408, 0, 10, 1)%)^(1/10)-1))</f>
        <v/>
      </c>
      <c r="S408" s="340" t="str">
        <f t="array" aca="1" ref="S408" ca="1">IF(S$406="", "", IF(ISERROR(PRODUCT(1+OFFSET(S$8, $CC408, 0, 10, 1)%)), "", PRODUCT(1+OFFSET(S$8, $CC408, 0, 10, 1)%)^(1/10)-1))</f>
        <v/>
      </c>
      <c r="T408" s="340">
        <f t="array" aca="1" ref="T408" ca="1">IF(T$406="", "", IF(ISERROR(PRODUCT(1+OFFSET(T$8, $CC408, 0, 10, 1)%)), "", PRODUCT(1+OFFSET(T$8, $CC408, 0, 10, 1)%)^(1/10)-1))</f>
        <v>3.0152793180540094E-2</v>
      </c>
      <c r="U408" s="340">
        <f t="array" aca="1" ref="U408" ca="1">IF(U$406="", "", IF(ISERROR(PRODUCT(1+OFFSET(U$8, $CC408, 0, 10, 1)%)), "", PRODUCT(1+OFFSET(U$8, $CC408, 0, 10, 1)%)^(1/10)-1))</f>
        <v>3.0152793180540094E-2</v>
      </c>
      <c r="V408" s="340">
        <f t="array" aca="1" ref="V408" ca="1">IF(V$406="", "", IF(ISERROR(PRODUCT(1+OFFSET(V$8, $CC408, 0, 10, 1)%)), "", PRODUCT(1+OFFSET(V$8, $CC408, 0, 10, 1)%)^(1/10)-1))</f>
        <v>4.9789682185899853E-2</v>
      </c>
      <c r="W408" s="340" t="str">
        <f t="array" aca="1" ref="W408" ca="1">IF(W$406="", "", IF(ISERROR(PRODUCT(1+OFFSET(W$8, $CC408, 0, 10, 1)%)), "", PRODUCT(1+OFFSET(W$8, $CC408, 0, 10, 1)%)^(1/10)-1))</f>
        <v/>
      </c>
      <c r="X408" s="340" t="str">
        <f t="array" aca="1" ref="X408" ca="1">IF(X$406="", "", IF(ISERROR(PRODUCT(1+OFFSET(X$8, $CC408, 0, 10, 1)%)), "", PRODUCT(1+OFFSET(X$8, $CC408, 0, 10, 1)%)^(1/10)-1))</f>
        <v/>
      </c>
      <c r="Y408" s="340" t="str">
        <f t="array" aca="1" ref="Y408" ca="1">IF(Y$406="", "", IF(ISERROR(PRODUCT(1+OFFSET(Y$8, $CC408, 0, 10, 1)%)), "", PRODUCT(1+OFFSET(Y$8, $CC408, 0, 10, 1)%)^(1/10)-1))</f>
        <v/>
      </c>
      <c r="Z408" s="340" t="str">
        <f t="array" aca="1" ref="Z408" ca="1">IF(Z$406="", "", IF(ISERROR(PRODUCT(1+OFFSET(Z$8, $CC408, 0, 10, 1)%)), "", PRODUCT(1+OFFSET(Z$8, $CC408, 0, 10, 1)%)^(1/10)-1))</f>
        <v/>
      </c>
      <c r="AA408" s="340" t="str">
        <f t="array" aca="1" ref="AA408" ca="1">IF(AA$406="", "", IF(ISERROR(PRODUCT(1+OFFSET(AA$8, $CC408, 0, 10, 1)%)), "", PRODUCT(1+OFFSET(AA$8, $CC408, 0, 10, 1)%)^(1/10)-1))</f>
        <v/>
      </c>
      <c r="AB408" s="340" t="str">
        <f t="array" aca="1" ref="AB408" ca="1">IF(AB$406="", "", IF(ISERROR(PRODUCT(1+OFFSET(AB$8, $CC408, 0, 10, 1)%)), "", PRODUCT(1+OFFSET(AB$8, $CC408, 0, 10, 1)%)^(1/10)-1))</f>
        <v/>
      </c>
      <c r="AC408" s="340" t="str">
        <f t="array" aca="1" ref="AC408" ca="1">IF(AC$406="", "", IF(ISERROR(PRODUCT(1+OFFSET(AC$8, $CC408, 0, 10, 1)%)), "", PRODUCT(1+OFFSET(AC$8, $CC408, 0, 10, 1)%)^(1/10)-1))</f>
        <v/>
      </c>
      <c r="AD408" s="340" t="str">
        <f t="array" aca="1" ref="AD408" ca="1">IF(AD$406="", "", IF(ISERROR(PRODUCT(1+OFFSET(AD$8, $CC408, 0, 10, 1)%)), "", PRODUCT(1+OFFSET(AD$8, $CC408, 0, 10, 1)%)^(1/10)-1))</f>
        <v/>
      </c>
      <c r="AE408" s="340" t="str">
        <f t="array" aca="1" ref="AE408" ca="1">IF(AE$406="", "", IF(ISERROR(PRODUCT(1+OFFSET(AE$8, $CC408, 0, 10, 1)%)), "", PRODUCT(1+OFFSET(AE$8, $CC408, 0, 10, 1)%)^(1/10)-1))</f>
        <v/>
      </c>
      <c r="AF408" s="340" t="str">
        <f t="array" aca="1" ref="AF408" ca="1">IF(AF$406="", "", IF(ISERROR(PRODUCT(1+OFFSET(AF$8, $CC408, 0, 10, 1)%)), "", PRODUCT(1+OFFSET(AF$8, $CC408, 0, 10, 1)%)^(1/10)-1))</f>
        <v/>
      </c>
      <c r="AG408" s="340" t="str">
        <f t="array" aca="1" ref="AG408" ca="1">IF(AG$406="", "", IF(ISERROR(PRODUCT(1+OFFSET(AG$8, $CC408, 0, 10, 1)%)), "", PRODUCT(1+OFFSET(AG$8, $CC408, 0, 10, 1)%)^(1/10)-1))</f>
        <v/>
      </c>
      <c r="AH408" s="340" t="str">
        <f t="array" aca="1" ref="AH408" ca="1">IF(AH$406="", "", IF(ISERROR(PRODUCT(1+OFFSET(AH$8, $CC408, 0, 10, 1)%)), "", PRODUCT(1+OFFSET(AH$8, $CC408, 0, 10, 1)%)^(1/10)-1))</f>
        <v/>
      </c>
      <c r="AI408" s="340" t="str">
        <f t="array" aca="1" ref="AI408" ca="1">IF(AI$406="", "", IF(ISERROR(PRODUCT(1+OFFSET(AI$8, $CC408, 0, 10, 1)%)), "", PRODUCT(1+OFFSET(AI$8, $CC408, 0, 10, 1)%)^(1/10)-1))</f>
        <v/>
      </c>
      <c r="AJ408" s="340" t="str">
        <f t="array" aca="1" ref="AJ408" ca="1">IF(AJ$406="", "", IF(ISERROR(PRODUCT(1+OFFSET(AJ$8, $CC408, 0, 10, 1)%)), "", PRODUCT(1+OFFSET(AJ$8, $CC408, 0, 10, 1)%)^(1/10)-1))</f>
        <v/>
      </c>
      <c r="AK408" s="340" t="str">
        <f t="array" aca="1" ref="AK408" ca="1">IF(AK$406="", "", IF(ISERROR(PRODUCT(1+OFFSET(AK$8, $CC408, 0, 10, 1)%)), "", PRODUCT(1+OFFSET(AK$8, $CC408, 0, 10, 1)%)^(1/10)-1))</f>
        <v/>
      </c>
      <c r="AL408" s="340" t="str">
        <f t="array" aca="1" ref="AL408" ca="1">IF(AL$406="", "", IF(ISERROR(PRODUCT(1+OFFSET(AL$8, $CC408, 0, 10, 1)%)), "", PRODUCT(1+OFFSET(AL$8, $CC408, 0, 10, 1)%)^(1/10)-1))</f>
        <v/>
      </c>
      <c r="AM408" s="340" t="str">
        <f t="array" aca="1" ref="AM408" ca="1">IF(AM$406="", "", IF(ISERROR(PRODUCT(1+OFFSET(AM$8, $CC408, 0, 10, 1)%)), "", PRODUCT(1+OFFSET(AM$8, $CC408, 0, 10, 1)%)^(1/10)-1))</f>
        <v/>
      </c>
      <c r="AN408" s="340" t="str">
        <f t="array" aca="1" ref="AN408" ca="1">IF(AN$406="", "", IF(ISERROR(PRODUCT(1+OFFSET(AN$8, $CC408, 0, 10, 1)%)), "", PRODUCT(1+OFFSET(AN$8, $CC408, 0, 10, 1)%)^(1/10)-1))</f>
        <v/>
      </c>
      <c r="AO408" s="340" t="str">
        <f t="array" aca="1" ref="AO408" ca="1">IF(AO$406="", "", IF(ISERROR(PRODUCT(1+OFFSET(AO$8, $CC408, 0, 10, 1)%)), "", PRODUCT(1+OFFSET(AO$8, $CC408, 0, 10, 1)%)^(1/10)-1))</f>
        <v/>
      </c>
      <c r="AP408" s="340" t="str">
        <f t="array" aca="1" ref="AP408" ca="1">IF(AP$406="", "", IF(ISERROR(PRODUCT(1+OFFSET(AP$8, $CC408, 0, 10, 1)%)), "", PRODUCT(1+OFFSET(AP$8, $CC408, 0, 10, 1)%)^(1/10)-1))</f>
        <v/>
      </c>
      <c r="AQ408" s="340" t="str">
        <f t="array" aca="1" ref="AQ408" ca="1">IF(AQ$406="", "", IF(ISERROR(PRODUCT(1+OFFSET(AQ$8, $CC408, 0, 10, 1)%)), "", PRODUCT(1+OFFSET(AQ$8, $CC408, 0, 10, 1)%)^(1/10)-1))</f>
        <v/>
      </c>
      <c r="AR408" s="340" t="str">
        <f t="array" aca="1" ref="AR408" ca="1">IF(AR$406="", "", IF(ISERROR(PRODUCT(1+OFFSET(AR$8, $CC408, 0, 10, 1)%)), "", PRODUCT(1+OFFSET(AR$8, $CC408, 0, 10, 1)%)^(1/10)-1))</f>
        <v/>
      </c>
      <c r="AS408" s="340" t="str">
        <f t="array" aca="1" ref="AS408" ca="1">IF(AS$406="", "", IF(ISERROR(PRODUCT(1+OFFSET(AS$8, $CC408, 0, 10, 1)%)), "", PRODUCT(1+OFFSET(AS$8, $CC408, 0, 10, 1)%)^(1/10)-1))</f>
        <v/>
      </c>
      <c r="AT408" s="340" t="str">
        <f t="array" aca="1" ref="AT408" ca="1">IF(AT$406="", "", IF(ISERROR(PRODUCT(1+OFFSET(AT$8, $CC408, 0, 10, 1)%)), "", PRODUCT(1+OFFSET(AT$8, $CC408, 0, 10, 1)%)^(1/10)-1))</f>
        <v/>
      </c>
      <c r="AU408" s="340" t="str">
        <f t="array" aca="1" ref="AU408" ca="1">IF(AU$406="", "", IF(ISERROR(PRODUCT(1+OFFSET(AU$8, $CC408, 0, 10, 1)%)), "", PRODUCT(1+OFFSET(AU$8, $CC408, 0, 10, 1)%)^(1/10)-1))</f>
        <v/>
      </c>
      <c r="AV408" s="340" t="str">
        <f t="array" aca="1" ref="AV408" ca="1">IF(AV$406="", "", IF(ISERROR(PRODUCT(1+OFFSET(AV$8, $CC408, 0, 10, 1)%)), "", PRODUCT(1+OFFSET(AV$8, $CC408, 0, 10, 1)%)^(1/10)-1))</f>
        <v/>
      </c>
      <c r="AW408" s="340" t="str">
        <f t="array" aca="1" ref="AW408" ca="1">IF(AW$406="", "", IF(ISERROR(PRODUCT(1+OFFSET(AW$8, $CC408, 0, 10, 1)%)), "", PRODUCT(1+OFFSET(AW$8, $CC408, 0, 10, 1)%)^(1/10)-1))</f>
        <v/>
      </c>
      <c r="AX408" s="340" t="str">
        <f t="array" aca="1" ref="AX408" ca="1">IF(AX$406="", "", IF(ISERROR(PRODUCT(1+OFFSET(AX$8, $CC408, 0, 10, 1)%)), "", PRODUCT(1+OFFSET(AX$8, $CC408, 0, 10, 1)%)^(1/10)-1))</f>
        <v/>
      </c>
      <c r="AY408" s="340" t="str">
        <f t="array" aca="1" ref="AY408" ca="1">IF(AY$406="", "", IF(ISERROR(PRODUCT(1+OFFSET(AY$8, $CC408, 0, 10, 1)%)), "", PRODUCT(1+OFFSET(AY$8, $CC408, 0, 10, 1)%)^(1/10)-1))</f>
        <v/>
      </c>
      <c r="AZ408" s="340" t="str">
        <f t="array" aca="1" ref="AZ408" ca="1">IF(AZ$406="", "", IF(ISERROR(PRODUCT(1+OFFSET(AZ$8, $CC408, 0, 10, 1)%)), "", PRODUCT(1+OFFSET(AZ$8, $CC408, 0, 10, 1)%)^(1/10)-1))</f>
        <v/>
      </c>
      <c r="BA408" s="340" t="str">
        <f t="array" aca="1" ref="BA408" ca="1">IF(BA$406="", "", IF(ISERROR(PRODUCT(1+OFFSET(BA$8, $CC408, 0, 10, 1)%)), "", PRODUCT(1+OFFSET(BA$8, $CC408, 0, 10, 1)%)^(1/10)-1))</f>
        <v/>
      </c>
      <c r="BB408" s="340" t="str">
        <f t="array" aca="1" ref="BB408" ca="1">IF(BB$406="", "", IF(ISERROR(PRODUCT(1+OFFSET(BB$8, $CC408, 0, 10, 1)%)), "", PRODUCT(1+OFFSET(BB$8, $CC408, 0, 10, 1)%)^(1/10)-1))</f>
        <v/>
      </c>
      <c r="BC408" s="340" t="str">
        <f t="array" aca="1" ref="BC408" ca="1">IF(BC$406="", "", IF(ISERROR(PRODUCT(1+OFFSET(BC$8, $CC408, 0, 10, 1)%)), "", PRODUCT(1+OFFSET(BC$8, $CC408, 0, 10, 1)%)^(1/10)-1))</f>
        <v/>
      </c>
      <c r="BD408" s="340" t="str">
        <f t="array" aca="1" ref="BD408" ca="1">IF(BD$406="", "", IF(ISERROR(PRODUCT(1+OFFSET(BD$8, $CC408, 0, 10, 1)%)), "", PRODUCT(1+OFFSET(BD$8, $CC408, 0, 10, 1)%)^(1/10)-1))</f>
        <v/>
      </c>
      <c r="BE408" s="340" t="str">
        <f t="array" aca="1" ref="BE408" ca="1">IF(BE$406="", "", IF(ISERROR(PRODUCT(1+OFFSET(BE$8, $CC408, 0, 10, 1)%)), "", PRODUCT(1+OFFSET(BE$8, $CC408, 0, 10, 1)%)^(1/10)-1))</f>
        <v/>
      </c>
      <c r="BF408" s="340" t="str">
        <f t="array" aca="1" ref="BF408" ca="1">IF(BF$406="", "", IF(ISERROR(PRODUCT(1+OFFSET(BF$8, $CC408, 0, 10, 1)%)), "", PRODUCT(1+OFFSET(BF$8, $CC408, 0, 10, 1)%)^(1/10)-1))</f>
        <v/>
      </c>
      <c r="BG408" s="340" t="str">
        <f t="array" aca="1" ref="BG408" ca="1">IF(BG$406="", "", IF(ISERROR(PRODUCT(1+OFFSET(BG$8, $CC408, 0, 10, 1)%)), "", PRODUCT(1+OFFSET(BG$8, $CC408, 0, 10, 1)%)^(1/10)-1))</f>
        <v/>
      </c>
      <c r="BH408" s="340" t="str">
        <f t="array" aca="1" ref="BH408" ca="1">IF(BH$406="", "", IF(ISERROR(PRODUCT(1+OFFSET(BH$8, $CC408, 0, 10, 1)%)), "", PRODUCT(1+OFFSET(BH$8, $CC408, 0, 10, 1)%)^(1/10)-1))</f>
        <v/>
      </c>
      <c r="BI408" s="340" t="str">
        <f t="array" aca="1" ref="BI408" ca="1">IF(BI$406="", "", IF(ISERROR(PRODUCT(1+OFFSET(BI$8, $CC408, 0, 10, 1)%)), "", PRODUCT(1+OFFSET(BI$8, $CC408, 0, 10, 1)%)^(1/10)-1))</f>
        <v/>
      </c>
      <c r="BJ408" s="340" t="str">
        <f t="array" aca="1" ref="BJ408" ca="1">IF(BJ$406="", "", IF(ISERROR(PRODUCT(1+OFFSET(BJ$8, $CC408, 0, 10, 1)%)), "", PRODUCT(1+OFFSET(BJ$8, $CC408, 0, 10, 1)%)^(1/10)-1))</f>
        <v/>
      </c>
      <c r="BK408" s="340" t="str">
        <f t="array" aca="1" ref="BK408" ca="1">IF(BK$406="", "", IF(ISERROR(PRODUCT(1+OFFSET(BK$8, $CC408, 0, 10, 1)%)), "", PRODUCT(1+OFFSET(BK$8, $CC408, 0, 10, 1)%)^(1/10)-1))</f>
        <v/>
      </c>
      <c r="BL408" s="340" t="str">
        <f t="array" aca="1" ref="BL408" ca="1">IF(BL$406="", "", IF(ISERROR(PRODUCT(1+OFFSET(BL$8, $CC408, 0, 10, 1)%)), "", PRODUCT(1+OFFSET(BL$8, $CC408, 0, 10, 1)%)^(1/10)-1))</f>
        <v/>
      </c>
      <c r="BM408" s="340" t="str">
        <f t="array" aca="1" ref="BM408" ca="1">IF(BM$406="", "", IF(ISERROR(PRODUCT(1+OFFSET(BM$8, $CC408, 0, 10, 1)%)), "", PRODUCT(1+OFFSET(BM$8, $CC408, 0, 10, 1)%)^(1/10)-1))</f>
        <v/>
      </c>
      <c r="BN408" s="340" t="str">
        <f t="array" aca="1" ref="BN408" ca="1">IF(BN$406="", "", IF(ISERROR(PRODUCT(1+OFFSET(BN$8, $CC408, 0, 10, 1)%)), "", PRODUCT(1+OFFSET(BN$8, $CC408, 0, 10, 1)%)^(1/10)-1))</f>
        <v/>
      </c>
      <c r="BO408" s="340" t="str">
        <f t="array" aca="1" ref="BO408" ca="1">IF(BO$406="", "", IF(ISERROR(PRODUCT(1+OFFSET(BO$8, $CC408, 0, 10, 1)%)), "", PRODUCT(1+OFFSET(BO$8, $CC408, 0, 10, 1)%)^(1/10)-1))</f>
        <v/>
      </c>
      <c r="BP408" s="340" t="str">
        <f t="array" aca="1" ref="BP408" ca="1">IF(BP$406="", "", IF(ISERROR(PRODUCT(1+OFFSET(BP$8, $CC408, 0, 10, 1)%)), "", PRODUCT(1+OFFSET(BP$8, $CC408, 0, 10, 1)%)^(1/10)-1))</f>
        <v/>
      </c>
      <c r="BQ408" s="340" t="str">
        <f t="array" aca="1" ref="BQ408" ca="1">IF(BQ$406="", "", IF(ISERROR(PRODUCT(1+OFFSET(BQ$8, $CC408, 0, 10, 1)%)), "", PRODUCT(1+OFFSET(BQ$8, $CC408, 0, 10, 1)%)^(1/10)-1))</f>
        <v/>
      </c>
      <c r="BR408" s="340" t="str">
        <f t="array" aca="1" ref="BR408" ca="1">IF(BR$406="", "", IF(ISERROR(PRODUCT(1+OFFSET(BR$8, $CC408, 0, 10, 1)%)), "", PRODUCT(1+OFFSET(BR$8, $CC408, 0, 10, 1)%)^(1/10)-1))</f>
        <v/>
      </c>
      <c r="BS408" s="340" t="str">
        <f t="array" aca="1" ref="BS408" ca="1">IF(BS$406="", "", IF(ISERROR(PRODUCT(1+OFFSET(BS$8, $CC408, 0, 10, 1)%)), "", PRODUCT(1+OFFSET(BS$8, $CC408, 0, 10, 1)%)^(1/10)-1))</f>
        <v/>
      </c>
      <c r="BT408" s="340" t="str">
        <f t="array" aca="1" ref="BT408" ca="1">IF(BT$406="", "", IF(ISERROR(PRODUCT(1+OFFSET(BT$8, $CC408, 0, 10, 1)%)), "", PRODUCT(1+OFFSET(BT$8, $CC408, 0, 10, 1)%)^(1/10)-1))</f>
        <v/>
      </c>
      <c r="BU408" s="340" t="str">
        <f t="array" aca="1" ref="BU408" ca="1">IF(BU$406="", "", IF(ISERROR(PRODUCT(1+OFFSET(BU$8, $CC408, 0, 10, 1)%)), "", PRODUCT(1+OFFSET(BU$8, $CC408, 0, 10, 1)%)^(1/10)-1))</f>
        <v/>
      </c>
      <c r="BV408" s="340" t="str">
        <f t="array" aca="1" ref="BV408" ca="1">IF(BV$406="", "", IF(ISERROR(PRODUCT(1+OFFSET(BV$8, $CC408, 0, 10, 1)%)), "", PRODUCT(1+OFFSET(BV$8, $CC408, 0, 10, 1)%)^(1/10)-1))</f>
        <v/>
      </c>
      <c r="BW408" s="340" t="str">
        <f t="array" aca="1" ref="BW408" ca="1">IF(BW$406="", "", IF(ISERROR(PRODUCT(1+OFFSET(BW$8, $CC408, 0, 10, 1)%)), "", PRODUCT(1+OFFSET(BW$8, $CC408, 0, 10, 1)%)^(1/10)-1))</f>
        <v/>
      </c>
      <c r="BX408" s="340">
        <f t="array" aca="1" ref="BX408" ca="1">IF(BX$406="", "", IF(ISERROR(PRODUCT(1+OFFSET(BX$8, $CC408, 0, 10, 1)%)), "", PRODUCT(1+OFFSET(BX$8, $CC408, 0, 10, 1)%)^(1/10)-1))</f>
        <v>2.5299128901649981E-2</v>
      </c>
      <c r="BY408" s="340">
        <f t="array" aca="1" ref="BY408" ca="1">IF(BY$406="", "", IF(ISERROR(PRODUCT(1+OFFSET(BY$8, $CC408, 0, 10, 1)%)), "", PRODUCT(1+OFFSET(BY$8, $CC408, 0, 10, 1)%)^(1/10)-1))</f>
        <v>3.2213098766901149E-2</v>
      </c>
      <c r="BZ408" s="340">
        <f t="array" aca="1" ref="BZ408" ca="1">IF(BZ$406="", "", IF(ISERROR(PRODUCT(1+OFFSET(BZ$8, $CC408, 0, 10, 1)%)), "", PRODUCT(1+OFFSET(BZ$8, $CC408, 0, 10, 1)%)^(1/10)-1))</f>
        <v>5.0734492899867201E-2</v>
      </c>
      <c r="CA408" s="532">
        <f t="array" aca="1" ref="CA408" ca="1">IF(CA$406="", "", IF(ISERROR(PRODUCT(1+OFFSET(CA$8, $CC408, 0, 10, 1)%)), "", PRODUCT(1+OFFSET(CA$8, $CC408, 0, 10, 1)%)^(1/10)-1))</f>
        <v>-1.8663716701059596E-2</v>
      </c>
      <c r="CC408" s="482">
        <f t="shared" ref="CC408:CC420" si="551">10*(ROW()-ROW($A$406)-1)</f>
        <v>10</v>
      </c>
    </row>
    <row r="409" spans="1:81" ht="14">
      <c r="A409" s="338" t="str">
        <f t="shared" si="550"/>
        <v>1891-1900</v>
      </c>
      <c r="B409" s="339">
        <f t="array" aca="1" ref="B409" ca="1">IF(B$406="", "", IF(ISERROR(PRODUCT(1+OFFSET(B$8, $CC409, 0, 10, 1)%)), "", PRODUCT(1+OFFSET(B$8, $CC409, 0, 10, 1)%)^(1/10)-1))</f>
        <v>8.0775096760594245E-2</v>
      </c>
      <c r="C409" s="340" t="str">
        <f t="array" aca="1" ref="C409" ca="1">IF(C$406="", "", IF(ISERROR(PRODUCT(1+OFFSET(C$8, $CC409, 0, 10, 1)%)), "", PRODUCT(1+OFFSET(C$8, $CC409, 0, 10, 1)%)^(1/10)-1))</f>
        <v/>
      </c>
      <c r="D409" s="340">
        <f t="array" aca="1" ref="D409" ca="1">IF(D$406="", "", IF(ISERROR(PRODUCT(1+OFFSET(D$8, $CC409, 0, 10, 1)%)), "", PRODUCT(1+OFFSET(D$8, $CC409, 0, 10, 1)%)^(1/10)-1))</f>
        <v>8.0775096760594245E-2</v>
      </c>
      <c r="E409" s="340" t="str">
        <f t="array" aca="1" ref="E409" ca="1">IF(E$406="", "", IF(ISERROR(PRODUCT(1+OFFSET(E$8, $CC409, 0, 10, 1)%)), "", PRODUCT(1+OFFSET(E$8, $CC409, 0, 10, 1)%)^(1/10)-1))</f>
        <v/>
      </c>
      <c r="F409" s="340" t="str">
        <f t="array" aca="1" ref="F409" ca="1">IF(F$406="", "", IF(ISERROR(PRODUCT(1+OFFSET(F$8, $CC409, 0, 10, 1)%)), "", PRODUCT(1+OFFSET(F$8, $CC409, 0, 10, 1)%)^(1/10)-1))</f>
        <v/>
      </c>
      <c r="G409" s="340" t="str">
        <f t="array" aca="1" ref="G409" ca="1">IF(G$406="", "", IF(ISERROR(PRODUCT(1+OFFSET(G$8, $CC409, 0, 10, 1)%)), "", PRODUCT(1+OFFSET(G$8, $CC409, 0, 10, 1)%)^(1/10)-1))</f>
        <v/>
      </c>
      <c r="H409" s="340" t="str">
        <f t="array" aca="1" ref="H409" ca="1">IF(H$406="", "", IF(ISERROR(PRODUCT(1+OFFSET(H$8, $CC409, 0, 10, 1)%)), "", PRODUCT(1+OFFSET(H$8, $CC409, 0, 10, 1)%)^(1/10)-1))</f>
        <v/>
      </c>
      <c r="I409" s="340" t="str">
        <f t="array" aca="1" ref="I409" ca="1">IF(I$406="", "", IF(ISERROR(PRODUCT(1+OFFSET(I$8, $CC409, 0, 10, 1)%)), "", PRODUCT(1+OFFSET(I$8, $CC409, 0, 10, 1)%)^(1/10)-1))</f>
        <v/>
      </c>
      <c r="J409" s="340" t="str">
        <f t="array" aca="1" ref="J409" ca="1">IF(J$406="", "", IF(ISERROR(PRODUCT(1+OFFSET(J$8, $CC409, 0, 10, 1)%)), "", PRODUCT(1+OFFSET(J$8, $CC409, 0, 10, 1)%)^(1/10)-1))</f>
        <v/>
      </c>
      <c r="K409" s="340" t="str">
        <f t="array" aca="1" ref="K409" ca="1">IF(K$406="", "", IF(ISERROR(PRODUCT(1+OFFSET(K$8, $CC409, 0, 10, 1)%)), "", PRODUCT(1+OFFSET(K$8, $CC409, 0, 10, 1)%)^(1/10)-1))</f>
        <v/>
      </c>
      <c r="L409" s="340" t="str">
        <f t="array" aca="1" ref="L409" ca="1">IF(L$406="", "", IF(ISERROR(PRODUCT(1+OFFSET(L$8, $CC409, 0, 10, 1)%)), "", PRODUCT(1+OFFSET(L$8, $CC409, 0, 10, 1)%)^(1/10)-1))</f>
        <v/>
      </c>
      <c r="M409" s="340" t="str">
        <f t="array" aca="1" ref="M409" ca="1">IF(M$406="", "", IF(ISERROR(PRODUCT(1+OFFSET(M$8, $CC409, 0, 10, 1)%)), "", PRODUCT(1+OFFSET(M$8, $CC409, 0, 10, 1)%)^(1/10)-1))</f>
        <v/>
      </c>
      <c r="N409" s="498" t="str">
        <f t="array" aca="1" ref="N409" ca="1">IF(N$406="", "", IF(ISERROR(PRODUCT(1+OFFSET(N$8, $CC409, 0, 10, 1)%)), "", PRODUCT(1+OFFSET(N$8, $CC409, 0, 10, 1)%)^(1/10)-1))</f>
        <v/>
      </c>
      <c r="O409" s="340" t="str">
        <f t="array" aca="1" ref="O409" ca="1">IF(O$406="", "", IF(ISERROR(PRODUCT(1+OFFSET(O$8, $CC409, 0, 10, 1)%)), "", PRODUCT(1+OFFSET(O$8, $CC409, 0, 10, 1)%)^(1/10)-1))</f>
        <v/>
      </c>
      <c r="P409" s="340" t="str">
        <f t="array" aca="1" ref="P409" ca="1">IF(P$406="", "", IF(ISERROR(PRODUCT(1+OFFSET(P$8, $CC409, 0, 10, 1)%)), "", PRODUCT(1+OFFSET(P$8, $CC409, 0, 10, 1)%)^(1/10)-1))</f>
        <v/>
      </c>
      <c r="Q409" s="340" t="str">
        <f t="array" aca="1" ref="Q409" ca="1">IF(Q$406="", "", IF(ISERROR(PRODUCT(1+OFFSET(Q$8, $CC409, 0, 10, 1)%)), "", PRODUCT(1+OFFSET(Q$8, $CC409, 0, 10, 1)%)^(1/10)-1))</f>
        <v/>
      </c>
      <c r="R409" s="340" t="str">
        <f t="array" aca="1" ref="R409" ca="1">IF(R$406="", "", IF(ISERROR(PRODUCT(1+OFFSET(R$8, $CC409, 0, 10, 1)%)), "", PRODUCT(1+OFFSET(R$8, $CC409, 0, 10, 1)%)^(1/10)-1))</f>
        <v/>
      </c>
      <c r="S409" s="340" t="str">
        <f t="array" aca="1" ref="S409" ca="1">IF(S$406="", "", IF(ISERROR(PRODUCT(1+OFFSET(S$8, $CC409, 0, 10, 1)%)), "", PRODUCT(1+OFFSET(S$8, $CC409, 0, 10, 1)%)^(1/10)-1))</f>
        <v/>
      </c>
      <c r="T409" s="340">
        <f t="array" aca="1" ref="T409" ca="1">IF(T$406="", "", IF(ISERROR(PRODUCT(1+OFFSET(T$8, $CC409, 0, 10, 1)%)), "", PRODUCT(1+OFFSET(T$8, $CC409, 0, 10, 1)%)^(1/10)-1))</f>
        <v>3.6134025860326435E-2</v>
      </c>
      <c r="U409" s="340">
        <f t="array" aca="1" ref="U409" ca="1">IF(U$406="", "", IF(ISERROR(PRODUCT(1+OFFSET(U$8, $CC409, 0, 10, 1)%)), "", PRODUCT(1+OFFSET(U$8, $CC409, 0, 10, 1)%)^(1/10)-1))</f>
        <v>3.6134025860326435E-2</v>
      </c>
      <c r="V409" s="340">
        <f t="array" aca="1" ref="V409" ca="1">IF(V$406="", "", IF(ISERROR(PRODUCT(1+OFFSET(V$8, $CC409, 0, 10, 1)%)), "", PRODUCT(1+OFFSET(V$8, $CC409, 0, 10, 1)%)^(1/10)-1))</f>
        <v>4.4512876008072189E-2</v>
      </c>
      <c r="W409" s="340" t="str">
        <f t="array" aca="1" ref="W409" ca="1">IF(W$406="", "", IF(ISERROR(PRODUCT(1+OFFSET(W$8, $CC409, 0, 10, 1)%)), "", PRODUCT(1+OFFSET(W$8, $CC409, 0, 10, 1)%)^(1/10)-1))</f>
        <v/>
      </c>
      <c r="X409" s="340" t="str">
        <f t="array" aca="1" ref="X409" ca="1">IF(X$406="", "", IF(ISERROR(PRODUCT(1+OFFSET(X$8, $CC409, 0, 10, 1)%)), "", PRODUCT(1+OFFSET(X$8, $CC409, 0, 10, 1)%)^(1/10)-1))</f>
        <v/>
      </c>
      <c r="Y409" s="340" t="str">
        <f t="array" aca="1" ref="Y409" ca="1">IF(Y$406="", "", IF(ISERROR(PRODUCT(1+OFFSET(Y$8, $CC409, 0, 10, 1)%)), "", PRODUCT(1+OFFSET(Y$8, $CC409, 0, 10, 1)%)^(1/10)-1))</f>
        <v/>
      </c>
      <c r="Z409" s="340" t="str">
        <f t="array" aca="1" ref="Z409" ca="1">IF(Z$406="", "", IF(ISERROR(PRODUCT(1+OFFSET(Z$8, $CC409, 0, 10, 1)%)), "", PRODUCT(1+OFFSET(Z$8, $CC409, 0, 10, 1)%)^(1/10)-1))</f>
        <v/>
      </c>
      <c r="AA409" s="340" t="str">
        <f t="array" aca="1" ref="AA409" ca="1">IF(AA$406="", "", IF(ISERROR(PRODUCT(1+OFFSET(AA$8, $CC409, 0, 10, 1)%)), "", PRODUCT(1+OFFSET(AA$8, $CC409, 0, 10, 1)%)^(1/10)-1))</f>
        <v/>
      </c>
      <c r="AB409" s="340" t="str">
        <f t="array" aca="1" ref="AB409" ca="1">IF(AB$406="", "", IF(ISERROR(PRODUCT(1+OFFSET(AB$8, $CC409, 0, 10, 1)%)), "", PRODUCT(1+OFFSET(AB$8, $CC409, 0, 10, 1)%)^(1/10)-1))</f>
        <v/>
      </c>
      <c r="AC409" s="340" t="str">
        <f t="array" aca="1" ref="AC409" ca="1">IF(AC$406="", "", IF(ISERROR(PRODUCT(1+OFFSET(AC$8, $CC409, 0, 10, 1)%)), "", PRODUCT(1+OFFSET(AC$8, $CC409, 0, 10, 1)%)^(1/10)-1))</f>
        <v/>
      </c>
      <c r="AD409" s="340" t="str">
        <f t="array" aca="1" ref="AD409" ca="1">IF(AD$406="", "", IF(ISERROR(PRODUCT(1+OFFSET(AD$8, $CC409, 0, 10, 1)%)), "", PRODUCT(1+OFFSET(AD$8, $CC409, 0, 10, 1)%)^(1/10)-1))</f>
        <v/>
      </c>
      <c r="AE409" s="340" t="str">
        <f t="array" aca="1" ref="AE409" ca="1">IF(AE$406="", "", IF(ISERROR(PRODUCT(1+OFFSET(AE$8, $CC409, 0, 10, 1)%)), "", PRODUCT(1+OFFSET(AE$8, $CC409, 0, 10, 1)%)^(1/10)-1))</f>
        <v/>
      </c>
      <c r="AF409" s="340" t="str">
        <f t="array" aca="1" ref="AF409" ca="1">IF(AF$406="", "", IF(ISERROR(PRODUCT(1+OFFSET(AF$8, $CC409, 0, 10, 1)%)), "", PRODUCT(1+OFFSET(AF$8, $CC409, 0, 10, 1)%)^(1/10)-1))</f>
        <v/>
      </c>
      <c r="AG409" s="340" t="str">
        <f t="array" aca="1" ref="AG409" ca="1">IF(AG$406="", "", IF(ISERROR(PRODUCT(1+OFFSET(AG$8, $CC409, 0, 10, 1)%)), "", PRODUCT(1+OFFSET(AG$8, $CC409, 0, 10, 1)%)^(1/10)-1))</f>
        <v/>
      </c>
      <c r="AH409" s="340" t="str">
        <f t="array" aca="1" ref="AH409" ca="1">IF(AH$406="", "", IF(ISERROR(PRODUCT(1+OFFSET(AH$8, $CC409, 0, 10, 1)%)), "", PRODUCT(1+OFFSET(AH$8, $CC409, 0, 10, 1)%)^(1/10)-1))</f>
        <v/>
      </c>
      <c r="AI409" s="340" t="str">
        <f t="array" aca="1" ref="AI409" ca="1">IF(AI$406="", "", IF(ISERROR(PRODUCT(1+OFFSET(AI$8, $CC409, 0, 10, 1)%)), "", PRODUCT(1+OFFSET(AI$8, $CC409, 0, 10, 1)%)^(1/10)-1))</f>
        <v/>
      </c>
      <c r="AJ409" s="340" t="str">
        <f t="array" aca="1" ref="AJ409" ca="1">IF(AJ$406="", "", IF(ISERROR(PRODUCT(1+OFFSET(AJ$8, $CC409, 0, 10, 1)%)), "", PRODUCT(1+OFFSET(AJ$8, $CC409, 0, 10, 1)%)^(1/10)-1))</f>
        <v/>
      </c>
      <c r="AK409" s="340" t="str">
        <f t="array" aca="1" ref="AK409" ca="1">IF(AK$406="", "", IF(ISERROR(PRODUCT(1+OFFSET(AK$8, $CC409, 0, 10, 1)%)), "", PRODUCT(1+OFFSET(AK$8, $CC409, 0, 10, 1)%)^(1/10)-1))</f>
        <v/>
      </c>
      <c r="AL409" s="340" t="str">
        <f t="array" aca="1" ref="AL409" ca="1">IF(AL$406="", "", IF(ISERROR(PRODUCT(1+OFFSET(AL$8, $CC409, 0, 10, 1)%)), "", PRODUCT(1+OFFSET(AL$8, $CC409, 0, 10, 1)%)^(1/10)-1))</f>
        <v/>
      </c>
      <c r="AM409" s="340" t="str">
        <f t="array" aca="1" ref="AM409" ca="1">IF(AM$406="", "", IF(ISERROR(PRODUCT(1+OFFSET(AM$8, $CC409, 0, 10, 1)%)), "", PRODUCT(1+OFFSET(AM$8, $CC409, 0, 10, 1)%)^(1/10)-1))</f>
        <v/>
      </c>
      <c r="AN409" s="340" t="str">
        <f t="array" aca="1" ref="AN409" ca="1">IF(AN$406="", "", IF(ISERROR(PRODUCT(1+OFFSET(AN$8, $CC409, 0, 10, 1)%)), "", PRODUCT(1+OFFSET(AN$8, $CC409, 0, 10, 1)%)^(1/10)-1))</f>
        <v/>
      </c>
      <c r="AO409" s="340" t="str">
        <f t="array" aca="1" ref="AO409" ca="1">IF(AO$406="", "", IF(ISERROR(PRODUCT(1+OFFSET(AO$8, $CC409, 0, 10, 1)%)), "", PRODUCT(1+OFFSET(AO$8, $CC409, 0, 10, 1)%)^(1/10)-1))</f>
        <v/>
      </c>
      <c r="AP409" s="340" t="str">
        <f t="array" aca="1" ref="AP409" ca="1">IF(AP$406="", "", IF(ISERROR(PRODUCT(1+OFFSET(AP$8, $CC409, 0, 10, 1)%)), "", PRODUCT(1+OFFSET(AP$8, $CC409, 0, 10, 1)%)^(1/10)-1))</f>
        <v/>
      </c>
      <c r="AQ409" s="340" t="str">
        <f t="array" aca="1" ref="AQ409" ca="1">IF(AQ$406="", "", IF(ISERROR(PRODUCT(1+OFFSET(AQ$8, $CC409, 0, 10, 1)%)), "", PRODUCT(1+OFFSET(AQ$8, $CC409, 0, 10, 1)%)^(1/10)-1))</f>
        <v/>
      </c>
      <c r="AR409" s="340" t="str">
        <f t="array" aca="1" ref="AR409" ca="1">IF(AR$406="", "", IF(ISERROR(PRODUCT(1+OFFSET(AR$8, $CC409, 0, 10, 1)%)), "", PRODUCT(1+OFFSET(AR$8, $CC409, 0, 10, 1)%)^(1/10)-1))</f>
        <v/>
      </c>
      <c r="AS409" s="340" t="str">
        <f t="array" aca="1" ref="AS409" ca="1">IF(AS$406="", "", IF(ISERROR(PRODUCT(1+OFFSET(AS$8, $CC409, 0, 10, 1)%)), "", PRODUCT(1+OFFSET(AS$8, $CC409, 0, 10, 1)%)^(1/10)-1))</f>
        <v/>
      </c>
      <c r="AT409" s="340" t="str">
        <f t="array" aca="1" ref="AT409" ca="1">IF(AT$406="", "", IF(ISERROR(PRODUCT(1+OFFSET(AT$8, $CC409, 0, 10, 1)%)), "", PRODUCT(1+OFFSET(AT$8, $CC409, 0, 10, 1)%)^(1/10)-1))</f>
        <v/>
      </c>
      <c r="AU409" s="340" t="str">
        <f t="array" aca="1" ref="AU409" ca="1">IF(AU$406="", "", IF(ISERROR(PRODUCT(1+OFFSET(AU$8, $CC409, 0, 10, 1)%)), "", PRODUCT(1+OFFSET(AU$8, $CC409, 0, 10, 1)%)^(1/10)-1))</f>
        <v/>
      </c>
      <c r="AV409" s="340" t="str">
        <f t="array" aca="1" ref="AV409" ca="1">IF(AV$406="", "", IF(ISERROR(PRODUCT(1+OFFSET(AV$8, $CC409, 0, 10, 1)%)), "", PRODUCT(1+OFFSET(AV$8, $CC409, 0, 10, 1)%)^(1/10)-1))</f>
        <v/>
      </c>
      <c r="AW409" s="340" t="str">
        <f t="array" aca="1" ref="AW409" ca="1">IF(AW$406="", "", IF(ISERROR(PRODUCT(1+OFFSET(AW$8, $CC409, 0, 10, 1)%)), "", PRODUCT(1+OFFSET(AW$8, $CC409, 0, 10, 1)%)^(1/10)-1))</f>
        <v/>
      </c>
      <c r="AX409" s="340" t="str">
        <f t="array" aca="1" ref="AX409" ca="1">IF(AX$406="", "", IF(ISERROR(PRODUCT(1+OFFSET(AX$8, $CC409, 0, 10, 1)%)), "", PRODUCT(1+OFFSET(AX$8, $CC409, 0, 10, 1)%)^(1/10)-1))</f>
        <v/>
      </c>
      <c r="AY409" s="340" t="str">
        <f t="array" aca="1" ref="AY409" ca="1">IF(AY$406="", "", IF(ISERROR(PRODUCT(1+OFFSET(AY$8, $CC409, 0, 10, 1)%)), "", PRODUCT(1+OFFSET(AY$8, $CC409, 0, 10, 1)%)^(1/10)-1))</f>
        <v/>
      </c>
      <c r="AZ409" s="340" t="str">
        <f t="array" aca="1" ref="AZ409" ca="1">IF(AZ$406="", "", IF(ISERROR(PRODUCT(1+OFFSET(AZ$8, $CC409, 0, 10, 1)%)), "", PRODUCT(1+OFFSET(AZ$8, $CC409, 0, 10, 1)%)^(1/10)-1))</f>
        <v/>
      </c>
      <c r="BA409" s="340" t="str">
        <f t="array" aca="1" ref="BA409" ca="1">IF(BA$406="", "", IF(ISERROR(PRODUCT(1+OFFSET(BA$8, $CC409, 0, 10, 1)%)), "", PRODUCT(1+OFFSET(BA$8, $CC409, 0, 10, 1)%)^(1/10)-1))</f>
        <v/>
      </c>
      <c r="BB409" s="340" t="str">
        <f t="array" aca="1" ref="BB409" ca="1">IF(BB$406="", "", IF(ISERROR(PRODUCT(1+OFFSET(BB$8, $CC409, 0, 10, 1)%)), "", PRODUCT(1+OFFSET(BB$8, $CC409, 0, 10, 1)%)^(1/10)-1))</f>
        <v/>
      </c>
      <c r="BC409" s="340" t="str">
        <f t="array" aca="1" ref="BC409" ca="1">IF(BC$406="", "", IF(ISERROR(PRODUCT(1+OFFSET(BC$8, $CC409, 0, 10, 1)%)), "", PRODUCT(1+OFFSET(BC$8, $CC409, 0, 10, 1)%)^(1/10)-1))</f>
        <v/>
      </c>
      <c r="BD409" s="340" t="str">
        <f t="array" aca="1" ref="BD409" ca="1">IF(BD$406="", "", IF(ISERROR(PRODUCT(1+OFFSET(BD$8, $CC409, 0, 10, 1)%)), "", PRODUCT(1+OFFSET(BD$8, $CC409, 0, 10, 1)%)^(1/10)-1))</f>
        <v/>
      </c>
      <c r="BE409" s="340" t="str">
        <f t="array" aca="1" ref="BE409" ca="1">IF(BE$406="", "", IF(ISERROR(PRODUCT(1+OFFSET(BE$8, $CC409, 0, 10, 1)%)), "", PRODUCT(1+OFFSET(BE$8, $CC409, 0, 10, 1)%)^(1/10)-1))</f>
        <v/>
      </c>
      <c r="BF409" s="340" t="str">
        <f t="array" aca="1" ref="BF409" ca="1">IF(BF$406="", "", IF(ISERROR(PRODUCT(1+OFFSET(BF$8, $CC409, 0, 10, 1)%)), "", PRODUCT(1+OFFSET(BF$8, $CC409, 0, 10, 1)%)^(1/10)-1))</f>
        <v/>
      </c>
      <c r="BG409" s="340" t="str">
        <f t="array" aca="1" ref="BG409" ca="1">IF(BG$406="", "", IF(ISERROR(PRODUCT(1+OFFSET(BG$8, $CC409, 0, 10, 1)%)), "", PRODUCT(1+OFFSET(BG$8, $CC409, 0, 10, 1)%)^(1/10)-1))</f>
        <v/>
      </c>
      <c r="BH409" s="340" t="str">
        <f t="array" aca="1" ref="BH409" ca="1">IF(BH$406="", "", IF(ISERROR(PRODUCT(1+OFFSET(BH$8, $CC409, 0, 10, 1)%)), "", PRODUCT(1+OFFSET(BH$8, $CC409, 0, 10, 1)%)^(1/10)-1))</f>
        <v/>
      </c>
      <c r="BI409" s="340" t="str">
        <f t="array" aca="1" ref="BI409" ca="1">IF(BI$406="", "", IF(ISERROR(PRODUCT(1+OFFSET(BI$8, $CC409, 0, 10, 1)%)), "", PRODUCT(1+OFFSET(BI$8, $CC409, 0, 10, 1)%)^(1/10)-1))</f>
        <v/>
      </c>
      <c r="BJ409" s="340" t="str">
        <f t="array" aca="1" ref="BJ409" ca="1">IF(BJ$406="", "", IF(ISERROR(PRODUCT(1+OFFSET(BJ$8, $CC409, 0, 10, 1)%)), "", PRODUCT(1+OFFSET(BJ$8, $CC409, 0, 10, 1)%)^(1/10)-1))</f>
        <v/>
      </c>
      <c r="BK409" s="340" t="str">
        <f t="array" aca="1" ref="BK409" ca="1">IF(BK$406="", "", IF(ISERROR(PRODUCT(1+OFFSET(BK$8, $CC409, 0, 10, 1)%)), "", PRODUCT(1+OFFSET(BK$8, $CC409, 0, 10, 1)%)^(1/10)-1))</f>
        <v/>
      </c>
      <c r="BL409" s="340" t="str">
        <f t="array" aca="1" ref="BL409" ca="1">IF(BL$406="", "", IF(ISERROR(PRODUCT(1+OFFSET(BL$8, $CC409, 0, 10, 1)%)), "", PRODUCT(1+OFFSET(BL$8, $CC409, 0, 10, 1)%)^(1/10)-1))</f>
        <v/>
      </c>
      <c r="BM409" s="340" t="str">
        <f t="array" aca="1" ref="BM409" ca="1">IF(BM$406="", "", IF(ISERROR(PRODUCT(1+OFFSET(BM$8, $CC409, 0, 10, 1)%)), "", PRODUCT(1+OFFSET(BM$8, $CC409, 0, 10, 1)%)^(1/10)-1))</f>
        <v/>
      </c>
      <c r="BN409" s="340" t="str">
        <f t="array" aca="1" ref="BN409" ca="1">IF(BN$406="", "", IF(ISERROR(PRODUCT(1+OFFSET(BN$8, $CC409, 0, 10, 1)%)), "", PRODUCT(1+OFFSET(BN$8, $CC409, 0, 10, 1)%)^(1/10)-1))</f>
        <v/>
      </c>
      <c r="BO409" s="340" t="str">
        <f t="array" aca="1" ref="BO409" ca="1">IF(BO$406="", "", IF(ISERROR(PRODUCT(1+OFFSET(BO$8, $CC409, 0, 10, 1)%)), "", PRODUCT(1+OFFSET(BO$8, $CC409, 0, 10, 1)%)^(1/10)-1))</f>
        <v/>
      </c>
      <c r="BP409" s="340" t="str">
        <f t="array" aca="1" ref="BP409" ca="1">IF(BP$406="", "", IF(ISERROR(PRODUCT(1+OFFSET(BP$8, $CC409, 0, 10, 1)%)), "", PRODUCT(1+OFFSET(BP$8, $CC409, 0, 10, 1)%)^(1/10)-1))</f>
        <v/>
      </c>
      <c r="BQ409" s="340" t="str">
        <f t="array" aca="1" ref="BQ409" ca="1">IF(BQ$406="", "", IF(ISERROR(PRODUCT(1+OFFSET(BQ$8, $CC409, 0, 10, 1)%)), "", PRODUCT(1+OFFSET(BQ$8, $CC409, 0, 10, 1)%)^(1/10)-1))</f>
        <v/>
      </c>
      <c r="BR409" s="340" t="str">
        <f t="array" aca="1" ref="BR409" ca="1">IF(BR$406="", "", IF(ISERROR(PRODUCT(1+OFFSET(BR$8, $CC409, 0, 10, 1)%)), "", PRODUCT(1+OFFSET(BR$8, $CC409, 0, 10, 1)%)^(1/10)-1))</f>
        <v/>
      </c>
      <c r="BS409" s="340" t="str">
        <f t="array" aca="1" ref="BS409" ca="1">IF(BS$406="", "", IF(ISERROR(PRODUCT(1+OFFSET(BS$8, $CC409, 0, 10, 1)%)), "", PRODUCT(1+OFFSET(BS$8, $CC409, 0, 10, 1)%)^(1/10)-1))</f>
        <v/>
      </c>
      <c r="BT409" s="340" t="str">
        <f t="array" aca="1" ref="BT409" ca="1">IF(BT$406="", "", IF(ISERROR(PRODUCT(1+OFFSET(BT$8, $CC409, 0, 10, 1)%)), "", PRODUCT(1+OFFSET(BT$8, $CC409, 0, 10, 1)%)^(1/10)-1))</f>
        <v/>
      </c>
      <c r="BU409" s="340" t="str">
        <f t="array" aca="1" ref="BU409" ca="1">IF(BU$406="", "", IF(ISERROR(PRODUCT(1+OFFSET(BU$8, $CC409, 0, 10, 1)%)), "", PRODUCT(1+OFFSET(BU$8, $CC409, 0, 10, 1)%)^(1/10)-1))</f>
        <v/>
      </c>
      <c r="BV409" s="340" t="str">
        <f t="array" aca="1" ref="BV409" ca="1">IF(BV$406="", "", IF(ISERROR(PRODUCT(1+OFFSET(BV$8, $CC409, 0, 10, 1)%)), "", PRODUCT(1+OFFSET(BV$8, $CC409, 0, 10, 1)%)^(1/10)-1))</f>
        <v/>
      </c>
      <c r="BW409" s="340" t="str">
        <f t="array" aca="1" ref="BW409" ca="1">IF(BW$406="", "", IF(ISERROR(PRODUCT(1+OFFSET(BW$8, $CC409, 0, 10, 1)%)), "", PRODUCT(1+OFFSET(BW$8, $CC409, 0, 10, 1)%)^(1/10)-1))</f>
        <v/>
      </c>
      <c r="BX409" s="340">
        <f t="array" aca="1" ref="BX409" ca="1">IF(BX$406="", "", IF(ISERROR(PRODUCT(1+OFFSET(BX$8, $CC409, 0, 10, 1)%)), "", PRODUCT(1+OFFSET(BX$8, $CC409, 0, 10, 1)%)^(1/10)-1))</f>
        <v>8.2612414425087044E-2</v>
      </c>
      <c r="BY409" s="340">
        <f t="array" aca="1" ref="BY409" ca="1">IF(BY$406="", "", IF(ISERROR(PRODUCT(1+OFFSET(BY$8, $CC409, 0, 10, 1)%)), "", PRODUCT(1+OFFSET(BY$8, $CC409, 0, 10, 1)%)^(1/10)-1))</f>
        <v>3.8206293912047107E-2</v>
      </c>
      <c r="BZ409" s="340">
        <f t="array" aca="1" ref="BZ409" ca="1">IF(BZ$406="", "", IF(ISERROR(PRODUCT(1+OFFSET(BZ$8, $CC409, 0, 10, 1)%)), "", PRODUCT(1+OFFSET(BZ$8, $CC409, 0, 10, 1)%)^(1/10)-1))</f>
        <v>4.5452937596479615E-2</v>
      </c>
      <c r="CA409" s="532">
        <f t="array" aca="1" ref="CA409" ca="1">IF(CA$406="", "", IF(ISERROR(PRODUCT(1+OFFSET(CA$8, $CC409, 0, 10, 1)%)), "", PRODUCT(1+OFFSET(CA$8, $CC409, 0, 10, 1)%)^(1/10)-1))</f>
        <v>-1.2263017073689264E-3</v>
      </c>
      <c r="CC409" s="482">
        <f t="shared" si="551"/>
        <v>20</v>
      </c>
    </row>
    <row r="410" spans="1:81" ht="14">
      <c r="A410" s="338" t="str">
        <f t="shared" si="550"/>
        <v>1901-1910</v>
      </c>
      <c r="B410" s="339">
        <f t="array" aca="1" ref="B410" ca="1">IF(B$406="", "", IF(ISERROR(PRODUCT(1+OFFSET(B$8, $CC410, 0, 10, 1)%)), "", PRODUCT(1+OFFSET(B$8, $CC410, 0, 10, 1)%)^(1/10)-1))</f>
        <v>7.1388554078897881E-2</v>
      </c>
      <c r="C410" s="340" t="str">
        <f t="array" aca="1" ref="C410" ca="1">IF(C$406="", "", IF(ISERROR(PRODUCT(1+OFFSET(C$8, $CC410, 0, 10, 1)%)), "", PRODUCT(1+OFFSET(C$8, $CC410, 0, 10, 1)%)^(1/10)-1))</f>
        <v/>
      </c>
      <c r="D410" s="340">
        <f t="array" aca="1" ref="D410" ca="1">IF(D$406="", "", IF(ISERROR(PRODUCT(1+OFFSET(D$8, $CC410, 0, 10, 1)%)), "", PRODUCT(1+OFFSET(D$8, $CC410, 0, 10, 1)%)^(1/10)-1))</f>
        <v>7.1388554078897881E-2</v>
      </c>
      <c r="E410" s="340" t="str">
        <f t="array" aca="1" ref="E410" ca="1">IF(E$406="", "", IF(ISERROR(PRODUCT(1+OFFSET(E$8, $CC410, 0, 10, 1)%)), "", PRODUCT(1+OFFSET(E$8, $CC410, 0, 10, 1)%)^(1/10)-1))</f>
        <v/>
      </c>
      <c r="F410" s="340" t="str">
        <f t="array" aca="1" ref="F410" ca="1">IF(F$406="", "", IF(ISERROR(PRODUCT(1+OFFSET(F$8, $CC410, 0, 10, 1)%)), "", PRODUCT(1+OFFSET(F$8, $CC410, 0, 10, 1)%)^(1/10)-1))</f>
        <v/>
      </c>
      <c r="G410" s="340" t="str">
        <f t="array" aca="1" ref="G410" ca="1">IF(G$406="", "", IF(ISERROR(PRODUCT(1+OFFSET(G$8, $CC410, 0, 10, 1)%)), "", PRODUCT(1+OFFSET(G$8, $CC410, 0, 10, 1)%)^(1/10)-1))</f>
        <v/>
      </c>
      <c r="H410" s="340" t="str">
        <f t="array" aca="1" ref="H410" ca="1">IF(H$406="", "", IF(ISERROR(PRODUCT(1+OFFSET(H$8, $CC410, 0, 10, 1)%)), "", PRODUCT(1+OFFSET(H$8, $CC410, 0, 10, 1)%)^(1/10)-1))</f>
        <v/>
      </c>
      <c r="I410" s="340" t="str">
        <f t="array" aca="1" ref="I410" ca="1">IF(I$406="", "", IF(ISERROR(PRODUCT(1+OFFSET(I$8, $CC410, 0, 10, 1)%)), "", PRODUCT(1+OFFSET(I$8, $CC410, 0, 10, 1)%)^(1/10)-1))</f>
        <v/>
      </c>
      <c r="J410" s="340" t="str">
        <f t="array" aca="1" ref="J410" ca="1">IF(J$406="", "", IF(ISERROR(PRODUCT(1+OFFSET(J$8, $CC410, 0, 10, 1)%)), "", PRODUCT(1+OFFSET(J$8, $CC410, 0, 10, 1)%)^(1/10)-1))</f>
        <v/>
      </c>
      <c r="K410" s="340" t="str">
        <f t="array" aca="1" ref="K410" ca="1">IF(K$406="", "", IF(ISERROR(PRODUCT(1+OFFSET(K$8, $CC410, 0, 10, 1)%)), "", PRODUCT(1+OFFSET(K$8, $CC410, 0, 10, 1)%)^(1/10)-1))</f>
        <v/>
      </c>
      <c r="L410" s="340" t="str">
        <f t="array" aca="1" ref="L410" ca="1">IF(L$406="", "", IF(ISERROR(PRODUCT(1+OFFSET(L$8, $CC410, 0, 10, 1)%)), "", PRODUCT(1+OFFSET(L$8, $CC410, 0, 10, 1)%)^(1/10)-1))</f>
        <v/>
      </c>
      <c r="M410" s="340" t="str">
        <f t="array" aca="1" ref="M410" ca="1">IF(M$406="", "", IF(ISERROR(PRODUCT(1+OFFSET(M$8, $CC410, 0, 10, 1)%)), "", PRODUCT(1+OFFSET(M$8, $CC410, 0, 10, 1)%)^(1/10)-1))</f>
        <v/>
      </c>
      <c r="N410" s="498" t="str">
        <f t="array" aca="1" ref="N410" ca="1">IF(N$406="", "", IF(ISERROR(PRODUCT(1+OFFSET(N$8, $CC410, 0, 10, 1)%)), "", PRODUCT(1+OFFSET(N$8, $CC410, 0, 10, 1)%)^(1/10)-1))</f>
        <v/>
      </c>
      <c r="O410" s="340" t="str">
        <f t="array" aca="1" ref="O410" ca="1">IF(O$406="", "", IF(ISERROR(PRODUCT(1+OFFSET(O$8, $CC410, 0, 10, 1)%)), "", PRODUCT(1+OFFSET(O$8, $CC410, 0, 10, 1)%)^(1/10)-1))</f>
        <v/>
      </c>
      <c r="P410" s="340" t="str">
        <f t="array" aca="1" ref="P410" ca="1">IF(P$406="", "", IF(ISERROR(PRODUCT(1+OFFSET(P$8, $CC410, 0, 10, 1)%)), "", PRODUCT(1+OFFSET(P$8, $CC410, 0, 10, 1)%)^(1/10)-1))</f>
        <v/>
      </c>
      <c r="Q410" s="340" t="str">
        <f t="array" aca="1" ref="Q410" ca="1">IF(Q$406="", "", IF(ISERROR(PRODUCT(1+OFFSET(Q$8, $CC410, 0, 10, 1)%)), "", PRODUCT(1+OFFSET(Q$8, $CC410, 0, 10, 1)%)^(1/10)-1))</f>
        <v/>
      </c>
      <c r="R410" s="340" t="str">
        <f t="array" aca="1" ref="R410" ca="1">IF(R$406="", "", IF(ISERROR(PRODUCT(1+OFFSET(R$8, $CC410, 0, 10, 1)%)), "", PRODUCT(1+OFFSET(R$8, $CC410, 0, 10, 1)%)^(1/10)-1))</f>
        <v/>
      </c>
      <c r="S410" s="340" t="str">
        <f t="array" aca="1" ref="S410" ca="1">IF(S$406="", "", IF(ISERROR(PRODUCT(1+OFFSET(S$8, $CC410, 0, 10, 1)%)), "", PRODUCT(1+OFFSET(S$8, $CC410, 0, 10, 1)%)^(1/10)-1))</f>
        <v/>
      </c>
      <c r="T410" s="340">
        <f t="array" aca="1" ref="T410" ca="1">IF(T$406="", "", IF(ISERROR(PRODUCT(1+OFFSET(T$8, $CC410, 0, 10, 1)%)), "", PRODUCT(1+OFFSET(T$8, $CC410, 0, 10, 1)%)^(1/10)-1))</f>
        <v>2.9870698843200261E-2</v>
      </c>
      <c r="U410" s="340">
        <f t="array" aca="1" ref="U410" ca="1">IF(U$406="", "", IF(ISERROR(PRODUCT(1+OFFSET(U$8, $CC410, 0, 10, 1)%)), "", PRODUCT(1+OFFSET(U$8, $CC410, 0, 10, 1)%)^(1/10)-1))</f>
        <v>2.9870698843200261E-2</v>
      </c>
      <c r="V410" s="340">
        <f t="array" aca="1" ref="V410" ca="1">IF(V$406="", "", IF(ISERROR(PRODUCT(1+OFFSET(V$8, $CC410, 0, 10, 1)%)), "", PRODUCT(1+OFFSET(V$8, $CC410, 0, 10, 1)%)^(1/10)-1))</f>
        <v>4.7990306394160465E-2</v>
      </c>
      <c r="W410" s="340" t="str">
        <f t="array" aca="1" ref="W410" ca="1">IF(W$406="", "", IF(ISERROR(PRODUCT(1+OFFSET(W$8, $CC410, 0, 10, 1)%)), "", PRODUCT(1+OFFSET(W$8, $CC410, 0, 10, 1)%)^(1/10)-1))</f>
        <v/>
      </c>
      <c r="X410" s="340" t="str">
        <f t="array" aca="1" ref="X410" ca="1">IF(X$406="", "", IF(ISERROR(PRODUCT(1+OFFSET(X$8, $CC410, 0, 10, 1)%)), "", PRODUCT(1+OFFSET(X$8, $CC410, 0, 10, 1)%)^(1/10)-1))</f>
        <v/>
      </c>
      <c r="Y410" s="340" t="str">
        <f t="array" aca="1" ref="Y410" ca="1">IF(Y$406="", "", IF(ISERROR(PRODUCT(1+OFFSET(Y$8, $CC410, 0, 10, 1)%)), "", PRODUCT(1+OFFSET(Y$8, $CC410, 0, 10, 1)%)^(1/10)-1))</f>
        <v/>
      </c>
      <c r="Z410" s="340" t="str">
        <f t="array" aca="1" ref="Z410" ca="1">IF(Z$406="", "", IF(ISERROR(PRODUCT(1+OFFSET(Z$8, $CC410, 0, 10, 1)%)), "", PRODUCT(1+OFFSET(Z$8, $CC410, 0, 10, 1)%)^(1/10)-1))</f>
        <v/>
      </c>
      <c r="AA410" s="340" t="str">
        <f t="array" aca="1" ref="AA410" ca="1">IF(AA$406="", "", IF(ISERROR(PRODUCT(1+OFFSET(AA$8, $CC410, 0, 10, 1)%)), "", PRODUCT(1+OFFSET(AA$8, $CC410, 0, 10, 1)%)^(1/10)-1))</f>
        <v/>
      </c>
      <c r="AB410" s="340" t="str">
        <f t="array" aca="1" ref="AB410" ca="1">IF(AB$406="", "", IF(ISERROR(PRODUCT(1+OFFSET(AB$8, $CC410, 0, 10, 1)%)), "", PRODUCT(1+OFFSET(AB$8, $CC410, 0, 10, 1)%)^(1/10)-1))</f>
        <v/>
      </c>
      <c r="AC410" s="340" t="str">
        <f t="array" aca="1" ref="AC410" ca="1">IF(AC$406="", "", IF(ISERROR(PRODUCT(1+OFFSET(AC$8, $CC410, 0, 10, 1)%)), "", PRODUCT(1+OFFSET(AC$8, $CC410, 0, 10, 1)%)^(1/10)-1))</f>
        <v/>
      </c>
      <c r="AD410" s="340" t="str">
        <f t="array" aca="1" ref="AD410" ca="1">IF(AD$406="", "", IF(ISERROR(PRODUCT(1+OFFSET(AD$8, $CC410, 0, 10, 1)%)), "", PRODUCT(1+OFFSET(AD$8, $CC410, 0, 10, 1)%)^(1/10)-1))</f>
        <v/>
      </c>
      <c r="AE410" s="340" t="str">
        <f t="array" aca="1" ref="AE410" ca="1">IF(AE$406="", "", IF(ISERROR(PRODUCT(1+OFFSET(AE$8, $CC410, 0, 10, 1)%)), "", PRODUCT(1+OFFSET(AE$8, $CC410, 0, 10, 1)%)^(1/10)-1))</f>
        <v/>
      </c>
      <c r="AF410" s="340" t="str">
        <f t="array" aca="1" ref="AF410" ca="1">IF(AF$406="", "", IF(ISERROR(PRODUCT(1+OFFSET(AF$8, $CC410, 0, 10, 1)%)), "", PRODUCT(1+OFFSET(AF$8, $CC410, 0, 10, 1)%)^(1/10)-1))</f>
        <v/>
      </c>
      <c r="AG410" s="340" t="str">
        <f t="array" aca="1" ref="AG410" ca="1">IF(AG$406="", "", IF(ISERROR(PRODUCT(1+OFFSET(AG$8, $CC410, 0, 10, 1)%)), "", PRODUCT(1+OFFSET(AG$8, $CC410, 0, 10, 1)%)^(1/10)-1))</f>
        <v/>
      </c>
      <c r="AH410" s="340" t="str">
        <f t="array" aca="1" ref="AH410" ca="1">IF(AH$406="", "", IF(ISERROR(PRODUCT(1+OFFSET(AH$8, $CC410, 0, 10, 1)%)), "", PRODUCT(1+OFFSET(AH$8, $CC410, 0, 10, 1)%)^(1/10)-1))</f>
        <v/>
      </c>
      <c r="AI410" s="340" t="str">
        <f t="array" aca="1" ref="AI410" ca="1">IF(AI$406="", "", IF(ISERROR(PRODUCT(1+OFFSET(AI$8, $CC410, 0, 10, 1)%)), "", PRODUCT(1+OFFSET(AI$8, $CC410, 0, 10, 1)%)^(1/10)-1))</f>
        <v/>
      </c>
      <c r="AJ410" s="340" t="str">
        <f t="array" aca="1" ref="AJ410" ca="1">IF(AJ$406="", "", IF(ISERROR(PRODUCT(1+OFFSET(AJ$8, $CC410, 0, 10, 1)%)), "", PRODUCT(1+OFFSET(AJ$8, $CC410, 0, 10, 1)%)^(1/10)-1))</f>
        <v/>
      </c>
      <c r="AK410" s="340" t="str">
        <f t="array" aca="1" ref="AK410" ca="1">IF(AK$406="", "", IF(ISERROR(PRODUCT(1+OFFSET(AK$8, $CC410, 0, 10, 1)%)), "", PRODUCT(1+OFFSET(AK$8, $CC410, 0, 10, 1)%)^(1/10)-1))</f>
        <v/>
      </c>
      <c r="AL410" s="340" t="str">
        <f t="array" aca="1" ref="AL410" ca="1">IF(AL$406="", "", IF(ISERROR(PRODUCT(1+OFFSET(AL$8, $CC410, 0, 10, 1)%)), "", PRODUCT(1+OFFSET(AL$8, $CC410, 0, 10, 1)%)^(1/10)-1))</f>
        <v/>
      </c>
      <c r="AM410" s="340" t="str">
        <f t="array" aca="1" ref="AM410" ca="1">IF(AM$406="", "", IF(ISERROR(PRODUCT(1+OFFSET(AM$8, $CC410, 0, 10, 1)%)), "", PRODUCT(1+OFFSET(AM$8, $CC410, 0, 10, 1)%)^(1/10)-1))</f>
        <v/>
      </c>
      <c r="AN410" s="340" t="str">
        <f t="array" aca="1" ref="AN410" ca="1">IF(AN$406="", "", IF(ISERROR(PRODUCT(1+OFFSET(AN$8, $CC410, 0, 10, 1)%)), "", PRODUCT(1+OFFSET(AN$8, $CC410, 0, 10, 1)%)^(1/10)-1))</f>
        <v/>
      </c>
      <c r="AO410" s="340" t="str">
        <f t="array" aca="1" ref="AO410" ca="1">IF(AO$406="", "", IF(ISERROR(PRODUCT(1+OFFSET(AO$8, $CC410, 0, 10, 1)%)), "", PRODUCT(1+OFFSET(AO$8, $CC410, 0, 10, 1)%)^(1/10)-1))</f>
        <v/>
      </c>
      <c r="AP410" s="340" t="str">
        <f t="array" aca="1" ref="AP410" ca="1">IF(AP$406="", "", IF(ISERROR(PRODUCT(1+OFFSET(AP$8, $CC410, 0, 10, 1)%)), "", PRODUCT(1+OFFSET(AP$8, $CC410, 0, 10, 1)%)^(1/10)-1))</f>
        <v/>
      </c>
      <c r="AQ410" s="340" t="str">
        <f t="array" aca="1" ref="AQ410" ca="1">IF(AQ$406="", "", IF(ISERROR(PRODUCT(1+OFFSET(AQ$8, $CC410, 0, 10, 1)%)), "", PRODUCT(1+OFFSET(AQ$8, $CC410, 0, 10, 1)%)^(1/10)-1))</f>
        <v/>
      </c>
      <c r="AR410" s="340" t="str">
        <f t="array" aca="1" ref="AR410" ca="1">IF(AR$406="", "", IF(ISERROR(PRODUCT(1+OFFSET(AR$8, $CC410, 0, 10, 1)%)), "", PRODUCT(1+OFFSET(AR$8, $CC410, 0, 10, 1)%)^(1/10)-1))</f>
        <v/>
      </c>
      <c r="AS410" s="340" t="str">
        <f t="array" aca="1" ref="AS410" ca="1">IF(AS$406="", "", IF(ISERROR(PRODUCT(1+OFFSET(AS$8, $CC410, 0, 10, 1)%)), "", PRODUCT(1+OFFSET(AS$8, $CC410, 0, 10, 1)%)^(1/10)-1))</f>
        <v/>
      </c>
      <c r="AT410" s="340" t="str">
        <f t="array" aca="1" ref="AT410" ca="1">IF(AT$406="", "", IF(ISERROR(PRODUCT(1+OFFSET(AT$8, $CC410, 0, 10, 1)%)), "", PRODUCT(1+OFFSET(AT$8, $CC410, 0, 10, 1)%)^(1/10)-1))</f>
        <v/>
      </c>
      <c r="AU410" s="340" t="str">
        <f t="array" aca="1" ref="AU410" ca="1">IF(AU$406="", "", IF(ISERROR(PRODUCT(1+OFFSET(AU$8, $CC410, 0, 10, 1)%)), "", PRODUCT(1+OFFSET(AU$8, $CC410, 0, 10, 1)%)^(1/10)-1))</f>
        <v/>
      </c>
      <c r="AV410" s="340" t="str">
        <f t="array" aca="1" ref="AV410" ca="1">IF(AV$406="", "", IF(ISERROR(PRODUCT(1+OFFSET(AV$8, $CC410, 0, 10, 1)%)), "", PRODUCT(1+OFFSET(AV$8, $CC410, 0, 10, 1)%)^(1/10)-1))</f>
        <v/>
      </c>
      <c r="AW410" s="340" t="str">
        <f t="array" aca="1" ref="AW410" ca="1">IF(AW$406="", "", IF(ISERROR(PRODUCT(1+OFFSET(AW$8, $CC410, 0, 10, 1)%)), "", PRODUCT(1+OFFSET(AW$8, $CC410, 0, 10, 1)%)^(1/10)-1))</f>
        <v/>
      </c>
      <c r="AX410" s="340" t="str">
        <f t="array" aca="1" ref="AX410" ca="1">IF(AX$406="", "", IF(ISERROR(PRODUCT(1+OFFSET(AX$8, $CC410, 0, 10, 1)%)), "", PRODUCT(1+OFFSET(AX$8, $CC410, 0, 10, 1)%)^(1/10)-1))</f>
        <v/>
      </c>
      <c r="AY410" s="340" t="str">
        <f t="array" aca="1" ref="AY410" ca="1">IF(AY$406="", "", IF(ISERROR(PRODUCT(1+OFFSET(AY$8, $CC410, 0, 10, 1)%)), "", PRODUCT(1+OFFSET(AY$8, $CC410, 0, 10, 1)%)^(1/10)-1))</f>
        <v/>
      </c>
      <c r="AZ410" s="340" t="str">
        <f t="array" aca="1" ref="AZ410" ca="1">IF(AZ$406="", "", IF(ISERROR(PRODUCT(1+OFFSET(AZ$8, $CC410, 0, 10, 1)%)), "", PRODUCT(1+OFFSET(AZ$8, $CC410, 0, 10, 1)%)^(1/10)-1))</f>
        <v/>
      </c>
      <c r="BA410" s="340" t="str">
        <f t="array" aca="1" ref="BA410" ca="1">IF(BA$406="", "", IF(ISERROR(PRODUCT(1+OFFSET(BA$8, $CC410, 0, 10, 1)%)), "", PRODUCT(1+OFFSET(BA$8, $CC410, 0, 10, 1)%)^(1/10)-1))</f>
        <v/>
      </c>
      <c r="BB410" s="340" t="str">
        <f t="array" aca="1" ref="BB410" ca="1">IF(BB$406="", "", IF(ISERROR(PRODUCT(1+OFFSET(BB$8, $CC410, 0, 10, 1)%)), "", PRODUCT(1+OFFSET(BB$8, $CC410, 0, 10, 1)%)^(1/10)-1))</f>
        <v/>
      </c>
      <c r="BC410" s="340" t="str">
        <f t="array" aca="1" ref="BC410" ca="1">IF(BC$406="", "", IF(ISERROR(PRODUCT(1+OFFSET(BC$8, $CC410, 0, 10, 1)%)), "", PRODUCT(1+OFFSET(BC$8, $CC410, 0, 10, 1)%)^(1/10)-1))</f>
        <v/>
      </c>
      <c r="BD410" s="340" t="str">
        <f t="array" aca="1" ref="BD410" ca="1">IF(BD$406="", "", IF(ISERROR(PRODUCT(1+OFFSET(BD$8, $CC410, 0, 10, 1)%)), "", PRODUCT(1+OFFSET(BD$8, $CC410, 0, 10, 1)%)^(1/10)-1))</f>
        <v/>
      </c>
      <c r="BE410" s="340" t="str">
        <f t="array" aca="1" ref="BE410" ca="1">IF(BE$406="", "", IF(ISERROR(PRODUCT(1+OFFSET(BE$8, $CC410, 0, 10, 1)%)), "", PRODUCT(1+OFFSET(BE$8, $CC410, 0, 10, 1)%)^(1/10)-1))</f>
        <v/>
      </c>
      <c r="BF410" s="340" t="str">
        <f t="array" aca="1" ref="BF410" ca="1">IF(BF$406="", "", IF(ISERROR(PRODUCT(1+OFFSET(BF$8, $CC410, 0, 10, 1)%)), "", PRODUCT(1+OFFSET(BF$8, $CC410, 0, 10, 1)%)^(1/10)-1))</f>
        <v/>
      </c>
      <c r="BG410" s="340" t="str">
        <f t="array" aca="1" ref="BG410" ca="1">IF(BG$406="", "", IF(ISERROR(PRODUCT(1+OFFSET(BG$8, $CC410, 0, 10, 1)%)), "", PRODUCT(1+OFFSET(BG$8, $CC410, 0, 10, 1)%)^(1/10)-1))</f>
        <v/>
      </c>
      <c r="BH410" s="340" t="str">
        <f t="array" aca="1" ref="BH410" ca="1">IF(BH$406="", "", IF(ISERROR(PRODUCT(1+OFFSET(BH$8, $CC410, 0, 10, 1)%)), "", PRODUCT(1+OFFSET(BH$8, $CC410, 0, 10, 1)%)^(1/10)-1))</f>
        <v/>
      </c>
      <c r="BI410" s="340" t="str">
        <f t="array" aca="1" ref="BI410" ca="1">IF(BI$406="", "", IF(ISERROR(PRODUCT(1+OFFSET(BI$8, $CC410, 0, 10, 1)%)), "", PRODUCT(1+OFFSET(BI$8, $CC410, 0, 10, 1)%)^(1/10)-1))</f>
        <v/>
      </c>
      <c r="BJ410" s="340" t="str">
        <f t="array" aca="1" ref="BJ410" ca="1">IF(BJ$406="", "", IF(ISERROR(PRODUCT(1+OFFSET(BJ$8, $CC410, 0, 10, 1)%)), "", PRODUCT(1+OFFSET(BJ$8, $CC410, 0, 10, 1)%)^(1/10)-1))</f>
        <v/>
      </c>
      <c r="BK410" s="340" t="str">
        <f t="array" aca="1" ref="BK410" ca="1">IF(BK$406="", "", IF(ISERROR(PRODUCT(1+OFFSET(BK$8, $CC410, 0, 10, 1)%)), "", PRODUCT(1+OFFSET(BK$8, $CC410, 0, 10, 1)%)^(1/10)-1))</f>
        <v/>
      </c>
      <c r="BL410" s="340" t="str">
        <f t="array" aca="1" ref="BL410" ca="1">IF(BL$406="", "", IF(ISERROR(PRODUCT(1+OFFSET(BL$8, $CC410, 0, 10, 1)%)), "", PRODUCT(1+OFFSET(BL$8, $CC410, 0, 10, 1)%)^(1/10)-1))</f>
        <v/>
      </c>
      <c r="BM410" s="340" t="str">
        <f t="array" aca="1" ref="BM410" ca="1">IF(BM$406="", "", IF(ISERROR(PRODUCT(1+OFFSET(BM$8, $CC410, 0, 10, 1)%)), "", PRODUCT(1+OFFSET(BM$8, $CC410, 0, 10, 1)%)^(1/10)-1))</f>
        <v/>
      </c>
      <c r="BN410" s="340" t="str">
        <f t="array" aca="1" ref="BN410" ca="1">IF(BN$406="", "", IF(ISERROR(PRODUCT(1+OFFSET(BN$8, $CC410, 0, 10, 1)%)), "", PRODUCT(1+OFFSET(BN$8, $CC410, 0, 10, 1)%)^(1/10)-1))</f>
        <v/>
      </c>
      <c r="BO410" s="340" t="str">
        <f t="array" aca="1" ref="BO410" ca="1">IF(BO$406="", "", IF(ISERROR(PRODUCT(1+OFFSET(BO$8, $CC410, 0, 10, 1)%)), "", PRODUCT(1+OFFSET(BO$8, $CC410, 0, 10, 1)%)^(1/10)-1))</f>
        <v/>
      </c>
      <c r="BP410" s="340" t="str">
        <f t="array" aca="1" ref="BP410" ca="1">IF(BP$406="", "", IF(ISERROR(PRODUCT(1+OFFSET(BP$8, $CC410, 0, 10, 1)%)), "", PRODUCT(1+OFFSET(BP$8, $CC410, 0, 10, 1)%)^(1/10)-1))</f>
        <v/>
      </c>
      <c r="BQ410" s="340" t="str">
        <f t="array" aca="1" ref="BQ410" ca="1">IF(BQ$406="", "", IF(ISERROR(PRODUCT(1+OFFSET(BQ$8, $CC410, 0, 10, 1)%)), "", PRODUCT(1+OFFSET(BQ$8, $CC410, 0, 10, 1)%)^(1/10)-1))</f>
        <v/>
      </c>
      <c r="BR410" s="340" t="str">
        <f t="array" aca="1" ref="BR410" ca="1">IF(BR$406="", "", IF(ISERROR(PRODUCT(1+OFFSET(BR$8, $CC410, 0, 10, 1)%)), "", PRODUCT(1+OFFSET(BR$8, $CC410, 0, 10, 1)%)^(1/10)-1))</f>
        <v/>
      </c>
      <c r="BS410" s="340" t="str">
        <f t="array" aca="1" ref="BS410" ca="1">IF(BS$406="", "", IF(ISERROR(PRODUCT(1+OFFSET(BS$8, $CC410, 0, 10, 1)%)), "", PRODUCT(1+OFFSET(BS$8, $CC410, 0, 10, 1)%)^(1/10)-1))</f>
        <v/>
      </c>
      <c r="BT410" s="340" t="str">
        <f t="array" aca="1" ref="BT410" ca="1">IF(BT$406="", "", IF(ISERROR(PRODUCT(1+OFFSET(BT$8, $CC410, 0, 10, 1)%)), "", PRODUCT(1+OFFSET(BT$8, $CC410, 0, 10, 1)%)^(1/10)-1))</f>
        <v/>
      </c>
      <c r="BU410" s="340" t="str">
        <f t="array" aca="1" ref="BU410" ca="1">IF(BU$406="", "", IF(ISERROR(PRODUCT(1+OFFSET(BU$8, $CC410, 0, 10, 1)%)), "", PRODUCT(1+OFFSET(BU$8, $CC410, 0, 10, 1)%)^(1/10)-1))</f>
        <v/>
      </c>
      <c r="BV410" s="340" t="str">
        <f t="array" aca="1" ref="BV410" ca="1">IF(BV$406="", "", IF(ISERROR(PRODUCT(1+OFFSET(BV$8, $CC410, 0, 10, 1)%)), "", PRODUCT(1+OFFSET(BV$8, $CC410, 0, 10, 1)%)^(1/10)-1))</f>
        <v/>
      </c>
      <c r="BW410" s="340" t="str">
        <f t="array" aca="1" ref="BW410" ca="1">IF(BW$406="", "", IF(ISERROR(PRODUCT(1+OFFSET(BW$8, $CC410, 0, 10, 1)%)), "", PRODUCT(1+OFFSET(BW$8, $CC410, 0, 10, 1)%)^(1/10)-1))</f>
        <v/>
      </c>
      <c r="BX410" s="340">
        <f t="array" aca="1" ref="BX410" ca="1">IF(BX$406="", "", IF(ISERROR(PRODUCT(1+OFFSET(BX$8, $CC410, 0, 10, 1)%)), "", PRODUCT(1+OFFSET(BX$8, $CC410, 0, 10, 1)%)^(1/10)-1))</f>
        <v>7.3209914620832039E-2</v>
      </c>
      <c r="BY410" s="340">
        <f t="array" aca="1" ref="BY410" ca="1">IF(BY$406="", "", IF(ISERROR(PRODUCT(1+OFFSET(BY$8, $CC410, 0, 10, 1)%)), "", PRODUCT(1+OFFSET(BY$8, $CC410, 0, 10, 1)%)^(1/10)-1))</f>
        <v>3.1930440240886648E-2</v>
      </c>
      <c r="BZ410" s="340">
        <f t="array" aca="1" ref="BZ410" ca="1">IF(BZ$406="", "", IF(ISERROR(PRODUCT(1+OFFSET(BZ$8, $CC410, 0, 10, 1)%)), "", PRODUCT(1+OFFSET(BZ$8, $CC410, 0, 10, 1)%)^(1/10)-1))</f>
        <v>4.8933497669915171E-2</v>
      </c>
      <c r="CA410" s="532">
        <f t="array" aca="1" ref="CA410" ca="1">IF(CA$406="", "", IF(ISERROR(PRODUCT(1+OFFSET(CA$8, $CC410, 0, 10, 1)%)), "", PRODUCT(1+OFFSET(CA$8, $CC410, 0, 10, 1)%)^(1/10)-1))</f>
        <v>1.8189269922535667E-2</v>
      </c>
      <c r="CC410" s="482">
        <f t="shared" si="551"/>
        <v>30</v>
      </c>
    </row>
    <row r="411" spans="1:81" ht="14">
      <c r="A411" s="338" t="str">
        <f t="shared" si="550"/>
        <v>1911-1920</v>
      </c>
      <c r="B411" s="339">
        <f t="array" aca="1" ref="B411" ca="1">IF(B$406="", "", IF(ISERROR(PRODUCT(1+OFFSET(B$8, $CC411, 0, 10, 1)%)), "", PRODUCT(1+OFFSET(B$8, $CC411, 0, 10, 1)%)^(1/10)-1))</f>
        <v>3.2484776396084492E-2</v>
      </c>
      <c r="C411" s="340" t="str">
        <f t="array" aca="1" ref="C411" ca="1">IF(C$406="", "", IF(ISERROR(PRODUCT(1+OFFSET(C$8, $CC411, 0, 10, 1)%)), "", PRODUCT(1+OFFSET(C$8, $CC411, 0, 10, 1)%)^(1/10)-1))</f>
        <v/>
      </c>
      <c r="D411" s="340">
        <f t="array" aca="1" ref="D411" ca="1">IF(D$406="", "", IF(ISERROR(PRODUCT(1+OFFSET(D$8, $CC411, 0, 10, 1)%)), "", PRODUCT(1+OFFSET(D$8, $CC411, 0, 10, 1)%)^(1/10)-1))</f>
        <v>3.2484776396084492E-2</v>
      </c>
      <c r="E411" s="340" t="str">
        <f t="array" aca="1" ref="E411" ca="1">IF(E$406="", "", IF(ISERROR(PRODUCT(1+OFFSET(E$8, $CC411, 0, 10, 1)%)), "", PRODUCT(1+OFFSET(E$8, $CC411, 0, 10, 1)%)^(1/10)-1))</f>
        <v/>
      </c>
      <c r="F411" s="340" t="str">
        <f t="array" aca="1" ref="F411" ca="1">IF(F$406="", "", IF(ISERROR(PRODUCT(1+OFFSET(F$8, $CC411, 0, 10, 1)%)), "", PRODUCT(1+OFFSET(F$8, $CC411, 0, 10, 1)%)^(1/10)-1))</f>
        <v/>
      </c>
      <c r="G411" s="340" t="str">
        <f t="array" aca="1" ref="G411" ca="1">IF(G$406="", "", IF(ISERROR(PRODUCT(1+OFFSET(G$8, $CC411, 0, 10, 1)%)), "", PRODUCT(1+OFFSET(G$8, $CC411, 0, 10, 1)%)^(1/10)-1))</f>
        <v/>
      </c>
      <c r="H411" s="340" t="str">
        <f t="array" aca="1" ref="H411" ca="1">IF(H$406="", "", IF(ISERROR(PRODUCT(1+OFFSET(H$8, $CC411, 0, 10, 1)%)), "", PRODUCT(1+OFFSET(H$8, $CC411, 0, 10, 1)%)^(1/10)-1))</f>
        <v/>
      </c>
      <c r="I411" s="340" t="str">
        <f t="array" aca="1" ref="I411" ca="1">IF(I$406="", "", IF(ISERROR(PRODUCT(1+OFFSET(I$8, $CC411, 0, 10, 1)%)), "", PRODUCT(1+OFFSET(I$8, $CC411, 0, 10, 1)%)^(1/10)-1))</f>
        <v/>
      </c>
      <c r="J411" s="340" t="str">
        <f t="array" aca="1" ref="J411" ca="1">IF(J$406="", "", IF(ISERROR(PRODUCT(1+OFFSET(J$8, $CC411, 0, 10, 1)%)), "", PRODUCT(1+OFFSET(J$8, $CC411, 0, 10, 1)%)^(1/10)-1))</f>
        <v/>
      </c>
      <c r="K411" s="340" t="str">
        <f t="array" aca="1" ref="K411" ca="1">IF(K$406="", "", IF(ISERROR(PRODUCT(1+OFFSET(K$8, $CC411, 0, 10, 1)%)), "", PRODUCT(1+OFFSET(K$8, $CC411, 0, 10, 1)%)^(1/10)-1))</f>
        <v/>
      </c>
      <c r="L411" s="340" t="str">
        <f t="array" aca="1" ref="L411" ca="1">IF(L$406="", "", IF(ISERROR(PRODUCT(1+OFFSET(L$8, $CC411, 0, 10, 1)%)), "", PRODUCT(1+OFFSET(L$8, $CC411, 0, 10, 1)%)^(1/10)-1))</f>
        <v/>
      </c>
      <c r="M411" s="340" t="str">
        <f t="array" aca="1" ref="M411" ca="1">IF(M$406="", "", IF(ISERROR(PRODUCT(1+OFFSET(M$8, $CC411, 0, 10, 1)%)), "", PRODUCT(1+OFFSET(M$8, $CC411, 0, 10, 1)%)^(1/10)-1))</f>
        <v/>
      </c>
      <c r="N411" s="498" t="str">
        <f t="array" aca="1" ref="N411" ca="1">IF(N$406="", "", IF(ISERROR(PRODUCT(1+OFFSET(N$8, $CC411, 0, 10, 1)%)), "", PRODUCT(1+OFFSET(N$8, $CC411, 0, 10, 1)%)^(1/10)-1))</f>
        <v/>
      </c>
      <c r="O411" s="340" t="str">
        <f t="array" aca="1" ref="O411" ca="1">IF(O$406="", "", IF(ISERROR(PRODUCT(1+OFFSET(O$8, $CC411, 0, 10, 1)%)), "", PRODUCT(1+OFFSET(O$8, $CC411, 0, 10, 1)%)^(1/10)-1))</f>
        <v/>
      </c>
      <c r="P411" s="340" t="str">
        <f t="array" aca="1" ref="P411" ca="1">IF(P$406="", "", IF(ISERROR(PRODUCT(1+OFFSET(P$8, $CC411, 0, 10, 1)%)), "", PRODUCT(1+OFFSET(P$8, $CC411, 0, 10, 1)%)^(1/10)-1))</f>
        <v/>
      </c>
      <c r="Q411" s="340" t="str">
        <f t="array" aca="1" ref="Q411" ca="1">IF(Q$406="", "", IF(ISERROR(PRODUCT(1+OFFSET(Q$8, $CC411, 0, 10, 1)%)), "", PRODUCT(1+OFFSET(Q$8, $CC411, 0, 10, 1)%)^(1/10)-1))</f>
        <v/>
      </c>
      <c r="R411" s="340" t="str">
        <f t="array" aca="1" ref="R411" ca="1">IF(R$406="", "", IF(ISERROR(PRODUCT(1+OFFSET(R$8, $CC411, 0, 10, 1)%)), "", PRODUCT(1+OFFSET(R$8, $CC411, 0, 10, 1)%)^(1/10)-1))</f>
        <v/>
      </c>
      <c r="S411" s="340" t="str">
        <f t="array" aca="1" ref="S411" ca="1">IF(S$406="", "", IF(ISERROR(PRODUCT(1+OFFSET(S$8, $CC411, 0, 10, 1)%)), "", PRODUCT(1+OFFSET(S$8, $CC411, 0, 10, 1)%)^(1/10)-1))</f>
        <v/>
      </c>
      <c r="T411" s="340">
        <f t="array" aca="1" ref="T411" ca="1">IF(T$406="", "", IF(ISERROR(PRODUCT(1+OFFSET(T$8, $CC411, 0, 10, 1)%)), "", PRODUCT(1+OFFSET(T$8, $CC411, 0, 10, 1)%)^(1/10)-1))</f>
        <v>3.1544316617224011E-2</v>
      </c>
      <c r="U411" s="340">
        <f t="array" aca="1" ref="U411" ca="1">IF(U$406="", "", IF(ISERROR(PRODUCT(1+OFFSET(U$8, $CC411, 0, 10, 1)%)), "", PRODUCT(1+OFFSET(U$8, $CC411, 0, 10, 1)%)^(1/10)-1))</f>
        <v>3.1544316617224011E-2</v>
      </c>
      <c r="V411" s="340">
        <f t="array" aca="1" ref="V411" ca="1">IF(V$406="", "", IF(ISERROR(PRODUCT(1+OFFSET(V$8, $CC411, 0, 10, 1)%)), "", PRODUCT(1+OFFSET(V$8, $CC411, 0, 10, 1)%)^(1/10)-1))</f>
        <v>4.8016674517824987E-2</v>
      </c>
      <c r="W411" s="340" t="str">
        <f t="array" aca="1" ref="W411" ca="1">IF(W$406="", "", IF(ISERROR(PRODUCT(1+OFFSET(W$8, $CC411, 0, 10, 1)%)), "", PRODUCT(1+OFFSET(W$8, $CC411, 0, 10, 1)%)^(1/10)-1))</f>
        <v/>
      </c>
      <c r="X411" s="340" t="str">
        <f t="array" aca="1" ref="X411" ca="1">IF(X$406="", "", IF(ISERROR(PRODUCT(1+OFFSET(X$8, $CC411, 0, 10, 1)%)), "", PRODUCT(1+OFFSET(X$8, $CC411, 0, 10, 1)%)^(1/10)-1))</f>
        <v/>
      </c>
      <c r="Y411" s="340" t="str">
        <f t="array" aca="1" ref="Y411" ca="1">IF(Y$406="", "", IF(ISERROR(PRODUCT(1+OFFSET(Y$8, $CC411, 0, 10, 1)%)), "", PRODUCT(1+OFFSET(Y$8, $CC411, 0, 10, 1)%)^(1/10)-1))</f>
        <v/>
      </c>
      <c r="Z411" s="340" t="str">
        <f t="array" aca="1" ref="Z411" ca="1">IF(Z$406="", "", IF(ISERROR(PRODUCT(1+OFFSET(Z$8, $CC411, 0, 10, 1)%)), "", PRODUCT(1+OFFSET(Z$8, $CC411, 0, 10, 1)%)^(1/10)-1))</f>
        <v/>
      </c>
      <c r="AA411" s="340" t="str">
        <f t="array" aca="1" ref="AA411" ca="1">IF(AA$406="", "", IF(ISERROR(PRODUCT(1+OFFSET(AA$8, $CC411, 0, 10, 1)%)), "", PRODUCT(1+OFFSET(AA$8, $CC411, 0, 10, 1)%)^(1/10)-1))</f>
        <v/>
      </c>
      <c r="AB411" s="340" t="str">
        <f t="array" aca="1" ref="AB411" ca="1">IF(AB$406="", "", IF(ISERROR(PRODUCT(1+OFFSET(AB$8, $CC411, 0, 10, 1)%)), "", PRODUCT(1+OFFSET(AB$8, $CC411, 0, 10, 1)%)^(1/10)-1))</f>
        <v/>
      </c>
      <c r="AC411" s="340" t="str">
        <f t="array" aca="1" ref="AC411" ca="1">IF(AC$406="", "", IF(ISERROR(PRODUCT(1+OFFSET(AC$8, $CC411, 0, 10, 1)%)), "", PRODUCT(1+OFFSET(AC$8, $CC411, 0, 10, 1)%)^(1/10)-1))</f>
        <v/>
      </c>
      <c r="AD411" s="340" t="str">
        <f t="array" aca="1" ref="AD411" ca="1">IF(AD$406="", "", IF(ISERROR(PRODUCT(1+OFFSET(AD$8, $CC411, 0, 10, 1)%)), "", PRODUCT(1+OFFSET(AD$8, $CC411, 0, 10, 1)%)^(1/10)-1))</f>
        <v/>
      </c>
      <c r="AE411" s="340" t="str">
        <f t="array" aca="1" ref="AE411" ca="1">IF(AE$406="", "", IF(ISERROR(PRODUCT(1+OFFSET(AE$8, $CC411, 0, 10, 1)%)), "", PRODUCT(1+OFFSET(AE$8, $CC411, 0, 10, 1)%)^(1/10)-1))</f>
        <v/>
      </c>
      <c r="AF411" s="340" t="str">
        <f t="array" aca="1" ref="AF411" ca="1">IF(AF$406="", "", IF(ISERROR(PRODUCT(1+OFFSET(AF$8, $CC411, 0, 10, 1)%)), "", PRODUCT(1+OFFSET(AF$8, $CC411, 0, 10, 1)%)^(1/10)-1))</f>
        <v/>
      </c>
      <c r="AG411" s="340" t="str">
        <f t="array" aca="1" ref="AG411" ca="1">IF(AG$406="", "", IF(ISERROR(PRODUCT(1+OFFSET(AG$8, $CC411, 0, 10, 1)%)), "", PRODUCT(1+OFFSET(AG$8, $CC411, 0, 10, 1)%)^(1/10)-1))</f>
        <v/>
      </c>
      <c r="AH411" s="340" t="str">
        <f t="array" aca="1" ref="AH411" ca="1">IF(AH$406="", "", IF(ISERROR(PRODUCT(1+OFFSET(AH$8, $CC411, 0, 10, 1)%)), "", PRODUCT(1+OFFSET(AH$8, $CC411, 0, 10, 1)%)^(1/10)-1))</f>
        <v/>
      </c>
      <c r="AI411" s="340" t="str">
        <f t="array" aca="1" ref="AI411" ca="1">IF(AI$406="", "", IF(ISERROR(PRODUCT(1+OFFSET(AI$8, $CC411, 0, 10, 1)%)), "", PRODUCT(1+OFFSET(AI$8, $CC411, 0, 10, 1)%)^(1/10)-1))</f>
        <v/>
      </c>
      <c r="AJ411" s="340" t="str">
        <f t="array" aca="1" ref="AJ411" ca="1">IF(AJ$406="", "", IF(ISERROR(PRODUCT(1+OFFSET(AJ$8, $CC411, 0, 10, 1)%)), "", PRODUCT(1+OFFSET(AJ$8, $CC411, 0, 10, 1)%)^(1/10)-1))</f>
        <v/>
      </c>
      <c r="AK411" s="340" t="str">
        <f t="array" aca="1" ref="AK411" ca="1">IF(AK$406="", "", IF(ISERROR(PRODUCT(1+OFFSET(AK$8, $CC411, 0, 10, 1)%)), "", PRODUCT(1+OFFSET(AK$8, $CC411, 0, 10, 1)%)^(1/10)-1))</f>
        <v/>
      </c>
      <c r="AL411" s="340" t="str">
        <f t="array" aca="1" ref="AL411" ca="1">IF(AL$406="", "", IF(ISERROR(PRODUCT(1+OFFSET(AL$8, $CC411, 0, 10, 1)%)), "", PRODUCT(1+OFFSET(AL$8, $CC411, 0, 10, 1)%)^(1/10)-1))</f>
        <v/>
      </c>
      <c r="AM411" s="340" t="str">
        <f t="array" aca="1" ref="AM411" ca="1">IF(AM$406="", "", IF(ISERROR(PRODUCT(1+OFFSET(AM$8, $CC411, 0, 10, 1)%)), "", PRODUCT(1+OFFSET(AM$8, $CC411, 0, 10, 1)%)^(1/10)-1))</f>
        <v/>
      </c>
      <c r="AN411" s="340" t="str">
        <f t="array" aca="1" ref="AN411" ca="1">IF(AN$406="", "", IF(ISERROR(PRODUCT(1+OFFSET(AN$8, $CC411, 0, 10, 1)%)), "", PRODUCT(1+OFFSET(AN$8, $CC411, 0, 10, 1)%)^(1/10)-1))</f>
        <v/>
      </c>
      <c r="AO411" s="340" t="str">
        <f t="array" aca="1" ref="AO411" ca="1">IF(AO$406="", "", IF(ISERROR(PRODUCT(1+OFFSET(AO$8, $CC411, 0, 10, 1)%)), "", PRODUCT(1+OFFSET(AO$8, $CC411, 0, 10, 1)%)^(1/10)-1))</f>
        <v/>
      </c>
      <c r="AP411" s="340" t="str">
        <f t="array" aca="1" ref="AP411" ca="1">IF(AP$406="", "", IF(ISERROR(PRODUCT(1+OFFSET(AP$8, $CC411, 0, 10, 1)%)), "", PRODUCT(1+OFFSET(AP$8, $CC411, 0, 10, 1)%)^(1/10)-1))</f>
        <v/>
      </c>
      <c r="AQ411" s="340" t="str">
        <f t="array" aca="1" ref="AQ411" ca="1">IF(AQ$406="", "", IF(ISERROR(PRODUCT(1+OFFSET(AQ$8, $CC411, 0, 10, 1)%)), "", PRODUCT(1+OFFSET(AQ$8, $CC411, 0, 10, 1)%)^(1/10)-1))</f>
        <v/>
      </c>
      <c r="AR411" s="340" t="str">
        <f t="array" aca="1" ref="AR411" ca="1">IF(AR$406="", "", IF(ISERROR(PRODUCT(1+OFFSET(AR$8, $CC411, 0, 10, 1)%)), "", PRODUCT(1+OFFSET(AR$8, $CC411, 0, 10, 1)%)^(1/10)-1))</f>
        <v/>
      </c>
      <c r="AS411" s="340" t="str">
        <f t="array" aca="1" ref="AS411" ca="1">IF(AS$406="", "", IF(ISERROR(PRODUCT(1+OFFSET(AS$8, $CC411, 0, 10, 1)%)), "", PRODUCT(1+OFFSET(AS$8, $CC411, 0, 10, 1)%)^(1/10)-1))</f>
        <v/>
      </c>
      <c r="AT411" s="340" t="str">
        <f t="array" aca="1" ref="AT411" ca="1">IF(AT$406="", "", IF(ISERROR(PRODUCT(1+OFFSET(AT$8, $CC411, 0, 10, 1)%)), "", PRODUCT(1+OFFSET(AT$8, $CC411, 0, 10, 1)%)^(1/10)-1))</f>
        <v/>
      </c>
      <c r="AU411" s="340" t="str">
        <f t="array" aca="1" ref="AU411" ca="1">IF(AU$406="", "", IF(ISERROR(PRODUCT(1+OFFSET(AU$8, $CC411, 0, 10, 1)%)), "", PRODUCT(1+OFFSET(AU$8, $CC411, 0, 10, 1)%)^(1/10)-1))</f>
        <v/>
      </c>
      <c r="AV411" s="340" t="str">
        <f t="array" aca="1" ref="AV411" ca="1">IF(AV$406="", "", IF(ISERROR(PRODUCT(1+OFFSET(AV$8, $CC411, 0, 10, 1)%)), "", PRODUCT(1+OFFSET(AV$8, $CC411, 0, 10, 1)%)^(1/10)-1))</f>
        <v/>
      </c>
      <c r="AW411" s="340" t="str">
        <f t="array" aca="1" ref="AW411" ca="1">IF(AW$406="", "", IF(ISERROR(PRODUCT(1+OFFSET(AW$8, $CC411, 0, 10, 1)%)), "", PRODUCT(1+OFFSET(AW$8, $CC411, 0, 10, 1)%)^(1/10)-1))</f>
        <v/>
      </c>
      <c r="AX411" s="340" t="str">
        <f t="array" aca="1" ref="AX411" ca="1">IF(AX$406="", "", IF(ISERROR(PRODUCT(1+OFFSET(AX$8, $CC411, 0, 10, 1)%)), "", PRODUCT(1+OFFSET(AX$8, $CC411, 0, 10, 1)%)^(1/10)-1))</f>
        <v/>
      </c>
      <c r="AY411" s="340" t="str">
        <f t="array" aca="1" ref="AY411" ca="1">IF(AY$406="", "", IF(ISERROR(PRODUCT(1+OFFSET(AY$8, $CC411, 0, 10, 1)%)), "", PRODUCT(1+OFFSET(AY$8, $CC411, 0, 10, 1)%)^(1/10)-1))</f>
        <v/>
      </c>
      <c r="AZ411" s="340" t="str">
        <f t="array" aca="1" ref="AZ411" ca="1">IF(AZ$406="", "", IF(ISERROR(PRODUCT(1+OFFSET(AZ$8, $CC411, 0, 10, 1)%)), "", PRODUCT(1+OFFSET(AZ$8, $CC411, 0, 10, 1)%)^(1/10)-1))</f>
        <v/>
      </c>
      <c r="BA411" s="340" t="str">
        <f t="array" aca="1" ref="BA411" ca="1">IF(BA$406="", "", IF(ISERROR(PRODUCT(1+OFFSET(BA$8, $CC411, 0, 10, 1)%)), "", PRODUCT(1+OFFSET(BA$8, $CC411, 0, 10, 1)%)^(1/10)-1))</f>
        <v/>
      </c>
      <c r="BB411" s="340" t="str">
        <f t="array" aca="1" ref="BB411" ca="1">IF(BB$406="", "", IF(ISERROR(PRODUCT(1+OFFSET(BB$8, $CC411, 0, 10, 1)%)), "", PRODUCT(1+OFFSET(BB$8, $CC411, 0, 10, 1)%)^(1/10)-1))</f>
        <v/>
      </c>
      <c r="BC411" s="340" t="str">
        <f t="array" aca="1" ref="BC411" ca="1">IF(BC$406="", "", IF(ISERROR(PRODUCT(1+OFFSET(BC$8, $CC411, 0, 10, 1)%)), "", PRODUCT(1+OFFSET(BC$8, $CC411, 0, 10, 1)%)^(1/10)-1))</f>
        <v/>
      </c>
      <c r="BD411" s="340" t="str">
        <f t="array" aca="1" ref="BD411" ca="1">IF(BD$406="", "", IF(ISERROR(PRODUCT(1+OFFSET(BD$8, $CC411, 0, 10, 1)%)), "", PRODUCT(1+OFFSET(BD$8, $CC411, 0, 10, 1)%)^(1/10)-1))</f>
        <v/>
      </c>
      <c r="BE411" s="340" t="str">
        <f t="array" aca="1" ref="BE411" ca="1">IF(BE$406="", "", IF(ISERROR(PRODUCT(1+OFFSET(BE$8, $CC411, 0, 10, 1)%)), "", PRODUCT(1+OFFSET(BE$8, $CC411, 0, 10, 1)%)^(1/10)-1))</f>
        <v/>
      </c>
      <c r="BF411" s="340" t="str">
        <f t="array" aca="1" ref="BF411" ca="1">IF(BF$406="", "", IF(ISERROR(PRODUCT(1+OFFSET(BF$8, $CC411, 0, 10, 1)%)), "", PRODUCT(1+OFFSET(BF$8, $CC411, 0, 10, 1)%)^(1/10)-1))</f>
        <v/>
      </c>
      <c r="BG411" s="340" t="str">
        <f t="array" aca="1" ref="BG411" ca="1">IF(BG$406="", "", IF(ISERROR(PRODUCT(1+OFFSET(BG$8, $CC411, 0, 10, 1)%)), "", PRODUCT(1+OFFSET(BG$8, $CC411, 0, 10, 1)%)^(1/10)-1))</f>
        <v/>
      </c>
      <c r="BH411" s="340" t="str">
        <f t="array" aca="1" ref="BH411" ca="1">IF(BH$406="", "", IF(ISERROR(PRODUCT(1+OFFSET(BH$8, $CC411, 0, 10, 1)%)), "", PRODUCT(1+OFFSET(BH$8, $CC411, 0, 10, 1)%)^(1/10)-1))</f>
        <v/>
      </c>
      <c r="BI411" s="340" t="str">
        <f t="array" aca="1" ref="BI411" ca="1">IF(BI$406="", "", IF(ISERROR(PRODUCT(1+OFFSET(BI$8, $CC411, 0, 10, 1)%)), "", PRODUCT(1+OFFSET(BI$8, $CC411, 0, 10, 1)%)^(1/10)-1))</f>
        <v/>
      </c>
      <c r="BJ411" s="340" t="str">
        <f t="array" aca="1" ref="BJ411" ca="1">IF(BJ$406="", "", IF(ISERROR(PRODUCT(1+OFFSET(BJ$8, $CC411, 0, 10, 1)%)), "", PRODUCT(1+OFFSET(BJ$8, $CC411, 0, 10, 1)%)^(1/10)-1))</f>
        <v/>
      </c>
      <c r="BK411" s="340" t="str">
        <f t="array" aca="1" ref="BK411" ca="1">IF(BK$406="", "", IF(ISERROR(PRODUCT(1+OFFSET(BK$8, $CC411, 0, 10, 1)%)), "", PRODUCT(1+OFFSET(BK$8, $CC411, 0, 10, 1)%)^(1/10)-1))</f>
        <v/>
      </c>
      <c r="BL411" s="340" t="str">
        <f t="array" aca="1" ref="BL411" ca="1">IF(BL$406="", "", IF(ISERROR(PRODUCT(1+OFFSET(BL$8, $CC411, 0, 10, 1)%)), "", PRODUCT(1+OFFSET(BL$8, $CC411, 0, 10, 1)%)^(1/10)-1))</f>
        <v/>
      </c>
      <c r="BM411" s="340" t="str">
        <f t="array" aca="1" ref="BM411" ca="1">IF(BM$406="", "", IF(ISERROR(PRODUCT(1+OFFSET(BM$8, $CC411, 0, 10, 1)%)), "", PRODUCT(1+OFFSET(BM$8, $CC411, 0, 10, 1)%)^(1/10)-1))</f>
        <v/>
      </c>
      <c r="BN411" s="340" t="str">
        <f t="array" aca="1" ref="BN411" ca="1">IF(BN$406="", "", IF(ISERROR(PRODUCT(1+OFFSET(BN$8, $CC411, 0, 10, 1)%)), "", PRODUCT(1+OFFSET(BN$8, $CC411, 0, 10, 1)%)^(1/10)-1))</f>
        <v/>
      </c>
      <c r="BO411" s="340" t="str">
        <f t="array" aca="1" ref="BO411" ca="1">IF(BO$406="", "", IF(ISERROR(PRODUCT(1+OFFSET(BO$8, $CC411, 0, 10, 1)%)), "", PRODUCT(1+OFFSET(BO$8, $CC411, 0, 10, 1)%)^(1/10)-1))</f>
        <v/>
      </c>
      <c r="BP411" s="340" t="str">
        <f t="array" aca="1" ref="BP411" ca="1">IF(BP$406="", "", IF(ISERROR(PRODUCT(1+OFFSET(BP$8, $CC411, 0, 10, 1)%)), "", PRODUCT(1+OFFSET(BP$8, $CC411, 0, 10, 1)%)^(1/10)-1))</f>
        <v/>
      </c>
      <c r="BQ411" s="340" t="str">
        <f t="array" aca="1" ref="BQ411" ca="1">IF(BQ$406="", "", IF(ISERROR(PRODUCT(1+OFFSET(BQ$8, $CC411, 0, 10, 1)%)), "", PRODUCT(1+OFFSET(BQ$8, $CC411, 0, 10, 1)%)^(1/10)-1))</f>
        <v/>
      </c>
      <c r="BR411" s="340" t="str">
        <f t="array" aca="1" ref="BR411" ca="1">IF(BR$406="", "", IF(ISERROR(PRODUCT(1+OFFSET(BR$8, $CC411, 0, 10, 1)%)), "", PRODUCT(1+OFFSET(BR$8, $CC411, 0, 10, 1)%)^(1/10)-1))</f>
        <v/>
      </c>
      <c r="BS411" s="340" t="str">
        <f t="array" aca="1" ref="BS411" ca="1">IF(BS$406="", "", IF(ISERROR(PRODUCT(1+OFFSET(BS$8, $CC411, 0, 10, 1)%)), "", PRODUCT(1+OFFSET(BS$8, $CC411, 0, 10, 1)%)^(1/10)-1))</f>
        <v/>
      </c>
      <c r="BT411" s="340" t="str">
        <f t="array" aca="1" ref="BT411" ca="1">IF(BT$406="", "", IF(ISERROR(PRODUCT(1+OFFSET(BT$8, $CC411, 0, 10, 1)%)), "", PRODUCT(1+OFFSET(BT$8, $CC411, 0, 10, 1)%)^(1/10)-1))</f>
        <v/>
      </c>
      <c r="BU411" s="340" t="str">
        <f t="array" aca="1" ref="BU411" ca="1">IF(BU$406="", "", IF(ISERROR(PRODUCT(1+OFFSET(BU$8, $CC411, 0, 10, 1)%)), "", PRODUCT(1+OFFSET(BU$8, $CC411, 0, 10, 1)%)^(1/10)-1))</f>
        <v/>
      </c>
      <c r="BV411" s="340" t="str">
        <f t="array" aca="1" ref="BV411" ca="1">IF(BV$406="", "", IF(ISERROR(PRODUCT(1+OFFSET(BV$8, $CC411, 0, 10, 1)%)), "", PRODUCT(1+OFFSET(BV$8, $CC411, 0, 10, 1)%)^(1/10)-1))</f>
        <v/>
      </c>
      <c r="BW411" s="340" t="str">
        <f t="array" aca="1" ref="BW411" ca="1">IF(BW$406="", "", IF(ISERROR(PRODUCT(1+OFFSET(BW$8, $CC411, 0, 10, 1)%)), "", PRODUCT(1+OFFSET(BW$8, $CC411, 0, 10, 1)%)^(1/10)-1))</f>
        <v/>
      </c>
      <c r="BX411" s="340">
        <f t="array" aca="1" ref="BX411" ca="1">IF(BX$406="", "", IF(ISERROR(PRODUCT(1+OFFSET(BX$8, $CC411, 0, 10, 1)%)), "", PRODUCT(1+OFFSET(BX$8, $CC411, 0, 10, 1)%)^(1/10)-1))</f>
        <v>3.4240000515957769E-2</v>
      </c>
      <c r="BY411" s="340">
        <f t="array" aca="1" ref="BY411" ca="1">IF(BY$406="", "", IF(ISERROR(PRODUCT(1+OFFSET(BY$8, $CC411, 0, 10, 1)%)), "", PRODUCT(1+OFFSET(BY$8, $CC411, 0, 10, 1)%)^(1/10)-1))</f>
        <v>3.3607405250458466E-2</v>
      </c>
      <c r="BZ411" s="340">
        <f t="array" aca="1" ref="BZ411" ca="1">IF(BZ$406="", "", IF(ISERROR(PRODUCT(1+OFFSET(BZ$8, $CC411, 0, 10, 1)%)), "", PRODUCT(1+OFFSET(BZ$8, $CC411, 0, 10, 1)%)^(1/10)-1))</f>
        <v>4.8959889524891054E-2</v>
      </c>
      <c r="CA411" s="532">
        <f t="array" aca="1" ref="CA411" ca="1">IF(CA$406="", "", IF(ISERROR(PRODUCT(1+OFFSET(CA$8, $CC411, 0, 10, 1)%)), "", PRODUCT(1+OFFSET(CA$8, $CC411, 0, 10, 1)%)^(1/10)-1))</f>
        <v>7.4878745453536899E-2</v>
      </c>
      <c r="CC411" s="482">
        <f t="shared" si="551"/>
        <v>40</v>
      </c>
    </row>
    <row r="412" spans="1:81" ht="14">
      <c r="A412" s="338" t="str">
        <f t="shared" si="550"/>
        <v>1921-1930</v>
      </c>
      <c r="B412" s="339">
        <f t="array" aca="1" ref="B412" ca="1">IF(B$406="", "", IF(ISERROR(PRODUCT(1+OFFSET(B$8, $CC412, 0, 10, 1)%)), "", PRODUCT(1+OFFSET(B$8, $CC412, 0, 10, 1)%)^(1/10)-1))</f>
        <v>0.13826335092982389</v>
      </c>
      <c r="C412" s="340" t="str">
        <f t="array" aca="1" ref="C412" ca="1">IF(C$406="", "", IF(ISERROR(PRODUCT(1+OFFSET(C$8, $CC412, 0, 10, 1)%)), "", PRODUCT(1+OFFSET(C$8, $CC412, 0, 10, 1)%)^(1/10)-1))</f>
        <v/>
      </c>
      <c r="D412" s="340">
        <f t="array" aca="1" ref="D412" ca="1">IF(D$406="", "", IF(ISERROR(PRODUCT(1+OFFSET(D$8, $CC412, 0, 10, 1)%)), "", PRODUCT(1+OFFSET(D$8, $CC412, 0, 10, 1)%)^(1/10)-1))</f>
        <v>0.13826335092982389</v>
      </c>
      <c r="E412" s="340" t="str">
        <f t="array" aca="1" ref="E412" ca="1">IF(E$406="", "", IF(ISERROR(PRODUCT(1+OFFSET(E$8, $CC412, 0, 10, 1)%)), "", PRODUCT(1+OFFSET(E$8, $CC412, 0, 10, 1)%)^(1/10)-1))</f>
        <v/>
      </c>
      <c r="F412" s="340" t="str">
        <f t="array" aca="1" ref="F412" ca="1">IF(F$406="", "", IF(ISERROR(PRODUCT(1+OFFSET(F$8, $CC412, 0, 10, 1)%)), "", PRODUCT(1+OFFSET(F$8, $CC412, 0, 10, 1)%)^(1/10)-1))</f>
        <v/>
      </c>
      <c r="G412" s="340" t="str">
        <f t="array" aca="1" ref="G412" ca="1">IF(G$406="", "", IF(ISERROR(PRODUCT(1+OFFSET(G$8, $CC412, 0, 10, 1)%)), "", PRODUCT(1+OFFSET(G$8, $CC412, 0, 10, 1)%)^(1/10)-1))</f>
        <v/>
      </c>
      <c r="H412" s="340" t="str">
        <f t="array" aca="1" ref="H412" ca="1">IF(H$406="", "", IF(ISERROR(PRODUCT(1+OFFSET(H$8, $CC412, 0, 10, 1)%)), "", PRODUCT(1+OFFSET(H$8, $CC412, 0, 10, 1)%)^(1/10)-1))</f>
        <v/>
      </c>
      <c r="I412" s="340" t="str">
        <f t="array" aca="1" ref="I412" ca="1">IF(I$406="", "", IF(ISERROR(PRODUCT(1+OFFSET(I$8, $CC412, 0, 10, 1)%)), "", PRODUCT(1+OFFSET(I$8, $CC412, 0, 10, 1)%)^(1/10)-1))</f>
        <v/>
      </c>
      <c r="J412" s="340" t="str">
        <f t="array" aca="1" ref="J412" ca="1">IF(J$406="", "", IF(ISERROR(PRODUCT(1+OFFSET(J$8, $CC412, 0, 10, 1)%)), "", PRODUCT(1+OFFSET(J$8, $CC412, 0, 10, 1)%)^(1/10)-1))</f>
        <v/>
      </c>
      <c r="K412" s="340" t="str">
        <f t="array" aca="1" ref="K412" ca="1">IF(K$406="", "", IF(ISERROR(PRODUCT(1+OFFSET(K$8, $CC412, 0, 10, 1)%)), "", PRODUCT(1+OFFSET(K$8, $CC412, 0, 10, 1)%)^(1/10)-1))</f>
        <v/>
      </c>
      <c r="L412" s="340" t="str">
        <f t="array" aca="1" ref="L412" ca="1">IF(L$406="", "", IF(ISERROR(PRODUCT(1+OFFSET(L$8, $CC412, 0, 10, 1)%)), "", PRODUCT(1+OFFSET(L$8, $CC412, 0, 10, 1)%)^(1/10)-1))</f>
        <v/>
      </c>
      <c r="M412" s="340" t="str">
        <f t="array" aca="1" ref="M412" ca="1">IF(M$406="", "", IF(ISERROR(PRODUCT(1+OFFSET(M$8, $CC412, 0, 10, 1)%)), "", PRODUCT(1+OFFSET(M$8, $CC412, 0, 10, 1)%)^(1/10)-1))</f>
        <v/>
      </c>
      <c r="N412" s="498" t="str">
        <f t="array" aca="1" ref="N412" ca="1">IF(N$406="", "", IF(ISERROR(PRODUCT(1+OFFSET(N$8, $CC412, 0, 10, 1)%)), "", PRODUCT(1+OFFSET(N$8, $CC412, 0, 10, 1)%)^(1/10)-1))</f>
        <v/>
      </c>
      <c r="O412" s="340" t="str">
        <f t="array" aca="1" ref="O412" ca="1">IF(O$406="", "", IF(ISERROR(PRODUCT(1+OFFSET(O$8, $CC412, 0, 10, 1)%)), "", PRODUCT(1+OFFSET(O$8, $CC412, 0, 10, 1)%)^(1/10)-1))</f>
        <v/>
      </c>
      <c r="P412" s="340" t="str">
        <f t="array" aca="1" ref="P412" ca="1">IF(P$406="", "", IF(ISERROR(PRODUCT(1+OFFSET(P$8, $CC412, 0, 10, 1)%)), "", PRODUCT(1+OFFSET(P$8, $CC412, 0, 10, 1)%)^(1/10)-1))</f>
        <v/>
      </c>
      <c r="Q412" s="340" t="str">
        <f t="array" aca="1" ref="Q412" ca="1">IF(Q$406="", "", IF(ISERROR(PRODUCT(1+OFFSET(Q$8, $CC412, 0, 10, 1)%)), "", PRODUCT(1+OFFSET(Q$8, $CC412, 0, 10, 1)%)^(1/10)-1))</f>
        <v/>
      </c>
      <c r="R412" s="340" t="str">
        <f t="array" aca="1" ref="R412" ca="1">IF(R$406="", "", IF(ISERROR(PRODUCT(1+OFFSET(R$8, $CC412, 0, 10, 1)%)), "", PRODUCT(1+OFFSET(R$8, $CC412, 0, 10, 1)%)^(1/10)-1))</f>
        <v/>
      </c>
      <c r="S412" s="340" t="str">
        <f t="array" aca="1" ref="S412" ca="1">IF(S$406="", "", IF(ISERROR(PRODUCT(1+OFFSET(S$8, $CC412, 0, 10, 1)%)), "", PRODUCT(1+OFFSET(S$8, $CC412, 0, 10, 1)%)^(1/10)-1))</f>
        <v/>
      </c>
      <c r="T412" s="340">
        <f t="array" aca="1" ref="T412" ca="1">IF(T$406="", "", IF(ISERROR(PRODUCT(1+OFFSET(T$8, $CC412, 0, 10, 1)%)), "", PRODUCT(1+OFFSET(T$8, $CC412, 0, 10, 1)%)^(1/10)-1))</f>
        <v>4.9689502537516805E-2</v>
      </c>
      <c r="U412" s="340">
        <f t="array" aca="1" ref="U412" ca="1">IF(U$406="", "", IF(ISERROR(PRODUCT(1+OFFSET(U$8, $CC412, 0, 10, 1)%)), "", PRODUCT(1+OFFSET(U$8, $CC412, 0, 10, 1)%)^(1/10)-1))</f>
        <v>4.9689502537516805E-2</v>
      </c>
      <c r="V412" s="340">
        <f t="array" aca="1" ref="V412" ca="1">IF(V$406="", "", IF(ISERROR(PRODUCT(1+OFFSET(V$8, $CC412, 0, 10, 1)%)), "", PRODUCT(1+OFFSET(V$8, $CC412, 0, 10, 1)%)^(1/10)-1))</f>
        <v>4.7537337091292597E-2</v>
      </c>
      <c r="W412" s="340" t="str">
        <f t="array" aca="1" ref="W412" ca="1">IF(W$406="", "", IF(ISERROR(PRODUCT(1+OFFSET(W$8, $CC412, 0, 10, 1)%)), "", PRODUCT(1+OFFSET(W$8, $CC412, 0, 10, 1)%)^(1/10)-1))</f>
        <v/>
      </c>
      <c r="X412" s="340" t="str">
        <f t="array" aca="1" ref="X412" ca="1">IF(X$406="", "", IF(ISERROR(PRODUCT(1+OFFSET(X$8, $CC412, 0, 10, 1)%)), "", PRODUCT(1+OFFSET(X$8, $CC412, 0, 10, 1)%)^(1/10)-1))</f>
        <v/>
      </c>
      <c r="Y412" s="340" t="str">
        <f t="array" aca="1" ref="Y412" ca="1">IF(Y$406="", "", IF(ISERROR(PRODUCT(1+OFFSET(Y$8, $CC412, 0, 10, 1)%)), "", PRODUCT(1+OFFSET(Y$8, $CC412, 0, 10, 1)%)^(1/10)-1))</f>
        <v/>
      </c>
      <c r="Z412" s="340" t="str">
        <f t="array" aca="1" ref="Z412" ca="1">IF(Z$406="", "", IF(ISERROR(PRODUCT(1+OFFSET(Z$8, $CC412, 0, 10, 1)%)), "", PRODUCT(1+OFFSET(Z$8, $CC412, 0, 10, 1)%)^(1/10)-1))</f>
        <v/>
      </c>
      <c r="AA412" s="340" t="str">
        <f t="array" aca="1" ref="AA412" ca="1">IF(AA$406="", "", IF(ISERROR(PRODUCT(1+OFFSET(AA$8, $CC412, 0, 10, 1)%)), "", PRODUCT(1+OFFSET(AA$8, $CC412, 0, 10, 1)%)^(1/10)-1))</f>
        <v/>
      </c>
      <c r="AB412" s="340" t="str">
        <f t="array" aca="1" ref="AB412" ca="1">IF(AB$406="", "", IF(ISERROR(PRODUCT(1+OFFSET(AB$8, $CC412, 0, 10, 1)%)), "", PRODUCT(1+OFFSET(AB$8, $CC412, 0, 10, 1)%)^(1/10)-1))</f>
        <v/>
      </c>
      <c r="AC412" s="340" t="str">
        <f t="array" aca="1" ref="AC412" ca="1">IF(AC$406="", "", IF(ISERROR(PRODUCT(1+OFFSET(AC$8, $CC412, 0, 10, 1)%)), "", PRODUCT(1+OFFSET(AC$8, $CC412, 0, 10, 1)%)^(1/10)-1))</f>
        <v/>
      </c>
      <c r="AD412" s="340" t="str">
        <f t="array" aca="1" ref="AD412" ca="1">IF(AD$406="", "", IF(ISERROR(PRODUCT(1+OFFSET(AD$8, $CC412, 0, 10, 1)%)), "", PRODUCT(1+OFFSET(AD$8, $CC412, 0, 10, 1)%)^(1/10)-1))</f>
        <v/>
      </c>
      <c r="AE412" s="340" t="str">
        <f t="array" aca="1" ref="AE412" ca="1">IF(AE$406="", "", IF(ISERROR(PRODUCT(1+OFFSET(AE$8, $CC412, 0, 10, 1)%)), "", PRODUCT(1+OFFSET(AE$8, $CC412, 0, 10, 1)%)^(1/10)-1))</f>
        <v/>
      </c>
      <c r="AF412" s="340" t="str">
        <f t="array" aca="1" ref="AF412" ca="1">IF(AF$406="", "", IF(ISERROR(PRODUCT(1+OFFSET(AF$8, $CC412, 0, 10, 1)%)), "", PRODUCT(1+OFFSET(AF$8, $CC412, 0, 10, 1)%)^(1/10)-1))</f>
        <v/>
      </c>
      <c r="AG412" s="340" t="str">
        <f t="array" aca="1" ref="AG412" ca="1">IF(AG$406="", "", IF(ISERROR(PRODUCT(1+OFFSET(AG$8, $CC412, 0, 10, 1)%)), "", PRODUCT(1+OFFSET(AG$8, $CC412, 0, 10, 1)%)^(1/10)-1))</f>
        <v/>
      </c>
      <c r="AH412" s="340" t="str">
        <f t="array" aca="1" ref="AH412" ca="1">IF(AH$406="", "", IF(ISERROR(PRODUCT(1+OFFSET(AH$8, $CC412, 0, 10, 1)%)), "", PRODUCT(1+OFFSET(AH$8, $CC412, 0, 10, 1)%)^(1/10)-1))</f>
        <v/>
      </c>
      <c r="AI412" s="340" t="str">
        <f t="array" aca="1" ref="AI412" ca="1">IF(AI$406="", "", IF(ISERROR(PRODUCT(1+OFFSET(AI$8, $CC412, 0, 10, 1)%)), "", PRODUCT(1+OFFSET(AI$8, $CC412, 0, 10, 1)%)^(1/10)-1))</f>
        <v/>
      </c>
      <c r="AJ412" s="340" t="str">
        <f t="array" aca="1" ref="AJ412" ca="1">IF(AJ$406="", "", IF(ISERROR(PRODUCT(1+OFFSET(AJ$8, $CC412, 0, 10, 1)%)), "", PRODUCT(1+OFFSET(AJ$8, $CC412, 0, 10, 1)%)^(1/10)-1))</f>
        <v/>
      </c>
      <c r="AK412" s="340" t="str">
        <f t="array" aca="1" ref="AK412" ca="1">IF(AK$406="", "", IF(ISERROR(PRODUCT(1+OFFSET(AK$8, $CC412, 0, 10, 1)%)), "", PRODUCT(1+OFFSET(AK$8, $CC412, 0, 10, 1)%)^(1/10)-1))</f>
        <v/>
      </c>
      <c r="AL412" s="340" t="str">
        <f t="array" aca="1" ref="AL412" ca="1">IF(AL$406="", "", IF(ISERROR(PRODUCT(1+OFFSET(AL$8, $CC412, 0, 10, 1)%)), "", PRODUCT(1+OFFSET(AL$8, $CC412, 0, 10, 1)%)^(1/10)-1))</f>
        <v/>
      </c>
      <c r="AM412" s="340" t="str">
        <f t="array" aca="1" ref="AM412" ca="1">IF(AM$406="", "", IF(ISERROR(PRODUCT(1+OFFSET(AM$8, $CC412, 0, 10, 1)%)), "", PRODUCT(1+OFFSET(AM$8, $CC412, 0, 10, 1)%)^(1/10)-1))</f>
        <v/>
      </c>
      <c r="AN412" s="340" t="str">
        <f t="array" aca="1" ref="AN412" ca="1">IF(AN$406="", "", IF(ISERROR(PRODUCT(1+OFFSET(AN$8, $CC412, 0, 10, 1)%)), "", PRODUCT(1+OFFSET(AN$8, $CC412, 0, 10, 1)%)^(1/10)-1))</f>
        <v/>
      </c>
      <c r="AO412" s="340" t="str">
        <f t="array" aca="1" ref="AO412" ca="1">IF(AO$406="", "", IF(ISERROR(PRODUCT(1+OFFSET(AO$8, $CC412, 0, 10, 1)%)), "", PRODUCT(1+OFFSET(AO$8, $CC412, 0, 10, 1)%)^(1/10)-1))</f>
        <v/>
      </c>
      <c r="AP412" s="340" t="str">
        <f t="array" aca="1" ref="AP412" ca="1">IF(AP$406="", "", IF(ISERROR(PRODUCT(1+OFFSET(AP$8, $CC412, 0, 10, 1)%)), "", PRODUCT(1+OFFSET(AP$8, $CC412, 0, 10, 1)%)^(1/10)-1))</f>
        <v/>
      </c>
      <c r="AQ412" s="340" t="str">
        <f t="array" aca="1" ref="AQ412" ca="1">IF(AQ$406="", "", IF(ISERROR(PRODUCT(1+OFFSET(AQ$8, $CC412, 0, 10, 1)%)), "", PRODUCT(1+OFFSET(AQ$8, $CC412, 0, 10, 1)%)^(1/10)-1))</f>
        <v/>
      </c>
      <c r="AR412" s="340" t="str">
        <f t="array" aca="1" ref="AR412" ca="1">IF(AR$406="", "", IF(ISERROR(PRODUCT(1+OFFSET(AR$8, $CC412, 0, 10, 1)%)), "", PRODUCT(1+OFFSET(AR$8, $CC412, 0, 10, 1)%)^(1/10)-1))</f>
        <v/>
      </c>
      <c r="AS412" s="340" t="str">
        <f t="array" aca="1" ref="AS412" ca="1">IF(AS$406="", "", IF(ISERROR(PRODUCT(1+OFFSET(AS$8, $CC412, 0, 10, 1)%)), "", PRODUCT(1+OFFSET(AS$8, $CC412, 0, 10, 1)%)^(1/10)-1))</f>
        <v/>
      </c>
      <c r="AT412" s="340" t="str">
        <f t="array" aca="1" ref="AT412" ca="1">IF(AT$406="", "", IF(ISERROR(PRODUCT(1+OFFSET(AT$8, $CC412, 0, 10, 1)%)), "", PRODUCT(1+OFFSET(AT$8, $CC412, 0, 10, 1)%)^(1/10)-1))</f>
        <v/>
      </c>
      <c r="AU412" s="340" t="str">
        <f t="array" aca="1" ref="AU412" ca="1">IF(AU$406="", "", IF(ISERROR(PRODUCT(1+OFFSET(AU$8, $CC412, 0, 10, 1)%)), "", PRODUCT(1+OFFSET(AU$8, $CC412, 0, 10, 1)%)^(1/10)-1))</f>
        <v/>
      </c>
      <c r="AV412" s="340" t="str">
        <f t="array" aca="1" ref="AV412" ca="1">IF(AV$406="", "", IF(ISERROR(PRODUCT(1+OFFSET(AV$8, $CC412, 0, 10, 1)%)), "", PRODUCT(1+OFFSET(AV$8, $CC412, 0, 10, 1)%)^(1/10)-1))</f>
        <v/>
      </c>
      <c r="AW412" s="340" t="str">
        <f t="array" aca="1" ref="AW412" ca="1">IF(AW$406="", "", IF(ISERROR(PRODUCT(1+OFFSET(AW$8, $CC412, 0, 10, 1)%)), "", PRODUCT(1+OFFSET(AW$8, $CC412, 0, 10, 1)%)^(1/10)-1))</f>
        <v/>
      </c>
      <c r="AX412" s="340" t="str">
        <f t="array" aca="1" ref="AX412" ca="1">IF(AX$406="", "", IF(ISERROR(PRODUCT(1+OFFSET(AX$8, $CC412, 0, 10, 1)%)), "", PRODUCT(1+OFFSET(AX$8, $CC412, 0, 10, 1)%)^(1/10)-1))</f>
        <v/>
      </c>
      <c r="AY412" s="340" t="str">
        <f t="array" aca="1" ref="AY412" ca="1">IF(AY$406="", "", IF(ISERROR(PRODUCT(1+OFFSET(AY$8, $CC412, 0, 10, 1)%)), "", PRODUCT(1+OFFSET(AY$8, $CC412, 0, 10, 1)%)^(1/10)-1))</f>
        <v/>
      </c>
      <c r="AZ412" s="340" t="str">
        <f t="array" aca="1" ref="AZ412" ca="1">IF(AZ$406="", "", IF(ISERROR(PRODUCT(1+OFFSET(AZ$8, $CC412, 0, 10, 1)%)), "", PRODUCT(1+OFFSET(AZ$8, $CC412, 0, 10, 1)%)^(1/10)-1))</f>
        <v/>
      </c>
      <c r="BA412" s="340" t="str">
        <f t="array" aca="1" ref="BA412" ca="1">IF(BA$406="", "", IF(ISERROR(PRODUCT(1+OFFSET(BA$8, $CC412, 0, 10, 1)%)), "", PRODUCT(1+OFFSET(BA$8, $CC412, 0, 10, 1)%)^(1/10)-1))</f>
        <v/>
      </c>
      <c r="BB412" s="340" t="str">
        <f t="array" aca="1" ref="BB412" ca="1">IF(BB$406="", "", IF(ISERROR(PRODUCT(1+OFFSET(BB$8, $CC412, 0, 10, 1)%)), "", PRODUCT(1+OFFSET(BB$8, $CC412, 0, 10, 1)%)^(1/10)-1))</f>
        <v/>
      </c>
      <c r="BC412" s="340" t="str">
        <f t="array" aca="1" ref="BC412" ca="1">IF(BC$406="", "", IF(ISERROR(PRODUCT(1+OFFSET(BC$8, $CC412, 0, 10, 1)%)), "", PRODUCT(1+OFFSET(BC$8, $CC412, 0, 10, 1)%)^(1/10)-1))</f>
        <v/>
      </c>
      <c r="BD412" s="340" t="str">
        <f t="array" aca="1" ref="BD412" ca="1">IF(BD$406="", "", IF(ISERROR(PRODUCT(1+OFFSET(BD$8, $CC412, 0, 10, 1)%)), "", PRODUCT(1+OFFSET(BD$8, $CC412, 0, 10, 1)%)^(1/10)-1))</f>
        <v/>
      </c>
      <c r="BE412" s="340" t="str">
        <f t="array" aca="1" ref="BE412" ca="1">IF(BE$406="", "", IF(ISERROR(PRODUCT(1+OFFSET(BE$8, $CC412, 0, 10, 1)%)), "", PRODUCT(1+OFFSET(BE$8, $CC412, 0, 10, 1)%)^(1/10)-1))</f>
        <v/>
      </c>
      <c r="BF412" s="340" t="str">
        <f t="array" aca="1" ref="BF412" ca="1">IF(BF$406="", "", IF(ISERROR(PRODUCT(1+OFFSET(BF$8, $CC412, 0, 10, 1)%)), "", PRODUCT(1+OFFSET(BF$8, $CC412, 0, 10, 1)%)^(1/10)-1))</f>
        <v/>
      </c>
      <c r="BG412" s="340" t="str">
        <f t="array" aca="1" ref="BG412" ca="1">IF(BG$406="", "", IF(ISERROR(PRODUCT(1+OFFSET(BG$8, $CC412, 0, 10, 1)%)), "", PRODUCT(1+OFFSET(BG$8, $CC412, 0, 10, 1)%)^(1/10)-1))</f>
        <v/>
      </c>
      <c r="BH412" s="340" t="str">
        <f t="array" aca="1" ref="BH412" ca="1">IF(BH$406="", "", IF(ISERROR(PRODUCT(1+OFFSET(BH$8, $CC412, 0, 10, 1)%)), "", PRODUCT(1+OFFSET(BH$8, $CC412, 0, 10, 1)%)^(1/10)-1))</f>
        <v/>
      </c>
      <c r="BI412" s="340" t="str">
        <f t="array" aca="1" ref="BI412" ca="1">IF(BI$406="", "", IF(ISERROR(PRODUCT(1+OFFSET(BI$8, $CC412, 0, 10, 1)%)), "", PRODUCT(1+OFFSET(BI$8, $CC412, 0, 10, 1)%)^(1/10)-1))</f>
        <v/>
      </c>
      <c r="BJ412" s="340" t="str">
        <f t="array" aca="1" ref="BJ412" ca="1">IF(BJ$406="", "", IF(ISERROR(PRODUCT(1+OFFSET(BJ$8, $CC412, 0, 10, 1)%)), "", PRODUCT(1+OFFSET(BJ$8, $CC412, 0, 10, 1)%)^(1/10)-1))</f>
        <v/>
      </c>
      <c r="BK412" s="340" t="str">
        <f t="array" aca="1" ref="BK412" ca="1">IF(BK$406="", "", IF(ISERROR(PRODUCT(1+OFFSET(BK$8, $CC412, 0, 10, 1)%)), "", PRODUCT(1+OFFSET(BK$8, $CC412, 0, 10, 1)%)^(1/10)-1))</f>
        <v/>
      </c>
      <c r="BL412" s="340" t="str">
        <f t="array" aca="1" ref="BL412" ca="1">IF(BL$406="", "", IF(ISERROR(PRODUCT(1+OFFSET(BL$8, $CC412, 0, 10, 1)%)), "", PRODUCT(1+OFFSET(BL$8, $CC412, 0, 10, 1)%)^(1/10)-1))</f>
        <v/>
      </c>
      <c r="BM412" s="340" t="str">
        <f t="array" aca="1" ref="BM412" ca="1">IF(BM$406="", "", IF(ISERROR(PRODUCT(1+OFFSET(BM$8, $CC412, 0, 10, 1)%)), "", PRODUCT(1+OFFSET(BM$8, $CC412, 0, 10, 1)%)^(1/10)-1))</f>
        <v/>
      </c>
      <c r="BN412" s="340" t="str">
        <f t="array" aca="1" ref="BN412" ca="1">IF(BN$406="", "", IF(ISERROR(PRODUCT(1+OFFSET(BN$8, $CC412, 0, 10, 1)%)), "", PRODUCT(1+OFFSET(BN$8, $CC412, 0, 10, 1)%)^(1/10)-1))</f>
        <v/>
      </c>
      <c r="BO412" s="340" t="str">
        <f t="array" aca="1" ref="BO412" ca="1">IF(BO$406="", "", IF(ISERROR(PRODUCT(1+OFFSET(BO$8, $CC412, 0, 10, 1)%)), "", PRODUCT(1+OFFSET(BO$8, $CC412, 0, 10, 1)%)^(1/10)-1))</f>
        <v/>
      </c>
      <c r="BP412" s="340" t="str">
        <f t="array" aca="1" ref="BP412" ca="1">IF(BP$406="", "", IF(ISERROR(PRODUCT(1+OFFSET(BP$8, $CC412, 0, 10, 1)%)), "", PRODUCT(1+OFFSET(BP$8, $CC412, 0, 10, 1)%)^(1/10)-1))</f>
        <v/>
      </c>
      <c r="BQ412" s="340" t="str">
        <f t="array" aca="1" ref="BQ412" ca="1">IF(BQ$406="", "", IF(ISERROR(PRODUCT(1+OFFSET(BQ$8, $CC412, 0, 10, 1)%)), "", PRODUCT(1+OFFSET(BQ$8, $CC412, 0, 10, 1)%)^(1/10)-1))</f>
        <v/>
      </c>
      <c r="BR412" s="340" t="str">
        <f t="array" aca="1" ref="BR412" ca="1">IF(BR$406="", "", IF(ISERROR(PRODUCT(1+OFFSET(BR$8, $CC412, 0, 10, 1)%)), "", PRODUCT(1+OFFSET(BR$8, $CC412, 0, 10, 1)%)^(1/10)-1))</f>
        <v/>
      </c>
      <c r="BS412" s="340" t="str">
        <f t="array" aca="1" ref="BS412" ca="1">IF(BS$406="", "", IF(ISERROR(PRODUCT(1+OFFSET(BS$8, $CC412, 0, 10, 1)%)), "", PRODUCT(1+OFFSET(BS$8, $CC412, 0, 10, 1)%)^(1/10)-1))</f>
        <v/>
      </c>
      <c r="BT412" s="340" t="str">
        <f t="array" aca="1" ref="BT412" ca="1">IF(BT$406="", "", IF(ISERROR(PRODUCT(1+OFFSET(BT$8, $CC412, 0, 10, 1)%)), "", PRODUCT(1+OFFSET(BT$8, $CC412, 0, 10, 1)%)^(1/10)-1))</f>
        <v/>
      </c>
      <c r="BU412" s="340" t="str">
        <f t="array" aca="1" ref="BU412" ca="1">IF(BU$406="", "", IF(ISERROR(PRODUCT(1+OFFSET(BU$8, $CC412, 0, 10, 1)%)), "", PRODUCT(1+OFFSET(BU$8, $CC412, 0, 10, 1)%)^(1/10)-1))</f>
        <v/>
      </c>
      <c r="BV412" s="340" t="str">
        <f t="array" aca="1" ref="BV412" ca="1">IF(BV$406="", "", IF(ISERROR(PRODUCT(1+OFFSET(BV$8, $CC412, 0, 10, 1)%)), "", PRODUCT(1+OFFSET(BV$8, $CC412, 0, 10, 1)%)^(1/10)-1))</f>
        <v/>
      </c>
      <c r="BW412" s="340" t="str">
        <f t="array" aca="1" ref="BW412" ca="1">IF(BW$406="", "", IF(ISERROR(PRODUCT(1+OFFSET(BW$8, $CC412, 0, 10, 1)%)), "", PRODUCT(1+OFFSET(BW$8, $CC412, 0, 10, 1)%)^(1/10)-1))</f>
        <v/>
      </c>
      <c r="BX412" s="340">
        <f t="array" aca="1" ref="BX412" ca="1">IF(BX$406="", "", IF(ISERROR(PRODUCT(1+OFFSET(BX$8, $CC412, 0, 10, 1)%)), "", PRODUCT(1+OFFSET(BX$8, $CC412, 0, 10, 1)%)^(1/10)-1))</f>
        <v>0.1401983986264046</v>
      </c>
      <c r="BY412" s="340">
        <f t="array" aca="1" ref="BY412" ca="1">IF(BY$406="", "", IF(ISERROR(PRODUCT(1+OFFSET(BY$8, $CC412, 0, 10, 1)%)), "", PRODUCT(1+OFFSET(BY$8, $CC412, 0, 10, 1)%)^(1/10)-1))</f>
        <v>5.1788881542591758E-2</v>
      </c>
      <c r="BZ412" s="340">
        <f t="array" aca="1" ref="BZ412" ca="1">IF(BZ$406="", "", IF(ISERROR(PRODUCT(1+OFFSET(BZ$8, $CC412, 0, 10, 1)%)), "", PRODUCT(1+OFFSET(BZ$8, $CC412, 0, 10, 1)%)^(1/10)-1))</f>
        <v>4.8480120694674778E-2</v>
      </c>
      <c r="CA412" s="532">
        <f t="array" aca="1" ref="CA412" ca="1">IF(CA$406="", "", IF(ISERROR(PRODUCT(1+OFFSET(CA$8, $CC412, 0, 10, 1)%)), "", PRODUCT(1+OFFSET(CA$8, $CC412, 0, 10, 1)%)^(1/10)-1))</f>
        <v>-1.765429123341522E-2</v>
      </c>
      <c r="CC412" s="482">
        <f t="shared" si="551"/>
        <v>50</v>
      </c>
    </row>
    <row r="413" spans="1:81" ht="14">
      <c r="A413" s="338" t="str">
        <f t="shared" si="550"/>
        <v>1931-1940</v>
      </c>
      <c r="B413" s="339">
        <f t="array" aca="1" ref="B413" ca="1">IF(B$406="", "", IF(ISERROR(PRODUCT(1+OFFSET(B$8, $CC413, 0, 10, 1)%)), "", PRODUCT(1+OFFSET(B$8, $CC413, 0, 10, 1)%)^(1/10)-1))</f>
        <v>1.1192127557458464E-2</v>
      </c>
      <c r="C413" s="340" t="str">
        <f t="array" aca="1" ref="C413" ca="1">IF(C$406="", "", IF(ISERROR(PRODUCT(1+OFFSET(C$8, $CC413, 0, 10, 1)%)), "", PRODUCT(1+OFFSET(C$8, $CC413, 0, 10, 1)%)^(1/10)-1))</f>
        <v/>
      </c>
      <c r="D413" s="340">
        <f t="array" aca="1" ref="D413" ca="1">IF(D$406="", "", IF(ISERROR(PRODUCT(1+OFFSET(D$8, $CC413, 0, 10, 1)%)), "", PRODUCT(1+OFFSET(D$8, $CC413, 0, 10, 1)%)^(1/10)-1))</f>
        <v>1.1192127557458464E-2</v>
      </c>
      <c r="E413" s="340" t="str">
        <f t="array" aca="1" ref="E413" ca="1">IF(E$406="", "", IF(ISERROR(PRODUCT(1+OFFSET(E$8, $CC413, 0, 10, 1)%)), "", PRODUCT(1+OFFSET(E$8, $CC413, 0, 10, 1)%)^(1/10)-1))</f>
        <v/>
      </c>
      <c r="F413" s="340" t="str">
        <f t="array" aca="1" ref="F413" ca="1">IF(F$406="", "", IF(ISERROR(PRODUCT(1+OFFSET(F$8, $CC413, 0, 10, 1)%)), "", PRODUCT(1+OFFSET(F$8, $CC413, 0, 10, 1)%)^(1/10)-1))</f>
        <v/>
      </c>
      <c r="G413" s="340" t="str">
        <f t="array" aca="1" ref="G413" ca="1">IF(G$406="", "", IF(ISERROR(PRODUCT(1+OFFSET(G$8, $CC413, 0, 10, 1)%)), "", PRODUCT(1+OFFSET(G$8, $CC413, 0, 10, 1)%)^(1/10)-1))</f>
        <v/>
      </c>
      <c r="H413" s="340" t="str">
        <f t="array" aca="1" ref="H413" ca="1">IF(H$406="", "", IF(ISERROR(PRODUCT(1+OFFSET(H$8, $CC413, 0, 10, 1)%)), "", PRODUCT(1+OFFSET(H$8, $CC413, 0, 10, 1)%)^(1/10)-1))</f>
        <v/>
      </c>
      <c r="I413" s="340" t="str">
        <f t="array" aca="1" ref="I413" ca="1">IF(I$406="", "", IF(ISERROR(PRODUCT(1+OFFSET(I$8, $CC413, 0, 10, 1)%)), "", PRODUCT(1+OFFSET(I$8, $CC413, 0, 10, 1)%)^(1/10)-1))</f>
        <v/>
      </c>
      <c r="J413" s="340" t="str">
        <f t="array" aca="1" ref="J413" ca="1">IF(J$406="", "", IF(ISERROR(PRODUCT(1+OFFSET(J$8, $CC413, 0, 10, 1)%)), "", PRODUCT(1+OFFSET(J$8, $CC413, 0, 10, 1)%)^(1/10)-1))</f>
        <v/>
      </c>
      <c r="K413" s="340" t="str">
        <f t="array" aca="1" ref="K413" ca="1">IF(K$406="", "", IF(ISERROR(PRODUCT(1+OFFSET(K$8, $CC413, 0, 10, 1)%)), "", PRODUCT(1+OFFSET(K$8, $CC413, 0, 10, 1)%)^(1/10)-1))</f>
        <v/>
      </c>
      <c r="L413" s="340" t="str">
        <f t="array" aca="1" ref="L413" ca="1">IF(L$406="", "", IF(ISERROR(PRODUCT(1+OFFSET(L$8, $CC413, 0, 10, 1)%)), "", PRODUCT(1+OFFSET(L$8, $CC413, 0, 10, 1)%)^(1/10)-1))</f>
        <v/>
      </c>
      <c r="M413" s="340" t="str">
        <f t="array" aca="1" ref="M413" ca="1">IF(M$406="", "", IF(ISERROR(PRODUCT(1+OFFSET(M$8, $CC413, 0, 10, 1)%)), "", PRODUCT(1+OFFSET(M$8, $CC413, 0, 10, 1)%)^(1/10)-1))</f>
        <v/>
      </c>
      <c r="N413" s="498" t="str">
        <f t="array" aca="1" ref="N413" ca="1">IF(N$406="", "", IF(ISERROR(PRODUCT(1+OFFSET(N$8, $CC413, 0, 10, 1)%)), "", PRODUCT(1+OFFSET(N$8, $CC413, 0, 10, 1)%)^(1/10)-1))</f>
        <v/>
      </c>
      <c r="O413" s="340" t="str">
        <f t="array" aca="1" ref="O413" ca="1">IF(O$406="", "", IF(ISERROR(PRODUCT(1+OFFSET(O$8, $CC413, 0, 10, 1)%)), "", PRODUCT(1+OFFSET(O$8, $CC413, 0, 10, 1)%)^(1/10)-1))</f>
        <v/>
      </c>
      <c r="P413" s="340" t="str">
        <f t="array" aca="1" ref="P413" ca="1">IF(P$406="", "", IF(ISERROR(PRODUCT(1+OFFSET(P$8, $CC413, 0, 10, 1)%)), "", PRODUCT(1+OFFSET(P$8, $CC413, 0, 10, 1)%)^(1/10)-1))</f>
        <v/>
      </c>
      <c r="Q413" s="340" t="str">
        <f t="array" aca="1" ref="Q413" ca="1">IF(Q$406="", "", IF(ISERROR(PRODUCT(1+OFFSET(Q$8, $CC413, 0, 10, 1)%)), "", PRODUCT(1+OFFSET(Q$8, $CC413, 0, 10, 1)%)^(1/10)-1))</f>
        <v/>
      </c>
      <c r="R413" s="340" t="str">
        <f t="array" aca="1" ref="R413" ca="1">IF(R$406="", "", IF(ISERROR(PRODUCT(1+OFFSET(R$8, $CC413, 0, 10, 1)%)), "", PRODUCT(1+OFFSET(R$8, $CC413, 0, 10, 1)%)^(1/10)-1))</f>
        <v/>
      </c>
      <c r="S413" s="340" t="str">
        <f t="array" aca="1" ref="S413" ca="1">IF(S$406="", "", IF(ISERROR(PRODUCT(1+OFFSET(S$8, $CC413, 0, 10, 1)%)), "", PRODUCT(1+OFFSET(S$8, $CC413, 0, 10, 1)%)^(1/10)-1))</f>
        <v/>
      </c>
      <c r="T413" s="340">
        <f t="array" aca="1" ref="T413" ca="1">IF(T$406="", "", IF(ISERROR(PRODUCT(1+OFFSET(T$8, $CC413, 0, 10, 1)%)), "", PRODUCT(1+OFFSET(T$8, $CC413, 0, 10, 1)%)^(1/10)-1))</f>
        <v>3.5755445085700499E-2</v>
      </c>
      <c r="U413" s="340">
        <f t="array" aca="1" ref="U413" ca="1">IF(U$406="", "", IF(ISERROR(PRODUCT(1+OFFSET(U$8, $CC413, 0, 10, 1)%)), "", PRODUCT(1+OFFSET(U$8, $CC413, 0, 10, 1)%)^(1/10)-1))</f>
        <v>3.5755445085700499E-2</v>
      </c>
      <c r="V413" s="340">
        <f t="array" aca="1" ref="V413" ca="1">IF(V$406="", "", IF(ISERROR(PRODUCT(1+OFFSET(V$8, $CC413, 0, 10, 1)%)), "", PRODUCT(1+OFFSET(V$8, $CC413, 0, 10, 1)%)^(1/10)-1))</f>
        <v>1.1691915677914944E-2</v>
      </c>
      <c r="W413" s="340" t="str">
        <f t="array" aca="1" ref="W413" ca="1">IF(W$406="", "", IF(ISERROR(PRODUCT(1+OFFSET(W$8, $CC413, 0, 10, 1)%)), "", PRODUCT(1+OFFSET(W$8, $CC413, 0, 10, 1)%)^(1/10)-1))</f>
        <v/>
      </c>
      <c r="X413" s="340" t="str">
        <f t="array" aca="1" ref="X413" ca="1">IF(X$406="", "", IF(ISERROR(PRODUCT(1+OFFSET(X$8, $CC413, 0, 10, 1)%)), "", PRODUCT(1+OFFSET(X$8, $CC413, 0, 10, 1)%)^(1/10)-1))</f>
        <v/>
      </c>
      <c r="Y413" s="340" t="str">
        <f t="array" aca="1" ref="Y413" ca="1">IF(Y$406="", "", IF(ISERROR(PRODUCT(1+OFFSET(Y$8, $CC413, 0, 10, 1)%)), "", PRODUCT(1+OFFSET(Y$8, $CC413, 0, 10, 1)%)^(1/10)-1))</f>
        <v/>
      </c>
      <c r="Z413" s="340" t="str">
        <f t="array" aca="1" ref="Z413" ca="1">IF(Z$406="", "", IF(ISERROR(PRODUCT(1+OFFSET(Z$8, $CC413, 0, 10, 1)%)), "", PRODUCT(1+OFFSET(Z$8, $CC413, 0, 10, 1)%)^(1/10)-1))</f>
        <v/>
      </c>
      <c r="AA413" s="340" t="str">
        <f t="array" aca="1" ref="AA413" ca="1">IF(AA$406="", "", IF(ISERROR(PRODUCT(1+OFFSET(AA$8, $CC413, 0, 10, 1)%)), "", PRODUCT(1+OFFSET(AA$8, $CC413, 0, 10, 1)%)^(1/10)-1))</f>
        <v/>
      </c>
      <c r="AB413" s="340" t="str">
        <f t="array" aca="1" ref="AB413" ca="1">IF(AB$406="", "", IF(ISERROR(PRODUCT(1+OFFSET(AB$8, $CC413, 0, 10, 1)%)), "", PRODUCT(1+OFFSET(AB$8, $CC413, 0, 10, 1)%)^(1/10)-1))</f>
        <v/>
      </c>
      <c r="AC413" s="340" t="str">
        <f t="array" aca="1" ref="AC413" ca="1">IF(AC$406="", "", IF(ISERROR(PRODUCT(1+OFFSET(AC$8, $CC413, 0, 10, 1)%)), "", PRODUCT(1+OFFSET(AC$8, $CC413, 0, 10, 1)%)^(1/10)-1))</f>
        <v/>
      </c>
      <c r="AD413" s="340" t="str">
        <f t="array" aca="1" ref="AD413" ca="1">IF(AD$406="", "", IF(ISERROR(PRODUCT(1+OFFSET(AD$8, $CC413, 0, 10, 1)%)), "", PRODUCT(1+OFFSET(AD$8, $CC413, 0, 10, 1)%)^(1/10)-1))</f>
        <v/>
      </c>
      <c r="AE413" s="340" t="str">
        <f t="array" aca="1" ref="AE413" ca="1">IF(AE$406="", "", IF(ISERROR(PRODUCT(1+OFFSET(AE$8, $CC413, 0, 10, 1)%)), "", PRODUCT(1+OFFSET(AE$8, $CC413, 0, 10, 1)%)^(1/10)-1))</f>
        <v/>
      </c>
      <c r="AF413" s="340" t="str">
        <f t="array" aca="1" ref="AF413" ca="1">IF(AF$406="", "", IF(ISERROR(PRODUCT(1+OFFSET(AF$8, $CC413, 0, 10, 1)%)), "", PRODUCT(1+OFFSET(AF$8, $CC413, 0, 10, 1)%)^(1/10)-1))</f>
        <v/>
      </c>
      <c r="AG413" s="340" t="str">
        <f t="array" aca="1" ref="AG413" ca="1">IF(AG$406="", "", IF(ISERROR(PRODUCT(1+OFFSET(AG$8, $CC413, 0, 10, 1)%)), "", PRODUCT(1+OFFSET(AG$8, $CC413, 0, 10, 1)%)^(1/10)-1))</f>
        <v/>
      </c>
      <c r="AH413" s="340" t="str">
        <f t="array" aca="1" ref="AH413" ca="1">IF(AH$406="", "", IF(ISERROR(PRODUCT(1+OFFSET(AH$8, $CC413, 0, 10, 1)%)), "", PRODUCT(1+OFFSET(AH$8, $CC413, 0, 10, 1)%)^(1/10)-1))</f>
        <v/>
      </c>
      <c r="AI413" s="340" t="str">
        <f t="array" aca="1" ref="AI413" ca="1">IF(AI$406="", "", IF(ISERROR(PRODUCT(1+OFFSET(AI$8, $CC413, 0, 10, 1)%)), "", PRODUCT(1+OFFSET(AI$8, $CC413, 0, 10, 1)%)^(1/10)-1))</f>
        <v/>
      </c>
      <c r="AJ413" s="340" t="str">
        <f t="array" aca="1" ref="AJ413" ca="1">IF(AJ$406="", "", IF(ISERROR(PRODUCT(1+OFFSET(AJ$8, $CC413, 0, 10, 1)%)), "", PRODUCT(1+OFFSET(AJ$8, $CC413, 0, 10, 1)%)^(1/10)-1))</f>
        <v/>
      </c>
      <c r="AK413" s="340" t="str">
        <f t="array" aca="1" ref="AK413" ca="1">IF(AK$406="", "", IF(ISERROR(PRODUCT(1+OFFSET(AK$8, $CC413, 0, 10, 1)%)), "", PRODUCT(1+OFFSET(AK$8, $CC413, 0, 10, 1)%)^(1/10)-1))</f>
        <v/>
      </c>
      <c r="AL413" s="340" t="str">
        <f t="array" aca="1" ref="AL413" ca="1">IF(AL$406="", "", IF(ISERROR(PRODUCT(1+OFFSET(AL$8, $CC413, 0, 10, 1)%)), "", PRODUCT(1+OFFSET(AL$8, $CC413, 0, 10, 1)%)^(1/10)-1))</f>
        <v/>
      </c>
      <c r="AM413" s="340" t="str">
        <f t="array" aca="1" ref="AM413" ca="1">IF(AM$406="", "", IF(ISERROR(PRODUCT(1+OFFSET(AM$8, $CC413, 0, 10, 1)%)), "", PRODUCT(1+OFFSET(AM$8, $CC413, 0, 10, 1)%)^(1/10)-1))</f>
        <v/>
      </c>
      <c r="AN413" s="340" t="str">
        <f t="array" aca="1" ref="AN413" ca="1">IF(AN$406="", "", IF(ISERROR(PRODUCT(1+OFFSET(AN$8, $CC413, 0, 10, 1)%)), "", PRODUCT(1+OFFSET(AN$8, $CC413, 0, 10, 1)%)^(1/10)-1))</f>
        <v/>
      </c>
      <c r="AO413" s="340" t="str">
        <f t="array" aca="1" ref="AO413" ca="1">IF(AO$406="", "", IF(ISERROR(PRODUCT(1+OFFSET(AO$8, $CC413, 0, 10, 1)%)), "", PRODUCT(1+OFFSET(AO$8, $CC413, 0, 10, 1)%)^(1/10)-1))</f>
        <v/>
      </c>
      <c r="AP413" s="340" t="str">
        <f t="array" aca="1" ref="AP413" ca="1">IF(AP$406="", "", IF(ISERROR(PRODUCT(1+OFFSET(AP$8, $CC413, 0, 10, 1)%)), "", PRODUCT(1+OFFSET(AP$8, $CC413, 0, 10, 1)%)^(1/10)-1))</f>
        <v/>
      </c>
      <c r="AQ413" s="340" t="str">
        <f t="array" aca="1" ref="AQ413" ca="1">IF(AQ$406="", "", IF(ISERROR(PRODUCT(1+OFFSET(AQ$8, $CC413, 0, 10, 1)%)), "", PRODUCT(1+OFFSET(AQ$8, $CC413, 0, 10, 1)%)^(1/10)-1))</f>
        <v/>
      </c>
      <c r="AR413" s="340" t="str">
        <f t="array" aca="1" ref="AR413" ca="1">IF(AR$406="", "", IF(ISERROR(PRODUCT(1+OFFSET(AR$8, $CC413, 0, 10, 1)%)), "", PRODUCT(1+OFFSET(AR$8, $CC413, 0, 10, 1)%)^(1/10)-1))</f>
        <v/>
      </c>
      <c r="AS413" s="340" t="str">
        <f t="array" aca="1" ref="AS413" ca="1">IF(AS$406="", "", IF(ISERROR(PRODUCT(1+OFFSET(AS$8, $CC413, 0, 10, 1)%)), "", PRODUCT(1+OFFSET(AS$8, $CC413, 0, 10, 1)%)^(1/10)-1))</f>
        <v/>
      </c>
      <c r="AT413" s="340" t="str">
        <f t="array" aca="1" ref="AT413" ca="1">IF(AT$406="", "", IF(ISERROR(PRODUCT(1+OFFSET(AT$8, $CC413, 0, 10, 1)%)), "", PRODUCT(1+OFFSET(AT$8, $CC413, 0, 10, 1)%)^(1/10)-1))</f>
        <v/>
      </c>
      <c r="AU413" s="340" t="str">
        <f t="array" aca="1" ref="AU413" ca="1">IF(AU$406="", "", IF(ISERROR(PRODUCT(1+OFFSET(AU$8, $CC413, 0, 10, 1)%)), "", PRODUCT(1+OFFSET(AU$8, $CC413, 0, 10, 1)%)^(1/10)-1))</f>
        <v/>
      </c>
      <c r="AV413" s="340" t="str">
        <f t="array" aca="1" ref="AV413" ca="1">IF(AV$406="", "", IF(ISERROR(PRODUCT(1+OFFSET(AV$8, $CC413, 0, 10, 1)%)), "", PRODUCT(1+OFFSET(AV$8, $CC413, 0, 10, 1)%)^(1/10)-1))</f>
        <v/>
      </c>
      <c r="AW413" s="340" t="str">
        <f t="array" aca="1" ref="AW413" ca="1">IF(AW$406="", "", IF(ISERROR(PRODUCT(1+OFFSET(AW$8, $CC413, 0, 10, 1)%)), "", PRODUCT(1+OFFSET(AW$8, $CC413, 0, 10, 1)%)^(1/10)-1))</f>
        <v/>
      </c>
      <c r="AX413" s="340" t="str">
        <f t="array" aca="1" ref="AX413" ca="1">IF(AX$406="", "", IF(ISERROR(PRODUCT(1+OFFSET(AX$8, $CC413, 0, 10, 1)%)), "", PRODUCT(1+OFFSET(AX$8, $CC413, 0, 10, 1)%)^(1/10)-1))</f>
        <v/>
      </c>
      <c r="AY413" s="340" t="str">
        <f t="array" aca="1" ref="AY413" ca="1">IF(AY$406="", "", IF(ISERROR(PRODUCT(1+OFFSET(AY$8, $CC413, 0, 10, 1)%)), "", PRODUCT(1+OFFSET(AY$8, $CC413, 0, 10, 1)%)^(1/10)-1))</f>
        <v/>
      </c>
      <c r="AZ413" s="340" t="str">
        <f t="array" aca="1" ref="AZ413" ca="1">IF(AZ$406="", "", IF(ISERROR(PRODUCT(1+OFFSET(AZ$8, $CC413, 0, 10, 1)%)), "", PRODUCT(1+OFFSET(AZ$8, $CC413, 0, 10, 1)%)^(1/10)-1))</f>
        <v/>
      </c>
      <c r="BA413" s="340" t="str">
        <f t="array" aca="1" ref="BA413" ca="1">IF(BA$406="", "", IF(ISERROR(PRODUCT(1+OFFSET(BA$8, $CC413, 0, 10, 1)%)), "", PRODUCT(1+OFFSET(BA$8, $CC413, 0, 10, 1)%)^(1/10)-1))</f>
        <v/>
      </c>
      <c r="BB413" s="340" t="str">
        <f t="array" aca="1" ref="BB413" ca="1">IF(BB$406="", "", IF(ISERROR(PRODUCT(1+OFFSET(BB$8, $CC413, 0, 10, 1)%)), "", PRODUCT(1+OFFSET(BB$8, $CC413, 0, 10, 1)%)^(1/10)-1))</f>
        <v/>
      </c>
      <c r="BC413" s="340" t="str">
        <f t="array" aca="1" ref="BC413" ca="1">IF(BC$406="", "", IF(ISERROR(PRODUCT(1+OFFSET(BC$8, $CC413, 0, 10, 1)%)), "", PRODUCT(1+OFFSET(BC$8, $CC413, 0, 10, 1)%)^(1/10)-1))</f>
        <v/>
      </c>
      <c r="BD413" s="340" t="str">
        <f t="array" aca="1" ref="BD413" ca="1">IF(BD$406="", "", IF(ISERROR(PRODUCT(1+OFFSET(BD$8, $CC413, 0, 10, 1)%)), "", PRODUCT(1+OFFSET(BD$8, $CC413, 0, 10, 1)%)^(1/10)-1))</f>
        <v/>
      </c>
      <c r="BE413" s="340" t="str">
        <f t="array" aca="1" ref="BE413" ca="1">IF(BE$406="", "", IF(ISERROR(PRODUCT(1+OFFSET(BE$8, $CC413, 0, 10, 1)%)), "", PRODUCT(1+OFFSET(BE$8, $CC413, 0, 10, 1)%)^(1/10)-1))</f>
        <v/>
      </c>
      <c r="BF413" s="340" t="str">
        <f t="array" aca="1" ref="BF413" ca="1">IF(BF$406="", "", IF(ISERROR(PRODUCT(1+OFFSET(BF$8, $CC413, 0, 10, 1)%)), "", PRODUCT(1+OFFSET(BF$8, $CC413, 0, 10, 1)%)^(1/10)-1))</f>
        <v/>
      </c>
      <c r="BG413" s="340" t="str">
        <f t="array" aca="1" ref="BG413" ca="1">IF(BG$406="", "", IF(ISERROR(PRODUCT(1+OFFSET(BG$8, $CC413, 0, 10, 1)%)), "", PRODUCT(1+OFFSET(BG$8, $CC413, 0, 10, 1)%)^(1/10)-1))</f>
        <v/>
      </c>
      <c r="BH413" s="340" t="str">
        <f t="array" aca="1" ref="BH413" ca="1">IF(BH$406="", "", IF(ISERROR(PRODUCT(1+OFFSET(BH$8, $CC413, 0, 10, 1)%)), "", PRODUCT(1+OFFSET(BH$8, $CC413, 0, 10, 1)%)^(1/10)-1))</f>
        <v/>
      </c>
      <c r="BI413" s="340" t="str">
        <f t="array" aca="1" ref="BI413" ca="1">IF(BI$406="", "", IF(ISERROR(PRODUCT(1+OFFSET(BI$8, $CC413, 0, 10, 1)%)), "", PRODUCT(1+OFFSET(BI$8, $CC413, 0, 10, 1)%)^(1/10)-1))</f>
        <v/>
      </c>
      <c r="BJ413" s="340" t="str">
        <f t="array" aca="1" ref="BJ413" ca="1">IF(BJ$406="", "", IF(ISERROR(PRODUCT(1+OFFSET(BJ$8, $CC413, 0, 10, 1)%)), "", PRODUCT(1+OFFSET(BJ$8, $CC413, 0, 10, 1)%)^(1/10)-1))</f>
        <v/>
      </c>
      <c r="BK413" s="340" t="str">
        <f t="array" aca="1" ref="BK413" ca="1">IF(BK$406="", "", IF(ISERROR(PRODUCT(1+OFFSET(BK$8, $CC413, 0, 10, 1)%)), "", PRODUCT(1+OFFSET(BK$8, $CC413, 0, 10, 1)%)^(1/10)-1))</f>
        <v/>
      </c>
      <c r="BL413" s="340" t="str">
        <f t="array" aca="1" ref="BL413" ca="1">IF(BL$406="", "", IF(ISERROR(PRODUCT(1+OFFSET(BL$8, $CC413, 0, 10, 1)%)), "", PRODUCT(1+OFFSET(BL$8, $CC413, 0, 10, 1)%)^(1/10)-1))</f>
        <v/>
      </c>
      <c r="BM413" s="340" t="str">
        <f t="array" aca="1" ref="BM413" ca="1">IF(BM$406="", "", IF(ISERROR(PRODUCT(1+OFFSET(BM$8, $CC413, 0, 10, 1)%)), "", PRODUCT(1+OFFSET(BM$8, $CC413, 0, 10, 1)%)^(1/10)-1))</f>
        <v/>
      </c>
      <c r="BN413" s="340" t="str">
        <f t="array" aca="1" ref="BN413" ca="1">IF(BN$406="", "", IF(ISERROR(PRODUCT(1+OFFSET(BN$8, $CC413, 0, 10, 1)%)), "", PRODUCT(1+OFFSET(BN$8, $CC413, 0, 10, 1)%)^(1/10)-1))</f>
        <v/>
      </c>
      <c r="BO413" s="340" t="str">
        <f t="array" aca="1" ref="BO413" ca="1">IF(BO$406="", "", IF(ISERROR(PRODUCT(1+OFFSET(BO$8, $CC413, 0, 10, 1)%)), "", PRODUCT(1+OFFSET(BO$8, $CC413, 0, 10, 1)%)^(1/10)-1))</f>
        <v/>
      </c>
      <c r="BP413" s="340" t="str">
        <f t="array" aca="1" ref="BP413" ca="1">IF(BP$406="", "", IF(ISERROR(PRODUCT(1+OFFSET(BP$8, $CC413, 0, 10, 1)%)), "", PRODUCT(1+OFFSET(BP$8, $CC413, 0, 10, 1)%)^(1/10)-1))</f>
        <v/>
      </c>
      <c r="BQ413" s="340" t="str">
        <f t="array" aca="1" ref="BQ413" ca="1">IF(BQ$406="", "", IF(ISERROR(PRODUCT(1+OFFSET(BQ$8, $CC413, 0, 10, 1)%)), "", PRODUCT(1+OFFSET(BQ$8, $CC413, 0, 10, 1)%)^(1/10)-1))</f>
        <v/>
      </c>
      <c r="BR413" s="340" t="str">
        <f t="array" aca="1" ref="BR413" ca="1">IF(BR$406="", "", IF(ISERROR(PRODUCT(1+OFFSET(BR$8, $CC413, 0, 10, 1)%)), "", PRODUCT(1+OFFSET(BR$8, $CC413, 0, 10, 1)%)^(1/10)-1))</f>
        <v/>
      </c>
      <c r="BS413" s="340" t="str">
        <f t="array" aca="1" ref="BS413" ca="1">IF(BS$406="", "", IF(ISERROR(PRODUCT(1+OFFSET(BS$8, $CC413, 0, 10, 1)%)), "", PRODUCT(1+OFFSET(BS$8, $CC413, 0, 10, 1)%)^(1/10)-1))</f>
        <v/>
      </c>
      <c r="BT413" s="340" t="str">
        <f t="array" aca="1" ref="BT413" ca="1">IF(BT$406="", "", IF(ISERROR(PRODUCT(1+OFFSET(BT$8, $CC413, 0, 10, 1)%)), "", PRODUCT(1+OFFSET(BT$8, $CC413, 0, 10, 1)%)^(1/10)-1))</f>
        <v/>
      </c>
      <c r="BU413" s="340" t="str">
        <f t="array" aca="1" ref="BU413" ca="1">IF(BU$406="", "", IF(ISERROR(PRODUCT(1+OFFSET(BU$8, $CC413, 0, 10, 1)%)), "", PRODUCT(1+OFFSET(BU$8, $CC413, 0, 10, 1)%)^(1/10)-1))</f>
        <v/>
      </c>
      <c r="BV413" s="340" t="str">
        <f t="array" aca="1" ref="BV413" ca="1">IF(BV$406="", "", IF(ISERROR(PRODUCT(1+OFFSET(BV$8, $CC413, 0, 10, 1)%)), "", PRODUCT(1+OFFSET(BV$8, $CC413, 0, 10, 1)%)^(1/10)-1))</f>
        <v/>
      </c>
      <c r="BW413" s="340" t="str">
        <f t="array" aca="1" ref="BW413" ca="1">IF(BW$406="", "", IF(ISERROR(PRODUCT(1+OFFSET(BW$8, $CC413, 0, 10, 1)%)), "", PRODUCT(1+OFFSET(BW$8, $CC413, 0, 10, 1)%)^(1/10)-1))</f>
        <v/>
      </c>
      <c r="BX413" s="340">
        <f t="array" aca="1" ref="BX413" ca="1">IF(BX$406="", "", IF(ISERROR(PRODUCT(1+OFFSET(BX$8, $CC413, 0, 10, 1)%)), "", PRODUCT(1+OFFSET(BX$8, $CC413, 0, 10, 1)%)^(1/10)-1))</f>
        <v>1.2911154174306105E-2</v>
      </c>
      <c r="BY413" s="340">
        <f t="array" aca="1" ref="BY413" ca="1">IF(BY$406="", "", IF(ISERROR(PRODUCT(1+OFFSET(BY$8, $CC413, 0, 10, 1)%)), "", PRODUCT(1+OFFSET(BY$8, $CC413, 0, 10, 1)%)^(1/10)-1))</f>
        <v>3.7826955975871934E-2</v>
      </c>
      <c r="BZ413" s="340">
        <f t="array" aca="1" ref="BZ413" ca="1">IF(BZ$406="", "", IF(ISERROR(PRODUCT(1+OFFSET(BZ$8, $CC413, 0, 10, 1)%)), "", PRODUCT(1+OFFSET(BZ$8, $CC413, 0, 10, 1)%)^(1/10)-1))</f>
        <v>1.2602438402024907E-2</v>
      </c>
      <c r="CA413" s="532">
        <f t="array" aca="1" ref="CA413" ca="1">IF(CA$406="", "", IF(ISERROR(PRODUCT(1+OFFSET(CA$8, $CC413, 0, 10, 1)%)), "", PRODUCT(1+OFFSET(CA$8, $CC413, 0, 10, 1)%)^(1/10)-1))</f>
        <v>-1.1942546080079941E-2</v>
      </c>
      <c r="CC413" s="482">
        <f t="shared" si="551"/>
        <v>60</v>
      </c>
    </row>
    <row r="414" spans="1:81" ht="14">
      <c r="A414" s="338" t="str">
        <f t="shared" si="550"/>
        <v>1941-1950</v>
      </c>
      <c r="B414" s="339">
        <f t="array" aca="1" ref="B414" ca="1">IF(B$406="", "", IF(ISERROR(PRODUCT(1+OFFSET(B$8, $CC414, 0, 10, 1)%)), "", PRODUCT(1+OFFSET(B$8, $CC414, 0, 10, 1)%)^(1/10)-1))</f>
        <v>0.13191167946460114</v>
      </c>
      <c r="C414" s="340" t="str">
        <f t="array" aca="1" ref="C414" ca="1">IF(C$406="", "", IF(ISERROR(PRODUCT(1+OFFSET(C$8, $CC414, 0, 10, 1)%)), "", PRODUCT(1+OFFSET(C$8, $CC414, 0, 10, 1)%)^(1/10)-1))</f>
        <v/>
      </c>
      <c r="D414" s="340">
        <f t="array" aca="1" ref="D414" ca="1">IF(D$406="", "", IF(ISERROR(PRODUCT(1+OFFSET(D$8, $CC414, 0, 10, 1)%)), "", PRODUCT(1+OFFSET(D$8, $CC414, 0, 10, 1)%)^(1/10)-1))</f>
        <v>0.13191167946460114</v>
      </c>
      <c r="E414" s="340" t="str">
        <f t="array" aca="1" ref="E414" ca="1">IF(E$406="", "", IF(ISERROR(PRODUCT(1+OFFSET(E$8, $CC414, 0, 10, 1)%)), "", PRODUCT(1+OFFSET(E$8, $CC414, 0, 10, 1)%)^(1/10)-1))</f>
        <v/>
      </c>
      <c r="F414" s="340" t="str">
        <f t="array" aca="1" ref="F414" ca="1">IF(F$406="", "", IF(ISERROR(PRODUCT(1+OFFSET(F$8, $CC414, 0, 10, 1)%)), "", PRODUCT(1+OFFSET(F$8, $CC414, 0, 10, 1)%)^(1/10)-1))</f>
        <v/>
      </c>
      <c r="G414" s="340" t="str">
        <f t="array" aca="1" ref="G414" ca="1">IF(G$406="", "", IF(ISERROR(PRODUCT(1+OFFSET(G$8, $CC414, 0, 10, 1)%)), "", PRODUCT(1+OFFSET(G$8, $CC414, 0, 10, 1)%)^(1/10)-1))</f>
        <v/>
      </c>
      <c r="H414" s="340" t="str">
        <f t="array" aca="1" ref="H414" ca="1">IF(H$406="", "", IF(ISERROR(PRODUCT(1+OFFSET(H$8, $CC414, 0, 10, 1)%)), "", PRODUCT(1+OFFSET(H$8, $CC414, 0, 10, 1)%)^(1/10)-1))</f>
        <v/>
      </c>
      <c r="I414" s="340" t="str">
        <f t="array" aca="1" ref="I414" ca="1">IF(I$406="", "", IF(ISERROR(PRODUCT(1+OFFSET(I$8, $CC414, 0, 10, 1)%)), "", PRODUCT(1+OFFSET(I$8, $CC414, 0, 10, 1)%)^(1/10)-1))</f>
        <v/>
      </c>
      <c r="J414" s="340" t="str">
        <f t="array" aca="1" ref="J414" ca="1">IF(J$406="", "", IF(ISERROR(PRODUCT(1+OFFSET(J$8, $CC414, 0, 10, 1)%)), "", PRODUCT(1+OFFSET(J$8, $CC414, 0, 10, 1)%)^(1/10)-1))</f>
        <v/>
      </c>
      <c r="K414" s="340" t="str">
        <f t="array" aca="1" ref="K414" ca="1">IF(K$406="", "", IF(ISERROR(PRODUCT(1+OFFSET(K$8, $CC414, 0, 10, 1)%)), "", PRODUCT(1+OFFSET(K$8, $CC414, 0, 10, 1)%)^(1/10)-1))</f>
        <v/>
      </c>
      <c r="L414" s="340" t="str">
        <f t="array" aca="1" ref="L414" ca="1">IF(L$406="", "", IF(ISERROR(PRODUCT(1+OFFSET(L$8, $CC414, 0, 10, 1)%)), "", PRODUCT(1+OFFSET(L$8, $CC414, 0, 10, 1)%)^(1/10)-1))</f>
        <v/>
      </c>
      <c r="M414" s="340" t="str">
        <f t="array" aca="1" ref="M414" ca="1">IF(M$406="", "", IF(ISERROR(PRODUCT(1+OFFSET(M$8, $CC414, 0, 10, 1)%)), "", PRODUCT(1+OFFSET(M$8, $CC414, 0, 10, 1)%)^(1/10)-1))</f>
        <v/>
      </c>
      <c r="N414" s="498" t="str">
        <f t="array" aca="1" ref="N414" ca="1">IF(N$406="", "", IF(ISERROR(PRODUCT(1+OFFSET(N$8, $CC414, 0, 10, 1)%)), "", PRODUCT(1+OFFSET(N$8, $CC414, 0, 10, 1)%)^(1/10)-1))</f>
        <v/>
      </c>
      <c r="O414" s="340" t="str">
        <f t="array" aca="1" ref="O414" ca="1">IF(O$406="", "", IF(ISERROR(PRODUCT(1+OFFSET(O$8, $CC414, 0, 10, 1)%)), "", PRODUCT(1+OFFSET(O$8, $CC414, 0, 10, 1)%)^(1/10)-1))</f>
        <v/>
      </c>
      <c r="P414" s="340" t="str">
        <f t="array" aca="1" ref="P414" ca="1">IF(P$406="", "", IF(ISERROR(PRODUCT(1+OFFSET(P$8, $CC414, 0, 10, 1)%)), "", PRODUCT(1+OFFSET(P$8, $CC414, 0, 10, 1)%)^(1/10)-1))</f>
        <v/>
      </c>
      <c r="Q414" s="340" t="str">
        <f t="array" aca="1" ref="Q414" ca="1">IF(Q$406="", "", IF(ISERROR(PRODUCT(1+OFFSET(Q$8, $CC414, 0, 10, 1)%)), "", PRODUCT(1+OFFSET(Q$8, $CC414, 0, 10, 1)%)^(1/10)-1))</f>
        <v/>
      </c>
      <c r="R414" s="340" t="str">
        <f t="array" aca="1" ref="R414" ca="1">IF(R$406="", "", IF(ISERROR(PRODUCT(1+OFFSET(R$8, $CC414, 0, 10, 1)%)), "", PRODUCT(1+OFFSET(R$8, $CC414, 0, 10, 1)%)^(1/10)-1))</f>
        <v/>
      </c>
      <c r="S414" s="340" t="str">
        <f t="array" aca="1" ref="S414" ca="1">IF(S$406="", "", IF(ISERROR(PRODUCT(1+OFFSET(S$8, $CC414, 0, 10, 1)%)), "", PRODUCT(1+OFFSET(S$8, $CC414, 0, 10, 1)%)^(1/10)-1))</f>
        <v/>
      </c>
      <c r="T414" s="340">
        <f t="array" aca="1" ref="T414" ca="1">IF(T$406="", "", IF(ISERROR(PRODUCT(1+OFFSET(T$8, $CC414, 0, 10, 1)%)), "", PRODUCT(1+OFFSET(T$8, $CC414, 0, 10, 1)%)^(1/10)-1))</f>
        <v>1.7789481481965685E-2</v>
      </c>
      <c r="U414" s="340">
        <f t="array" aca="1" ref="U414" ca="1">IF(U$406="", "", IF(ISERROR(PRODUCT(1+OFFSET(U$8, $CC414, 0, 10, 1)%)), "", PRODUCT(1+OFFSET(U$8, $CC414, 0, 10, 1)%)^(1/10)-1))</f>
        <v>1.7789481481965685E-2</v>
      </c>
      <c r="V414" s="340">
        <f t="array" aca="1" ref="V414" ca="1">IF(V$406="", "", IF(ISERROR(PRODUCT(1+OFFSET(V$8, $CC414, 0, 10, 1)%)), "", PRODUCT(1+OFFSET(V$8, $CC414, 0, 10, 1)%)^(1/10)-1))</f>
        <v>8.4266277543147972E-3</v>
      </c>
      <c r="W414" s="340" t="str">
        <f t="array" aca="1" ref="W414" ca="1">IF(W$406="", "", IF(ISERROR(PRODUCT(1+OFFSET(W$8, $CC414, 0, 10, 1)%)), "", PRODUCT(1+OFFSET(W$8, $CC414, 0, 10, 1)%)^(1/10)-1))</f>
        <v/>
      </c>
      <c r="X414" s="340" t="str">
        <f t="array" aca="1" ref="X414" ca="1">IF(X$406="", "", IF(ISERROR(PRODUCT(1+OFFSET(X$8, $CC414, 0, 10, 1)%)), "", PRODUCT(1+OFFSET(X$8, $CC414, 0, 10, 1)%)^(1/10)-1))</f>
        <v/>
      </c>
      <c r="Y414" s="340" t="str">
        <f t="array" aca="1" ref="Y414" ca="1">IF(Y$406="", "", IF(ISERROR(PRODUCT(1+OFFSET(Y$8, $CC414, 0, 10, 1)%)), "", PRODUCT(1+OFFSET(Y$8, $CC414, 0, 10, 1)%)^(1/10)-1))</f>
        <v/>
      </c>
      <c r="Z414" s="340" t="str">
        <f t="array" aca="1" ref="Z414" ca="1">IF(Z$406="", "", IF(ISERROR(PRODUCT(1+OFFSET(Z$8, $CC414, 0, 10, 1)%)), "", PRODUCT(1+OFFSET(Z$8, $CC414, 0, 10, 1)%)^(1/10)-1))</f>
        <v/>
      </c>
      <c r="AA414" s="340" t="str">
        <f t="array" aca="1" ref="AA414" ca="1">IF(AA$406="", "", IF(ISERROR(PRODUCT(1+OFFSET(AA$8, $CC414, 0, 10, 1)%)), "", PRODUCT(1+OFFSET(AA$8, $CC414, 0, 10, 1)%)^(1/10)-1))</f>
        <v/>
      </c>
      <c r="AB414" s="340" t="str">
        <f t="array" aca="1" ref="AB414" ca="1">IF(AB$406="", "", IF(ISERROR(PRODUCT(1+OFFSET(AB$8, $CC414, 0, 10, 1)%)), "", PRODUCT(1+OFFSET(AB$8, $CC414, 0, 10, 1)%)^(1/10)-1))</f>
        <v/>
      </c>
      <c r="AC414" s="340" t="str">
        <f t="array" aca="1" ref="AC414" ca="1">IF(AC$406="", "", IF(ISERROR(PRODUCT(1+OFFSET(AC$8, $CC414, 0, 10, 1)%)), "", PRODUCT(1+OFFSET(AC$8, $CC414, 0, 10, 1)%)^(1/10)-1))</f>
        <v/>
      </c>
      <c r="AD414" s="340" t="str">
        <f t="array" aca="1" ref="AD414" ca="1">IF(AD$406="", "", IF(ISERROR(PRODUCT(1+OFFSET(AD$8, $CC414, 0, 10, 1)%)), "", PRODUCT(1+OFFSET(AD$8, $CC414, 0, 10, 1)%)^(1/10)-1))</f>
        <v/>
      </c>
      <c r="AE414" s="340" t="str">
        <f t="array" aca="1" ref="AE414" ca="1">IF(AE$406="", "", IF(ISERROR(PRODUCT(1+OFFSET(AE$8, $CC414, 0, 10, 1)%)), "", PRODUCT(1+OFFSET(AE$8, $CC414, 0, 10, 1)%)^(1/10)-1))</f>
        <v/>
      </c>
      <c r="AF414" s="340" t="str">
        <f t="array" aca="1" ref="AF414" ca="1">IF(AF$406="", "", IF(ISERROR(PRODUCT(1+OFFSET(AF$8, $CC414, 0, 10, 1)%)), "", PRODUCT(1+OFFSET(AF$8, $CC414, 0, 10, 1)%)^(1/10)-1))</f>
        <v/>
      </c>
      <c r="AG414" s="340" t="str">
        <f t="array" aca="1" ref="AG414" ca="1">IF(AG$406="", "", IF(ISERROR(PRODUCT(1+OFFSET(AG$8, $CC414, 0, 10, 1)%)), "", PRODUCT(1+OFFSET(AG$8, $CC414, 0, 10, 1)%)^(1/10)-1))</f>
        <v/>
      </c>
      <c r="AH414" s="340" t="str">
        <f t="array" aca="1" ref="AH414" ca="1">IF(AH$406="", "", IF(ISERROR(PRODUCT(1+OFFSET(AH$8, $CC414, 0, 10, 1)%)), "", PRODUCT(1+OFFSET(AH$8, $CC414, 0, 10, 1)%)^(1/10)-1))</f>
        <v/>
      </c>
      <c r="AI414" s="340" t="str">
        <f t="array" aca="1" ref="AI414" ca="1">IF(AI$406="", "", IF(ISERROR(PRODUCT(1+OFFSET(AI$8, $CC414, 0, 10, 1)%)), "", PRODUCT(1+OFFSET(AI$8, $CC414, 0, 10, 1)%)^(1/10)-1))</f>
        <v/>
      </c>
      <c r="AJ414" s="340" t="str">
        <f t="array" aca="1" ref="AJ414" ca="1">IF(AJ$406="", "", IF(ISERROR(PRODUCT(1+OFFSET(AJ$8, $CC414, 0, 10, 1)%)), "", PRODUCT(1+OFFSET(AJ$8, $CC414, 0, 10, 1)%)^(1/10)-1))</f>
        <v/>
      </c>
      <c r="AK414" s="340" t="str">
        <f t="array" aca="1" ref="AK414" ca="1">IF(AK$406="", "", IF(ISERROR(PRODUCT(1+OFFSET(AK$8, $CC414, 0, 10, 1)%)), "", PRODUCT(1+OFFSET(AK$8, $CC414, 0, 10, 1)%)^(1/10)-1))</f>
        <v/>
      </c>
      <c r="AL414" s="340" t="str">
        <f t="array" aca="1" ref="AL414" ca="1">IF(AL$406="", "", IF(ISERROR(PRODUCT(1+OFFSET(AL$8, $CC414, 0, 10, 1)%)), "", PRODUCT(1+OFFSET(AL$8, $CC414, 0, 10, 1)%)^(1/10)-1))</f>
        <v/>
      </c>
      <c r="AM414" s="340" t="str">
        <f t="array" aca="1" ref="AM414" ca="1">IF(AM$406="", "", IF(ISERROR(PRODUCT(1+OFFSET(AM$8, $CC414, 0, 10, 1)%)), "", PRODUCT(1+OFFSET(AM$8, $CC414, 0, 10, 1)%)^(1/10)-1))</f>
        <v/>
      </c>
      <c r="AN414" s="340" t="str">
        <f t="array" aca="1" ref="AN414" ca="1">IF(AN$406="", "", IF(ISERROR(PRODUCT(1+OFFSET(AN$8, $CC414, 0, 10, 1)%)), "", PRODUCT(1+OFFSET(AN$8, $CC414, 0, 10, 1)%)^(1/10)-1))</f>
        <v/>
      </c>
      <c r="AO414" s="340" t="str">
        <f t="array" aca="1" ref="AO414" ca="1">IF(AO$406="", "", IF(ISERROR(PRODUCT(1+OFFSET(AO$8, $CC414, 0, 10, 1)%)), "", PRODUCT(1+OFFSET(AO$8, $CC414, 0, 10, 1)%)^(1/10)-1))</f>
        <v/>
      </c>
      <c r="AP414" s="340" t="str">
        <f t="array" aca="1" ref="AP414" ca="1">IF(AP$406="", "", IF(ISERROR(PRODUCT(1+OFFSET(AP$8, $CC414, 0, 10, 1)%)), "", PRODUCT(1+OFFSET(AP$8, $CC414, 0, 10, 1)%)^(1/10)-1))</f>
        <v/>
      </c>
      <c r="AQ414" s="340" t="str">
        <f t="array" aca="1" ref="AQ414" ca="1">IF(AQ$406="", "", IF(ISERROR(PRODUCT(1+OFFSET(AQ$8, $CC414, 0, 10, 1)%)), "", PRODUCT(1+OFFSET(AQ$8, $CC414, 0, 10, 1)%)^(1/10)-1))</f>
        <v/>
      </c>
      <c r="AR414" s="340" t="str">
        <f t="array" aca="1" ref="AR414" ca="1">IF(AR$406="", "", IF(ISERROR(PRODUCT(1+OFFSET(AR$8, $CC414, 0, 10, 1)%)), "", PRODUCT(1+OFFSET(AR$8, $CC414, 0, 10, 1)%)^(1/10)-1))</f>
        <v/>
      </c>
      <c r="AS414" s="340" t="str">
        <f t="array" aca="1" ref="AS414" ca="1">IF(AS$406="", "", IF(ISERROR(PRODUCT(1+OFFSET(AS$8, $CC414, 0, 10, 1)%)), "", PRODUCT(1+OFFSET(AS$8, $CC414, 0, 10, 1)%)^(1/10)-1))</f>
        <v/>
      </c>
      <c r="AT414" s="340" t="str">
        <f t="array" aca="1" ref="AT414" ca="1">IF(AT$406="", "", IF(ISERROR(PRODUCT(1+OFFSET(AT$8, $CC414, 0, 10, 1)%)), "", PRODUCT(1+OFFSET(AT$8, $CC414, 0, 10, 1)%)^(1/10)-1))</f>
        <v/>
      </c>
      <c r="AU414" s="340" t="str">
        <f t="array" aca="1" ref="AU414" ca="1">IF(AU$406="", "", IF(ISERROR(PRODUCT(1+OFFSET(AU$8, $CC414, 0, 10, 1)%)), "", PRODUCT(1+OFFSET(AU$8, $CC414, 0, 10, 1)%)^(1/10)-1))</f>
        <v/>
      </c>
      <c r="AV414" s="340" t="str">
        <f t="array" aca="1" ref="AV414" ca="1">IF(AV$406="", "", IF(ISERROR(PRODUCT(1+OFFSET(AV$8, $CC414, 0, 10, 1)%)), "", PRODUCT(1+OFFSET(AV$8, $CC414, 0, 10, 1)%)^(1/10)-1))</f>
        <v/>
      </c>
      <c r="AW414" s="340" t="str">
        <f t="array" aca="1" ref="AW414" ca="1">IF(AW$406="", "", IF(ISERROR(PRODUCT(1+OFFSET(AW$8, $CC414, 0, 10, 1)%)), "", PRODUCT(1+OFFSET(AW$8, $CC414, 0, 10, 1)%)^(1/10)-1))</f>
        <v/>
      </c>
      <c r="AX414" s="340" t="str">
        <f t="array" aca="1" ref="AX414" ca="1">IF(AX$406="", "", IF(ISERROR(PRODUCT(1+OFFSET(AX$8, $CC414, 0, 10, 1)%)), "", PRODUCT(1+OFFSET(AX$8, $CC414, 0, 10, 1)%)^(1/10)-1))</f>
        <v/>
      </c>
      <c r="AY414" s="340" t="str">
        <f t="array" aca="1" ref="AY414" ca="1">IF(AY$406="", "", IF(ISERROR(PRODUCT(1+OFFSET(AY$8, $CC414, 0, 10, 1)%)), "", PRODUCT(1+OFFSET(AY$8, $CC414, 0, 10, 1)%)^(1/10)-1))</f>
        <v/>
      </c>
      <c r="AZ414" s="340" t="str">
        <f t="array" aca="1" ref="AZ414" ca="1">IF(AZ$406="", "", IF(ISERROR(PRODUCT(1+OFFSET(AZ$8, $CC414, 0, 10, 1)%)), "", PRODUCT(1+OFFSET(AZ$8, $CC414, 0, 10, 1)%)^(1/10)-1))</f>
        <v/>
      </c>
      <c r="BA414" s="340" t="str">
        <f t="array" aca="1" ref="BA414" ca="1">IF(BA$406="", "", IF(ISERROR(PRODUCT(1+OFFSET(BA$8, $CC414, 0, 10, 1)%)), "", PRODUCT(1+OFFSET(BA$8, $CC414, 0, 10, 1)%)^(1/10)-1))</f>
        <v/>
      </c>
      <c r="BB414" s="340" t="str">
        <f t="array" aca="1" ref="BB414" ca="1">IF(BB$406="", "", IF(ISERROR(PRODUCT(1+OFFSET(BB$8, $CC414, 0, 10, 1)%)), "", PRODUCT(1+OFFSET(BB$8, $CC414, 0, 10, 1)%)^(1/10)-1))</f>
        <v/>
      </c>
      <c r="BC414" s="340" t="str">
        <f t="array" aca="1" ref="BC414" ca="1">IF(BC$406="", "", IF(ISERROR(PRODUCT(1+OFFSET(BC$8, $CC414, 0, 10, 1)%)), "", PRODUCT(1+OFFSET(BC$8, $CC414, 0, 10, 1)%)^(1/10)-1))</f>
        <v/>
      </c>
      <c r="BD414" s="340" t="str">
        <f t="array" aca="1" ref="BD414" ca="1">IF(BD$406="", "", IF(ISERROR(PRODUCT(1+OFFSET(BD$8, $CC414, 0, 10, 1)%)), "", PRODUCT(1+OFFSET(BD$8, $CC414, 0, 10, 1)%)^(1/10)-1))</f>
        <v/>
      </c>
      <c r="BE414" s="340" t="str">
        <f t="array" aca="1" ref="BE414" ca="1">IF(BE$406="", "", IF(ISERROR(PRODUCT(1+OFFSET(BE$8, $CC414, 0, 10, 1)%)), "", PRODUCT(1+OFFSET(BE$8, $CC414, 0, 10, 1)%)^(1/10)-1))</f>
        <v/>
      </c>
      <c r="BF414" s="340" t="str">
        <f t="array" aca="1" ref="BF414" ca="1">IF(BF$406="", "", IF(ISERROR(PRODUCT(1+OFFSET(BF$8, $CC414, 0, 10, 1)%)), "", PRODUCT(1+OFFSET(BF$8, $CC414, 0, 10, 1)%)^(1/10)-1))</f>
        <v/>
      </c>
      <c r="BG414" s="340" t="str">
        <f t="array" aca="1" ref="BG414" ca="1">IF(BG$406="", "", IF(ISERROR(PRODUCT(1+OFFSET(BG$8, $CC414, 0, 10, 1)%)), "", PRODUCT(1+OFFSET(BG$8, $CC414, 0, 10, 1)%)^(1/10)-1))</f>
        <v/>
      </c>
      <c r="BH414" s="340" t="str">
        <f t="array" aca="1" ref="BH414" ca="1">IF(BH$406="", "", IF(ISERROR(PRODUCT(1+OFFSET(BH$8, $CC414, 0, 10, 1)%)), "", PRODUCT(1+OFFSET(BH$8, $CC414, 0, 10, 1)%)^(1/10)-1))</f>
        <v/>
      </c>
      <c r="BI414" s="340" t="str">
        <f t="array" aca="1" ref="BI414" ca="1">IF(BI$406="", "", IF(ISERROR(PRODUCT(1+OFFSET(BI$8, $CC414, 0, 10, 1)%)), "", PRODUCT(1+OFFSET(BI$8, $CC414, 0, 10, 1)%)^(1/10)-1))</f>
        <v/>
      </c>
      <c r="BJ414" s="340" t="str">
        <f t="array" aca="1" ref="BJ414" ca="1">IF(BJ$406="", "", IF(ISERROR(PRODUCT(1+OFFSET(BJ$8, $CC414, 0, 10, 1)%)), "", PRODUCT(1+OFFSET(BJ$8, $CC414, 0, 10, 1)%)^(1/10)-1))</f>
        <v/>
      </c>
      <c r="BK414" s="340" t="str">
        <f t="array" aca="1" ref="BK414" ca="1">IF(BK$406="", "", IF(ISERROR(PRODUCT(1+OFFSET(BK$8, $CC414, 0, 10, 1)%)), "", PRODUCT(1+OFFSET(BK$8, $CC414, 0, 10, 1)%)^(1/10)-1))</f>
        <v/>
      </c>
      <c r="BL414" s="340" t="str">
        <f t="array" aca="1" ref="BL414" ca="1">IF(BL$406="", "", IF(ISERROR(PRODUCT(1+OFFSET(BL$8, $CC414, 0, 10, 1)%)), "", PRODUCT(1+OFFSET(BL$8, $CC414, 0, 10, 1)%)^(1/10)-1))</f>
        <v/>
      </c>
      <c r="BM414" s="340" t="str">
        <f t="array" aca="1" ref="BM414" ca="1">IF(BM$406="", "", IF(ISERROR(PRODUCT(1+OFFSET(BM$8, $CC414, 0, 10, 1)%)), "", PRODUCT(1+OFFSET(BM$8, $CC414, 0, 10, 1)%)^(1/10)-1))</f>
        <v/>
      </c>
      <c r="BN414" s="340" t="str">
        <f t="array" aca="1" ref="BN414" ca="1">IF(BN$406="", "", IF(ISERROR(PRODUCT(1+OFFSET(BN$8, $CC414, 0, 10, 1)%)), "", PRODUCT(1+OFFSET(BN$8, $CC414, 0, 10, 1)%)^(1/10)-1))</f>
        <v/>
      </c>
      <c r="BO414" s="340" t="str">
        <f t="array" aca="1" ref="BO414" ca="1">IF(BO$406="", "", IF(ISERROR(PRODUCT(1+OFFSET(BO$8, $CC414, 0, 10, 1)%)), "", PRODUCT(1+OFFSET(BO$8, $CC414, 0, 10, 1)%)^(1/10)-1))</f>
        <v/>
      </c>
      <c r="BP414" s="340" t="str">
        <f t="array" aca="1" ref="BP414" ca="1">IF(BP$406="", "", IF(ISERROR(PRODUCT(1+OFFSET(BP$8, $CC414, 0, 10, 1)%)), "", PRODUCT(1+OFFSET(BP$8, $CC414, 0, 10, 1)%)^(1/10)-1))</f>
        <v/>
      </c>
      <c r="BQ414" s="340" t="str">
        <f t="array" aca="1" ref="BQ414" ca="1">IF(BQ$406="", "", IF(ISERROR(PRODUCT(1+OFFSET(BQ$8, $CC414, 0, 10, 1)%)), "", PRODUCT(1+OFFSET(BQ$8, $CC414, 0, 10, 1)%)^(1/10)-1))</f>
        <v/>
      </c>
      <c r="BR414" s="340" t="str">
        <f t="array" aca="1" ref="BR414" ca="1">IF(BR$406="", "", IF(ISERROR(PRODUCT(1+OFFSET(BR$8, $CC414, 0, 10, 1)%)), "", PRODUCT(1+OFFSET(BR$8, $CC414, 0, 10, 1)%)^(1/10)-1))</f>
        <v/>
      </c>
      <c r="BS414" s="340" t="str">
        <f t="array" aca="1" ref="BS414" ca="1">IF(BS$406="", "", IF(ISERROR(PRODUCT(1+OFFSET(BS$8, $CC414, 0, 10, 1)%)), "", PRODUCT(1+OFFSET(BS$8, $CC414, 0, 10, 1)%)^(1/10)-1))</f>
        <v/>
      </c>
      <c r="BT414" s="340" t="str">
        <f t="array" aca="1" ref="BT414" ca="1">IF(BT$406="", "", IF(ISERROR(PRODUCT(1+OFFSET(BT$8, $CC414, 0, 10, 1)%)), "", PRODUCT(1+OFFSET(BT$8, $CC414, 0, 10, 1)%)^(1/10)-1))</f>
        <v/>
      </c>
      <c r="BU414" s="340" t="str">
        <f t="array" aca="1" ref="BU414" ca="1">IF(BU$406="", "", IF(ISERROR(PRODUCT(1+OFFSET(BU$8, $CC414, 0, 10, 1)%)), "", PRODUCT(1+OFFSET(BU$8, $CC414, 0, 10, 1)%)^(1/10)-1))</f>
        <v/>
      </c>
      <c r="BV414" s="340" t="str">
        <f t="array" aca="1" ref="BV414" ca="1">IF(BV$406="", "", IF(ISERROR(PRODUCT(1+OFFSET(BV$8, $CC414, 0, 10, 1)%)), "", PRODUCT(1+OFFSET(BV$8, $CC414, 0, 10, 1)%)^(1/10)-1))</f>
        <v/>
      </c>
      <c r="BW414" s="340" t="str">
        <f t="array" aca="1" ref="BW414" ca="1">IF(BW$406="", "", IF(ISERROR(PRODUCT(1+OFFSET(BW$8, $CC414, 0, 10, 1)%)), "", PRODUCT(1+OFFSET(BW$8, $CC414, 0, 10, 1)%)^(1/10)-1))</f>
        <v/>
      </c>
      <c r="BX414" s="340">
        <f t="array" aca="1" ref="BX414" ca="1">IF(BX$406="", "", IF(ISERROR(PRODUCT(1+OFFSET(BX$8, $CC414, 0, 10, 1)%)), "", PRODUCT(1+OFFSET(BX$8, $CC414, 0, 10, 1)%)^(1/10)-1))</f>
        <v>0.13383592931969091</v>
      </c>
      <c r="BY414" s="340">
        <f t="array" aca="1" ref="BY414" ca="1">IF(BY$406="", "", IF(ISERROR(PRODUCT(1+OFFSET(BY$8, $CC414, 0, 10, 1)%)), "", PRODUCT(1+OFFSET(BY$8, $CC414, 0, 10, 1)%)^(1/10)-1))</f>
        <v>1.982506044492971E-2</v>
      </c>
      <c r="BZ414" s="340">
        <f t="array" aca="1" ref="BZ414" ca="1">IF(BZ$406="", "", IF(ISERROR(PRODUCT(1+OFFSET(BZ$8, $CC414, 0, 10, 1)%)), "", PRODUCT(1+OFFSET(BZ$8, $CC414, 0, 10, 1)%)^(1/10)-1))</f>
        <v>9.3342117192936058E-3</v>
      </c>
      <c r="CA414" s="532">
        <f t="array" aca="1" ref="CA414" ca="1">IF(CA$406="", "", IF(ISERROR(PRODUCT(1+OFFSET(CA$8, $CC414, 0, 10, 1)%)), "", PRODUCT(1+OFFSET(CA$8, $CC414, 0, 10, 1)%)^(1/10)-1))</f>
        <v>6.062402492300345E-2</v>
      </c>
      <c r="CC414" s="482">
        <f>10*(ROW()-ROW($A$406)-1)</f>
        <v>70</v>
      </c>
    </row>
    <row r="415" spans="1:81" ht="14">
      <c r="A415" s="338" t="str">
        <f t="shared" si="550"/>
        <v>1951-1960</v>
      </c>
      <c r="B415" s="339">
        <f t="array" aca="1" ref="B415" ca="1">IF(B$406="", "", IF(ISERROR(PRODUCT(1+OFFSET(B$8, $CC415, 0, 10, 1)%)), "", PRODUCT(1+OFFSET(B$8, $CC415, 0, 10, 1)%)^(1/10)-1))</f>
        <v>0.15440882687782786</v>
      </c>
      <c r="C415" s="340" t="str">
        <f t="array" aca="1" ref="C415" ca="1">IF(C$406="", "", IF(ISERROR(PRODUCT(1+OFFSET(C$8, $CC415, 0, 10, 1)%)), "", PRODUCT(1+OFFSET(C$8, $CC415, 0, 10, 1)%)^(1/10)-1))</f>
        <v/>
      </c>
      <c r="D415" s="340">
        <f t="array" aca="1" ref="D415" ca="1">IF(D$406="", "", IF(ISERROR(PRODUCT(1+OFFSET(D$8, $CC415, 0, 10, 1)%)), "", PRODUCT(1+OFFSET(D$8, $CC415, 0, 10, 1)%)^(1/10)-1))</f>
        <v>0.15440882687782786</v>
      </c>
      <c r="E415" s="340" t="str">
        <f t="array" aca="1" ref="E415" ca="1">IF(E$406="", "", IF(ISERROR(PRODUCT(1+OFFSET(E$8, $CC415, 0, 10, 1)%)), "", PRODUCT(1+OFFSET(E$8, $CC415, 0, 10, 1)%)^(1/10)-1))</f>
        <v/>
      </c>
      <c r="F415" s="340" t="str">
        <f t="array" aca="1" ref="F415" ca="1">IF(F$406="", "", IF(ISERROR(PRODUCT(1+OFFSET(F$8, $CC415, 0, 10, 1)%)), "", PRODUCT(1+OFFSET(F$8, $CC415, 0, 10, 1)%)^(1/10)-1))</f>
        <v/>
      </c>
      <c r="G415" s="340" t="str">
        <f t="array" aca="1" ref="G415" ca="1">IF(G$406="", "", IF(ISERROR(PRODUCT(1+OFFSET(G$8, $CC415, 0, 10, 1)%)), "", PRODUCT(1+OFFSET(G$8, $CC415, 0, 10, 1)%)^(1/10)-1))</f>
        <v/>
      </c>
      <c r="H415" s="340" t="str">
        <f t="array" aca="1" ref="H415" ca="1">IF(H$406="", "", IF(ISERROR(PRODUCT(1+OFFSET(H$8, $CC415, 0, 10, 1)%)), "", PRODUCT(1+OFFSET(H$8, $CC415, 0, 10, 1)%)^(1/10)-1))</f>
        <v/>
      </c>
      <c r="I415" s="340" t="str">
        <f t="array" aca="1" ref="I415" ca="1">IF(I$406="", "", IF(ISERROR(PRODUCT(1+OFFSET(I$8, $CC415, 0, 10, 1)%)), "", PRODUCT(1+OFFSET(I$8, $CC415, 0, 10, 1)%)^(1/10)-1))</f>
        <v/>
      </c>
      <c r="J415" s="340" t="str">
        <f t="array" aca="1" ref="J415" ca="1">IF(J$406="", "", IF(ISERROR(PRODUCT(1+OFFSET(J$8, $CC415, 0, 10, 1)%)), "", PRODUCT(1+OFFSET(J$8, $CC415, 0, 10, 1)%)^(1/10)-1))</f>
        <v/>
      </c>
      <c r="K415" s="340" t="str">
        <f t="array" aca="1" ref="K415" ca="1">IF(K$406="", "", IF(ISERROR(PRODUCT(1+OFFSET(K$8, $CC415, 0, 10, 1)%)), "", PRODUCT(1+OFFSET(K$8, $CC415, 0, 10, 1)%)^(1/10)-1))</f>
        <v/>
      </c>
      <c r="L415" s="340" t="str">
        <f t="array" aca="1" ref="L415" ca="1">IF(L$406="", "", IF(ISERROR(PRODUCT(1+OFFSET(L$8, $CC415, 0, 10, 1)%)), "", PRODUCT(1+OFFSET(L$8, $CC415, 0, 10, 1)%)^(1/10)-1))</f>
        <v/>
      </c>
      <c r="M415" s="340" t="str">
        <f t="array" aca="1" ref="M415" ca="1">IF(M$406="", "", IF(ISERROR(PRODUCT(1+OFFSET(M$8, $CC415, 0, 10, 1)%)), "", PRODUCT(1+OFFSET(M$8, $CC415, 0, 10, 1)%)^(1/10)-1))</f>
        <v/>
      </c>
      <c r="N415" s="498" t="str">
        <f t="array" aca="1" ref="N415" ca="1">IF(N$406="", "", IF(ISERROR(PRODUCT(1+OFFSET(N$8, $CC415, 0, 10, 1)%)), "", PRODUCT(1+OFFSET(N$8, $CC415, 0, 10, 1)%)^(1/10)-1))</f>
        <v/>
      </c>
      <c r="O415" s="340" t="str">
        <f t="array" aca="1" ref="O415" ca="1">IF(O$406="", "", IF(ISERROR(PRODUCT(1+OFFSET(O$8, $CC415, 0, 10, 1)%)), "", PRODUCT(1+OFFSET(O$8, $CC415, 0, 10, 1)%)^(1/10)-1))</f>
        <v/>
      </c>
      <c r="P415" s="340" t="str">
        <f t="array" aca="1" ref="P415" ca="1">IF(P$406="", "", IF(ISERROR(PRODUCT(1+OFFSET(P$8, $CC415, 0, 10, 1)%)), "", PRODUCT(1+OFFSET(P$8, $CC415, 0, 10, 1)%)^(1/10)-1))</f>
        <v/>
      </c>
      <c r="Q415" s="340" t="str">
        <f t="array" aca="1" ref="Q415" ca="1">IF(Q$406="", "", IF(ISERROR(PRODUCT(1+OFFSET(Q$8, $CC415, 0, 10, 1)%)), "", PRODUCT(1+OFFSET(Q$8, $CC415, 0, 10, 1)%)^(1/10)-1))</f>
        <v/>
      </c>
      <c r="R415" s="340" t="str">
        <f t="array" aca="1" ref="R415" ca="1">IF(R$406="", "", IF(ISERROR(PRODUCT(1+OFFSET(R$8, $CC415, 0, 10, 1)%)), "", PRODUCT(1+OFFSET(R$8, $CC415, 0, 10, 1)%)^(1/10)-1))</f>
        <v/>
      </c>
      <c r="S415" s="340" t="str">
        <f t="array" aca="1" ref="S415" ca="1">IF(S$406="", "", IF(ISERROR(PRODUCT(1+OFFSET(S$8, $CC415, 0, 10, 1)%)), "", PRODUCT(1+OFFSET(S$8, $CC415, 0, 10, 1)%)^(1/10)-1))</f>
        <v/>
      </c>
      <c r="T415" s="340">
        <f t="array" aca="1" ref="T415" ca="1">IF(T$406="", "", IF(ISERROR(PRODUCT(1+OFFSET(T$8, $CC415, 0, 10, 1)%)), "", PRODUCT(1+OFFSET(T$8, $CC415, 0, 10, 1)%)^(1/10)-1))</f>
        <v>2.3783662021839236E-2</v>
      </c>
      <c r="U415" s="340">
        <f t="array" aca="1" ref="U415" ca="1">IF(U$406="", "", IF(ISERROR(PRODUCT(1+OFFSET(U$8, $CC415, 0, 10, 1)%)), "", PRODUCT(1+OFFSET(U$8, $CC415, 0, 10, 1)%)^(1/10)-1))</f>
        <v>2.3783662021839236E-2</v>
      </c>
      <c r="V415" s="340">
        <f t="array" aca="1" ref="V415" ca="1">IF(V$406="", "", IF(ISERROR(PRODUCT(1+OFFSET(V$8, $CC415, 0, 10, 1)%)), "", PRODUCT(1+OFFSET(V$8, $CC415, 0, 10, 1)%)^(1/10)-1))</f>
        <v>2.5907509488312108E-2</v>
      </c>
      <c r="W415" s="340" t="str">
        <f t="array" aca="1" ref="W415" ca="1">IF(W$406="", "", IF(ISERROR(PRODUCT(1+OFFSET(W$8, $CC415, 0, 10, 1)%)), "", PRODUCT(1+OFFSET(W$8, $CC415, 0, 10, 1)%)^(1/10)-1))</f>
        <v/>
      </c>
      <c r="X415" s="340" t="str">
        <f t="array" aca="1" ref="X415" ca="1">IF(X$406="", "", IF(ISERROR(PRODUCT(1+OFFSET(X$8, $CC415, 0, 10, 1)%)), "", PRODUCT(1+OFFSET(X$8, $CC415, 0, 10, 1)%)^(1/10)-1))</f>
        <v/>
      </c>
      <c r="Y415" s="340" t="str">
        <f t="array" aca="1" ref="Y415" ca="1">IF(Y$406="", "", IF(ISERROR(PRODUCT(1+OFFSET(Y$8, $CC415, 0, 10, 1)%)), "", PRODUCT(1+OFFSET(Y$8, $CC415, 0, 10, 1)%)^(1/10)-1))</f>
        <v/>
      </c>
      <c r="Z415" s="340" t="str">
        <f t="array" aca="1" ref="Z415" ca="1">IF(Z$406="", "", IF(ISERROR(PRODUCT(1+OFFSET(Z$8, $CC415, 0, 10, 1)%)), "", PRODUCT(1+OFFSET(Z$8, $CC415, 0, 10, 1)%)^(1/10)-1))</f>
        <v/>
      </c>
      <c r="AA415" s="340" t="str">
        <f t="array" aca="1" ref="AA415" ca="1">IF(AA$406="", "", IF(ISERROR(PRODUCT(1+OFFSET(AA$8, $CC415, 0, 10, 1)%)), "", PRODUCT(1+OFFSET(AA$8, $CC415, 0, 10, 1)%)^(1/10)-1))</f>
        <v/>
      </c>
      <c r="AB415" s="340" t="str">
        <f t="array" aca="1" ref="AB415" ca="1">IF(AB$406="", "", IF(ISERROR(PRODUCT(1+OFFSET(AB$8, $CC415, 0, 10, 1)%)), "", PRODUCT(1+OFFSET(AB$8, $CC415, 0, 10, 1)%)^(1/10)-1))</f>
        <v/>
      </c>
      <c r="AC415" s="340" t="str">
        <f t="array" aca="1" ref="AC415" ca="1">IF(AC$406="", "", IF(ISERROR(PRODUCT(1+OFFSET(AC$8, $CC415, 0, 10, 1)%)), "", PRODUCT(1+OFFSET(AC$8, $CC415, 0, 10, 1)%)^(1/10)-1))</f>
        <v/>
      </c>
      <c r="AD415" s="340" t="str">
        <f t="array" aca="1" ref="AD415" ca="1">IF(AD$406="", "", IF(ISERROR(PRODUCT(1+OFFSET(AD$8, $CC415, 0, 10, 1)%)), "", PRODUCT(1+OFFSET(AD$8, $CC415, 0, 10, 1)%)^(1/10)-1))</f>
        <v/>
      </c>
      <c r="AE415" s="340" t="str">
        <f t="array" aca="1" ref="AE415" ca="1">IF(AE$406="", "", IF(ISERROR(PRODUCT(1+OFFSET(AE$8, $CC415, 0, 10, 1)%)), "", PRODUCT(1+OFFSET(AE$8, $CC415, 0, 10, 1)%)^(1/10)-1))</f>
        <v/>
      </c>
      <c r="AF415" s="340" t="str">
        <f t="array" aca="1" ref="AF415" ca="1">IF(AF$406="", "", IF(ISERROR(PRODUCT(1+OFFSET(AF$8, $CC415, 0, 10, 1)%)), "", PRODUCT(1+OFFSET(AF$8, $CC415, 0, 10, 1)%)^(1/10)-1))</f>
        <v/>
      </c>
      <c r="AG415" s="340" t="str">
        <f t="array" aca="1" ref="AG415" ca="1">IF(AG$406="", "", IF(ISERROR(PRODUCT(1+OFFSET(AG$8, $CC415, 0, 10, 1)%)), "", PRODUCT(1+OFFSET(AG$8, $CC415, 0, 10, 1)%)^(1/10)-1))</f>
        <v/>
      </c>
      <c r="AH415" s="340" t="str">
        <f t="array" aca="1" ref="AH415" ca="1">IF(AH$406="", "", IF(ISERROR(PRODUCT(1+OFFSET(AH$8, $CC415, 0, 10, 1)%)), "", PRODUCT(1+OFFSET(AH$8, $CC415, 0, 10, 1)%)^(1/10)-1))</f>
        <v/>
      </c>
      <c r="AI415" s="340" t="str">
        <f t="array" aca="1" ref="AI415" ca="1">IF(AI$406="", "", IF(ISERROR(PRODUCT(1+OFFSET(AI$8, $CC415, 0, 10, 1)%)), "", PRODUCT(1+OFFSET(AI$8, $CC415, 0, 10, 1)%)^(1/10)-1))</f>
        <v/>
      </c>
      <c r="AJ415" s="340" t="str">
        <f t="array" aca="1" ref="AJ415" ca="1">IF(AJ$406="", "", IF(ISERROR(PRODUCT(1+OFFSET(AJ$8, $CC415, 0, 10, 1)%)), "", PRODUCT(1+OFFSET(AJ$8, $CC415, 0, 10, 1)%)^(1/10)-1))</f>
        <v/>
      </c>
      <c r="AK415" s="340" t="str">
        <f t="array" aca="1" ref="AK415" ca="1">IF(AK$406="", "", IF(ISERROR(PRODUCT(1+OFFSET(AK$8, $CC415, 0, 10, 1)%)), "", PRODUCT(1+OFFSET(AK$8, $CC415, 0, 10, 1)%)^(1/10)-1))</f>
        <v/>
      </c>
      <c r="AL415" s="340" t="str">
        <f t="array" aca="1" ref="AL415" ca="1">IF(AL$406="", "", IF(ISERROR(PRODUCT(1+OFFSET(AL$8, $CC415, 0, 10, 1)%)), "", PRODUCT(1+OFFSET(AL$8, $CC415, 0, 10, 1)%)^(1/10)-1))</f>
        <v/>
      </c>
      <c r="AM415" s="340" t="str">
        <f t="array" aca="1" ref="AM415" ca="1">IF(AM$406="", "", IF(ISERROR(PRODUCT(1+OFFSET(AM$8, $CC415, 0, 10, 1)%)), "", PRODUCT(1+OFFSET(AM$8, $CC415, 0, 10, 1)%)^(1/10)-1))</f>
        <v/>
      </c>
      <c r="AN415" s="340" t="str">
        <f t="array" aca="1" ref="AN415" ca="1">IF(AN$406="", "", IF(ISERROR(PRODUCT(1+OFFSET(AN$8, $CC415, 0, 10, 1)%)), "", PRODUCT(1+OFFSET(AN$8, $CC415, 0, 10, 1)%)^(1/10)-1))</f>
        <v/>
      </c>
      <c r="AO415" s="340" t="str">
        <f t="array" aca="1" ref="AO415" ca="1">IF(AO$406="", "", IF(ISERROR(PRODUCT(1+OFFSET(AO$8, $CC415, 0, 10, 1)%)), "", PRODUCT(1+OFFSET(AO$8, $CC415, 0, 10, 1)%)^(1/10)-1))</f>
        <v/>
      </c>
      <c r="AP415" s="340" t="str">
        <f t="array" aca="1" ref="AP415" ca="1">IF(AP$406="", "", IF(ISERROR(PRODUCT(1+OFFSET(AP$8, $CC415, 0, 10, 1)%)), "", PRODUCT(1+OFFSET(AP$8, $CC415, 0, 10, 1)%)^(1/10)-1))</f>
        <v/>
      </c>
      <c r="AQ415" s="340" t="str">
        <f t="array" aca="1" ref="AQ415" ca="1">IF(AQ$406="", "", IF(ISERROR(PRODUCT(1+OFFSET(AQ$8, $CC415, 0, 10, 1)%)), "", PRODUCT(1+OFFSET(AQ$8, $CC415, 0, 10, 1)%)^(1/10)-1))</f>
        <v/>
      </c>
      <c r="AR415" s="340" t="str">
        <f t="array" aca="1" ref="AR415" ca="1">IF(AR$406="", "", IF(ISERROR(PRODUCT(1+OFFSET(AR$8, $CC415, 0, 10, 1)%)), "", PRODUCT(1+OFFSET(AR$8, $CC415, 0, 10, 1)%)^(1/10)-1))</f>
        <v/>
      </c>
      <c r="AS415" s="340" t="str">
        <f t="array" aca="1" ref="AS415" ca="1">IF(AS$406="", "", IF(ISERROR(PRODUCT(1+OFFSET(AS$8, $CC415, 0, 10, 1)%)), "", PRODUCT(1+OFFSET(AS$8, $CC415, 0, 10, 1)%)^(1/10)-1))</f>
        <v/>
      </c>
      <c r="AT415" s="340" t="str">
        <f t="array" aca="1" ref="AT415" ca="1">IF(AT$406="", "", IF(ISERROR(PRODUCT(1+OFFSET(AT$8, $CC415, 0, 10, 1)%)), "", PRODUCT(1+OFFSET(AT$8, $CC415, 0, 10, 1)%)^(1/10)-1))</f>
        <v/>
      </c>
      <c r="AU415" s="340" t="str">
        <f t="array" aca="1" ref="AU415" ca="1">IF(AU$406="", "", IF(ISERROR(PRODUCT(1+OFFSET(AU$8, $CC415, 0, 10, 1)%)), "", PRODUCT(1+OFFSET(AU$8, $CC415, 0, 10, 1)%)^(1/10)-1))</f>
        <v/>
      </c>
      <c r="AV415" s="340" t="str">
        <f t="array" aca="1" ref="AV415" ca="1">IF(AV$406="", "", IF(ISERROR(PRODUCT(1+OFFSET(AV$8, $CC415, 0, 10, 1)%)), "", PRODUCT(1+OFFSET(AV$8, $CC415, 0, 10, 1)%)^(1/10)-1))</f>
        <v/>
      </c>
      <c r="AW415" s="340" t="str">
        <f t="array" aca="1" ref="AW415" ca="1">IF(AW$406="", "", IF(ISERROR(PRODUCT(1+OFFSET(AW$8, $CC415, 0, 10, 1)%)), "", PRODUCT(1+OFFSET(AW$8, $CC415, 0, 10, 1)%)^(1/10)-1))</f>
        <v/>
      </c>
      <c r="AX415" s="340" t="str">
        <f t="array" aca="1" ref="AX415" ca="1">IF(AX$406="", "", IF(ISERROR(PRODUCT(1+OFFSET(AX$8, $CC415, 0, 10, 1)%)), "", PRODUCT(1+OFFSET(AX$8, $CC415, 0, 10, 1)%)^(1/10)-1))</f>
        <v/>
      </c>
      <c r="AY415" s="340" t="str">
        <f t="array" aca="1" ref="AY415" ca="1">IF(AY$406="", "", IF(ISERROR(PRODUCT(1+OFFSET(AY$8, $CC415, 0, 10, 1)%)), "", PRODUCT(1+OFFSET(AY$8, $CC415, 0, 10, 1)%)^(1/10)-1))</f>
        <v/>
      </c>
      <c r="AZ415" s="340" t="str">
        <f t="array" aca="1" ref="AZ415" ca="1">IF(AZ$406="", "", IF(ISERROR(PRODUCT(1+OFFSET(AZ$8, $CC415, 0, 10, 1)%)), "", PRODUCT(1+OFFSET(AZ$8, $CC415, 0, 10, 1)%)^(1/10)-1))</f>
        <v/>
      </c>
      <c r="BA415" s="340" t="str">
        <f t="array" aca="1" ref="BA415" ca="1">IF(BA$406="", "", IF(ISERROR(PRODUCT(1+OFFSET(BA$8, $CC415, 0, 10, 1)%)), "", PRODUCT(1+OFFSET(BA$8, $CC415, 0, 10, 1)%)^(1/10)-1))</f>
        <v/>
      </c>
      <c r="BB415" s="340" t="str">
        <f t="array" aca="1" ref="BB415" ca="1">IF(BB$406="", "", IF(ISERROR(PRODUCT(1+OFFSET(BB$8, $CC415, 0, 10, 1)%)), "", PRODUCT(1+OFFSET(BB$8, $CC415, 0, 10, 1)%)^(1/10)-1))</f>
        <v/>
      </c>
      <c r="BC415" s="340" t="str">
        <f t="array" aca="1" ref="BC415" ca="1">IF(BC$406="", "", IF(ISERROR(PRODUCT(1+OFFSET(BC$8, $CC415, 0, 10, 1)%)), "", PRODUCT(1+OFFSET(BC$8, $CC415, 0, 10, 1)%)^(1/10)-1))</f>
        <v/>
      </c>
      <c r="BD415" s="340" t="str">
        <f t="array" aca="1" ref="BD415" ca="1">IF(BD$406="", "", IF(ISERROR(PRODUCT(1+OFFSET(BD$8, $CC415, 0, 10, 1)%)), "", PRODUCT(1+OFFSET(BD$8, $CC415, 0, 10, 1)%)^(1/10)-1))</f>
        <v/>
      </c>
      <c r="BE415" s="340" t="str">
        <f t="array" aca="1" ref="BE415" ca="1">IF(BE$406="", "", IF(ISERROR(PRODUCT(1+OFFSET(BE$8, $CC415, 0, 10, 1)%)), "", PRODUCT(1+OFFSET(BE$8, $CC415, 0, 10, 1)%)^(1/10)-1))</f>
        <v/>
      </c>
      <c r="BF415" s="340" t="str">
        <f t="array" aca="1" ref="BF415" ca="1">IF(BF$406="", "", IF(ISERROR(PRODUCT(1+OFFSET(BF$8, $CC415, 0, 10, 1)%)), "", PRODUCT(1+OFFSET(BF$8, $CC415, 0, 10, 1)%)^(1/10)-1))</f>
        <v/>
      </c>
      <c r="BG415" s="340" t="str">
        <f t="array" aca="1" ref="BG415" ca="1">IF(BG$406="", "", IF(ISERROR(PRODUCT(1+OFFSET(BG$8, $CC415, 0, 10, 1)%)), "", PRODUCT(1+OFFSET(BG$8, $CC415, 0, 10, 1)%)^(1/10)-1))</f>
        <v/>
      </c>
      <c r="BH415" s="340" t="str">
        <f t="array" aca="1" ref="BH415" ca="1">IF(BH$406="", "", IF(ISERROR(PRODUCT(1+OFFSET(BH$8, $CC415, 0, 10, 1)%)), "", PRODUCT(1+OFFSET(BH$8, $CC415, 0, 10, 1)%)^(1/10)-1))</f>
        <v/>
      </c>
      <c r="BI415" s="340" t="str">
        <f t="array" aca="1" ref="BI415" ca="1">IF(BI$406="", "", IF(ISERROR(PRODUCT(1+OFFSET(BI$8, $CC415, 0, 10, 1)%)), "", PRODUCT(1+OFFSET(BI$8, $CC415, 0, 10, 1)%)^(1/10)-1))</f>
        <v/>
      </c>
      <c r="BJ415" s="340" t="str">
        <f t="array" aca="1" ref="BJ415" ca="1">IF(BJ$406="", "", IF(ISERROR(PRODUCT(1+OFFSET(BJ$8, $CC415, 0, 10, 1)%)), "", PRODUCT(1+OFFSET(BJ$8, $CC415, 0, 10, 1)%)^(1/10)-1))</f>
        <v/>
      </c>
      <c r="BK415" s="340" t="str">
        <f t="array" aca="1" ref="BK415" ca="1">IF(BK$406="", "", IF(ISERROR(PRODUCT(1+OFFSET(BK$8, $CC415, 0, 10, 1)%)), "", PRODUCT(1+OFFSET(BK$8, $CC415, 0, 10, 1)%)^(1/10)-1))</f>
        <v/>
      </c>
      <c r="BL415" s="340" t="str">
        <f t="array" aca="1" ref="BL415" ca="1">IF(BL$406="", "", IF(ISERROR(PRODUCT(1+OFFSET(BL$8, $CC415, 0, 10, 1)%)), "", PRODUCT(1+OFFSET(BL$8, $CC415, 0, 10, 1)%)^(1/10)-1))</f>
        <v/>
      </c>
      <c r="BM415" s="340" t="str">
        <f t="array" aca="1" ref="BM415" ca="1">IF(BM$406="", "", IF(ISERROR(PRODUCT(1+OFFSET(BM$8, $CC415, 0, 10, 1)%)), "", PRODUCT(1+OFFSET(BM$8, $CC415, 0, 10, 1)%)^(1/10)-1))</f>
        <v/>
      </c>
      <c r="BN415" s="340" t="str">
        <f t="array" aca="1" ref="BN415" ca="1">IF(BN$406="", "", IF(ISERROR(PRODUCT(1+OFFSET(BN$8, $CC415, 0, 10, 1)%)), "", PRODUCT(1+OFFSET(BN$8, $CC415, 0, 10, 1)%)^(1/10)-1))</f>
        <v/>
      </c>
      <c r="BO415" s="340" t="str">
        <f t="array" aca="1" ref="BO415" ca="1">IF(BO$406="", "", IF(ISERROR(PRODUCT(1+OFFSET(BO$8, $CC415, 0, 10, 1)%)), "", PRODUCT(1+OFFSET(BO$8, $CC415, 0, 10, 1)%)^(1/10)-1))</f>
        <v/>
      </c>
      <c r="BP415" s="340" t="str">
        <f t="array" aca="1" ref="BP415" ca="1">IF(BP$406="", "", IF(ISERROR(PRODUCT(1+OFFSET(BP$8, $CC415, 0, 10, 1)%)), "", PRODUCT(1+OFFSET(BP$8, $CC415, 0, 10, 1)%)^(1/10)-1))</f>
        <v/>
      </c>
      <c r="BQ415" s="340" t="str">
        <f t="array" aca="1" ref="BQ415" ca="1">IF(BQ$406="", "", IF(ISERROR(PRODUCT(1+OFFSET(BQ$8, $CC415, 0, 10, 1)%)), "", PRODUCT(1+OFFSET(BQ$8, $CC415, 0, 10, 1)%)^(1/10)-1))</f>
        <v/>
      </c>
      <c r="BR415" s="340" t="str">
        <f t="array" aca="1" ref="BR415" ca="1">IF(BR$406="", "", IF(ISERROR(PRODUCT(1+OFFSET(BR$8, $CC415, 0, 10, 1)%)), "", PRODUCT(1+OFFSET(BR$8, $CC415, 0, 10, 1)%)^(1/10)-1))</f>
        <v/>
      </c>
      <c r="BS415" s="340" t="str">
        <f t="array" aca="1" ref="BS415" ca="1">IF(BS$406="", "", IF(ISERROR(PRODUCT(1+OFFSET(BS$8, $CC415, 0, 10, 1)%)), "", PRODUCT(1+OFFSET(BS$8, $CC415, 0, 10, 1)%)^(1/10)-1))</f>
        <v/>
      </c>
      <c r="BT415" s="340" t="str">
        <f t="array" aca="1" ref="BT415" ca="1">IF(BT$406="", "", IF(ISERROR(PRODUCT(1+OFFSET(BT$8, $CC415, 0, 10, 1)%)), "", PRODUCT(1+OFFSET(BT$8, $CC415, 0, 10, 1)%)^(1/10)-1))</f>
        <v/>
      </c>
      <c r="BU415" s="340" t="str">
        <f t="array" aca="1" ref="BU415" ca="1">IF(BU$406="", "", IF(ISERROR(PRODUCT(1+OFFSET(BU$8, $CC415, 0, 10, 1)%)), "", PRODUCT(1+OFFSET(BU$8, $CC415, 0, 10, 1)%)^(1/10)-1))</f>
        <v/>
      </c>
      <c r="BV415" s="340" t="str">
        <f t="array" aca="1" ref="BV415" ca="1">IF(BV$406="", "", IF(ISERROR(PRODUCT(1+OFFSET(BV$8, $CC415, 0, 10, 1)%)), "", PRODUCT(1+OFFSET(BV$8, $CC415, 0, 10, 1)%)^(1/10)-1))</f>
        <v/>
      </c>
      <c r="BW415" s="340" t="str">
        <f t="array" aca="1" ref="BW415" ca="1">IF(BW$406="", "", IF(ISERROR(PRODUCT(1+OFFSET(BW$8, $CC415, 0, 10, 1)%)), "", PRODUCT(1+OFFSET(BW$8, $CC415, 0, 10, 1)%)^(1/10)-1))</f>
        <v/>
      </c>
      <c r="BX415" s="340">
        <f t="array" aca="1" ref="BX415" ca="1">IF(BX$406="", "", IF(ISERROR(PRODUCT(1+OFFSET(BX$8, $CC415, 0, 10, 1)%)), "", PRODUCT(1+OFFSET(BX$8, $CC415, 0, 10, 1)%)^(1/10)-1))</f>
        <v>0.1563713218835201</v>
      </c>
      <c r="BY415" s="340">
        <f t="array" aca="1" ref="BY415" ca="1">IF(BY$406="", "", IF(ISERROR(PRODUCT(1+OFFSET(BY$8, $CC415, 0, 10, 1)%)), "", PRODUCT(1+OFFSET(BY$8, $CC415, 0, 10, 1)%)^(1/10)-1))</f>
        <v>2.5831229345883111E-2</v>
      </c>
      <c r="BZ415" s="340">
        <f t="array" aca="1" ref="BZ415" ca="1">IF(BZ$406="", "", IF(ISERROR(PRODUCT(1+OFFSET(BZ$8, $CC415, 0, 10, 1)%)), "", PRODUCT(1+OFFSET(BZ$8, $CC415, 0, 10, 1)%)^(1/10)-1))</f>
        <v>2.6830826246851514E-2</v>
      </c>
      <c r="CA415" s="532">
        <f t="array" aca="1" ref="CA415" ca="1">IF(CA$406="", "", IF(ISERROR(PRODUCT(1+OFFSET(CA$8, $CC415, 0, 10, 1)%)), "", PRODUCT(1+OFFSET(CA$8, $CC415, 0, 10, 1)%)^(1/10)-1))</f>
        <v>1.6104219302015998E-2</v>
      </c>
      <c r="CC415" s="482">
        <f t="shared" si="551"/>
        <v>80</v>
      </c>
    </row>
    <row r="416" spans="1:81" ht="14">
      <c r="A416" s="338" t="str">
        <f t="shared" si="550"/>
        <v>1961-1970</v>
      </c>
      <c r="B416" s="339">
        <f t="array" aca="1" ref="B416" ca="1">IF(B$406="", "", IF(ISERROR(PRODUCT(1+OFFSET(B$8, $CC416, 0, 10, 1)%)), "", PRODUCT(1+OFFSET(B$8, $CC416, 0, 10, 1)%)^(1/10)-1))</f>
        <v>7.6777420205473179E-2</v>
      </c>
      <c r="C416" s="340" t="str">
        <f t="array" aca="1" ref="C416" ca="1">IF(C$406="", "", IF(ISERROR(PRODUCT(1+OFFSET(C$8, $CC416, 0, 10, 1)%)), "", PRODUCT(1+OFFSET(C$8, $CC416, 0, 10, 1)%)^(1/10)-1))</f>
        <v/>
      </c>
      <c r="D416" s="340">
        <f t="array" aca="1" ref="D416" ca="1">IF(D$406="", "", IF(ISERROR(PRODUCT(1+OFFSET(D$8, $CC416, 0, 10, 1)%)), "", PRODUCT(1+OFFSET(D$8, $CC416, 0, 10, 1)%)^(1/10)-1))</f>
        <v>7.6777420205473179E-2</v>
      </c>
      <c r="E416" s="340" t="str">
        <f t="array" aca="1" ref="E416" ca="1">IF(E$406="", "", IF(ISERROR(PRODUCT(1+OFFSET(E$8, $CC416, 0, 10, 1)%)), "", PRODUCT(1+OFFSET(E$8, $CC416, 0, 10, 1)%)^(1/10)-1))</f>
        <v/>
      </c>
      <c r="F416" s="340" t="str">
        <f t="array" aca="1" ref="F416" ca="1">IF(F$406="", "", IF(ISERROR(PRODUCT(1+OFFSET(F$8, $CC416, 0, 10, 1)%)), "", PRODUCT(1+OFFSET(F$8, $CC416, 0, 10, 1)%)^(1/10)-1))</f>
        <v/>
      </c>
      <c r="G416" s="340" t="str">
        <f t="array" aca="1" ref="G416" ca="1">IF(G$406="", "", IF(ISERROR(PRODUCT(1+OFFSET(G$8, $CC416, 0, 10, 1)%)), "", PRODUCT(1+OFFSET(G$8, $CC416, 0, 10, 1)%)^(1/10)-1))</f>
        <v/>
      </c>
      <c r="H416" s="340" t="str">
        <f t="array" aca="1" ref="H416" ca="1">IF(H$406="", "", IF(ISERROR(PRODUCT(1+OFFSET(H$8, $CC416, 0, 10, 1)%)), "", PRODUCT(1+OFFSET(H$8, $CC416, 0, 10, 1)%)^(1/10)-1))</f>
        <v/>
      </c>
      <c r="I416" s="340" t="str">
        <f t="array" aca="1" ref="I416" ca="1">IF(I$406="", "", IF(ISERROR(PRODUCT(1+OFFSET(I$8, $CC416, 0, 10, 1)%)), "", PRODUCT(1+OFFSET(I$8, $CC416, 0, 10, 1)%)^(1/10)-1))</f>
        <v/>
      </c>
      <c r="J416" s="340" t="str">
        <f t="array" aca="1" ref="J416" ca="1">IF(J$406="", "", IF(ISERROR(PRODUCT(1+OFFSET(J$8, $CC416, 0, 10, 1)%)), "", PRODUCT(1+OFFSET(J$8, $CC416, 0, 10, 1)%)^(1/10)-1))</f>
        <v/>
      </c>
      <c r="K416" s="340" t="str">
        <f t="array" aca="1" ref="K416" ca="1">IF(K$406="", "", IF(ISERROR(PRODUCT(1+OFFSET(K$8, $CC416, 0, 10, 1)%)), "", PRODUCT(1+OFFSET(K$8, $CC416, 0, 10, 1)%)^(1/10)-1))</f>
        <v/>
      </c>
      <c r="L416" s="340" t="str">
        <f t="array" aca="1" ref="L416" ca="1">IF(L$406="", "", IF(ISERROR(PRODUCT(1+OFFSET(L$8, $CC416, 0, 10, 1)%)), "", PRODUCT(1+OFFSET(L$8, $CC416, 0, 10, 1)%)^(1/10)-1))</f>
        <v/>
      </c>
      <c r="M416" s="340" t="str">
        <f t="array" aca="1" ref="M416" ca="1">IF(M$406="", "", IF(ISERROR(PRODUCT(1+OFFSET(M$8, $CC416, 0, 10, 1)%)), "", PRODUCT(1+OFFSET(M$8, $CC416, 0, 10, 1)%)^(1/10)-1))</f>
        <v/>
      </c>
      <c r="N416" s="498" t="str">
        <f t="array" aca="1" ref="N416" ca="1">IF(N$406="", "", IF(ISERROR(PRODUCT(1+OFFSET(N$8, $CC416, 0, 10, 1)%)), "", PRODUCT(1+OFFSET(N$8, $CC416, 0, 10, 1)%)^(1/10)-1))</f>
        <v/>
      </c>
      <c r="O416" s="340" t="str">
        <f t="array" aca="1" ref="O416" ca="1">IF(O$406="", "", IF(ISERROR(PRODUCT(1+OFFSET(O$8, $CC416, 0, 10, 1)%)), "", PRODUCT(1+OFFSET(O$8, $CC416, 0, 10, 1)%)^(1/10)-1))</f>
        <v/>
      </c>
      <c r="P416" s="340" t="str">
        <f t="array" aca="1" ref="P416" ca="1">IF(P$406="", "", IF(ISERROR(PRODUCT(1+OFFSET(P$8, $CC416, 0, 10, 1)%)), "", PRODUCT(1+OFFSET(P$8, $CC416, 0, 10, 1)%)^(1/10)-1))</f>
        <v/>
      </c>
      <c r="Q416" s="340" t="str">
        <f t="array" aca="1" ref="Q416" ca="1">IF(Q$406="", "", IF(ISERROR(PRODUCT(1+OFFSET(Q$8, $CC416, 0, 10, 1)%)), "", PRODUCT(1+OFFSET(Q$8, $CC416, 0, 10, 1)%)^(1/10)-1))</f>
        <v/>
      </c>
      <c r="R416" s="340" t="str">
        <f t="array" aca="1" ref="R416" ca="1">IF(R$406="", "", IF(ISERROR(PRODUCT(1+OFFSET(R$8, $CC416, 0, 10, 1)%)), "", PRODUCT(1+OFFSET(R$8, $CC416, 0, 10, 1)%)^(1/10)-1))</f>
        <v/>
      </c>
      <c r="S416" s="340" t="str">
        <f t="array" aca="1" ref="S416" ca="1">IF(S$406="", "", IF(ISERROR(PRODUCT(1+OFFSET(S$8, $CC416, 0, 10, 1)%)), "", PRODUCT(1+OFFSET(S$8, $CC416, 0, 10, 1)%)^(1/10)-1))</f>
        <v/>
      </c>
      <c r="T416" s="340">
        <f t="array" aca="1" ref="T416" ca="1">IF(T$406="", "", IF(ISERROR(PRODUCT(1+OFFSET(T$8, $CC416, 0, 10, 1)%)), "", PRODUCT(1+OFFSET(T$8, $CC416, 0, 10, 1)%)^(1/10)-1))</f>
        <v>3.6316509964094079E-2</v>
      </c>
      <c r="U416" s="340">
        <f t="array" aca="1" ref="U416" ca="1">IF(U$406="", "", IF(ISERROR(PRODUCT(1+OFFSET(U$8, $CC416, 0, 10, 1)%)), "", PRODUCT(1+OFFSET(U$8, $CC416, 0, 10, 1)%)^(1/10)-1))</f>
        <v>3.6316509964094079E-2</v>
      </c>
      <c r="V416" s="340">
        <f t="array" aca="1" ref="V416" ca="1">IF(V$406="", "", IF(ISERROR(PRODUCT(1+OFFSET(V$8, $CC416, 0, 10, 1)%)), "", PRODUCT(1+OFFSET(V$8, $CC416, 0, 10, 1)%)^(1/10)-1))</f>
        <v>4.5303016604257174E-2</v>
      </c>
      <c r="W416" s="340" t="str">
        <f t="array" aca="1" ref="W416" ca="1">IF(W$406="", "", IF(ISERROR(PRODUCT(1+OFFSET(W$8, $CC416, 0, 10, 1)%)), "", PRODUCT(1+OFFSET(W$8, $CC416, 0, 10, 1)%)^(1/10)-1))</f>
        <v/>
      </c>
      <c r="X416" s="340" t="str">
        <f t="array" aca="1" ref="X416" ca="1">IF(X$406="", "", IF(ISERROR(PRODUCT(1+OFFSET(X$8, $CC416, 0, 10, 1)%)), "", PRODUCT(1+OFFSET(X$8, $CC416, 0, 10, 1)%)^(1/10)-1))</f>
        <v/>
      </c>
      <c r="Y416" s="340" t="str">
        <f t="array" aca="1" ref="Y416" ca="1">IF(Y$406="", "", IF(ISERROR(PRODUCT(1+OFFSET(Y$8, $CC416, 0, 10, 1)%)), "", PRODUCT(1+OFFSET(Y$8, $CC416, 0, 10, 1)%)^(1/10)-1))</f>
        <v/>
      </c>
      <c r="Z416" s="340" t="str">
        <f t="array" aca="1" ref="Z416" ca="1">IF(Z$406="", "", IF(ISERROR(PRODUCT(1+OFFSET(Z$8, $CC416, 0, 10, 1)%)), "", PRODUCT(1+OFFSET(Z$8, $CC416, 0, 10, 1)%)^(1/10)-1))</f>
        <v/>
      </c>
      <c r="AA416" s="340" t="str">
        <f t="array" aca="1" ref="AA416" ca="1">IF(AA$406="", "", IF(ISERROR(PRODUCT(1+OFFSET(AA$8, $CC416, 0, 10, 1)%)), "", PRODUCT(1+OFFSET(AA$8, $CC416, 0, 10, 1)%)^(1/10)-1))</f>
        <v/>
      </c>
      <c r="AB416" s="340" t="str">
        <f t="array" aca="1" ref="AB416" ca="1">IF(AB$406="", "", IF(ISERROR(PRODUCT(1+OFFSET(AB$8, $CC416, 0, 10, 1)%)), "", PRODUCT(1+OFFSET(AB$8, $CC416, 0, 10, 1)%)^(1/10)-1))</f>
        <v/>
      </c>
      <c r="AC416" s="340" t="str">
        <f t="array" aca="1" ref="AC416" ca="1">IF(AC$406="", "", IF(ISERROR(PRODUCT(1+OFFSET(AC$8, $CC416, 0, 10, 1)%)), "", PRODUCT(1+OFFSET(AC$8, $CC416, 0, 10, 1)%)^(1/10)-1))</f>
        <v/>
      </c>
      <c r="AD416" s="340" t="str">
        <f t="array" aca="1" ref="AD416" ca="1">IF(AD$406="", "", IF(ISERROR(PRODUCT(1+OFFSET(AD$8, $CC416, 0, 10, 1)%)), "", PRODUCT(1+OFFSET(AD$8, $CC416, 0, 10, 1)%)^(1/10)-1))</f>
        <v/>
      </c>
      <c r="AE416" s="340" t="str">
        <f t="array" aca="1" ref="AE416" ca="1">IF(AE$406="", "", IF(ISERROR(PRODUCT(1+OFFSET(AE$8, $CC416, 0, 10, 1)%)), "", PRODUCT(1+OFFSET(AE$8, $CC416, 0, 10, 1)%)^(1/10)-1))</f>
        <v/>
      </c>
      <c r="AF416" s="340" t="str">
        <f t="array" aca="1" ref="AF416" ca="1">IF(AF$406="", "", IF(ISERROR(PRODUCT(1+OFFSET(AF$8, $CC416, 0, 10, 1)%)), "", PRODUCT(1+OFFSET(AF$8, $CC416, 0, 10, 1)%)^(1/10)-1))</f>
        <v/>
      </c>
      <c r="AG416" s="340" t="str">
        <f t="array" aca="1" ref="AG416" ca="1">IF(AG$406="", "", IF(ISERROR(PRODUCT(1+OFFSET(AG$8, $CC416, 0, 10, 1)%)), "", PRODUCT(1+OFFSET(AG$8, $CC416, 0, 10, 1)%)^(1/10)-1))</f>
        <v/>
      </c>
      <c r="AH416" s="340" t="str">
        <f t="array" aca="1" ref="AH416" ca="1">IF(AH$406="", "", IF(ISERROR(PRODUCT(1+OFFSET(AH$8, $CC416, 0, 10, 1)%)), "", PRODUCT(1+OFFSET(AH$8, $CC416, 0, 10, 1)%)^(1/10)-1))</f>
        <v/>
      </c>
      <c r="AI416" s="340" t="str">
        <f t="array" aca="1" ref="AI416" ca="1">IF(AI$406="", "", IF(ISERROR(PRODUCT(1+OFFSET(AI$8, $CC416, 0, 10, 1)%)), "", PRODUCT(1+OFFSET(AI$8, $CC416, 0, 10, 1)%)^(1/10)-1))</f>
        <v/>
      </c>
      <c r="AJ416" s="340" t="str">
        <f t="array" aca="1" ref="AJ416" ca="1">IF(AJ$406="", "", IF(ISERROR(PRODUCT(1+OFFSET(AJ$8, $CC416, 0, 10, 1)%)), "", PRODUCT(1+OFFSET(AJ$8, $CC416, 0, 10, 1)%)^(1/10)-1))</f>
        <v/>
      </c>
      <c r="AK416" s="340" t="str">
        <f t="array" aca="1" ref="AK416" ca="1">IF(AK$406="", "", IF(ISERROR(PRODUCT(1+OFFSET(AK$8, $CC416, 0, 10, 1)%)), "", PRODUCT(1+OFFSET(AK$8, $CC416, 0, 10, 1)%)^(1/10)-1))</f>
        <v/>
      </c>
      <c r="AL416" s="340" t="str">
        <f t="array" aca="1" ref="AL416" ca="1">IF(AL$406="", "", IF(ISERROR(PRODUCT(1+OFFSET(AL$8, $CC416, 0, 10, 1)%)), "", PRODUCT(1+OFFSET(AL$8, $CC416, 0, 10, 1)%)^(1/10)-1))</f>
        <v/>
      </c>
      <c r="AM416" s="340" t="str">
        <f t="array" aca="1" ref="AM416" ca="1">IF(AM$406="", "", IF(ISERROR(PRODUCT(1+OFFSET(AM$8, $CC416, 0, 10, 1)%)), "", PRODUCT(1+OFFSET(AM$8, $CC416, 0, 10, 1)%)^(1/10)-1))</f>
        <v/>
      </c>
      <c r="AN416" s="340" t="str">
        <f t="array" aca="1" ref="AN416" ca="1">IF(AN$406="", "", IF(ISERROR(PRODUCT(1+OFFSET(AN$8, $CC416, 0, 10, 1)%)), "", PRODUCT(1+OFFSET(AN$8, $CC416, 0, 10, 1)%)^(1/10)-1))</f>
        <v/>
      </c>
      <c r="AO416" s="340" t="str">
        <f t="array" aca="1" ref="AO416" ca="1">IF(AO$406="", "", IF(ISERROR(PRODUCT(1+OFFSET(AO$8, $CC416, 0, 10, 1)%)), "", PRODUCT(1+OFFSET(AO$8, $CC416, 0, 10, 1)%)^(1/10)-1))</f>
        <v/>
      </c>
      <c r="AP416" s="340" t="str">
        <f t="array" aca="1" ref="AP416" ca="1">IF(AP$406="", "", IF(ISERROR(PRODUCT(1+OFFSET(AP$8, $CC416, 0, 10, 1)%)), "", PRODUCT(1+OFFSET(AP$8, $CC416, 0, 10, 1)%)^(1/10)-1))</f>
        <v/>
      </c>
      <c r="AQ416" s="340" t="str">
        <f t="array" aca="1" ref="AQ416" ca="1">IF(AQ$406="", "", IF(ISERROR(PRODUCT(1+OFFSET(AQ$8, $CC416, 0, 10, 1)%)), "", PRODUCT(1+OFFSET(AQ$8, $CC416, 0, 10, 1)%)^(1/10)-1))</f>
        <v/>
      </c>
      <c r="AR416" s="340" t="str">
        <f t="array" aca="1" ref="AR416" ca="1">IF(AR$406="", "", IF(ISERROR(PRODUCT(1+OFFSET(AR$8, $CC416, 0, 10, 1)%)), "", PRODUCT(1+OFFSET(AR$8, $CC416, 0, 10, 1)%)^(1/10)-1))</f>
        <v/>
      </c>
      <c r="AS416" s="340" t="str">
        <f t="array" aca="1" ref="AS416" ca="1">IF(AS$406="", "", IF(ISERROR(PRODUCT(1+OFFSET(AS$8, $CC416, 0, 10, 1)%)), "", PRODUCT(1+OFFSET(AS$8, $CC416, 0, 10, 1)%)^(1/10)-1))</f>
        <v/>
      </c>
      <c r="AT416" s="340" t="str">
        <f t="array" aca="1" ref="AT416" ca="1">IF(AT$406="", "", IF(ISERROR(PRODUCT(1+OFFSET(AT$8, $CC416, 0, 10, 1)%)), "", PRODUCT(1+OFFSET(AT$8, $CC416, 0, 10, 1)%)^(1/10)-1))</f>
        <v/>
      </c>
      <c r="AU416" s="340" t="str">
        <f t="array" aca="1" ref="AU416" ca="1">IF(AU$406="", "", IF(ISERROR(PRODUCT(1+OFFSET(AU$8, $CC416, 0, 10, 1)%)), "", PRODUCT(1+OFFSET(AU$8, $CC416, 0, 10, 1)%)^(1/10)-1))</f>
        <v/>
      </c>
      <c r="AV416" s="340" t="str">
        <f t="array" aca="1" ref="AV416" ca="1">IF(AV$406="", "", IF(ISERROR(PRODUCT(1+OFFSET(AV$8, $CC416, 0, 10, 1)%)), "", PRODUCT(1+OFFSET(AV$8, $CC416, 0, 10, 1)%)^(1/10)-1))</f>
        <v/>
      </c>
      <c r="AW416" s="340" t="str">
        <f t="array" aca="1" ref="AW416" ca="1">IF(AW$406="", "", IF(ISERROR(PRODUCT(1+OFFSET(AW$8, $CC416, 0, 10, 1)%)), "", PRODUCT(1+OFFSET(AW$8, $CC416, 0, 10, 1)%)^(1/10)-1))</f>
        <v/>
      </c>
      <c r="AX416" s="340" t="str">
        <f t="array" aca="1" ref="AX416" ca="1">IF(AX$406="", "", IF(ISERROR(PRODUCT(1+OFFSET(AX$8, $CC416, 0, 10, 1)%)), "", PRODUCT(1+OFFSET(AX$8, $CC416, 0, 10, 1)%)^(1/10)-1))</f>
        <v/>
      </c>
      <c r="AY416" s="340" t="str">
        <f t="array" aca="1" ref="AY416" ca="1">IF(AY$406="", "", IF(ISERROR(PRODUCT(1+OFFSET(AY$8, $CC416, 0, 10, 1)%)), "", PRODUCT(1+OFFSET(AY$8, $CC416, 0, 10, 1)%)^(1/10)-1))</f>
        <v/>
      </c>
      <c r="AZ416" s="340" t="str">
        <f t="array" aca="1" ref="AZ416" ca="1">IF(AZ$406="", "", IF(ISERROR(PRODUCT(1+OFFSET(AZ$8, $CC416, 0, 10, 1)%)), "", PRODUCT(1+OFFSET(AZ$8, $CC416, 0, 10, 1)%)^(1/10)-1))</f>
        <v/>
      </c>
      <c r="BA416" s="340" t="str">
        <f t="array" aca="1" ref="BA416" ca="1">IF(BA$406="", "", IF(ISERROR(PRODUCT(1+OFFSET(BA$8, $CC416, 0, 10, 1)%)), "", PRODUCT(1+OFFSET(BA$8, $CC416, 0, 10, 1)%)^(1/10)-1))</f>
        <v/>
      </c>
      <c r="BB416" s="340" t="str">
        <f t="array" aca="1" ref="BB416" ca="1">IF(BB$406="", "", IF(ISERROR(PRODUCT(1+OFFSET(BB$8, $CC416, 0, 10, 1)%)), "", PRODUCT(1+OFFSET(BB$8, $CC416, 0, 10, 1)%)^(1/10)-1))</f>
        <v/>
      </c>
      <c r="BC416" s="340" t="str">
        <f t="array" aca="1" ref="BC416" ca="1">IF(BC$406="", "", IF(ISERROR(PRODUCT(1+OFFSET(BC$8, $CC416, 0, 10, 1)%)), "", PRODUCT(1+OFFSET(BC$8, $CC416, 0, 10, 1)%)^(1/10)-1))</f>
        <v/>
      </c>
      <c r="BD416" s="340" t="str">
        <f t="array" aca="1" ref="BD416" ca="1">IF(BD$406="", "", IF(ISERROR(PRODUCT(1+OFFSET(BD$8, $CC416, 0, 10, 1)%)), "", PRODUCT(1+OFFSET(BD$8, $CC416, 0, 10, 1)%)^(1/10)-1))</f>
        <v/>
      </c>
      <c r="BE416" s="340" t="str">
        <f t="array" aca="1" ref="BE416" ca="1">IF(BE$406="", "", IF(ISERROR(PRODUCT(1+OFFSET(BE$8, $CC416, 0, 10, 1)%)), "", PRODUCT(1+OFFSET(BE$8, $CC416, 0, 10, 1)%)^(1/10)-1))</f>
        <v/>
      </c>
      <c r="BF416" s="340" t="str">
        <f t="array" aca="1" ref="BF416" ca="1">IF(BF$406="", "", IF(ISERROR(PRODUCT(1+OFFSET(BF$8, $CC416, 0, 10, 1)%)), "", PRODUCT(1+OFFSET(BF$8, $CC416, 0, 10, 1)%)^(1/10)-1))</f>
        <v/>
      </c>
      <c r="BG416" s="340" t="str">
        <f t="array" aca="1" ref="BG416" ca="1">IF(BG$406="", "", IF(ISERROR(PRODUCT(1+OFFSET(BG$8, $CC416, 0, 10, 1)%)), "", PRODUCT(1+OFFSET(BG$8, $CC416, 0, 10, 1)%)^(1/10)-1))</f>
        <v/>
      </c>
      <c r="BH416" s="340" t="str">
        <f t="array" aca="1" ref="BH416" ca="1">IF(BH$406="", "", IF(ISERROR(PRODUCT(1+OFFSET(BH$8, $CC416, 0, 10, 1)%)), "", PRODUCT(1+OFFSET(BH$8, $CC416, 0, 10, 1)%)^(1/10)-1))</f>
        <v/>
      </c>
      <c r="BI416" s="340" t="str">
        <f t="array" aca="1" ref="BI416" ca="1">IF(BI$406="", "", IF(ISERROR(PRODUCT(1+OFFSET(BI$8, $CC416, 0, 10, 1)%)), "", PRODUCT(1+OFFSET(BI$8, $CC416, 0, 10, 1)%)^(1/10)-1))</f>
        <v/>
      </c>
      <c r="BJ416" s="340" t="str">
        <f t="array" aca="1" ref="BJ416" ca="1">IF(BJ$406="", "", IF(ISERROR(PRODUCT(1+OFFSET(BJ$8, $CC416, 0, 10, 1)%)), "", PRODUCT(1+OFFSET(BJ$8, $CC416, 0, 10, 1)%)^(1/10)-1))</f>
        <v/>
      </c>
      <c r="BK416" s="340" t="str">
        <f t="array" aca="1" ref="BK416" ca="1">IF(BK$406="", "", IF(ISERROR(PRODUCT(1+OFFSET(BK$8, $CC416, 0, 10, 1)%)), "", PRODUCT(1+OFFSET(BK$8, $CC416, 0, 10, 1)%)^(1/10)-1))</f>
        <v/>
      </c>
      <c r="BL416" s="340" t="str">
        <f t="array" aca="1" ref="BL416" ca="1">IF(BL$406="", "", IF(ISERROR(PRODUCT(1+OFFSET(BL$8, $CC416, 0, 10, 1)%)), "", PRODUCT(1+OFFSET(BL$8, $CC416, 0, 10, 1)%)^(1/10)-1))</f>
        <v/>
      </c>
      <c r="BM416" s="340" t="str">
        <f t="array" aca="1" ref="BM416" ca="1">IF(BM$406="", "", IF(ISERROR(PRODUCT(1+OFFSET(BM$8, $CC416, 0, 10, 1)%)), "", PRODUCT(1+OFFSET(BM$8, $CC416, 0, 10, 1)%)^(1/10)-1))</f>
        <v/>
      </c>
      <c r="BN416" s="340" t="str">
        <f t="array" aca="1" ref="BN416" ca="1">IF(BN$406="", "", IF(ISERROR(PRODUCT(1+OFFSET(BN$8, $CC416, 0, 10, 1)%)), "", PRODUCT(1+OFFSET(BN$8, $CC416, 0, 10, 1)%)^(1/10)-1))</f>
        <v/>
      </c>
      <c r="BO416" s="340" t="str">
        <f t="array" aca="1" ref="BO416" ca="1">IF(BO$406="", "", IF(ISERROR(PRODUCT(1+OFFSET(BO$8, $CC416, 0, 10, 1)%)), "", PRODUCT(1+OFFSET(BO$8, $CC416, 0, 10, 1)%)^(1/10)-1))</f>
        <v/>
      </c>
      <c r="BP416" s="340" t="str">
        <f t="array" aca="1" ref="BP416" ca="1">IF(BP$406="", "", IF(ISERROR(PRODUCT(1+OFFSET(BP$8, $CC416, 0, 10, 1)%)), "", PRODUCT(1+OFFSET(BP$8, $CC416, 0, 10, 1)%)^(1/10)-1))</f>
        <v/>
      </c>
      <c r="BQ416" s="340" t="str">
        <f t="array" aca="1" ref="BQ416" ca="1">IF(BQ$406="", "", IF(ISERROR(PRODUCT(1+OFFSET(BQ$8, $CC416, 0, 10, 1)%)), "", PRODUCT(1+OFFSET(BQ$8, $CC416, 0, 10, 1)%)^(1/10)-1))</f>
        <v/>
      </c>
      <c r="BR416" s="340" t="str">
        <f t="array" aca="1" ref="BR416" ca="1">IF(BR$406="", "", IF(ISERROR(PRODUCT(1+OFFSET(BR$8, $CC416, 0, 10, 1)%)), "", PRODUCT(1+OFFSET(BR$8, $CC416, 0, 10, 1)%)^(1/10)-1))</f>
        <v/>
      </c>
      <c r="BS416" s="340" t="str">
        <f t="array" aca="1" ref="BS416" ca="1">IF(BS$406="", "", IF(ISERROR(PRODUCT(1+OFFSET(BS$8, $CC416, 0, 10, 1)%)), "", PRODUCT(1+OFFSET(BS$8, $CC416, 0, 10, 1)%)^(1/10)-1))</f>
        <v/>
      </c>
      <c r="BT416" s="340" t="str">
        <f t="array" aca="1" ref="BT416" ca="1">IF(BT$406="", "", IF(ISERROR(PRODUCT(1+OFFSET(BT$8, $CC416, 0, 10, 1)%)), "", PRODUCT(1+OFFSET(BT$8, $CC416, 0, 10, 1)%)^(1/10)-1))</f>
        <v/>
      </c>
      <c r="BU416" s="340" t="str">
        <f t="array" aca="1" ref="BU416" ca="1">IF(BU$406="", "", IF(ISERROR(PRODUCT(1+OFFSET(BU$8, $CC416, 0, 10, 1)%)), "", PRODUCT(1+OFFSET(BU$8, $CC416, 0, 10, 1)%)^(1/10)-1))</f>
        <v/>
      </c>
      <c r="BV416" s="340" t="str">
        <f t="array" aca="1" ref="BV416" ca="1">IF(BV$406="", "", IF(ISERROR(PRODUCT(1+OFFSET(BV$8, $CC416, 0, 10, 1)%)), "", PRODUCT(1+OFFSET(BV$8, $CC416, 0, 10, 1)%)^(1/10)-1))</f>
        <v/>
      </c>
      <c r="BW416" s="340" t="str">
        <f t="array" aca="1" ref="BW416" ca="1">IF(BW$406="", "", IF(ISERROR(PRODUCT(1+OFFSET(BW$8, $CC416, 0, 10, 1)%)), "", PRODUCT(1+OFFSET(BW$8, $CC416, 0, 10, 1)%)^(1/10)-1))</f>
        <v/>
      </c>
      <c r="BX416" s="340">
        <f t="array" aca="1" ref="BX416" ca="1">IF(BX$406="", "", IF(ISERROR(PRODUCT(1+OFFSET(BX$8, $CC416, 0, 10, 1)%)), "", PRODUCT(1+OFFSET(BX$8, $CC416, 0, 10, 1)%)^(1/10)-1))</f>
        <v>7.8607941819822447E-2</v>
      </c>
      <c r="BY416" s="340">
        <f t="array" aca="1" ref="BY416" ca="1">IF(BY$406="", "", IF(ISERROR(PRODUCT(1+OFFSET(BY$8, $CC416, 0, 10, 1)%)), "", PRODUCT(1+OFFSET(BY$8, $CC416, 0, 10, 1)%)^(1/10)-1))</f>
        <v>3.8389142984022184E-2</v>
      </c>
      <c r="BZ416" s="340">
        <f t="array" aca="1" ref="BZ416" ca="1">IF(BZ$406="", "", IF(ISERROR(PRODUCT(1+OFFSET(BZ$8, $CC416, 0, 10, 1)%)), "", PRODUCT(1+OFFSET(BZ$8, $CC416, 0, 10, 1)%)^(1/10)-1))</f>
        <v>4.6243789319201145E-2</v>
      </c>
      <c r="CA416" s="532">
        <f t="array" aca="1" ref="CA416" ca="1">IF(CA$406="", "", IF(ISERROR(PRODUCT(1+OFFSET(CA$8, $CC416, 0, 10, 1)%)), "", PRODUCT(1+OFFSET(CA$8, $CC416, 0, 10, 1)%)^(1/10)-1))</f>
        <v>2.9358560938541389E-2</v>
      </c>
      <c r="CC416" s="482">
        <f t="shared" si="551"/>
        <v>90</v>
      </c>
    </row>
    <row r="417" spans="1:81" ht="14">
      <c r="A417" s="338" t="str">
        <f t="shared" si="550"/>
        <v>1971-1980</v>
      </c>
      <c r="B417" s="339">
        <f t="array" aca="1" ref="B417" ca="1">IF(B$406="", "", IF(ISERROR(PRODUCT(1+OFFSET(B$8, $CC417, 0, 10, 1)%)), "", PRODUCT(1+OFFSET(B$8, $CC417, 0, 10, 1)%)^(1/10)-1))</f>
        <v>8.7003678453754452E-2</v>
      </c>
      <c r="C417" s="340" t="str">
        <f t="array" aca="1" ref="C417" ca="1">IF(C$406="", "", IF(ISERROR(PRODUCT(1+OFFSET(C$8, $CC417, 0, 10, 1)%)), "", PRODUCT(1+OFFSET(C$8, $CC417, 0, 10, 1)%)^(1/10)-1))</f>
        <v/>
      </c>
      <c r="D417" s="340">
        <f t="array" aca="1" ref="D417" ca="1">IF(D$406="", "", IF(ISERROR(PRODUCT(1+OFFSET(D$8, $CC417, 0, 10, 1)%)), "", PRODUCT(1+OFFSET(D$8, $CC417, 0, 10, 1)%)^(1/10)-1))</f>
        <v>8.0401731771187812E-2</v>
      </c>
      <c r="E417" s="340" t="str">
        <f t="array" aca="1" ref="E417" ca="1">IF(E$406="", "", IF(ISERROR(PRODUCT(1+OFFSET(E$8, $CC417, 0, 10, 1)%)), "", PRODUCT(1+OFFSET(E$8, $CC417, 0, 10, 1)%)^(1/10)-1))</f>
        <v/>
      </c>
      <c r="F417" s="340" t="str">
        <f t="array" aca="1" ref="F417" ca="1">IF(F$406="", "", IF(ISERROR(PRODUCT(1+OFFSET(F$8, $CC417, 0, 10, 1)%)), "", PRODUCT(1+OFFSET(F$8, $CC417, 0, 10, 1)%)^(1/10)-1))</f>
        <v/>
      </c>
      <c r="G417" s="340" t="str">
        <f t="array" aca="1" ref="G417" ca="1">IF(G$406="", "", IF(ISERROR(PRODUCT(1+OFFSET(G$8, $CC417, 0, 10, 1)%)), "", PRODUCT(1+OFFSET(G$8, $CC417, 0, 10, 1)%)^(1/10)-1))</f>
        <v/>
      </c>
      <c r="H417" s="340" t="str">
        <f t="array" aca="1" ref="H417" ca="1">IF(H$406="", "", IF(ISERROR(PRODUCT(1+OFFSET(H$8, $CC417, 0, 10, 1)%)), "", PRODUCT(1+OFFSET(H$8, $CC417, 0, 10, 1)%)^(1/10)-1))</f>
        <v/>
      </c>
      <c r="I417" s="340" t="str">
        <f t="array" aca="1" ref="I417" ca="1">IF(I$406="", "", IF(ISERROR(PRODUCT(1+OFFSET(I$8, $CC417, 0, 10, 1)%)), "", PRODUCT(1+OFFSET(I$8, $CC417, 0, 10, 1)%)^(1/10)-1))</f>
        <v/>
      </c>
      <c r="J417" s="340" t="str">
        <f t="array" aca="1" ref="J417" ca="1">IF(J$406="", "", IF(ISERROR(PRODUCT(1+OFFSET(J$8, $CC417, 0, 10, 1)%)), "", PRODUCT(1+OFFSET(J$8, $CC417, 0, 10, 1)%)^(1/10)-1))</f>
        <v/>
      </c>
      <c r="K417" s="340" t="str">
        <f t="array" aca="1" ref="K417" ca="1">IF(K$406="", "", IF(ISERROR(PRODUCT(1+OFFSET(K$8, $CC417, 0, 10, 1)%)), "", PRODUCT(1+OFFSET(K$8, $CC417, 0, 10, 1)%)^(1/10)-1))</f>
        <v/>
      </c>
      <c r="L417" s="340" t="str">
        <f t="array" aca="1" ref="L417" ca="1">IF(L$406="", "", IF(ISERROR(PRODUCT(1+OFFSET(L$8, $CC417, 0, 10, 1)%)), "", PRODUCT(1+OFFSET(L$8, $CC417, 0, 10, 1)%)^(1/10)-1))</f>
        <v/>
      </c>
      <c r="M417" s="340" t="str">
        <f t="array" aca="1" ref="M417" ca="1">IF(M$406="", "", IF(ISERROR(PRODUCT(1+OFFSET(M$8, $CC417, 0, 10, 1)%)), "", PRODUCT(1+OFFSET(M$8, $CC417, 0, 10, 1)%)^(1/10)-1))</f>
        <v/>
      </c>
      <c r="N417" s="498" t="str">
        <f t="array" aca="1" ref="N417" ca="1">IF(N$406="", "", IF(ISERROR(PRODUCT(1+OFFSET(N$8, $CC417, 0, 10, 1)%)), "", PRODUCT(1+OFFSET(N$8, $CC417, 0, 10, 1)%)^(1/10)-1))</f>
        <v/>
      </c>
      <c r="O417" s="340" t="str">
        <f t="array" aca="1" ref="O417" ca="1">IF(O$406="", "", IF(ISERROR(PRODUCT(1+OFFSET(O$8, $CC417, 0, 10, 1)%)), "", PRODUCT(1+OFFSET(O$8, $CC417, 0, 10, 1)%)^(1/10)-1))</f>
        <v/>
      </c>
      <c r="P417" s="340" t="str">
        <f t="array" aca="1" ref="P417" ca="1">IF(P$406="", "", IF(ISERROR(PRODUCT(1+OFFSET(P$8, $CC417, 0, 10, 1)%)), "", PRODUCT(1+OFFSET(P$8, $CC417, 0, 10, 1)%)^(1/10)-1))</f>
        <v/>
      </c>
      <c r="Q417" s="340" t="str">
        <f t="array" aca="1" ref="Q417" ca="1">IF(Q$406="", "", IF(ISERROR(PRODUCT(1+OFFSET(Q$8, $CC417, 0, 10, 1)%)), "", PRODUCT(1+OFFSET(Q$8, $CC417, 0, 10, 1)%)^(1/10)-1))</f>
        <v/>
      </c>
      <c r="R417" s="340" t="str">
        <f t="array" aca="1" ref="R417" ca="1">IF(R$406="", "", IF(ISERROR(PRODUCT(1+OFFSET(R$8, $CC417, 0, 10, 1)%)), "", PRODUCT(1+OFFSET(R$8, $CC417, 0, 10, 1)%)^(1/10)-1))</f>
        <v/>
      </c>
      <c r="S417" s="340" t="str">
        <f t="array" aca="1" ref="S417" ca="1">IF(S$406="", "", IF(ISERROR(PRODUCT(1+OFFSET(S$8, $CC417, 0, 10, 1)%)), "", PRODUCT(1+OFFSET(S$8, $CC417, 0, 10, 1)%)^(1/10)-1))</f>
        <v/>
      </c>
      <c r="T417" s="340">
        <f t="array" aca="1" ref="T417" ca="1">IF(T$406="", "", IF(ISERROR(PRODUCT(1+OFFSET(T$8, $CC417, 0, 10, 1)%)), "", PRODUCT(1+OFFSET(T$8, $CC417, 0, 10, 1)%)^(1/10)-1))</f>
        <v>4.7374587235146981E-2</v>
      </c>
      <c r="U417" s="340">
        <f t="array" aca="1" ref="U417" ca="1">IF(U$406="", "", IF(ISERROR(PRODUCT(1+OFFSET(U$8, $CC417, 0, 10, 1)%)), "", PRODUCT(1+OFFSET(U$8, $CC417, 0, 10, 1)%)^(1/10)-1))</f>
        <v>5.9730215113795504E-2</v>
      </c>
      <c r="V417" s="340">
        <f t="array" aca="1" ref="V417" ca="1">IF(V$406="", "", IF(ISERROR(PRODUCT(1+OFFSET(V$8, $CC417, 0, 10, 1)%)), "", PRODUCT(1+OFFSET(V$8, $CC417, 0, 10, 1)%)^(1/10)-1))</f>
        <v>6.6952082099951848E-2</v>
      </c>
      <c r="W417" s="340" t="str">
        <f t="array" aca="1" ref="W417" ca="1">IF(W$406="", "", IF(ISERROR(PRODUCT(1+OFFSET(W$8, $CC417, 0, 10, 1)%)), "", PRODUCT(1+OFFSET(W$8, $CC417, 0, 10, 1)%)^(1/10)-1))</f>
        <v/>
      </c>
      <c r="X417" s="340" t="str">
        <f t="array" aca="1" ref="X417" ca="1">IF(X$406="", "", IF(ISERROR(PRODUCT(1+OFFSET(X$8, $CC417, 0, 10, 1)%)), "", PRODUCT(1+OFFSET(X$8, $CC417, 0, 10, 1)%)^(1/10)-1))</f>
        <v/>
      </c>
      <c r="Y417" s="340" t="str">
        <f t="array" aca="1" ref="Y417" ca="1">IF(Y$406="", "", IF(ISERROR(PRODUCT(1+OFFSET(Y$8, $CC417, 0, 10, 1)%)), "", PRODUCT(1+OFFSET(Y$8, $CC417, 0, 10, 1)%)^(1/10)-1))</f>
        <v/>
      </c>
      <c r="Z417" s="340" t="str">
        <f t="array" aca="1" ref="Z417" ca="1">IF(Z$406="", "", IF(ISERROR(PRODUCT(1+OFFSET(Z$8, $CC417, 0, 10, 1)%)), "", PRODUCT(1+OFFSET(Z$8, $CC417, 0, 10, 1)%)^(1/10)-1))</f>
        <v/>
      </c>
      <c r="AA417" s="340" t="str">
        <f t="array" aca="1" ref="AA417" ca="1">IF(AA$406="", "", IF(ISERROR(PRODUCT(1+OFFSET(AA$8, $CC417, 0, 10, 1)%)), "", PRODUCT(1+OFFSET(AA$8, $CC417, 0, 10, 1)%)^(1/10)-1))</f>
        <v/>
      </c>
      <c r="AB417" s="340" t="str">
        <f t="array" aca="1" ref="AB417" ca="1">IF(AB$406="", "", IF(ISERROR(PRODUCT(1+OFFSET(AB$8, $CC417, 0, 10, 1)%)), "", PRODUCT(1+OFFSET(AB$8, $CC417, 0, 10, 1)%)^(1/10)-1))</f>
        <v/>
      </c>
      <c r="AC417" s="340" t="str">
        <f t="array" aca="1" ref="AC417" ca="1">IF(AC$406="", "", IF(ISERROR(PRODUCT(1+OFFSET(AC$8, $CC417, 0, 10, 1)%)), "", PRODUCT(1+OFFSET(AC$8, $CC417, 0, 10, 1)%)^(1/10)-1))</f>
        <v/>
      </c>
      <c r="AD417" s="340" t="str">
        <f t="array" aca="1" ref="AD417" ca="1">IF(AD$406="", "", IF(ISERROR(PRODUCT(1+OFFSET(AD$8, $CC417, 0, 10, 1)%)), "", PRODUCT(1+OFFSET(AD$8, $CC417, 0, 10, 1)%)^(1/10)-1))</f>
        <v/>
      </c>
      <c r="AE417" s="340" t="str">
        <f t="array" aca="1" ref="AE417" ca="1">IF(AE$406="", "", IF(ISERROR(PRODUCT(1+OFFSET(AE$8, $CC417, 0, 10, 1)%)), "", PRODUCT(1+OFFSET(AE$8, $CC417, 0, 10, 1)%)^(1/10)-1))</f>
        <v/>
      </c>
      <c r="AF417" s="340" t="str">
        <f t="array" aca="1" ref="AF417" ca="1">IF(AF$406="", "", IF(ISERROR(PRODUCT(1+OFFSET(AF$8, $CC417, 0, 10, 1)%)), "", PRODUCT(1+OFFSET(AF$8, $CC417, 0, 10, 1)%)^(1/10)-1))</f>
        <v/>
      </c>
      <c r="AG417" s="340" t="str">
        <f t="array" aca="1" ref="AG417" ca="1">IF(AG$406="", "", IF(ISERROR(PRODUCT(1+OFFSET(AG$8, $CC417, 0, 10, 1)%)), "", PRODUCT(1+OFFSET(AG$8, $CC417, 0, 10, 1)%)^(1/10)-1))</f>
        <v/>
      </c>
      <c r="AH417" s="340" t="str">
        <f t="array" aca="1" ref="AH417" ca="1">IF(AH$406="", "", IF(ISERROR(PRODUCT(1+OFFSET(AH$8, $CC417, 0, 10, 1)%)), "", PRODUCT(1+OFFSET(AH$8, $CC417, 0, 10, 1)%)^(1/10)-1))</f>
        <v/>
      </c>
      <c r="AI417" s="340" t="str">
        <f t="array" aca="1" ref="AI417" ca="1">IF(AI$406="", "", IF(ISERROR(PRODUCT(1+OFFSET(AI$8, $CC417, 0, 10, 1)%)), "", PRODUCT(1+OFFSET(AI$8, $CC417, 0, 10, 1)%)^(1/10)-1))</f>
        <v/>
      </c>
      <c r="AJ417" s="340" t="str">
        <f t="array" aca="1" ref="AJ417" ca="1">IF(AJ$406="", "", IF(ISERROR(PRODUCT(1+OFFSET(AJ$8, $CC417, 0, 10, 1)%)), "", PRODUCT(1+OFFSET(AJ$8, $CC417, 0, 10, 1)%)^(1/10)-1))</f>
        <v/>
      </c>
      <c r="AK417" s="340" t="str">
        <f t="array" aca="1" ref="AK417" ca="1">IF(AK$406="", "", IF(ISERROR(PRODUCT(1+OFFSET(AK$8, $CC417, 0, 10, 1)%)), "", PRODUCT(1+OFFSET(AK$8, $CC417, 0, 10, 1)%)^(1/10)-1))</f>
        <v/>
      </c>
      <c r="AL417" s="340" t="str">
        <f t="array" aca="1" ref="AL417" ca="1">IF(AL$406="", "", IF(ISERROR(PRODUCT(1+OFFSET(AL$8, $CC417, 0, 10, 1)%)), "", PRODUCT(1+OFFSET(AL$8, $CC417, 0, 10, 1)%)^(1/10)-1))</f>
        <v/>
      </c>
      <c r="AM417" s="340" t="str">
        <f t="array" aca="1" ref="AM417" ca="1">IF(AM$406="", "", IF(ISERROR(PRODUCT(1+OFFSET(AM$8, $CC417, 0, 10, 1)%)), "", PRODUCT(1+OFFSET(AM$8, $CC417, 0, 10, 1)%)^(1/10)-1))</f>
        <v/>
      </c>
      <c r="AN417" s="340" t="str">
        <f t="array" aca="1" ref="AN417" ca="1">IF(AN$406="", "", IF(ISERROR(PRODUCT(1+OFFSET(AN$8, $CC417, 0, 10, 1)%)), "", PRODUCT(1+OFFSET(AN$8, $CC417, 0, 10, 1)%)^(1/10)-1))</f>
        <v/>
      </c>
      <c r="AO417" s="340" t="str">
        <f t="array" aca="1" ref="AO417" ca="1">IF(AO$406="", "", IF(ISERROR(PRODUCT(1+OFFSET(AO$8, $CC417, 0, 10, 1)%)), "", PRODUCT(1+OFFSET(AO$8, $CC417, 0, 10, 1)%)^(1/10)-1))</f>
        <v/>
      </c>
      <c r="AP417" s="340" t="str">
        <f t="array" aca="1" ref="AP417" ca="1">IF(AP$406="", "", IF(ISERROR(PRODUCT(1+OFFSET(AP$8, $CC417, 0, 10, 1)%)), "", PRODUCT(1+OFFSET(AP$8, $CC417, 0, 10, 1)%)^(1/10)-1))</f>
        <v/>
      </c>
      <c r="AQ417" s="340" t="str">
        <f t="array" aca="1" ref="AQ417" ca="1">IF(AQ$406="", "", IF(ISERROR(PRODUCT(1+OFFSET(AQ$8, $CC417, 0, 10, 1)%)), "", PRODUCT(1+OFFSET(AQ$8, $CC417, 0, 10, 1)%)^(1/10)-1))</f>
        <v/>
      </c>
      <c r="AR417" s="340" t="str">
        <f t="array" aca="1" ref="AR417" ca="1">IF(AR$406="", "", IF(ISERROR(PRODUCT(1+OFFSET(AR$8, $CC417, 0, 10, 1)%)), "", PRODUCT(1+OFFSET(AR$8, $CC417, 0, 10, 1)%)^(1/10)-1))</f>
        <v/>
      </c>
      <c r="AS417" s="340" t="str">
        <f t="array" aca="1" ref="AS417" ca="1">IF(AS$406="", "", IF(ISERROR(PRODUCT(1+OFFSET(AS$8, $CC417, 0, 10, 1)%)), "", PRODUCT(1+OFFSET(AS$8, $CC417, 0, 10, 1)%)^(1/10)-1))</f>
        <v/>
      </c>
      <c r="AT417" s="340" t="str">
        <f t="array" aca="1" ref="AT417" ca="1">IF(AT$406="", "", IF(ISERROR(PRODUCT(1+OFFSET(AT$8, $CC417, 0, 10, 1)%)), "", PRODUCT(1+OFFSET(AT$8, $CC417, 0, 10, 1)%)^(1/10)-1))</f>
        <v/>
      </c>
      <c r="AU417" s="340" t="str">
        <f t="array" aca="1" ref="AU417" ca="1">IF(AU$406="", "", IF(ISERROR(PRODUCT(1+OFFSET(AU$8, $CC417, 0, 10, 1)%)), "", PRODUCT(1+OFFSET(AU$8, $CC417, 0, 10, 1)%)^(1/10)-1))</f>
        <v/>
      </c>
      <c r="AV417" s="340" t="str">
        <f t="array" aca="1" ref="AV417" ca="1">IF(AV$406="", "", IF(ISERROR(PRODUCT(1+OFFSET(AV$8, $CC417, 0, 10, 1)%)), "", PRODUCT(1+OFFSET(AV$8, $CC417, 0, 10, 1)%)^(1/10)-1))</f>
        <v/>
      </c>
      <c r="AW417" s="340" t="str">
        <f t="array" aca="1" ref="AW417" ca="1">IF(AW$406="", "", IF(ISERROR(PRODUCT(1+OFFSET(AW$8, $CC417, 0, 10, 1)%)), "", PRODUCT(1+OFFSET(AW$8, $CC417, 0, 10, 1)%)^(1/10)-1))</f>
        <v/>
      </c>
      <c r="AX417" s="340" t="str">
        <f t="array" aca="1" ref="AX417" ca="1">IF(AX$406="", "", IF(ISERROR(PRODUCT(1+OFFSET(AX$8, $CC417, 0, 10, 1)%)), "", PRODUCT(1+OFFSET(AX$8, $CC417, 0, 10, 1)%)^(1/10)-1))</f>
        <v/>
      </c>
      <c r="AY417" s="340" t="str">
        <f t="array" aca="1" ref="AY417" ca="1">IF(AY$406="", "", IF(ISERROR(PRODUCT(1+OFFSET(AY$8, $CC417, 0, 10, 1)%)), "", PRODUCT(1+OFFSET(AY$8, $CC417, 0, 10, 1)%)^(1/10)-1))</f>
        <v/>
      </c>
      <c r="AZ417" s="340" t="str">
        <f t="array" aca="1" ref="AZ417" ca="1">IF(AZ$406="", "", IF(ISERROR(PRODUCT(1+OFFSET(AZ$8, $CC417, 0, 10, 1)%)), "", PRODUCT(1+OFFSET(AZ$8, $CC417, 0, 10, 1)%)^(1/10)-1))</f>
        <v/>
      </c>
      <c r="BA417" s="340" t="str">
        <f t="array" aca="1" ref="BA417" ca="1">IF(BA$406="", "", IF(ISERROR(PRODUCT(1+OFFSET(BA$8, $CC417, 0, 10, 1)%)), "", PRODUCT(1+OFFSET(BA$8, $CC417, 0, 10, 1)%)^(1/10)-1))</f>
        <v/>
      </c>
      <c r="BB417" s="340" t="str">
        <f t="array" aca="1" ref="BB417" ca="1">IF(BB$406="", "", IF(ISERROR(PRODUCT(1+OFFSET(BB$8, $CC417, 0, 10, 1)%)), "", PRODUCT(1+OFFSET(BB$8, $CC417, 0, 10, 1)%)^(1/10)-1))</f>
        <v/>
      </c>
      <c r="BC417" s="340" t="str">
        <f t="array" aca="1" ref="BC417" ca="1">IF(BC$406="", "", IF(ISERROR(PRODUCT(1+OFFSET(BC$8, $CC417, 0, 10, 1)%)), "", PRODUCT(1+OFFSET(BC$8, $CC417, 0, 10, 1)%)^(1/10)-1))</f>
        <v/>
      </c>
      <c r="BD417" s="340" t="str">
        <f t="array" aca="1" ref="BD417" ca="1">IF(BD$406="", "", IF(ISERROR(PRODUCT(1+OFFSET(BD$8, $CC417, 0, 10, 1)%)), "", PRODUCT(1+OFFSET(BD$8, $CC417, 0, 10, 1)%)^(1/10)-1))</f>
        <v/>
      </c>
      <c r="BE417" s="340" t="str">
        <f t="array" aca="1" ref="BE417" ca="1">IF(BE$406="", "", IF(ISERROR(PRODUCT(1+OFFSET(BE$8, $CC417, 0, 10, 1)%)), "", PRODUCT(1+OFFSET(BE$8, $CC417, 0, 10, 1)%)^(1/10)-1))</f>
        <v/>
      </c>
      <c r="BF417" s="340" t="str">
        <f t="array" aca="1" ref="BF417" ca="1">IF(BF$406="", "", IF(ISERROR(PRODUCT(1+OFFSET(BF$8, $CC417, 0, 10, 1)%)), "", PRODUCT(1+OFFSET(BF$8, $CC417, 0, 10, 1)%)^(1/10)-1))</f>
        <v/>
      </c>
      <c r="BG417" s="340" t="str">
        <f t="array" aca="1" ref="BG417" ca="1">IF(BG$406="", "", IF(ISERROR(PRODUCT(1+OFFSET(BG$8, $CC417, 0, 10, 1)%)), "", PRODUCT(1+OFFSET(BG$8, $CC417, 0, 10, 1)%)^(1/10)-1))</f>
        <v/>
      </c>
      <c r="BH417" s="340" t="str">
        <f t="array" aca="1" ref="BH417" ca="1">IF(BH$406="", "", IF(ISERROR(PRODUCT(1+OFFSET(BH$8, $CC417, 0, 10, 1)%)), "", PRODUCT(1+OFFSET(BH$8, $CC417, 0, 10, 1)%)^(1/10)-1))</f>
        <v/>
      </c>
      <c r="BI417" s="340" t="str">
        <f t="array" aca="1" ref="BI417" ca="1">IF(BI$406="", "", IF(ISERROR(PRODUCT(1+OFFSET(BI$8, $CC417, 0, 10, 1)%)), "", PRODUCT(1+OFFSET(BI$8, $CC417, 0, 10, 1)%)^(1/10)-1))</f>
        <v/>
      </c>
      <c r="BJ417" s="340" t="str">
        <f t="array" aca="1" ref="BJ417" ca="1">IF(BJ$406="", "", IF(ISERROR(PRODUCT(1+OFFSET(BJ$8, $CC417, 0, 10, 1)%)), "", PRODUCT(1+OFFSET(BJ$8, $CC417, 0, 10, 1)%)^(1/10)-1))</f>
        <v/>
      </c>
      <c r="BK417" s="340" t="str">
        <f t="array" aca="1" ref="BK417" ca="1">IF(BK$406="", "", IF(ISERROR(PRODUCT(1+OFFSET(BK$8, $CC417, 0, 10, 1)%)), "", PRODUCT(1+OFFSET(BK$8, $CC417, 0, 10, 1)%)^(1/10)-1))</f>
        <v/>
      </c>
      <c r="BL417" s="340" t="str">
        <f t="array" aca="1" ref="BL417" ca="1">IF(BL$406="", "", IF(ISERROR(PRODUCT(1+OFFSET(BL$8, $CC417, 0, 10, 1)%)), "", PRODUCT(1+OFFSET(BL$8, $CC417, 0, 10, 1)%)^(1/10)-1))</f>
        <v/>
      </c>
      <c r="BM417" s="340" t="str">
        <f t="array" aca="1" ref="BM417" ca="1">IF(BM$406="", "", IF(ISERROR(PRODUCT(1+OFFSET(BM$8, $CC417, 0, 10, 1)%)), "", PRODUCT(1+OFFSET(BM$8, $CC417, 0, 10, 1)%)^(1/10)-1))</f>
        <v/>
      </c>
      <c r="BN417" s="340" t="str">
        <f t="array" aca="1" ref="BN417" ca="1">IF(BN$406="", "", IF(ISERROR(PRODUCT(1+OFFSET(BN$8, $CC417, 0, 10, 1)%)), "", PRODUCT(1+OFFSET(BN$8, $CC417, 0, 10, 1)%)^(1/10)-1))</f>
        <v/>
      </c>
      <c r="BO417" s="340" t="str">
        <f t="array" aca="1" ref="BO417" ca="1">IF(BO$406="", "", IF(ISERROR(PRODUCT(1+OFFSET(BO$8, $CC417, 0, 10, 1)%)), "", PRODUCT(1+OFFSET(BO$8, $CC417, 0, 10, 1)%)^(1/10)-1))</f>
        <v/>
      </c>
      <c r="BP417" s="340" t="str">
        <f t="array" aca="1" ref="BP417" ca="1">IF(BP$406="", "", IF(ISERROR(PRODUCT(1+OFFSET(BP$8, $CC417, 0, 10, 1)%)), "", PRODUCT(1+OFFSET(BP$8, $CC417, 0, 10, 1)%)^(1/10)-1))</f>
        <v/>
      </c>
      <c r="BQ417" s="340" t="str">
        <f t="array" aca="1" ref="BQ417" ca="1">IF(BQ$406="", "", IF(ISERROR(PRODUCT(1+OFFSET(BQ$8, $CC417, 0, 10, 1)%)), "", PRODUCT(1+OFFSET(BQ$8, $CC417, 0, 10, 1)%)^(1/10)-1))</f>
        <v/>
      </c>
      <c r="BR417" s="340" t="str">
        <f t="array" aca="1" ref="BR417" ca="1">IF(BR$406="", "", IF(ISERROR(PRODUCT(1+OFFSET(BR$8, $CC417, 0, 10, 1)%)), "", PRODUCT(1+OFFSET(BR$8, $CC417, 0, 10, 1)%)^(1/10)-1))</f>
        <v/>
      </c>
      <c r="BS417" s="340" t="str">
        <f t="array" aca="1" ref="BS417" ca="1">IF(BS$406="", "", IF(ISERROR(PRODUCT(1+OFFSET(BS$8, $CC417, 0, 10, 1)%)), "", PRODUCT(1+OFFSET(BS$8, $CC417, 0, 10, 1)%)^(1/10)-1))</f>
        <v/>
      </c>
      <c r="BT417" s="340" t="str">
        <f t="array" aca="1" ref="BT417" ca="1">IF(BT$406="", "", IF(ISERROR(PRODUCT(1+OFFSET(BT$8, $CC417, 0, 10, 1)%)), "", PRODUCT(1+OFFSET(BT$8, $CC417, 0, 10, 1)%)^(1/10)-1))</f>
        <v/>
      </c>
      <c r="BU417" s="340" t="str">
        <f t="array" aca="1" ref="BU417" ca="1">IF(BU$406="", "", IF(ISERROR(PRODUCT(1+OFFSET(BU$8, $CC417, 0, 10, 1)%)), "", PRODUCT(1+OFFSET(BU$8, $CC417, 0, 10, 1)%)^(1/10)-1))</f>
        <v/>
      </c>
      <c r="BV417" s="340" t="str">
        <f t="array" aca="1" ref="BV417" ca="1">IF(BV$406="", "", IF(ISERROR(PRODUCT(1+OFFSET(BV$8, $CC417, 0, 10, 1)%)), "", PRODUCT(1+OFFSET(BV$8, $CC417, 0, 10, 1)%)^(1/10)-1))</f>
        <v/>
      </c>
      <c r="BW417" s="340" t="str">
        <f t="array" aca="1" ref="BW417" ca="1">IF(BW$406="", "", IF(ISERROR(PRODUCT(1+OFFSET(BW$8, $CC417, 0, 10, 1)%)), "", PRODUCT(1+OFFSET(BW$8, $CC417, 0, 10, 1)%)^(1/10)-1))</f>
        <v/>
      </c>
      <c r="BX417" s="340">
        <f t="array" aca="1" ref="BX417" ca="1">IF(BX$406="", "", IF(ISERROR(PRODUCT(1+OFFSET(BX$8, $CC417, 0, 10, 1)%)), "", PRODUCT(1+OFFSET(BX$8, $CC417, 0, 10, 1)%)^(1/10)-1))</f>
        <v>7.9112840839108411E-2</v>
      </c>
      <c r="BY417" s="340">
        <f t="array" aca="1" ref="BY417" ca="1">IF(BY$406="", "", IF(ISERROR(PRODUCT(1+OFFSET(BY$8, $CC417, 0, 10, 1)%)), "", PRODUCT(1+OFFSET(BY$8, $CC417, 0, 10, 1)%)^(1/10)-1))</f>
        <v>4.9469336409617259E-2</v>
      </c>
      <c r="BZ417" s="340">
        <f t="array" aca="1" ref="BZ417" ca="1">IF(BZ$406="", "", IF(ISERROR(PRODUCT(1+OFFSET(BZ$8, $CC417, 0, 10, 1)%)), "", PRODUCT(1+OFFSET(BZ$8, $CC417, 0, 10, 1)%)^(1/10)-1))</f>
        <v>6.9580087010339131E-2</v>
      </c>
      <c r="CA417" s="532">
        <f t="array" aca="1" ref="CA417" ca="1">IF(CA$406="", "", IF(ISERROR(PRODUCT(1+OFFSET(CA$8, $CC417, 0, 10, 1)%)), "", PRODUCT(1+OFFSET(CA$8, $CC417, 0, 10, 1)%)^(1/10)-1))</f>
        <v>8.0470147942494519E-2</v>
      </c>
      <c r="CC417" s="482">
        <f t="shared" si="551"/>
        <v>100</v>
      </c>
    </row>
    <row r="418" spans="1:81" ht="14">
      <c r="A418" s="338" t="str">
        <f t="shared" si="550"/>
        <v>1981-1990</v>
      </c>
      <c r="B418" s="339">
        <f t="array" aca="1" ref="B418" ca="1">IF(B$406="", "", IF(ISERROR(PRODUCT(1+OFFSET(B$8, $CC418, 0, 10, 1)%)), "", PRODUCT(1+OFFSET(B$8, $CC418, 0, 10, 1)%)^(1/10)-1))</f>
        <v>0.12523699197745475</v>
      </c>
      <c r="C418" s="340">
        <f t="array" aca="1" ref="C418" ca="1">IF(C$406="", "", IF(ISERROR(PRODUCT(1+OFFSET(C$8, $CC418, 0, 10, 1)%)), "", PRODUCT(1+OFFSET(C$8, $CC418, 0, 10, 1)%)^(1/10)-1))</f>
        <v>0.14199209369951138</v>
      </c>
      <c r="D418" s="340">
        <f t="array" aca="1" ref="D418" ca="1">IF(D$406="", "", IF(ISERROR(PRODUCT(1+OFFSET(D$8, $CC418, 0, 10, 1)%)), "", PRODUCT(1+OFFSET(D$8, $CC418, 0, 10, 1)%)^(1/10)-1))</f>
        <v>0.13460986895113902</v>
      </c>
      <c r="E418" s="340">
        <f t="array" aca="1" ref="E418" ca="1">IF(E$406="", "", IF(ISERROR(PRODUCT(1+OFFSET(E$8, $CC418, 0, 10, 1)%)), "", PRODUCT(1+OFFSET(E$8, $CC418, 0, 10, 1)%)^(1/10)-1))</f>
        <v>0.11316501509640764</v>
      </c>
      <c r="F418" s="340">
        <f t="array" aca="1" ref="F418" ca="1">IF(F$406="", "", IF(ISERROR(PRODUCT(1+OFFSET(F$8, $CC418, 0, 10, 1)%)), "", PRODUCT(1+OFFSET(F$8, $CC418, 0, 10, 1)%)^(1/10)-1))</f>
        <v>0.12483983958434375</v>
      </c>
      <c r="G418" s="340">
        <f t="array" aca="1" ref="G418" ca="1">IF(G$406="", "", IF(ISERROR(PRODUCT(1+OFFSET(G$8, $CC418, 0, 10, 1)%)), "", PRODUCT(1+OFFSET(G$8, $CC418, 0, 10, 1)%)^(1/10)-1))</f>
        <v>0.11774280780065705</v>
      </c>
      <c r="H418" s="340">
        <f t="array" aca="1" ref="H418" ca="1">IF(H$406="", "", IF(ISERROR(PRODUCT(1+OFFSET(H$8, $CC418, 0, 10, 1)%)), "", PRODUCT(1+OFFSET(H$8, $CC418, 0, 10, 1)%)^(1/10)-1))</f>
        <v>8.2038776645798839E-2</v>
      </c>
      <c r="I418" s="340">
        <f t="array" aca="1" ref="I418" ca="1">IF(I$406="", "", IF(ISERROR(PRODUCT(1+OFFSET(I$8, $CC418, 0, 10, 1)%)), "", PRODUCT(1+OFFSET(I$8, $CC418, 0, 10, 1)%)^(1/10)-1))</f>
        <v>4.657753972575196E-2</v>
      </c>
      <c r="J418" s="340">
        <f t="array" aca="1" ref="J418" ca="1">IF(J$406="", "", IF(ISERROR(PRODUCT(1+OFFSET(J$8, $CC418, 0, 10, 1)%)), "", PRODUCT(1+OFFSET(J$8, $CC418, 0, 10, 1)%)^(1/10)-1))</f>
        <v>2.8583020759154421E-2</v>
      </c>
      <c r="K418" s="340">
        <f t="array" aca="1" ref="K418" ca="1">IF(K$406="", "", IF(ISERROR(PRODUCT(1+OFFSET(K$8, $CC418, 0, 10, 1)%)), "", PRODUCT(1+OFFSET(K$8, $CC418, 0, 10, 1)%)^(1/10)-1))</f>
        <v>0.1098370236811137</v>
      </c>
      <c r="L418" s="340">
        <f t="array" aca="1" ref="L418" ca="1">IF(L$406="", "", IF(ISERROR(PRODUCT(1+OFFSET(L$8, $CC418, 0, 10, 1)%)), "", PRODUCT(1+OFFSET(L$8, $CC418, 0, 10, 1)%)^(1/10)-1))</f>
        <v>0.1687747500641803</v>
      </c>
      <c r="M418" s="340">
        <f t="array" aca="1" ref="M418" ca="1">IF(M$406="", "", IF(ISERROR(PRODUCT(1+OFFSET(M$8, $CC418, 0, 10, 1)%)), "", PRODUCT(1+OFFSET(M$8, $CC418, 0, 10, 1)%)^(1/10)-1))</f>
        <v>0.2701660483453574</v>
      </c>
      <c r="N418" s="498">
        <f t="array" aca="1" ref="N418" ca="1">IF(N$406="", "", IF(ISERROR(PRODUCT(1+OFFSET(N$8, $CC418, 0, 10, 1)%)), "", PRODUCT(1+OFFSET(N$8, $CC418, 0, 10, 1)%)^(1/10)-1))</f>
        <v>0.18403986090095237</v>
      </c>
      <c r="O418" s="340">
        <f t="array" aca="1" ref="O418" ca="1">IF(O$406="", "", IF(ISERROR(PRODUCT(1+OFFSET(O$8, $CC418, 0, 10, 1)%)), "", PRODUCT(1+OFFSET(O$8, $CC418, 0, 10, 1)%)^(1/10)-1))</f>
        <v>0.17203510209095541</v>
      </c>
      <c r="P418" s="340">
        <f t="array" aca="1" ref="P418" ca="1">IF(P$406="", "", IF(ISERROR(PRODUCT(1+OFFSET(P$8, $CC418, 0, 10, 1)%)), "", PRODUCT(1+OFFSET(P$8, $CC418, 0, 10, 1)%)^(1/10)-1))</f>
        <v>0.16210707987744555</v>
      </c>
      <c r="Q418" s="340">
        <f t="array" aca="1" ref="Q418" ca="1">IF(Q$406="", "", IF(ISERROR(PRODUCT(1+OFFSET(Q$8, $CC418, 0, 10, 1)%)), "", PRODUCT(1+OFFSET(Q$8, $CC418, 0, 10, 1)%)^(1/10)-1))</f>
        <v>0.20386265574425844</v>
      </c>
      <c r="R418" s="340">
        <f t="array" aca="1" ref="R418" ca="1">IF(R$406="", "", IF(ISERROR(PRODUCT(1+OFFSET(R$8, $CC418, 0, 10, 1)%)), "", PRODUCT(1+OFFSET(R$8, $CC418, 0, 10, 1)%)^(1/10)-1))</f>
        <v>7.510689308783669E-2</v>
      </c>
      <c r="S418" s="340">
        <f t="array" aca="1" ref="S418" ca="1">IF(S$406="", "", IF(ISERROR(PRODUCT(1+OFFSET(S$8, $CC418, 0, 10, 1)%)), "", PRODUCT(1+OFFSET(S$8, $CC418, 0, 10, 1)%)^(1/10)-1))</f>
        <v>0.14067300556182349</v>
      </c>
      <c r="T418" s="340">
        <f t="array" aca="1" ref="T418" ca="1">IF(T$406="", "", IF(ISERROR(PRODUCT(1+OFFSET(T$8, $CC418, 0, 10, 1)%)), "", PRODUCT(1+OFFSET(T$8, $CC418, 0, 10, 1)%)^(1/10)-1))</f>
        <v>0.12065120418426223</v>
      </c>
      <c r="U418" s="340">
        <f t="array" aca="1" ref="U418" ca="1">IF(U$406="", "", IF(ISERROR(PRODUCT(1+OFFSET(U$8, $CC418, 0, 10, 1)%)), "", PRODUCT(1+OFFSET(U$8, $CC418, 0, 10, 1)%)^(1/10)-1))</f>
        <v>0.11729210593990325</v>
      </c>
      <c r="V418" s="340">
        <f t="array" aca="1" ref="V418" ca="1">IF(V$406="", "", IF(ISERROR(PRODUCT(1+OFFSET(V$8, $CC418, 0, 10, 1)%)), "", PRODUCT(1+OFFSET(V$8, $CC418, 0, 10, 1)%)^(1/10)-1))</f>
        <v>8.6621921763637477E-2</v>
      </c>
      <c r="W418" s="340">
        <f t="array" aca="1" ref="W418" ca="1">IF(W$406="", "", IF(ISERROR(PRODUCT(1+OFFSET(W$8, $CC418, 0, 10, 1)%)), "", PRODUCT(1+OFFSET(W$8, $CC418, 0, 10, 1)%)^(1/10)-1))</f>
        <v>9.6659032216369845E-2</v>
      </c>
      <c r="X418" s="340">
        <f t="array" aca="1" ref="X418" ca="1">IF(X$406="", "", IF(ISERROR(PRODUCT(1+OFFSET(X$8, $CC418, 0, 10, 1)%)), "", PRODUCT(1+OFFSET(X$8, $CC418, 0, 10, 1)%)^(1/10)-1))</f>
        <v>0.14114057739238151</v>
      </c>
      <c r="Y418" s="340">
        <f t="array" aca="1" ref="Y418" ca="1">IF(Y$406="", "", IF(ISERROR(PRODUCT(1+OFFSET(Y$8, $CC418, 0, 10, 1)%)), "", PRODUCT(1+OFFSET(Y$8, $CC418, 0, 10, 1)%)^(1/10)-1))</f>
        <v>0.14601448187342014</v>
      </c>
      <c r="Z418" s="340">
        <f t="array" aca="1" ref="Z418" ca="1">IF(Z$406="", "", IF(ISERROR(PRODUCT(1+OFFSET(Z$8, $CC418, 0, 10, 1)%)), "", PRODUCT(1+OFFSET(Z$8, $CC418, 0, 10, 1)%)^(1/10)-1))</f>
        <v>0.15724589619092844</v>
      </c>
      <c r="AA418" s="340">
        <f t="array" aca="1" ref="AA418" ca="1">IF(AA$406="", "", IF(ISERROR(PRODUCT(1+OFFSET(AA$8, $CC418, 0, 10, 1)%)), "", PRODUCT(1+OFFSET(AA$8, $CC418, 0, 10, 1)%)^(1/10)-1))</f>
        <v>0.11125754636181351</v>
      </c>
      <c r="AB418" s="340">
        <f t="array" aca="1" ref="AB418" ca="1">IF(AB$406="", "", IF(ISERROR(PRODUCT(1+OFFSET(AB$8, $CC418, 0, 10, 1)%)), "", PRODUCT(1+OFFSET(AB$8, $CC418, 0, 10, 1)%)^(1/10)-1))</f>
        <v>-4.3662663175221716E-2</v>
      </c>
      <c r="AC418" s="340">
        <f t="array" aca="1" ref="AC418" ca="1">IF(AC$406="", "", IF(ISERROR(PRODUCT(1+OFFSET(AC$8, $CC418, 0, 10, 1)%)), "", PRODUCT(1+OFFSET(AC$8, $CC418, 0, 10, 1)%)^(1/10)-1))</f>
        <v>0.22239670041387916</v>
      </c>
      <c r="AD418" s="340" t="str">
        <f t="array" aca="1" ref="AD418" ca="1">IF(AD$406="", "", IF(ISERROR(PRODUCT(1+OFFSET(AD$8, $CC418, 0, 10, 1)%)), "", PRODUCT(1+OFFSET(AD$8, $CC418, 0, 10, 1)%)^(1/10)-1))</f>
        <v/>
      </c>
      <c r="AE418" s="340" t="str">
        <f t="array" aca="1" ref="AE418" ca="1">IF(AE$406="", "", IF(ISERROR(PRODUCT(1+OFFSET(AE$8, $CC418, 0, 10, 1)%)), "", PRODUCT(1+OFFSET(AE$8, $CC418, 0, 10, 1)%)^(1/10)-1))</f>
        <v/>
      </c>
      <c r="AF418" s="340" t="str">
        <f t="array" aca="1" ref="AF418" ca="1">IF(AF$406="", "", IF(ISERROR(PRODUCT(1+OFFSET(AF$8, $CC418, 0, 10, 1)%)), "", PRODUCT(1+OFFSET(AF$8, $CC418, 0, 10, 1)%)^(1/10)-1))</f>
        <v/>
      </c>
      <c r="AG418" s="340" t="str">
        <f t="array" aca="1" ref="AG418" ca="1">IF(AG$406="", "", IF(ISERROR(PRODUCT(1+OFFSET(AG$8, $CC418, 0, 10, 1)%)), "", PRODUCT(1+OFFSET(AG$8, $CC418, 0, 10, 1)%)^(1/10)-1))</f>
        <v/>
      </c>
      <c r="AH418" s="340" t="str">
        <f t="array" aca="1" ref="AH418" ca="1">IF(AH$406="", "", IF(ISERROR(PRODUCT(1+OFFSET(AH$8, $CC418, 0, 10, 1)%)), "", PRODUCT(1+OFFSET(AH$8, $CC418, 0, 10, 1)%)^(1/10)-1))</f>
        <v/>
      </c>
      <c r="AI418" s="340" t="str">
        <f t="array" aca="1" ref="AI418" ca="1">IF(AI$406="", "", IF(ISERROR(PRODUCT(1+OFFSET(AI$8, $CC418, 0, 10, 1)%)), "", PRODUCT(1+OFFSET(AI$8, $CC418, 0, 10, 1)%)^(1/10)-1))</f>
        <v/>
      </c>
      <c r="AJ418" s="340" t="str">
        <f t="array" aca="1" ref="AJ418" ca="1">IF(AJ$406="", "", IF(ISERROR(PRODUCT(1+OFFSET(AJ$8, $CC418, 0, 10, 1)%)), "", PRODUCT(1+OFFSET(AJ$8, $CC418, 0, 10, 1)%)^(1/10)-1))</f>
        <v/>
      </c>
      <c r="AK418" s="340" t="str">
        <f t="array" aca="1" ref="AK418" ca="1">IF(AK$406="", "", IF(ISERROR(PRODUCT(1+OFFSET(AK$8, $CC418, 0, 10, 1)%)), "", PRODUCT(1+OFFSET(AK$8, $CC418, 0, 10, 1)%)^(1/10)-1))</f>
        <v/>
      </c>
      <c r="AL418" s="340" t="str">
        <f t="array" aca="1" ref="AL418" ca="1">IF(AL$406="", "", IF(ISERROR(PRODUCT(1+OFFSET(AL$8, $CC418, 0, 10, 1)%)), "", PRODUCT(1+OFFSET(AL$8, $CC418, 0, 10, 1)%)^(1/10)-1))</f>
        <v/>
      </c>
      <c r="AM418" s="340" t="str">
        <f t="array" aca="1" ref="AM418" ca="1">IF(AM$406="", "", IF(ISERROR(PRODUCT(1+OFFSET(AM$8, $CC418, 0, 10, 1)%)), "", PRODUCT(1+OFFSET(AM$8, $CC418, 0, 10, 1)%)^(1/10)-1))</f>
        <v/>
      </c>
      <c r="AN418" s="340" t="str">
        <f t="array" aca="1" ref="AN418" ca="1">IF(AN$406="", "", IF(ISERROR(PRODUCT(1+OFFSET(AN$8, $CC418, 0, 10, 1)%)), "", PRODUCT(1+OFFSET(AN$8, $CC418, 0, 10, 1)%)^(1/10)-1))</f>
        <v/>
      </c>
      <c r="AO418" s="340" t="str">
        <f t="array" aca="1" ref="AO418" ca="1">IF(AO$406="", "", IF(ISERROR(PRODUCT(1+OFFSET(AO$8, $CC418, 0, 10, 1)%)), "", PRODUCT(1+OFFSET(AO$8, $CC418, 0, 10, 1)%)^(1/10)-1))</f>
        <v/>
      </c>
      <c r="AP418" s="340" t="str">
        <f t="array" aca="1" ref="AP418" ca="1">IF(AP$406="", "", IF(ISERROR(PRODUCT(1+OFFSET(AP$8, $CC418, 0, 10, 1)%)), "", PRODUCT(1+OFFSET(AP$8, $CC418, 0, 10, 1)%)^(1/10)-1))</f>
        <v/>
      </c>
      <c r="AQ418" s="340" t="str">
        <f t="array" aca="1" ref="AQ418" ca="1">IF(AQ$406="", "", IF(ISERROR(PRODUCT(1+OFFSET(AQ$8, $CC418, 0, 10, 1)%)), "", PRODUCT(1+OFFSET(AQ$8, $CC418, 0, 10, 1)%)^(1/10)-1))</f>
        <v/>
      </c>
      <c r="AR418" s="340" t="str">
        <f t="array" aca="1" ref="AR418" ca="1">IF(AR$406="", "", IF(ISERROR(PRODUCT(1+OFFSET(AR$8, $CC418, 0, 10, 1)%)), "", PRODUCT(1+OFFSET(AR$8, $CC418, 0, 10, 1)%)^(1/10)-1))</f>
        <v/>
      </c>
      <c r="AS418" s="340" t="str">
        <f t="array" aca="1" ref="AS418" ca="1">IF(AS$406="", "", IF(ISERROR(PRODUCT(1+OFFSET(AS$8, $CC418, 0, 10, 1)%)), "", PRODUCT(1+OFFSET(AS$8, $CC418, 0, 10, 1)%)^(1/10)-1))</f>
        <v/>
      </c>
      <c r="AT418" s="340" t="str">
        <f t="array" aca="1" ref="AT418" ca="1">IF(AT$406="", "", IF(ISERROR(PRODUCT(1+OFFSET(AT$8, $CC418, 0, 10, 1)%)), "", PRODUCT(1+OFFSET(AT$8, $CC418, 0, 10, 1)%)^(1/10)-1))</f>
        <v/>
      </c>
      <c r="AU418" s="340" t="str">
        <f t="array" aca="1" ref="AU418" ca="1">IF(AU$406="", "", IF(ISERROR(PRODUCT(1+OFFSET(AU$8, $CC418, 0, 10, 1)%)), "", PRODUCT(1+OFFSET(AU$8, $CC418, 0, 10, 1)%)^(1/10)-1))</f>
        <v/>
      </c>
      <c r="AV418" s="340" t="str">
        <f t="array" aca="1" ref="AV418" ca="1">IF(AV$406="", "", IF(ISERROR(PRODUCT(1+OFFSET(AV$8, $CC418, 0, 10, 1)%)), "", PRODUCT(1+OFFSET(AV$8, $CC418, 0, 10, 1)%)^(1/10)-1))</f>
        <v/>
      </c>
      <c r="AW418" s="340" t="str">
        <f t="array" aca="1" ref="AW418" ca="1">IF(AW$406="", "", IF(ISERROR(PRODUCT(1+OFFSET(AW$8, $CC418, 0, 10, 1)%)), "", PRODUCT(1+OFFSET(AW$8, $CC418, 0, 10, 1)%)^(1/10)-1))</f>
        <v/>
      </c>
      <c r="AX418" s="340" t="str">
        <f t="array" aca="1" ref="AX418" ca="1">IF(AX$406="", "", IF(ISERROR(PRODUCT(1+OFFSET(AX$8, $CC418, 0, 10, 1)%)), "", PRODUCT(1+OFFSET(AX$8, $CC418, 0, 10, 1)%)^(1/10)-1))</f>
        <v/>
      </c>
      <c r="AY418" s="340" t="str">
        <f t="array" aca="1" ref="AY418" ca="1">IF(AY$406="", "", IF(ISERROR(PRODUCT(1+OFFSET(AY$8, $CC418, 0, 10, 1)%)), "", PRODUCT(1+OFFSET(AY$8, $CC418, 0, 10, 1)%)^(1/10)-1))</f>
        <v/>
      </c>
      <c r="AZ418" s="340" t="str">
        <f t="array" aca="1" ref="AZ418" ca="1">IF(AZ$406="", "", IF(ISERROR(PRODUCT(1+OFFSET(AZ$8, $CC418, 0, 10, 1)%)), "", PRODUCT(1+OFFSET(AZ$8, $CC418, 0, 10, 1)%)^(1/10)-1))</f>
        <v/>
      </c>
      <c r="BA418" s="340" t="str">
        <f t="array" aca="1" ref="BA418" ca="1">IF(BA$406="", "", IF(ISERROR(PRODUCT(1+OFFSET(BA$8, $CC418, 0, 10, 1)%)), "", PRODUCT(1+OFFSET(BA$8, $CC418, 0, 10, 1)%)^(1/10)-1))</f>
        <v/>
      </c>
      <c r="BB418" s="340" t="str">
        <f t="array" aca="1" ref="BB418" ca="1">IF(BB$406="", "", IF(ISERROR(PRODUCT(1+OFFSET(BB$8, $CC418, 0, 10, 1)%)), "", PRODUCT(1+OFFSET(BB$8, $CC418, 0, 10, 1)%)^(1/10)-1))</f>
        <v/>
      </c>
      <c r="BC418" s="340" t="str">
        <f t="array" aca="1" ref="BC418" ca="1">IF(BC$406="", "", IF(ISERROR(PRODUCT(1+OFFSET(BC$8, $CC418, 0, 10, 1)%)), "", PRODUCT(1+OFFSET(BC$8, $CC418, 0, 10, 1)%)^(1/10)-1))</f>
        <v/>
      </c>
      <c r="BD418" s="340" t="str">
        <f t="array" aca="1" ref="BD418" ca="1">IF(BD$406="", "", IF(ISERROR(PRODUCT(1+OFFSET(BD$8, $CC418, 0, 10, 1)%)), "", PRODUCT(1+OFFSET(BD$8, $CC418, 0, 10, 1)%)^(1/10)-1))</f>
        <v/>
      </c>
      <c r="BE418" s="340" t="str">
        <f t="array" aca="1" ref="BE418" ca="1">IF(BE$406="", "", IF(ISERROR(PRODUCT(1+OFFSET(BE$8, $CC418, 0, 10, 1)%)), "", PRODUCT(1+OFFSET(BE$8, $CC418, 0, 10, 1)%)^(1/10)-1))</f>
        <v/>
      </c>
      <c r="BF418" s="340" t="str">
        <f t="array" aca="1" ref="BF418" ca="1">IF(BF$406="", "", IF(ISERROR(PRODUCT(1+OFFSET(BF$8, $CC418, 0, 10, 1)%)), "", PRODUCT(1+OFFSET(BF$8, $CC418, 0, 10, 1)%)^(1/10)-1))</f>
        <v/>
      </c>
      <c r="BG418" s="340" t="str">
        <f t="array" aca="1" ref="BG418" ca="1">IF(BG$406="", "", IF(ISERROR(PRODUCT(1+OFFSET(BG$8, $CC418, 0, 10, 1)%)), "", PRODUCT(1+OFFSET(BG$8, $CC418, 0, 10, 1)%)^(1/10)-1))</f>
        <v/>
      </c>
      <c r="BH418" s="340" t="str">
        <f t="array" aca="1" ref="BH418" ca="1">IF(BH$406="", "", IF(ISERROR(PRODUCT(1+OFFSET(BH$8, $CC418, 0, 10, 1)%)), "", PRODUCT(1+OFFSET(BH$8, $CC418, 0, 10, 1)%)^(1/10)-1))</f>
        <v/>
      </c>
      <c r="BI418" s="340" t="str">
        <f t="array" aca="1" ref="BI418" ca="1">IF(BI$406="", "", IF(ISERROR(PRODUCT(1+OFFSET(BI$8, $CC418, 0, 10, 1)%)), "", PRODUCT(1+OFFSET(BI$8, $CC418, 0, 10, 1)%)^(1/10)-1))</f>
        <v/>
      </c>
      <c r="BJ418" s="340" t="str">
        <f t="array" aca="1" ref="BJ418" ca="1">IF(BJ$406="", "", IF(ISERROR(PRODUCT(1+OFFSET(BJ$8, $CC418, 0, 10, 1)%)), "", PRODUCT(1+OFFSET(BJ$8, $CC418, 0, 10, 1)%)^(1/10)-1))</f>
        <v/>
      </c>
      <c r="BK418" s="340" t="str">
        <f t="array" aca="1" ref="BK418" ca="1">IF(BK$406="", "", IF(ISERROR(PRODUCT(1+OFFSET(BK$8, $CC418, 0, 10, 1)%)), "", PRODUCT(1+OFFSET(BK$8, $CC418, 0, 10, 1)%)^(1/10)-1))</f>
        <v/>
      </c>
      <c r="BL418" s="340" t="str">
        <f t="array" aca="1" ref="BL418" ca="1">IF(BL$406="", "", IF(ISERROR(PRODUCT(1+OFFSET(BL$8, $CC418, 0, 10, 1)%)), "", PRODUCT(1+OFFSET(BL$8, $CC418, 0, 10, 1)%)^(1/10)-1))</f>
        <v/>
      </c>
      <c r="BM418" s="340" t="str">
        <f t="array" aca="1" ref="BM418" ca="1">IF(BM$406="", "", IF(ISERROR(PRODUCT(1+OFFSET(BM$8, $CC418, 0, 10, 1)%)), "", PRODUCT(1+OFFSET(BM$8, $CC418, 0, 10, 1)%)^(1/10)-1))</f>
        <v/>
      </c>
      <c r="BN418" s="340" t="str">
        <f t="array" aca="1" ref="BN418" ca="1">IF(BN$406="", "", IF(ISERROR(PRODUCT(1+OFFSET(BN$8, $CC418, 0, 10, 1)%)), "", PRODUCT(1+OFFSET(BN$8, $CC418, 0, 10, 1)%)^(1/10)-1))</f>
        <v/>
      </c>
      <c r="BO418" s="340" t="str">
        <f t="array" aca="1" ref="BO418" ca="1">IF(BO$406="", "", IF(ISERROR(PRODUCT(1+OFFSET(BO$8, $CC418, 0, 10, 1)%)), "", PRODUCT(1+OFFSET(BO$8, $CC418, 0, 10, 1)%)^(1/10)-1))</f>
        <v/>
      </c>
      <c r="BP418" s="340" t="str">
        <f t="array" aca="1" ref="BP418" ca="1">IF(BP$406="", "", IF(ISERROR(PRODUCT(1+OFFSET(BP$8, $CC418, 0, 10, 1)%)), "", PRODUCT(1+OFFSET(BP$8, $CC418, 0, 10, 1)%)^(1/10)-1))</f>
        <v/>
      </c>
      <c r="BQ418" s="340" t="str">
        <f t="array" aca="1" ref="BQ418" ca="1">IF(BQ$406="", "", IF(ISERROR(PRODUCT(1+OFFSET(BQ$8, $CC418, 0, 10, 1)%)), "", PRODUCT(1+OFFSET(BQ$8, $CC418, 0, 10, 1)%)^(1/10)-1))</f>
        <v/>
      </c>
      <c r="BR418" s="340" t="str">
        <f t="array" aca="1" ref="BR418" ca="1">IF(BR$406="", "", IF(ISERROR(PRODUCT(1+OFFSET(BR$8, $CC418, 0, 10, 1)%)), "", PRODUCT(1+OFFSET(BR$8, $CC418, 0, 10, 1)%)^(1/10)-1))</f>
        <v/>
      </c>
      <c r="BS418" s="340" t="str">
        <f t="array" aca="1" ref="BS418" ca="1">IF(BS$406="", "", IF(ISERROR(PRODUCT(1+OFFSET(BS$8, $CC418, 0, 10, 1)%)), "", PRODUCT(1+OFFSET(BS$8, $CC418, 0, 10, 1)%)^(1/10)-1))</f>
        <v/>
      </c>
      <c r="BT418" s="340" t="str">
        <f t="array" aca="1" ref="BT418" ca="1">IF(BT$406="", "", IF(ISERROR(PRODUCT(1+OFFSET(BT$8, $CC418, 0, 10, 1)%)), "", PRODUCT(1+OFFSET(BT$8, $CC418, 0, 10, 1)%)^(1/10)-1))</f>
        <v/>
      </c>
      <c r="BU418" s="340" t="str">
        <f t="array" aca="1" ref="BU418" ca="1">IF(BU$406="", "", IF(ISERROR(PRODUCT(1+OFFSET(BU$8, $CC418, 0, 10, 1)%)), "", PRODUCT(1+OFFSET(BU$8, $CC418, 0, 10, 1)%)^(1/10)-1))</f>
        <v/>
      </c>
      <c r="BV418" s="340" t="str">
        <f t="array" aca="1" ref="BV418" ca="1">IF(BV$406="", "", IF(ISERROR(PRODUCT(1+OFFSET(BV$8, $CC418, 0, 10, 1)%)), "", PRODUCT(1+OFFSET(BV$8, $CC418, 0, 10, 1)%)^(1/10)-1))</f>
        <v/>
      </c>
      <c r="BW418" s="340" t="str">
        <f t="array" aca="1" ref="BW418" ca="1">IF(BW$406="", "", IF(ISERROR(PRODUCT(1+OFFSET(BW$8, $CC418, 0, 10, 1)%)), "", PRODUCT(1+OFFSET(BW$8, $CC418, 0, 10, 1)%)^(1/10)-1))</f>
        <v/>
      </c>
      <c r="BX418" s="340">
        <f t="array" aca="1" ref="BX418" ca="1">IF(BX$406="", "", IF(ISERROR(PRODUCT(1+OFFSET(BX$8, $CC418, 0, 10, 1)%)), "", PRODUCT(1+OFFSET(BX$8, $CC418, 0, 10, 1)%)^(1/10)-1))</f>
        <v>0.13724248250057469</v>
      </c>
      <c r="BY418" s="340">
        <f t="array" aca="1" ref="BY418" ca="1">IF(BY$406="", "", IF(ISERROR(PRODUCT(1+OFFSET(BY$8, $CC418, 0, 10, 1)%)), "", PRODUCT(1+OFFSET(BY$8, $CC418, 0, 10, 1)%)^(1/10)-1))</f>
        <v>0.12289250659263073</v>
      </c>
      <c r="BZ418" s="340">
        <f t="array" aca="1" ref="BZ418" ca="1">IF(BZ$406="", "", IF(ISERROR(PRODUCT(1+OFFSET(BZ$8, $CC418, 0, 10, 1)%)), "", PRODUCT(1+OFFSET(BZ$8, $CC418, 0, 10, 1)%)^(1/10)-1))</f>
        <v>9.3089295556304741E-2</v>
      </c>
      <c r="CA418" s="532">
        <f t="array" aca="1" ref="CA418" ca="1">IF(CA$406="", "", IF(ISERROR(PRODUCT(1+OFFSET(CA$8, $CC418, 0, 10, 1)%)), "", PRODUCT(1+OFFSET(CA$8, $CC418, 0, 10, 1)%)^(1/10)-1))</f>
        <v>4.4827348437207926E-2</v>
      </c>
      <c r="CC418" s="482">
        <f t="shared" si="551"/>
        <v>110</v>
      </c>
    </row>
    <row r="419" spans="1:81" ht="14">
      <c r="A419" s="338" t="str">
        <f t="shared" si="550"/>
        <v>1991-2000</v>
      </c>
      <c r="B419" s="339">
        <f t="array" aca="1" ref="B419" ca="1">IF(B$406="", "", IF(ISERROR(PRODUCT(1+OFFSET(B$8, $CC419, 0, 10, 1)%)), "", PRODUCT(1+OFFSET(B$8, $CC419, 0, 10, 1)%)^(1/10)-1))</f>
        <v>0.16913872733482238</v>
      </c>
      <c r="C419" s="340">
        <f t="array" aca="1" ref="C419" ca="1">IF(C$406="", "", IF(ISERROR(PRODUCT(1+OFFSET(C$8, $CC419, 0, 10, 1)%)), "", PRODUCT(1+OFFSET(C$8, $CC419, 0, 10, 1)%)^(1/10)-1))</f>
        <v>0.17236044044701715</v>
      </c>
      <c r="D419" s="340">
        <f t="array" aca="1" ref="D419" ca="1">IF(D$406="", "", IF(ISERROR(PRODUCT(1+OFFSET(D$8, $CC419, 0, 10, 1)%)), "", PRODUCT(1+OFFSET(D$8, $CC419, 0, 10, 1)%)^(1/10)-1))</f>
        <v>0.17354926311884333</v>
      </c>
      <c r="E419" s="340">
        <f t="array" aca="1" ref="E419" ca="1">IF(E$406="", "", IF(ISERROR(PRODUCT(1+OFFSET(E$8, $CC419, 0, 10, 1)%)), "", PRODUCT(1+OFFSET(E$8, $CC419, 0, 10, 1)%)^(1/10)-1))</f>
        <v>0.17728937212124363</v>
      </c>
      <c r="F419" s="340">
        <f t="array" aca="1" ref="F419" ca="1">IF(F$406="", "", IF(ISERROR(PRODUCT(1+OFFSET(F$8, $CC419, 0, 10, 1)%)), "", PRODUCT(1+OFFSET(F$8, $CC419, 0, 10, 1)%)^(1/10)-1))</f>
        <v>0.18769152088350172</v>
      </c>
      <c r="G419" s="340">
        <f t="array" aca="1" ref="G419" ca="1">IF(G$406="", "", IF(ISERROR(PRODUCT(1+OFFSET(G$8, $CC419, 0, 10, 1)%)), "", PRODUCT(1+OFFSET(G$8, $CC419, 0, 10, 1)%)^(1/10)-1))</f>
        <v>0.17878409389227468</v>
      </c>
      <c r="H419" s="340">
        <f t="array" aca="1" ref="H419" ca="1">IF(H$406="", "", IF(ISERROR(PRODUCT(1+OFFSET(H$8, $CC419, 0, 10, 1)%)), "", PRODUCT(1+OFFSET(H$8, $CC419, 0, 10, 1)%)^(1/10)-1))</f>
        <v>0.16202306356971041</v>
      </c>
      <c r="I419" s="340">
        <f t="array" aca="1" ref="I419" ca="1">IF(I$406="", "", IF(ISERROR(PRODUCT(1+OFFSET(I$8, $CC419, 0, 10, 1)%)), "", PRODUCT(1+OFFSET(I$8, $CC419, 0, 10, 1)%)^(1/10)-1))</f>
        <v>0.13610966483849007</v>
      </c>
      <c r="J419" s="340">
        <f t="array" aca="1" ref="J419" ca="1">IF(J$406="", "", IF(ISERROR(PRODUCT(1+OFFSET(J$8, $CC419, 0, 10, 1)%)), "", PRODUCT(1+OFFSET(J$8, $CC419, 0, 10, 1)%)^(1/10)-1))</f>
        <v>0.18457510551990874</v>
      </c>
      <c r="K419" s="340">
        <f t="array" aca="1" ref="K419" ca="1">IF(K$406="", "", IF(ISERROR(PRODUCT(1+OFFSET(K$8, $CC419, 0, 10, 1)%)), "", PRODUCT(1+OFFSET(K$8, $CC419, 0, 10, 1)%)^(1/10)-1))</f>
        <v>0.13494951302546809</v>
      </c>
      <c r="L419" s="340">
        <f t="array" aca="1" ref="L419" ca="1">IF(L$406="", "", IF(ISERROR(PRODUCT(1+OFFSET(L$8, $CC419, 0, 10, 1)%)), "", PRODUCT(1+OFFSET(L$8, $CC419, 0, 10, 1)%)^(1/10)-1))</f>
        <v>8.4381745555847987E-2</v>
      </c>
      <c r="M419" s="340">
        <f t="array" aca="1" ref="M419" ca="1">IF(M$406="", "", IF(ISERROR(PRODUCT(1+OFFSET(M$8, $CC419, 0, 10, 1)%)), "", PRODUCT(1+OFFSET(M$8, $CC419, 0, 10, 1)%)^(1/10)-1))</f>
        <v>0.10178866304001777</v>
      </c>
      <c r="N419" s="498">
        <f t="array" aca="1" ref="N419" ca="1">IF(N$406="", "", IF(ISERROR(PRODUCT(1+OFFSET(N$8, $CC419, 0, 10, 1)%)), "", PRODUCT(1+OFFSET(N$8, $CC419, 0, 10, 1)%)^(1/10)-1))</f>
        <v>9.0138025757181328E-2</v>
      </c>
      <c r="O419" s="340">
        <f t="array" aca="1" ref="O419" ca="1">IF(O$406="", "", IF(ISERROR(PRODUCT(1+OFFSET(O$8, $CC419, 0, 10, 1)%)), "", PRODUCT(1+OFFSET(O$8, $CC419, 0, 10, 1)%)^(1/10)-1))</f>
        <v>1.5195632773063794E-2</v>
      </c>
      <c r="P419" s="340">
        <f t="array" aca="1" ref="P419" ca="1">IF(P$406="", "", IF(ISERROR(PRODUCT(1+OFFSET(P$8, $CC419, 0, 10, 1)%)), "", PRODUCT(1+OFFSET(P$8, $CC419, 0, 10, 1)%)^(1/10)-1))</f>
        <v>0.13742279370713462</v>
      </c>
      <c r="Q419" s="340">
        <f t="array" aca="1" ref="Q419" ca="1">IF(Q$406="", "", IF(ISERROR(PRODUCT(1+OFFSET(Q$8, $CC419, 0, 10, 1)%)), "", PRODUCT(1+OFFSET(Q$8, $CC419, 0, 10, 1)%)^(1/10)-1))</f>
        <v>9.2020147523385276E-2</v>
      </c>
      <c r="R419" s="340">
        <f t="array" aca="1" ref="R419" ca="1">IF(R$406="", "", IF(ISERROR(PRODUCT(1+OFFSET(R$8, $CC419, 0, 10, 1)%)), "", PRODUCT(1+OFFSET(R$8, $CC419, 0, 10, 1)%)^(1/10)-1))</f>
        <v>8.2211265159810587E-2</v>
      </c>
      <c r="S419" s="340">
        <f t="array" aca="1" ref="S419" ca="1">IF(S$406="", "", IF(ISERROR(PRODUCT(1+OFFSET(S$8, $CC419, 0, 10, 1)%)), "", PRODUCT(1+OFFSET(S$8, $CC419, 0, 10, 1)%)^(1/10)-1))</f>
        <v>9.4964809659090932E-2</v>
      </c>
      <c r="T419" s="340">
        <f t="array" aca="1" ref="T419" ca="1">IF(T$406="", "", IF(ISERROR(PRODUCT(1+OFFSET(T$8, $CC419, 0, 10, 1)%)), "", PRODUCT(1+OFFSET(T$8, $CC419, 0, 10, 1)%)^(1/10)-1))</f>
        <v>7.8392416922284047E-2</v>
      </c>
      <c r="U419" s="340">
        <f t="array" aca="1" ref="U419" ca="1">IF(U$406="", "", IF(ISERROR(PRODUCT(1+OFFSET(U$8, $CC419, 0, 10, 1)%)), "", PRODUCT(1+OFFSET(U$8, $CC419, 0, 10, 1)%)^(1/10)-1))</f>
        <v>7.8025448881983372E-2</v>
      </c>
      <c r="V419" s="340">
        <f t="array" aca="1" ref="V419" ca="1">IF(V$406="", "", IF(ISERROR(PRODUCT(1+OFFSET(V$8, $CC419, 0, 10, 1)%)), "", PRODUCT(1+OFFSET(V$8, $CC419, 0, 10, 1)%)^(1/10)-1))</f>
        <v>4.6937412741916429E-2</v>
      </c>
      <c r="W419" s="340">
        <f t="array" aca="1" ref="W419" ca="1">IF(W$406="", "", IF(ISERROR(PRODUCT(1+OFFSET(W$8, $CC419, 0, 10, 1)%)), "", PRODUCT(1+OFFSET(W$8, $CC419, 0, 10, 1)%)^(1/10)-1))</f>
        <v>6.7465530234381177E-2</v>
      </c>
      <c r="X419" s="340">
        <f t="array" aca="1" ref="X419" ca="1">IF(X$406="", "", IF(ISERROR(PRODUCT(1+OFFSET(X$8, $CC419, 0, 10, 1)%)), "", PRODUCT(1+OFFSET(X$8, $CC419, 0, 10, 1)%)^(1/10)-1))</f>
        <v>0.13996435723192779</v>
      </c>
      <c r="Y419" s="340">
        <f t="array" aca="1" ref="Y419" ca="1">IF(Y$406="", "", IF(ISERROR(PRODUCT(1+OFFSET(Y$8, $CC419, 0, 10, 1)%)), "", PRODUCT(1+OFFSET(Y$8, $CC419, 0, 10, 1)%)^(1/10)-1))</f>
        <v>0.1181926957420536</v>
      </c>
      <c r="Z419" s="340">
        <f t="array" aca="1" ref="Z419" ca="1">IF(Z$406="", "", IF(ISERROR(PRODUCT(1+OFFSET(Z$8, $CC419, 0, 10, 1)%)), "", PRODUCT(1+OFFSET(Z$8, $CC419, 0, 10, 1)%)^(1/10)-1))</f>
        <v>0.16655309261950269</v>
      </c>
      <c r="AA419" s="340">
        <f t="array" aca="1" ref="AA419" ca="1">IF(AA$406="", "", IF(ISERROR(PRODUCT(1+OFFSET(AA$8, $CC419, 0, 10, 1)%)), "", PRODUCT(1+OFFSET(AA$8, $CC419, 0, 10, 1)%)^(1/10)-1))</f>
        <v>6.3161518521825055E-2</v>
      </c>
      <c r="AB419" s="340">
        <f t="array" aca="1" ref="AB419" ca="1">IF(AB$406="", "", IF(ISERROR(PRODUCT(1+OFFSET(AB$8, $CC419, 0, 10, 1)%)), "", PRODUCT(1+OFFSET(AB$8, $CC419, 0, 10, 1)%)^(1/10)-1))</f>
        <v>-3.9049556984456002E-2</v>
      </c>
      <c r="AC419" s="340">
        <f t="array" aca="1" ref="AC419" ca="1">IF(AC$406="", "", IF(ISERROR(PRODUCT(1+OFFSET(AC$8, $CC419, 0, 10, 1)%)), "", PRODUCT(1+OFFSET(AC$8, $CC419, 0, 10, 1)%)^(1/10)-1))</f>
        <v>0.10602818977876027</v>
      </c>
      <c r="AD419" s="340">
        <f t="array" aca="1" ref="AD419" ca="1">IF(AD$406="", "", IF(ISERROR(PRODUCT(1+OFFSET(AD$8, $CC419, 0, 10, 1)%)), "", PRODUCT(1+OFFSET(AD$8, $CC419, 0, 10, 1)%)^(1/10)-1))</f>
        <v>0.12854417896999792</v>
      </c>
      <c r="AE419" s="340">
        <f t="array" aca="1" ref="AE419" ca="1">IF(AE$406="", "", IF(ISERROR(PRODUCT(1+OFFSET(AE$8, $CC419, 0, 10, 1)%)), "", PRODUCT(1+OFFSET(AE$8, $CC419, 0, 10, 1)%)^(1/10)-1))</f>
        <v>0.25467781294500935</v>
      </c>
      <c r="AF419" s="340">
        <f t="array" aca="1" ref="AF419" ca="1">IF(AF$406="", "", IF(ISERROR(PRODUCT(1+OFFSET(AF$8, $CC419, 0, 10, 1)%)), "", PRODUCT(1+OFFSET(AF$8, $CC419, 0, 10, 1)%)^(1/10)-1))</f>
        <v>2.143797340274034E-3</v>
      </c>
      <c r="AG419" s="340">
        <f t="array" aca="1" ref="AG419" ca="1">IF(AG$406="", "", IF(ISERROR(PRODUCT(1+OFFSET(AG$8, $CC419, 0, 10, 1)%)), "", PRODUCT(1+OFFSET(AG$8, $CC419, 0, 10, 1)%)^(1/10)-1))</f>
        <v>0.16811817136487006</v>
      </c>
      <c r="AH419" s="340">
        <f t="array" aca="1" ref="AH419" ca="1">IF(AH$406="", "", IF(ISERROR(PRODUCT(1+OFFSET(AH$8, $CC419, 0, 10, 1)%)), "", PRODUCT(1+OFFSET(AH$8, $CC419, 0, 10, 1)%)^(1/10)-1))</f>
        <v>4.281494927377083E-2</v>
      </c>
      <c r="AI419" s="340">
        <f t="array" aca="1" ref="AI419" ca="1">IF(AI$406="", "", IF(ISERROR(PRODUCT(1+OFFSET(AI$8, $CC419, 0, 10, 1)%)), "", PRODUCT(1+OFFSET(AI$8, $CC419, 0, 10, 1)%)^(1/10)-1))</f>
        <v>6.8686124110142632E-2</v>
      </c>
      <c r="AJ419" s="340">
        <f t="array" aca="1" ref="AJ419" ca="1">IF(AJ$406="", "", IF(ISERROR(PRODUCT(1+OFFSET(AJ$8, $CC419, 0, 10, 1)%)), "", PRODUCT(1+OFFSET(AJ$8, $CC419, 0, 10, 1)%)^(1/10)-1))</f>
        <v>7.6126914958748459E-2</v>
      </c>
      <c r="AK419" s="340">
        <f t="array" aca="1" ref="AK419" ca="1">IF(AK$406="", "", IF(ISERROR(PRODUCT(1+OFFSET(AK$8, $CC419, 0, 10, 1)%)), "", PRODUCT(1+OFFSET(AK$8, $CC419, 0, 10, 1)%)^(1/10)-1))</f>
        <v>0.10384834946823607</v>
      </c>
      <c r="AL419" s="340">
        <f t="array" aca="1" ref="AL419" ca="1">IF(AL$406="", "", IF(ISERROR(PRODUCT(1+OFFSET(AL$8, $CC419, 0, 10, 1)%)), "", PRODUCT(1+OFFSET(AL$8, $CC419, 0, 10, 1)%)^(1/10)-1))</f>
        <v>0.17010108901408549</v>
      </c>
      <c r="AM419" s="340">
        <f t="array" aca="1" ref="AM419" ca="1">IF(AM$406="", "", IF(ISERROR(PRODUCT(1+OFFSET(AM$8, $CC419, 0, 10, 1)%)), "", PRODUCT(1+OFFSET(AM$8, $CC419, 0, 10, 1)%)^(1/10)-1))</f>
        <v>0.18142718848398798</v>
      </c>
      <c r="AN419" s="340">
        <f t="array" aca="1" ref="AN419" ca="1">IF(AN$406="", "", IF(ISERROR(PRODUCT(1+OFFSET(AN$8, $CC419, 0, 10, 1)%)), "", PRODUCT(1+OFFSET(AN$8, $CC419, 0, 10, 1)%)^(1/10)-1))</f>
        <v>0.16128779197004639</v>
      </c>
      <c r="AO419" s="340">
        <f t="array" aca="1" ref="AO419" ca="1">IF(AO$406="", "", IF(ISERROR(PRODUCT(1+OFFSET(AO$8, $CC419, 0, 10, 1)%)), "", PRODUCT(1+OFFSET(AO$8, $CC419, 0, 10, 1)%)^(1/10)-1))</f>
        <v>5.9334392016192616E-2</v>
      </c>
      <c r="AP419" s="340">
        <f t="array" aca="1" ref="AP419" ca="1">IF(AP$406="", "", IF(ISERROR(PRODUCT(1+OFFSET(AP$8, $CC419, 0, 10, 1)%)), "", PRODUCT(1+OFFSET(AP$8, $CC419, 0, 10, 1)%)^(1/10)-1))</f>
        <v>6.9134044413445395E-2</v>
      </c>
      <c r="AQ419" s="340" t="str">
        <f t="array" aca="1" ref="AQ419" ca="1">IF(AQ$406="", "", IF(ISERROR(PRODUCT(1+OFFSET(AQ$8, $CC419, 0, 10, 1)%)), "", PRODUCT(1+OFFSET(AQ$8, $CC419, 0, 10, 1)%)^(1/10)-1))</f>
        <v/>
      </c>
      <c r="AR419" s="340" t="str">
        <f t="array" aca="1" ref="AR419" ca="1">IF(AR$406="", "", IF(ISERROR(PRODUCT(1+OFFSET(AR$8, $CC419, 0, 10, 1)%)), "", PRODUCT(1+OFFSET(AR$8, $CC419, 0, 10, 1)%)^(1/10)-1))</f>
        <v/>
      </c>
      <c r="AS419" s="340" t="str">
        <f t="array" aca="1" ref="AS419" ca="1">IF(AS$406="", "", IF(ISERROR(PRODUCT(1+OFFSET(AS$8, $CC419, 0, 10, 1)%)), "", PRODUCT(1+OFFSET(AS$8, $CC419, 0, 10, 1)%)^(1/10)-1))</f>
        <v/>
      </c>
      <c r="AT419" s="340" t="str">
        <f t="array" aca="1" ref="AT419" ca="1">IF(AT$406="", "", IF(ISERROR(PRODUCT(1+OFFSET(AT$8, $CC419, 0, 10, 1)%)), "", PRODUCT(1+OFFSET(AT$8, $CC419, 0, 10, 1)%)^(1/10)-1))</f>
        <v/>
      </c>
      <c r="AU419" s="340" t="str">
        <f t="array" aca="1" ref="AU419" ca="1">IF(AU$406="", "", IF(ISERROR(PRODUCT(1+OFFSET(AU$8, $CC419, 0, 10, 1)%)), "", PRODUCT(1+OFFSET(AU$8, $CC419, 0, 10, 1)%)^(1/10)-1))</f>
        <v/>
      </c>
      <c r="AV419" s="340" t="str">
        <f t="array" aca="1" ref="AV419" ca="1">IF(AV$406="", "", IF(ISERROR(PRODUCT(1+OFFSET(AV$8, $CC419, 0, 10, 1)%)), "", PRODUCT(1+OFFSET(AV$8, $CC419, 0, 10, 1)%)^(1/10)-1))</f>
        <v/>
      </c>
      <c r="AW419" s="340" t="str">
        <f t="array" aca="1" ref="AW419" ca="1">IF(AW$406="", "", IF(ISERROR(PRODUCT(1+OFFSET(AW$8, $CC419, 0, 10, 1)%)), "", PRODUCT(1+OFFSET(AW$8, $CC419, 0, 10, 1)%)^(1/10)-1))</f>
        <v/>
      </c>
      <c r="AX419" s="340" t="str">
        <f t="array" aca="1" ref="AX419" ca="1">IF(AX$406="", "", IF(ISERROR(PRODUCT(1+OFFSET(AX$8, $CC419, 0, 10, 1)%)), "", PRODUCT(1+OFFSET(AX$8, $CC419, 0, 10, 1)%)^(1/10)-1))</f>
        <v/>
      </c>
      <c r="AY419" s="340" t="str">
        <f t="array" aca="1" ref="AY419" ca="1">IF(AY$406="", "", IF(ISERROR(PRODUCT(1+OFFSET(AY$8, $CC419, 0, 10, 1)%)), "", PRODUCT(1+OFFSET(AY$8, $CC419, 0, 10, 1)%)^(1/10)-1))</f>
        <v/>
      </c>
      <c r="AZ419" s="340" t="str">
        <f t="array" aca="1" ref="AZ419" ca="1">IF(AZ$406="", "", IF(ISERROR(PRODUCT(1+OFFSET(AZ$8, $CC419, 0, 10, 1)%)), "", PRODUCT(1+OFFSET(AZ$8, $CC419, 0, 10, 1)%)^(1/10)-1))</f>
        <v/>
      </c>
      <c r="BA419" s="340" t="str">
        <f t="array" aca="1" ref="BA419" ca="1">IF(BA$406="", "", IF(ISERROR(PRODUCT(1+OFFSET(BA$8, $CC419, 0, 10, 1)%)), "", PRODUCT(1+OFFSET(BA$8, $CC419, 0, 10, 1)%)^(1/10)-1))</f>
        <v/>
      </c>
      <c r="BB419" s="340" t="str">
        <f t="array" aca="1" ref="BB419" ca="1">IF(BB$406="", "", IF(ISERROR(PRODUCT(1+OFFSET(BB$8, $CC419, 0, 10, 1)%)), "", PRODUCT(1+OFFSET(BB$8, $CC419, 0, 10, 1)%)^(1/10)-1))</f>
        <v/>
      </c>
      <c r="BC419" s="340" t="str">
        <f t="array" aca="1" ref="BC419" ca="1">IF(BC$406="", "", IF(ISERROR(PRODUCT(1+OFFSET(BC$8, $CC419, 0, 10, 1)%)), "", PRODUCT(1+OFFSET(BC$8, $CC419, 0, 10, 1)%)^(1/10)-1))</f>
        <v/>
      </c>
      <c r="BD419" s="340" t="str">
        <f t="array" aca="1" ref="BD419" ca="1">IF(BD$406="", "", IF(ISERROR(PRODUCT(1+OFFSET(BD$8, $CC419, 0, 10, 1)%)), "", PRODUCT(1+OFFSET(BD$8, $CC419, 0, 10, 1)%)^(1/10)-1))</f>
        <v/>
      </c>
      <c r="BE419" s="340" t="str">
        <f t="array" aca="1" ref="BE419" ca="1">IF(BE$406="", "", IF(ISERROR(PRODUCT(1+OFFSET(BE$8, $CC419, 0, 10, 1)%)), "", PRODUCT(1+OFFSET(BE$8, $CC419, 0, 10, 1)%)^(1/10)-1))</f>
        <v/>
      </c>
      <c r="BF419" s="340" t="str">
        <f t="array" aca="1" ref="BF419" ca="1">IF(BF$406="", "", IF(ISERROR(PRODUCT(1+OFFSET(BF$8, $CC419, 0, 10, 1)%)), "", PRODUCT(1+OFFSET(BF$8, $CC419, 0, 10, 1)%)^(1/10)-1))</f>
        <v/>
      </c>
      <c r="BG419" s="340" t="str">
        <f t="array" aca="1" ref="BG419" ca="1">IF(BG$406="", "", IF(ISERROR(PRODUCT(1+OFFSET(BG$8, $CC419, 0, 10, 1)%)), "", PRODUCT(1+OFFSET(BG$8, $CC419, 0, 10, 1)%)^(1/10)-1))</f>
        <v/>
      </c>
      <c r="BH419" s="340" t="str">
        <f t="array" aca="1" ref="BH419" ca="1">IF(BH$406="", "", IF(ISERROR(PRODUCT(1+OFFSET(BH$8, $CC419, 0, 10, 1)%)), "", PRODUCT(1+OFFSET(BH$8, $CC419, 0, 10, 1)%)^(1/10)-1))</f>
        <v/>
      </c>
      <c r="BI419" s="340" t="str">
        <f t="array" aca="1" ref="BI419" ca="1">IF(BI$406="", "", IF(ISERROR(PRODUCT(1+OFFSET(BI$8, $CC419, 0, 10, 1)%)), "", PRODUCT(1+OFFSET(BI$8, $CC419, 0, 10, 1)%)^(1/10)-1))</f>
        <v/>
      </c>
      <c r="BJ419" s="340" t="str">
        <f t="array" aca="1" ref="BJ419" ca="1">IF(BJ$406="", "", IF(ISERROR(PRODUCT(1+OFFSET(BJ$8, $CC419, 0, 10, 1)%)), "", PRODUCT(1+OFFSET(BJ$8, $CC419, 0, 10, 1)%)^(1/10)-1))</f>
        <v/>
      </c>
      <c r="BK419" s="340" t="str">
        <f t="array" aca="1" ref="BK419" ca="1">IF(BK$406="", "", IF(ISERROR(PRODUCT(1+OFFSET(BK$8, $CC419, 0, 10, 1)%)), "", PRODUCT(1+OFFSET(BK$8, $CC419, 0, 10, 1)%)^(1/10)-1))</f>
        <v/>
      </c>
      <c r="BL419" s="340" t="str">
        <f t="array" aca="1" ref="BL419" ca="1">IF(BL$406="", "", IF(ISERROR(PRODUCT(1+OFFSET(BL$8, $CC419, 0, 10, 1)%)), "", PRODUCT(1+OFFSET(BL$8, $CC419, 0, 10, 1)%)^(1/10)-1))</f>
        <v/>
      </c>
      <c r="BM419" s="340" t="str">
        <f t="array" aca="1" ref="BM419" ca="1">IF(BM$406="", "", IF(ISERROR(PRODUCT(1+OFFSET(BM$8, $CC419, 0, 10, 1)%)), "", PRODUCT(1+OFFSET(BM$8, $CC419, 0, 10, 1)%)^(1/10)-1))</f>
        <v/>
      </c>
      <c r="BN419" s="340" t="str">
        <f t="array" aca="1" ref="BN419" ca="1">IF(BN$406="", "", IF(ISERROR(PRODUCT(1+OFFSET(BN$8, $CC419, 0, 10, 1)%)), "", PRODUCT(1+OFFSET(BN$8, $CC419, 0, 10, 1)%)^(1/10)-1))</f>
        <v/>
      </c>
      <c r="BO419" s="340" t="str">
        <f t="array" aca="1" ref="BO419" ca="1">IF(BO$406="", "", IF(ISERROR(PRODUCT(1+OFFSET(BO$8, $CC419, 0, 10, 1)%)), "", PRODUCT(1+OFFSET(BO$8, $CC419, 0, 10, 1)%)^(1/10)-1))</f>
        <v/>
      </c>
      <c r="BP419" s="340" t="str">
        <f t="array" aca="1" ref="BP419" ca="1">IF(BP$406="", "", IF(ISERROR(PRODUCT(1+OFFSET(BP$8, $CC419, 0, 10, 1)%)), "", PRODUCT(1+OFFSET(BP$8, $CC419, 0, 10, 1)%)^(1/10)-1))</f>
        <v/>
      </c>
      <c r="BQ419" s="340" t="str">
        <f t="array" aca="1" ref="BQ419" ca="1">IF(BQ$406="", "", IF(ISERROR(PRODUCT(1+OFFSET(BQ$8, $CC419, 0, 10, 1)%)), "", PRODUCT(1+OFFSET(BQ$8, $CC419, 0, 10, 1)%)^(1/10)-1))</f>
        <v/>
      </c>
      <c r="BR419" s="340" t="str">
        <f t="array" aca="1" ref="BR419" ca="1">IF(BR$406="", "", IF(ISERROR(PRODUCT(1+OFFSET(BR$8, $CC419, 0, 10, 1)%)), "", PRODUCT(1+OFFSET(BR$8, $CC419, 0, 10, 1)%)^(1/10)-1))</f>
        <v/>
      </c>
      <c r="BS419" s="340" t="str">
        <f t="array" aca="1" ref="BS419" ca="1">IF(BS$406="", "", IF(ISERROR(PRODUCT(1+OFFSET(BS$8, $CC419, 0, 10, 1)%)), "", PRODUCT(1+OFFSET(BS$8, $CC419, 0, 10, 1)%)^(1/10)-1))</f>
        <v/>
      </c>
      <c r="BT419" s="340" t="str">
        <f t="array" aca="1" ref="BT419" ca="1">IF(BT$406="", "", IF(ISERROR(PRODUCT(1+OFFSET(BT$8, $CC419, 0, 10, 1)%)), "", PRODUCT(1+OFFSET(BT$8, $CC419, 0, 10, 1)%)^(1/10)-1))</f>
        <v/>
      </c>
      <c r="BU419" s="340" t="str">
        <f t="array" aca="1" ref="BU419" ca="1">IF(BU$406="", "", IF(ISERROR(PRODUCT(1+OFFSET(BU$8, $CC419, 0, 10, 1)%)), "", PRODUCT(1+OFFSET(BU$8, $CC419, 0, 10, 1)%)^(1/10)-1))</f>
        <v/>
      </c>
      <c r="BV419" s="340" t="str">
        <f t="array" aca="1" ref="BV419" ca="1">IF(BV$406="", "", IF(ISERROR(PRODUCT(1+OFFSET(BV$8, $CC419, 0, 10, 1)%)), "", PRODUCT(1+OFFSET(BV$8, $CC419, 0, 10, 1)%)^(1/10)-1))</f>
        <v/>
      </c>
      <c r="BW419" s="340" t="str">
        <f t="array" aca="1" ref="BW419" ca="1">IF(BW$406="", "", IF(ISERROR(PRODUCT(1+OFFSET(BW$8, $CC419, 0, 10, 1)%)), "", PRODUCT(1+OFFSET(BW$8, $CC419, 0, 10, 1)%)^(1/10)-1))</f>
        <v/>
      </c>
      <c r="BX419" s="340">
        <f t="array" aca="1" ref="BX419" ca="1">IF(BX$406="", "", IF(ISERROR(PRODUCT(1+OFFSET(BX$8, $CC419, 0, 10, 1)%)), "", PRODUCT(1+OFFSET(BX$8, $CC419, 0, 10, 1)%)^(1/10)-1))</f>
        <v>0.17550528313289693</v>
      </c>
      <c r="BY419" s="340">
        <f t="array" aca="1" ref="BY419" ca="1">IF(BY$406="", "", IF(ISERROR(PRODUCT(1+OFFSET(BY$8, $CC419, 0, 10, 1)%)), "", PRODUCT(1+OFFSET(BY$8, $CC419, 0, 10, 1)%)^(1/10)-1))</f>
        <v>7.7345350398106749E-2</v>
      </c>
      <c r="BZ419" s="340">
        <f t="array" aca="1" ref="BZ419" ca="1">IF(BZ$406="", "", IF(ISERROR(PRODUCT(1+OFFSET(BZ$8, $CC419, 0, 10, 1)%)), "", PRODUCT(1+OFFSET(BZ$8, $CC419, 0, 10, 1)%)^(1/10)-1))</f>
        <v>5.1384803653997446E-2</v>
      </c>
      <c r="CA419" s="532">
        <f t="array" aca="1" ref="CA419" ca="1">IF(CA$406="", "", IF(ISERROR(PRODUCT(1+OFFSET(CA$8, $CC419, 0, 10, 1)%)), "", PRODUCT(1+OFFSET(CA$8, $CC419, 0, 10, 1)%)^(1/10)-1))</f>
        <v>2.6619037455101191E-2</v>
      </c>
      <c r="CC419" s="482">
        <f t="shared" si="551"/>
        <v>120</v>
      </c>
    </row>
    <row r="420" spans="1:81" ht="14">
      <c r="A420" s="338" t="str">
        <f t="shared" si="550"/>
        <v>2001-2010</v>
      </c>
      <c r="B420" s="339">
        <f t="array" aca="1" ref="B420" ca="1">IF(B$406="", "", IF(ISERROR(PRODUCT(1+OFFSET(B$8, $CC420, 0, 10, 1)%)), "", PRODUCT(1+OFFSET(B$8, $CC420, 0, 10, 1)%)^(1/10)-1))</f>
        <v>2.4533343054906176E-2</v>
      </c>
      <c r="C420" s="340">
        <f t="array" aca="1" ref="C420" ca="1">IF(C$406="", "", IF(ISERROR(PRODUCT(1+OFFSET(C$8, $CC420, 0, 10, 1)%)), "", PRODUCT(1+OFFSET(C$8, $CC420, 0, 10, 1)%)^(1/10)-1))</f>
        <v>1.9865438573204219E-2</v>
      </c>
      <c r="D420" s="340">
        <f t="array" aca="1" ref="D420" ca="1">IF(D$406="", "", IF(ISERROR(PRODUCT(1+OFFSET(D$8, $CC420, 0, 10, 1)%)), "", PRODUCT(1+OFFSET(D$8, $CC420, 0, 10, 1)%)^(1/10)-1))</f>
        <v>1.3120568705542457E-2</v>
      </c>
      <c r="E420" s="340">
        <f t="array" aca="1" ref="E420" ca="1">IF(E$406="", "", IF(ISERROR(PRODUCT(1+OFFSET(E$8, $CC420, 0, 10, 1)%)), "", PRODUCT(1+OFFSET(E$8, $CC420, 0, 10, 1)%)^(1/10)-1))</f>
        <v>1.2943901031932992E-2</v>
      </c>
      <c r="F420" s="340">
        <f t="array" aca="1" ref="F420" ca="1">IF(F$406="", "", IF(ISERROR(PRODUCT(1+OFFSET(F$8, $CC420, 0, 10, 1)%)), "", PRODUCT(1+OFFSET(F$8, $CC420, 0, 10, 1)%)^(1/10)-1))</f>
        <v>6.7757838358098565E-2</v>
      </c>
      <c r="G420" s="340">
        <f t="array" aca="1" ref="G420" ca="1">IF(G$406="", "", IF(ISERROR(PRODUCT(1+OFFSET(G$8, $CC420, 0, 10, 1)%)), "", PRODUCT(1+OFFSET(G$8, $CC420, 0, 10, 1)%)^(1/10)-1))</f>
        <v>7.9477212137880837E-2</v>
      </c>
      <c r="H420" s="340">
        <f t="array" aca="1" ref="H420" ca="1">IF(H$406="", "", IF(ISERROR(PRODUCT(1+OFFSET(H$8, $CC420, 0, 10, 1)%)), "", PRODUCT(1+OFFSET(H$8, $CC420, 0, 10, 1)%)^(1/10)-1))</f>
        <v>7.2298024512130077E-2</v>
      </c>
      <c r="I420" s="340">
        <f t="array" aca="1" ref="I420" ca="1">IF(I$406="", "", IF(ISERROR(PRODUCT(1+OFFSET(I$8, $CC420, 0, 10, 1)%)), "", PRODUCT(1+OFFSET(I$8, $CC420, 0, 10, 1)%)^(1/10)-1))</f>
        <v>7.5152249103467073E-2</v>
      </c>
      <c r="J420" s="340">
        <f t="array" aca="1" ref="J420" ca="1">IF(J$406="", "", IF(ISERROR(PRODUCT(1+OFFSET(J$8, $CC420, 0, 10, 1)%)), "", PRODUCT(1+OFFSET(J$8, $CC420, 0, 10, 1)%)^(1/10)-1))</f>
        <v>0.11340752871426885</v>
      </c>
      <c r="K420" s="340">
        <f t="array" aca="1" ref="K420" ca="1">IF(K$406="", "", IF(ISERROR(PRODUCT(1+OFFSET(K$8, $CC420, 0, 10, 1)%)), "", PRODUCT(1+OFFSET(K$8, $CC420, 0, 10, 1)%)^(1/10)-1))</f>
        <v>0.10572235568379651</v>
      </c>
      <c r="L420" s="340">
        <f t="array" aca="1" ref="L420" ca="1">IF(L$406="", "", IF(ISERROR(PRODUCT(1+OFFSET(L$8, $CC420, 0, 10, 1)%)), "", PRODUCT(1+OFFSET(L$8, $CC420, 0, 10, 1)%)^(1/10)-1))</f>
        <v>3.6283790550898143E-2</v>
      </c>
      <c r="M420" s="340">
        <f t="array" aca="1" ref="M420" ca="1">IF(M$406="", "", IF(ISERROR(PRODUCT(1+OFFSET(M$8, $CC420, 0, 10, 1)%)), "", PRODUCT(1+OFFSET(M$8, $CC420, 0, 10, 1)%)^(1/10)-1))</f>
        <v>0.15397055007003679</v>
      </c>
      <c r="N420" s="498">
        <f t="array" aca="1" ref="N420" ca="1">IF(N$406="", "", IF(ISERROR(PRODUCT(1+OFFSET(N$8, $CC420, 0, 10, 1)%)), "", PRODUCT(1+OFFSET(N$8, $CC420, 0, 10, 1)%)^(1/10)-1))</f>
        <v>5.143351060325263E-2</v>
      </c>
      <c r="O420" s="340">
        <f t="array" aca="1" ref="O420" ca="1">IF(O$406="", "", IF(ISERROR(PRODUCT(1+OFFSET(O$8, $CC420, 0, 10, 1)%)), "", PRODUCT(1+OFFSET(O$8, $CC420, 0, 10, 1)%)^(1/10)-1))</f>
        <v>3.8239722086209182E-2</v>
      </c>
      <c r="P420" s="340">
        <f t="array" aca="1" ref="P420" ca="1">IF(P$406="", "", IF(ISERROR(PRODUCT(1+OFFSET(P$8, $CC420, 0, 10, 1)%)), "", PRODUCT(1+OFFSET(P$8, $CC420, 0, 10, 1)%)^(1/10)-1))</f>
        <v>3.356566666424099E-2</v>
      </c>
      <c r="Q420" s="340">
        <f t="array" aca="1" ref="Q420" ca="1">IF(Q$406="", "", IF(ISERROR(PRODUCT(1+OFFSET(Q$8, $CC420, 0, 10, 1)%)), "", PRODUCT(1+OFFSET(Q$8, $CC420, 0, 10, 1)%)^(1/10)-1))</f>
        <v>6.0092474408427465E-2</v>
      </c>
      <c r="R420" s="340">
        <f t="array" aca="1" ref="R420" ca="1">IF(R$406="", "", IF(ISERROR(PRODUCT(1+OFFSET(R$8, $CC420, 0, 10, 1)%)), "", PRODUCT(1+OFFSET(R$8, $CC420, 0, 10, 1)%)^(1/10)-1))</f>
        <v>9.814887679427664E-2</v>
      </c>
      <c r="S420" s="340">
        <f t="array" aca="1" ref="S420" ca="1">IF(S$406="", "", IF(ISERROR(PRODUCT(1+OFFSET(S$8, $CC420, 0, 10, 1)%)), "", PRODUCT(1+OFFSET(S$8, $CC420, 0, 10, 1)%)^(1/10)-1))</f>
        <v>6.4119317163381151E-2</v>
      </c>
      <c r="T420" s="340">
        <f t="array" aca="1" ref="T420" ca="1">IF(T$406="", "", IF(ISERROR(PRODUCT(1+OFFSET(T$8, $CC420, 0, 10, 1)%)), "", PRODUCT(1+OFFSET(T$8, $CC420, 0, 10, 1)%)^(1/10)-1))</f>
        <v>6.0763886204796114E-2</v>
      </c>
      <c r="U420" s="340">
        <f t="array" aca="1" ref="U420" ca="1">IF(U$406="", "", IF(ISERROR(PRODUCT(1+OFFSET(U$8, $CC420, 0, 10, 1)%)), "", PRODUCT(1+OFFSET(U$8, $CC420, 0, 10, 1)%)^(1/10)-1))</f>
        <v>5.5727049638530035E-2</v>
      </c>
      <c r="V420" s="340">
        <f t="array" aca="1" ref="V420" ca="1">IF(V$406="", "", IF(ISERROR(PRODUCT(1+OFFSET(V$8, $CC420, 0, 10, 1)%)), "", PRODUCT(1+OFFSET(V$8, $CC420, 0, 10, 1)%)^(1/10)-1))</f>
        <v>2.1670756924320411E-2</v>
      </c>
      <c r="W420" s="340">
        <f t="array" aca="1" ref="W420" ca="1">IF(W$406="", "", IF(ISERROR(PRODUCT(1+OFFSET(W$8, $CC420, 0, 10, 1)%)), "", PRODUCT(1+OFFSET(W$8, $CC420, 0, 10, 1)%)^(1/10)-1))</f>
        <v>6.7635669435370138E-2</v>
      </c>
      <c r="X420" s="340">
        <f t="array" aca="1" ref="X420" ca="1">IF(X$406="", "", IF(ISERROR(PRODUCT(1+OFFSET(X$8, $CC420, 0, 10, 1)%)), "", PRODUCT(1+OFFSET(X$8, $CC420, 0, 10, 1)%)^(1/10)-1))</f>
        <v>6.2002841284138688E-2</v>
      </c>
      <c r="Y420" s="340">
        <f t="array" aca="1" ref="Y420" ca="1">IF(Y$406="", "", IF(ISERROR(PRODUCT(1+OFFSET(Y$8, $CC420, 0, 10, 1)%)), "", PRODUCT(1+OFFSET(Y$8, $CC420, 0, 10, 1)%)^(1/10)-1))</f>
        <v>6.4358112199050632E-2</v>
      </c>
      <c r="Z420" s="340">
        <f t="array" aca="1" ref="Z420" ca="1">IF(Z$406="", "", IF(ISERROR(PRODUCT(1+OFFSET(Z$8, $CC420, 0, 10, 1)%)), "", PRODUCT(1+OFFSET(Z$8, $CC420, 0, 10, 1)%)^(1/10)-1))</f>
        <v>3.490653526246823E-2</v>
      </c>
      <c r="AA420" s="340">
        <f t="array" aca="1" ref="AA420" ca="1">IF(AA$406="", "", IF(ISERROR(PRODUCT(1+OFFSET(AA$8, $CC420, 0, 10, 1)%)), "", PRODUCT(1+OFFSET(AA$8, $CC420, 0, 10, 1)%)^(1/10)-1))</f>
        <v>4.3054518381456353E-2</v>
      </c>
      <c r="AB420" s="340">
        <f t="array" aca="1" ref="AB420" ca="1">IF(AB$406="", "", IF(ISERROR(PRODUCT(1+OFFSET(AB$8, $CC420, 0, 10, 1)%)), "", PRODUCT(1+OFFSET(AB$8, $CC420, 0, 10, 1)%)^(1/10)-1))</f>
        <v>0.17338408426873397</v>
      </c>
      <c r="AC420" s="340">
        <f t="array" aca="1" ref="AC420" ca="1">IF(AC$406="", "", IF(ISERROR(PRODUCT(1+OFFSET(AC$8, $CC420, 0, 10, 1)%)), "", PRODUCT(1+OFFSET(AC$8, $CC420, 0, 10, 1)%)^(1/10)-1))</f>
        <v>8.4108171025962131E-2</v>
      </c>
      <c r="AD420" s="340">
        <f t="array" aca="1" ref="AD420" ca="1">IF(AD$406="", "", IF(ISERROR(PRODUCT(1+OFFSET(AD$8, $CC420, 0, 10, 1)%)), "", PRODUCT(1+OFFSET(AD$8, $CC420, 0, 10, 1)%)^(1/10)-1))</f>
        <v>0.14171765107013856</v>
      </c>
      <c r="AE420" s="340">
        <f t="array" aca="1" ref="AE420" ca="1">IF(AE$406="", "", IF(ISERROR(PRODUCT(1+OFFSET(AE$8, $CC420, 0, 10, 1)%)), "", PRODUCT(1+OFFSET(AE$8, $CC420, 0, 10, 1)%)^(1/10)-1))</f>
        <v>4.8191431330032453E-2</v>
      </c>
      <c r="AF420" s="340">
        <f t="array" aca="1" ref="AF420" ca="1">IF(AF$406="", "", IF(ISERROR(PRODUCT(1+OFFSET(AF$8, $CC420, 0, 10, 1)%)), "", PRODUCT(1+OFFSET(AF$8, $CC420, 0, 10, 1)%)^(1/10)-1))</f>
        <v>0.22526568567464489</v>
      </c>
      <c r="AG420" s="340">
        <f t="array" aca="1" ref="AG420" ca="1">IF(AG$406="", "", IF(ISERROR(PRODUCT(1+OFFSET(AG$8, $CC420, 0, 10, 1)%)), "", PRODUCT(1+OFFSET(AG$8, $CC420, 0, 10, 1)%)^(1/10)-1))</f>
        <v>3.5865821465034031E-2</v>
      </c>
      <c r="AH420" s="340">
        <f t="array" aca="1" ref="AH420" ca="1">IF(AH$406="", "", IF(ISERROR(PRODUCT(1+OFFSET(AH$8, $CC420, 0, 10, 1)%)), "", PRODUCT(1+OFFSET(AH$8, $CC420, 0, 10, 1)%)^(1/10)-1))</f>
        <v>2.7780685699410279E-2</v>
      </c>
      <c r="AI420" s="340">
        <f t="array" aca="1" ref="AI420" ca="1">IF(AI$406="", "", IF(ISERROR(PRODUCT(1+OFFSET(AI$8, $CC420, 0, 10, 1)%)), "", PRODUCT(1+OFFSET(AI$8, $CC420, 0, 10, 1)%)^(1/10)-1))</f>
        <v>4.258426033907603E-2</v>
      </c>
      <c r="AJ420" s="340">
        <f t="array" aca="1" ref="AJ420" ca="1">IF(AJ$406="", "", IF(ISERROR(PRODUCT(1+OFFSET(AJ$8, $CC420, 0, 10, 1)%)), "", PRODUCT(1+OFFSET(AJ$8, $CC420, 0, 10, 1)%)^(1/10)-1))</f>
        <v>4.4376198570642789E-2</v>
      </c>
      <c r="AK420" s="340">
        <f t="array" aca="1" ref="AK420" ca="1">IF(AK$406="", "", IF(ISERROR(PRODUCT(1+OFFSET(AK$8, $CC420, 0, 10, 1)%)), "", PRODUCT(1+OFFSET(AK$8, $CC420, 0, 10, 1)%)^(1/10)-1))</f>
        <v>4.8521670330493594E-2</v>
      </c>
      <c r="AL420" s="340">
        <f t="array" aca="1" ref="AL420" ca="1">IF(AL$406="", "", IF(ISERROR(PRODUCT(1+OFFSET(AL$8, $CC420, 0, 10, 1)%)), "", PRODUCT(1+OFFSET(AL$8, $CC420, 0, 10, 1)%)^(1/10)-1))</f>
        <v>3.268887263004161E-2</v>
      </c>
      <c r="AM420" s="340">
        <f t="array" aca="1" ref="AM420" ca="1">IF(AM$406="", "", IF(ISERROR(PRODUCT(1+OFFSET(AM$8, $CC420, 0, 10, 1)%)), "", PRODUCT(1+OFFSET(AM$8, $CC420, 0, 10, 1)%)^(1/10)-1))</f>
        <v>8.6210944599720118E-2</v>
      </c>
      <c r="AN420" s="340">
        <f t="array" aca="1" ref="AN420" ca="1">IF(AN$406="", "", IF(ISERROR(PRODUCT(1+OFFSET(AN$8, $CC420, 0, 10, 1)%)), "", PRODUCT(1+OFFSET(AN$8, $CC420, 0, 10, 1)%)^(1/10)-1))</f>
        <v>5.9819226262022074E-2</v>
      </c>
      <c r="AO420" s="340">
        <f t="array" aca="1" ref="AO420" ca="1">IF(AO$406="", "", IF(ISERROR(PRODUCT(1+OFFSET(AO$8, $CC420, 0, 10, 1)%)), "", PRODUCT(1+OFFSET(AO$8, $CC420, 0, 10, 1)%)^(1/10)-1))</f>
        <v>8.3107272557385148E-2</v>
      </c>
      <c r="AP420" s="340">
        <f t="array" aca="1" ref="AP420" ca="1">IF(AP$406="", "", IF(ISERROR(PRODUCT(1+OFFSET(AP$8, $CC420, 0, 10, 1)%)), "", PRODUCT(1+OFFSET(AP$8, $CC420, 0, 10, 1)%)^(1/10)-1))</f>
        <v>4.6245998795620524E-2</v>
      </c>
      <c r="AQ420" s="340" t="str">
        <f t="array" aca="1" ref="AQ420" ca="1">IF(AQ$406="", "", IF(ISERROR(PRODUCT(1+OFFSET(AQ$8, $CC420, 0, 10, 1)%)), "", PRODUCT(1+OFFSET(AQ$8, $CC420, 0, 10, 1)%)^(1/10)-1))</f>
        <v/>
      </c>
      <c r="AR420" s="340" t="str">
        <f t="array" aca="1" ref="AR420" ca="1">IF(AR$406="", "", IF(ISERROR(PRODUCT(1+OFFSET(AR$8, $CC420, 0, 10, 1)%)), "", PRODUCT(1+OFFSET(AR$8, $CC420, 0, 10, 1)%)^(1/10)-1))</f>
        <v/>
      </c>
      <c r="AS420" s="340" t="str">
        <f t="array" aca="1" ref="AS420" ca="1">IF(AS$406="", "", IF(ISERROR(PRODUCT(1+OFFSET(AS$8, $CC420, 0, 10, 1)%)), "", PRODUCT(1+OFFSET(AS$8, $CC420, 0, 10, 1)%)^(1/10)-1))</f>
        <v/>
      </c>
      <c r="AT420" s="340" t="str">
        <f t="array" aca="1" ref="AT420" ca="1">IF(AT$406="", "", IF(ISERROR(PRODUCT(1+OFFSET(AT$8, $CC420, 0, 10, 1)%)), "", PRODUCT(1+OFFSET(AT$8, $CC420, 0, 10, 1)%)^(1/10)-1))</f>
        <v/>
      </c>
      <c r="AU420" s="340" t="str">
        <f t="array" aca="1" ref="AU420" ca="1">IF(AU$406="", "", IF(ISERROR(PRODUCT(1+OFFSET(AU$8, $CC420, 0, 10, 1)%)), "", PRODUCT(1+OFFSET(AU$8, $CC420, 0, 10, 1)%)^(1/10)-1))</f>
        <v/>
      </c>
      <c r="AV420" s="340" t="str">
        <f t="array" aca="1" ref="AV420" ca="1">IF(AV$406="", "", IF(ISERROR(PRODUCT(1+OFFSET(AV$8, $CC420, 0, 10, 1)%)), "", PRODUCT(1+OFFSET(AV$8, $CC420, 0, 10, 1)%)^(1/10)-1))</f>
        <v/>
      </c>
      <c r="AW420" s="340" t="str">
        <f t="array" aca="1" ref="AW420" ca="1">IF(AW$406="", "", IF(ISERROR(PRODUCT(1+OFFSET(AW$8, $CC420, 0, 10, 1)%)), "", PRODUCT(1+OFFSET(AW$8, $CC420, 0, 10, 1)%)^(1/10)-1))</f>
        <v/>
      </c>
      <c r="AX420" s="340" t="str">
        <f t="array" aca="1" ref="AX420" ca="1">IF(AX$406="", "", IF(ISERROR(PRODUCT(1+OFFSET(AX$8, $CC420, 0, 10, 1)%)), "", PRODUCT(1+OFFSET(AX$8, $CC420, 0, 10, 1)%)^(1/10)-1))</f>
        <v/>
      </c>
      <c r="AY420" s="340" t="str">
        <f t="array" aca="1" ref="AY420" ca="1">IF(AY$406="", "", IF(ISERROR(PRODUCT(1+OFFSET(AY$8, $CC420, 0, 10, 1)%)), "", PRODUCT(1+OFFSET(AY$8, $CC420, 0, 10, 1)%)^(1/10)-1))</f>
        <v/>
      </c>
      <c r="AZ420" s="340" t="str">
        <f t="array" aca="1" ref="AZ420" ca="1">IF(AZ$406="", "", IF(ISERROR(PRODUCT(1+OFFSET(AZ$8, $CC420, 0, 10, 1)%)), "", PRODUCT(1+OFFSET(AZ$8, $CC420, 0, 10, 1)%)^(1/10)-1))</f>
        <v/>
      </c>
      <c r="BA420" s="340" t="str">
        <f t="array" aca="1" ref="BA420" ca="1">IF(BA$406="", "", IF(ISERROR(PRODUCT(1+OFFSET(BA$8, $CC420, 0, 10, 1)%)), "", PRODUCT(1+OFFSET(BA$8, $CC420, 0, 10, 1)%)^(1/10)-1))</f>
        <v/>
      </c>
      <c r="BB420" s="340" t="str">
        <f t="array" aca="1" ref="BB420" ca="1">IF(BB$406="", "", IF(ISERROR(PRODUCT(1+OFFSET(BB$8, $CC420, 0, 10, 1)%)), "", PRODUCT(1+OFFSET(BB$8, $CC420, 0, 10, 1)%)^(1/10)-1))</f>
        <v/>
      </c>
      <c r="BC420" s="340" t="str">
        <f t="array" aca="1" ref="BC420" ca="1">IF(BC$406="", "", IF(ISERROR(PRODUCT(1+OFFSET(BC$8, $CC420, 0, 10, 1)%)), "", PRODUCT(1+OFFSET(BC$8, $CC420, 0, 10, 1)%)^(1/10)-1))</f>
        <v/>
      </c>
      <c r="BD420" s="340" t="str">
        <f t="array" aca="1" ref="BD420" ca="1">IF(BD$406="", "", IF(ISERROR(PRODUCT(1+OFFSET(BD$8, $CC420, 0, 10, 1)%)), "", PRODUCT(1+OFFSET(BD$8, $CC420, 0, 10, 1)%)^(1/10)-1))</f>
        <v/>
      </c>
      <c r="BE420" s="340" t="str">
        <f t="array" aca="1" ref="BE420" ca="1">IF(BE$406="", "", IF(ISERROR(PRODUCT(1+OFFSET(BE$8, $CC420, 0, 10, 1)%)), "", PRODUCT(1+OFFSET(BE$8, $CC420, 0, 10, 1)%)^(1/10)-1))</f>
        <v/>
      </c>
      <c r="BF420" s="340" t="str">
        <f t="array" aca="1" ref="BF420" ca="1">IF(BF$406="", "", IF(ISERROR(PRODUCT(1+OFFSET(BF$8, $CC420, 0, 10, 1)%)), "", PRODUCT(1+OFFSET(BF$8, $CC420, 0, 10, 1)%)^(1/10)-1))</f>
        <v/>
      </c>
      <c r="BG420" s="340" t="str">
        <f t="array" aca="1" ref="BG420" ca="1">IF(BG$406="", "", IF(ISERROR(PRODUCT(1+OFFSET(BG$8, $CC420, 0, 10, 1)%)), "", PRODUCT(1+OFFSET(BG$8, $CC420, 0, 10, 1)%)^(1/10)-1))</f>
        <v/>
      </c>
      <c r="BH420" s="340" t="str">
        <f t="array" aca="1" ref="BH420" ca="1">IF(BH$406="", "", IF(ISERROR(PRODUCT(1+OFFSET(BH$8, $CC420, 0, 10, 1)%)), "", PRODUCT(1+OFFSET(BH$8, $CC420, 0, 10, 1)%)^(1/10)-1))</f>
        <v/>
      </c>
      <c r="BI420" s="340" t="str">
        <f t="array" aca="1" ref="BI420" ca="1">IF(BI$406="", "", IF(ISERROR(PRODUCT(1+OFFSET(BI$8, $CC420, 0, 10, 1)%)), "", PRODUCT(1+OFFSET(BI$8, $CC420, 0, 10, 1)%)^(1/10)-1))</f>
        <v/>
      </c>
      <c r="BJ420" s="340" t="str">
        <f t="array" aca="1" ref="BJ420" ca="1">IF(BJ$406="", "", IF(ISERROR(PRODUCT(1+OFFSET(BJ$8, $CC420, 0, 10, 1)%)), "", PRODUCT(1+OFFSET(BJ$8, $CC420, 0, 10, 1)%)^(1/10)-1))</f>
        <v/>
      </c>
      <c r="BK420" s="340" t="str">
        <f t="array" aca="1" ref="BK420" ca="1">IF(BK$406="", "", IF(ISERROR(PRODUCT(1+OFFSET(BK$8, $CC420, 0, 10, 1)%)), "", PRODUCT(1+OFFSET(BK$8, $CC420, 0, 10, 1)%)^(1/10)-1))</f>
        <v/>
      </c>
      <c r="BL420" s="340" t="str">
        <f t="array" aca="1" ref="BL420" ca="1">IF(BL$406="", "", IF(ISERROR(PRODUCT(1+OFFSET(BL$8, $CC420, 0, 10, 1)%)), "", PRODUCT(1+OFFSET(BL$8, $CC420, 0, 10, 1)%)^(1/10)-1))</f>
        <v/>
      </c>
      <c r="BM420" s="340" t="str">
        <f t="array" aca="1" ref="BM420" ca="1">IF(BM$406="", "", IF(ISERROR(PRODUCT(1+OFFSET(BM$8, $CC420, 0, 10, 1)%)), "", PRODUCT(1+OFFSET(BM$8, $CC420, 0, 10, 1)%)^(1/10)-1))</f>
        <v/>
      </c>
      <c r="BN420" s="340" t="str">
        <f t="array" aca="1" ref="BN420" ca="1">IF(BN$406="", "", IF(ISERROR(PRODUCT(1+OFFSET(BN$8, $CC420, 0, 10, 1)%)), "", PRODUCT(1+OFFSET(BN$8, $CC420, 0, 10, 1)%)^(1/10)-1))</f>
        <v/>
      </c>
      <c r="BO420" s="340" t="str">
        <f t="array" aca="1" ref="BO420" ca="1">IF(BO$406="", "", IF(ISERROR(PRODUCT(1+OFFSET(BO$8, $CC420, 0, 10, 1)%)), "", PRODUCT(1+OFFSET(BO$8, $CC420, 0, 10, 1)%)^(1/10)-1))</f>
        <v/>
      </c>
      <c r="BP420" s="340" t="str">
        <f t="array" aca="1" ref="BP420" ca="1">IF(BP$406="", "", IF(ISERROR(PRODUCT(1+OFFSET(BP$8, $CC420, 0, 10, 1)%)), "", PRODUCT(1+OFFSET(BP$8, $CC420, 0, 10, 1)%)^(1/10)-1))</f>
        <v/>
      </c>
      <c r="BQ420" s="340" t="str">
        <f t="array" aca="1" ref="BQ420" ca="1">IF(BQ$406="", "", IF(ISERROR(PRODUCT(1+OFFSET(BQ$8, $CC420, 0, 10, 1)%)), "", PRODUCT(1+OFFSET(BQ$8, $CC420, 0, 10, 1)%)^(1/10)-1))</f>
        <v/>
      </c>
      <c r="BR420" s="340" t="str">
        <f t="array" aca="1" ref="BR420" ca="1">IF(BR$406="", "", IF(ISERROR(PRODUCT(1+OFFSET(BR$8, $CC420, 0, 10, 1)%)), "", PRODUCT(1+OFFSET(BR$8, $CC420, 0, 10, 1)%)^(1/10)-1))</f>
        <v/>
      </c>
      <c r="BS420" s="340" t="str">
        <f t="array" aca="1" ref="BS420" ca="1">IF(BS$406="", "", IF(ISERROR(PRODUCT(1+OFFSET(BS$8, $CC420, 0, 10, 1)%)), "", PRODUCT(1+OFFSET(BS$8, $CC420, 0, 10, 1)%)^(1/10)-1))</f>
        <v/>
      </c>
      <c r="BT420" s="340" t="str">
        <f t="array" aca="1" ref="BT420" ca="1">IF(BT$406="", "", IF(ISERROR(PRODUCT(1+OFFSET(BT$8, $CC420, 0, 10, 1)%)), "", PRODUCT(1+OFFSET(BT$8, $CC420, 0, 10, 1)%)^(1/10)-1))</f>
        <v/>
      </c>
      <c r="BU420" s="340" t="str">
        <f t="array" aca="1" ref="BU420" ca="1">IF(BU$406="", "", IF(ISERROR(PRODUCT(1+OFFSET(BU$8, $CC420, 0, 10, 1)%)), "", PRODUCT(1+OFFSET(BU$8, $CC420, 0, 10, 1)%)^(1/10)-1))</f>
        <v/>
      </c>
      <c r="BV420" s="340" t="str">
        <f t="array" aca="1" ref="BV420" ca="1">IF(BV$406="", "", IF(ISERROR(PRODUCT(1+OFFSET(BV$8, $CC420, 0, 10, 1)%)), "", PRODUCT(1+OFFSET(BV$8, $CC420, 0, 10, 1)%)^(1/10)-1))</f>
        <v/>
      </c>
      <c r="BW420" s="340" t="str">
        <f t="array" aca="1" ref="BW420" ca="1">IF(BW$406="", "", IF(ISERROR(PRODUCT(1+OFFSET(BW$8, $CC420, 0, 10, 1)%)), "", PRODUCT(1+OFFSET(BW$8, $CC420, 0, 10, 1)%)^(1/10)-1))</f>
        <v/>
      </c>
      <c r="BX420" s="340">
        <f t="array" aca="1" ref="BX420" ca="1">IF(BX$406="", "", IF(ISERROR(PRODUCT(1+OFFSET(BX$8, $CC420, 0, 10, 1)%)), "", PRODUCT(1+OFFSET(BX$8, $CC420, 0, 10, 1)%)^(1/10)-1))</f>
        <v>1.4767735753125733E-2</v>
      </c>
      <c r="BY420" s="340">
        <f t="array" aca="1" ref="BY420" ca="1">IF(BY$406="", "", IF(ISERROR(PRODUCT(1+OFFSET(BY$8, $CC420, 0, 10, 1)%)), "", PRODUCT(1+OFFSET(BY$8, $CC420, 0, 10, 1)%)^(1/10)-1))</f>
        <v>5.5253312600393345E-2</v>
      </c>
      <c r="BZ420" s="340">
        <f t="array" aca="1" ref="BZ420" ca="1">IF(BZ$406="", "", IF(ISERROR(PRODUCT(1+OFFSET(BZ$8, $CC420, 0, 10, 1)%)), "", PRODUCT(1+OFFSET(BZ$8, $CC420, 0, 10, 1)%)^(1/10)-1))</f>
        <v>2.5305179865675376E-2</v>
      </c>
      <c r="CA420" s="532">
        <f t="array" aca="1" ref="CA420" ca="1">IF(CA$406="", "", IF(ISERROR(PRODUCT(1+OFFSET(CA$8, $CC420, 0, 10, 1)%)), "", PRODUCT(1+OFFSET(CA$8, $CC420, 0, 10, 1)%)^(1/10)-1))</f>
        <v>2.3351827082229049E-2</v>
      </c>
      <c r="CC420" s="482">
        <f t="shared" si="551"/>
        <v>130</v>
      </c>
    </row>
    <row r="421" spans="1:81" ht="14">
      <c r="A421" s="338"/>
      <c r="B421" s="339"/>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c r="AA421" s="340"/>
      <c r="AB421" s="340"/>
      <c r="AC421" s="340"/>
      <c r="AD421" s="340"/>
      <c r="AE421" s="340"/>
      <c r="AF421" s="340"/>
      <c r="AG421" s="340"/>
      <c r="AH421" s="340"/>
      <c r="AI421" s="340"/>
      <c r="AJ421" s="340"/>
      <c r="AK421" s="340"/>
      <c r="AL421" s="340"/>
      <c r="AM421" s="340"/>
      <c r="AN421" s="340"/>
      <c r="AO421" s="340"/>
      <c r="AP421" s="340"/>
      <c r="AQ421" s="340"/>
      <c r="AR421" s="340"/>
      <c r="AS421" s="340"/>
      <c r="AT421" s="340"/>
      <c r="AU421" s="340"/>
      <c r="AV421" s="340"/>
      <c r="AW421" s="340"/>
      <c r="AX421" s="340"/>
      <c r="AY421" s="340"/>
      <c r="AZ421" s="340"/>
      <c r="BA421" s="340"/>
      <c r="BB421" s="340"/>
      <c r="BC421" s="340"/>
      <c r="BD421" s="340"/>
      <c r="BE421" s="340"/>
      <c r="BF421" s="340"/>
      <c r="BG421" s="340"/>
      <c r="BH421" s="340"/>
      <c r="BI421" s="340"/>
      <c r="BJ421" s="340"/>
      <c r="BK421" s="340"/>
      <c r="BL421" s="340"/>
      <c r="BM421" s="340"/>
      <c r="BN421" s="340"/>
      <c r="BO421" s="340"/>
      <c r="BP421" s="340"/>
      <c r="BQ421" s="340"/>
      <c r="BR421" s="340"/>
      <c r="BS421" s="340"/>
      <c r="BT421" s="340"/>
      <c r="BU421" s="340"/>
      <c r="BV421" s="340"/>
      <c r="BW421" s="340"/>
      <c r="BX421" s="340"/>
      <c r="BY421" s="340"/>
      <c r="BZ421" s="340"/>
      <c r="CA421" s="532"/>
    </row>
    <row r="422" spans="1:81">
      <c r="A422" s="481">
        <v>1972</v>
      </c>
      <c r="B422" s="339"/>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c r="AA422" s="340"/>
      <c r="AB422" s="340"/>
      <c r="AC422" s="340"/>
      <c r="AD422" s="340"/>
      <c r="AE422" s="340"/>
      <c r="AF422" s="340"/>
      <c r="AG422" s="340"/>
      <c r="AH422" s="340"/>
      <c r="AI422" s="340"/>
      <c r="AJ422" s="340"/>
      <c r="AK422" s="340"/>
      <c r="AL422" s="340"/>
      <c r="AM422" s="340"/>
      <c r="AN422" s="340"/>
      <c r="AO422" s="340"/>
      <c r="AP422" s="340"/>
      <c r="AQ422" s="340"/>
      <c r="AR422" s="340"/>
      <c r="AS422" s="340"/>
      <c r="AT422" s="340"/>
      <c r="AU422" s="340"/>
      <c r="AV422" s="340"/>
      <c r="AW422" s="340"/>
      <c r="AX422" s="340"/>
      <c r="AY422" s="340"/>
      <c r="AZ422" s="340"/>
      <c r="BA422" s="340"/>
      <c r="BB422" s="340"/>
      <c r="BC422" s="340"/>
      <c r="BD422" s="340"/>
      <c r="BE422" s="340"/>
      <c r="BF422" s="340"/>
      <c r="BG422" s="340"/>
      <c r="BH422" s="340"/>
      <c r="BI422" s="340"/>
      <c r="BJ422" s="340"/>
      <c r="BK422" s="340"/>
      <c r="BL422" s="340"/>
      <c r="BM422" s="340"/>
      <c r="BN422" s="340"/>
      <c r="BO422" s="340"/>
      <c r="BP422" s="340"/>
      <c r="BQ422" s="340"/>
      <c r="BR422" s="340"/>
      <c r="BS422" s="340"/>
      <c r="BT422" s="340"/>
      <c r="BU422" s="340"/>
      <c r="BV422" s="340"/>
      <c r="BW422" s="340"/>
      <c r="BX422" s="340"/>
      <c r="BY422" s="340"/>
      <c r="BZ422" s="340"/>
      <c r="CA422" s="532"/>
    </row>
    <row r="423" spans="1:81" ht="14">
      <c r="A423" s="338" t="str">
        <f>CONCATENATE(A$422+10*(ROW()-ROW(A$422)-1), "-", A$422+10*(ROW()-ROW(A$422))-1)</f>
        <v>1972-1981</v>
      </c>
      <c r="B423" s="339">
        <f t="array" aca="1" ref="B423" ca="1">IF(B$406="", "", IF(ISERROR(PRODUCT(1+OFFSET(B$109, $CC423, 0, 10, 1)%)), "", PRODUCT(1+OFFSET(B$109, $CC423, 0, 10, 1)%)^(1/10)-1))</f>
        <v>6.9025937523763847E-2</v>
      </c>
      <c r="C423" s="340">
        <f t="array" aca="1" ref="C423" ca="1">IF(C$406="", "", IF(ISERROR(PRODUCT(1+OFFSET(C$109, $CC423, 0, 10, 1)%)), "", PRODUCT(1+OFFSET(C$109, $CC423, 0, 10, 1)%)^(1/10)-1))</f>
        <v>0.11812185158615662</v>
      </c>
      <c r="D423" s="340">
        <f t="array" aca="1" ref="D423" ca="1">IF(D$406="", "", IF(ISERROR(PRODUCT(1+OFFSET(D$109, $CC423, 0, 10, 1)%)), "", PRODUCT(1+OFFSET(D$109, $CC423, 0, 10, 1)%)^(1/10)-1))</f>
        <v>6.1046636045094971E-2</v>
      </c>
      <c r="E423" s="340">
        <f t="array" aca="1" ref="E423" ca="1">IF(E$406="", "", IF(ISERROR(PRODUCT(1+OFFSET(E$109, $CC423, 0, 10, 1)%)), "", PRODUCT(1+OFFSET(E$109, $CC423, 0, 10, 1)%)^(1/10)-1))</f>
        <v>4.3658109738093254E-2</v>
      </c>
      <c r="F423" s="340">
        <f t="array" aca="1" ref="F423" ca="1">IF(F$406="", "", IF(ISERROR(PRODUCT(1+OFFSET(F$109, $CC423, 0, 10, 1)%)), "", PRODUCT(1+OFFSET(F$109, $CC423, 0, 10, 1)%)^(1/10)-1))</f>
        <v>0.10385106716023751</v>
      </c>
      <c r="G423" s="340">
        <f t="array" aca="1" ref="G423" ca="1">IF(G$406="", "", IF(ISERROR(PRODUCT(1+OFFSET(G$109, $CC423, 0, 10, 1)%)), "", PRODUCT(1+OFFSET(G$109, $CC423, 0, 10, 1)%)^(1/10)-1))</f>
        <v>0.16543011680802056</v>
      </c>
      <c r="H423" s="340">
        <f t="array" aca="1" ref="H423" ca="1">IF(H$406="", "", IF(ISERROR(PRODUCT(1+OFFSET(H$109, $CC423, 0, 10, 1)%)), "", PRODUCT(1+OFFSET(H$109, $CC423, 0, 10, 1)%)^(1/10)-1))</f>
        <v>0.13365049594034106</v>
      </c>
      <c r="I423" s="340">
        <f t="array" aca="1" ref="I423" ca="1">IF(I$406="", "", IF(ISERROR(PRODUCT(1+OFFSET(I$109, $CC423, 0, 10, 1)%)), "", PRODUCT(1+OFFSET(I$109, $CC423, 0, 10, 1)%)^(1/10)-1))</f>
        <v>8.9337737311319998E-2</v>
      </c>
      <c r="J423" s="340">
        <f t="array" aca="1" ref="J423" ca="1">IF(J$406="", "", IF(ISERROR(PRODUCT(1+OFFSET(J$109, $CC423, 0, 10, 1)%)), "", PRODUCT(1+OFFSET(J$109, $CC423, 0, 10, 1)%)^(1/10)-1))</f>
        <v>0.12513740536349238</v>
      </c>
      <c r="K423" s="340">
        <f t="array" aca="1" ref="K423" ca="1">IF(K$406="", "", IF(ISERROR(PRODUCT(1+OFFSET(K$109, $CC423, 0, 10, 1)%)), "", PRODUCT(1+OFFSET(K$109, $CC423, 0, 10, 1)%)^(1/10)-1))</f>
        <v>0.11528418577906896</v>
      </c>
      <c r="L423" s="340">
        <f t="array" aca="1" ref="L423" ca="1">IF(L$406="", "", IF(ISERROR(PRODUCT(1+OFFSET(L$109, $CC423, 0, 10, 1)%)), "", PRODUCT(1+OFFSET(L$109, $CC423, 0, 10, 1)%)^(1/10)-1))</f>
        <v>9.3327480777440464E-2</v>
      </c>
      <c r="M423" s="340">
        <f t="array" aca="1" ref="M423" ca="1">IF(M$406="", "", IF(ISERROR(PRODUCT(1+OFFSET(M$109, $CC423, 0, 10, 1)%)), "", PRODUCT(1+OFFSET(M$109, $CC423, 0, 10, 1)%)^(1/10)-1))</f>
        <v>0.16379614600079617</v>
      </c>
      <c r="N423" s="340">
        <f t="array" aca="1" ref="N423" ca="1">IF(N$406="", "", IF(ISERROR(PRODUCT(1+OFFSET(N$109, $CC423, 0, 10, 1)%)), "", PRODUCT(1+OFFSET(N$109, $CC423, 0, 10, 1)%)^(1/10)-1))</f>
        <v>0.10333076749786629</v>
      </c>
      <c r="O423" s="340">
        <f t="array" aca="1" ref="O423" ca="1">IF(O$406="", "", IF(ISERROR(PRODUCT(1+OFFSET(O$109, $CC423, 0, 10, 1)%)), "", PRODUCT(1+OFFSET(O$109, $CC423, 0, 10, 1)%)^(1/10)-1))</f>
        <v>0.16732024591865335</v>
      </c>
      <c r="P423" s="340">
        <f t="array" aca="1" ref="P423" ca="1">IF(P$406="", "", IF(ISERROR(PRODUCT(1+OFFSET(P$109, $CC423, 0, 10, 1)%)), "", PRODUCT(1+OFFSET(P$109, $CC423, 0, 10, 1)%)^(1/10)-1))</f>
        <v>6.9561058712884316E-2</v>
      </c>
      <c r="Q423" s="340">
        <f t="array" aca="1" ref="Q423" ca="1">IF(Q$406="", "", IF(ISERROR(PRODUCT(1+OFFSET(Q$109, $CC423, 0, 10, 1)%)), "", PRODUCT(1+OFFSET(Q$109, $CC423, 0, 10, 1)%)^(1/10)-1))</f>
        <v>0.12225768270268289</v>
      </c>
      <c r="R423" s="340">
        <f t="array" aca="1" ref="R423" ca="1">IF(R$406="", "", IF(ISERROR(PRODUCT(1+OFFSET(R$109, $CC423, 0, 10, 1)%)), "", PRODUCT(1+OFFSET(R$109, $CC423, 0, 10, 1)%)^(1/10)-1))</f>
        <v>0.13248105124493925</v>
      </c>
      <c r="S423" s="340">
        <f t="array" aca="1" ref="S423" ca="1">IF(S$406="", "", IF(ISERROR(PRODUCT(1+OFFSET(S$109, $CC423, 0, 10, 1)%)), "", PRODUCT(1+OFFSET(S$109, $CC423, 0, 10, 1)%)^(1/10)-1))</f>
        <v>6.1768694145460934E-3</v>
      </c>
      <c r="T423" s="340">
        <f t="array" aca="1" ref="T423" ca="1">IF(T$406="", "", IF(ISERROR(PRODUCT(1+OFFSET(T$109, $CC423, 0, 10, 1)%)), "", PRODUCT(1+OFFSET(T$109, $CC423, 0, 10, 1)%)^(1/10)-1))</f>
        <v>4.5410867012003253E-2</v>
      </c>
      <c r="U423" s="340">
        <f t="array" aca="1" ref="U423" ca="1">IF(U$406="", "", IF(ISERROR(PRODUCT(1+OFFSET(U$109, $CC423, 0, 10, 1)%)), "", PRODUCT(1+OFFSET(U$109, $CC423, 0, 10, 1)%)^(1/10)-1))</f>
        <v>6.2753639308072984E-2</v>
      </c>
      <c r="V423" s="340">
        <f t="array" aca="1" ref="V423" ca="1">IF(V$406="", "", IF(ISERROR(PRODUCT(1+OFFSET(V$109, $CC423, 0, 10, 1)%)), "", PRODUCT(1+OFFSET(V$109, $CC423, 0, 10, 1)%)^(1/10)-1))</f>
        <v>7.6863225584592021E-2</v>
      </c>
      <c r="W423" s="340">
        <f t="array" aca="1" ref="W423" ca="1">IF(W$406="", "", IF(ISERROR(PRODUCT(1+OFFSET(W$109, $CC423, 0, 10, 1)%)), "", PRODUCT(1+OFFSET(W$109, $CC423, 0, 10, 1)%)^(1/10)-1))</f>
        <v>6.0426980527084728E-2</v>
      </c>
      <c r="X423" s="340">
        <f t="array" aca="1" ref="X423" ca="1">IF(X$406="", "", IF(ISERROR(PRODUCT(1+OFFSET(X$109, $CC423, 0, 10, 1)%)), "", PRODUCT(1+OFFSET(X$109, $CC423, 0, 10, 1)%)^(1/10)-1))</f>
        <v>5.9856644509520773E-2</v>
      </c>
      <c r="Y423" s="340">
        <f t="array" aca="1" ref="Y423" ca="1">IF(Y$406="", "", IF(ISERROR(PRODUCT(1+OFFSET(Y$109, $CC423, 0, 10, 1)%)), "", PRODUCT(1+OFFSET(Y$109, $CC423, 0, 10, 1)%)^(1/10)-1))</f>
        <v>7.1607983298345168E-2</v>
      </c>
      <c r="Z423" s="340">
        <f t="array" aca="1" ref="Z423" ca="1">IF(Z$406="", "", IF(ISERROR(PRODUCT(1+OFFSET(Z$109, $CC423, 0, 10, 1)%)), "", PRODUCT(1+OFFSET(Z$109, $CC423, 0, 10, 1)%)^(1/10)-1))</f>
        <v>0.1157226779842857</v>
      </c>
      <c r="AA423" s="340">
        <f t="array" aca="1" ref="AA423" ca="1">IF(AA$406="", "", IF(ISERROR(PRODUCT(1+OFFSET(AA$109, $CC423, 0, 10, 1)%)), "", PRODUCT(1+OFFSET(AA$109, $CC423, 0, 10, 1)%)^(1/10)-1))</f>
        <v>8.5424344530213192E-2</v>
      </c>
      <c r="AB423" s="340">
        <f t="array" aca="1" ref="AB423" ca="1">IF(AB$406="", "", IF(ISERROR(PRODUCT(1+OFFSET(AB$109, $CC423, 0, 10, 1)%)), "", PRODUCT(1+OFFSET(AB$109, $CC423, 0, 10, 1)%)^(1/10)-1))</f>
        <v>0.24251369593107741</v>
      </c>
      <c r="AC423" s="340">
        <f t="array" aca="1" ref="AC423" ca="1">IF(AC$406="", "", IF(ISERROR(PRODUCT(1+OFFSET(AC$109, $CC423, 0, 10, 1)%)), "", PRODUCT(1+OFFSET(AC$109, $CC423, 0, 10, 1)%)^(1/10)-1))</f>
        <v>0.2023548394801653</v>
      </c>
      <c r="AD423" s="340" t="str">
        <f t="array" aca="1" ref="AD423" ca="1">IF(AD$406="", "", IF(ISERROR(PRODUCT(1+OFFSET(AD$109, $CC423, 0, 10, 1)%)), "", PRODUCT(1+OFFSET(AD$109, $CC423, 0, 10, 1)%)^(1/10)-1))</f>
        <v/>
      </c>
      <c r="AE423" s="340" t="str">
        <f t="array" aca="1" ref="AE423" ca="1">IF(AE$406="", "", IF(ISERROR(PRODUCT(1+OFFSET(AE$109, $CC423, 0, 10, 1)%)), "", PRODUCT(1+OFFSET(AE$109, $CC423, 0, 10, 1)%)^(1/10)-1))</f>
        <v/>
      </c>
      <c r="AF423" s="340" t="str">
        <f t="array" aca="1" ref="AF423" ca="1">IF(AF$406="", "", IF(ISERROR(PRODUCT(1+OFFSET(AF$109, $CC423, 0, 10, 1)%)), "", PRODUCT(1+OFFSET(AF$109, $CC423, 0, 10, 1)%)^(1/10)-1))</f>
        <v/>
      </c>
      <c r="AG423" s="340" t="str">
        <f t="array" aca="1" ref="AG423" ca="1">IF(AG$406="", "", IF(ISERROR(PRODUCT(1+OFFSET(AG$109, $CC423, 0, 10, 1)%)), "", PRODUCT(1+OFFSET(AG$109, $CC423, 0, 10, 1)%)^(1/10)-1))</f>
        <v/>
      </c>
      <c r="AH423" s="340" t="str">
        <f t="array" aca="1" ref="AH423" ca="1">IF(AH$406="", "", IF(ISERROR(PRODUCT(1+OFFSET(AH$109, $CC423, 0, 10, 1)%)), "", PRODUCT(1+OFFSET(AH$109, $CC423, 0, 10, 1)%)^(1/10)-1))</f>
        <v/>
      </c>
      <c r="AI423" s="340" t="str">
        <f t="array" aca="1" ref="AI423" ca="1">IF(AI$406="", "", IF(ISERROR(PRODUCT(1+OFFSET(AI$109, $CC423, 0, 10, 1)%)), "", PRODUCT(1+OFFSET(AI$109, $CC423, 0, 10, 1)%)^(1/10)-1))</f>
        <v/>
      </c>
      <c r="AJ423" s="340" t="str">
        <f t="array" aca="1" ref="AJ423" ca="1">IF(AJ$406="", "", IF(ISERROR(PRODUCT(1+OFFSET(AJ$109, $CC423, 0, 10, 1)%)), "", PRODUCT(1+OFFSET(AJ$109, $CC423, 0, 10, 1)%)^(1/10)-1))</f>
        <v/>
      </c>
      <c r="AK423" s="340" t="str">
        <f t="array" aca="1" ref="AK423" ca="1">IF(AK$406="", "", IF(ISERROR(PRODUCT(1+OFFSET(AK$109, $CC423, 0, 10, 1)%)), "", PRODUCT(1+OFFSET(AK$109, $CC423, 0, 10, 1)%)^(1/10)-1))</f>
        <v/>
      </c>
      <c r="AL423" s="340" t="str">
        <f t="array" aca="1" ref="AL423" ca="1">IF(AL$406="", "", IF(ISERROR(PRODUCT(1+OFFSET(AL$109, $CC423, 0, 10, 1)%)), "", PRODUCT(1+OFFSET(AL$109, $CC423, 0, 10, 1)%)^(1/10)-1))</f>
        <v/>
      </c>
      <c r="AM423" s="340" t="str">
        <f t="array" aca="1" ref="AM423" ca="1">IF(AM$406="", "", IF(ISERROR(PRODUCT(1+OFFSET(AM$109, $CC423, 0, 10, 1)%)), "", PRODUCT(1+OFFSET(AM$109, $CC423, 0, 10, 1)%)^(1/10)-1))</f>
        <v/>
      </c>
      <c r="AN423" s="340" t="str">
        <f t="array" aca="1" ref="AN423" ca="1">IF(AN$406="", "", IF(ISERROR(PRODUCT(1+OFFSET(AN$109, $CC423, 0, 10, 1)%)), "", PRODUCT(1+OFFSET(AN$109, $CC423, 0, 10, 1)%)^(1/10)-1))</f>
        <v/>
      </c>
      <c r="AO423" s="340" t="str">
        <f t="array" aca="1" ref="AO423" ca="1">IF(AO$406="", "", IF(ISERROR(PRODUCT(1+OFFSET(AO$109, $CC423, 0, 10, 1)%)), "", PRODUCT(1+OFFSET(AO$109, $CC423, 0, 10, 1)%)^(1/10)-1))</f>
        <v/>
      </c>
      <c r="AP423" s="340" t="str">
        <f t="array" aca="1" ref="AP423" ca="1">IF(AP$406="", "", IF(ISERROR(PRODUCT(1+OFFSET(AP$109, $CC423, 0, 10, 1)%)), "", PRODUCT(1+OFFSET(AP$109, $CC423, 0, 10, 1)%)^(1/10)-1))</f>
        <v/>
      </c>
      <c r="AQ423" s="340" t="str">
        <f t="array" aca="1" ref="AQ423" ca="1">IF(AQ$406="", "", IF(ISERROR(PRODUCT(1+OFFSET(AQ$109, $CC423, 0, 10, 1)%)), "", PRODUCT(1+OFFSET(AQ$109, $CC423, 0, 10, 1)%)^(1/10)-1))</f>
        <v/>
      </c>
      <c r="AR423" s="340" t="str">
        <f t="array" aca="1" ref="AR423" ca="1">IF(AR$406="", "", IF(ISERROR(PRODUCT(1+OFFSET(AR$109, $CC423, 0, 10, 1)%)), "", PRODUCT(1+OFFSET(AR$109, $CC423, 0, 10, 1)%)^(1/10)-1))</f>
        <v/>
      </c>
      <c r="AS423" s="340" t="str">
        <f t="array" aca="1" ref="AS423" ca="1">IF(AS$406="", "", IF(ISERROR(PRODUCT(1+OFFSET(AS$109, $CC423, 0, 10, 1)%)), "", PRODUCT(1+OFFSET(AS$109, $CC423, 0, 10, 1)%)^(1/10)-1))</f>
        <v/>
      </c>
      <c r="AT423" s="340" t="str">
        <f t="array" aca="1" ref="AT423" ca="1">IF(AT$406="", "", IF(ISERROR(PRODUCT(1+OFFSET(AT$109, $CC423, 0, 10, 1)%)), "", PRODUCT(1+OFFSET(AT$109, $CC423, 0, 10, 1)%)^(1/10)-1))</f>
        <v/>
      </c>
      <c r="AU423" s="340" t="str">
        <f t="array" aca="1" ref="AU423" ca="1">IF(AU$406="", "", IF(ISERROR(PRODUCT(1+OFFSET(AU$109, $CC423, 0, 10, 1)%)), "", PRODUCT(1+OFFSET(AU$109, $CC423, 0, 10, 1)%)^(1/10)-1))</f>
        <v/>
      </c>
      <c r="AV423" s="340" t="str">
        <f t="array" aca="1" ref="AV423" ca="1">IF(AV$406="", "", IF(ISERROR(PRODUCT(1+OFFSET(AV$109, $CC423, 0, 10, 1)%)), "", PRODUCT(1+OFFSET(AV$109, $CC423, 0, 10, 1)%)^(1/10)-1))</f>
        <v/>
      </c>
      <c r="AW423" s="340" t="str">
        <f t="array" aca="1" ref="AW423" ca="1">IF(AW$406="", "", IF(ISERROR(PRODUCT(1+OFFSET(AW$109, $CC423, 0, 10, 1)%)), "", PRODUCT(1+OFFSET(AW$109, $CC423, 0, 10, 1)%)^(1/10)-1))</f>
        <v/>
      </c>
      <c r="AX423" s="340" t="str">
        <f t="array" aca="1" ref="AX423" ca="1">IF(AX$406="", "", IF(ISERROR(PRODUCT(1+OFFSET(AX$109, $CC423, 0, 10, 1)%)), "", PRODUCT(1+OFFSET(AX$109, $CC423, 0, 10, 1)%)^(1/10)-1))</f>
        <v/>
      </c>
      <c r="AY423" s="340" t="str">
        <f t="array" aca="1" ref="AY423" ca="1">IF(AY$406="", "", IF(ISERROR(PRODUCT(1+OFFSET(AY$109, $CC423, 0, 10, 1)%)), "", PRODUCT(1+OFFSET(AY$109, $CC423, 0, 10, 1)%)^(1/10)-1))</f>
        <v/>
      </c>
      <c r="AZ423" s="340" t="str">
        <f t="array" aca="1" ref="AZ423" ca="1">IF(AZ$406="", "", IF(ISERROR(PRODUCT(1+OFFSET(AZ$109, $CC423, 0, 10, 1)%)), "", PRODUCT(1+OFFSET(AZ$109, $CC423, 0, 10, 1)%)^(1/10)-1))</f>
        <v/>
      </c>
      <c r="BA423" s="340" t="str">
        <f t="array" aca="1" ref="BA423" ca="1">IF(BA$406="", "", IF(ISERROR(PRODUCT(1+OFFSET(BA$109, $CC423, 0, 10, 1)%)), "", PRODUCT(1+OFFSET(BA$109, $CC423, 0, 10, 1)%)^(1/10)-1))</f>
        <v/>
      </c>
      <c r="BB423" s="340" t="str">
        <f t="array" aca="1" ref="BB423" ca="1">IF(BB$406="", "", IF(ISERROR(PRODUCT(1+OFFSET(BB$109, $CC423, 0, 10, 1)%)), "", PRODUCT(1+OFFSET(BB$109, $CC423, 0, 10, 1)%)^(1/10)-1))</f>
        <v/>
      </c>
      <c r="BC423" s="340" t="str">
        <f t="array" aca="1" ref="BC423" ca="1">IF(BC$406="", "", IF(ISERROR(PRODUCT(1+OFFSET(BC$109, $CC423, 0, 10, 1)%)), "", PRODUCT(1+OFFSET(BC$109, $CC423, 0, 10, 1)%)^(1/10)-1))</f>
        <v/>
      </c>
      <c r="BD423" s="340" t="str">
        <f t="array" aca="1" ref="BD423" ca="1">IF(BD$406="", "", IF(ISERROR(PRODUCT(1+OFFSET(BD$109, $CC423, 0, 10, 1)%)), "", PRODUCT(1+OFFSET(BD$109, $CC423, 0, 10, 1)%)^(1/10)-1))</f>
        <v/>
      </c>
      <c r="BE423" s="340" t="str">
        <f t="array" aca="1" ref="BE423" ca="1">IF(BE$406="", "", IF(ISERROR(PRODUCT(1+OFFSET(BE$109, $CC423, 0, 10, 1)%)), "", PRODUCT(1+OFFSET(BE$109, $CC423, 0, 10, 1)%)^(1/10)-1))</f>
        <v/>
      </c>
      <c r="BF423" s="340" t="str">
        <f t="array" aca="1" ref="BF423" ca="1">IF(BF$406="", "", IF(ISERROR(PRODUCT(1+OFFSET(BF$109, $CC423, 0, 10, 1)%)), "", PRODUCT(1+OFFSET(BF$109, $CC423, 0, 10, 1)%)^(1/10)-1))</f>
        <v/>
      </c>
      <c r="BG423" s="340" t="str">
        <f t="array" aca="1" ref="BG423" ca="1">IF(BG$406="", "", IF(ISERROR(PRODUCT(1+OFFSET(BG$109, $CC423, 0, 10, 1)%)), "", PRODUCT(1+OFFSET(BG$109, $CC423, 0, 10, 1)%)^(1/10)-1))</f>
        <v/>
      </c>
      <c r="BH423" s="340" t="str">
        <f t="array" aca="1" ref="BH423" ca="1">IF(BH$406="", "", IF(ISERROR(PRODUCT(1+OFFSET(BH$109, $CC423, 0, 10, 1)%)), "", PRODUCT(1+OFFSET(BH$109, $CC423, 0, 10, 1)%)^(1/10)-1))</f>
        <v/>
      </c>
      <c r="BI423" s="340" t="str">
        <f t="array" aca="1" ref="BI423" ca="1">IF(BI$406="", "", IF(ISERROR(PRODUCT(1+OFFSET(BI$109, $CC423, 0, 10, 1)%)), "", PRODUCT(1+OFFSET(BI$109, $CC423, 0, 10, 1)%)^(1/10)-1))</f>
        <v/>
      </c>
      <c r="BJ423" s="340" t="str">
        <f t="array" aca="1" ref="BJ423" ca="1">IF(BJ$406="", "", IF(ISERROR(PRODUCT(1+OFFSET(BJ$109, $CC423, 0, 10, 1)%)), "", PRODUCT(1+OFFSET(BJ$109, $CC423, 0, 10, 1)%)^(1/10)-1))</f>
        <v/>
      </c>
      <c r="BK423" s="340" t="str">
        <f t="array" aca="1" ref="BK423" ca="1">IF(BK$406="", "", IF(ISERROR(PRODUCT(1+OFFSET(BK$109, $CC423, 0, 10, 1)%)), "", PRODUCT(1+OFFSET(BK$109, $CC423, 0, 10, 1)%)^(1/10)-1))</f>
        <v/>
      </c>
      <c r="BL423" s="340" t="str">
        <f t="array" aca="1" ref="BL423" ca="1">IF(BL$406="", "", IF(ISERROR(PRODUCT(1+OFFSET(BL$109, $CC423, 0, 10, 1)%)), "", PRODUCT(1+OFFSET(BL$109, $CC423, 0, 10, 1)%)^(1/10)-1))</f>
        <v/>
      </c>
      <c r="BM423" s="340" t="str">
        <f t="array" aca="1" ref="BM423" ca="1">IF(BM$406="", "", IF(ISERROR(PRODUCT(1+OFFSET(BM$109, $CC423, 0, 10, 1)%)), "", PRODUCT(1+OFFSET(BM$109, $CC423, 0, 10, 1)%)^(1/10)-1))</f>
        <v/>
      </c>
      <c r="BN423" s="340" t="str">
        <f t="array" aca="1" ref="BN423" ca="1">IF(BN$406="", "", IF(ISERROR(PRODUCT(1+OFFSET(BN$109, $CC423, 0, 10, 1)%)), "", PRODUCT(1+OFFSET(BN$109, $CC423, 0, 10, 1)%)^(1/10)-1))</f>
        <v/>
      </c>
      <c r="BO423" s="340" t="str">
        <f t="array" aca="1" ref="BO423" ca="1">IF(BO$406="", "", IF(ISERROR(PRODUCT(1+OFFSET(BO$109, $CC423, 0, 10, 1)%)), "", PRODUCT(1+OFFSET(BO$109, $CC423, 0, 10, 1)%)^(1/10)-1))</f>
        <v/>
      </c>
      <c r="BP423" s="340" t="str">
        <f t="array" aca="1" ref="BP423" ca="1">IF(BP$406="", "", IF(ISERROR(PRODUCT(1+OFFSET(BP$109, $CC423, 0, 10, 1)%)), "", PRODUCT(1+OFFSET(BP$109, $CC423, 0, 10, 1)%)^(1/10)-1))</f>
        <v/>
      </c>
      <c r="BQ423" s="340" t="str">
        <f t="array" aca="1" ref="BQ423" ca="1">IF(BQ$406="", "", IF(ISERROR(PRODUCT(1+OFFSET(BQ$109, $CC423, 0, 10, 1)%)), "", PRODUCT(1+OFFSET(BQ$109, $CC423, 0, 10, 1)%)^(1/10)-1))</f>
        <v/>
      </c>
      <c r="BR423" s="340" t="str">
        <f t="array" aca="1" ref="BR423" ca="1">IF(BR$406="", "", IF(ISERROR(PRODUCT(1+OFFSET(BR$109, $CC423, 0, 10, 1)%)), "", PRODUCT(1+OFFSET(BR$109, $CC423, 0, 10, 1)%)^(1/10)-1))</f>
        <v/>
      </c>
      <c r="BS423" s="340" t="str">
        <f t="array" aca="1" ref="BS423" ca="1">IF(BS$406="", "", IF(ISERROR(PRODUCT(1+OFFSET(BS$109, $CC423, 0, 10, 1)%)), "", PRODUCT(1+OFFSET(BS$109, $CC423, 0, 10, 1)%)^(1/10)-1))</f>
        <v/>
      </c>
      <c r="BT423" s="340" t="str">
        <f t="array" aca="1" ref="BT423" ca="1">IF(BT$406="", "", IF(ISERROR(PRODUCT(1+OFFSET(BT$109, $CC423, 0, 10, 1)%)), "", PRODUCT(1+OFFSET(BT$109, $CC423, 0, 10, 1)%)^(1/10)-1))</f>
        <v/>
      </c>
      <c r="BU423" s="340" t="str">
        <f t="array" aca="1" ref="BU423" ca="1">IF(BU$406="", "", IF(ISERROR(PRODUCT(1+OFFSET(BU$109, $CC423, 0, 10, 1)%)), "", PRODUCT(1+OFFSET(BU$109, $CC423, 0, 10, 1)%)^(1/10)-1))</f>
        <v/>
      </c>
      <c r="BV423" s="340" t="str">
        <f t="array" aca="1" ref="BV423" ca="1">IF(BV$406="", "", IF(ISERROR(PRODUCT(1+OFFSET(BV$109, $CC423, 0, 10, 1)%)), "", PRODUCT(1+OFFSET(BV$109, $CC423, 0, 10, 1)%)^(1/10)-1))</f>
        <v/>
      </c>
      <c r="BW423" s="340" t="str">
        <f t="array" aca="1" ref="BW423" ca="1">IF(BW$406="", "", IF(ISERROR(PRODUCT(1+OFFSET(BW$109, $CC423, 0, 10, 1)%)), "", PRODUCT(1+OFFSET(BW$109, $CC423, 0, 10, 1)%)^(1/10)-1))</f>
        <v/>
      </c>
      <c r="BX423" s="340">
        <f t="array" aca="1" ref="BX423" ca="1">IF(BX$406="", "", IF(ISERROR(PRODUCT(1+OFFSET(BX$109, $CC423, 0, 10, 1)%)), "", PRODUCT(1+OFFSET(BX$109, $CC423, 0, 10, 1)%)^(1/10)-1))</f>
        <v>5.7783356249947238E-2</v>
      </c>
      <c r="BY423" s="340">
        <f t="array" aca="1" ref="BY423" ca="1">IF(BY$406="", "", IF(ISERROR(PRODUCT(1+OFFSET(BY$109, $CC423, 0, 10, 1)%)), "", PRODUCT(1+OFFSET(BY$109, $CC423, 0, 10, 1)%)^(1/10)-1))</f>
        <v>4.7501688746027115E-2</v>
      </c>
      <c r="BZ423" s="340">
        <f t="array" aca="1" ref="BZ423" ca="1">IF(BZ$406="", "", IF(ISERROR(PRODUCT(1+OFFSET(BZ$109, $CC423, 0, 10, 1)%)), "", PRODUCT(1+OFFSET(BZ$109, $CC423, 0, 10, 1)%)^(1/10)-1))</f>
        <v>7.8930696363268327E-2</v>
      </c>
      <c r="CA423" s="532">
        <f t="array" aca="1" ref="CA423" ca="1">IF(CA$406="", "", IF(ISERROR(PRODUCT(1+OFFSET(CA$109, $CC423, 0, 10, 1)%)), "", PRODUCT(1+OFFSET(CA$109, $CC423, 0, 10, 1)%)^(1/10)-1))</f>
        <v>8.6247032889710251E-2</v>
      </c>
      <c r="CC423" s="482">
        <f>10*(ROW()-ROW($A$422)-1)</f>
        <v>0</v>
      </c>
    </row>
    <row r="424" spans="1:81" ht="14">
      <c r="A424" s="338" t="str">
        <f>CONCATENATE(A$422+10*(ROW()-ROW(A$422)-1), "-", A$422+10*(ROW()-ROW(A$422))-1)</f>
        <v>1982-1991</v>
      </c>
      <c r="B424" s="339">
        <f t="array" aca="1" ref="B424" ca="1">IF(B$406="", "", IF(ISERROR(PRODUCT(1+OFFSET(B$109, $CC424, 0, 10, 1)%)), "", PRODUCT(1+OFFSET(B$109, $CC424, 0, 10, 1)%)^(1/10)-1))</f>
        <v>0.16363863428913006</v>
      </c>
      <c r="C424" s="340">
        <f t="array" aca="1" ref="C424" ca="1">IF(C$406="", "", IF(ISERROR(PRODUCT(1+OFFSET(C$109, $CC424, 0, 10, 1)%)), "", PRODUCT(1+OFFSET(C$109, $CC424, 0, 10, 1)%)^(1/10)-1))</f>
        <v>0.16588028078389816</v>
      </c>
      <c r="D424" s="340">
        <f t="array" aca="1" ref="D424" ca="1">IF(D$406="", "", IF(ISERROR(PRODUCT(1+OFFSET(D$109, $CC424, 0, 10, 1)%)), "", PRODUCT(1+OFFSET(D$109, $CC424, 0, 10, 1)%)^(1/10)-1))</f>
        <v>0.17120654899268106</v>
      </c>
      <c r="E424" s="340">
        <f t="array" aca="1" ref="E424" ca="1">IF(E$406="", "", IF(ISERROR(PRODUCT(1+OFFSET(E$109, $CC424, 0, 10, 1)%)), "", PRODUCT(1+OFFSET(E$109, $CC424, 0, 10, 1)%)^(1/10)-1))</f>
        <v>0.16613990331414841</v>
      </c>
      <c r="F424" s="340">
        <f t="array" aca="1" ref="F424" ca="1">IF(F$406="", "", IF(ISERROR(PRODUCT(1+OFFSET(F$109, $CC424, 0, 10, 1)%)), "", PRODUCT(1+OFFSET(F$109, $CC424, 0, 10, 1)%)^(1/10)-1))</f>
        <v>0.1618132847699838</v>
      </c>
      <c r="G424" s="340">
        <f t="array" aca="1" ref="G424" ca="1">IF(G$406="", "", IF(ISERROR(PRODUCT(1+OFFSET(G$109, $CC424, 0, 10, 1)%)), "", PRODUCT(1+OFFSET(G$109, $CC424, 0, 10, 1)%)^(1/10)-1))</f>
        <v>0.14142364850284572</v>
      </c>
      <c r="H424" s="340">
        <f t="array" aca="1" ref="H424" ca="1">IF(H$406="", "", IF(ISERROR(PRODUCT(1+OFFSET(H$109, $CC424, 0, 10, 1)%)), "", PRODUCT(1+OFFSET(H$109, $CC424, 0, 10, 1)%)^(1/10)-1))</f>
        <v>0.12162538317901839</v>
      </c>
      <c r="I424" s="340">
        <f t="array" aca="1" ref="I424" ca="1">IF(I$406="", "", IF(ISERROR(PRODUCT(1+OFFSET(I$109, $CC424, 0, 10, 1)%)), "", PRODUCT(1+OFFSET(I$109, $CC424, 0, 10, 1)%)^(1/10)-1))</f>
        <v>0.10133135679558003</v>
      </c>
      <c r="J424" s="340">
        <f t="array" aca="1" ref="J424" ca="1">IF(J$406="", "", IF(ISERROR(PRODUCT(1+OFFSET(J$109, $CC424, 0, 10, 1)%)), "", PRODUCT(1+OFFSET(J$109, $CC424, 0, 10, 1)%)^(1/10)-1))</f>
        <v>6.1919485751687819E-2</v>
      </c>
      <c r="K424" s="340">
        <f t="array" aca="1" ref="K424" ca="1">IF(K$406="", "", IF(ISERROR(PRODUCT(1+OFFSET(K$109, $CC424, 0, 10, 1)%)), "", PRODUCT(1+OFFSET(K$109, $CC424, 0, 10, 1)%)^(1/10)-1))</f>
        <v>0.1375922031868948</v>
      </c>
      <c r="L424" s="340">
        <f t="array" aca="1" ref="L424" ca="1">IF(L$406="", "", IF(ISERROR(PRODUCT(1+OFFSET(L$109, $CC424, 0, 10, 1)%)), "", PRODUCT(1+OFFSET(L$109, $CC424, 0, 10, 1)%)^(1/10)-1))</f>
        <v>0.18381149688294296</v>
      </c>
      <c r="M424" s="340">
        <f t="array" aca="1" ref="M424" ca="1">IF(M$406="", "", IF(ISERROR(PRODUCT(1+OFFSET(M$109, $CC424, 0, 10, 1)%)), "", PRODUCT(1+OFFSET(M$109, $CC424, 0, 10, 1)%)^(1/10)-1))</f>
        <v>0.32523280444634239</v>
      </c>
      <c r="N424" s="340">
        <f t="array" aca="1" ref="N424" ca="1">IF(N$406="", "", IF(ISERROR(PRODUCT(1+OFFSET(N$109, $CC424, 0, 10, 1)%)), "", PRODUCT(1+OFFSET(N$109, $CC424, 0, 10, 1)%)^(1/10)-1))</f>
        <v>0.20562602726860968</v>
      </c>
      <c r="O424" s="340">
        <f t="array" aca="1" ref="O424" ca="1">IF(O$406="", "", IF(ISERROR(PRODUCT(1+OFFSET(O$109, $CC424, 0, 10, 1)%)), "", PRODUCT(1+OFFSET(O$109, $CC424, 0, 10, 1)%)^(1/10)-1))</f>
        <v>0.17454295723510715</v>
      </c>
      <c r="P424" s="340">
        <f t="array" aca="1" ref="P424" ca="1">IF(P$406="", "", IF(ISERROR(PRODUCT(1+OFFSET(P$109, $CC424, 0, 10, 1)%)), "", PRODUCT(1+OFFSET(P$109, $CC424, 0, 10, 1)%)^(1/10)-1))</f>
        <v>0.18875396141133916</v>
      </c>
      <c r="Q424" s="340">
        <f t="array" aca="1" ref="Q424" ca="1">IF(Q$406="", "", IF(ISERROR(PRODUCT(1+OFFSET(Q$109, $CC424, 0, 10, 1)%)), "", PRODUCT(1+OFFSET(Q$109, $CC424, 0, 10, 1)%)^(1/10)-1))</f>
        <v>0.20584712834269081</v>
      </c>
      <c r="R424" s="340">
        <f t="array" aca="1" ref="R424" ca="1">IF(R$406="", "", IF(ISERROR(PRODUCT(1+OFFSET(R$109, $CC424, 0, 10, 1)%)), "", PRODUCT(1+OFFSET(R$109, $CC424, 0, 10, 1)%)^(1/10)-1))</f>
        <v>0.10698023540892976</v>
      </c>
      <c r="S424" s="340">
        <f t="array" aca="1" ref="S424" ca="1">IF(S$406="", "", IF(ISERROR(PRODUCT(1+OFFSET(S$109, $CC424, 0, 10, 1)%)), "", PRODUCT(1+OFFSET(S$109, $CC424, 0, 10, 1)%)^(1/10)-1))</f>
        <v>0.16302619699197973</v>
      </c>
      <c r="T424" s="340">
        <f t="array" aca="1" ref="T424" ca="1">IF(T$406="", "", IF(ISERROR(PRODUCT(1+OFFSET(T$109, $CC424, 0, 10, 1)%)), "", PRODUCT(1+OFFSET(T$109, $CC424, 0, 10, 1)%)^(1/10)-1))</f>
        <v>0.12936089600298284</v>
      </c>
      <c r="U424" s="340">
        <f t="array" aca="1" ref="U424" ca="1">IF(U$406="", "", IF(ISERROR(PRODUCT(1+OFFSET(U$109, $CC424, 0, 10, 1)%)), "", PRODUCT(1+OFFSET(U$109, $CC424, 0, 10, 1)%)^(1/10)-1))</f>
        <v>0.12192446856888983</v>
      </c>
      <c r="V424" s="340">
        <f t="array" aca="1" ref="V424" ca="1">IF(V$406="", "", IF(ISERROR(PRODUCT(1+OFFSET(V$109, $CC424, 0, 10, 1)%)), "", PRODUCT(1+OFFSET(V$109, $CC424, 0, 10, 1)%)^(1/10)-1))</f>
        <v>7.790630611217475E-2</v>
      </c>
      <c r="W424" s="340">
        <f t="array" aca="1" ref="W424" ca="1">IF(W$406="", "", IF(ISERROR(PRODUCT(1+OFFSET(W$109, $CC424, 0, 10, 1)%)), "", PRODUCT(1+OFFSET(W$109, $CC424, 0, 10, 1)%)^(1/10)-1))</f>
        <v>0.10649479912419402</v>
      </c>
      <c r="X424" s="340">
        <f t="array" aca="1" ref="X424" ca="1">IF(X$406="", "", IF(ISERROR(PRODUCT(1+OFFSET(X$109, $CC424, 0, 10, 1)%)), "", PRODUCT(1+OFFSET(X$109, $CC424, 0, 10, 1)%)^(1/10)-1))</f>
        <v>0.16229674924106718</v>
      </c>
      <c r="Y424" s="340">
        <f t="array" aca="1" ref="Y424" ca="1">IF(Y$406="", "", IF(ISERROR(PRODUCT(1+OFFSET(Y$109, $CC424, 0, 10, 1)%)), "", PRODUCT(1+OFFSET(Y$109, $CC424, 0, 10, 1)%)^(1/10)-1))</f>
        <v>0.15894221009884513</v>
      </c>
      <c r="Z424" s="340">
        <f t="array" aca="1" ref="Z424" ca="1">IF(Z$406="", "", IF(ISERROR(PRODUCT(1+OFFSET(Z$109, $CC424, 0, 10, 1)%)), "", PRODUCT(1+OFFSET(Z$109, $CC424, 0, 10, 1)%)^(1/10)-1))</f>
        <v>0.16839199596159604</v>
      </c>
      <c r="AA424" s="340">
        <f t="array" aca="1" ref="AA424" ca="1">IF(AA$406="", "", IF(ISERROR(PRODUCT(1+OFFSET(AA$109, $CC424, 0, 10, 1)%)), "", PRODUCT(1+OFFSET(AA$109, $CC424, 0, 10, 1)%)^(1/10)-1))</f>
        <v>0.10334492013811891</v>
      </c>
      <c r="AB424" s="340">
        <f t="array" aca="1" ref="AB424" ca="1">IF(AB$406="", "", IF(ISERROR(PRODUCT(1+OFFSET(AB$109, $CC424, 0, 10, 1)%)), "", PRODUCT(1+OFFSET(AB$109, $CC424, 0, 10, 1)%)^(1/10)-1))</f>
        <v>-1.568377610121241E-2</v>
      </c>
      <c r="AC424" s="340">
        <f t="array" aca="1" ref="AC424" ca="1">IF(AC$406="", "", IF(ISERROR(PRODUCT(1+OFFSET(AC$109, $CC424, 0, 10, 1)%)), "", PRODUCT(1+OFFSET(AC$109, $CC424, 0, 10, 1)%)^(1/10)-1))</f>
        <v>0.22922006508615045</v>
      </c>
      <c r="AD424" s="340" t="str">
        <f t="array" aca="1" ref="AD424" ca="1">IF(AD$406="", "", IF(ISERROR(PRODUCT(1+OFFSET(AD$109, $CC424, 0, 10, 1)%)), "", PRODUCT(1+OFFSET(AD$109, $CC424, 0, 10, 1)%)^(1/10)-1))</f>
        <v/>
      </c>
      <c r="AE424" s="340" t="str">
        <f t="array" aca="1" ref="AE424" ca="1">IF(AE$406="", "", IF(ISERROR(PRODUCT(1+OFFSET(AE$109, $CC424, 0, 10, 1)%)), "", PRODUCT(1+OFFSET(AE$109, $CC424, 0, 10, 1)%)^(1/10)-1))</f>
        <v/>
      </c>
      <c r="AF424" s="340" t="str">
        <f t="array" aca="1" ref="AF424" ca="1">IF(AF$406="", "", IF(ISERROR(PRODUCT(1+OFFSET(AF$109, $CC424, 0, 10, 1)%)), "", PRODUCT(1+OFFSET(AF$109, $CC424, 0, 10, 1)%)^(1/10)-1))</f>
        <v/>
      </c>
      <c r="AG424" s="340" t="str">
        <f t="array" aca="1" ref="AG424" ca="1">IF(AG$406="", "", IF(ISERROR(PRODUCT(1+OFFSET(AG$109, $CC424, 0, 10, 1)%)), "", PRODUCT(1+OFFSET(AG$109, $CC424, 0, 10, 1)%)^(1/10)-1))</f>
        <v/>
      </c>
      <c r="AH424" s="340" t="str">
        <f t="array" aca="1" ref="AH424" ca="1">IF(AH$406="", "", IF(ISERROR(PRODUCT(1+OFFSET(AH$109, $CC424, 0, 10, 1)%)), "", PRODUCT(1+OFFSET(AH$109, $CC424, 0, 10, 1)%)^(1/10)-1))</f>
        <v/>
      </c>
      <c r="AI424" s="340" t="str">
        <f t="array" aca="1" ref="AI424" ca="1">IF(AI$406="", "", IF(ISERROR(PRODUCT(1+OFFSET(AI$109, $CC424, 0, 10, 1)%)), "", PRODUCT(1+OFFSET(AI$109, $CC424, 0, 10, 1)%)^(1/10)-1))</f>
        <v/>
      </c>
      <c r="AJ424" s="340" t="str">
        <f t="array" aca="1" ref="AJ424" ca="1">IF(AJ$406="", "", IF(ISERROR(PRODUCT(1+OFFSET(AJ$109, $CC424, 0, 10, 1)%)), "", PRODUCT(1+OFFSET(AJ$109, $CC424, 0, 10, 1)%)^(1/10)-1))</f>
        <v/>
      </c>
      <c r="AK424" s="340" t="str">
        <f t="array" aca="1" ref="AK424" ca="1">IF(AK$406="", "", IF(ISERROR(PRODUCT(1+OFFSET(AK$109, $CC424, 0, 10, 1)%)), "", PRODUCT(1+OFFSET(AK$109, $CC424, 0, 10, 1)%)^(1/10)-1))</f>
        <v/>
      </c>
      <c r="AL424" s="340" t="str">
        <f t="array" aca="1" ref="AL424" ca="1">IF(AL$406="", "", IF(ISERROR(PRODUCT(1+OFFSET(AL$109, $CC424, 0, 10, 1)%)), "", PRODUCT(1+OFFSET(AL$109, $CC424, 0, 10, 1)%)^(1/10)-1))</f>
        <v/>
      </c>
      <c r="AM424" s="340" t="str">
        <f t="array" aca="1" ref="AM424" ca="1">IF(AM$406="", "", IF(ISERROR(PRODUCT(1+OFFSET(AM$109, $CC424, 0, 10, 1)%)), "", PRODUCT(1+OFFSET(AM$109, $CC424, 0, 10, 1)%)^(1/10)-1))</f>
        <v/>
      </c>
      <c r="AN424" s="340" t="str">
        <f t="array" aca="1" ref="AN424" ca="1">IF(AN$406="", "", IF(ISERROR(PRODUCT(1+OFFSET(AN$109, $CC424, 0, 10, 1)%)), "", PRODUCT(1+OFFSET(AN$109, $CC424, 0, 10, 1)%)^(1/10)-1))</f>
        <v/>
      </c>
      <c r="AO424" s="340" t="str">
        <f t="array" aca="1" ref="AO424" ca="1">IF(AO$406="", "", IF(ISERROR(PRODUCT(1+OFFSET(AO$109, $CC424, 0, 10, 1)%)), "", PRODUCT(1+OFFSET(AO$109, $CC424, 0, 10, 1)%)^(1/10)-1))</f>
        <v/>
      </c>
      <c r="AP424" s="340" t="str">
        <f t="array" aca="1" ref="AP424" ca="1">IF(AP$406="", "", IF(ISERROR(PRODUCT(1+OFFSET(AP$109, $CC424, 0, 10, 1)%)), "", PRODUCT(1+OFFSET(AP$109, $CC424, 0, 10, 1)%)^(1/10)-1))</f>
        <v/>
      </c>
      <c r="AQ424" s="340" t="str">
        <f t="array" aca="1" ref="AQ424" ca="1">IF(AQ$406="", "", IF(ISERROR(PRODUCT(1+OFFSET(AQ$109, $CC424, 0, 10, 1)%)), "", PRODUCT(1+OFFSET(AQ$109, $CC424, 0, 10, 1)%)^(1/10)-1))</f>
        <v/>
      </c>
      <c r="AR424" s="340" t="str">
        <f t="array" aca="1" ref="AR424" ca="1">IF(AR$406="", "", IF(ISERROR(PRODUCT(1+OFFSET(AR$109, $CC424, 0, 10, 1)%)), "", PRODUCT(1+OFFSET(AR$109, $CC424, 0, 10, 1)%)^(1/10)-1))</f>
        <v/>
      </c>
      <c r="AS424" s="340" t="str">
        <f t="array" aca="1" ref="AS424" ca="1">IF(AS$406="", "", IF(ISERROR(PRODUCT(1+OFFSET(AS$109, $CC424, 0, 10, 1)%)), "", PRODUCT(1+OFFSET(AS$109, $CC424, 0, 10, 1)%)^(1/10)-1))</f>
        <v/>
      </c>
      <c r="AT424" s="340" t="str">
        <f t="array" aca="1" ref="AT424" ca="1">IF(AT$406="", "", IF(ISERROR(PRODUCT(1+OFFSET(AT$109, $CC424, 0, 10, 1)%)), "", PRODUCT(1+OFFSET(AT$109, $CC424, 0, 10, 1)%)^(1/10)-1))</f>
        <v/>
      </c>
      <c r="AU424" s="340" t="str">
        <f t="array" aca="1" ref="AU424" ca="1">IF(AU$406="", "", IF(ISERROR(PRODUCT(1+OFFSET(AU$109, $CC424, 0, 10, 1)%)), "", PRODUCT(1+OFFSET(AU$109, $CC424, 0, 10, 1)%)^(1/10)-1))</f>
        <v/>
      </c>
      <c r="AV424" s="340" t="str">
        <f t="array" aca="1" ref="AV424" ca="1">IF(AV$406="", "", IF(ISERROR(PRODUCT(1+OFFSET(AV$109, $CC424, 0, 10, 1)%)), "", PRODUCT(1+OFFSET(AV$109, $CC424, 0, 10, 1)%)^(1/10)-1))</f>
        <v/>
      </c>
      <c r="AW424" s="340" t="str">
        <f t="array" aca="1" ref="AW424" ca="1">IF(AW$406="", "", IF(ISERROR(PRODUCT(1+OFFSET(AW$109, $CC424, 0, 10, 1)%)), "", PRODUCT(1+OFFSET(AW$109, $CC424, 0, 10, 1)%)^(1/10)-1))</f>
        <v/>
      </c>
      <c r="AX424" s="340" t="str">
        <f t="array" aca="1" ref="AX424" ca="1">IF(AX$406="", "", IF(ISERROR(PRODUCT(1+OFFSET(AX$109, $CC424, 0, 10, 1)%)), "", PRODUCT(1+OFFSET(AX$109, $CC424, 0, 10, 1)%)^(1/10)-1))</f>
        <v/>
      </c>
      <c r="AY424" s="340" t="str">
        <f t="array" aca="1" ref="AY424" ca="1">IF(AY$406="", "", IF(ISERROR(PRODUCT(1+OFFSET(AY$109, $CC424, 0, 10, 1)%)), "", PRODUCT(1+OFFSET(AY$109, $CC424, 0, 10, 1)%)^(1/10)-1))</f>
        <v/>
      </c>
      <c r="AZ424" s="340" t="str">
        <f t="array" aca="1" ref="AZ424" ca="1">IF(AZ$406="", "", IF(ISERROR(PRODUCT(1+OFFSET(AZ$109, $CC424, 0, 10, 1)%)), "", PRODUCT(1+OFFSET(AZ$109, $CC424, 0, 10, 1)%)^(1/10)-1))</f>
        <v/>
      </c>
      <c r="BA424" s="340" t="str">
        <f t="array" aca="1" ref="BA424" ca="1">IF(BA$406="", "", IF(ISERROR(PRODUCT(1+OFFSET(BA$109, $CC424, 0, 10, 1)%)), "", PRODUCT(1+OFFSET(BA$109, $CC424, 0, 10, 1)%)^(1/10)-1))</f>
        <v/>
      </c>
      <c r="BB424" s="340" t="str">
        <f t="array" aca="1" ref="BB424" ca="1">IF(BB$406="", "", IF(ISERROR(PRODUCT(1+OFFSET(BB$109, $CC424, 0, 10, 1)%)), "", PRODUCT(1+OFFSET(BB$109, $CC424, 0, 10, 1)%)^(1/10)-1))</f>
        <v/>
      </c>
      <c r="BC424" s="340" t="str">
        <f t="array" aca="1" ref="BC424" ca="1">IF(BC$406="", "", IF(ISERROR(PRODUCT(1+OFFSET(BC$109, $CC424, 0, 10, 1)%)), "", PRODUCT(1+OFFSET(BC$109, $CC424, 0, 10, 1)%)^(1/10)-1))</f>
        <v/>
      </c>
      <c r="BD424" s="340" t="str">
        <f t="array" aca="1" ref="BD424" ca="1">IF(BD$406="", "", IF(ISERROR(PRODUCT(1+OFFSET(BD$109, $CC424, 0, 10, 1)%)), "", PRODUCT(1+OFFSET(BD$109, $CC424, 0, 10, 1)%)^(1/10)-1))</f>
        <v/>
      </c>
      <c r="BE424" s="340" t="str">
        <f t="array" aca="1" ref="BE424" ca="1">IF(BE$406="", "", IF(ISERROR(PRODUCT(1+OFFSET(BE$109, $CC424, 0, 10, 1)%)), "", PRODUCT(1+OFFSET(BE$109, $CC424, 0, 10, 1)%)^(1/10)-1))</f>
        <v/>
      </c>
      <c r="BF424" s="340" t="str">
        <f t="array" aca="1" ref="BF424" ca="1">IF(BF$406="", "", IF(ISERROR(PRODUCT(1+OFFSET(BF$109, $CC424, 0, 10, 1)%)), "", PRODUCT(1+OFFSET(BF$109, $CC424, 0, 10, 1)%)^(1/10)-1))</f>
        <v/>
      </c>
      <c r="BG424" s="340" t="str">
        <f t="array" aca="1" ref="BG424" ca="1">IF(BG$406="", "", IF(ISERROR(PRODUCT(1+OFFSET(BG$109, $CC424, 0, 10, 1)%)), "", PRODUCT(1+OFFSET(BG$109, $CC424, 0, 10, 1)%)^(1/10)-1))</f>
        <v/>
      </c>
      <c r="BH424" s="340" t="str">
        <f t="array" aca="1" ref="BH424" ca="1">IF(BH$406="", "", IF(ISERROR(PRODUCT(1+OFFSET(BH$109, $CC424, 0, 10, 1)%)), "", PRODUCT(1+OFFSET(BH$109, $CC424, 0, 10, 1)%)^(1/10)-1))</f>
        <v/>
      </c>
      <c r="BI424" s="340" t="str">
        <f t="array" aca="1" ref="BI424" ca="1">IF(BI$406="", "", IF(ISERROR(PRODUCT(1+OFFSET(BI$109, $CC424, 0, 10, 1)%)), "", PRODUCT(1+OFFSET(BI$109, $CC424, 0, 10, 1)%)^(1/10)-1))</f>
        <v/>
      </c>
      <c r="BJ424" s="340" t="str">
        <f t="array" aca="1" ref="BJ424" ca="1">IF(BJ$406="", "", IF(ISERROR(PRODUCT(1+OFFSET(BJ$109, $CC424, 0, 10, 1)%)), "", PRODUCT(1+OFFSET(BJ$109, $CC424, 0, 10, 1)%)^(1/10)-1))</f>
        <v/>
      </c>
      <c r="BK424" s="340" t="str">
        <f t="array" aca="1" ref="BK424" ca="1">IF(BK$406="", "", IF(ISERROR(PRODUCT(1+OFFSET(BK$109, $CC424, 0, 10, 1)%)), "", PRODUCT(1+OFFSET(BK$109, $CC424, 0, 10, 1)%)^(1/10)-1))</f>
        <v/>
      </c>
      <c r="BL424" s="340" t="str">
        <f t="array" aca="1" ref="BL424" ca="1">IF(BL$406="", "", IF(ISERROR(PRODUCT(1+OFFSET(BL$109, $CC424, 0, 10, 1)%)), "", PRODUCT(1+OFFSET(BL$109, $CC424, 0, 10, 1)%)^(1/10)-1))</f>
        <v/>
      </c>
      <c r="BM424" s="340" t="str">
        <f t="array" aca="1" ref="BM424" ca="1">IF(BM$406="", "", IF(ISERROR(PRODUCT(1+OFFSET(BM$109, $CC424, 0, 10, 1)%)), "", PRODUCT(1+OFFSET(BM$109, $CC424, 0, 10, 1)%)^(1/10)-1))</f>
        <v/>
      </c>
      <c r="BN424" s="340" t="str">
        <f t="array" aca="1" ref="BN424" ca="1">IF(BN$406="", "", IF(ISERROR(PRODUCT(1+OFFSET(BN$109, $CC424, 0, 10, 1)%)), "", PRODUCT(1+OFFSET(BN$109, $CC424, 0, 10, 1)%)^(1/10)-1))</f>
        <v/>
      </c>
      <c r="BO424" s="340" t="str">
        <f t="array" aca="1" ref="BO424" ca="1">IF(BO$406="", "", IF(ISERROR(PRODUCT(1+OFFSET(BO$109, $CC424, 0, 10, 1)%)), "", PRODUCT(1+OFFSET(BO$109, $CC424, 0, 10, 1)%)^(1/10)-1))</f>
        <v/>
      </c>
      <c r="BP424" s="340" t="str">
        <f t="array" aca="1" ref="BP424" ca="1">IF(BP$406="", "", IF(ISERROR(PRODUCT(1+OFFSET(BP$109, $CC424, 0, 10, 1)%)), "", PRODUCT(1+OFFSET(BP$109, $CC424, 0, 10, 1)%)^(1/10)-1))</f>
        <v/>
      </c>
      <c r="BQ424" s="340" t="str">
        <f t="array" aca="1" ref="BQ424" ca="1">IF(BQ$406="", "", IF(ISERROR(PRODUCT(1+OFFSET(BQ$109, $CC424, 0, 10, 1)%)), "", PRODUCT(1+OFFSET(BQ$109, $CC424, 0, 10, 1)%)^(1/10)-1))</f>
        <v/>
      </c>
      <c r="BR424" s="340" t="str">
        <f t="array" aca="1" ref="BR424" ca="1">IF(BR$406="", "", IF(ISERROR(PRODUCT(1+OFFSET(BR$109, $CC424, 0, 10, 1)%)), "", PRODUCT(1+OFFSET(BR$109, $CC424, 0, 10, 1)%)^(1/10)-1))</f>
        <v/>
      </c>
      <c r="BS424" s="340" t="str">
        <f t="array" aca="1" ref="BS424" ca="1">IF(BS$406="", "", IF(ISERROR(PRODUCT(1+OFFSET(BS$109, $CC424, 0, 10, 1)%)), "", PRODUCT(1+OFFSET(BS$109, $CC424, 0, 10, 1)%)^(1/10)-1))</f>
        <v/>
      </c>
      <c r="BT424" s="340" t="str">
        <f t="array" aca="1" ref="BT424" ca="1">IF(BT$406="", "", IF(ISERROR(PRODUCT(1+OFFSET(BT$109, $CC424, 0, 10, 1)%)), "", PRODUCT(1+OFFSET(BT$109, $CC424, 0, 10, 1)%)^(1/10)-1))</f>
        <v/>
      </c>
      <c r="BU424" s="340" t="str">
        <f t="array" aca="1" ref="BU424" ca="1">IF(BU$406="", "", IF(ISERROR(PRODUCT(1+OFFSET(BU$109, $CC424, 0, 10, 1)%)), "", PRODUCT(1+OFFSET(BU$109, $CC424, 0, 10, 1)%)^(1/10)-1))</f>
        <v/>
      </c>
      <c r="BV424" s="340" t="str">
        <f t="array" aca="1" ref="BV424" ca="1">IF(BV$406="", "", IF(ISERROR(PRODUCT(1+OFFSET(BV$109, $CC424, 0, 10, 1)%)), "", PRODUCT(1+OFFSET(BV$109, $CC424, 0, 10, 1)%)^(1/10)-1))</f>
        <v/>
      </c>
      <c r="BW424" s="340" t="str">
        <f t="array" aca="1" ref="BW424" ca="1">IF(BW$406="", "", IF(ISERROR(PRODUCT(1+OFFSET(BW$109, $CC424, 0, 10, 1)%)), "", PRODUCT(1+OFFSET(BW$109, $CC424, 0, 10, 1)%)^(1/10)-1))</f>
        <v/>
      </c>
      <c r="BX424" s="340">
        <f t="array" aca="1" ref="BX424" ca="1">IF(BX$406="", "", IF(ISERROR(PRODUCT(1+OFFSET(BX$109, $CC424, 0, 10, 1)%)), "", PRODUCT(1+OFFSET(BX$109, $CC424, 0, 10, 1)%)^(1/10)-1))</f>
        <v>0.17715997201180644</v>
      </c>
      <c r="BY424" s="340">
        <f t="array" aca="1" ref="BY424" ca="1">IF(BY$406="", "", IF(ISERROR(PRODUCT(1+OFFSET(BY$109, $CC424, 0, 10, 1)%)), "", PRODUCT(1+OFFSET(BY$109, $CC424, 0, 10, 1)%)^(1/10)-1))</f>
        <v>0.13161961779498887</v>
      </c>
      <c r="BZ424" s="340">
        <f t="array" aca="1" ref="BZ424" ca="1">IF(BZ$406="", "", IF(ISERROR(PRODUCT(1+OFFSET(BZ$109, $CC424, 0, 10, 1)%)), "", PRODUCT(1+OFFSET(BZ$109, $CC424, 0, 10, 1)%)^(1/10)-1))</f>
        <v>8.5742164189765768E-2</v>
      </c>
      <c r="CA424" s="532">
        <f t="array" aca="1" ref="CA424" ca="1">IF(CA$406="", "", IF(ISERROR(PRODUCT(1+OFFSET(CA$109, $CC424, 0, 10, 1)%)), "", PRODUCT(1+OFFSET(CA$109, $CC424, 0, 10, 1)%)^(1/10)-1))</f>
        <v>3.9067213147055524E-2</v>
      </c>
      <c r="CC424" s="482">
        <f>10*(ROW()-ROW($A$422)-1)</f>
        <v>10</v>
      </c>
    </row>
    <row r="425" spans="1:81" ht="14">
      <c r="A425" s="338" t="str">
        <f>CONCATENATE(A$422+10*(ROW()-ROW(A$422)-1), "-", A$422+10*(ROW()-ROW(A$422))-1)</f>
        <v>1992-2001</v>
      </c>
      <c r="B425" s="339">
        <f t="array" aca="1" ref="B425" ca="1">IF(B$406="", "", IF(ISERROR(PRODUCT(1+OFFSET(B$109, $CC425, 0, 10, 1)%)), "", PRODUCT(1+OFFSET(B$109, $CC425, 0, 10, 1)%)^(1/10)-1))</f>
        <v>0.12190657116842263</v>
      </c>
      <c r="C425" s="340">
        <f t="array" aca="1" ref="C425" ca="1">IF(C$406="", "", IF(ISERROR(PRODUCT(1+OFFSET(C$109, $CC425, 0, 10, 1)%)), "", PRODUCT(1+OFFSET(C$109, $CC425, 0, 10, 1)%)^(1/10)-1))</f>
        <v>0.13270436221178072</v>
      </c>
      <c r="D425" s="340">
        <f t="array" aca="1" ref="D425" ca="1">IF(D$406="", "", IF(ISERROR(PRODUCT(1+OFFSET(D$109, $CC425, 0, 10, 1)%)), "", PRODUCT(1+OFFSET(D$109, $CC425, 0, 10, 1)%)^(1/10)-1))</f>
        <v>0.1284230576711034</v>
      </c>
      <c r="E425" s="340">
        <f t="array" aca="1" ref="E425" ca="1">IF(E$406="", "", IF(ISERROR(PRODUCT(1+OFFSET(E$109, $CC425, 0, 10, 1)%)), "", PRODUCT(1+OFFSET(E$109, $CC425, 0, 10, 1)%)^(1/10)-1))</f>
        <v>0.12198327033177558</v>
      </c>
      <c r="F425" s="340">
        <f t="array" aca="1" ref="F425" ca="1">IF(F$406="", "", IF(ISERROR(PRODUCT(1+OFFSET(F$109, $CC425, 0, 10, 1)%)), "", PRODUCT(1+OFFSET(F$109, $CC425, 0, 10, 1)%)^(1/10)-1))</f>
        <v>0.1468591744022989</v>
      </c>
      <c r="G425" s="340">
        <f t="array" aca="1" ref="G425" ca="1">IF(G$406="", "", IF(ISERROR(PRODUCT(1+OFFSET(G$109, $CC425, 0, 10, 1)%)), "", PRODUCT(1+OFFSET(G$109, $CC425, 0, 10, 1)%)^(1/10)-1))</f>
        <v>0.15338181959222896</v>
      </c>
      <c r="H425" s="340">
        <f t="array" aca="1" ref="H425" ca="1">IF(H$406="", "", IF(ISERROR(PRODUCT(1+OFFSET(H$109, $CC425, 0, 10, 1)%)), "", PRODUCT(1+OFFSET(H$109, $CC425, 0, 10, 1)%)^(1/10)-1))</f>
        <v>0.12247161109551108</v>
      </c>
      <c r="I425" s="340">
        <f t="array" aca="1" ref="I425" ca="1">IF(I$406="", "", IF(ISERROR(PRODUCT(1+OFFSET(I$109, $CC425, 0, 10, 1)%)), "", PRODUCT(1+OFFSET(I$109, $CC425, 0, 10, 1)%)^(1/10)-1))</f>
        <v>8.9493818634821531E-2</v>
      </c>
      <c r="J425" s="340">
        <f t="array" aca="1" ref="J425" ca="1">IF(J$406="", "", IF(ISERROR(PRODUCT(1+OFFSET(J$109, $CC425, 0, 10, 1)%)), "", PRODUCT(1+OFFSET(J$109, $CC425, 0, 10, 1)%)^(1/10)-1))</f>
        <v>0.16445064283234379</v>
      </c>
      <c r="K425" s="340">
        <f t="array" aca="1" ref="K425" ca="1">IF(K$406="", "", IF(ISERROR(PRODUCT(1+OFFSET(K$109, $CC425, 0, 10, 1)%)), "", PRODUCT(1+OFFSET(K$109, $CC425, 0, 10, 1)%)^(1/10)-1))</f>
        <v>0.11400883660255889</v>
      </c>
      <c r="L425" s="340">
        <f t="array" aca="1" ref="L425" ca="1">IF(L$406="", "", IF(ISERROR(PRODUCT(1+OFFSET(L$109, $CC425, 0, 10, 1)%)), "", PRODUCT(1+OFFSET(L$109, $CC425, 0, 10, 1)%)^(1/10)-1))</f>
        <v>4.5465727967163749E-2</v>
      </c>
      <c r="M425" s="340">
        <f t="array" aca="1" ref="M425" ca="1">IF(M$406="", "", IF(ISERROR(PRODUCT(1+OFFSET(M$109, $CC425, 0, 10, 1)%)), "", PRODUCT(1+OFFSET(M$109, $CC425, 0, 10, 1)%)^(1/10)-1))</f>
        <v>4.8545791716679831E-2</v>
      </c>
      <c r="N425" s="340">
        <f t="array" aca="1" ref="N425" ca="1">IF(N$406="", "", IF(ISERROR(PRODUCT(1+OFFSET(N$109, $CC425, 0, 10, 1)%)), "", PRODUCT(1+OFFSET(N$109, $CC425, 0, 10, 1)%)^(1/10)-1))</f>
        <v>4.7195269347568791E-2</v>
      </c>
      <c r="O425" s="340">
        <f t="array" aca="1" ref="O425" ca="1">IF(O$406="", "", IF(ISERROR(PRODUCT(1+OFFSET(O$109, $CC425, 0, 10, 1)%)), "", PRODUCT(1+OFFSET(O$109, $CC425, 0, 10, 1)%)^(1/10)-1))</f>
        <v>-2.5031598661913512E-2</v>
      </c>
      <c r="P425" s="340">
        <f t="array" aca="1" ref="P425" ca="1">IF(P$406="", "", IF(ISERROR(PRODUCT(1+OFFSET(P$109, $CC425, 0, 10, 1)%)), "", PRODUCT(1+OFFSET(P$109, $CC425, 0, 10, 1)%)^(1/10)-1))</f>
        <v>9.9268790976437593E-2</v>
      </c>
      <c r="Q425" s="340">
        <f t="array" aca="1" ref="Q425" ca="1">IF(Q$406="", "", IF(ISERROR(PRODUCT(1+OFFSET(Q$109, $CC425, 0, 10, 1)%)), "", PRODUCT(1+OFFSET(Q$109, $CC425, 0, 10, 1)%)^(1/10)-1))</f>
        <v>6.5140969118262726E-2</v>
      </c>
      <c r="R425" s="340">
        <f t="array" aca="1" ref="R425" ca="1">IF(R$406="", "", IF(ISERROR(PRODUCT(1+OFFSET(R$109, $CC425, 0, 10, 1)%)), "", PRODUCT(1+OFFSET(R$109, $CC425, 0, 10, 1)%)^(1/10)-1))</f>
        <v>6.0521712407777928E-2</v>
      </c>
      <c r="S425" s="340">
        <f t="array" aca="1" ref="S425" ca="1">IF(S$406="", "", IF(ISERROR(PRODUCT(1+OFFSET(S$109, $CC425, 0, 10, 1)%)), "", PRODUCT(1+OFFSET(S$109, $CC425, 0, 10, 1)%)^(1/10)-1))</f>
        <v>8.2068738788209084E-2</v>
      </c>
      <c r="T425" s="340">
        <f t="array" aca="1" ref="T425" ca="1">IF(T$406="", "", IF(ISERROR(PRODUCT(1+OFFSET(T$109, $CC425, 0, 10, 1)%)), "", PRODUCT(1+OFFSET(T$109, $CC425, 0, 10, 1)%)^(1/10)-1))</f>
        <v>7.2162675835744539E-2</v>
      </c>
      <c r="U425" s="340">
        <f t="array" aca="1" ref="U425" ca="1">IF(U$406="", "", IF(ISERROR(PRODUCT(1+OFFSET(U$109, $CC425, 0, 10, 1)%)), "", PRODUCT(1+OFFSET(U$109, $CC425, 0, 10, 1)%)^(1/10)-1))</f>
        <v>7.146962976432647E-2</v>
      </c>
      <c r="V425" s="340">
        <f t="array" aca="1" ref="V425" ca="1">IF(V$406="", "", IF(ISERROR(PRODUCT(1+OFFSET(V$109, $CC425, 0, 10, 1)%)), "", PRODUCT(1+OFFSET(V$109, $CC425, 0, 10, 1)%)^(1/10)-1))</f>
        <v>4.520157232082167E-2</v>
      </c>
      <c r="W425" s="340">
        <f t="array" aca="1" ref="W425" ca="1">IF(W$406="", "", IF(ISERROR(PRODUCT(1+OFFSET(W$109, $CC425, 0, 10, 1)%)), "", PRODUCT(1+OFFSET(W$109, $CC425, 0, 10, 1)%)^(1/10)-1))</f>
        <v>5.9572747429589956E-2</v>
      </c>
      <c r="X425" s="340">
        <f t="array" aca="1" ref="X425" ca="1">IF(X$406="", "", IF(ISERROR(PRODUCT(1+OFFSET(X$109, $CC425, 0, 10, 1)%)), "", PRODUCT(1+OFFSET(X$109, $CC425, 0, 10, 1)%)^(1/10)-1))</f>
        <v>0.12060992444534691</v>
      </c>
      <c r="Y425" s="340">
        <f t="array" aca="1" ref="Y425" ca="1">IF(Y$406="", "", IF(ISERROR(PRODUCT(1+OFFSET(Y$109, $CC425, 0, 10, 1)%)), "", PRODUCT(1+OFFSET(Y$109, $CC425, 0, 10, 1)%)^(1/10)-1))</f>
        <v>0.10441016084531984</v>
      </c>
      <c r="Z425" s="340">
        <f t="array" aca="1" ref="Z425" ca="1">IF(Z$406="", "", IF(ISERROR(PRODUCT(1+OFFSET(Z$109, $CC425, 0, 10, 1)%)), "", PRODUCT(1+OFFSET(Z$109, $CC425, 0, 10, 1)%)^(1/10)-1))</f>
        <v>0.14396573605438534</v>
      </c>
      <c r="AA425" s="340">
        <f t="array" aca="1" ref="AA425" ca="1">IF(AA$406="", "", IF(ISERROR(PRODUCT(1+OFFSET(AA$109, $CC425, 0, 10, 1)%)), "", PRODUCT(1+OFFSET(AA$109, $CC425, 0, 10, 1)%)^(1/10)-1))</f>
        <v>6.0554851396050324E-2</v>
      </c>
      <c r="AB425" s="340">
        <f t="array" aca="1" ref="AB425" ca="1">IF(AB$406="", "", IF(ISERROR(PRODUCT(1+OFFSET(AB$109, $CC425, 0, 10, 1)%)), "", PRODUCT(1+OFFSET(AB$109, $CC425, 0, 10, 1)%)^(1/10)-1))</f>
        <v>-2.7984969324797437E-2</v>
      </c>
      <c r="AC425" s="340">
        <f t="array" aca="1" ref="AC425" ca="1">IF(AC$406="", "", IF(ISERROR(PRODUCT(1+OFFSET(AC$109, $CC425, 0, 10, 1)%)), "", PRODUCT(1+OFFSET(AC$109, $CC425, 0, 10, 1)%)^(1/10)-1))</f>
        <v>7.2468808644641669E-2</v>
      </c>
      <c r="AD425" s="340">
        <f t="array" aca="1" ref="AD425" ca="1">IF(AD$406="", "", IF(ISERROR(PRODUCT(1+OFFSET(AD$109, $CC425, 0, 10, 1)%)), "", PRODUCT(1+OFFSET(AD$109, $CC425, 0, 10, 1)%)^(1/10)-1))</f>
        <v>0.12531813255762669</v>
      </c>
      <c r="AE425" s="340">
        <f t="array" aca="1" ref="AE425" ca="1">IF(AE$406="", "", IF(ISERROR(PRODUCT(1+OFFSET(AE$109, $CC425, 0, 10, 1)%)), "", PRODUCT(1+OFFSET(AE$109, $CC425, 0, 10, 1)%)^(1/10)-1))</f>
        <v>0.19925298819521409</v>
      </c>
      <c r="AF425" s="340">
        <f t="array" aca="1" ref="AF425" ca="1">IF(AF$406="", "", IF(ISERROR(PRODUCT(1+OFFSET(AF$109, $CC425, 0, 10, 1)%)), "", PRODUCT(1+OFFSET(AF$109, $CC425, 0, 10, 1)%)^(1/10)-1))</f>
        <v>1.480351050284745E-2</v>
      </c>
      <c r="AG425" s="340">
        <f t="array" aca="1" ref="AG425" ca="1">IF(AG$406="", "", IF(ISERROR(PRODUCT(1+OFFSET(AG$109, $CC425, 0, 10, 1)%)), "", PRODUCT(1+OFFSET(AG$109, $CC425, 0, 10, 1)%)^(1/10)-1))</f>
        <v>0.13508043477288045</v>
      </c>
      <c r="AH425" s="340">
        <f t="array" aca="1" ref="AH425" ca="1">IF(AH$406="", "", IF(ISERROR(PRODUCT(1+OFFSET(AH$109, $CC425, 0, 10, 1)%)), "", PRODUCT(1+OFFSET(AH$109, $CC425, 0, 10, 1)%)^(1/10)-1))</f>
        <v>4.0406778336513183E-2</v>
      </c>
      <c r="AI425" s="340">
        <f t="array" aca="1" ref="AI425" ca="1">IF(AI$406="", "", IF(ISERROR(PRODUCT(1+OFFSET(AI$109, $CC425, 0, 10, 1)%)), "", PRODUCT(1+OFFSET(AI$109, $CC425, 0, 10, 1)%)^(1/10)-1))</f>
        <v>6.1710166814956446E-2</v>
      </c>
      <c r="AJ425" s="340">
        <f t="array" aca="1" ref="AJ425" ca="1">IF(AJ$406="", "", IF(ISERROR(PRODUCT(1+OFFSET(AJ$109, $CC425, 0, 10, 1)%)), "", PRODUCT(1+OFFSET(AJ$109, $CC425, 0, 10, 1)%)^(1/10)-1))</f>
        <v>6.7313879459736325E-2</v>
      </c>
      <c r="AK425" s="340">
        <f t="array" aca="1" ref="AK425" ca="1">IF(AK$406="", "", IF(ISERROR(PRODUCT(1+OFFSET(AK$109, $CC425, 0, 10, 1)%)), "", PRODUCT(1+OFFSET(AK$109, $CC425, 0, 10, 1)%)^(1/10)-1))</f>
        <v>7.9166890766618536E-2</v>
      </c>
      <c r="AL425" s="340">
        <f t="array" aca="1" ref="AL425" ca="1">IF(AL$406="", "", IF(ISERROR(PRODUCT(1+OFFSET(AL$109, $CC425, 0, 10, 1)%)), "", PRODUCT(1+OFFSET(AL$109, $CC425, 0, 10, 1)%)^(1/10)-1))</f>
        <v>0.10044055151808906</v>
      </c>
      <c r="AM425" s="340">
        <f t="array" aca="1" ref="AM425" ca="1">IF(AM$406="", "", IF(ISERROR(PRODUCT(1+OFFSET(AM$109, $CC425, 0, 10, 1)%)), "", PRODUCT(1+OFFSET(AM$109, $CC425, 0, 10, 1)%)^(1/10)-1))</f>
        <v>0.15374393814220344</v>
      </c>
      <c r="AN425" s="340">
        <f t="array" aca="1" ref="AN425" ca="1">IF(AN$406="", "", IF(ISERROR(PRODUCT(1+OFFSET(AN$109, $CC425, 0, 10, 1)%)), "", PRODUCT(1+OFFSET(AN$109, $CC425, 0, 10, 1)%)^(1/10)-1))</f>
        <v>0.11070564557581397</v>
      </c>
      <c r="AO425" s="340">
        <f t="array" aca="1" ref="AO425" ca="1">IF(AO$406="", "", IF(ISERROR(PRODUCT(1+OFFSET(AO$109, $CC425, 0, 10, 1)%)), "", PRODUCT(1+OFFSET(AO$109, $CC425, 0, 10, 1)%)^(1/10)-1))</f>
        <v>4.7239672725738036E-2</v>
      </c>
      <c r="AP425" s="340">
        <f t="array" aca="1" ref="AP425" ca="1">IF(AP$406="", "", IF(ISERROR(PRODUCT(1+OFFSET(AP$109, $CC425, 0, 10, 1)%)), "", PRODUCT(1+OFFSET(AP$109, $CC425, 0, 10, 1)%)^(1/10)-1))</f>
        <v>6.4368996092385666E-2</v>
      </c>
      <c r="AQ425" s="340" t="str">
        <f t="array" aca="1" ref="AQ425" ca="1">IF(AQ$406="", "", IF(ISERROR(PRODUCT(1+OFFSET(AQ$109, $CC425, 0, 10, 1)%)), "", PRODUCT(1+OFFSET(AQ$109, $CC425, 0, 10, 1)%)^(1/10)-1))</f>
        <v/>
      </c>
      <c r="AR425" s="340" t="str">
        <f t="array" aca="1" ref="AR425" ca="1">IF(AR$406="", "", IF(ISERROR(PRODUCT(1+OFFSET(AR$109, $CC425, 0, 10, 1)%)), "", PRODUCT(1+OFFSET(AR$109, $CC425, 0, 10, 1)%)^(1/10)-1))</f>
        <v/>
      </c>
      <c r="AS425" s="340" t="str">
        <f t="array" aca="1" ref="AS425" ca="1">IF(AS$406="", "", IF(ISERROR(PRODUCT(1+OFFSET(AS$109, $CC425, 0, 10, 1)%)), "", PRODUCT(1+OFFSET(AS$109, $CC425, 0, 10, 1)%)^(1/10)-1))</f>
        <v/>
      </c>
      <c r="AT425" s="340" t="str">
        <f t="array" aca="1" ref="AT425" ca="1">IF(AT$406="", "", IF(ISERROR(PRODUCT(1+OFFSET(AT$109, $CC425, 0, 10, 1)%)), "", PRODUCT(1+OFFSET(AT$109, $CC425, 0, 10, 1)%)^(1/10)-1))</f>
        <v/>
      </c>
      <c r="AU425" s="340" t="str">
        <f t="array" aca="1" ref="AU425" ca="1">IF(AU$406="", "", IF(ISERROR(PRODUCT(1+OFFSET(AU$109, $CC425, 0, 10, 1)%)), "", PRODUCT(1+OFFSET(AU$109, $CC425, 0, 10, 1)%)^(1/10)-1))</f>
        <v/>
      </c>
      <c r="AV425" s="340" t="str">
        <f t="array" aca="1" ref="AV425" ca="1">IF(AV$406="", "", IF(ISERROR(PRODUCT(1+OFFSET(AV$109, $CC425, 0, 10, 1)%)), "", PRODUCT(1+OFFSET(AV$109, $CC425, 0, 10, 1)%)^(1/10)-1))</f>
        <v/>
      </c>
      <c r="AW425" s="340" t="str">
        <f t="array" aca="1" ref="AW425" ca="1">IF(AW$406="", "", IF(ISERROR(PRODUCT(1+OFFSET(AW$109, $CC425, 0, 10, 1)%)), "", PRODUCT(1+OFFSET(AW$109, $CC425, 0, 10, 1)%)^(1/10)-1))</f>
        <v/>
      </c>
      <c r="AX425" s="340" t="str">
        <f t="array" aca="1" ref="AX425" ca="1">IF(AX$406="", "", IF(ISERROR(PRODUCT(1+OFFSET(AX$109, $CC425, 0, 10, 1)%)), "", PRODUCT(1+OFFSET(AX$109, $CC425, 0, 10, 1)%)^(1/10)-1))</f>
        <v/>
      </c>
      <c r="AY425" s="340" t="str">
        <f t="array" aca="1" ref="AY425" ca="1">IF(AY$406="", "", IF(ISERROR(PRODUCT(1+OFFSET(AY$109, $CC425, 0, 10, 1)%)), "", PRODUCT(1+OFFSET(AY$109, $CC425, 0, 10, 1)%)^(1/10)-1))</f>
        <v/>
      </c>
      <c r="AZ425" s="340" t="str">
        <f t="array" aca="1" ref="AZ425" ca="1">IF(AZ$406="", "", IF(ISERROR(PRODUCT(1+OFFSET(AZ$109, $CC425, 0, 10, 1)%)), "", PRODUCT(1+OFFSET(AZ$109, $CC425, 0, 10, 1)%)^(1/10)-1))</f>
        <v/>
      </c>
      <c r="BA425" s="340" t="str">
        <f t="array" aca="1" ref="BA425" ca="1">IF(BA$406="", "", IF(ISERROR(PRODUCT(1+OFFSET(BA$109, $CC425, 0, 10, 1)%)), "", PRODUCT(1+OFFSET(BA$109, $CC425, 0, 10, 1)%)^(1/10)-1))</f>
        <v/>
      </c>
      <c r="BB425" s="340" t="str">
        <f t="array" aca="1" ref="BB425" ca="1">IF(BB$406="", "", IF(ISERROR(PRODUCT(1+OFFSET(BB$109, $CC425, 0, 10, 1)%)), "", PRODUCT(1+OFFSET(BB$109, $CC425, 0, 10, 1)%)^(1/10)-1))</f>
        <v/>
      </c>
      <c r="BC425" s="340" t="str">
        <f t="array" aca="1" ref="BC425" ca="1">IF(BC$406="", "", IF(ISERROR(PRODUCT(1+OFFSET(BC$109, $CC425, 0, 10, 1)%)), "", PRODUCT(1+OFFSET(BC$109, $CC425, 0, 10, 1)%)^(1/10)-1))</f>
        <v/>
      </c>
      <c r="BD425" s="340" t="str">
        <f t="array" aca="1" ref="BD425" ca="1">IF(BD$406="", "", IF(ISERROR(PRODUCT(1+OFFSET(BD$109, $CC425, 0, 10, 1)%)), "", PRODUCT(1+OFFSET(BD$109, $CC425, 0, 10, 1)%)^(1/10)-1))</f>
        <v/>
      </c>
      <c r="BE425" s="340" t="str">
        <f t="array" aca="1" ref="BE425" ca="1">IF(BE$406="", "", IF(ISERROR(PRODUCT(1+OFFSET(BE$109, $CC425, 0, 10, 1)%)), "", PRODUCT(1+OFFSET(BE$109, $CC425, 0, 10, 1)%)^(1/10)-1))</f>
        <v/>
      </c>
      <c r="BF425" s="340" t="str">
        <f t="array" aca="1" ref="BF425" ca="1">IF(BF$406="", "", IF(ISERROR(PRODUCT(1+OFFSET(BF$109, $CC425, 0, 10, 1)%)), "", PRODUCT(1+OFFSET(BF$109, $CC425, 0, 10, 1)%)^(1/10)-1))</f>
        <v/>
      </c>
      <c r="BG425" s="340" t="str">
        <f t="array" aca="1" ref="BG425" ca="1">IF(BG$406="", "", IF(ISERROR(PRODUCT(1+OFFSET(BG$109, $CC425, 0, 10, 1)%)), "", PRODUCT(1+OFFSET(BG$109, $CC425, 0, 10, 1)%)^(1/10)-1))</f>
        <v/>
      </c>
      <c r="BH425" s="340" t="str">
        <f t="array" aca="1" ref="BH425" ca="1">IF(BH$406="", "", IF(ISERROR(PRODUCT(1+OFFSET(BH$109, $CC425, 0, 10, 1)%)), "", PRODUCT(1+OFFSET(BH$109, $CC425, 0, 10, 1)%)^(1/10)-1))</f>
        <v/>
      </c>
      <c r="BI425" s="340" t="str">
        <f t="array" aca="1" ref="BI425" ca="1">IF(BI$406="", "", IF(ISERROR(PRODUCT(1+OFFSET(BI$109, $CC425, 0, 10, 1)%)), "", PRODUCT(1+OFFSET(BI$109, $CC425, 0, 10, 1)%)^(1/10)-1))</f>
        <v/>
      </c>
      <c r="BJ425" s="340" t="str">
        <f t="array" aca="1" ref="BJ425" ca="1">IF(BJ$406="", "", IF(ISERROR(PRODUCT(1+OFFSET(BJ$109, $CC425, 0, 10, 1)%)), "", PRODUCT(1+OFFSET(BJ$109, $CC425, 0, 10, 1)%)^(1/10)-1))</f>
        <v/>
      </c>
      <c r="BK425" s="340" t="str">
        <f t="array" aca="1" ref="BK425" ca="1">IF(BK$406="", "", IF(ISERROR(PRODUCT(1+OFFSET(BK$109, $CC425, 0, 10, 1)%)), "", PRODUCT(1+OFFSET(BK$109, $CC425, 0, 10, 1)%)^(1/10)-1))</f>
        <v/>
      </c>
      <c r="BL425" s="340" t="str">
        <f t="array" aca="1" ref="BL425" ca="1">IF(BL$406="", "", IF(ISERROR(PRODUCT(1+OFFSET(BL$109, $CC425, 0, 10, 1)%)), "", PRODUCT(1+OFFSET(BL$109, $CC425, 0, 10, 1)%)^(1/10)-1))</f>
        <v/>
      </c>
      <c r="BM425" s="340" t="str">
        <f t="array" aca="1" ref="BM425" ca="1">IF(BM$406="", "", IF(ISERROR(PRODUCT(1+OFFSET(BM$109, $CC425, 0, 10, 1)%)), "", PRODUCT(1+OFFSET(BM$109, $CC425, 0, 10, 1)%)^(1/10)-1))</f>
        <v/>
      </c>
      <c r="BN425" s="340" t="str">
        <f t="array" aca="1" ref="BN425" ca="1">IF(BN$406="", "", IF(ISERROR(PRODUCT(1+OFFSET(BN$109, $CC425, 0, 10, 1)%)), "", PRODUCT(1+OFFSET(BN$109, $CC425, 0, 10, 1)%)^(1/10)-1))</f>
        <v/>
      </c>
      <c r="BO425" s="340" t="str">
        <f t="array" aca="1" ref="BO425" ca="1">IF(BO$406="", "", IF(ISERROR(PRODUCT(1+OFFSET(BO$109, $CC425, 0, 10, 1)%)), "", PRODUCT(1+OFFSET(BO$109, $CC425, 0, 10, 1)%)^(1/10)-1))</f>
        <v/>
      </c>
      <c r="BP425" s="340" t="str">
        <f t="array" aca="1" ref="BP425" ca="1">IF(BP$406="", "", IF(ISERROR(PRODUCT(1+OFFSET(BP$109, $CC425, 0, 10, 1)%)), "", PRODUCT(1+OFFSET(BP$109, $CC425, 0, 10, 1)%)^(1/10)-1))</f>
        <v/>
      </c>
      <c r="BQ425" s="340" t="str">
        <f t="array" aca="1" ref="BQ425" ca="1">IF(BQ$406="", "", IF(ISERROR(PRODUCT(1+OFFSET(BQ$109, $CC425, 0, 10, 1)%)), "", PRODUCT(1+OFFSET(BQ$109, $CC425, 0, 10, 1)%)^(1/10)-1))</f>
        <v/>
      </c>
      <c r="BR425" s="340" t="str">
        <f t="array" aca="1" ref="BR425" ca="1">IF(BR$406="", "", IF(ISERROR(PRODUCT(1+OFFSET(BR$109, $CC425, 0, 10, 1)%)), "", PRODUCT(1+OFFSET(BR$109, $CC425, 0, 10, 1)%)^(1/10)-1))</f>
        <v/>
      </c>
      <c r="BS425" s="340" t="str">
        <f t="array" aca="1" ref="BS425" ca="1">IF(BS$406="", "", IF(ISERROR(PRODUCT(1+OFFSET(BS$109, $CC425, 0, 10, 1)%)), "", PRODUCT(1+OFFSET(BS$109, $CC425, 0, 10, 1)%)^(1/10)-1))</f>
        <v/>
      </c>
      <c r="BT425" s="340" t="str">
        <f t="array" aca="1" ref="BT425" ca="1">IF(BT$406="", "", IF(ISERROR(PRODUCT(1+OFFSET(BT$109, $CC425, 0, 10, 1)%)), "", PRODUCT(1+OFFSET(BT$109, $CC425, 0, 10, 1)%)^(1/10)-1))</f>
        <v/>
      </c>
      <c r="BU425" s="340" t="str">
        <f t="array" aca="1" ref="BU425" ca="1">IF(BU$406="", "", IF(ISERROR(PRODUCT(1+OFFSET(BU$109, $CC425, 0, 10, 1)%)), "", PRODUCT(1+OFFSET(BU$109, $CC425, 0, 10, 1)%)^(1/10)-1))</f>
        <v/>
      </c>
      <c r="BV425" s="340" t="str">
        <f t="array" aca="1" ref="BV425" ca="1">IF(BV$406="", "", IF(ISERROR(PRODUCT(1+OFFSET(BV$109, $CC425, 0, 10, 1)%)), "", PRODUCT(1+OFFSET(BV$109, $CC425, 0, 10, 1)%)^(1/10)-1))</f>
        <v/>
      </c>
      <c r="BW425" s="340" t="str">
        <f t="array" aca="1" ref="BW425" ca="1">IF(BW$406="", "", IF(ISERROR(PRODUCT(1+OFFSET(BW$109, $CC425, 0, 10, 1)%)), "", PRODUCT(1+OFFSET(BW$109, $CC425, 0, 10, 1)%)^(1/10)-1))</f>
        <v/>
      </c>
      <c r="BX425" s="340">
        <f t="array" aca="1" ref="BX425" ca="1">IF(BX$406="", "", IF(ISERROR(PRODUCT(1+OFFSET(BX$109, $CC425, 0, 10, 1)%)), "", PRODUCT(1+OFFSET(BX$109, $CC425, 0, 10, 1)%)^(1/10)-1))</f>
        <v>0.12728101680342085</v>
      </c>
      <c r="BY425" s="340">
        <f t="array" aca="1" ref="BY425" ca="1">IF(BY$406="", "", IF(ISERROR(PRODUCT(1+OFFSET(BY$109, $CC425, 0, 10, 1)%)), "", PRODUCT(1+OFFSET(BY$109, $CC425, 0, 10, 1)%)^(1/10)-1))</f>
        <v>7.0869893839715203E-2</v>
      </c>
      <c r="BZ425" s="340">
        <f t="array" aca="1" ref="BZ425" ca="1">IF(BZ$406="", "", IF(ISERROR(PRODUCT(1+OFFSET(BZ$109, $CC425, 0, 10, 1)%)), "", PRODUCT(1+OFFSET(BZ$109, $CC425, 0, 10, 1)%)^(1/10)-1))</f>
        <v>4.9566484480160433E-2</v>
      </c>
      <c r="CA425" s="532">
        <f t="array" aca="1" ref="CA425" ca="1">IF(CA$406="", "", IF(ISERROR(PRODUCT(1+OFFSET(CA$109, $CC425, 0, 10, 1)%)), "", PRODUCT(1+OFFSET(CA$109, $CC425, 0, 10, 1)%)^(1/10)-1))</f>
        <v>2.5102348143310138E-2</v>
      </c>
      <c r="CC425" s="482">
        <f>10*(ROW()-ROW($A$422)-1)</f>
        <v>20</v>
      </c>
    </row>
    <row r="426" spans="1:81" ht="14">
      <c r="A426" s="338" t="str">
        <f>CONCATENATE(A$422+10*(ROW()-ROW(A$422)-1), "-", A$422+10*(ROW()-ROW(A$422))-1)</f>
        <v>2002-2011</v>
      </c>
      <c r="B426" s="339">
        <f t="array" aca="1" ref="B426" ca="1">IF(B$406="", "", IF(ISERROR(PRODUCT(1+OFFSET(B$109, $CC426, 0, 10, 1)%)), "", PRODUCT(1+OFFSET(B$109, $CC426, 0, 10, 1)%)^(1/10)-1))</f>
        <v>3.7498300006642227E-2</v>
      </c>
      <c r="C426" s="340">
        <f t="array" aca="1" ref="C426" ca="1">IF(C$406="", "", IF(ISERROR(PRODUCT(1+OFFSET(C$109, $CC426, 0, 10, 1)%)), "", PRODUCT(1+OFFSET(C$109, $CC426, 0, 10, 1)%)^(1/10)-1))</f>
        <v>3.3873879369962445E-2</v>
      </c>
      <c r="D426" s="340">
        <f t="array" aca="1" ref="D426" ca="1">IF(D$406="", "", IF(ISERROR(PRODUCT(1+OFFSET(D$109, $CC426, 0, 10, 1)%)), "", PRODUCT(1+OFFSET(D$109, $CC426, 0, 10, 1)%)^(1/10)-1))</f>
        <v>2.8181957939443558E-2</v>
      </c>
      <c r="E426" s="340">
        <f t="array" aca="1" ref="E426" ca="1">IF(E$406="", "", IF(ISERROR(PRODUCT(1+OFFSET(E$109, $CC426, 0, 10, 1)%)), "", PRODUCT(1+OFFSET(E$109, $CC426, 0, 10, 1)%)^(1/10)-1))</f>
        <v>2.8809355508393253E-2</v>
      </c>
      <c r="F426" s="340">
        <f t="array" aca="1" ref="F426" ca="1">IF(F$406="", "", IF(ISERROR(PRODUCT(1+OFFSET(F$109, $CC426, 0, 10, 1)%)), "", PRODUCT(1+OFFSET(F$109, $CC426, 0, 10, 1)%)^(1/10)-1))</f>
        <v>6.6017398844708586E-2</v>
      </c>
      <c r="G426" s="340">
        <f t="array" aca="1" ref="G426" ca="1">IF(G$406="", "", IF(ISERROR(PRODUCT(1+OFFSET(G$109, $CC426, 0, 10, 1)%)), "", PRODUCT(1+OFFSET(G$109, $CC426, 0, 10, 1)%)^(1/10)-1))</f>
        <v>6.1187468558678848E-2</v>
      </c>
      <c r="H426" s="340">
        <f t="array" aca="1" ref="H426" ca="1">IF(H$406="", "", IF(ISERROR(PRODUCT(1+OFFSET(H$109, $CC426, 0, 10, 1)%)), "", PRODUCT(1+OFFSET(H$109, $CC426, 0, 10, 1)%)^(1/10)-1))</f>
        <v>6.5997695579846027E-2</v>
      </c>
      <c r="I426" s="340">
        <f t="array" aca="1" ref="I426" ca="1">IF(I$406="", "", IF(ISERROR(PRODUCT(1+OFFSET(I$109, $CC426, 0, 10, 1)%)), "", PRODUCT(1+OFFSET(I$109, $CC426, 0, 10, 1)%)^(1/10)-1))</f>
        <v>7.4282204142921859E-2</v>
      </c>
      <c r="J426" s="340">
        <f t="array" aca="1" ref="J426" ca="1">IF(J$406="", "", IF(ISERROR(PRODUCT(1+OFFSET(J$109, $CC426, 0, 10, 1)%)), "", PRODUCT(1+OFFSET(J$109, $CC426, 0, 10, 1)%)^(1/10)-1))</f>
        <v>8.0845978985194078E-2</v>
      </c>
      <c r="K426" s="340">
        <f t="array" aca="1" ref="K426" ca="1">IF(K$406="", "", IF(ISERROR(PRODUCT(1+OFFSET(K$109, $CC426, 0, 10, 1)%)), "", PRODUCT(1+OFFSET(K$109, $CC426, 0, 10, 1)%)^(1/10)-1))</f>
        <v>0.10184307541257409</v>
      </c>
      <c r="L426" s="340">
        <f t="array" aca="1" ref="L426" ca="1">IF(L$406="", "", IF(ISERROR(PRODUCT(1+OFFSET(L$109, $CC426, 0, 10, 1)%)), "", PRODUCT(1+OFFSET(L$109, $CC426, 0, 10, 1)%)^(1/10)-1))</f>
        <v>4.8264216275123228E-2</v>
      </c>
      <c r="M426" s="340">
        <f t="array" aca="1" ref="M426" ca="1">IF(M$406="", "", IF(ISERROR(PRODUCT(1+OFFSET(M$109, $CC426, 0, 10, 1)%)), "", PRODUCT(1+OFFSET(M$109, $CC426, 0, 10, 1)%)^(1/10)-1))</f>
        <v>0.1329630410985676</v>
      </c>
      <c r="N426" s="340">
        <f t="array" aca="1" ref="N426" ca="1">IF(N$406="", "", IF(ISERROR(PRODUCT(1+OFFSET(N$109, $CC426, 0, 10, 1)%)), "", PRODUCT(1+OFFSET(N$109, $CC426, 0, 10, 1)%)^(1/10)-1))</f>
        <v>5.8572107180988597E-2</v>
      </c>
      <c r="O426" s="340">
        <f t="array" aca="1" ref="O426" ca="1">IF(O$406="", "", IF(ISERROR(PRODUCT(1+OFFSET(O$109, $CC426, 0, 10, 1)%)), "", PRODUCT(1+OFFSET(O$109, $CC426, 0, 10, 1)%)^(1/10)-1))</f>
        <v>5.4445928524308407E-2</v>
      </c>
      <c r="P426" s="340">
        <f t="array" aca="1" ref="P426" ca="1">IF(P$406="", "", IF(ISERROR(PRODUCT(1+OFFSET(P$109, $CC426, 0, 10, 1)%)), "", PRODUCT(1+OFFSET(P$109, $CC426, 0, 10, 1)%)^(1/10)-1))</f>
        <v>4.4329314057856006E-2</v>
      </c>
      <c r="Q426" s="340">
        <f t="array" aca="1" ref="Q426" ca="1">IF(Q$406="", "", IF(ISERROR(PRODUCT(1+OFFSET(Q$109, $CC426, 0, 10, 1)%)), "", PRODUCT(1+OFFSET(Q$109, $CC426, 0, 10, 1)%)^(1/10)-1))</f>
        <v>5.93999890171657E-2</v>
      </c>
      <c r="R426" s="340">
        <f t="array" aca="1" ref="R426" ca="1">IF(R$406="", "", IF(ISERROR(PRODUCT(1+OFFSET(R$109, $CC426, 0, 10, 1)%)), "", PRODUCT(1+OFFSET(R$109, $CC426, 0, 10, 1)%)^(1/10)-1))</f>
        <v>0.10772643437085372</v>
      </c>
      <c r="S426" s="340">
        <f t="array" aca="1" ref="S426" ca="1">IF(S$406="", "", IF(ISERROR(PRODUCT(1+OFFSET(S$109, $CC426, 0, 10, 1)%)), "", PRODUCT(1+OFFSET(S$109, $CC426, 0, 10, 1)%)^(1/10)-1))</f>
        <v>8.7203562735289175E-2</v>
      </c>
      <c r="T426" s="340">
        <f t="array" aca="1" ref="T426" ca="1">IF(T$406="", "", IF(ISERROR(PRODUCT(1+OFFSET(T$109, $CC426, 0, 10, 1)%)), "", PRODUCT(1+OFFSET(T$109, $CC426, 0, 10, 1)%)^(1/10)-1))</f>
        <v>6.2962438412434985E-2</v>
      </c>
      <c r="U426" s="340">
        <f t="array" aca="1" ref="U426" ca="1">IF(U$406="", "", IF(ISERROR(PRODUCT(1+OFFSET(U$109, $CC426, 0, 10, 1)%)), "", PRODUCT(1+OFFSET(U$109, $CC426, 0, 10, 1)%)^(1/10)-1))</f>
        <v>5.4876901359087737E-2</v>
      </c>
      <c r="V426" s="340">
        <f t="array" aca="1" ref="V426" ca="1">IF(V$406="", "", IF(ISERROR(PRODUCT(1+OFFSET(V$109, $CC426, 0, 10, 1)%)), "", PRODUCT(1+OFFSET(V$109, $CC426, 0, 10, 1)%)^(1/10)-1))</f>
        <v>1.7701676705888403E-2</v>
      </c>
      <c r="W426" s="340">
        <f t="array" aca="1" ref="W426" ca="1">IF(W$406="", "", IF(ISERROR(PRODUCT(1+OFFSET(W$109, $CC426, 0, 10, 1)%)), "", PRODUCT(1+OFFSET(W$109, $CC426, 0, 10, 1)%)^(1/10)-1))</f>
        <v>7.3308503376710688E-2</v>
      </c>
      <c r="X426" s="340">
        <f t="array" aca="1" ref="X426" ca="1">IF(X$406="", "", IF(ISERROR(PRODUCT(1+OFFSET(X$109, $CC426, 0, 10, 1)%)), "", PRODUCT(1+OFFSET(X$109, $CC426, 0, 10, 1)%)^(1/10)-1))</f>
        <v>6.1655771218445121E-2</v>
      </c>
      <c r="Y426" s="340">
        <f t="array" aca="1" ref="Y426" ca="1">IF(Y$406="", "", IF(ISERROR(PRODUCT(1+OFFSET(Y$109, $CC426, 0, 10, 1)%)), "", PRODUCT(1+OFFSET(Y$109, $CC426, 0, 10, 1)%)^(1/10)-1))</f>
        <v>6.6557641787226451E-2</v>
      </c>
      <c r="Z426" s="340">
        <f t="array" aca="1" ref="Z426" ca="1">IF(Z$406="", "", IF(ISERROR(PRODUCT(1+OFFSET(Z$109, $CC426, 0, 10, 1)%)), "", PRODUCT(1+OFFSET(Z$109, $CC426, 0, 10, 1)%)^(1/10)-1))</f>
        <v>2.4973264380133697E-2</v>
      </c>
      <c r="AA426" s="340">
        <f t="array" aca="1" ref="AA426" ca="1">IF(AA$406="", "", IF(ISERROR(PRODUCT(1+OFFSET(AA$109, $CC426, 0, 10, 1)%)), "", PRODUCT(1+OFFSET(AA$109, $CC426, 0, 10, 1)%)^(1/10)-1))</f>
        <v>3.7565951185302593E-2</v>
      </c>
      <c r="AB426" s="340">
        <f t="array" aca="1" ref="AB426" ca="1">IF(AB$406="", "", IF(ISERROR(PRODUCT(1+OFFSET(AB$109, $CC426, 0, 10, 1)%)), "", PRODUCT(1+OFFSET(AB$109, $CC426, 0, 10, 1)%)^(1/10)-1))</f>
        <v>0.18364179295703198</v>
      </c>
      <c r="AC426" s="340">
        <f t="array" aca="1" ref="AC426" ca="1">IF(AC$406="", "", IF(ISERROR(PRODUCT(1+OFFSET(AC$109, $CC426, 0, 10, 1)%)), "", PRODUCT(1+OFFSET(AC$109, $CC426, 0, 10, 1)%)^(1/10)-1))</f>
        <v>8.8814451935602223E-2</v>
      </c>
      <c r="AD426" s="340">
        <f t="array" aca="1" ref="AD426" ca="1">IF(AD$406="", "", IF(ISERROR(PRODUCT(1+OFFSET(AD$109, $CC426, 0, 10, 1)%)), "", PRODUCT(1+OFFSET(AD$109, $CC426, 0, 10, 1)%)^(1/10)-1))</f>
        <v>0.14266311061568304</v>
      </c>
      <c r="AE426" s="340">
        <f t="array" aca="1" ref="AE426" ca="1">IF(AE$406="", "", IF(ISERROR(PRODUCT(1+OFFSET(AE$109, $CC426, 0, 10, 1)%)), "", PRODUCT(1+OFFSET(AE$109, $CC426, 0, 10, 1)%)^(1/10)-1))</f>
        <v>6.7184852112090354E-2</v>
      </c>
      <c r="AF426" s="340">
        <f t="array" aca="1" ref="AF426" ca="1">IF(AF$406="", "", IF(ISERROR(PRODUCT(1+OFFSET(AF$109, $CC426, 0, 10, 1)%)), "", PRODUCT(1+OFFSET(AF$109, $CC426, 0, 10, 1)%)^(1/10)-1))</f>
        <v>0.17570119805507778</v>
      </c>
      <c r="AG426" s="340">
        <f t="array" aca="1" ref="AG426" ca="1">IF(AG$406="", "", IF(ISERROR(PRODUCT(1+OFFSET(AG$109, $CC426, 0, 10, 1)%)), "", PRODUCT(1+OFFSET(AG$109, $CC426, 0, 10, 1)%)^(1/10)-1))</f>
        <v>4.2228237298685967E-2</v>
      </c>
      <c r="AH426" s="340">
        <f t="array" aca="1" ref="AH426" ca="1">IF(AH$406="", "", IF(ISERROR(PRODUCT(1+OFFSET(AH$109, $CC426, 0, 10, 1)%)), "", PRODUCT(1+OFFSET(AH$109, $CC426, 0, 10, 1)%)^(1/10)-1))</f>
        <v>2.4647346450578311E-2</v>
      </c>
      <c r="AI426" s="340">
        <f t="array" aca="1" ref="AI426" ca="1">IF(AI$406="", "", IF(ISERROR(PRODUCT(1+OFFSET(AI$109, $CC426, 0, 10, 1)%)), "", PRODUCT(1+OFFSET(AI$109, $CC426, 0, 10, 1)%)^(1/10)-1))</f>
        <v>4.7033406150765567E-2</v>
      </c>
      <c r="AJ426" s="340">
        <f t="array" aca="1" ref="AJ426" ca="1">IF(AJ$406="", "", IF(ISERROR(PRODUCT(1+OFFSET(AJ$109, $CC426, 0, 10, 1)%)), "", PRODUCT(1+OFFSET(AJ$109, $CC426, 0, 10, 1)%)^(1/10)-1))</f>
        <v>5.0363338334947549E-2</v>
      </c>
      <c r="AK426" s="340">
        <f t="array" aca="1" ref="AK426" ca="1">IF(AK$406="", "", IF(ISERROR(PRODUCT(1+OFFSET(AK$109, $CC426, 0, 10, 1)%)), "", PRODUCT(1+OFFSET(AK$109, $CC426, 0, 10, 1)%)^(1/10)-1))</f>
        <v>5.2754202339434286E-2</v>
      </c>
      <c r="AL426" s="340">
        <f t="array" aca="1" ref="AL426" ca="1">IF(AL$406="", "", IF(ISERROR(PRODUCT(1+OFFSET(AL$109, $CC426, 0, 10, 1)%)), "", PRODUCT(1+OFFSET(AL$109, $CC426, 0, 10, 1)%)^(1/10)-1))</f>
        <v>5.2673718177804751E-2</v>
      </c>
      <c r="AM426" s="340">
        <f t="array" aca="1" ref="AM426" ca="1">IF(AM$406="", "", IF(ISERROR(PRODUCT(1+OFFSET(AM$109, $CC426, 0, 10, 1)%)), "", PRODUCT(1+OFFSET(AM$109, $CC426, 0, 10, 1)%)^(1/10)-1))</f>
        <v>7.6870645259800696E-2</v>
      </c>
      <c r="AN426" s="340">
        <f t="array" aca="1" ref="AN426" ca="1">IF(AN$406="", "", IF(ISERROR(PRODUCT(1+OFFSET(AN$109, $CC426, 0, 10, 1)%)), "", PRODUCT(1+OFFSET(AN$109, $CC426, 0, 10, 1)%)^(1/10)-1))</f>
        <v>6.5954919368219844E-2</v>
      </c>
      <c r="AO426" s="340">
        <f t="array" aca="1" ref="AO426" ca="1">IF(AO$406="", "", IF(ISERROR(PRODUCT(1+OFFSET(AO$109, $CC426, 0, 10, 1)%)), "", PRODUCT(1+OFFSET(AO$109, $CC426, 0, 10, 1)%)^(1/10)-1))</f>
        <v>9.0008348063257415E-2</v>
      </c>
      <c r="AP426" s="340">
        <f t="array" aca="1" ref="AP426" ca="1">IF(AP$406="", "", IF(ISERROR(PRODUCT(1+OFFSET(AP$109, $CC426, 0, 10, 1)%)), "", PRODUCT(1+OFFSET(AP$109, $CC426, 0, 10, 1)%)^(1/10)-1))</f>
        <v>4.0076720774327557E-2</v>
      </c>
      <c r="AQ426" s="340" t="str">
        <f t="array" aca="1" ref="AQ426" ca="1">IF(AQ$406="", "", IF(ISERROR(PRODUCT(1+OFFSET(AQ$109, $CC426, 0, 10, 1)%)), "", PRODUCT(1+OFFSET(AQ$109, $CC426, 0, 10, 1)%)^(1/10)-1))</f>
        <v/>
      </c>
      <c r="AR426" s="340" t="str">
        <f t="array" aca="1" ref="AR426" ca="1">IF(AR$406="", "", IF(ISERROR(PRODUCT(1+OFFSET(AR$109, $CC426, 0, 10, 1)%)), "", PRODUCT(1+OFFSET(AR$109, $CC426, 0, 10, 1)%)^(1/10)-1))</f>
        <v/>
      </c>
      <c r="AS426" s="340" t="str">
        <f t="array" aca="1" ref="AS426" ca="1">IF(AS$406="", "", IF(ISERROR(PRODUCT(1+OFFSET(AS$109, $CC426, 0, 10, 1)%)), "", PRODUCT(1+OFFSET(AS$109, $CC426, 0, 10, 1)%)^(1/10)-1))</f>
        <v/>
      </c>
      <c r="AT426" s="340" t="str">
        <f t="array" aca="1" ref="AT426" ca="1">IF(AT$406="", "", IF(ISERROR(PRODUCT(1+OFFSET(AT$109, $CC426, 0, 10, 1)%)), "", PRODUCT(1+OFFSET(AT$109, $CC426, 0, 10, 1)%)^(1/10)-1))</f>
        <v/>
      </c>
      <c r="AU426" s="340" t="str">
        <f t="array" aca="1" ref="AU426" ca="1">IF(AU$406="", "", IF(ISERROR(PRODUCT(1+OFFSET(AU$109, $CC426, 0, 10, 1)%)), "", PRODUCT(1+OFFSET(AU$109, $CC426, 0, 10, 1)%)^(1/10)-1))</f>
        <v/>
      </c>
      <c r="AV426" s="340" t="str">
        <f t="array" aca="1" ref="AV426" ca="1">IF(AV$406="", "", IF(ISERROR(PRODUCT(1+OFFSET(AV$109, $CC426, 0, 10, 1)%)), "", PRODUCT(1+OFFSET(AV$109, $CC426, 0, 10, 1)%)^(1/10)-1))</f>
        <v/>
      </c>
      <c r="AW426" s="340" t="str">
        <f t="array" aca="1" ref="AW426" ca="1">IF(AW$406="", "", IF(ISERROR(PRODUCT(1+OFFSET(AW$109, $CC426, 0, 10, 1)%)), "", PRODUCT(1+OFFSET(AW$109, $CC426, 0, 10, 1)%)^(1/10)-1))</f>
        <v/>
      </c>
      <c r="AX426" s="340" t="str">
        <f t="array" aca="1" ref="AX426" ca="1">IF(AX$406="", "", IF(ISERROR(PRODUCT(1+OFFSET(AX$109, $CC426, 0, 10, 1)%)), "", PRODUCT(1+OFFSET(AX$109, $CC426, 0, 10, 1)%)^(1/10)-1))</f>
        <v/>
      </c>
      <c r="AY426" s="340" t="str">
        <f t="array" aca="1" ref="AY426" ca="1">IF(AY$406="", "", IF(ISERROR(PRODUCT(1+OFFSET(AY$109, $CC426, 0, 10, 1)%)), "", PRODUCT(1+OFFSET(AY$109, $CC426, 0, 10, 1)%)^(1/10)-1))</f>
        <v/>
      </c>
      <c r="AZ426" s="340" t="str">
        <f t="array" aca="1" ref="AZ426" ca="1">IF(AZ$406="", "", IF(ISERROR(PRODUCT(1+OFFSET(AZ$109, $CC426, 0, 10, 1)%)), "", PRODUCT(1+OFFSET(AZ$109, $CC426, 0, 10, 1)%)^(1/10)-1))</f>
        <v/>
      </c>
      <c r="BA426" s="340" t="str">
        <f t="array" aca="1" ref="BA426" ca="1">IF(BA$406="", "", IF(ISERROR(PRODUCT(1+OFFSET(BA$109, $CC426, 0, 10, 1)%)), "", PRODUCT(1+OFFSET(BA$109, $CC426, 0, 10, 1)%)^(1/10)-1))</f>
        <v/>
      </c>
      <c r="BB426" s="340" t="str">
        <f t="array" aca="1" ref="BB426" ca="1">IF(BB$406="", "", IF(ISERROR(PRODUCT(1+OFFSET(BB$109, $CC426, 0, 10, 1)%)), "", PRODUCT(1+OFFSET(BB$109, $CC426, 0, 10, 1)%)^(1/10)-1))</f>
        <v/>
      </c>
      <c r="BC426" s="340" t="str">
        <f t="array" aca="1" ref="BC426" ca="1">IF(BC$406="", "", IF(ISERROR(PRODUCT(1+OFFSET(BC$109, $CC426, 0, 10, 1)%)), "", PRODUCT(1+OFFSET(BC$109, $CC426, 0, 10, 1)%)^(1/10)-1))</f>
        <v/>
      </c>
      <c r="BD426" s="340" t="str">
        <f t="array" aca="1" ref="BD426" ca="1">IF(BD$406="", "", IF(ISERROR(PRODUCT(1+OFFSET(BD$109, $CC426, 0, 10, 1)%)), "", PRODUCT(1+OFFSET(BD$109, $CC426, 0, 10, 1)%)^(1/10)-1))</f>
        <v/>
      </c>
      <c r="BE426" s="340" t="str">
        <f t="array" aca="1" ref="BE426" ca="1">IF(BE$406="", "", IF(ISERROR(PRODUCT(1+OFFSET(BE$109, $CC426, 0, 10, 1)%)), "", PRODUCT(1+OFFSET(BE$109, $CC426, 0, 10, 1)%)^(1/10)-1))</f>
        <v/>
      </c>
      <c r="BF426" s="340" t="str">
        <f t="array" aca="1" ref="BF426" ca="1">IF(BF$406="", "", IF(ISERROR(PRODUCT(1+OFFSET(BF$109, $CC426, 0, 10, 1)%)), "", PRODUCT(1+OFFSET(BF$109, $CC426, 0, 10, 1)%)^(1/10)-1))</f>
        <v/>
      </c>
      <c r="BG426" s="340" t="str">
        <f t="array" aca="1" ref="BG426" ca="1">IF(BG$406="", "", IF(ISERROR(PRODUCT(1+OFFSET(BG$109, $CC426, 0, 10, 1)%)), "", PRODUCT(1+OFFSET(BG$109, $CC426, 0, 10, 1)%)^(1/10)-1))</f>
        <v/>
      </c>
      <c r="BH426" s="340" t="str">
        <f t="array" aca="1" ref="BH426" ca="1">IF(BH$406="", "", IF(ISERROR(PRODUCT(1+OFFSET(BH$109, $CC426, 0, 10, 1)%)), "", PRODUCT(1+OFFSET(BH$109, $CC426, 0, 10, 1)%)^(1/10)-1))</f>
        <v/>
      </c>
      <c r="BI426" s="340" t="str">
        <f t="array" aca="1" ref="BI426" ca="1">IF(BI$406="", "", IF(ISERROR(PRODUCT(1+OFFSET(BI$109, $CC426, 0, 10, 1)%)), "", PRODUCT(1+OFFSET(BI$109, $CC426, 0, 10, 1)%)^(1/10)-1))</f>
        <v/>
      </c>
      <c r="BJ426" s="340" t="str">
        <f t="array" aca="1" ref="BJ426" ca="1">IF(BJ$406="", "", IF(ISERROR(PRODUCT(1+OFFSET(BJ$109, $CC426, 0, 10, 1)%)), "", PRODUCT(1+OFFSET(BJ$109, $CC426, 0, 10, 1)%)^(1/10)-1))</f>
        <v/>
      </c>
      <c r="BK426" s="340" t="str">
        <f t="array" aca="1" ref="BK426" ca="1">IF(BK$406="", "", IF(ISERROR(PRODUCT(1+OFFSET(BK$109, $CC426, 0, 10, 1)%)), "", PRODUCT(1+OFFSET(BK$109, $CC426, 0, 10, 1)%)^(1/10)-1))</f>
        <v/>
      </c>
      <c r="BL426" s="340" t="str">
        <f t="array" aca="1" ref="BL426" ca="1">IF(BL$406="", "", IF(ISERROR(PRODUCT(1+OFFSET(BL$109, $CC426, 0, 10, 1)%)), "", PRODUCT(1+OFFSET(BL$109, $CC426, 0, 10, 1)%)^(1/10)-1))</f>
        <v/>
      </c>
      <c r="BM426" s="340" t="str">
        <f t="array" aca="1" ref="BM426" ca="1">IF(BM$406="", "", IF(ISERROR(PRODUCT(1+OFFSET(BM$109, $CC426, 0, 10, 1)%)), "", PRODUCT(1+OFFSET(BM$109, $CC426, 0, 10, 1)%)^(1/10)-1))</f>
        <v/>
      </c>
      <c r="BN426" s="340" t="str">
        <f t="array" aca="1" ref="BN426" ca="1">IF(BN$406="", "", IF(ISERROR(PRODUCT(1+OFFSET(BN$109, $CC426, 0, 10, 1)%)), "", PRODUCT(1+OFFSET(BN$109, $CC426, 0, 10, 1)%)^(1/10)-1))</f>
        <v/>
      </c>
      <c r="BO426" s="340" t="str">
        <f t="array" aca="1" ref="BO426" ca="1">IF(BO$406="", "", IF(ISERROR(PRODUCT(1+OFFSET(BO$109, $CC426, 0, 10, 1)%)), "", PRODUCT(1+OFFSET(BO$109, $CC426, 0, 10, 1)%)^(1/10)-1))</f>
        <v/>
      </c>
      <c r="BP426" s="340" t="str">
        <f t="array" aca="1" ref="BP426" ca="1">IF(BP$406="", "", IF(ISERROR(PRODUCT(1+OFFSET(BP$109, $CC426, 0, 10, 1)%)), "", PRODUCT(1+OFFSET(BP$109, $CC426, 0, 10, 1)%)^(1/10)-1))</f>
        <v/>
      </c>
      <c r="BQ426" s="340" t="str">
        <f t="array" aca="1" ref="BQ426" ca="1">IF(BQ$406="", "", IF(ISERROR(PRODUCT(1+OFFSET(BQ$109, $CC426, 0, 10, 1)%)), "", PRODUCT(1+OFFSET(BQ$109, $CC426, 0, 10, 1)%)^(1/10)-1))</f>
        <v/>
      </c>
      <c r="BR426" s="340" t="str">
        <f t="array" aca="1" ref="BR426" ca="1">IF(BR$406="", "", IF(ISERROR(PRODUCT(1+OFFSET(BR$109, $CC426, 0, 10, 1)%)), "", PRODUCT(1+OFFSET(BR$109, $CC426, 0, 10, 1)%)^(1/10)-1))</f>
        <v/>
      </c>
      <c r="BS426" s="340" t="str">
        <f t="array" aca="1" ref="BS426" ca="1">IF(BS$406="", "", IF(ISERROR(PRODUCT(1+OFFSET(BS$109, $CC426, 0, 10, 1)%)), "", PRODUCT(1+OFFSET(BS$109, $CC426, 0, 10, 1)%)^(1/10)-1))</f>
        <v/>
      </c>
      <c r="BT426" s="340" t="str">
        <f t="array" aca="1" ref="BT426" ca="1">IF(BT$406="", "", IF(ISERROR(PRODUCT(1+OFFSET(BT$109, $CC426, 0, 10, 1)%)), "", PRODUCT(1+OFFSET(BT$109, $CC426, 0, 10, 1)%)^(1/10)-1))</f>
        <v/>
      </c>
      <c r="BU426" s="340" t="str">
        <f t="array" aca="1" ref="BU426" ca="1">IF(BU$406="", "", IF(ISERROR(PRODUCT(1+OFFSET(BU$109, $CC426, 0, 10, 1)%)), "", PRODUCT(1+OFFSET(BU$109, $CC426, 0, 10, 1)%)^(1/10)-1))</f>
        <v/>
      </c>
      <c r="BV426" s="340" t="str">
        <f t="array" aca="1" ref="BV426" ca="1">IF(BV$406="", "", IF(ISERROR(PRODUCT(1+OFFSET(BV$109, $CC426, 0, 10, 1)%)), "", PRODUCT(1+OFFSET(BV$109, $CC426, 0, 10, 1)%)^(1/10)-1))</f>
        <v/>
      </c>
      <c r="BW426" s="340" t="str">
        <f t="array" aca="1" ref="BW426" ca="1">IF(BW$406="", "", IF(ISERROR(PRODUCT(1+OFFSET(BW$109, $CC426, 0, 10, 1)%)), "", PRODUCT(1+OFFSET(BW$109, $CC426, 0, 10, 1)%)^(1/10)-1))</f>
        <v/>
      </c>
      <c r="BX426" s="340">
        <f t="array" aca="1" ref="BX426" ca="1">IF(BX$406="", "", IF(ISERROR(PRODUCT(1+OFFSET(BX$109, $CC426, 0, 10, 1)%)), "", PRODUCT(1+OFFSET(BX$109, $CC426, 0, 10, 1)%)^(1/10)-1))</f>
        <v>3.3044383603166194E-2</v>
      </c>
      <c r="BY426" s="340">
        <f t="array" aca="1" ref="BY426" ca="1">IF(BY$406="", "", IF(ISERROR(PRODUCT(1+OFFSET(BY$109, $CC426, 0, 10, 1)%)), "", PRODUCT(1+OFFSET(BY$109, $CC426, 0, 10, 1)%)^(1/10)-1))</f>
        <v>5.7175339544978332E-2</v>
      </c>
      <c r="BZ426" s="340">
        <f t="array" aca="1" ref="BZ426" ca="1">IF(BZ$406="", "", IF(ISERROR(PRODUCT(1+OFFSET(BZ$109, $CC426, 0, 10, 1)%)), "", PRODUCT(1+OFFSET(BZ$109, $CC426, 0, 10, 1)%)^(1/10)-1))</f>
        <v>2.0774895934529747E-2</v>
      </c>
      <c r="CA426" s="532">
        <f t="array" aca="1" ref="CA426" ca="1">IF(CA$406="", "", IF(ISERROR(PRODUCT(1+OFFSET(CA$109, $CC426, 0, 10, 1)%)), "", PRODUCT(1+OFFSET(CA$109, $CC426, 0, 10, 1)%)^(1/10)-1))</f>
        <v>2.4764596058240329E-2</v>
      </c>
      <c r="CC426" s="482">
        <f>10*(ROW()-ROW($A$422)-1)</f>
        <v>30</v>
      </c>
    </row>
    <row r="427" spans="1:81" ht="14">
      <c r="A427" s="338"/>
      <c r="B427" s="339"/>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c r="AA427" s="340"/>
      <c r="AB427" s="340"/>
      <c r="AC427" s="340"/>
      <c r="AD427" s="340"/>
      <c r="AE427" s="340"/>
      <c r="AF427" s="340"/>
      <c r="AG427" s="340"/>
      <c r="AH427" s="340"/>
      <c r="AI427" s="340"/>
      <c r="AJ427" s="340"/>
      <c r="AK427" s="340"/>
      <c r="AL427" s="340"/>
      <c r="AM427" s="340"/>
      <c r="AN427" s="340"/>
      <c r="AO427" s="340"/>
      <c r="AP427" s="340"/>
      <c r="AQ427" s="340"/>
      <c r="AR427" s="340"/>
      <c r="AS427" s="340"/>
      <c r="AT427" s="340"/>
      <c r="AU427" s="340"/>
      <c r="AV427" s="340"/>
      <c r="AW427" s="340"/>
      <c r="AX427" s="340"/>
      <c r="AY427" s="340"/>
      <c r="AZ427" s="340"/>
      <c r="BA427" s="340"/>
      <c r="BB427" s="340"/>
      <c r="BC427" s="340"/>
      <c r="BD427" s="340"/>
      <c r="BE427" s="340"/>
      <c r="BF427" s="340"/>
      <c r="BG427" s="340"/>
      <c r="BH427" s="340"/>
      <c r="BI427" s="340"/>
      <c r="BJ427" s="340"/>
      <c r="BK427" s="340"/>
      <c r="BL427" s="340"/>
      <c r="BM427" s="340"/>
      <c r="BN427" s="340"/>
      <c r="BO427" s="340"/>
      <c r="BP427" s="340"/>
      <c r="BQ427" s="340"/>
      <c r="BR427" s="340"/>
      <c r="BS427" s="340"/>
      <c r="BT427" s="340"/>
      <c r="BU427" s="340"/>
      <c r="BV427" s="340"/>
      <c r="BW427" s="340"/>
      <c r="BX427" s="340"/>
      <c r="BY427" s="340"/>
      <c r="BZ427" s="340"/>
      <c r="CA427" s="532"/>
    </row>
    <row r="428" spans="1:81">
      <c r="A428" s="481">
        <v>1972</v>
      </c>
      <c r="B428" s="339"/>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c r="AA428" s="340"/>
      <c r="AB428" s="340"/>
      <c r="AC428" s="340"/>
      <c r="AD428" s="340"/>
      <c r="AE428" s="340"/>
      <c r="AF428" s="340"/>
      <c r="AG428" s="340"/>
      <c r="AH428" s="340"/>
      <c r="AI428" s="340"/>
      <c r="AJ428" s="340"/>
      <c r="AK428" s="340"/>
      <c r="AL428" s="340"/>
      <c r="AM428" s="340"/>
      <c r="AN428" s="340"/>
      <c r="AO428" s="340"/>
      <c r="AP428" s="340"/>
      <c r="AQ428" s="340"/>
      <c r="AR428" s="340"/>
      <c r="AS428" s="340"/>
      <c r="AT428" s="340"/>
      <c r="AU428" s="340"/>
      <c r="AV428" s="340"/>
      <c r="AW428" s="340"/>
      <c r="AX428" s="340"/>
      <c r="AY428" s="340"/>
      <c r="AZ428" s="340"/>
      <c r="BA428" s="340"/>
      <c r="BB428" s="340"/>
      <c r="BC428" s="340"/>
      <c r="BD428" s="340"/>
      <c r="BE428" s="340"/>
      <c r="BF428" s="340"/>
      <c r="BG428" s="340"/>
      <c r="BH428" s="340"/>
      <c r="BI428" s="340"/>
      <c r="BJ428" s="340"/>
      <c r="BK428" s="340"/>
      <c r="BL428" s="340"/>
      <c r="BM428" s="340"/>
      <c r="BN428" s="340"/>
      <c r="BO428" s="340"/>
      <c r="BP428" s="340"/>
      <c r="BQ428" s="340"/>
      <c r="BR428" s="340"/>
      <c r="BS428" s="340"/>
      <c r="BT428" s="340"/>
      <c r="BU428" s="340"/>
      <c r="BV428" s="340"/>
      <c r="BW428" s="340"/>
      <c r="BX428" s="340"/>
      <c r="BY428" s="340"/>
      <c r="BZ428" s="340"/>
      <c r="CA428" s="532"/>
    </row>
    <row r="429" spans="1:81" ht="14">
      <c r="A429" s="338" t="str">
        <f>CONCATENATE(A$428+5*(ROW()-ROW(A$428)-1), "-", A$428+5*(ROW()-ROW(A$428))-1)</f>
        <v>1972-1976</v>
      </c>
      <c r="B429" s="339">
        <f t="array" aca="1" ref="B429" ca="1">IF(B$406="", "", IF(ISERROR(PRODUCT(1+OFFSET(B$109, $CC429, 0, 5, 1)%)), "", PRODUCT(1+OFFSET(B$109, $CC429, 0, 5, 1)%)^(1/5)-1))</f>
        <v>3.9630231413570582E-2</v>
      </c>
      <c r="C429" s="340">
        <f t="array" aca="1" ref="C429" ca="1">IF(C$406="", "", IF(ISERROR(PRODUCT(1+OFFSET(C$109, $CC429, 0, 5, 1)%)), "", PRODUCT(1+OFFSET(C$109, $CC429, 0, 5, 1)%)^(1/5)-1))</f>
        <v>0.14107321725433142</v>
      </c>
      <c r="D429" s="340">
        <f t="array" aca="1" ref="D429" ca="1">IF(D$406="", "", IF(ISERROR(PRODUCT(1+OFFSET(D$109, $CC429, 0, 5, 1)%)), "", PRODUCT(1+OFFSET(D$109, $CC429, 0, 5, 1)%)^(1/5)-1))</f>
        <v>4.6897291237821603E-2</v>
      </c>
      <c r="E429" s="340">
        <f t="array" aca="1" ref="E429" ca="1">IF(E$406="", "", IF(ISERROR(PRODUCT(1+OFFSET(E$109, $CC429, 0, 5, 1)%)), "", PRODUCT(1+OFFSET(E$109, $CC429, 0, 5, 1)%)^(1/5)-1))</f>
        <v>7.7348664885241725E-3</v>
      </c>
      <c r="F429" s="340">
        <f t="array" aca="1" ref="F429" ca="1">IF(F$406="", "", IF(ISERROR(PRODUCT(1+OFFSET(F$109, $CC429, 0, 5, 1)%)), "", PRODUCT(1+OFFSET(F$109, $CC429, 0, 5, 1)%)^(1/5)-1))</f>
        <v>5.5551371358094848E-2</v>
      </c>
      <c r="G429" s="340">
        <f t="array" aca="1" ref="G429" ca="1">IF(G$406="", "", IF(ISERROR(PRODUCT(1+OFFSET(G$109, $CC429, 0, 5, 1)%)), "", PRODUCT(1+OFFSET(G$109, $CC429, 0, 5, 1)%)^(1/5)-1))</f>
        <v>9.7670297306013953E-2</v>
      </c>
      <c r="H429" s="340">
        <f t="array" aca="1" ref="H429" ca="1">IF(H$406="", "", IF(ISERROR(PRODUCT(1+OFFSET(H$109, $CC429, 0, 5, 1)%)), "", PRODUCT(1+OFFSET(H$109, $CC429, 0, 5, 1)%)^(1/5)-1))</f>
        <v>4.1676095218410314E-2</v>
      </c>
      <c r="I429" s="340">
        <f t="array" aca="1" ref="I429" ca="1">IF(I$406="", "", IF(ISERROR(PRODUCT(1+OFFSET(I$109, $CC429, 0, 5, 1)%)), "", PRODUCT(1+OFFSET(I$109, $CC429, 0, 5, 1)%)^(1/5)-1))</f>
        <v>-3.9822000393988866E-2</v>
      </c>
      <c r="J429" s="340">
        <f t="array" aca="1" ref="J429" ca="1">IF(J$406="", "", IF(ISERROR(PRODUCT(1+OFFSET(J$109, $CC429, 0, 5, 1)%)), "", PRODUCT(1+OFFSET(J$109, $CC429, 0, 5, 1)%)^(1/5)-1))</f>
        <v>1.3268542980855225E-2</v>
      </c>
      <c r="K429" s="340">
        <f t="array" aca="1" ref="K429" ca="1">IF(K$406="", "", IF(ISERROR(PRODUCT(1+OFFSET(K$109, $CC429, 0, 5, 1)%)), "", PRODUCT(1+OFFSET(K$109, $CC429, 0, 5, 1)%)^(1/5)-1))</f>
        <v>4.5100997010065313E-2</v>
      </c>
      <c r="L429" s="340">
        <f t="array" aca="1" ref="L429" ca="1">IF(L$406="", "", IF(ISERROR(PRODUCT(1+OFFSET(L$109, $CC429, 0, 5, 1)%)), "", PRODUCT(1+OFFSET(L$109, $CC429, 0, 5, 1)%)^(1/5)-1))</f>
        <v>4.2401779002001261E-2</v>
      </c>
      <c r="M429" s="340">
        <f t="array" aca="1" ref="M429" ca="1">IF(M$406="", "", IF(ISERROR(PRODUCT(1+OFFSET(M$109, $CC429, 0, 5, 1)%)), "", PRODUCT(1+OFFSET(M$109, $CC429, 0, 5, 1)%)^(1/5)-1))</f>
        <v>8.039295673475233E-2</v>
      </c>
      <c r="N429" s="340">
        <f t="array" aca="1" ref="N429" ca="1">IF(N$406="", "", IF(ISERROR(PRODUCT(1+OFFSET(N$109, $CC429, 0, 5, 1)%)), "", PRODUCT(1+OFFSET(N$109, $CC429, 0, 5, 1)%)^(1/5)-1))</f>
        <v>4.7253931884900791E-2</v>
      </c>
      <c r="O429" s="340">
        <f t="array" aca="1" ref="O429" ca="1">IF(O$406="", "", IF(ISERROR(PRODUCT(1+OFFSET(O$109, $CC429, 0, 5, 1)%)), "", PRODUCT(1+OFFSET(O$109, $CC429, 0, 5, 1)%)^(1/5)-1))</f>
        <v>0.14565247921345303</v>
      </c>
      <c r="P429" s="340">
        <f t="array" aca="1" ref="P429" ca="1">IF(P$406="", "", IF(ISERROR(PRODUCT(1+OFFSET(P$109, $CC429, 0, 5, 1)%)), "", PRODUCT(1+OFFSET(P$109, $CC429, 0, 5, 1)%)^(1/5)-1))</f>
        <v>1.8345140610316335E-2</v>
      </c>
      <c r="Q429" s="340">
        <f t="array" aca="1" ref="Q429" ca="1">IF(Q$406="", "", IF(ISERROR(PRODUCT(1+OFFSET(Q$109, $CC429, 0, 5, 1)%)), "", PRODUCT(1+OFFSET(Q$109, $CC429, 0, 5, 1)%)^(1/5)-1))</f>
        <v>4.9509380735188291E-2</v>
      </c>
      <c r="R429" s="340">
        <f t="array" aca="1" ref="R429" ca="1">IF(R$406="", "", IF(ISERROR(PRODUCT(1+OFFSET(R$109, $CC429, 0, 5, 1)%)), "", PRODUCT(1+OFFSET(R$109, $CC429, 0, 5, 1)%)^(1/5)-1))</f>
        <v>0.19271530623850852</v>
      </c>
      <c r="S429" s="340">
        <f t="array" aca="1" ref="S429" ca="1">IF(S$406="", "", IF(ISERROR(PRODUCT(1+OFFSET(S$109, $CC429, 0, 5, 1)%)), "", PRODUCT(1+OFFSET(S$109, $CC429, 0, 5, 1)%)^(1/5)-1))</f>
        <v>3.6101597794932605E-2</v>
      </c>
      <c r="T429" s="340">
        <f t="array" aca="1" ref="T429" ca="1">IF(T$406="", "", IF(ISERROR(PRODUCT(1+OFFSET(T$109, $CC429, 0, 5, 1)%)), "", PRODUCT(1+OFFSET(T$109, $CC429, 0, 5, 1)%)^(1/5)-1))</f>
        <v>5.8482040640856603E-2</v>
      </c>
      <c r="U429" s="340">
        <f t="array" aca="1" ref="U429" ca="1">IF(U$406="", "", IF(ISERROR(PRODUCT(1+OFFSET(U$109, $CC429, 0, 5, 1)%)), "", PRODUCT(1+OFFSET(U$109, $CC429, 0, 5, 1)%)^(1/5)-1))</f>
        <v>6.9706082243982337E-2</v>
      </c>
      <c r="V429" s="340">
        <f t="array" aca="1" ref="V429" ca="1">IF(V$406="", "", IF(ISERROR(PRODUCT(1+OFFSET(V$109, $CC429, 0, 5, 1)%)), "", PRODUCT(1+OFFSET(V$109, $CC429, 0, 5, 1)%)^(1/5)-1))</f>
        <v>5.8148816019241378E-2</v>
      </c>
      <c r="W429" s="340">
        <f t="array" aca="1" ref="W429" ca="1">IF(W$406="", "", IF(ISERROR(PRODUCT(1+OFFSET(W$109, $CC429, 0, 5, 1)%)), "", PRODUCT(1+OFFSET(W$109, $CC429, 0, 5, 1)%)^(1/5)-1))</f>
        <v>2.6039541847655556E-2</v>
      </c>
      <c r="X429" s="340">
        <f t="array" aca="1" ref="X429" ca="1">IF(X$406="", "", IF(ISERROR(PRODUCT(1+OFFSET(X$109, $CC429, 0, 5, 1)%)), "", PRODUCT(1+OFFSET(X$109, $CC429, 0, 5, 1)%)^(1/5)-1))</f>
        <v>4.3964088200576512E-2</v>
      </c>
      <c r="Y429" s="340">
        <f t="array" aca="1" ref="Y429" ca="1">IF(Y$406="", "", IF(ISERROR(PRODUCT(1+OFFSET(Y$109, $CC429, 0, 5, 1)%)), "", PRODUCT(1+OFFSET(Y$109, $CC429, 0, 5, 1)%)^(1/5)-1))</f>
        <v>7.4390953803864068E-2</v>
      </c>
      <c r="Z429" s="340">
        <f t="array" aca="1" ref="Z429" ca="1">IF(Z$406="", "", IF(ISERROR(PRODUCT(1+OFFSET(Z$109, $CC429, 0, 5, 1)%)), "", PRODUCT(1+OFFSET(Z$109, $CC429, 0, 5, 1)%)^(1/5)-1))</f>
        <v>9.1535112532461937E-2</v>
      </c>
      <c r="AA429" s="340">
        <f t="array" aca="1" ref="AA429" ca="1">IF(AA$406="", "", IF(ISERROR(PRODUCT(1+OFFSET(AA$109, $CC429, 0, 5, 1)%)), "", PRODUCT(1+OFFSET(AA$109, $CC429, 0, 5, 1)%)^(1/5)-1))</f>
        <v>6.9481508036792317E-2</v>
      </c>
      <c r="AB429" s="340">
        <f t="array" aca="1" ref="AB429" ca="1">IF(AB$406="", "", IF(ISERROR(PRODUCT(1+OFFSET(AB$109, $CC429, 0, 5, 1)%)), "", PRODUCT(1+OFFSET(AB$109, $CC429, 0, 5, 1)%)^(1/5)-1))</f>
        <v>0.24799576670619472</v>
      </c>
      <c r="AC429" s="340">
        <f t="array" aca="1" ref="AC429" ca="1">IF(AC$406="", "", IF(ISERROR(PRODUCT(1+OFFSET(AC$109, $CC429, 0, 5, 1)%)), "", PRODUCT(1+OFFSET(AC$109, $CC429, 0, 5, 1)%)^(1/5)-1))</f>
        <v>0.1065607019719923</v>
      </c>
      <c r="AD429" s="340" t="str">
        <f t="array" aca="1" ref="AD429" ca="1">IF(AD$406="", "", IF(ISERROR(PRODUCT(1+OFFSET(AD$109, $CC429, 0, 5, 1)%)), "", PRODUCT(1+OFFSET(AD$109, $CC429, 0, 5, 1)%)^(1/5)-1))</f>
        <v/>
      </c>
      <c r="AE429" s="340" t="str">
        <f t="array" aca="1" ref="AE429" ca="1">IF(AE$406="", "", IF(ISERROR(PRODUCT(1+OFFSET(AE$109, $CC429, 0, 5, 1)%)), "", PRODUCT(1+OFFSET(AE$109, $CC429, 0, 5, 1)%)^(1/5)-1))</f>
        <v/>
      </c>
      <c r="AF429" s="340" t="str">
        <f t="array" aca="1" ref="AF429" ca="1">IF(AF$406="", "", IF(ISERROR(PRODUCT(1+OFFSET(AF$109, $CC429, 0, 5, 1)%)), "", PRODUCT(1+OFFSET(AF$109, $CC429, 0, 5, 1)%)^(1/5)-1))</f>
        <v/>
      </c>
      <c r="AG429" s="340" t="str">
        <f t="array" aca="1" ref="AG429" ca="1">IF(AG$406="", "", IF(ISERROR(PRODUCT(1+OFFSET(AG$109, $CC429, 0, 5, 1)%)), "", PRODUCT(1+OFFSET(AG$109, $CC429, 0, 5, 1)%)^(1/5)-1))</f>
        <v/>
      </c>
      <c r="AH429" s="340" t="str">
        <f t="array" aca="1" ref="AH429" ca="1">IF(AH$406="", "", IF(ISERROR(PRODUCT(1+OFFSET(AH$109, $CC429, 0, 5, 1)%)), "", PRODUCT(1+OFFSET(AH$109, $CC429, 0, 5, 1)%)^(1/5)-1))</f>
        <v/>
      </c>
      <c r="AI429" s="340" t="str">
        <f t="array" aca="1" ref="AI429" ca="1">IF(AI$406="", "", IF(ISERROR(PRODUCT(1+OFFSET(AI$109, $CC429, 0, 5, 1)%)), "", PRODUCT(1+OFFSET(AI$109, $CC429, 0, 5, 1)%)^(1/5)-1))</f>
        <v/>
      </c>
      <c r="AJ429" s="340" t="str">
        <f t="array" aca="1" ref="AJ429" ca="1">IF(AJ$406="", "", IF(ISERROR(PRODUCT(1+OFFSET(AJ$109, $CC429, 0, 5, 1)%)), "", PRODUCT(1+OFFSET(AJ$109, $CC429, 0, 5, 1)%)^(1/5)-1))</f>
        <v/>
      </c>
      <c r="AK429" s="340" t="str">
        <f t="array" aca="1" ref="AK429" ca="1">IF(AK$406="", "", IF(ISERROR(PRODUCT(1+OFFSET(AK$109, $CC429, 0, 5, 1)%)), "", PRODUCT(1+OFFSET(AK$109, $CC429, 0, 5, 1)%)^(1/5)-1))</f>
        <v/>
      </c>
      <c r="AL429" s="340" t="str">
        <f t="array" aca="1" ref="AL429" ca="1">IF(AL$406="", "", IF(ISERROR(PRODUCT(1+OFFSET(AL$109, $CC429, 0, 5, 1)%)), "", PRODUCT(1+OFFSET(AL$109, $CC429, 0, 5, 1)%)^(1/5)-1))</f>
        <v/>
      </c>
      <c r="AM429" s="340" t="str">
        <f t="array" aca="1" ref="AM429" ca="1">IF(AM$406="", "", IF(ISERROR(PRODUCT(1+OFFSET(AM$109, $CC429, 0, 5, 1)%)), "", PRODUCT(1+OFFSET(AM$109, $CC429, 0, 5, 1)%)^(1/5)-1))</f>
        <v/>
      </c>
      <c r="AN429" s="340" t="str">
        <f t="array" aca="1" ref="AN429" ca="1">IF(AN$406="", "", IF(ISERROR(PRODUCT(1+OFFSET(AN$109, $CC429, 0, 5, 1)%)), "", PRODUCT(1+OFFSET(AN$109, $CC429, 0, 5, 1)%)^(1/5)-1))</f>
        <v/>
      </c>
      <c r="AO429" s="340" t="str">
        <f t="array" aca="1" ref="AO429" ca="1">IF(AO$406="", "", IF(ISERROR(PRODUCT(1+OFFSET(AO$109, $CC429, 0, 5, 1)%)), "", PRODUCT(1+OFFSET(AO$109, $CC429, 0, 5, 1)%)^(1/5)-1))</f>
        <v/>
      </c>
      <c r="AP429" s="340" t="str">
        <f t="array" aca="1" ref="AP429" ca="1">IF(AP$406="", "", IF(ISERROR(PRODUCT(1+OFFSET(AP$109, $CC429, 0, 5, 1)%)), "", PRODUCT(1+OFFSET(AP$109, $CC429, 0, 5, 1)%)^(1/5)-1))</f>
        <v/>
      </c>
      <c r="AQ429" s="340" t="str">
        <f t="array" aca="1" ref="AQ429" ca="1">IF(AQ$406="", "", IF(ISERROR(PRODUCT(1+OFFSET(AQ$109, $CC429, 0, 5, 1)%)), "", PRODUCT(1+OFFSET(AQ$109, $CC429, 0, 5, 1)%)^(1/5)-1))</f>
        <v/>
      </c>
      <c r="AR429" s="340" t="str">
        <f t="array" aca="1" ref="AR429" ca="1">IF(AR$406="", "", IF(ISERROR(PRODUCT(1+OFFSET(AR$109, $CC429, 0, 5, 1)%)), "", PRODUCT(1+OFFSET(AR$109, $CC429, 0, 5, 1)%)^(1/5)-1))</f>
        <v/>
      </c>
      <c r="AS429" s="340" t="str">
        <f t="array" aca="1" ref="AS429" ca="1">IF(AS$406="", "", IF(ISERROR(PRODUCT(1+OFFSET(AS$109, $CC429, 0, 5, 1)%)), "", PRODUCT(1+OFFSET(AS$109, $CC429, 0, 5, 1)%)^(1/5)-1))</f>
        <v/>
      </c>
      <c r="AT429" s="340" t="str">
        <f t="array" aca="1" ref="AT429" ca="1">IF(AT$406="", "", IF(ISERROR(PRODUCT(1+OFFSET(AT$109, $CC429, 0, 5, 1)%)), "", PRODUCT(1+OFFSET(AT$109, $CC429, 0, 5, 1)%)^(1/5)-1))</f>
        <v/>
      </c>
      <c r="AU429" s="340" t="str">
        <f t="array" aca="1" ref="AU429" ca="1">IF(AU$406="", "", IF(ISERROR(PRODUCT(1+OFFSET(AU$109, $CC429, 0, 5, 1)%)), "", PRODUCT(1+OFFSET(AU$109, $CC429, 0, 5, 1)%)^(1/5)-1))</f>
        <v/>
      </c>
      <c r="AV429" s="340" t="str">
        <f t="array" aca="1" ref="AV429" ca="1">IF(AV$406="", "", IF(ISERROR(PRODUCT(1+OFFSET(AV$109, $CC429, 0, 5, 1)%)), "", PRODUCT(1+OFFSET(AV$109, $CC429, 0, 5, 1)%)^(1/5)-1))</f>
        <v/>
      </c>
      <c r="AW429" s="340" t="str">
        <f t="array" aca="1" ref="AW429" ca="1">IF(AW$406="", "", IF(ISERROR(PRODUCT(1+OFFSET(AW$109, $CC429, 0, 5, 1)%)), "", PRODUCT(1+OFFSET(AW$109, $CC429, 0, 5, 1)%)^(1/5)-1))</f>
        <v/>
      </c>
      <c r="AX429" s="340" t="str">
        <f t="array" aca="1" ref="AX429" ca="1">IF(AX$406="", "", IF(ISERROR(PRODUCT(1+OFFSET(AX$109, $CC429, 0, 5, 1)%)), "", PRODUCT(1+OFFSET(AX$109, $CC429, 0, 5, 1)%)^(1/5)-1))</f>
        <v/>
      </c>
      <c r="AY429" s="340" t="str">
        <f t="array" aca="1" ref="AY429" ca="1">IF(AY$406="", "", IF(ISERROR(PRODUCT(1+OFFSET(AY$109, $CC429, 0, 5, 1)%)), "", PRODUCT(1+OFFSET(AY$109, $CC429, 0, 5, 1)%)^(1/5)-1))</f>
        <v/>
      </c>
      <c r="AZ429" s="340" t="str">
        <f t="array" aca="1" ref="AZ429" ca="1">IF(AZ$406="", "", IF(ISERROR(PRODUCT(1+OFFSET(AZ$109, $CC429, 0, 5, 1)%)), "", PRODUCT(1+OFFSET(AZ$109, $CC429, 0, 5, 1)%)^(1/5)-1))</f>
        <v/>
      </c>
      <c r="BA429" s="340" t="str">
        <f t="array" aca="1" ref="BA429" ca="1">IF(BA$406="", "", IF(ISERROR(PRODUCT(1+OFFSET(BA$109, $CC429, 0, 5, 1)%)), "", PRODUCT(1+OFFSET(BA$109, $CC429, 0, 5, 1)%)^(1/5)-1))</f>
        <v/>
      </c>
      <c r="BB429" s="340" t="str">
        <f t="array" aca="1" ref="BB429" ca="1">IF(BB$406="", "", IF(ISERROR(PRODUCT(1+OFFSET(BB$109, $CC429, 0, 5, 1)%)), "", PRODUCT(1+OFFSET(BB$109, $CC429, 0, 5, 1)%)^(1/5)-1))</f>
        <v/>
      </c>
      <c r="BC429" s="340" t="str">
        <f t="array" aca="1" ref="BC429" ca="1">IF(BC$406="", "", IF(ISERROR(PRODUCT(1+OFFSET(BC$109, $CC429, 0, 5, 1)%)), "", PRODUCT(1+OFFSET(BC$109, $CC429, 0, 5, 1)%)^(1/5)-1))</f>
        <v/>
      </c>
      <c r="BD429" s="340" t="str">
        <f t="array" aca="1" ref="BD429" ca="1">IF(BD$406="", "", IF(ISERROR(PRODUCT(1+OFFSET(BD$109, $CC429, 0, 5, 1)%)), "", PRODUCT(1+OFFSET(BD$109, $CC429, 0, 5, 1)%)^(1/5)-1))</f>
        <v/>
      </c>
      <c r="BE429" s="340" t="str">
        <f t="array" aca="1" ref="BE429" ca="1">IF(BE$406="", "", IF(ISERROR(PRODUCT(1+OFFSET(BE$109, $CC429, 0, 5, 1)%)), "", PRODUCT(1+OFFSET(BE$109, $CC429, 0, 5, 1)%)^(1/5)-1))</f>
        <v/>
      </c>
      <c r="BF429" s="340" t="str">
        <f t="array" aca="1" ref="BF429" ca="1">IF(BF$406="", "", IF(ISERROR(PRODUCT(1+OFFSET(BF$109, $CC429, 0, 5, 1)%)), "", PRODUCT(1+OFFSET(BF$109, $CC429, 0, 5, 1)%)^(1/5)-1))</f>
        <v/>
      </c>
      <c r="BG429" s="340" t="str">
        <f t="array" aca="1" ref="BG429" ca="1">IF(BG$406="", "", IF(ISERROR(PRODUCT(1+OFFSET(BG$109, $CC429, 0, 5, 1)%)), "", PRODUCT(1+OFFSET(BG$109, $CC429, 0, 5, 1)%)^(1/5)-1))</f>
        <v/>
      </c>
      <c r="BH429" s="340" t="str">
        <f t="array" aca="1" ref="BH429" ca="1">IF(BH$406="", "", IF(ISERROR(PRODUCT(1+OFFSET(BH$109, $CC429, 0, 5, 1)%)), "", PRODUCT(1+OFFSET(BH$109, $CC429, 0, 5, 1)%)^(1/5)-1))</f>
        <v/>
      </c>
      <c r="BI429" s="340" t="str">
        <f t="array" aca="1" ref="BI429" ca="1">IF(BI$406="", "", IF(ISERROR(PRODUCT(1+OFFSET(BI$109, $CC429, 0, 5, 1)%)), "", PRODUCT(1+OFFSET(BI$109, $CC429, 0, 5, 1)%)^(1/5)-1))</f>
        <v/>
      </c>
      <c r="BJ429" s="340" t="str">
        <f t="array" aca="1" ref="BJ429" ca="1">IF(BJ$406="", "", IF(ISERROR(PRODUCT(1+OFFSET(BJ$109, $CC429, 0, 5, 1)%)), "", PRODUCT(1+OFFSET(BJ$109, $CC429, 0, 5, 1)%)^(1/5)-1))</f>
        <v/>
      </c>
      <c r="BK429" s="340" t="str">
        <f t="array" aca="1" ref="BK429" ca="1">IF(BK$406="", "", IF(ISERROR(PRODUCT(1+OFFSET(BK$109, $CC429, 0, 5, 1)%)), "", PRODUCT(1+OFFSET(BK$109, $CC429, 0, 5, 1)%)^(1/5)-1))</f>
        <v/>
      </c>
      <c r="BL429" s="340" t="str">
        <f t="array" aca="1" ref="BL429" ca="1">IF(BL$406="", "", IF(ISERROR(PRODUCT(1+OFFSET(BL$109, $CC429, 0, 5, 1)%)), "", PRODUCT(1+OFFSET(BL$109, $CC429, 0, 5, 1)%)^(1/5)-1))</f>
        <v/>
      </c>
      <c r="BM429" s="340" t="str">
        <f t="array" aca="1" ref="BM429" ca="1">IF(BM$406="", "", IF(ISERROR(PRODUCT(1+OFFSET(BM$109, $CC429, 0, 5, 1)%)), "", PRODUCT(1+OFFSET(BM$109, $CC429, 0, 5, 1)%)^(1/5)-1))</f>
        <v/>
      </c>
      <c r="BN429" s="340" t="str">
        <f t="array" aca="1" ref="BN429" ca="1">IF(BN$406="", "", IF(ISERROR(PRODUCT(1+OFFSET(BN$109, $CC429, 0, 5, 1)%)), "", PRODUCT(1+OFFSET(BN$109, $CC429, 0, 5, 1)%)^(1/5)-1))</f>
        <v/>
      </c>
      <c r="BO429" s="340" t="str">
        <f t="array" aca="1" ref="BO429" ca="1">IF(BO$406="", "", IF(ISERROR(PRODUCT(1+OFFSET(BO$109, $CC429, 0, 5, 1)%)), "", PRODUCT(1+OFFSET(BO$109, $CC429, 0, 5, 1)%)^(1/5)-1))</f>
        <v/>
      </c>
      <c r="BP429" s="340" t="str">
        <f t="array" aca="1" ref="BP429" ca="1">IF(BP$406="", "", IF(ISERROR(PRODUCT(1+OFFSET(BP$109, $CC429, 0, 5, 1)%)), "", PRODUCT(1+OFFSET(BP$109, $CC429, 0, 5, 1)%)^(1/5)-1))</f>
        <v/>
      </c>
      <c r="BQ429" s="340" t="str">
        <f t="array" aca="1" ref="BQ429" ca="1">IF(BQ$406="", "", IF(ISERROR(PRODUCT(1+OFFSET(BQ$109, $CC429, 0, 5, 1)%)), "", PRODUCT(1+OFFSET(BQ$109, $CC429, 0, 5, 1)%)^(1/5)-1))</f>
        <v/>
      </c>
      <c r="BR429" s="340" t="str">
        <f t="array" aca="1" ref="BR429" ca="1">IF(BR$406="", "", IF(ISERROR(PRODUCT(1+OFFSET(BR$109, $CC429, 0, 5, 1)%)), "", PRODUCT(1+OFFSET(BR$109, $CC429, 0, 5, 1)%)^(1/5)-1))</f>
        <v/>
      </c>
      <c r="BS429" s="340" t="str">
        <f t="array" aca="1" ref="BS429" ca="1">IF(BS$406="", "", IF(ISERROR(PRODUCT(1+OFFSET(BS$109, $CC429, 0, 5, 1)%)), "", PRODUCT(1+OFFSET(BS$109, $CC429, 0, 5, 1)%)^(1/5)-1))</f>
        <v/>
      </c>
      <c r="BT429" s="340" t="str">
        <f t="array" aca="1" ref="BT429" ca="1">IF(BT$406="", "", IF(ISERROR(PRODUCT(1+OFFSET(BT$109, $CC429, 0, 5, 1)%)), "", PRODUCT(1+OFFSET(BT$109, $CC429, 0, 5, 1)%)^(1/5)-1))</f>
        <v/>
      </c>
      <c r="BU429" s="340" t="str">
        <f t="array" aca="1" ref="BU429" ca="1">IF(BU$406="", "", IF(ISERROR(PRODUCT(1+OFFSET(BU$109, $CC429, 0, 5, 1)%)), "", PRODUCT(1+OFFSET(BU$109, $CC429, 0, 5, 1)%)^(1/5)-1))</f>
        <v/>
      </c>
      <c r="BV429" s="340" t="str">
        <f t="array" aca="1" ref="BV429" ca="1">IF(BV$406="", "", IF(ISERROR(PRODUCT(1+OFFSET(BV$109, $CC429, 0, 5, 1)%)), "", PRODUCT(1+OFFSET(BV$109, $CC429, 0, 5, 1)%)^(1/5)-1))</f>
        <v/>
      </c>
      <c r="BW429" s="340" t="str">
        <f t="array" aca="1" ref="BW429" ca="1">IF(BW$406="", "", IF(ISERROR(PRODUCT(1+OFFSET(BW$109, $CC429, 0, 5, 1)%)), "", PRODUCT(1+OFFSET(BW$109, $CC429, 0, 5, 1)%)^(1/5)-1))</f>
        <v/>
      </c>
      <c r="BX429" s="340">
        <f t="array" aca="1" ref="BX429" ca="1">IF(BX$406="", "", IF(ISERROR(PRODUCT(1+OFFSET(BX$109, $CC429, 0, 5, 1)%)), "", PRODUCT(1+OFFSET(BX$109, $CC429, 0, 5, 1)%)^(1/5)-1))</f>
        <v>3.8674039621895639E-2</v>
      </c>
      <c r="BY429" s="340">
        <f t="array" aca="1" ref="BY429" ca="1">IF(BY$406="", "", IF(ISERROR(PRODUCT(1+OFFSET(BY$109, $CC429, 0, 5, 1)%)), "", PRODUCT(1+OFFSET(BY$109, $CC429, 0, 5, 1)%)^(1/5)-1))</f>
        <v>6.0599004722138305E-2</v>
      </c>
      <c r="BZ429" s="340">
        <f t="array" aca="1" ref="BZ429" ca="1">IF(BZ$406="", "", IF(ISERROR(PRODUCT(1+OFFSET(BZ$109, $CC429, 0, 5, 1)%)), "", PRODUCT(1+OFFSET(BZ$109, $CC429, 0, 5, 1)%)^(1/5)-1))</f>
        <v>6.0406087721855517E-2</v>
      </c>
      <c r="CA429" s="532">
        <f t="array" aca="1" ref="CA429" ca="1">IF(CA$406="", "", IF(ISERROR(PRODUCT(1+OFFSET(CA$109, $CC429, 0, 5, 1)%)), "", PRODUCT(1+OFFSET(CA$109, $CC429, 0, 5, 1)%)^(1/5)-1))</f>
        <v>7.2052940953524658E-2</v>
      </c>
      <c r="CC429" s="482">
        <f>5*(ROW()-ROW($A$428)-1)</f>
        <v>0</v>
      </c>
    </row>
    <row r="430" spans="1:81" ht="14">
      <c r="A430" s="338" t="str">
        <f t="shared" ref="A430:A436" si="552">CONCATENATE(A$428+5*(ROW()-ROW(A$428)-1), "-", A$428+5*(ROW()-ROW(A$428))-1)</f>
        <v>1977-1981</v>
      </c>
      <c r="B430" s="339">
        <f t="array" aca="1" ref="B430" ca="1">IF(B$406="", "", IF(ISERROR(PRODUCT(1+OFFSET(B$109, $CC430, 0, 5, 1)%)), "", PRODUCT(1+OFFSET(B$109, $CC430, 0, 5, 1)%)^(1/5)-1))</f>
        <v>9.9252811785485395E-2</v>
      </c>
      <c r="C430" s="340">
        <f t="array" aca="1" ref="C430" ca="1">IF(C$406="", "", IF(ISERROR(PRODUCT(1+OFFSET(C$109, $CC430, 0, 5, 1)%)), "", PRODUCT(1+OFFSET(C$109, $CC430, 0, 5, 1)%)^(1/5)-1))</f>
        <v>9.5632126045950061E-2</v>
      </c>
      <c r="D430" s="340">
        <f t="array" aca="1" ref="D430" ca="1">IF(D$406="", "", IF(ISERROR(PRODUCT(1+OFFSET(D$109, $CC430, 0, 5, 1)%)), "", PRODUCT(1+OFFSET(D$109, $CC430, 0, 5, 1)%)^(1/5)-1))</f>
        <v>7.5387216382492239E-2</v>
      </c>
      <c r="E430" s="340">
        <f t="array" aca="1" ref="E430" ca="1">IF(E$406="", "", IF(ISERROR(PRODUCT(1+OFFSET(E$109, $CC430, 0, 5, 1)%)), "", PRODUCT(1+OFFSET(E$109, $CC430, 0, 5, 1)%)^(1/5)-1))</f>
        <v>8.08619273217277E-2</v>
      </c>
      <c r="F430" s="340">
        <f t="array" aca="1" ref="F430" ca="1">IF(F$406="", "", IF(ISERROR(PRODUCT(1+OFFSET(F$109, $CC430, 0, 5, 1)%)), "", PRODUCT(1+OFFSET(F$109, $CC430, 0, 5, 1)%)^(1/5)-1))</f>
        <v>0.15436085020008439</v>
      </c>
      <c r="G430" s="340">
        <f t="array" aca="1" ref="G430" ca="1">IF(G$406="", "", IF(ISERROR(PRODUCT(1+OFFSET(G$109, $CC430, 0, 5, 1)%)), "", PRODUCT(1+OFFSET(G$109, $CC430, 0, 5, 1)%)^(1/5)-1))</f>
        <v>0.23737278898465375</v>
      </c>
      <c r="H430" s="340">
        <f t="array" aca="1" ref="H430" ca="1">IF(H$406="", "", IF(ISERROR(PRODUCT(1+OFFSET(H$109, $CC430, 0, 5, 1)%)), "", PRODUCT(1+OFFSET(H$109, $CC430, 0, 5, 1)%)^(1/5)-1))</f>
        <v>0.23374574192980657</v>
      </c>
      <c r="I430" s="340">
        <f t="array" aca="1" ref="I430" ca="1">IF(I$406="", "", IF(ISERROR(PRODUCT(1+OFFSET(I$109, $CC430, 0, 5, 1)%)), "", PRODUCT(1+OFFSET(I$109, $CC430, 0, 5, 1)%)^(1/5)-1))</f>
        <v>0.23587158466187108</v>
      </c>
      <c r="J430" s="340">
        <f t="array" aca="1" ref="J430" ca="1">IF(J$406="", "", IF(ISERROR(PRODUCT(1+OFFSET(J$109, $CC430, 0, 5, 1)%)), "", PRODUCT(1+OFFSET(J$109, $CC430, 0, 5, 1)%)^(1/5)-1))</f>
        <v>0.24935703345130955</v>
      </c>
      <c r="K430" s="340">
        <f t="array" aca="1" ref="K430" ca="1">IF(K$406="", "", IF(ISERROR(PRODUCT(1+OFFSET(K$109, $CC430, 0, 5, 1)%)), "", PRODUCT(1+OFFSET(K$109, $CC430, 0, 5, 1)%)^(1/5)-1))</f>
        <v>0.1901804884001097</v>
      </c>
      <c r="L430" s="340">
        <f t="array" aca="1" ref="L430" ca="1">IF(L$406="", "", IF(ISERROR(PRODUCT(1+OFFSET(L$109, $CC430, 0, 5, 1)%)), "", PRODUCT(1+OFFSET(L$109, $CC430, 0, 5, 1)%)^(1/5)-1))</f>
        <v>0.14674111681542845</v>
      </c>
      <c r="M430" s="340">
        <f t="array" aca="1" ref="M430" ca="1">IF(M$406="", "", IF(ISERROR(PRODUCT(1+OFFSET(M$109, $CC430, 0, 5, 1)%)), "", PRODUCT(1+OFFSET(M$109, $CC430, 0, 5, 1)%)^(1/5)-1))</f>
        <v>0.25363781853941769</v>
      </c>
      <c r="N430" s="340">
        <f t="array" aca="1" ref="N430" ca="1">IF(N$406="", "", IF(ISERROR(PRODUCT(1+OFFSET(N$109, $CC430, 0, 5, 1)%)), "", PRODUCT(1+OFFSET(N$109, $CC430, 0, 5, 1)%)^(1/5)-1))</f>
        <v>0.1624103242242334</v>
      </c>
      <c r="O430" s="340">
        <f t="array" aca="1" ref="O430" ca="1">IF(O$406="", "", IF(ISERROR(PRODUCT(1+OFFSET(O$109, $CC430, 0, 5, 1)%)), "", PRODUCT(1+OFFSET(O$109, $CC430, 0, 5, 1)%)^(1/5)-1))</f>
        <v>0.18939781587790283</v>
      </c>
      <c r="P430" s="340">
        <f t="array" aca="1" ref="P430" ca="1">IF(P$406="", "", IF(ISERROR(PRODUCT(1+OFFSET(P$109, $CC430, 0, 5, 1)%)), "", PRODUCT(1+OFFSET(P$109, $CC430, 0, 5, 1)%)^(1/5)-1))</f>
        <v>0.12335279336573968</v>
      </c>
      <c r="Q430" s="340">
        <f t="array" aca="1" ref="Q430" ca="1">IF(Q$406="", "", IF(ISERROR(PRODUCT(1+OFFSET(Q$109, $CC430, 0, 5, 1)%)), "", PRODUCT(1+OFFSET(Q$109, $CC430, 0, 5, 1)%)^(1/5)-1))</f>
        <v>0.20004864130221867</v>
      </c>
      <c r="R430" s="340">
        <f t="array" aca="1" ref="R430" ca="1">IF(R$406="", "", IF(ISERROR(PRODUCT(1+OFFSET(R$109, $CC430, 0, 5, 1)%)), "", PRODUCT(1+OFFSET(R$109, $CC430, 0, 5, 1)%)^(1/5)-1))</f>
        <v>7.5288733799796503E-2</v>
      </c>
      <c r="S430" s="340">
        <f t="array" aca="1" ref="S430" ca="1">IF(S$406="", "", IF(ISERROR(PRODUCT(1+OFFSET(S$109, $CC430, 0, 5, 1)%)), "", PRODUCT(1+OFFSET(S$109, $CC430, 0, 5, 1)%)^(1/5)-1))</f>
        <v>-2.2883571746762921E-2</v>
      </c>
      <c r="T430" s="340">
        <f t="array" aca="1" ref="T430" ca="1">IF(T$406="", "", IF(ISERROR(PRODUCT(1+OFFSET(T$109, $CC430, 0, 5, 1)%)), "", PRODUCT(1+OFFSET(T$109, $CC430, 0, 5, 1)%)^(1/5)-1))</f>
        <v>3.2501109045839804E-2</v>
      </c>
      <c r="U430" s="340">
        <f t="array" aca="1" ref="U430" ca="1">IF(U$406="", "", IF(ISERROR(PRODUCT(1+OFFSET(U$109, $CC430, 0, 5, 1)%)), "", PRODUCT(1+OFFSET(U$109, $CC430, 0, 5, 1)%)^(1/5)-1))</f>
        <v>5.5846383048746118E-2</v>
      </c>
      <c r="V430" s="340">
        <f t="array" aca="1" ref="V430" ca="1">IF(V$406="", "", IF(ISERROR(PRODUCT(1+OFFSET(V$109, $CC430, 0, 5, 1)%)), "", PRODUCT(1+OFFSET(V$109, $CC430, 0, 5, 1)%)^(1/5)-1))</f>
        <v>9.5908618013673674E-2</v>
      </c>
      <c r="W430" s="340">
        <f t="array" aca="1" ref="W430" ca="1">IF(W$406="", "", IF(ISERROR(PRODUCT(1+OFFSET(W$109, $CC430, 0, 5, 1)%)), "", PRODUCT(1+OFFSET(W$109, $CC430, 0, 5, 1)%)^(1/5)-1))</f>
        <v>9.5966904944833509E-2</v>
      </c>
      <c r="X430" s="340">
        <f t="array" aca="1" ref="X430" ca="1">IF(X$406="", "", IF(ISERROR(PRODUCT(1+OFFSET(X$109, $CC430, 0, 5, 1)%)), "", PRODUCT(1+OFFSET(X$109, $CC430, 0, 5, 1)%)^(1/5)-1))</f>
        <v>7.5991137633043104E-2</v>
      </c>
      <c r="Y430" s="340">
        <f t="array" aca="1" ref="Y430" ca="1">IF(Y$406="", "", IF(ISERROR(PRODUCT(1+OFFSET(Y$109, $CC430, 0, 5, 1)%)), "", PRODUCT(1+OFFSET(Y$109, $CC430, 0, 5, 1)%)^(1/5)-1))</f>
        <v>6.8832221458170251E-2</v>
      </c>
      <c r="Z430" s="340">
        <f t="array" aca="1" ref="Z430" ca="1">IF(Z$406="", "", IF(ISERROR(PRODUCT(1+OFFSET(Z$109, $CC430, 0, 5, 1)%)), "", PRODUCT(1+OFFSET(Z$109, $CC430, 0, 5, 1)%)^(1/5)-1))</f>
        <v>0.14044622099264337</v>
      </c>
      <c r="AA430" s="340">
        <f t="array" aca="1" ref="AA430" ca="1">IF(AA$406="", "", IF(ISERROR(PRODUCT(1+OFFSET(AA$109, $CC430, 0, 5, 1)%)), "", PRODUCT(1+OFFSET(AA$109, $CC430, 0, 5, 1)%)^(1/5)-1))</f>
        <v>0.10160484201500775</v>
      </c>
      <c r="AB430" s="340">
        <f t="array" aca="1" ref="AB430" ca="1">IF(AB$406="", "", IF(ISERROR(PRODUCT(1+OFFSET(AB$109, $CC430, 0, 5, 1)%)), "", PRODUCT(1+OFFSET(AB$109, $CC430, 0, 5, 1)%)^(1/5)-1))</f>
        <v>0.23705570624724648</v>
      </c>
      <c r="AC430" s="340">
        <f t="array" aca="1" ref="AC430" ca="1">IF(AC$406="", "", IF(ISERROR(PRODUCT(1+OFFSET(AC$109, $CC430, 0, 5, 1)%)), "", PRODUCT(1+OFFSET(AC$109, $CC430, 0, 5, 1)%)^(1/5)-1))</f>
        <v>0.30644180427253631</v>
      </c>
      <c r="AD430" s="340" t="str">
        <f t="array" aca="1" ref="AD430" ca="1">IF(AD$406="", "", IF(ISERROR(PRODUCT(1+OFFSET(AD$109, $CC430, 0, 5, 1)%)), "", PRODUCT(1+OFFSET(AD$109, $CC430, 0, 5, 1)%)^(1/5)-1))</f>
        <v/>
      </c>
      <c r="AE430" s="340" t="str">
        <f t="array" aca="1" ref="AE430" ca="1">IF(AE$406="", "", IF(ISERROR(PRODUCT(1+OFFSET(AE$109, $CC430, 0, 5, 1)%)), "", PRODUCT(1+OFFSET(AE$109, $CC430, 0, 5, 1)%)^(1/5)-1))</f>
        <v/>
      </c>
      <c r="AF430" s="340" t="str">
        <f t="array" aca="1" ref="AF430" ca="1">IF(AF$406="", "", IF(ISERROR(PRODUCT(1+OFFSET(AF$109, $CC430, 0, 5, 1)%)), "", PRODUCT(1+OFFSET(AF$109, $CC430, 0, 5, 1)%)^(1/5)-1))</f>
        <v/>
      </c>
      <c r="AG430" s="340" t="str">
        <f t="array" aca="1" ref="AG430" ca="1">IF(AG$406="", "", IF(ISERROR(PRODUCT(1+OFFSET(AG$109, $CC430, 0, 5, 1)%)), "", PRODUCT(1+OFFSET(AG$109, $CC430, 0, 5, 1)%)^(1/5)-1))</f>
        <v/>
      </c>
      <c r="AH430" s="340" t="str">
        <f t="array" aca="1" ref="AH430" ca="1">IF(AH$406="", "", IF(ISERROR(PRODUCT(1+OFFSET(AH$109, $CC430, 0, 5, 1)%)), "", PRODUCT(1+OFFSET(AH$109, $CC430, 0, 5, 1)%)^(1/5)-1))</f>
        <v/>
      </c>
      <c r="AI430" s="340" t="str">
        <f t="array" aca="1" ref="AI430" ca="1">IF(AI$406="", "", IF(ISERROR(PRODUCT(1+OFFSET(AI$109, $CC430, 0, 5, 1)%)), "", PRODUCT(1+OFFSET(AI$109, $CC430, 0, 5, 1)%)^(1/5)-1))</f>
        <v/>
      </c>
      <c r="AJ430" s="340" t="str">
        <f t="array" aca="1" ref="AJ430" ca="1">IF(AJ$406="", "", IF(ISERROR(PRODUCT(1+OFFSET(AJ$109, $CC430, 0, 5, 1)%)), "", PRODUCT(1+OFFSET(AJ$109, $CC430, 0, 5, 1)%)^(1/5)-1))</f>
        <v/>
      </c>
      <c r="AK430" s="340" t="str">
        <f t="array" aca="1" ref="AK430" ca="1">IF(AK$406="", "", IF(ISERROR(PRODUCT(1+OFFSET(AK$109, $CC430, 0, 5, 1)%)), "", PRODUCT(1+OFFSET(AK$109, $CC430, 0, 5, 1)%)^(1/5)-1))</f>
        <v/>
      </c>
      <c r="AL430" s="340" t="str">
        <f t="array" aca="1" ref="AL430" ca="1">IF(AL$406="", "", IF(ISERROR(PRODUCT(1+OFFSET(AL$109, $CC430, 0, 5, 1)%)), "", PRODUCT(1+OFFSET(AL$109, $CC430, 0, 5, 1)%)^(1/5)-1))</f>
        <v/>
      </c>
      <c r="AM430" s="340" t="str">
        <f t="array" aca="1" ref="AM430" ca="1">IF(AM$406="", "", IF(ISERROR(PRODUCT(1+OFFSET(AM$109, $CC430, 0, 5, 1)%)), "", PRODUCT(1+OFFSET(AM$109, $CC430, 0, 5, 1)%)^(1/5)-1))</f>
        <v/>
      </c>
      <c r="AN430" s="340" t="str">
        <f t="array" aca="1" ref="AN430" ca="1">IF(AN$406="", "", IF(ISERROR(PRODUCT(1+OFFSET(AN$109, $CC430, 0, 5, 1)%)), "", PRODUCT(1+OFFSET(AN$109, $CC430, 0, 5, 1)%)^(1/5)-1))</f>
        <v/>
      </c>
      <c r="AO430" s="340" t="str">
        <f t="array" aca="1" ref="AO430" ca="1">IF(AO$406="", "", IF(ISERROR(PRODUCT(1+OFFSET(AO$109, $CC430, 0, 5, 1)%)), "", PRODUCT(1+OFFSET(AO$109, $CC430, 0, 5, 1)%)^(1/5)-1))</f>
        <v/>
      </c>
      <c r="AP430" s="340" t="str">
        <f t="array" aca="1" ref="AP430" ca="1">IF(AP$406="", "", IF(ISERROR(PRODUCT(1+OFFSET(AP$109, $CC430, 0, 5, 1)%)), "", PRODUCT(1+OFFSET(AP$109, $CC430, 0, 5, 1)%)^(1/5)-1))</f>
        <v/>
      </c>
      <c r="AQ430" s="340" t="str">
        <f t="array" aca="1" ref="AQ430" ca="1">IF(AQ$406="", "", IF(ISERROR(PRODUCT(1+OFFSET(AQ$109, $CC430, 0, 5, 1)%)), "", PRODUCT(1+OFFSET(AQ$109, $CC430, 0, 5, 1)%)^(1/5)-1))</f>
        <v/>
      </c>
      <c r="AR430" s="340" t="str">
        <f t="array" aca="1" ref="AR430" ca="1">IF(AR$406="", "", IF(ISERROR(PRODUCT(1+OFFSET(AR$109, $CC430, 0, 5, 1)%)), "", PRODUCT(1+OFFSET(AR$109, $CC430, 0, 5, 1)%)^(1/5)-1))</f>
        <v/>
      </c>
      <c r="AS430" s="340" t="str">
        <f t="array" aca="1" ref="AS430" ca="1">IF(AS$406="", "", IF(ISERROR(PRODUCT(1+OFFSET(AS$109, $CC430, 0, 5, 1)%)), "", PRODUCT(1+OFFSET(AS$109, $CC430, 0, 5, 1)%)^(1/5)-1))</f>
        <v/>
      </c>
      <c r="AT430" s="340" t="str">
        <f t="array" aca="1" ref="AT430" ca="1">IF(AT$406="", "", IF(ISERROR(PRODUCT(1+OFFSET(AT$109, $CC430, 0, 5, 1)%)), "", PRODUCT(1+OFFSET(AT$109, $CC430, 0, 5, 1)%)^(1/5)-1))</f>
        <v/>
      </c>
      <c r="AU430" s="340" t="str">
        <f t="array" aca="1" ref="AU430" ca="1">IF(AU$406="", "", IF(ISERROR(PRODUCT(1+OFFSET(AU$109, $CC430, 0, 5, 1)%)), "", PRODUCT(1+OFFSET(AU$109, $CC430, 0, 5, 1)%)^(1/5)-1))</f>
        <v/>
      </c>
      <c r="AV430" s="340" t="str">
        <f t="array" aca="1" ref="AV430" ca="1">IF(AV$406="", "", IF(ISERROR(PRODUCT(1+OFFSET(AV$109, $CC430, 0, 5, 1)%)), "", PRODUCT(1+OFFSET(AV$109, $CC430, 0, 5, 1)%)^(1/5)-1))</f>
        <v/>
      </c>
      <c r="AW430" s="340" t="str">
        <f t="array" aca="1" ref="AW430" ca="1">IF(AW$406="", "", IF(ISERROR(PRODUCT(1+OFFSET(AW$109, $CC430, 0, 5, 1)%)), "", PRODUCT(1+OFFSET(AW$109, $CC430, 0, 5, 1)%)^(1/5)-1))</f>
        <v/>
      </c>
      <c r="AX430" s="340" t="str">
        <f t="array" aca="1" ref="AX430" ca="1">IF(AX$406="", "", IF(ISERROR(PRODUCT(1+OFFSET(AX$109, $CC430, 0, 5, 1)%)), "", PRODUCT(1+OFFSET(AX$109, $CC430, 0, 5, 1)%)^(1/5)-1))</f>
        <v/>
      </c>
      <c r="AY430" s="340" t="str">
        <f t="array" aca="1" ref="AY430" ca="1">IF(AY$406="", "", IF(ISERROR(PRODUCT(1+OFFSET(AY$109, $CC430, 0, 5, 1)%)), "", PRODUCT(1+OFFSET(AY$109, $CC430, 0, 5, 1)%)^(1/5)-1))</f>
        <v/>
      </c>
      <c r="AZ430" s="340" t="str">
        <f t="array" aca="1" ref="AZ430" ca="1">IF(AZ$406="", "", IF(ISERROR(PRODUCT(1+OFFSET(AZ$109, $CC430, 0, 5, 1)%)), "", PRODUCT(1+OFFSET(AZ$109, $CC430, 0, 5, 1)%)^(1/5)-1))</f>
        <v/>
      </c>
      <c r="BA430" s="340" t="str">
        <f t="array" aca="1" ref="BA430" ca="1">IF(BA$406="", "", IF(ISERROR(PRODUCT(1+OFFSET(BA$109, $CC430, 0, 5, 1)%)), "", PRODUCT(1+OFFSET(BA$109, $CC430, 0, 5, 1)%)^(1/5)-1))</f>
        <v/>
      </c>
      <c r="BB430" s="340" t="str">
        <f t="array" aca="1" ref="BB430" ca="1">IF(BB$406="", "", IF(ISERROR(PRODUCT(1+OFFSET(BB$109, $CC430, 0, 5, 1)%)), "", PRODUCT(1+OFFSET(BB$109, $CC430, 0, 5, 1)%)^(1/5)-1))</f>
        <v/>
      </c>
      <c r="BC430" s="340" t="str">
        <f t="array" aca="1" ref="BC430" ca="1">IF(BC$406="", "", IF(ISERROR(PRODUCT(1+OFFSET(BC$109, $CC430, 0, 5, 1)%)), "", PRODUCT(1+OFFSET(BC$109, $CC430, 0, 5, 1)%)^(1/5)-1))</f>
        <v/>
      </c>
      <c r="BD430" s="340" t="str">
        <f t="array" aca="1" ref="BD430" ca="1">IF(BD$406="", "", IF(ISERROR(PRODUCT(1+OFFSET(BD$109, $CC430, 0, 5, 1)%)), "", PRODUCT(1+OFFSET(BD$109, $CC430, 0, 5, 1)%)^(1/5)-1))</f>
        <v/>
      </c>
      <c r="BE430" s="340" t="str">
        <f t="array" aca="1" ref="BE430" ca="1">IF(BE$406="", "", IF(ISERROR(PRODUCT(1+OFFSET(BE$109, $CC430, 0, 5, 1)%)), "", PRODUCT(1+OFFSET(BE$109, $CC430, 0, 5, 1)%)^(1/5)-1))</f>
        <v/>
      </c>
      <c r="BF430" s="340" t="str">
        <f t="array" aca="1" ref="BF430" ca="1">IF(BF$406="", "", IF(ISERROR(PRODUCT(1+OFFSET(BF$109, $CC430, 0, 5, 1)%)), "", PRODUCT(1+OFFSET(BF$109, $CC430, 0, 5, 1)%)^(1/5)-1))</f>
        <v/>
      </c>
      <c r="BG430" s="340" t="str">
        <f t="array" aca="1" ref="BG430" ca="1">IF(BG$406="", "", IF(ISERROR(PRODUCT(1+OFFSET(BG$109, $CC430, 0, 5, 1)%)), "", PRODUCT(1+OFFSET(BG$109, $CC430, 0, 5, 1)%)^(1/5)-1))</f>
        <v/>
      </c>
      <c r="BH430" s="340" t="str">
        <f t="array" aca="1" ref="BH430" ca="1">IF(BH$406="", "", IF(ISERROR(PRODUCT(1+OFFSET(BH$109, $CC430, 0, 5, 1)%)), "", PRODUCT(1+OFFSET(BH$109, $CC430, 0, 5, 1)%)^(1/5)-1))</f>
        <v/>
      </c>
      <c r="BI430" s="340" t="str">
        <f t="array" aca="1" ref="BI430" ca="1">IF(BI$406="", "", IF(ISERROR(PRODUCT(1+OFFSET(BI$109, $CC430, 0, 5, 1)%)), "", PRODUCT(1+OFFSET(BI$109, $CC430, 0, 5, 1)%)^(1/5)-1))</f>
        <v/>
      </c>
      <c r="BJ430" s="340" t="str">
        <f t="array" aca="1" ref="BJ430" ca="1">IF(BJ$406="", "", IF(ISERROR(PRODUCT(1+OFFSET(BJ$109, $CC430, 0, 5, 1)%)), "", PRODUCT(1+OFFSET(BJ$109, $CC430, 0, 5, 1)%)^(1/5)-1))</f>
        <v/>
      </c>
      <c r="BK430" s="340" t="str">
        <f t="array" aca="1" ref="BK430" ca="1">IF(BK$406="", "", IF(ISERROR(PRODUCT(1+OFFSET(BK$109, $CC430, 0, 5, 1)%)), "", PRODUCT(1+OFFSET(BK$109, $CC430, 0, 5, 1)%)^(1/5)-1))</f>
        <v/>
      </c>
      <c r="BL430" s="340" t="str">
        <f t="array" aca="1" ref="BL430" ca="1">IF(BL$406="", "", IF(ISERROR(PRODUCT(1+OFFSET(BL$109, $CC430, 0, 5, 1)%)), "", PRODUCT(1+OFFSET(BL$109, $CC430, 0, 5, 1)%)^(1/5)-1))</f>
        <v/>
      </c>
      <c r="BM430" s="340" t="str">
        <f t="array" aca="1" ref="BM430" ca="1">IF(BM$406="", "", IF(ISERROR(PRODUCT(1+OFFSET(BM$109, $CC430, 0, 5, 1)%)), "", PRODUCT(1+OFFSET(BM$109, $CC430, 0, 5, 1)%)^(1/5)-1))</f>
        <v/>
      </c>
      <c r="BN430" s="340" t="str">
        <f t="array" aca="1" ref="BN430" ca="1">IF(BN$406="", "", IF(ISERROR(PRODUCT(1+OFFSET(BN$109, $CC430, 0, 5, 1)%)), "", PRODUCT(1+OFFSET(BN$109, $CC430, 0, 5, 1)%)^(1/5)-1))</f>
        <v/>
      </c>
      <c r="BO430" s="340" t="str">
        <f t="array" aca="1" ref="BO430" ca="1">IF(BO$406="", "", IF(ISERROR(PRODUCT(1+OFFSET(BO$109, $CC430, 0, 5, 1)%)), "", PRODUCT(1+OFFSET(BO$109, $CC430, 0, 5, 1)%)^(1/5)-1))</f>
        <v/>
      </c>
      <c r="BP430" s="340" t="str">
        <f t="array" aca="1" ref="BP430" ca="1">IF(BP$406="", "", IF(ISERROR(PRODUCT(1+OFFSET(BP$109, $CC430, 0, 5, 1)%)), "", PRODUCT(1+OFFSET(BP$109, $CC430, 0, 5, 1)%)^(1/5)-1))</f>
        <v/>
      </c>
      <c r="BQ430" s="340" t="str">
        <f t="array" aca="1" ref="BQ430" ca="1">IF(BQ$406="", "", IF(ISERROR(PRODUCT(1+OFFSET(BQ$109, $CC430, 0, 5, 1)%)), "", PRODUCT(1+OFFSET(BQ$109, $CC430, 0, 5, 1)%)^(1/5)-1))</f>
        <v/>
      </c>
      <c r="BR430" s="340" t="str">
        <f t="array" aca="1" ref="BR430" ca="1">IF(BR$406="", "", IF(ISERROR(PRODUCT(1+OFFSET(BR$109, $CC430, 0, 5, 1)%)), "", PRODUCT(1+OFFSET(BR$109, $CC430, 0, 5, 1)%)^(1/5)-1))</f>
        <v/>
      </c>
      <c r="BS430" s="340" t="str">
        <f t="array" aca="1" ref="BS430" ca="1">IF(BS$406="", "", IF(ISERROR(PRODUCT(1+OFFSET(BS$109, $CC430, 0, 5, 1)%)), "", PRODUCT(1+OFFSET(BS$109, $CC430, 0, 5, 1)%)^(1/5)-1))</f>
        <v/>
      </c>
      <c r="BT430" s="340" t="str">
        <f t="array" aca="1" ref="BT430" ca="1">IF(BT$406="", "", IF(ISERROR(PRODUCT(1+OFFSET(BT$109, $CC430, 0, 5, 1)%)), "", PRODUCT(1+OFFSET(BT$109, $CC430, 0, 5, 1)%)^(1/5)-1))</f>
        <v/>
      </c>
      <c r="BU430" s="340" t="str">
        <f t="array" aca="1" ref="BU430" ca="1">IF(BU$406="", "", IF(ISERROR(PRODUCT(1+OFFSET(BU$109, $CC430, 0, 5, 1)%)), "", PRODUCT(1+OFFSET(BU$109, $CC430, 0, 5, 1)%)^(1/5)-1))</f>
        <v/>
      </c>
      <c r="BV430" s="340" t="str">
        <f t="array" aca="1" ref="BV430" ca="1">IF(BV$406="", "", IF(ISERROR(PRODUCT(1+OFFSET(BV$109, $CC430, 0, 5, 1)%)), "", PRODUCT(1+OFFSET(BV$109, $CC430, 0, 5, 1)%)^(1/5)-1))</f>
        <v/>
      </c>
      <c r="BW430" s="340" t="str">
        <f t="array" aca="1" ref="BW430" ca="1">IF(BW$406="", "", IF(ISERROR(PRODUCT(1+OFFSET(BW$109, $CC430, 0, 5, 1)%)), "", PRODUCT(1+OFFSET(BW$109, $CC430, 0, 5, 1)%)^(1/5)-1))</f>
        <v/>
      </c>
      <c r="BX430" s="340">
        <f t="array" aca="1" ref="BX430" ca="1">IF(BX$406="", "", IF(ISERROR(PRODUCT(1+OFFSET(BX$109, $CC430, 0, 5, 1)%)), "", PRODUCT(1+OFFSET(BX$109, $CC430, 0, 5, 1)%)^(1/5)-1))</f>
        <v>7.7244242252086703E-2</v>
      </c>
      <c r="BY430" s="340">
        <f t="array" aca="1" ref="BY430" ca="1">IF(BY$406="", "", IF(ISERROR(PRODUCT(1+OFFSET(BY$109, $CC430, 0, 5, 1)%)), "", PRODUCT(1+OFFSET(BY$109, $CC430, 0, 5, 1)%)^(1/5)-1))</f>
        <v>3.4566111263931498E-2</v>
      </c>
      <c r="BZ430" s="340">
        <f t="array" aca="1" ref="BZ430" ca="1">IF(BZ$406="", "", IF(ISERROR(PRODUCT(1+OFFSET(BZ$109, $CC430, 0, 5, 1)%)), "", PRODUCT(1+OFFSET(BZ$109, $CC430, 0, 5, 1)%)^(1/5)-1))</f>
        <v>9.777891793871718E-2</v>
      </c>
      <c r="CA430" s="532">
        <f t="array" aca="1" ref="CA430" ca="1">IF(CA$406="", "", IF(ISERROR(PRODUCT(1+OFFSET(CA$109, $CC430, 0, 5, 1)%)), "", PRODUCT(1+OFFSET(CA$109, $CC430, 0, 5, 1)%)^(1/5)-1))</f>
        <v>0.10062905607275541</v>
      </c>
      <c r="CC430" s="482">
        <f t="shared" ref="CC430:CC436" si="553">5*(ROW()-ROW($A$428)-1)</f>
        <v>5</v>
      </c>
    </row>
    <row r="431" spans="1:81" ht="14">
      <c r="A431" s="338" t="str">
        <f t="shared" si="552"/>
        <v>1982-1986</v>
      </c>
      <c r="B431" s="339">
        <f t="array" aca="1" ref="B431" ca="1">IF(B$406="", "", IF(ISERROR(PRODUCT(1+OFFSET(B$109, $CC431, 0, 5, 1)%)), "", PRODUCT(1+OFFSET(B$109, $CC431, 0, 5, 1)%)^(1/5)-1))</f>
        <v>0.1857241688988287</v>
      </c>
      <c r="C431" s="340">
        <f t="array" aca="1" ref="C431" ca="1">IF(C$406="", "", IF(ISERROR(PRODUCT(1+OFFSET(C$109, $CC431, 0, 5, 1)%)), "", PRODUCT(1+OFFSET(C$109, $CC431, 0, 5, 1)%)^(1/5)-1))</f>
        <v>0.21468232957856537</v>
      </c>
      <c r="D431" s="340">
        <f t="array" aca="1" ref="D431" ca="1">IF(D$406="", "", IF(ISERROR(PRODUCT(1+OFFSET(D$109, $CC431, 0, 5, 1)%)), "", PRODUCT(1+OFFSET(D$109, $CC431, 0, 5, 1)%)^(1/5)-1))</f>
        <v>0.19266282785868349</v>
      </c>
      <c r="E431" s="340">
        <f t="array" aca="1" ref="E431" ca="1">IF(E$406="", "", IF(ISERROR(PRODUCT(1+OFFSET(E$109, $CC431, 0, 5, 1)%)), "", PRODUCT(1+OFFSET(E$109, $CC431, 0, 5, 1)%)^(1/5)-1))</f>
        <v>0.15975024715026853</v>
      </c>
      <c r="F431" s="340">
        <f t="array" aca="1" ref="F431" ca="1">IF(F$406="", "", IF(ISERROR(PRODUCT(1+OFFSET(F$109, $CC431, 0, 5, 1)%)), "", PRODUCT(1+OFFSET(F$109, $CC431, 0, 5, 1)%)^(1/5)-1))</f>
        <v>0.19010392208123972</v>
      </c>
      <c r="G431" s="340">
        <f t="array" aca="1" ref="G431" ca="1">IF(G$406="", "", IF(ISERROR(PRODUCT(1+OFFSET(G$109, $CC431, 0, 5, 1)%)), "", PRODUCT(1+OFFSET(G$109, $CC431, 0, 5, 1)%)^(1/5)-1))</f>
        <v>0.20438623523518729</v>
      </c>
      <c r="H431" s="340">
        <f t="array" aca="1" ref="H431" ca="1">IF(H$406="", "", IF(ISERROR(PRODUCT(1+OFFSET(H$109, $CC431, 0, 5, 1)%)), "", PRODUCT(1+OFFSET(H$109, $CC431, 0, 5, 1)%)^(1/5)-1))</f>
        <v>0.1541213853934098</v>
      </c>
      <c r="I431" s="340">
        <f t="array" aca="1" ref="I431" ca="1">IF(I$406="", "", IF(ISERROR(PRODUCT(1+OFFSET(I$109, $CC431, 0, 5, 1)%)), "", PRODUCT(1+OFFSET(I$109, $CC431, 0, 5, 1)%)^(1/5)-1))</f>
        <v>0.10422245290621013</v>
      </c>
      <c r="J431" s="340">
        <f t="array" aca="1" ref="J431" ca="1">IF(J$406="", "", IF(ISERROR(PRODUCT(1+OFFSET(J$109, $CC431, 0, 5, 1)%)), "", PRODUCT(1+OFFSET(J$109, $CC431, 0, 5, 1)%)^(1/5)-1))</f>
        <v>0.11400763045701168</v>
      </c>
      <c r="K431" s="340">
        <f t="array" aca="1" ref="K431" ca="1">IF(K$406="", "", IF(ISERROR(PRODUCT(1+OFFSET(K$109, $CC431, 0, 5, 1)%)), "", PRODUCT(1+OFFSET(K$109, $CC431, 0, 5, 1)%)^(1/5)-1))</f>
        <v>0.21890683863632598</v>
      </c>
      <c r="L431" s="340">
        <f t="array" aca="1" ref="L431" ca="1">IF(L$406="", "", IF(ISERROR(PRODUCT(1+OFFSET(L$109, $CC431, 0, 5, 1)%)), "", PRODUCT(1+OFFSET(L$109, $CC431, 0, 5, 1)%)^(1/5)-1))</f>
        <v>0.28701738717050107</v>
      </c>
      <c r="M431" s="340">
        <f t="array" aca="1" ref="M431" ca="1">IF(M$406="", "", IF(ISERROR(PRODUCT(1+OFFSET(M$109, $CC431, 0, 5, 1)%)), "", PRODUCT(1+OFFSET(M$109, $CC431, 0, 5, 1)%)^(1/5)-1))</f>
        <v>0.30083128386654323</v>
      </c>
      <c r="N431" s="340">
        <f t="array" aca="1" ref="N431" ca="1">IF(N$406="", "", IF(ISERROR(PRODUCT(1+OFFSET(N$109, $CC431, 0, 5, 1)%)), "", PRODUCT(1+OFFSET(N$109, $CC431, 0, 5, 1)%)^(1/5)-1))</f>
        <v>0.28798514670460462</v>
      </c>
      <c r="O431" s="340">
        <f t="array" aca="1" ref="O431" ca="1">IF(O$406="", "", IF(ISERROR(PRODUCT(1+OFFSET(O$109, $CC431, 0, 5, 1)%)), "", PRODUCT(1+OFFSET(O$109, $CC431, 0, 5, 1)%)^(1/5)-1))</f>
        <v>0.29101222170394392</v>
      </c>
      <c r="P431" s="340">
        <f t="array" aca="1" ref="P431" ca="1">IF(P$406="", "", IF(ISERROR(PRODUCT(1+OFFSET(P$109, $CC431, 0, 5, 1)%)), "", PRODUCT(1+OFFSET(P$109, $CC431, 0, 5, 1)%)^(1/5)-1))</f>
        <v>0.27437421827041608</v>
      </c>
      <c r="Q431" s="340">
        <f t="array" aca="1" ref="Q431" ca="1">IF(Q$406="", "", IF(ISERROR(PRODUCT(1+OFFSET(Q$109, $CC431, 0, 5, 1)%)), "", PRODUCT(1+OFFSET(Q$109, $CC431, 0, 5, 1)%)^(1/5)-1))</f>
        <v>0.281819654047752</v>
      </c>
      <c r="R431" s="340">
        <f t="array" aca="1" ref="R431" ca="1">IF(R$406="", "", IF(ISERROR(PRODUCT(1+OFFSET(R$109, $CC431, 0, 5, 1)%)), "", PRODUCT(1+OFFSET(R$109, $CC431, 0, 5, 1)%)^(1/5)-1))</f>
        <v>3.5827654187395863E-2</v>
      </c>
      <c r="S431" s="340">
        <f t="array" aca="1" ref="S431" ca="1">IF(S$406="", "", IF(ISERROR(PRODUCT(1+OFFSET(S$109, $CC431, 0, 5, 1)%)), "", PRODUCT(1+OFFSET(S$109, $CC431, 0, 5, 1)%)^(1/5)-1))</f>
        <v>0.23927988452394966</v>
      </c>
      <c r="T431" s="340">
        <f t="array" aca="1" ref="T431" ca="1">IF(T$406="", "", IF(ISERROR(PRODUCT(1+OFFSET(T$109, $CC431, 0, 5, 1)%)), "", PRODUCT(1+OFFSET(T$109, $CC431, 0, 5, 1)%)^(1/5)-1))</f>
        <v>0.17666591404096788</v>
      </c>
      <c r="U431" s="340">
        <f t="array" aca="1" ref="U431" ca="1">IF(U$406="", "", IF(ISERROR(PRODUCT(1+OFFSET(U$109, $CC431, 0, 5, 1)%)), "", PRODUCT(1+OFFSET(U$109, $CC431, 0, 5, 1)%)^(1/5)-1))</f>
        <v>0.15429125772325492</v>
      </c>
      <c r="V431" s="340">
        <f t="array" aca="1" ref="V431" ca="1">IF(V$406="", "", IF(ISERROR(PRODUCT(1+OFFSET(V$109, $CC431, 0, 5, 1)%)), "", PRODUCT(1+OFFSET(V$109, $CC431, 0, 5, 1)%)^(1/5)-1))</f>
        <v>8.4231580413833829E-2</v>
      </c>
      <c r="W431" s="340">
        <f t="array" aca="1" ref="W431" ca="1">IF(W$406="", "", IF(ISERROR(PRODUCT(1+OFFSET(W$109, $CC431, 0, 5, 1)%)), "", PRODUCT(1+OFFSET(W$109, $CC431, 0, 5, 1)%)^(1/5)-1))</f>
        <v>0.10545121342380015</v>
      </c>
      <c r="X431" s="340">
        <f t="array" aca="1" ref="X431" ca="1">IF(X$406="", "", IF(ISERROR(PRODUCT(1+OFFSET(X$109, $CC431, 0, 5, 1)%)), "", PRODUCT(1+OFFSET(X$109, $CC431, 0, 5, 1)%)^(1/5)-1))</f>
        <v>0.20990736912259678</v>
      </c>
      <c r="Y431" s="340">
        <f t="array" aca="1" ref="Y431" ca="1">IF(Y$406="", "", IF(ISERROR(PRODUCT(1+OFFSET(Y$109, $CC431, 0, 5, 1)%)), "", PRODUCT(1+OFFSET(Y$109, $CC431, 0, 5, 1)%)^(1/5)-1))</f>
        <v>0.20794197094200517</v>
      </c>
      <c r="Z431" s="340">
        <f t="array" aca="1" ref="Z431" ca="1">IF(Z$406="", "", IF(ISERROR(PRODUCT(1+OFFSET(Z$109, $CC431, 0, 5, 1)%)), "", PRODUCT(1+OFFSET(Z$109, $CC431, 0, 5, 1)%)^(1/5)-1))</f>
        <v>0.23839491189906115</v>
      </c>
      <c r="AA431" s="340">
        <f t="array" aca="1" ref="AA431" ca="1">IF(AA$406="", "", IF(ISERROR(PRODUCT(1+OFFSET(AA$109, $CC431, 0, 5, 1)%)), "", PRODUCT(1+OFFSET(AA$109, $CC431, 0, 5, 1)%)^(1/5)-1))</f>
        <v>0.12919500189690414</v>
      </c>
      <c r="AB431" s="340">
        <f t="array" aca="1" ref="AB431" ca="1">IF(AB$406="", "", IF(ISERROR(PRODUCT(1+OFFSET(AB$109, $CC431, 0, 5, 1)%)), "", PRODUCT(1+OFFSET(AB$109, $CC431, 0, 5, 1)%)^(1/5)-1))</f>
        <v>-4.6715741409447675E-3</v>
      </c>
      <c r="AC431" s="340">
        <f t="array" aca="1" ref="AC431" ca="1">IF(AC$406="", "", IF(ISERROR(PRODUCT(1+OFFSET(AC$109, $CC431, 0, 5, 1)%)), "", PRODUCT(1+OFFSET(AC$109, $CC431, 0, 5, 1)%)^(1/5)-1))</f>
        <v>0.31868323243110064</v>
      </c>
      <c r="AD431" s="340" t="str">
        <f t="array" aca="1" ref="AD431" ca="1">IF(AD$406="", "", IF(ISERROR(PRODUCT(1+OFFSET(AD$109, $CC431, 0, 5, 1)%)), "", PRODUCT(1+OFFSET(AD$109, $CC431, 0, 5, 1)%)^(1/5)-1))</f>
        <v/>
      </c>
      <c r="AE431" s="340" t="str">
        <f t="array" aca="1" ref="AE431" ca="1">IF(AE$406="", "", IF(ISERROR(PRODUCT(1+OFFSET(AE$109, $CC431, 0, 5, 1)%)), "", PRODUCT(1+OFFSET(AE$109, $CC431, 0, 5, 1)%)^(1/5)-1))</f>
        <v/>
      </c>
      <c r="AF431" s="340" t="str">
        <f t="array" aca="1" ref="AF431" ca="1">IF(AF$406="", "", IF(ISERROR(PRODUCT(1+OFFSET(AF$109, $CC431, 0, 5, 1)%)), "", PRODUCT(1+OFFSET(AF$109, $CC431, 0, 5, 1)%)^(1/5)-1))</f>
        <v/>
      </c>
      <c r="AG431" s="340" t="str">
        <f t="array" aca="1" ref="AG431" ca="1">IF(AG$406="", "", IF(ISERROR(PRODUCT(1+OFFSET(AG$109, $CC431, 0, 5, 1)%)), "", PRODUCT(1+OFFSET(AG$109, $CC431, 0, 5, 1)%)^(1/5)-1))</f>
        <v/>
      </c>
      <c r="AH431" s="340" t="str">
        <f t="array" aca="1" ref="AH431" ca="1">IF(AH$406="", "", IF(ISERROR(PRODUCT(1+OFFSET(AH$109, $CC431, 0, 5, 1)%)), "", PRODUCT(1+OFFSET(AH$109, $CC431, 0, 5, 1)%)^(1/5)-1))</f>
        <v/>
      </c>
      <c r="AI431" s="340" t="str">
        <f t="array" aca="1" ref="AI431" ca="1">IF(AI$406="", "", IF(ISERROR(PRODUCT(1+OFFSET(AI$109, $CC431, 0, 5, 1)%)), "", PRODUCT(1+OFFSET(AI$109, $CC431, 0, 5, 1)%)^(1/5)-1))</f>
        <v/>
      </c>
      <c r="AJ431" s="340" t="str">
        <f t="array" aca="1" ref="AJ431" ca="1">IF(AJ$406="", "", IF(ISERROR(PRODUCT(1+OFFSET(AJ$109, $CC431, 0, 5, 1)%)), "", PRODUCT(1+OFFSET(AJ$109, $CC431, 0, 5, 1)%)^(1/5)-1))</f>
        <v/>
      </c>
      <c r="AK431" s="340" t="str">
        <f t="array" aca="1" ref="AK431" ca="1">IF(AK$406="", "", IF(ISERROR(PRODUCT(1+OFFSET(AK$109, $CC431, 0, 5, 1)%)), "", PRODUCT(1+OFFSET(AK$109, $CC431, 0, 5, 1)%)^(1/5)-1))</f>
        <v/>
      </c>
      <c r="AL431" s="340" t="str">
        <f t="array" aca="1" ref="AL431" ca="1">IF(AL$406="", "", IF(ISERROR(PRODUCT(1+OFFSET(AL$109, $CC431, 0, 5, 1)%)), "", PRODUCT(1+OFFSET(AL$109, $CC431, 0, 5, 1)%)^(1/5)-1))</f>
        <v/>
      </c>
      <c r="AM431" s="340" t="str">
        <f t="array" aca="1" ref="AM431" ca="1">IF(AM$406="", "", IF(ISERROR(PRODUCT(1+OFFSET(AM$109, $CC431, 0, 5, 1)%)), "", PRODUCT(1+OFFSET(AM$109, $CC431, 0, 5, 1)%)^(1/5)-1))</f>
        <v/>
      </c>
      <c r="AN431" s="340" t="str">
        <f t="array" aca="1" ref="AN431" ca="1">IF(AN$406="", "", IF(ISERROR(PRODUCT(1+OFFSET(AN$109, $CC431, 0, 5, 1)%)), "", PRODUCT(1+OFFSET(AN$109, $CC431, 0, 5, 1)%)^(1/5)-1))</f>
        <v/>
      </c>
      <c r="AO431" s="340" t="str">
        <f t="array" aca="1" ref="AO431" ca="1">IF(AO$406="", "", IF(ISERROR(PRODUCT(1+OFFSET(AO$109, $CC431, 0, 5, 1)%)), "", PRODUCT(1+OFFSET(AO$109, $CC431, 0, 5, 1)%)^(1/5)-1))</f>
        <v/>
      </c>
      <c r="AP431" s="340" t="str">
        <f t="array" aca="1" ref="AP431" ca="1">IF(AP$406="", "", IF(ISERROR(PRODUCT(1+OFFSET(AP$109, $CC431, 0, 5, 1)%)), "", PRODUCT(1+OFFSET(AP$109, $CC431, 0, 5, 1)%)^(1/5)-1))</f>
        <v/>
      </c>
      <c r="AQ431" s="340" t="str">
        <f t="array" aca="1" ref="AQ431" ca="1">IF(AQ$406="", "", IF(ISERROR(PRODUCT(1+OFFSET(AQ$109, $CC431, 0, 5, 1)%)), "", PRODUCT(1+OFFSET(AQ$109, $CC431, 0, 5, 1)%)^(1/5)-1))</f>
        <v/>
      </c>
      <c r="AR431" s="340" t="str">
        <f t="array" aca="1" ref="AR431" ca="1">IF(AR$406="", "", IF(ISERROR(PRODUCT(1+OFFSET(AR$109, $CC431, 0, 5, 1)%)), "", PRODUCT(1+OFFSET(AR$109, $CC431, 0, 5, 1)%)^(1/5)-1))</f>
        <v/>
      </c>
      <c r="AS431" s="340" t="str">
        <f t="array" aca="1" ref="AS431" ca="1">IF(AS$406="", "", IF(ISERROR(PRODUCT(1+OFFSET(AS$109, $CC431, 0, 5, 1)%)), "", PRODUCT(1+OFFSET(AS$109, $CC431, 0, 5, 1)%)^(1/5)-1))</f>
        <v/>
      </c>
      <c r="AT431" s="340" t="str">
        <f t="array" aca="1" ref="AT431" ca="1">IF(AT$406="", "", IF(ISERROR(PRODUCT(1+OFFSET(AT$109, $CC431, 0, 5, 1)%)), "", PRODUCT(1+OFFSET(AT$109, $CC431, 0, 5, 1)%)^(1/5)-1))</f>
        <v/>
      </c>
      <c r="AU431" s="340" t="str">
        <f t="array" aca="1" ref="AU431" ca="1">IF(AU$406="", "", IF(ISERROR(PRODUCT(1+OFFSET(AU$109, $CC431, 0, 5, 1)%)), "", PRODUCT(1+OFFSET(AU$109, $CC431, 0, 5, 1)%)^(1/5)-1))</f>
        <v/>
      </c>
      <c r="AV431" s="340" t="str">
        <f t="array" aca="1" ref="AV431" ca="1">IF(AV$406="", "", IF(ISERROR(PRODUCT(1+OFFSET(AV$109, $CC431, 0, 5, 1)%)), "", PRODUCT(1+OFFSET(AV$109, $CC431, 0, 5, 1)%)^(1/5)-1))</f>
        <v/>
      </c>
      <c r="AW431" s="340" t="str">
        <f t="array" aca="1" ref="AW431" ca="1">IF(AW$406="", "", IF(ISERROR(PRODUCT(1+OFFSET(AW$109, $CC431, 0, 5, 1)%)), "", PRODUCT(1+OFFSET(AW$109, $CC431, 0, 5, 1)%)^(1/5)-1))</f>
        <v/>
      </c>
      <c r="AX431" s="340" t="str">
        <f t="array" aca="1" ref="AX431" ca="1">IF(AX$406="", "", IF(ISERROR(PRODUCT(1+OFFSET(AX$109, $CC431, 0, 5, 1)%)), "", PRODUCT(1+OFFSET(AX$109, $CC431, 0, 5, 1)%)^(1/5)-1))</f>
        <v/>
      </c>
      <c r="AY431" s="340" t="str">
        <f t="array" aca="1" ref="AY431" ca="1">IF(AY$406="", "", IF(ISERROR(PRODUCT(1+OFFSET(AY$109, $CC431, 0, 5, 1)%)), "", PRODUCT(1+OFFSET(AY$109, $CC431, 0, 5, 1)%)^(1/5)-1))</f>
        <v/>
      </c>
      <c r="AZ431" s="340" t="str">
        <f t="array" aca="1" ref="AZ431" ca="1">IF(AZ$406="", "", IF(ISERROR(PRODUCT(1+OFFSET(AZ$109, $CC431, 0, 5, 1)%)), "", PRODUCT(1+OFFSET(AZ$109, $CC431, 0, 5, 1)%)^(1/5)-1))</f>
        <v/>
      </c>
      <c r="BA431" s="340" t="str">
        <f t="array" aca="1" ref="BA431" ca="1">IF(BA$406="", "", IF(ISERROR(PRODUCT(1+OFFSET(BA$109, $CC431, 0, 5, 1)%)), "", PRODUCT(1+OFFSET(BA$109, $CC431, 0, 5, 1)%)^(1/5)-1))</f>
        <v/>
      </c>
      <c r="BB431" s="340" t="str">
        <f t="array" aca="1" ref="BB431" ca="1">IF(BB$406="", "", IF(ISERROR(PRODUCT(1+OFFSET(BB$109, $CC431, 0, 5, 1)%)), "", PRODUCT(1+OFFSET(BB$109, $CC431, 0, 5, 1)%)^(1/5)-1))</f>
        <v/>
      </c>
      <c r="BC431" s="340" t="str">
        <f t="array" aca="1" ref="BC431" ca="1">IF(BC$406="", "", IF(ISERROR(PRODUCT(1+OFFSET(BC$109, $CC431, 0, 5, 1)%)), "", PRODUCT(1+OFFSET(BC$109, $CC431, 0, 5, 1)%)^(1/5)-1))</f>
        <v/>
      </c>
      <c r="BD431" s="340" t="str">
        <f t="array" aca="1" ref="BD431" ca="1">IF(BD$406="", "", IF(ISERROR(PRODUCT(1+OFFSET(BD$109, $CC431, 0, 5, 1)%)), "", PRODUCT(1+OFFSET(BD$109, $CC431, 0, 5, 1)%)^(1/5)-1))</f>
        <v/>
      </c>
      <c r="BE431" s="340" t="str">
        <f t="array" aca="1" ref="BE431" ca="1">IF(BE$406="", "", IF(ISERROR(PRODUCT(1+OFFSET(BE$109, $CC431, 0, 5, 1)%)), "", PRODUCT(1+OFFSET(BE$109, $CC431, 0, 5, 1)%)^(1/5)-1))</f>
        <v/>
      </c>
      <c r="BF431" s="340" t="str">
        <f t="array" aca="1" ref="BF431" ca="1">IF(BF$406="", "", IF(ISERROR(PRODUCT(1+OFFSET(BF$109, $CC431, 0, 5, 1)%)), "", PRODUCT(1+OFFSET(BF$109, $CC431, 0, 5, 1)%)^(1/5)-1))</f>
        <v/>
      </c>
      <c r="BG431" s="340" t="str">
        <f t="array" aca="1" ref="BG431" ca="1">IF(BG$406="", "", IF(ISERROR(PRODUCT(1+OFFSET(BG$109, $CC431, 0, 5, 1)%)), "", PRODUCT(1+OFFSET(BG$109, $CC431, 0, 5, 1)%)^(1/5)-1))</f>
        <v/>
      </c>
      <c r="BH431" s="340" t="str">
        <f t="array" aca="1" ref="BH431" ca="1">IF(BH$406="", "", IF(ISERROR(PRODUCT(1+OFFSET(BH$109, $CC431, 0, 5, 1)%)), "", PRODUCT(1+OFFSET(BH$109, $CC431, 0, 5, 1)%)^(1/5)-1))</f>
        <v/>
      </c>
      <c r="BI431" s="340" t="str">
        <f t="array" aca="1" ref="BI431" ca="1">IF(BI$406="", "", IF(ISERROR(PRODUCT(1+OFFSET(BI$109, $CC431, 0, 5, 1)%)), "", PRODUCT(1+OFFSET(BI$109, $CC431, 0, 5, 1)%)^(1/5)-1))</f>
        <v/>
      </c>
      <c r="BJ431" s="340" t="str">
        <f t="array" aca="1" ref="BJ431" ca="1">IF(BJ$406="", "", IF(ISERROR(PRODUCT(1+OFFSET(BJ$109, $CC431, 0, 5, 1)%)), "", PRODUCT(1+OFFSET(BJ$109, $CC431, 0, 5, 1)%)^(1/5)-1))</f>
        <v/>
      </c>
      <c r="BK431" s="340" t="str">
        <f t="array" aca="1" ref="BK431" ca="1">IF(BK$406="", "", IF(ISERROR(PRODUCT(1+OFFSET(BK$109, $CC431, 0, 5, 1)%)), "", PRODUCT(1+OFFSET(BK$109, $CC431, 0, 5, 1)%)^(1/5)-1))</f>
        <v/>
      </c>
      <c r="BL431" s="340" t="str">
        <f t="array" aca="1" ref="BL431" ca="1">IF(BL$406="", "", IF(ISERROR(PRODUCT(1+OFFSET(BL$109, $CC431, 0, 5, 1)%)), "", PRODUCT(1+OFFSET(BL$109, $CC431, 0, 5, 1)%)^(1/5)-1))</f>
        <v/>
      </c>
      <c r="BM431" s="340" t="str">
        <f t="array" aca="1" ref="BM431" ca="1">IF(BM$406="", "", IF(ISERROR(PRODUCT(1+OFFSET(BM$109, $CC431, 0, 5, 1)%)), "", PRODUCT(1+OFFSET(BM$109, $CC431, 0, 5, 1)%)^(1/5)-1))</f>
        <v/>
      </c>
      <c r="BN431" s="340" t="str">
        <f t="array" aca="1" ref="BN431" ca="1">IF(BN$406="", "", IF(ISERROR(PRODUCT(1+OFFSET(BN$109, $CC431, 0, 5, 1)%)), "", PRODUCT(1+OFFSET(BN$109, $CC431, 0, 5, 1)%)^(1/5)-1))</f>
        <v/>
      </c>
      <c r="BO431" s="340" t="str">
        <f t="array" aca="1" ref="BO431" ca="1">IF(BO$406="", "", IF(ISERROR(PRODUCT(1+OFFSET(BO$109, $CC431, 0, 5, 1)%)), "", PRODUCT(1+OFFSET(BO$109, $CC431, 0, 5, 1)%)^(1/5)-1))</f>
        <v/>
      </c>
      <c r="BP431" s="340" t="str">
        <f t="array" aca="1" ref="BP431" ca="1">IF(BP$406="", "", IF(ISERROR(PRODUCT(1+OFFSET(BP$109, $CC431, 0, 5, 1)%)), "", PRODUCT(1+OFFSET(BP$109, $CC431, 0, 5, 1)%)^(1/5)-1))</f>
        <v/>
      </c>
      <c r="BQ431" s="340" t="str">
        <f t="array" aca="1" ref="BQ431" ca="1">IF(BQ$406="", "", IF(ISERROR(PRODUCT(1+OFFSET(BQ$109, $CC431, 0, 5, 1)%)), "", PRODUCT(1+OFFSET(BQ$109, $CC431, 0, 5, 1)%)^(1/5)-1))</f>
        <v/>
      </c>
      <c r="BR431" s="340" t="str">
        <f t="array" aca="1" ref="BR431" ca="1">IF(BR$406="", "", IF(ISERROR(PRODUCT(1+OFFSET(BR$109, $CC431, 0, 5, 1)%)), "", PRODUCT(1+OFFSET(BR$109, $CC431, 0, 5, 1)%)^(1/5)-1))</f>
        <v/>
      </c>
      <c r="BS431" s="340" t="str">
        <f t="array" aca="1" ref="BS431" ca="1">IF(BS$406="", "", IF(ISERROR(PRODUCT(1+OFFSET(BS$109, $CC431, 0, 5, 1)%)), "", PRODUCT(1+OFFSET(BS$109, $CC431, 0, 5, 1)%)^(1/5)-1))</f>
        <v/>
      </c>
      <c r="BT431" s="340" t="str">
        <f t="array" aca="1" ref="BT431" ca="1">IF(BT$406="", "", IF(ISERROR(PRODUCT(1+OFFSET(BT$109, $CC431, 0, 5, 1)%)), "", PRODUCT(1+OFFSET(BT$109, $CC431, 0, 5, 1)%)^(1/5)-1))</f>
        <v/>
      </c>
      <c r="BU431" s="340" t="str">
        <f t="array" aca="1" ref="BU431" ca="1">IF(BU$406="", "", IF(ISERROR(PRODUCT(1+OFFSET(BU$109, $CC431, 0, 5, 1)%)), "", PRODUCT(1+OFFSET(BU$109, $CC431, 0, 5, 1)%)^(1/5)-1))</f>
        <v/>
      </c>
      <c r="BV431" s="340" t="str">
        <f t="array" aca="1" ref="BV431" ca="1">IF(BV$406="", "", IF(ISERROR(PRODUCT(1+OFFSET(BV$109, $CC431, 0, 5, 1)%)), "", PRODUCT(1+OFFSET(BV$109, $CC431, 0, 5, 1)%)^(1/5)-1))</f>
        <v/>
      </c>
      <c r="BW431" s="340" t="str">
        <f t="array" aca="1" ref="BW431" ca="1">IF(BW$406="", "", IF(ISERROR(PRODUCT(1+OFFSET(BW$109, $CC431, 0, 5, 1)%)), "", PRODUCT(1+OFFSET(BW$109, $CC431, 0, 5, 1)%)^(1/5)-1))</f>
        <v/>
      </c>
      <c r="BX431" s="340">
        <f t="array" aca="1" ref="BX431" ca="1">IF(BX$406="", "", IF(ISERROR(PRODUCT(1+OFFSET(BX$109, $CC431, 0, 5, 1)%)), "", PRODUCT(1+OFFSET(BX$109, $CC431, 0, 5, 1)%)^(1/5)-1))</f>
        <v>0.22447795266120862</v>
      </c>
      <c r="BY431" s="340">
        <f t="array" aca="1" ref="BY431" ca="1">IF(BY$406="", "", IF(ISERROR(PRODUCT(1+OFFSET(BY$109, $CC431, 0, 5, 1)%)), "", PRODUCT(1+OFFSET(BY$109, $CC431, 0, 5, 1)%)^(1/5)-1))</f>
        <v>0.17901924586904983</v>
      </c>
      <c r="BZ431" s="340">
        <f t="array" aca="1" ref="BZ431" ca="1">IF(BZ$406="", "", IF(ISERROR(PRODUCT(1+OFFSET(BZ$109, $CC431, 0, 5, 1)%)), "", PRODUCT(1+OFFSET(BZ$109, $CC431, 0, 5, 1)%)^(1/5)-1))</f>
        <v>9.8941334557125726E-2</v>
      </c>
      <c r="CA431" s="532">
        <f t="array" aca="1" ref="CA431" ca="1">IF(CA$406="", "", IF(ISERROR(PRODUCT(1+OFFSET(CA$109, $CC431, 0, 5, 1)%)), "", PRODUCT(1+OFFSET(CA$109, $CC431, 0, 5, 1)%)^(1/5)-1))</f>
        <v>3.287290502005713E-2</v>
      </c>
      <c r="CC431" s="482">
        <f t="shared" si="553"/>
        <v>10</v>
      </c>
    </row>
    <row r="432" spans="1:81" ht="14">
      <c r="A432" s="338" t="str">
        <f t="shared" si="552"/>
        <v>1987-1991</v>
      </c>
      <c r="B432" s="339">
        <f t="array" aca="1" ref="B432" ca="1">IF(B$406="", "", IF(ISERROR(PRODUCT(1+OFFSET(B$109, $CC432, 0, 5, 1)%)), "", PRODUCT(1+OFFSET(B$109, $CC432, 0, 5, 1)%)^(1/5)-1))</f>
        <v>0.1419644692473212</v>
      </c>
      <c r="C432" s="340">
        <f t="array" aca="1" ref="C432" ca="1">IF(C$406="", "", IF(ISERROR(PRODUCT(1+OFFSET(C$109, $CC432, 0, 5, 1)%)), "", PRODUCT(1+OFFSET(C$109, $CC432, 0, 5, 1)%)^(1/5)-1))</f>
        <v>0.11903894213423105</v>
      </c>
      <c r="D432" s="340">
        <f t="array" aca="1" ref="D432" ca="1">IF(D$406="", "", IF(ISERROR(PRODUCT(1+OFFSET(D$109, $CC432, 0, 5, 1)%)), "", PRODUCT(1+OFFSET(D$109, $CC432, 0, 5, 1)%)^(1/5)-1))</f>
        <v>0.15013627352346615</v>
      </c>
      <c r="E432" s="340">
        <f t="array" aca="1" ref="E432" ca="1">IF(E$406="", "", IF(ISERROR(PRODUCT(1+OFFSET(E$109, $CC432, 0, 5, 1)%)), "", PRODUCT(1+OFFSET(E$109, $CC432, 0, 5, 1)%)^(1/5)-1))</f>
        <v>0.17256476335575344</v>
      </c>
      <c r="F432" s="340">
        <f t="array" aca="1" ref="F432" ca="1">IF(F$406="", "", IF(ISERROR(PRODUCT(1+OFFSET(F$109, $CC432, 0, 5, 1)%)), "", PRODUCT(1+OFFSET(F$109, $CC432, 0, 5, 1)%)^(1/5)-1))</f>
        <v>0.13419516029111778</v>
      </c>
      <c r="G432" s="340">
        <f t="array" aca="1" ref="G432" ca="1">IF(G$406="", "", IF(ISERROR(PRODUCT(1+OFFSET(G$109, $CC432, 0, 5, 1)%)), "", PRODUCT(1+OFFSET(G$109, $CC432, 0, 5, 1)%)^(1/5)-1))</f>
        <v>8.1752603314279249E-2</v>
      </c>
      <c r="H432" s="340">
        <f t="array" aca="1" ref="H432" ca="1">IF(H$406="", "", IF(ISERROR(PRODUCT(1+OFFSET(H$109, $CC432, 0, 5, 1)%)), "", PRODUCT(1+OFFSET(H$109, $CC432, 0, 5, 1)%)^(1/5)-1))</f>
        <v>9.0044354184326547E-2</v>
      </c>
      <c r="I432" s="340">
        <f t="array" aca="1" ref="I432" ca="1">IF(I$406="", "", IF(ISERROR(PRODUCT(1+OFFSET(I$109, $CC432, 0, 5, 1)%)), "", PRODUCT(1+OFFSET(I$109, $CC432, 0, 5, 1)%)^(1/5)-1))</f>
        <v>9.8447830207466946E-2</v>
      </c>
      <c r="J432" s="340">
        <f t="array" aca="1" ref="J432" ca="1">IF(J$406="", "", IF(ISERROR(PRODUCT(1+OFFSET(J$109, $CC432, 0, 5, 1)%)), "", PRODUCT(1+OFFSET(J$109, $CC432, 0, 5, 1)%)^(1/5)-1))</f>
        <v>1.2266849336131758E-2</v>
      </c>
      <c r="K432" s="340">
        <f t="array" aca="1" ref="K432" ca="1">IF(K$406="", "", IF(ISERROR(PRODUCT(1+OFFSET(K$109, $CC432, 0, 5, 1)%)), "", PRODUCT(1+OFFSET(K$109, $CC432, 0, 5, 1)%)^(1/5)-1))</f>
        <v>6.170215781169075E-2</v>
      </c>
      <c r="L432" s="340">
        <f t="array" aca="1" ref="L432" ca="1">IF(L$406="", "", IF(ISERROR(PRODUCT(1+OFFSET(L$109, $CC432, 0, 5, 1)%)), "", PRODUCT(1+OFFSET(L$109, $CC432, 0, 5, 1)%)^(1/5)-1))</f>
        <v>8.8881684211915335E-2</v>
      </c>
      <c r="M432" s="340">
        <f t="array" aca="1" ref="M432" ca="1">IF(M$406="", "", IF(ISERROR(PRODUCT(1+OFFSET(M$109, $CC432, 0, 5, 1)%)), "", PRODUCT(1+OFFSET(M$109, $CC432, 0, 5, 1)%)^(1/5)-1))</f>
        <v>0.35009205864155435</v>
      </c>
      <c r="N432" s="340">
        <f t="array" aca="1" ref="N432" ca="1">IF(N$406="", "", IF(ISERROR(PRODUCT(1+OFFSET(N$109, $CC432, 0, 5, 1)%)), "", PRODUCT(1+OFFSET(N$109, $CC432, 0, 5, 1)%)^(1/5)-1))</f>
        <v>0.12853329197658359</v>
      </c>
      <c r="O432" s="340">
        <f t="array" aca="1" ref="O432" ca="1">IF(O$406="", "", IF(ISERROR(PRODUCT(1+OFFSET(O$109, $CC432, 0, 5, 1)%)), "", PRODUCT(1+OFFSET(O$109, $CC432, 0, 5, 1)%)^(1/5)-1))</f>
        <v>6.8581021308836698E-2</v>
      </c>
      <c r="P432" s="340">
        <f t="array" aca="1" ref="P432" ca="1">IF(P$406="", "", IF(ISERROR(PRODUCT(1+OFFSET(P$109, $CC432, 0, 5, 1)%)), "", PRODUCT(1+OFFSET(P$109, $CC432, 0, 5, 1)%)^(1/5)-1))</f>
        <v>0.10888619724986559</v>
      </c>
      <c r="Q432" s="340">
        <f t="array" aca="1" ref="Q432" ca="1">IF(Q$406="", "", IF(ISERROR(PRODUCT(1+OFFSET(Q$109, $CC432, 0, 5, 1)%)), "", PRODUCT(1+OFFSET(Q$109, $CC432, 0, 5, 1)%)^(1/5)-1))</f>
        <v>0.13437743940080482</v>
      </c>
      <c r="R432" s="340">
        <f t="array" aca="1" ref="R432" ca="1">IF(R$406="", "", IF(ISERROR(PRODUCT(1+OFFSET(R$109, $CC432, 0, 5, 1)%)), "", PRODUCT(1+OFFSET(R$109, $CC432, 0, 5, 1)%)^(1/5)-1))</f>
        <v>0.18302039594350905</v>
      </c>
      <c r="S432" s="340">
        <f t="array" aca="1" ref="S432" ca="1">IF(S$406="", "", IF(ISERROR(PRODUCT(1+OFFSET(S$109, $CC432, 0, 5, 1)%)), "", PRODUCT(1+OFFSET(S$109, $CC432, 0, 5, 1)%)^(1/5)-1))</f>
        <v>9.1464447846839159E-2</v>
      </c>
      <c r="T432" s="340">
        <f t="array" aca="1" ref="T432" ca="1">IF(T$406="", "", IF(ISERROR(PRODUCT(1+OFFSET(T$109, $CC432, 0, 5, 1)%)), "", PRODUCT(1+OFFSET(T$109, $CC432, 0, 5, 1)%)^(1/5)-1))</f>
        <v>8.3957662239422248E-2</v>
      </c>
      <c r="U432" s="340">
        <f t="array" aca="1" ref="U432" ca="1">IF(U$406="", "", IF(ISERROR(PRODUCT(1+OFFSET(U$109, $CC432, 0, 5, 1)%)), "", PRODUCT(1+OFFSET(U$109, $CC432, 0, 5, 1)%)^(1/5)-1))</f>
        <v>9.0465257145148525E-2</v>
      </c>
      <c r="V432" s="340">
        <f t="array" aca="1" ref="V432" ca="1">IF(V$406="", "", IF(ISERROR(PRODUCT(1+OFFSET(V$109, $CC432, 0, 5, 1)%)), "", PRODUCT(1+OFFSET(V$109, $CC432, 0, 5, 1)%)^(1/5)-1))</f>
        <v>7.1617932686411701E-2</v>
      </c>
      <c r="W432" s="340">
        <f t="array" aca="1" ref="W432" ca="1">IF(W$406="", "", IF(ISERROR(PRODUCT(1+OFFSET(W$109, $CC432, 0, 5, 1)%)), "", PRODUCT(1+OFFSET(W$109, $CC432, 0, 5, 1)%)^(1/5)-1))</f>
        <v>0.10753937000701885</v>
      </c>
      <c r="X432" s="340">
        <f t="array" aca="1" ref="X432" ca="1">IF(X$406="", "", IF(ISERROR(PRODUCT(1+OFFSET(X$109, $CC432, 0, 5, 1)%)), "", PRODUCT(1+OFFSET(X$109, $CC432, 0, 5, 1)%)^(1/5)-1))</f>
        <v>0.11655963735143238</v>
      </c>
      <c r="Y432" s="340">
        <f t="array" aca="1" ref="Y432" ca="1">IF(Y$406="", "", IF(ISERROR(PRODUCT(1+OFFSET(Y$109, $CC432, 0, 5, 1)%)), "", PRODUCT(1+OFFSET(Y$109, $CC432, 0, 5, 1)%)^(1/5)-1))</f>
        <v>0.11193010811715709</v>
      </c>
      <c r="Z432" s="340">
        <f t="array" aca="1" ref="Z432" ca="1">IF(Z$406="", "", IF(ISERROR(PRODUCT(1+OFFSET(Z$109, $CC432, 0, 5, 1)%)), "", PRODUCT(1+OFFSET(Z$109, $CC432, 0, 5, 1)%)^(1/5)-1))</f>
        <v>0.10234614427937161</v>
      </c>
      <c r="AA432" s="340">
        <f t="array" aca="1" ref="AA432" ca="1">IF(AA$406="", "", IF(ISERROR(PRODUCT(1+OFFSET(AA$109, $CC432, 0, 5, 1)%)), "", PRODUCT(1+OFFSET(AA$109, $CC432, 0, 5, 1)%)^(1/5)-1))</f>
        <v>7.8086611036681131E-2</v>
      </c>
      <c r="AB432" s="340">
        <f t="array" aca="1" ref="AB432" ca="1">IF(AB$406="", "", IF(ISERROR(PRODUCT(1+OFFSET(AB$109, $CC432, 0, 5, 1)%)), "", PRODUCT(1+OFFSET(AB$109, $CC432, 0, 5, 1)%)^(1/5)-1))</f>
        <v>-2.6574140295308357E-2</v>
      </c>
      <c r="AC432" s="340">
        <f t="array" aca="1" ref="AC432" ca="1">IF(AC$406="", "", IF(ISERROR(PRODUCT(1+OFFSET(AC$109, $CC432, 0, 5, 1)%)), "", PRODUCT(1+OFFSET(AC$109, $CC432, 0, 5, 1)%)^(1/5)-1))</f>
        <v>0.14582632981901278</v>
      </c>
      <c r="AD432" s="340">
        <f t="array" aca="1" ref="AD432" ca="1">IF(AD$406="", "", IF(ISERROR(PRODUCT(1+OFFSET(AD$109, $CC432, 0, 5, 1)%)), "", PRODUCT(1+OFFSET(AD$109, $CC432, 0, 5, 1)%)^(1/5)-1))</f>
        <v>0.12817035987133996</v>
      </c>
      <c r="AE432" s="340">
        <f t="array" aca="1" ref="AE432" ca="1">IF(AE$406="", "", IF(ISERROR(PRODUCT(1+OFFSET(AE$109, $CC432, 0, 5, 1)%)), "", PRODUCT(1+OFFSET(AE$109, $CC432, 0, 5, 1)%)^(1/5)-1))</f>
        <v>0.23753405652765092</v>
      </c>
      <c r="AF432" s="340">
        <f t="array" aca="1" ref="AF432" ca="1">IF(AF$406="", "", IF(ISERROR(PRODUCT(1+OFFSET(AF$109, $CC432, 0, 5, 1)%)), "", PRODUCT(1+OFFSET(AF$109, $CC432, 0, 5, 1)%)^(1/5)-1))</f>
        <v>5.3615570904711918E-2</v>
      </c>
      <c r="AG432" s="340">
        <f t="array" aca="1" ref="AG432" ca="1">IF(AG$406="", "", IF(ISERROR(PRODUCT(1+OFFSET(AG$109, $CC432, 0, 5, 1)%)), "", PRODUCT(1+OFFSET(AG$109, $CC432, 0, 5, 1)%)^(1/5)-1))</f>
        <v>0.12568876499004489</v>
      </c>
      <c r="AH432" s="340">
        <f t="array" aca="1" ref="AH432" ca="1">IF(AH$406="", "", IF(ISERROR(PRODUCT(1+OFFSET(AH$109, $CC432, 0, 5, 1)%)), "", PRODUCT(1+OFFSET(AH$109, $CC432, 0, 5, 1)%)^(1/5)-1))</f>
        <v>6.1077536822772283E-2</v>
      </c>
      <c r="AI432" s="340">
        <f t="array" aca="1" ref="AI432" ca="1">IF(AI$406="", "", IF(ISERROR(PRODUCT(1+OFFSET(AI$109, $CC432, 0, 5, 1)%)), "", PRODUCT(1+OFFSET(AI$109, $CC432, 0, 5, 1)%)^(1/5)-1))</f>
        <v>8.1375591388429092E-2</v>
      </c>
      <c r="AJ432" s="340">
        <f t="array" aca="1" ref="AJ432" ca="1">IF(AJ$406="", "", IF(ISERROR(PRODUCT(1+OFFSET(AJ$109, $CC432, 0, 5, 1)%)), "", PRODUCT(1+OFFSET(AJ$109, $CC432, 0, 5, 1)%)^(1/5)-1))</f>
        <v>8.4549723318209535E-2</v>
      </c>
      <c r="AK432" s="340">
        <f t="array" aca="1" ref="AK432" ca="1">IF(AK$406="", "", IF(ISERROR(PRODUCT(1+OFFSET(AK$109, $CC432, 0, 5, 1)%)), "", PRODUCT(1+OFFSET(AK$109, $CC432, 0, 5, 1)%)^(1/5)-1))</f>
        <v>7.6029730119523631E-2</v>
      </c>
      <c r="AL432" s="340">
        <f t="array" aca="1" ref="AL432" ca="1">IF(AL$406="", "", IF(ISERROR(PRODUCT(1+OFFSET(AL$109, $CC432, 0, 5, 1)%)), "", PRODUCT(1+OFFSET(AL$109, $CC432, 0, 5, 1)%)^(1/5)-1))</f>
        <v>0.16049037005857492</v>
      </c>
      <c r="AM432" s="340">
        <f t="array" aca="1" ref="AM432" ca="1">IF(AM$406="", "", IF(ISERROR(PRODUCT(1+OFFSET(AM$109, $CC432, 0, 5, 1)%)), "", PRODUCT(1+OFFSET(AM$109, $CC432, 0, 5, 1)%)^(1/5)-1))</f>
        <v>0.1132887155230129</v>
      </c>
      <c r="AN432" s="340">
        <f t="array" aca="1" ref="AN432" ca="1">IF(AN$406="", "", IF(ISERROR(PRODUCT(1+OFFSET(AN$109, $CC432, 0, 5, 1)%)), "", PRODUCT(1+OFFSET(AN$109, $CC432, 0, 5, 1)%)^(1/5)-1))</f>
        <v>0.11638828504708965</v>
      </c>
      <c r="AO432" s="340">
        <f t="array" aca="1" ref="AO432" ca="1">IF(AO$406="", "", IF(ISERROR(PRODUCT(1+OFFSET(AO$109, $CC432, 0, 5, 1)%)), "", PRODUCT(1+OFFSET(AO$109, $CC432, 0, 5, 1)%)^(1/5)-1))</f>
        <v>8.7614311701941006E-2</v>
      </c>
      <c r="AP432" s="340">
        <f t="array" aca="1" ref="AP432" ca="1">IF(AP$406="", "", IF(ISERROR(PRODUCT(1+OFFSET(AP$109, $CC432, 0, 5, 1)%)), "", PRODUCT(1+OFFSET(AP$109, $CC432, 0, 5, 1)%)^(1/5)-1))</f>
        <v>8.9902687161176109E-2</v>
      </c>
      <c r="AQ432" s="340" t="str">
        <f t="array" aca="1" ref="AQ432" ca="1">IF(AQ$406="", "", IF(ISERROR(PRODUCT(1+OFFSET(AQ$109, $CC432, 0, 5, 1)%)), "", PRODUCT(1+OFFSET(AQ$109, $CC432, 0, 5, 1)%)^(1/5)-1))</f>
        <v/>
      </c>
      <c r="AR432" s="340" t="str">
        <f t="array" aca="1" ref="AR432" ca="1">IF(AR$406="", "", IF(ISERROR(PRODUCT(1+OFFSET(AR$109, $CC432, 0, 5, 1)%)), "", PRODUCT(1+OFFSET(AR$109, $CC432, 0, 5, 1)%)^(1/5)-1))</f>
        <v/>
      </c>
      <c r="AS432" s="340" t="str">
        <f t="array" aca="1" ref="AS432" ca="1">IF(AS$406="", "", IF(ISERROR(PRODUCT(1+OFFSET(AS$109, $CC432, 0, 5, 1)%)), "", PRODUCT(1+OFFSET(AS$109, $CC432, 0, 5, 1)%)^(1/5)-1))</f>
        <v/>
      </c>
      <c r="AT432" s="340" t="str">
        <f t="array" aca="1" ref="AT432" ca="1">IF(AT$406="", "", IF(ISERROR(PRODUCT(1+OFFSET(AT$109, $CC432, 0, 5, 1)%)), "", PRODUCT(1+OFFSET(AT$109, $CC432, 0, 5, 1)%)^(1/5)-1))</f>
        <v/>
      </c>
      <c r="AU432" s="340" t="str">
        <f t="array" aca="1" ref="AU432" ca="1">IF(AU$406="", "", IF(ISERROR(PRODUCT(1+OFFSET(AU$109, $CC432, 0, 5, 1)%)), "", PRODUCT(1+OFFSET(AU$109, $CC432, 0, 5, 1)%)^(1/5)-1))</f>
        <v/>
      </c>
      <c r="AV432" s="340" t="str">
        <f t="array" aca="1" ref="AV432" ca="1">IF(AV$406="", "", IF(ISERROR(PRODUCT(1+OFFSET(AV$109, $CC432, 0, 5, 1)%)), "", PRODUCT(1+OFFSET(AV$109, $CC432, 0, 5, 1)%)^(1/5)-1))</f>
        <v/>
      </c>
      <c r="AW432" s="340" t="str">
        <f t="array" aca="1" ref="AW432" ca="1">IF(AW$406="", "", IF(ISERROR(PRODUCT(1+OFFSET(AW$109, $CC432, 0, 5, 1)%)), "", PRODUCT(1+OFFSET(AW$109, $CC432, 0, 5, 1)%)^(1/5)-1))</f>
        <v/>
      </c>
      <c r="AX432" s="340" t="str">
        <f t="array" aca="1" ref="AX432" ca="1">IF(AX$406="", "", IF(ISERROR(PRODUCT(1+OFFSET(AX$109, $CC432, 0, 5, 1)%)), "", PRODUCT(1+OFFSET(AX$109, $CC432, 0, 5, 1)%)^(1/5)-1))</f>
        <v/>
      </c>
      <c r="AY432" s="340" t="str">
        <f t="array" aca="1" ref="AY432" ca="1">IF(AY$406="", "", IF(ISERROR(PRODUCT(1+OFFSET(AY$109, $CC432, 0, 5, 1)%)), "", PRODUCT(1+OFFSET(AY$109, $CC432, 0, 5, 1)%)^(1/5)-1))</f>
        <v/>
      </c>
      <c r="AZ432" s="340" t="str">
        <f t="array" aca="1" ref="AZ432" ca="1">IF(AZ$406="", "", IF(ISERROR(PRODUCT(1+OFFSET(AZ$109, $CC432, 0, 5, 1)%)), "", PRODUCT(1+OFFSET(AZ$109, $CC432, 0, 5, 1)%)^(1/5)-1))</f>
        <v/>
      </c>
      <c r="BA432" s="340" t="str">
        <f t="array" aca="1" ref="BA432" ca="1">IF(BA$406="", "", IF(ISERROR(PRODUCT(1+OFFSET(BA$109, $CC432, 0, 5, 1)%)), "", PRODUCT(1+OFFSET(BA$109, $CC432, 0, 5, 1)%)^(1/5)-1))</f>
        <v/>
      </c>
      <c r="BB432" s="340" t="str">
        <f t="array" aca="1" ref="BB432" ca="1">IF(BB$406="", "", IF(ISERROR(PRODUCT(1+OFFSET(BB$109, $CC432, 0, 5, 1)%)), "", PRODUCT(1+OFFSET(BB$109, $CC432, 0, 5, 1)%)^(1/5)-1))</f>
        <v/>
      </c>
      <c r="BC432" s="340" t="str">
        <f t="array" aca="1" ref="BC432" ca="1">IF(BC$406="", "", IF(ISERROR(PRODUCT(1+OFFSET(BC$109, $CC432, 0, 5, 1)%)), "", PRODUCT(1+OFFSET(BC$109, $CC432, 0, 5, 1)%)^(1/5)-1))</f>
        <v/>
      </c>
      <c r="BD432" s="340" t="str">
        <f t="array" aca="1" ref="BD432" ca="1">IF(BD$406="", "", IF(ISERROR(PRODUCT(1+OFFSET(BD$109, $CC432, 0, 5, 1)%)), "", PRODUCT(1+OFFSET(BD$109, $CC432, 0, 5, 1)%)^(1/5)-1))</f>
        <v/>
      </c>
      <c r="BE432" s="340" t="str">
        <f t="array" aca="1" ref="BE432" ca="1">IF(BE$406="", "", IF(ISERROR(PRODUCT(1+OFFSET(BE$109, $CC432, 0, 5, 1)%)), "", PRODUCT(1+OFFSET(BE$109, $CC432, 0, 5, 1)%)^(1/5)-1))</f>
        <v/>
      </c>
      <c r="BF432" s="340" t="str">
        <f t="array" aca="1" ref="BF432" ca="1">IF(BF$406="", "", IF(ISERROR(PRODUCT(1+OFFSET(BF$109, $CC432, 0, 5, 1)%)), "", PRODUCT(1+OFFSET(BF$109, $CC432, 0, 5, 1)%)^(1/5)-1))</f>
        <v/>
      </c>
      <c r="BG432" s="340" t="str">
        <f t="array" aca="1" ref="BG432" ca="1">IF(BG$406="", "", IF(ISERROR(PRODUCT(1+OFFSET(BG$109, $CC432, 0, 5, 1)%)), "", PRODUCT(1+OFFSET(BG$109, $CC432, 0, 5, 1)%)^(1/5)-1))</f>
        <v/>
      </c>
      <c r="BH432" s="340" t="str">
        <f t="array" aca="1" ref="BH432" ca="1">IF(BH$406="", "", IF(ISERROR(PRODUCT(1+OFFSET(BH$109, $CC432, 0, 5, 1)%)), "", PRODUCT(1+OFFSET(BH$109, $CC432, 0, 5, 1)%)^(1/5)-1))</f>
        <v/>
      </c>
      <c r="BI432" s="340" t="str">
        <f t="array" aca="1" ref="BI432" ca="1">IF(BI$406="", "", IF(ISERROR(PRODUCT(1+OFFSET(BI$109, $CC432, 0, 5, 1)%)), "", PRODUCT(1+OFFSET(BI$109, $CC432, 0, 5, 1)%)^(1/5)-1))</f>
        <v/>
      </c>
      <c r="BJ432" s="340" t="str">
        <f t="array" aca="1" ref="BJ432" ca="1">IF(BJ$406="", "", IF(ISERROR(PRODUCT(1+OFFSET(BJ$109, $CC432, 0, 5, 1)%)), "", PRODUCT(1+OFFSET(BJ$109, $CC432, 0, 5, 1)%)^(1/5)-1))</f>
        <v/>
      </c>
      <c r="BK432" s="340" t="str">
        <f t="array" aca="1" ref="BK432" ca="1">IF(BK$406="", "", IF(ISERROR(PRODUCT(1+OFFSET(BK$109, $CC432, 0, 5, 1)%)), "", PRODUCT(1+OFFSET(BK$109, $CC432, 0, 5, 1)%)^(1/5)-1))</f>
        <v/>
      </c>
      <c r="BL432" s="340" t="str">
        <f t="array" aca="1" ref="BL432" ca="1">IF(BL$406="", "", IF(ISERROR(PRODUCT(1+OFFSET(BL$109, $CC432, 0, 5, 1)%)), "", PRODUCT(1+OFFSET(BL$109, $CC432, 0, 5, 1)%)^(1/5)-1))</f>
        <v/>
      </c>
      <c r="BM432" s="340" t="str">
        <f t="array" aca="1" ref="BM432" ca="1">IF(BM$406="", "", IF(ISERROR(PRODUCT(1+OFFSET(BM$109, $CC432, 0, 5, 1)%)), "", PRODUCT(1+OFFSET(BM$109, $CC432, 0, 5, 1)%)^(1/5)-1))</f>
        <v/>
      </c>
      <c r="BN432" s="340" t="str">
        <f t="array" aca="1" ref="BN432" ca="1">IF(BN$406="", "", IF(ISERROR(PRODUCT(1+OFFSET(BN$109, $CC432, 0, 5, 1)%)), "", PRODUCT(1+OFFSET(BN$109, $CC432, 0, 5, 1)%)^(1/5)-1))</f>
        <v/>
      </c>
      <c r="BO432" s="340" t="str">
        <f t="array" aca="1" ref="BO432" ca="1">IF(BO$406="", "", IF(ISERROR(PRODUCT(1+OFFSET(BO$109, $CC432, 0, 5, 1)%)), "", PRODUCT(1+OFFSET(BO$109, $CC432, 0, 5, 1)%)^(1/5)-1))</f>
        <v/>
      </c>
      <c r="BP432" s="340" t="str">
        <f t="array" aca="1" ref="BP432" ca="1">IF(BP$406="", "", IF(ISERROR(PRODUCT(1+OFFSET(BP$109, $CC432, 0, 5, 1)%)), "", PRODUCT(1+OFFSET(BP$109, $CC432, 0, 5, 1)%)^(1/5)-1))</f>
        <v/>
      </c>
      <c r="BQ432" s="340" t="str">
        <f t="array" aca="1" ref="BQ432" ca="1">IF(BQ$406="", "", IF(ISERROR(PRODUCT(1+OFFSET(BQ$109, $CC432, 0, 5, 1)%)), "", PRODUCT(1+OFFSET(BQ$109, $CC432, 0, 5, 1)%)^(1/5)-1))</f>
        <v/>
      </c>
      <c r="BR432" s="340" t="str">
        <f t="array" aca="1" ref="BR432" ca="1">IF(BR$406="", "", IF(ISERROR(PRODUCT(1+OFFSET(BR$109, $CC432, 0, 5, 1)%)), "", PRODUCT(1+OFFSET(BR$109, $CC432, 0, 5, 1)%)^(1/5)-1))</f>
        <v/>
      </c>
      <c r="BS432" s="340" t="str">
        <f t="array" aca="1" ref="BS432" ca="1">IF(BS$406="", "", IF(ISERROR(PRODUCT(1+OFFSET(BS$109, $CC432, 0, 5, 1)%)), "", PRODUCT(1+OFFSET(BS$109, $CC432, 0, 5, 1)%)^(1/5)-1))</f>
        <v/>
      </c>
      <c r="BT432" s="340" t="str">
        <f t="array" aca="1" ref="BT432" ca="1">IF(BT$406="", "", IF(ISERROR(PRODUCT(1+OFFSET(BT$109, $CC432, 0, 5, 1)%)), "", PRODUCT(1+OFFSET(BT$109, $CC432, 0, 5, 1)%)^(1/5)-1))</f>
        <v/>
      </c>
      <c r="BU432" s="340" t="str">
        <f t="array" aca="1" ref="BU432" ca="1">IF(BU$406="", "", IF(ISERROR(PRODUCT(1+OFFSET(BU$109, $CC432, 0, 5, 1)%)), "", PRODUCT(1+OFFSET(BU$109, $CC432, 0, 5, 1)%)^(1/5)-1))</f>
        <v/>
      </c>
      <c r="BV432" s="340" t="str">
        <f t="array" aca="1" ref="BV432" ca="1">IF(BV$406="", "", IF(ISERROR(PRODUCT(1+OFFSET(BV$109, $CC432, 0, 5, 1)%)), "", PRODUCT(1+OFFSET(BV$109, $CC432, 0, 5, 1)%)^(1/5)-1))</f>
        <v/>
      </c>
      <c r="BW432" s="340" t="str">
        <f t="array" aca="1" ref="BW432" ca="1">IF(BW$406="", "", IF(ISERROR(PRODUCT(1+OFFSET(BW$109, $CC432, 0, 5, 1)%)), "", PRODUCT(1+OFFSET(BW$109, $CC432, 0, 5, 1)%)^(1/5)-1))</f>
        <v/>
      </c>
      <c r="BX432" s="340">
        <f t="array" aca="1" ref="BX432" ca="1">IF(BX$406="", "", IF(ISERROR(PRODUCT(1+OFFSET(BX$109, $CC432, 0, 5, 1)%)), "", PRODUCT(1+OFFSET(BX$109, $CC432, 0, 5, 1)%)^(1/5)-1))</f>
        <v>0.13167051860364287</v>
      </c>
      <c r="BY432" s="340">
        <f t="array" aca="1" ref="BY432" ca="1">IF(BY$406="", "", IF(ISERROR(PRODUCT(1+OFFSET(BY$109, $CC432, 0, 5, 1)%)), "", PRODUCT(1+OFFSET(BY$109, $CC432, 0, 5, 1)%)^(1/5)-1))</f>
        <v>8.6125577563901157E-2</v>
      </c>
      <c r="BZ432" s="340">
        <f t="array" aca="1" ref="BZ432" ca="1">IF(BZ$406="", "", IF(ISERROR(PRODUCT(1+OFFSET(BZ$109, $CC432, 0, 5, 1)%)), "", PRODUCT(1+OFFSET(BZ$109, $CC432, 0, 5, 1)%)^(1/5)-1))</f>
        <v>7.2701526487352064E-2</v>
      </c>
      <c r="CA432" s="532">
        <f t="array" aca="1" ref="CA432" ca="1">IF(CA$406="", "", IF(ISERROR(PRODUCT(1+OFFSET(CA$109, $CC432, 0, 5, 1)%)), "", PRODUCT(1+OFFSET(CA$109, $CC432, 0, 5, 1)%)^(1/5)-1))</f>
        <v>4.5298669555305038E-2</v>
      </c>
      <c r="CC432" s="482">
        <f t="shared" si="553"/>
        <v>15</v>
      </c>
    </row>
    <row r="433" spans="1:81" ht="14">
      <c r="A433" s="338" t="str">
        <f t="shared" si="552"/>
        <v>1992-1996</v>
      </c>
      <c r="B433" s="339">
        <f t="array" aca="1" ref="B433" ca="1">IF(B$406="", "", IF(ISERROR(PRODUCT(1+OFFSET(B$109, $CC433, 0, 5, 1)%)), "", PRODUCT(1+OFFSET(B$109, $CC433, 0, 5, 1)%)^(1/5)-1))</f>
        <v>0.14695467746216972</v>
      </c>
      <c r="C433" s="340">
        <f t="array" aca="1" ref="C433" ca="1">IF(C$406="", "", IF(ISERROR(PRODUCT(1+OFFSET(C$109, $CC433, 0, 5, 1)%)), "", PRODUCT(1+OFFSET(C$109, $CC433, 0, 5, 1)%)^(1/5)-1))</f>
        <v>0.17301864858965077</v>
      </c>
      <c r="D433" s="340">
        <f t="array" aca="1" ref="D433" ca="1">IF(D$406="", "", IF(ISERROR(PRODUCT(1+OFFSET(D$109, $CC433, 0, 5, 1)%)), "", PRODUCT(1+OFFSET(D$109, $CC433, 0, 5, 1)%)^(1/5)-1))</f>
        <v>0.1506752944217824</v>
      </c>
      <c r="E433" s="340">
        <f t="array" aca="1" ref="E433" ca="1">IF(E$406="", "", IF(ISERROR(PRODUCT(1+OFFSET(E$109, $CC433, 0, 5, 1)%)), "", PRODUCT(1+OFFSET(E$109, $CC433, 0, 5, 1)%)^(1/5)-1))</f>
        <v>0.13330660681001216</v>
      </c>
      <c r="F433" s="340">
        <f t="array" aca="1" ref="F433" ca="1">IF(F$406="", "", IF(ISERROR(PRODUCT(1+OFFSET(F$109, $CC433, 0, 5, 1)%)), "", PRODUCT(1+OFFSET(F$109, $CC433, 0, 5, 1)%)^(1/5)-1))</f>
        <v>0.15544132473522732</v>
      </c>
      <c r="G433" s="340">
        <f t="array" aca="1" ref="G433" ca="1">IF(G$406="", "", IF(ISERROR(PRODUCT(1+OFFSET(G$109, $CC433, 0, 5, 1)%)), "", PRODUCT(1+OFFSET(G$109, $CC433, 0, 5, 1)%)^(1/5)-1))</f>
        <v>0.18904628045368876</v>
      </c>
      <c r="H433" s="340">
        <f t="array" aca="1" ref="H433" ca="1">IF(H$406="", "", IF(ISERROR(PRODUCT(1+OFFSET(H$109, $CC433, 0, 5, 1)%)), "", PRODUCT(1+OFFSET(H$109, $CC433, 0, 5, 1)%)^(1/5)-1))</f>
        <v>0.1619230515500345</v>
      </c>
      <c r="I433" s="340">
        <f t="array" aca="1" ref="I433" ca="1">IF(I$406="", "", IF(ISERROR(PRODUCT(1+OFFSET(I$109, $CC433, 0, 5, 1)%)), "", PRODUCT(1+OFFSET(I$109, $CC433, 0, 5, 1)%)^(1/5)-1))</f>
        <v>0.11453032155907539</v>
      </c>
      <c r="J433" s="340">
        <f t="array" aca="1" ref="J433" ca="1">IF(J$406="", "", IF(ISERROR(PRODUCT(1+OFFSET(J$109, $CC433, 0, 5, 1)%)), "", PRODUCT(1+OFFSET(J$109, $CC433, 0, 5, 1)%)^(1/5)-1))</f>
        <v>0.18914364361095171</v>
      </c>
      <c r="K433" s="340">
        <f t="array" aca="1" ref="K433" ca="1">IF(K$406="", "", IF(ISERROR(PRODUCT(1+OFFSET(K$109, $CC433, 0, 5, 1)%)), "", PRODUCT(1+OFFSET(K$109, $CC433, 0, 5, 1)%)^(1/5)-1))</f>
        <v>0.16866332054793953</v>
      </c>
      <c r="L433" s="340">
        <f t="array" aca="1" ref="L433" ca="1">IF(L$406="", "", IF(ISERROR(PRODUCT(1+OFFSET(L$109, $CC433, 0, 5, 1)%)), "", PRODUCT(1+OFFSET(L$109, $CC433, 0, 5, 1)%)^(1/5)-1))</f>
        <v>8.4162364787551347E-2</v>
      </c>
      <c r="M433" s="340">
        <f t="array" aca="1" ref="M433" ca="1">IF(M$406="", "", IF(ISERROR(PRODUCT(1+OFFSET(M$109, $CC433, 0, 5, 1)%)), "", PRODUCT(1+OFFSET(M$109, $CC433, 0, 5, 1)%)^(1/5)-1))</f>
        <v>0.15719323229187765</v>
      </c>
      <c r="N433" s="340">
        <f t="array" aca="1" ref="N433" ca="1">IF(N$406="", "", IF(ISERROR(PRODUCT(1+OFFSET(N$109, $CC433, 0, 5, 1)%)), "", PRODUCT(1+OFFSET(N$109, $CC433, 0, 5, 1)%)^(1/5)-1))</f>
        <v>9.6169399053039006E-2</v>
      </c>
      <c r="O433" s="340">
        <f t="array" aca="1" ref="O433" ca="1">IF(O$406="", "", IF(ISERROR(PRODUCT(1+OFFSET(O$109, $CC433, 0, 5, 1)%)), "", PRODUCT(1+OFFSET(O$109, $CC433, 0, 5, 1)%)^(1/5)-1))</f>
        <v>3.4843940772322224E-2</v>
      </c>
      <c r="P433" s="340">
        <f t="array" aca="1" ref="P433" ca="1">IF(P$406="", "", IF(ISERROR(PRODUCT(1+OFFSET(P$109, $CC433, 0, 5, 1)%)), "", PRODUCT(1+OFFSET(P$109, $CC433, 0, 5, 1)%)^(1/5)-1))</f>
        <v>0.13528564004193977</v>
      </c>
      <c r="Q433" s="340">
        <f t="array" aca="1" ref="Q433" ca="1">IF(Q$406="", "", IF(ISERROR(PRODUCT(1+OFFSET(Q$109, $CC433, 0, 5, 1)%)), "", PRODUCT(1+OFFSET(Q$109, $CC433, 0, 5, 1)%)^(1/5)-1))</f>
        <v>0.11218899355859469</v>
      </c>
      <c r="R433" s="340">
        <f t="array" aca="1" ref="R433" ca="1">IF(R$406="", "", IF(ISERROR(PRODUCT(1+OFFSET(R$109, $CC433, 0, 5, 1)%)), "", PRODUCT(1+OFFSET(R$109, $CC433, 0, 5, 1)%)^(1/5)-1))</f>
        <v>0.12056383490558886</v>
      </c>
      <c r="S433" s="340">
        <f t="array" aca="1" ref="S433" ca="1">IF(S$406="", "", IF(ISERROR(PRODUCT(1+OFFSET(S$109, $CC433, 0, 5, 1)%)), "", PRODUCT(1+OFFSET(S$109, $CC433, 0, 5, 1)%)^(1/5)-1))</f>
        <v>8.4226731056887161E-2</v>
      </c>
      <c r="T433" s="340">
        <f t="array" aca="1" ref="T433" ca="1">IF(T$406="", "", IF(ISERROR(PRODUCT(1+OFFSET(T$109, $CC433, 0, 5, 1)%)), "", PRODUCT(1+OFFSET(T$109, $CC433, 0, 5, 1)%)^(1/5)-1))</f>
        <v>7.076879151086346E-2</v>
      </c>
      <c r="U433" s="340">
        <f t="array" aca="1" ref="U433" ca="1">IF(U$406="", "", IF(ISERROR(PRODUCT(1+OFFSET(U$109, $CC433, 0, 5, 1)%)), "", PRODUCT(1+OFFSET(U$109, $CC433, 0, 5, 1)%)^(1/5)-1))</f>
        <v>6.964105482904781E-2</v>
      </c>
      <c r="V433" s="340">
        <f t="array" aca="1" ref="V433" ca="1">IF(V$406="", "", IF(ISERROR(PRODUCT(1+OFFSET(V$109, $CC433, 0, 5, 1)%)), "", PRODUCT(1+OFFSET(V$109, $CC433, 0, 5, 1)%)^(1/5)-1))</f>
        <v>4.1513543830354882E-2</v>
      </c>
      <c r="W433" s="340">
        <f t="array" aca="1" ref="W433" ca="1">IF(W$406="", "", IF(ISERROR(PRODUCT(1+OFFSET(W$109, $CC433, 0, 5, 1)%)), "", PRODUCT(1+OFFSET(W$109, $CC433, 0, 5, 1)%)^(1/5)-1))</f>
        <v>5.9250883456501757E-2</v>
      </c>
      <c r="X433" s="340">
        <f t="array" aca="1" ref="X433" ca="1">IF(X$406="", "", IF(ISERROR(PRODUCT(1+OFFSET(X$109, $CC433, 0, 5, 1)%)), "", PRODUCT(1+OFFSET(X$109, $CC433, 0, 5, 1)%)^(1/5)-1))</f>
        <v>0.13492738147973227</v>
      </c>
      <c r="Y433" s="340">
        <f t="array" aca="1" ref="Y433" ca="1">IF(Y$406="", "", IF(ISERROR(PRODUCT(1+OFFSET(Y$109, $CC433, 0, 5, 1)%)), "", PRODUCT(1+OFFSET(Y$109, $CC433, 0, 5, 1)%)^(1/5)-1))</f>
        <v>0.10924795623141081</v>
      </c>
      <c r="Z433" s="340">
        <f t="array" aca="1" ref="Z433" ca="1">IF(Z$406="", "", IF(ISERROR(PRODUCT(1+OFFSET(Z$109, $CC433, 0, 5, 1)%)), "", PRODUCT(1+OFFSET(Z$109, $CC433, 0, 5, 1)%)^(1/5)-1))</f>
        <v>0.17957238202143744</v>
      </c>
      <c r="AA433" s="340">
        <f t="array" aca="1" ref="AA433" ca="1">IF(AA$406="", "", IF(ISERROR(PRODUCT(1+OFFSET(AA$109, $CC433, 0, 5, 1)%)), "", PRODUCT(1+OFFSET(AA$109, $CC433, 0, 5, 1)%)^(1/5)-1))</f>
        <v>5.6943866497562334E-2</v>
      </c>
      <c r="AB433" s="340">
        <f t="array" aca="1" ref="AB433" ca="1">IF(AB$406="", "", IF(ISERROR(PRODUCT(1+OFFSET(AB$109, $CC433, 0, 5, 1)%)), "", PRODUCT(1+OFFSET(AB$109, $CC433, 0, 5, 1)%)^(1/5)-1))</f>
        <v>4.9078736173198134E-3</v>
      </c>
      <c r="AC433" s="340">
        <f t="array" aca="1" ref="AC433" ca="1">IF(AC$406="", "", IF(ISERROR(PRODUCT(1+OFFSET(AC$109, $CC433, 0, 5, 1)%)), "", PRODUCT(1+OFFSET(AC$109, $CC433, 0, 5, 1)%)^(1/5)-1))</f>
        <v>5.414408469510068E-2</v>
      </c>
      <c r="AD433" s="340">
        <f t="array" aca="1" ref="AD433" ca="1">IF(AD$406="", "", IF(ISERROR(PRODUCT(1+OFFSET(AD$109, $CC433, 0, 5, 1)%)), "", PRODUCT(1+OFFSET(AD$109, $CC433, 0, 5, 1)%)^(1/5)-1))</f>
        <v>0.1726610077287658</v>
      </c>
      <c r="AE433" s="340">
        <f t="array" aca="1" ref="AE433" ca="1">IF(AE$406="", "", IF(ISERROR(PRODUCT(1+OFFSET(AE$109, $CC433, 0, 5, 1)%)), "", PRODUCT(1+OFFSET(AE$109, $CC433, 0, 5, 1)%)^(1/5)-1))</f>
        <v>0.16259021334497636</v>
      </c>
      <c r="AF433" s="340">
        <f t="array" aca="1" ref="AF433" ca="1">IF(AF$406="", "", IF(ISERROR(PRODUCT(1+OFFSET(AF$109, $CC433, 0, 5, 1)%)), "", PRODUCT(1+OFFSET(AF$109, $CC433, 0, 5, 1)%)^(1/5)-1))</f>
        <v>6.9188764649974033E-2</v>
      </c>
      <c r="AG433" s="340">
        <f t="array" aca="1" ref="AG433" ca="1">IF(AG$406="", "", IF(ISERROR(PRODUCT(1+OFFSET(AG$109, $CC433, 0, 5, 1)%)), "", PRODUCT(1+OFFSET(AG$109, $CC433, 0, 5, 1)%)^(1/5)-1))</f>
        <v>0.16736067308280123</v>
      </c>
      <c r="AH433" s="340">
        <f t="array" aca="1" ref="AH433" ca="1">IF(AH$406="", "", IF(ISERROR(PRODUCT(1+OFFSET(AH$109, $CC433, 0, 5, 1)%)), "", PRODUCT(1+OFFSET(AH$109, $CC433, 0, 5, 1)%)^(1/5)-1))</f>
        <v>3.9587375100531563E-2</v>
      </c>
      <c r="AI433" s="340">
        <f t="array" aca="1" ref="AI433" ca="1">IF(AI$406="", "", IF(ISERROR(PRODUCT(1+OFFSET(AI$109, $CC433, 0, 5, 1)%)), "", PRODUCT(1+OFFSET(AI$109, $CC433, 0, 5, 1)%)^(1/5)-1))</f>
        <v>7.0744434094114794E-2</v>
      </c>
      <c r="AJ433" s="340">
        <f t="array" aca="1" ref="AJ433" ca="1">IF(AJ$406="", "", IF(ISERROR(PRODUCT(1+OFFSET(AJ$109, $CC433, 0, 5, 1)%)), "", PRODUCT(1+OFFSET(AJ$109, $CC433, 0, 5, 1)%)^(1/5)-1))</f>
        <v>7.6947173938495927E-2</v>
      </c>
      <c r="AK433" s="340">
        <f t="array" aca="1" ref="AK433" ca="1">IF(AK$406="", "", IF(ISERROR(PRODUCT(1+OFFSET(AK$109, $CC433, 0, 5, 1)%)), "", PRODUCT(1+OFFSET(AK$109, $CC433, 0, 5, 1)%)^(1/5)-1))</f>
        <v>0.11622500415762538</v>
      </c>
      <c r="AL433" s="340">
        <f t="array" aca="1" ref="AL433" ca="1">IF(AL$406="", "", IF(ISERROR(PRODUCT(1+OFFSET(AL$109, $CC433, 0, 5, 1)%)), "", PRODUCT(1+OFFSET(AL$109, $CC433, 0, 5, 1)%)^(1/5)-1))</f>
        <v>0.13244247513040186</v>
      </c>
      <c r="AM433" s="340">
        <f t="array" aca="1" ref="AM433" ca="1">IF(AM$406="", "", IF(ISERROR(PRODUCT(1+OFFSET(AM$109, $CC433, 0, 5, 1)%)), "", PRODUCT(1+OFFSET(AM$109, $CC433, 0, 5, 1)%)^(1/5)-1))</f>
        <v>0.17407958281272196</v>
      </c>
      <c r="AN433" s="340">
        <f t="array" aca="1" ref="AN433" ca="1">IF(AN$406="", "", IF(ISERROR(PRODUCT(1+OFFSET(AN$109, $CC433, 0, 5, 1)%)), "", PRODUCT(1+OFFSET(AN$109, $CC433, 0, 5, 1)%)^(1/5)-1))</f>
        <v>0.14769933459933426</v>
      </c>
      <c r="AO433" s="340">
        <f t="array" aca="1" ref="AO433" ca="1">IF(AO$406="", "", IF(ISERROR(PRODUCT(1+OFFSET(AO$109, $CC433, 0, 5, 1)%)), "", PRODUCT(1+OFFSET(AO$109, $CC433, 0, 5, 1)%)^(1/5)-1))</f>
        <v>7.635357610668625E-2</v>
      </c>
      <c r="AP433" s="340">
        <f t="array" aca="1" ref="AP433" ca="1">IF(AP$406="", "", IF(ISERROR(PRODUCT(1+OFFSET(AP$109, $CC433, 0, 5, 1)%)), "", PRODUCT(1+OFFSET(AP$109, $CC433, 0, 5, 1)%)^(1/5)-1))</f>
        <v>6.2631233599067748E-2</v>
      </c>
      <c r="AQ433" s="340" t="str">
        <f t="array" aca="1" ref="AQ433" ca="1">IF(AQ$406="", "", IF(ISERROR(PRODUCT(1+OFFSET(AQ$109, $CC433, 0, 5, 1)%)), "", PRODUCT(1+OFFSET(AQ$109, $CC433, 0, 5, 1)%)^(1/5)-1))</f>
        <v/>
      </c>
      <c r="AR433" s="340" t="str">
        <f t="array" aca="1" ref="AR433" ca="1">IF(AR$406="", "", IF(ISERROR(PRODUCT(1+OFFSET(AR$109, $CC433, 0, 5, 1)%)), "", PRODUCT(1+OFFSET(AR$109, $CC433, 0, 5, 1)%)^(1/5)-1))</f>
        <v/>
      </c>
      <c r="AS433" s="340" t="str">
        <f t="array" aca="1" ref="AS433" ca="1">IF(AS$406="", "", IF(ISERROR(PRODUCT(1+OFFSET(AS$109, $CC433, 0, 5, 1)%)), "", PRODUCT(1+OFFSET(AS$109, $CC433, 0, 5, 1)%)^(1/5)-1))</f>
        <v/>
      </c>
      <c r="AT433" s="340" t="str">
        <f t="array" aca="1" ref="AT433" ca="1">IF(AT$406="", "", IF(ISERROR(PRODUCT(1+OFFSET(AT$109, $CC433, 0, 5, 1)%)), "", PRODUCT(1+OFFSET(AT$109, $CC433, 0, 5, 1)%)^(1/5)-1))</f>
        <v/>
      </c>
      <c r="AU433" s="340" t="str">
        <f t="array" aca="1" ref="AU433" ca="1">IF(AU$406="", "", IF(ISERROR(PRODUCT(1+OFFSET(AU$109, $CC433, 0, 5, 1)%)), "", PRODUCT(1+OFFSET(AU$109, $CC433, 0, 5, 1)%)^(1/5)-1))</f>
        <v/>
      </c>
      <c r="AV433" s="340" t="str">
        <f t="array" aca="1" ref="AV433" ca="1">IF(AV$406="", "", IF(ISERROR(PRODUCT(1+OFFSET(AV$109, $CC433, 0, 5, 1)%)), "", PRODUCT(1+OFFSET(AV$109, $CC433, 0, 5, 1)%)^(1/5)-1))</f>
        <v/>
      </c>
      <c r="AW433" s="340" t="str">
        <f t="array" aca="1" ref="AW433" ca="1">IF(AW$406="", "", IF(ISERROR(PRODUCT(1+OFFSET(AW$109, $CC433, 0, 5, 1)%)), "", PRODUCT(1+OFFSET(AW$109, $CC433, 0, 5, 1)%)^(1/5)-1))</f>
        <v/>
      </c>
      <c r="AX433" s="340" t="str">
        <f t="array" aca="1" ref="AX433" ca="1">IF(AX$406="", "", IF(ISERROR(PRODUCT(1+OFFSET(AX$109, $CC433, 0, 5, 1)%)), "", PRODUCT(1+OFFSET(AX$109, $CC433, 0, 5, 1)%)^(1/5)-1))</f>
        <v/>
      </c>
      <c r="AY433" s="340" t="str">
        <f t="array" aca="1" ref="AY433" ca="1">IF(AY$406="", "", IF(ISERROR(PRODUCT(1+OFFSET(AY$109, $CC433, 0, 5, 1)%)), "", PRODUCT(1+OFFSET(AY$109, $CC433, 0, 5, 1)%)^(1/5)-1))</f>
        <v/>
      </c>
      <c r="AZ433" s="340" t="str">
        <f t="array" aca="1" ref="AZ433" ca="1">IF(AZ$406="", "", IF(ISERROR(PRODUCT(1+OFFSET(AZ$109, $CC433, 0, 5, 1)%)), "", PRODUCT(1+OFFSET(AZ$109, $CC433, 0, 5, 1)%)^(1/5)-1))</f>
        <v/>
      </c>
      <c r="BA433" s="340" t="str">
        <f t="array" aca="1" ref="BA433" ca="1">IF(BA$406="", "", IF(ISERROR(PRODUCT(1+OFFSET(BA$109, $CC433, 0, 5, 1)%)), "", PRODUCT(1+OFFSET(BA$109, $CC433, 0, 5, 1)%)^(1/5)-1))</f>
        <v/>
      </c>
      <c r="BB433" s="340" t="str">
        <f t="array" aca="1" ref="BB433" ca="1">IF(BB$406="", "", IF(ISERROR(PRODUCT(1+OFFSET(BB$109, $CC433, 0, 5, 1)%)), "", PRODUCT(1+OFFSET(BB$109, $CC433, 0, 5, 1)%)^(1/5)-1))</f>
        <v/>
      </c>
      <c r="BC433" s="340" t="str">
        <f t="array" aca="1" ref="BC433" ca="1">IF(BC$406="", "", IF(ISERROR(PRODUCT(1+OFFSET(BC$109, $CC433, 0, 5, 1)%)), "", PRODUCT(1+OFFSET(BC$109, $CC433, 0, 5, 1)%)^(1/5)-1))</f>
        <v/>
      </c>
      <c r="BD433" s="340" t="str">
        <f t="array" aca="1" ref="BD433" ca="1">IF(BD$406="", "", IF(ISERROR(PRODUCT(1+OFFSET(BD$109, $CC433, 0, 5, 1)%)), "", PRODUCT(1+OFFSET(BD$109, $CC433, 0, 5, 1)%)^(1/5)-1))</f>
        <v/>
      </c>
      <c r="BE433" s="340" t="str">
        <f t="array" aca="1" ref="BE433" ca="1">IF(BE$406="", "", IF(ISERROR(PRODUCT(1+OFFSET(BE$109, $CC433, 0, 5, 1)%)), "", PRODUCT(1+OFFSET(BE$109, $CC433, 0, 5, 1)%)^(1/5)-1))</f>
        <v/>
      </c>
      <c r="BF433" s="340" t="str">
        <f t="array" aca="1" ref="BF433" ca="1">IF(BF$406="", "", IF(ISERROR(PRODUCT(1+OFFSET(BF$109, $CC433, 0, 5, 1)%)), "", PRODUCT(1+OFFSET(BF$109, $CC433, 0, 5, 1)%)^(1/5)-1))</f>
        <v/>
      </c>
      <c r="BG433" s="340" t="str">
        <f t="array" aca="1" ref="BG433" ca="1">IF(BG$406="", "", IF(ISERROR(PRODUCT(1+OFFSET(BG$109, $CC433, 0, 5, 1)%)), "", PRODUCT(1+OFFSET(BG$109, $CC433, 0, 5, 1)%)^(1/5)-1))</f>
        <v/>
      </c>
      <c r="BH433" s="340" t="str">
        <f t="array" aca="1" ref="BH433" ca="1">IF(BH$406="", "", IF(ISERROR(PRODUCT(1+OFFSET(BH$109, $CC433, 0, 5, 1)%)), "", PRODUCT(1+OFFSET(BH$109, $CC433, 0, 5, 1)%)^(1/5)-1))</f>
        <v/>
      </c>
      <c r="BI433" s="340" t="str">
        <f t="array" aca="1" ref="BI433" ca="1">IF(BI$406="", "", IF(ISERROR(PRODUCT(1+OFFSET(BI$109, $CC433, 0, 5, 1)%)), "", PRODUCT(1+OFFSET(BI$109, $CC433, 0, 5, 1)%)^(1/5)-1))</f>
        <v/>
      </c>
      <c r="BJ433" s="340" t="str">
        <f t="array" aca="1" ref="BJ433" ca="1">IF(BJ$406="", "", IF(ISERROR(PRODUCT(1+OFFSET(BJ$109, $CC433, 0, 5, 1)%)), "", PRODUCT(1+OFFSET(BJ$109, $CC433, 0, 5, 1)%)^(1/5)-1))</f>
        <v/>
      </c>
      <c r="BK433" s="340" t="str">
        <f t="array" aca="1" ref="BK433" ca="1">IF(BK$406="", "", IF(ISERROR(PRODUCT(1+OFFSET(BK$109, $CC433, 0, 5, 1)%)), "", PRODUCT(1+OFFSET(BK$109, $CC433, 0, 5, 1)%)^(1/5)-1))</f>
        <v/>
      </c>
      <c r="BL433" s="340" t="str">
        <f t="array" aca="1" ref="BL433" ca="1">IF(BL$406="", "", IF(ISERROR(PRODUCT(1+OFFSET(BL$109, $CC433, 0, 5, 1)%)), "", PRODUCT(1+OFFSET(BL$109, $CC433, 0, 5, 1)%)^(1/5)-1))</f>
        <v/>
      </c>
      <c r="BM433" s="340" t="str">
        <f t="array" aca="1" ref="BM433" ca="1">IF(BM$406="", "", IF(ISERROR(PRODUCT(1+OFFSET(BM$109, $CC433, 0, 5, 1)%)), "", PRODUCT(1+OFFSET(BM$109, $CC433, 0, 5, 1)%)^(1/5)-1))</f>
        <v/>
      </c>
      <c r="BN433" s="340" t="str">
        <f t="array" aca="1" ref="BN433" ca="1">IF(BN$406="", "", IF(ISERROR(PRODUCT(1+OFFSET(BN$109, $CC433, 0, 5, 1)%)), "", PRODUCT(1+OFFSET(BN$109, $CC433, 0, 5, 1)%)^(1/5)-1))</f>
        <v/>
      </c>
      <c r="BO433" s="340" t="str">
        <f t="array" aca="1" ref="BO433" ca="1">IF(BO$406="", "", IF(ISERROR(PRODUCT(1+OFFSET(BO$109, $CC433, 0, 5, 1)%)), "", PRODUCT(1+OFFSET(BO$109, $CC433, 0, 5, 1)%)^(1/5)-1))</f>
        <v/>
      </c>
      <c r="BP433" s="340" t="str">
        <f t="array" aca="1" ref="BP433" ca="1">IF(BP$406="", "", IF(ISERROR(PRODUCT(1+OFFSET(BP$109, $CC433, 0, 5, 1)%)), "", PRODUCT(1+OFFSET(BP$109, $CC433, 0, 5, 1)%)^(1/5)-1))</f>
        <v/>
      </c>
      <c r="BQ433" s="340" t="str">
        <f t="array" aca="1" ref="BQ433" ca="1">IF(BQ$406="", "", IF(ISERROR(PRODUCT(1+OFFSET(BQ$109, $CC433, 0, 5, 1)%)), "", PRODUCT(1+OFFSET(BQ$109, $CC433, 0, 5, 1)%)^(1/5)-1))</f>
        <v/>
      </c>
      <c r="BR433" s="340" t="str">
        <f t="array" aca="1" ref="BR433" ca="1">IF(BR$406="", "", IF(ISERROR(PRODUCT(1+OFFSET(BR$109, $CC433, 0, 5, 1)%)), "", PRODUCT(1+OFFSET(BR$109, $CC433, 0, 5, 1)%)^(1/5)-1))</f>
        <v/>
      </c>
      <c r="BS433" s="340" t="str">
        <f t="array" aca="1" ref="BS433" ca="1">IF(BS$406="", "", IF(ISERROR(PRODUCT(1+OFFSET(BS$109, $CC433, 0, 5, 1)%)), "", PRODUCT(1+OFFSET(BS$109, $CC433, 0, 5, 1)%)^(1/5)-1))</f>
        <v/>
      </c>
      <c r="BT433" s="340" t="str">
        <f t="array" aca="1" ref="BT433" ca="1">IF(BT$406="", "", IF(ISERROR(PRODUCT(1+OFFSET(BT$109, $CC433, 0, 5, 1)%)), "", PRODUCT(1+OFFSET(BT$109, $CC433, 0, 5, 1)%)^(1/5)-1))</f>
        <v/>
      </c>
      <c r="BU433" s="340" t="str">
        <f t="array" aca="1" ref="BU433" ca="1">IF(BU$406="", "", IF(ISERROR(PRODUCT(1+OFFSET(BU$109, $CC433, 0, 5, 1)%)), "", PRODUCT(1+OFFSET(BU$109, $CC433, 0, 5, 1)%)^(1/5)-1))</f>
        <v/>
      </c>
      <c r="BV433" s="340" t="str">
        <f t="array" aca="1" ref="BV433" ca="1">IF(BV$406="", "", IF(ISERROR(PRODUCT(1+OFFSET(BV$109, $CC433, 0, 5, 1)%)), "", PRODUCT(1+OFFSET(BV$109, $CC433, 0, 5, 1)%)^(1/5)-1))</f>
        <v/>
      </c>
      <c r="BW433" s="340" t="str">
        <f t="array" aca="1" ref="BW433" ca="1">IF(BW$406="", "", IF(ISERROR(PRODUCT(1+OFFSET(BW$109, $CC433, 0, 5, 1)%)), "", PRODUCT(1+OFFSET(BW$109, $CC433, 0, 5, 1)%)^(1/5)-1))</f>
        <v/>
      </c>
      <c r="BX433" s="340">
        <f t="array" aca="1" ref="BX433" ca="1">IF(BX$406="", "", IF(ISERROR(PRODUCT(1+OFFSET(BX$109, $CC433, 0, 5, 1)%)), "", PRODUCT(1+OFFSET(BX$109, $CC433, 0, 5, 1)%)^(1/5)-1))</f>
        <v>0.15818692341869056</v>
      </c>
      <c r="BY433" s="340">
        <f t="array" aca="1" ref="BY433" ca="1">IF(BY$406="", "", IF(ISERROR(PRODUCT(1+OFFSET(BY$109, $CC433, 0, 5, 1)%)), "", PRODUCT(1+OFFSET(BY$109, $CC433, 0, 5, 1)%)^(1/5)-1))</f>
        <v>6.7347125118674356E-2</v>
      </c>
      <c r="BZ433" s="340">
        <f t="array" aca="1" ref="BZ433" ca="1">IF(BZ$406="", "", IF(ISERROR(PRODUCT(1+OFFSET(BZ$109, $CC433, 0, 5, 1)%)), "", PRODUCT(1+OFFSET(BZ$109, $CC433, 0, 5, 1)%)^(1/5)-1))</f>
        <v>4.6576959999113043E-2</v>
      </c>
      <c r="CA433" s="532">
        <f t="array" aca="1" ref="CA433" ca="1">IF(CA$406="", "", IF(ISERROR(PRODUCT(1+OFFSET(CA$109, $CC433, 0, 5, 1)%)), "", PRODUCT(1+OFFSET(CA$109, $CC433, 0, 5, 1)%)^(1/5)-1))</f>
        <v>2.8366174907551445E-2</v>
      </c>
      <c r="CC433" s="482">
        <f t="shared" si="553"/>
        <v>20</v>
      </c>
    </row>
    <row r="434" spans="1:81" ht="14">
      <c r="A434" s="338" t="str">
        <f t="shared" si="552"/>
        <v>1997-2001</v>
      </c>
      <c r="B434" s="339">
        <f t="array" aca="1" ref="B434" ca="1">IF(B$406="", "", IF(ISERROR(PRODUCT(1+OFFSET(B$109, $CC434, 0, 5, 1)%)), "", PRODUCT(1+OFFSET(B$109, $CC434, 0, 5, 1)%)^(1/5)-1))</f>
        <v>9.7405485294253857E-2</v>
      </c>
      <c r="C434" s="340">
        <f t="array" aca="1" ref="C434" ca="1">IF(C$406="", "", IF(ISERROR(PRODUCT(1+OFFSET(C$109, $CC434, 0, 5, 1)%)), "", PRODUCT(1+OFFSET(C$109, $CC434, 0, 5, 1)%)^(1/5)-1))</f>
        <v>9.3775596591070931E-2</v>
      </c>
      <c r="D434" s="340">
        <f t="array" aca="1" ref="D434" ca="1">IF(D$406="", "", IF(ISERROR(PRODUCT(1+OFFSET(D$109, $CC434, 0, 5, 1)%)), "", PRODUCT(1+OFFSET(D$109, $CC434, 0, 5, 1)%)^(1/5)-1))</f>
        <v>0.10660114391667586</v>
      </c>
      <c r="E434" s="340">
        <f t="array" aca="1" ref="E434" ca="1">IF(E$406="", "", IF(ISERROR(PRODUCT(1+OFFSET(E$109, $CC434, 0, 5, 1)%)), "", PRODUCT(1+OFFSET(E$109, $CC434, 0, 5, 1)%)^(1/5)-1))</f>
        <v>0.1107730700059526</v>
      </c>
      <c r="F434" s="340">
        <f t="array" aca="1" ref="F434" ca="1">IF(F$406="", "", IF(ISERROR(PRODUCT(1+OFFSET(F$109, $CC434, 0, 5, 1)%)), "", PRODUCT(1+OFFSET(F$109, $CC434, 0, 5, 1)%)^(1/5)-1))</f>
        <v>0.13834076880721224</v>
      </c>
      <c r="G434" s="340">
        <f t="array" aca="1" ref="G434" ca="1">IF(G$406="", "", IF(ISERROR(PRODUCT(1+OFFSET(G$109, $CC434, 0, 5, 1)%)), "", PRODUCT(1+OFFSET(G$109, $CC434, 0, 5, 1)%)^(1/5)-1))</f>
        <v>0.11878708477040933</v>
      </c>
      <c r="H434" s="340">
        <f t="array" aca="1" ref="H434" ca="1">IF(H$406="", "", IF(ISERROR(PRODUCT(1+OFFSET(H$109, $CC434, 0, 5, 1)%)), "", PRODUCT(1+OFFSET(H$109, $CC434, 0, 5, 1)%)^(1/5)-1))</f>
        <v>8.4359688048668335E-2</v>
      </c>
      <c r="I434" s="340">
        <f t="array" aca="1" ref="I434" ca="1">IF(I$406="", "", IF(ISERROR(PRODUCT(1+OFFSET(I$109, $CC434, 0, 5, 1)%)), "", PRODUCT(1+OFFSET(I$109, $CC434, 0, 5, 1)%)^(1/5)-1))</f>
        <v>6.5019728833432877E-2</v>
      </c>
      <c r="J434" s="340">
        <f t="array" aca="1" ref="J434" ca="1">IF(J$406="", "", IF(ISERROR(PRODUCT(1+OFFSET(J$109, $CC434, 0, 5, 1)%)), "", PRODUCT(1+OFFSET(J$109, $CC434, 0, 5, 1)%)^(1/5)-1))</f>
        <v>0.14027040120670153</v>
      </c>
      <c r="K434" s="340">
        <f t="array" aca="1" ref="K434" ca="1">IF(K$406="", "", IF(ISERROR(PRODUCT(1+OFFSET(K$109, $CC434, 0, 5, 1)%)), "", PRODUCT(1+OFFSET(K$109, $CC434, 0, 5, 1)%)^(1/5)-1))</f>
        <v>6.1910360502051454E-2</v>
      </c>
      <c r="L434" s="340">
        <f t="array" aca="1" ref="L434" ca="1">IF(L$406="", "", IF(ISERROR(PRODUCT(1+OFFSET(L$109, $CC434, 0, 5, 1)%)), "", PRODUCT(1+OFFSET(L$109, $CC434, 0, 5, 1)%)^(1/5)-1))</f>
        <v>8.1502769818908583E-3</v>
      </c>
      <c r="M434" s="340">
        <f t="array" aca="1" ref="M434" ca="1">IF(M$406="", "", IF(ISERROR(PRODUCT(1+OFFSET(M$109, $CC434, 0, 5, 1)%)), "", PRODUCT(1+OFFSET(M$109, $CC434, 0, 5, 1)%)^(1/5)-1))</f>
        <v>-4.9900875112060761E-2</v>
      </c>
      <c r="N434" s="340">
        <f t="array" aca="1" ref="N434" ca="1">IF(N$406="", "", IF(ISERROR(PRODUCT(1+OFFSET(N$109, $CC434, 0, 5, 1)%)), "", PRODUCT(1+OFFSET(N$109, $CC434, 0, 5, 1)%)^(1/5)-1))</f>
        <v>4.0918227718789169E-4</v>
      </c>
      <c r="O434" s="340">
        <f t="array" aca="1" ref="O434" ca="1">IF(O$406="", "", IF(ISERROR(PRODUCT(1+OFFSET(O$109, $CC434, 0, 5, 1)%)), "", PRODUCT(1+OFFSET(O$109, $CC434, 0, 5, 1)%)^(1/5)-1))</f>
        <v>-8.1442770106648354E-2</v>
      </c>
      <c r="P434" s="340">
        <f t="array" aca="1" ref="P434" ca="1">IF(P$406="", "", IF(ISERROR(PRODUCT(1+OFFSET(P$109, $CC434, 0, 5, 1)%)), "", PRODUCT(1+OFFSET(P$109, $CC434, 0, 5, 1)%)^(1/5)-1))</f>
        <v>6.4394573660033538E-2</v>
      </c>
      <c r="Q434" s="340">
        <f t="array" aca="1" ref="Q434" ca="1">IF(Q$406="", "", IF(ISERROR(PRODUCT(1+OFFSET(Q$109, $CC434, 0, 5, 1)%)), "", PRODUCT(1+OFFSET(Q$109, $CC434, 0, 5, 1)%)^(1/5)-1))</f>
        <v>2.0083178906607602E-2</v>
      </c>
      <c r="R434" s="340">
        <f t="array" aca="1" ref="R434" ca="1">IF(R$406="", "", IF(ISERROR(PRODUCT(1+OFFSET(R$109, $CC434, 0, 5, 1)%)), "", PRODUCT(1+OFFSET(R$109, $CC434, 0, 5, 1)%)^(1/5)-1))</f>
        <v>3.6967707271098327E-3</v>
      </c>
      <c r="S434" s="340">
        <f t="array" aca="1" ref="S434" ca="1">IF(S$406="", "", IF(ISERROR(PRODUCT(1+OFFSET(S$109, $CC434, 0, 5, 1)%)), "", PRODUCT(1+OFFSET(S$109, $CC434, 0, 5, 1)%)^(1/5)-1))</f>
        <v>7.9915041682616428E-2</v>
      </c>
      <c r="T434" s="340">
        <f t="array" aca="1" ref="T434" ca="1">IF(T$406="", "", IF(ISERROR(PRODUCT(1+OFFSET(T$109, $CC434, 0, 5, 1)%)), "", PRODUCT(1+OFFSET(T$109, $CC434, 0, 5, 1)%)^(1/5)-1))</f>
        <v>7.3558374663930559E-2</v>
      </c>
      <c r="U434" s="340">
        <f t="array" aca="1" ref="U434" ca="1">IF(U$406="", "", IF(ISERROR(PRODUCT(1+OFFSET(U$109, $CC434, 0, 5, 1)%)), "", PRODUCT(1+OFFSET(U$109, $CC434, 0, 5, 1)%)^(1/5)-1))</f>
        <v>7.3301330688719579E-2</v>
      </c>
      <c r="V434" s="340">
        <f t="array" aca="1" ref="V434" ca="1">IF(V$406="", "", IF(ISERROR(PRODUCT(1+OFFSET(V$109, $CC434, 0, 5, 1)%)), "", PRODUCT(1+OFFSET(V$109, $CC434, 0, 5, 1)%)^(1/5)-1))</f>
        <v>4.8902660222975181E-2</v>
      </c>
      <c r="W434" s="340">
        <f t="array" aca="1" ref="W434" ca="1">IF(W$406="", "", IF(ISERROR(PRODUCT(1+OFFSET(W$109, $CC434, 0, 5, 1)%)), "", PRODUCT(1+OFFSET(W$109, $CC434, 0, 5, 1)%)^(1/5)-1))</f>
        <v>5.9894709204265206E-2</v>
      </c>
      <c r="X434" s="340">
        <f t="array" aca="1" ref="X434" ca="1">IF(X$406="", "", IF(ISERROR(PRODUCT(1+OFFSET(X$109, $CC434, 0, 5, 1)%)), "", PRODUCT(1+OFFSET(X$109, $CC434, 0, 5, 1)%)^(1/5)-1))</f>
        <v>0.10647308652305321</v>
      </c>
      <c r="Y434" s="340">
        <f t="array" aca="1" ref="Y434" ca="1">IF(Y$406="", "", IF(ISERROR(PRODUCT(1+OFFSET(Y$109, $CC434, 0, 5, 1)%)), "", PRODUCT(1+OFFSET(Y$109, $CC434, 0, 5, 1)%)^(1/5)-1))</f>
        <v>9.9593464677006249E-2</v>
      </c>
      <c r="Z434" s="340">
        <f t="array" aca="1" ref="Z434" ca="1">IF(Z$406="", "", IF(ISERROR(PRODUCT(1+OFFSET(Z$109, $CC434, 0, 5, 1)%)), "", PRODUCT(1+OFFSET(Z$109, $CC434, 0, 5, 1)%)^(1/5)-1))</f>
        <v>0.10943391453757201</v>
      </c>
      <c r="AA434" s="340">
        <f t="array" aca="1" ref="AA434" ca="1">IF(AA$406="", "", IF(ISERROR(PRODUCT(1+OFFSET(AA$109, $CC434, 0, 5, 1)%)), "", PRODUCT(1+OFFSET(AA$109, $CC434, 0, 5, 1)%)^(1/5)-1))</f>
        <v>6.4178173006402162E-2</v>
      </c>
      <c r="AB434" s="340">
        <f t="array" aca="1" ref="AB434" ca="1">IF(AB$406="", "", IF(ISERROR(PRODUCT(1+OFFSET(AB$109, $CC434, 0, 5, 1)%)), "", PRODUCT(1+OFFSET(AB$109, $CC434, 0, 5, 1)%)^(1/5)-1))</f>
        <v>-5.9801157236916591E-2</v>
      </c>
      <c r="AC434" s="340">
        <f t="array" aca="1" ref="AC434" ca="1">IF(AC$406="", "", IF(ISERROR(PRODUCT(1+OFFSET(AC$109, $CC434, 0, 5, 1)%)), "", PRODUCT(1+OFFSET(AC$109, $CC434, 0, 5, 1)%)^(1/5)-1))</f>
        <v>9.1112080611196467E-2</v>
      </c>
      <c r="AD434" s="340">
        <f t="array" aca="1" ref="AD434" ca="1">IF(AD$406="", "", IF(ISERROR(PRODUCT(1+OFFSET(AD$109, $CC434, 0, 5, 1)%)), "", PRODUCT(1+OFFSET(AD$109, $CC434, 0, 5, 1)%)^(1/5)-1))</f>
        <v>7.9886592217864871E-2</v>
      </c>
      <c r="AE434" s="340">
        <f t="array" aca="1" ref="AE434" ca="1">IF(AE$406="", "", IF(ISERROR(PRODUCT(1+OFFSET(AE$109, $CC434, 0, 5, 1)%)), "", PRODUCT(1+OFFSET(AE$109, $CC434, 0, 5, 1)%)^(1/5)-1))</f>
        <v>0.23707193918067992</v>
      </c>
      <c r="AF434" s="340">
        <f t="array" aca="1" ref="AF434" ca="1">IF(AF$406="", "", IF(ISERROR(PRODUCT(1+OFFSET(AF$109, $CC434, 0, 5, 1)%)), "", PRODUCT(1+OFFSET(AF$109, $CC434, 0, 5, 1)%)^(1/5)-1))</f>
        <v>-3.681538847254695E-2</v>
      </c>
      <c r="AG434" s="340">
        <f t="array" aca="1" ref="AG434" ca="1">IF(AG$406="", "", IF(ISERROR(PRODUCT(1+OFFSET(AG$109, $CC434, 0, 5, 1)%)), "", PRODUCT(1+OFFSET(AG$109, $CC434, 0, 5, 1)%)^(1/5)-1))</f>
        <v>0.10369282014762882</v>
      </c>
      <c r="AH434" s="340">
        <f t="array" aca="1" ref="AH434" ca="1">IF(AH$406="", "", IF(ISERROR(PRODUCT(1+OFFSET(AH$109, $CC434, 0, 5, 1)%)), "", PRODUCT(1+OFFSET(AH$109, $CC434, 0, 5, 1)%)^(1/5)-1))</f>
        <v>4.1226827426493529E-2</v>
      </c>
      <c r="AI434" s="340">
        <f t="array" aca="1" ref="AI434" ca="1">IF(AI$406="", "", IF(ISERROR(PRODUCT(1+OFFSET(AI$109, $CC434, 0, 5, 1)%)), "", PRODUCT(1+OFFSET(AI$109, $CC434, 0, 5, 1)%)^(1/5)-1))</f>
        <v>5.2752124994154492E-2</v>
      </c>
      <c r="AJ434" s="340">
        <f t="array" aca="1" ref="AJ434" ca="1">IF(AJ$406="", "", IF(ISERROR(PRODUCT(1+OFFSET(AJ$109, $CC434, 0, 5, 1)%)), "", PRODUCT(1+OFFSET(AJ$109, $CC434, 0, 5, 1)%)^(1/5)-1))</f>
        <v>5.7766754818049826E-2</v>
      </c>
      <c r="AK434" s="340">
        <f t="array" aca="1" ref="AK434" ca="1">IF(AK$406="", "", IF(ISERROR(PRODUCT(1+OFFSET(AK$109, $CC434, 0, 5, 1)%)), "", PRODUCT(1+OFFSET(AK$109, $CC434, 0, 5, 1)%)^(1/5)-1))</f>
        <v>4.3339088256469704E-2</v>
      </c>
      <c r="AL434" s="340">
        <f t="array" aca="1" ref="AL434" ca="1">IF(AL$406="", "", IF(ISERROR(PRODUCT(1+OFFSET(AL$109, $CC434, 0, 5, 1)%)), "", PRODUCT(1+OFFSET(AL$109, $CC434, 0, 5, 1)%)^(1/5)-1))</f>
        <v>6.9342976813008939E-2</v>
      </c>
      <c r="AM434" s="340">
        <f t="array" aca="1" ref="AM434" ca="1">IF(AM$406="", "", IF(ISERROR(PRODUCT(1+OFFSET(AM$109, $CC434, 0, 5, 1)%)), "", PRODUCT(1+OFFSET(AM$109, $CC434, 0, 5, 1)%)^(1/5)-1))</f>
        <v>0.13376051699232128</v>
      </c>
      <c r="AN434" s="340">
        <f t="array" aca="1" ref="AN434" ca="1">IF(AN$406="", "", IF(ISERROR(PRODUCT(1+OFFSET(AN$109, $CC434, 0, 5, 1)%)), "", PRODUCT(1+OFFSET(AN$109, $CC434, 0, 5, 1)%)^(1/5)-1))</f>
        <v>7.4904370790336738E-2</v>
      </c>
      <c r="AO434" s="340">
        <f t="array" aca="1" ref="AO434" ca="1">IF(AO$406="", "", IF(ISERROR(PRODUCT(1+OFFSET(AO$109, $CC434, 0, 5, 1)%)), "", PRODUCT(1+OFFSET(AO$109, $CC434, 0, 5, 1)%)^(1/5)-1))</f>
        <v>1.8913260917160724E-2</v>
      </c>
      <c r="AP434" s="340">
        <f t="array" aca="1" ref="AP434" ca="1">IF(AP$406="", "", IF(ISERROR(PRODUCT(1+OFFSET(AP$109, $CC434, 0, 5, 1)%)), "", PRODUCT(1+OFFSET(AP$109, $CC434, 0, 5, 1)%)^(1/5)-1))</f>
        <v>6.6109600416799363E-2</v>
      </c>
      <c r="AQ434" s="340" t="str">
        <f t="array" aca="1" ref="AQ434" ca="1">IF(AQ$406="", "", IF(ISERROR(PRODUCT(1+OFFSET(AQ$109, $CC434, 0, 5, 1)%)), "", PRODUCT(1+OFFSET(AQ$109, $CC434, 0, 5, 1)%)^(1/5)-1))</f>
        <v/>
      </c>
      <c r="AR434" s="340" t="str">
        <f t="array" aca="1" ref="AR434" ca="1">IF(AR$406="", "", IF(ISERROR(PRODUCT(1+OFFSET(AR$109, $CC434, 0, 5, 1)%)), "", PRODUCT(1+OFFSET(AR$109, $CC434, 0, 5, 1)%)^(1/5)-1))</f>
        <v/>
      </c>
      <c r="AS434" s="340" t="str">
        <f t="array" aca="1" ref="AS434" ca="1">IF(AS$406="", "", IF(ISERROR(PRODUCT(1+OFFSET(AS$109, $CC434, 0, 5, 1)%)), "", PRODUCT(1+OFFSET(AS$109, $CC434, 0, 5, 1)%)^(1/5)-1))</f>
        <v/>
      </c>
      <c r="AT434" s="340" t="str">
        <f t="array" aca="1" ref="AT434" ca="1">IF(AT$406="", "", IF(ISERROR(PRODUCT(1+OFFSET(AT$109, $CC434, 0, 5, 1)%)), "", PRODUCT(1+OFFSET(AT$109, $CC434, 0, 5, 1)%)^(1/5)-1))</f>
        <v/>
      </c>
      <c r="AU434" s="340" t="str">
        <f t="array" aca="1" ref="AU434" ca="1">IF(AU$406="", "", IF(ISERROR(PRODUCT(1+OFFSET(AU$109, $CC434, 0, 5, 1)%)), "", PRODUCT(1+OFFSET(AU$109, $CC434, 0, 5, 1)%)^(1/5)-1))</f>
        <v/>
      </c>
      <c r="AV434" s="340" t="str">
        <f t="array" aca="1" ref="AV434" ca="1">IF(AV$406="", "", IF(ISERROR(PRODUCT(1+OFFSET(AV$109, $CC434, 0, 5, 1)%)), "", PRODUCT(1+OFFSET(AV$109, $CC434, 0, 5, 1)%)^(1/5)-1))</f>
        <v/>
      </c>
      <c r="AW434" s="340" t="str">
        <f t="array" aca="1" ref="AW434" ca="1">IF(AW$406="", "", IF(ISERROR(PRODUCT(1+OFFSET(AW$109, $CC434, 0, 5, 1)%)), "", PRODUCT(1+OFFSET(AW$109, $CC434, 0, 5, 1)%)^(1/5)-1))</f>
        <v/>
      </c>
      <c r="AX434" s="340" t="str">
        <f t="array" aca="1" ref="AX434" ca="1">IF(AX$406="", "", IF(ISERROR(PRODUCT(1+OFFSET(AX$109, $CC434, 0, 5, 1)%)), "", PRODUCT(1+OFFSET(AX$109, $CC434, 0, 5, 1)%)^(1/5)-1))</f>
        <v/>
      </c>
      <c r="AY434" s="340" t="str">
        <f t="array" aca="1" ref="AY434" ca="1">IF(AY$406="", "", IF(ISERROR(PRODUCT(1+OFFSET(AY$109, $CC434, 0, 5, 1)%)), "", PRODUCT(1+OFFSET(AY$109, $CC434, 0, 5, 1)%)^(1/5)-1))</f>
        <v/>
      </c>
      <c r="AZ434" s="340" t="str">
        <f t="array" aca="1" ref="AZ434" ca="1">IF(AZ$406="", "", IF(ISERROR(PRODUCT(1+OFFSET(AZ$109, $CC434, 0, 5, 1)%)), "", PRODUCT(1+OFFSET(AZ$109, $CC434, 0, 5, 1)%)^(1/5)-1))</f>
        <v/>
      </c>
      <c r="BA434" s="340" t="str">
        <f t="array" aca="1" ref="BA434" ca="1">IF(BA$406="", "", IF(ISERROR(PRODUCT(1+OFFSET(BA$109, $CC434, 0, 5, 1)%)), "", PRODUCT(1+OFFSET(BA$109, $CC434, 0, 5, 1)%)^(1/5)-1))</f>
        <v/>
      </c>
      <c r="BB434" s="340" t="str">
        <f t="array" aca="1" ref="BB434" ca="1">IF(BB$406="", "", IF(ISERROR(PRODUCT(1+OFFSET(BB$109, $CC434, 0, 5, 1)%)), "", PRODUCT(1+OFFSET(BB$109, $CC434, 0, 5, 1)%)^(1/5)-1))</f>
        <v/>
      </c>
      <c r="BC434" s="340" t="str">
        <f t="array" aca="1" ref="BC434" ca="1">IF(BC$406="", "", IF(ISERROR(PRODUCT(1+OFFSET(BC$109, $CC434, 0, 5, 1)%)), "", PRODUCT(1+OFFSET(BC$109, $CC434, 0, 5, 1)%)^(1/5)-1))</f>
        <v/>
      </c>
      <c r="BD434" s="340" t="str">
        <f t="array" aca="1" ref="BD434" ca="1">IF(BD$406="", "", IF(ISERROR(PRODUCT(1+OFFSET(BD$109, $CC434, 0, 5, 1)%)), "", PRODUCT(1+OFFSET(BD$109, $CC434, 0, 5, 1)%)^(1/5)-1))</f>
        <v/>
      </c>
      <c r="BE434" s="340" t="str">
        <f t="array" aca="1" ref="BE434" ca="1">IF(BE$406="", "", IF(ISERROR(PRODUCT(1+OFFSET(BE$109, $CC434, 0, 5, 1)%)), "", PRODUCT(1+OFFSET(BE$109, $CC434, 0, 5, 1)%)^(1/5)-1))</f>
        <v/>
      </c>
      <c r="BF434" s="340" t="str">
        <f t="array" aca="1" ref="BF434" ca="1">IF(BF$406="", "", IF(ISERROR(PRODUCT(1+OFFSET(BF$109, $CC434, 0, 5, 1)%)), "", PRODUCT(1+OFFSET(BF$109, $CC434, 0, 5, 1)%)^(1/5)-1))</f>
        <v/>
      </c>
      <c r="BG434" s="340" t="str">
        <f t="array" aca="1" ref="BG434" ca="1">IF(BG$406="", "", IF(ISERROR(PRODUCT(1+OFFSET(BG$109, $CC434, 0, 5, 1)%)), "", PRODUCT(1+OFFSET(BG$109, $CC434, 0, 5, 1)%)^(1/5)-1))</f>
        <v/>
      </c>
      <c r="BH434" s="340" t="str">
        <f t="array" aca="1" ref="BH434" ca="1">IF(BH$406="", "", IF(ISERROR(PRODUCT(1+OFFSET(BH$109, $CC434, 0, 5, 1)%)), "", PRODUCT(1+OFFSET(BH$109, $CC434, 0, 5, 1)%)^(1/5)-1))</f>
        <v/>
      </c>
      <c r="BI434" s="340" t="str">
        <f t="array" aca="1" ref="BI434" ca="1">IF(BI$406="", "", IF(ISERROR(PRODUCT(1+OFFSET(BI$109, $CC434, 0, 5, 1)%)), "", PRODUCT(1+OFFSET(BI$109, $CC434, 0, 5, 1)%)^(1/5)-1))</f>
        <v/>
      </c>
      <c r="BJ434" s="340" t="str">
        <f t="array" aca="1" ref="BJ434" ca="1">IF(BJ$406="", "", IF(ISERROR(PRODUCT(1+OFFSET(BJ$109, $CC434, 0, 5, 1)%)), "", PRODUCT(1+OFFSET(BJ$109, $CC434, 0, 5, 1)%)^(1/5)-1))</f>
        <v/>
      </c>
      <c r="BK434" s="340" t="str">
        <f t="array" aca="1" ref="BK434" ca="1">IF(BK$406="", "", IF(ISERROR(PRODUCT(1+OFFSET(BK$109, $CC434, 0, 5, 1)%)), "", PRODUCT(1+OFFSET(BK$109, $CC434, 0, 5, 1)%)^(1/5)-1))</f>
        <v/>
      </c>
      <c r="BL434" s="340" t="str">
        <f t="array" aca="1" ref="BL434" ca="1">IF(BL$406="", "", IF(ISERROR(PRODUCT(1+OFFSET(BL$109, $CC434, 0, 5, 1)%)), "", PRODUCT(1+OFFSET(BL$109, $CC434, 0, 5, 1)%)^(1/5)-1))</f>
        <v/>
      </c>
      <c r="BM434" s="340" t="str">
        <f t="array" aca="1" ref="BM434" ca="1">IF(BM$406="", "", IF(ISERROR(PRODUCT(1+OFFSET(BM$109, $CC434, 0, 5, 1)%)), "", PRODUCT(1+OFFSET(BM$109, $CC434, 0, 5, 1)%)^(1/5)-1))</f>
        <v/>
      </c>
      <c r="BN434" s="340" t="str">
        <f t="array" aca="1" ref="BN434" ca="1">IF(BN$406="", "", IF(ISERROR(PRODUCT(1+OFFSET(BN$109, $CC434, 0, 5, 1)%)), "", PRODUCT(1+OFFSET(BN$109, $CC434, 0, 5, 1)%)^(1/5)-1))</f>
        <v/>
      </c>
      <c r="BO434" s="340" t="str">
        <f t="array" aca="1" ref="BO434" ca="1">IF(BO$406="", "", IF(ISERROR(PRODUCT(1+OFFSET(BO$109, $CC434, 0, 5, 1)%)), "", PRODUCT(1+OFFSET(BO$109, $CC434, 0, 5, 1)%)^(1/5)-1))</f>
        <v/>
      </c>
      <c r="BP434" s="340" t="str">
        <f t="array" aca="1" ref="BP434" ca="1">IF(BP$406="", "", IF(ISERROR(PRODUCT(1+OFFSET(BP$109, $CC434, 0, 5, 1)%)), "", PRODUCT(1+OFFSET(BP$109, $CC434, 0, 5, 1)%)^(1/5)-1))</f>
        <v/>
      </c>
      <c r="BQ434" s="340" t="str">
        <f t="array" aca="1" ref="BQ434" ca="1">IF(BQ$406="", "", IF(ISERROR(PRODUCT(1+OFFSET(BQ$109, $CC434, 0, 5, 1)%)), "", PRODUCT(1+OFFSET(BQ$109, $CC434, 0, 5, 1)%)^(1/5)-1))</f>
        <v/>
      </c>
      <c r="BR434" s="340" t="str">
        <f t="array" aca="1" ref="BR434" ca="1">IF(BR$406="", "", IF(ISERROR(PRODUCT(1+OFFSET(BR$109, $CC434, 0, 5, 1)%)), "", PRODUCT(1+OFFSET(BR$109, $CC434, 0, 5, 1)%)^(1/5)-1))</f>
        <v/>
      </c>
      <c r="BS434" s="340" t="str">
        <f t="array" aca="1" ref="BS434" ca="1">IF(BS$406="", "", IF(ISERROR(PRODUCT(1+OFFSET(BS$109, $CC434, 0, 5, 1)%)), "", PRODUCT(1+OFFSET(BS$109, $CC434, 0, 5, 1)%)^(1/5)-1))</f>
        <v/>
      </c>
      <c r="BT434" s="340" t="str">
        <f t="array" aca="1" ref="BT434" ca="1">IF(BT$406="", "", IF(ISERROR(PRODUCT(1+OFFSET(BT$109, $CC434, 0, 5, 1)%)), "", PRODUCT(1+OFFSET(BT$109, $CC434, 0, 5, 1)%)^(1/5)-1))</f>
        <v/>
      </c>
      <c r="BU434" s="340" t="str">
        <f t="array" aca="1" ref="BU434" ca="1">IF(BU$406="", "", IF(ISERROR(PRODUCT(1+OFFSET(BU$109, $CC434, 0, 5, 1)%)), "", PRODUCT(1+OFFSET(BU$109, $CC434, 0, 5, 1)%)^(1/5)-1))</f>
        <v/>
      </c>
      <c r="BV434" s="340" t="str">
        <f t="array" aca="1" ref="BV434" ca="1">IF(BV$406="", "", IF(ISERROR(PRODUCT(1+OFFSET(BV$109, $CC434, 0, 5, 1)%)), "", PRODUCT(1+OFFSET(BV$109, $CC434, 0, 5, 1)%)^(1/5)-1))</f>
        <v/>
      </c>
      <c r="BW434" s="340" t="str">
        <f t="array" aca="1" ref="BW434" ca="1">IF(BW$406="", "", IF(ISERROR(PRODUCT(1+OFFSET(BW$109, $CC434, 0, 5, 1)%)), "", PRODUCT(1+OFFSET(BW$109, $CC434, 0, 5, 1)%)^(1/5)-1))</f>
        <v/>
      </c>
      <c r="BX434" s="340">
        <f t="array" aca="1" ref="BX434" ca="1">IF(BX$406="", "", IF(ISERROR(PRODUCT(1+OFFSET(BX$109, $CC434, 0, 5, 1)%)), "", PRODUCT(1+OFFSET(BX$109, $CC434, 0, 5, 1)%)^(1/5)-1))</f>
        <v>9.7199825995589517E-2</v>
      </c>
      <c r="BY434" s="340">
        <f t="array" aca="1" ref="BY434" ca="1">IF(BY$406="", "", IF(ISERROR(PRODUCT(1+OFFSET(BY$109, $CC434, 0, 5, 1)%)), "", PRODUCT(1+OFFSET(BY$109, $CC434, 0, 5, 1)%)^(1/5)-1))</f>
        <v>7.4404289424378822E-2</v>
      </c>
      <c r="BZ434" s="340">
        <f t="array" aca="1" ref="BZ434" ca="1">IF(BZ$406="", "", IF(ISERROR(PRODUCT(1+OFFSET(BZ$109, $CC434, 0, 5, 1)%)), "", PRODUCT(1+OFFSET(BZ$109, $CC434, 0, 5, 1)%)^(1/5)-1))</f>
        <v>5.2564548473316819E-2</v>
      </c>
      <c r="CA434" s="532">
        <f t="array" aca="1" ref="CA434" ca="1">IF(CA$406="", "", IF(ISERROR(PRODUCT(1+OFFSET(CA$109, $CC434, 0, 5, 1)%)), "", PRODUCT(1+OFFSET(CA$109, $CC434, 0, 5, 1)%)^(1/5)-1))</f>
        <v>2.1848880106734914E-2</v>
      </c>
      <c r="CC434" s="482">
        <f t="shared" si="553"/>
        <v>25</v>
      </c>
    </row>
    <row r="435" spans="1:81" ht="14">
      <c r="A435" s="338" t="str">
        <f t="shared" si="552"/>
        <v>2002-2006</v>
      </c>
      <c r="B435" s="339">
        <f t="array" aca="1" ref="B435" ca="1">IF(B$406="", "", IF(ISERROR(PRODUCT(1+OFFSET(B$109, $CC435, 0, 5, 1)%)), "", PRODUCT(1+OFFSET(B$109, $CC435, 0, 5, 1)%)^(1/5)-1))</f>
        <v>7.4162647314834906E-2</v>
      </c>
      <c r="C435" s="340">
        <f t="array" aca="1" ref="C435" ca="1">IF(C$406="", "", IF(ISERROR(PRODUCT(1+OFFSET(C$109, $CC435, 0, 5, 1)%)), "", PRODUCT(1+OFFSET(C$109, $CC435, 0, 5, 1)%)^(1/5)-1))</f>
        <v>9.5444191924208388E-2</v>
      </c>
      <c r="D435" s="340">
        <f t="array" aca="1" ref="D435" ca="1">IF(D$406="", "", IF(ISERROR(PRODUCT(1+OFFSET(D$109, $CC435, 0, 5, 1)%)), "", PRODUCT(1+OFFSET(D$109, $CC435, 0, 5, 1)%)^(1/5)-1))</f>
        <v>6.0625973134680322E-2</v>
      </c>
      <c r="E435" s="340">
        <f t="array" aca="1" ref="E435" ca="1">IF(E$406="", "", IF(ISERROR(PRODUCT(1+OFFSET(E$109, $CC435, 0, 5, 1)%)), "", PRODUCT(1+OFFSET(E$109, $CC435, 0, 5, 1)%)^(1/5)-1))</f>
        <v>3.3691913305903265E-2</v>
      </c>
      <c r="F435" s="340">
        <f t="array" aca="1" ref="F435" ca="1">IF(F$406="", "", IF(ISERROR(PRODUCT(1+OFFSET(F$109, $CC435, 0, 5, 1)%)), "", PRODUCT(1+OFFSET(F$109, $CC435, 0, 5, 1)%)^(1/5)-1))</f>
        <v>0.122756473558993</v>
      </c>
      <c r="G435" s="340">
        <f t="array" aca="1" ref="G435" ca="1">IF(G$406="", "", IF(ISERROR(PRODUCT(1+OFFSET(G$109, $CC435, 0, 5, 1)%)), "", PRODUCT(1+OFFSET(G$109, $CC435, 0, 5, 1)%)^(1/5)-1))</f>
        <v>0.12962268685874756</v>
      </c>
      <c r="H435" s="340">
        <f t="array" aca="1" ref="H435" ca="1">IF(H$406="", "", IF(ISERROR(PRODUCT(1+OFFSET(H$109, $CC435, 0, 5, 1)%)), "", PRODUCT(1+OFFSET(H$109, $CC435, 0, 5, 1)%)^(1/5)-1))</f>
        <v>0.11635006922847047</v>
      </c>
      <c r="I435" s="340">
        <f t="array" aca="1" ref="I435" ca="1">IF(I$406="", "", IF(ISERROR(PRODUCT(1+OFFSET(I$109, $CC435, 0, 5, 1)%)), "", PRODUCT(1+OFFSET(I$109, $CC435, 0, 5, 1)%)^(1/5)-1))</f>
        <v>0.11272954227276166</v>
      </c>
      <c r="J435" s="340">
        <f t="array" aca="1" ref="J435" ca="1">IF(J$406="", "", IF(ISERROR(PRODUCT(1+OFFSET(J$109, $CC435, 0, 5, 1)%)), "", PRODUCT(1+OFFSET(J$109, $CC435, 0, 5, 1)%)^(1/5)-1))</f>
        <v>0.21274647924719226</v>
      </c>
      <c r="K435" s="340">
        <f t="array" aca="1" ref="K435" ca="1">IF(K$406="", "", IF(ISERROR(PRODUCT(1+OFFSET(K$109, $CC435, 0, 5, 1)%)), "", PRODUCT(1+OFFSET(K$109, $CC435, 0, 5, 1)%)^(1/5)-1))</f>
        <v>0.22700574970595788</v>
      </c>
      <c r="L435" s="340">
        <f t="array" aca="1" ref="L435" ca="1">IF(L$406="", "", IF(ISERROR(PRODUCT(1+OFFSET(L$109, $CC435, 0, 5, 1)%)), "", PRODUCT(1+OFFSET(L$109, $CC435, 0, 5, 1)%)^(1/5)-1))</f>
        <v>0.15079277524705192</v>
      </c>
      <c r="M435" s="340">
        <f t="array" aca="1" ref="M435" ca="1">IF(M$406="", "", IF(ISERROR(PRODUCT(1+OFFSET(M$109, $CC435, 0, 5, 1)%)), "", PRODUCT(1+OFFSET(M$109, $CC435, 0, 5, 1)%)^(1/5)-1))</f>
        <v>0.2575274210720484</v>
      </c>
      <c r="N435" s="340">
        <f t="array" aca="1" ref="N435" ca="1">IF(N$406="", "", IF(ISERROR(PRODUCT(1+OFFSET(N$109, $CC435, 0, 5, 1)%)), "", PRODUCT(1+OFFSET(N$109, $CC435, 0, 5, 1)%)^(1/5)-1))</f>
        <v>0.16081667451450055</v>
      </c>
      <c r="O435" s="340">
        <f t="array" aca="1" ref="O435" ca="1">IF(O$406="", "", IF(ISERROR(PRODUCT(1+OFFSET(O$109, $CC435, 0, 5, 1)%)), "", PRODUCT(1+OFFSET(O$109, $CC435, 0, 5, 1)%)^(1/5)-1))</f>
        <v>0.15412845489284388</v>
      </c>
      <c r="P435" s="340">
        <f t="array" aca="1" ref="P435" ca="1">IF(P$406="", "", IF(ISERROR(PRODUCT(1+OFFSET(P$109, $CC435, 0, 5, 1)%)), "", PRODUCT(1+OFFSET(P$109, $CC435, 0, 5, 1)%)^(1/5)-1))</f>
        <v>0.14927498440982645</v>
      </c>
      <c r="Q435" s="340">
        <f t="array" aca="1" ref="Q435" ca="1">IF(Q$406="", "", IF(ISERROR(PRODUCT(1+OFFSET(Q$109, $CC435, 0, 5, 1)%)), "", PRODUCT(1+OFFSET(Q$109, $CC435, 0, 5, 1)%)^(1/5)-1))</f>
        <v>0.1721418843729039</v>
      </c>
      <c r="R435" s="340">
        <f t="array" aca="1" ref="R435" ca="1">IF(R$406="", "", IF(ISERROR(PRODUCT(1+OFFSET(R$109, $CC435, 0, 5, 1)%)), "", PRODUCT(1+OFFSET(R$109, $CC435, 0, 5, 1)%)^(1/5)-1))</f>
        <v>0.19819352999009365</v>
      </c>
      <c r="S435" s="340">
        <f t="array" aca="1" ref="S435" ca="1">IF(S$406="", "", IF(ISERROR(PRODUCT(1+OFFSET(S$109, $CC435, 0, 5, 1)%)), "", PRODUCT(1+OFFSET(S$109, $CC435, 0, 5, 1)%)^(1/5)-1))</f>
        <v>6.8368463085924924E-2</v>
      </c>
      <c r="T435" s="340">
        <f t="array" aca="1" ref="T435" ca="1">IF(T$406="", "", IF(ISERROR(PRODUCT(1+OFFSET(T$109, $CC435, 0, 5, 1)%)), "", PRODUCT(1+OFFSET(T$109, $CC435, 0, 5, 1)%)^(1/5)-1))</f>
        <v>4.9811590434305497E-2</v>
      </c>
      <c r="U435" s="340">
        <f t="array" aca="1" ref="U435" ca="1">IF(U$406="", "", IF(ISERROR(PRODUCT(1+OFFSET(U$109, $CC435, 0, 5, 1)%)), "", PRODUCT(1+OFFSET(U$109, $CC435, 0, 5, 1)%)^(1/5)-1))</f>
        <v>4.6101825405056696E-2</v>
      </c>
      <c r="V435" s="340">
        <f t="array" aca="1" ref="V435" ca="1">IF(V$406="", "", IF(ISERROR(PRODUCT(1+OFFSET(V$109, $CC435, 0, 5, 1)%)), "", PRODUCT(1+OFFSET(V$109, $CC435, 0, 5, 1)%)^(1/5)-1))</f>
        <v>2.1206234840705829E-2</v>
      </c>
      <c r="W435" s="340">
        <f t="array" aca="1" ref="W435" ca="1">IF(W$406="", "", IF(ISERROR(PRODUCT(1+OFFSET(W$109, $CC435, 0, 5, 1)%)), "", PRODUCT(1+OFFSET(W$109, $CC435, 0, 5, 1)%)^(1/5)-1))</f>
        <v>7.0353506170120372E-2</v>
      </c>
      <c r="X435" s="340">
        <f t="array" aca="1" ref="X435" ca="1">IF(X$406="", "", IF(ISERROR(PRODUCT(1+OFFSET(X$109, $CC435, 0, 5, 1)%)), "", PRODUCT(1+OFFSET(X$109, $CC435, 0, 5, 1)%)^(1/5)-1))</f>
        <v>8.946255034177697E-2</v>
      </c>
      <c r="Y435" s="340">
        <f t="array" aca="1" ref="Y435" ca="1">IF(Y$406="", "", IF(ISERROR(PRODUCT(1+OFFSET(Y$109, $CC435, 0, 5, 1)%)), "", PRODUCT(1+OFFSET(Y$109, $CC435, 0, 5, 1)%)^(1/5)-1))</f>
        <v>7.2857732396084174E-2</v>
      </c>
      <c r="Z435" s="340">
        <f t="array" aca="1" ref="Z435" ca="1">IF(Z$406="", "", IF(ISERROR(PRODUCT(1+OFFSET(Z$109, $CC435, 0, 5, 1)%)), "", PRODUCT(1+OFFSET(Z$109, $CC435, 0, 5, 1)%)^(1/5)-1))</f>
        <v>8.640534881236972E-2</v>
      </c>
      <c r="AA435" s="340">
        <f t="array" aca="1" ref="AA435" ca="1">IF(AA$406="", "", IF(ISERROR(PRODUCT(1+OFFSET(AA$109, $CC435, 0, 5, 1)%)), "", PRODUCT(1+OFFSET(AA$109, $CC435, 0, 5, 1)%)^(1/5)-1))</f>
        <v>3.3646999952743561E-2</v>
      </c>
      <c r="AB435" s="340">
        <f t="array" aca="1" ref="AB435" ca="1">IF(AB$406="", "", IF(ISERROR(PRODUCT(1+OFFSET(AB$109, $CC435, 0, 5, 1)%)), "", PRODUCT(1+OFFSET(AB$109, $CC435, 0, 5, 1)%)^(1/5)-1))</f>
        <v>0.17532662799072973</v>
      </c>
      <c r="AC435" s="340">
        <f t="array" aca="1" ref="AC435" ca="1">IF(AC$406="", "", IF(ISERROR(PRODUCT(1+OFFSET(AC$109, $CC435, 0, 5, 1)%)), "", PRODUCT(1+OFFSET(AC$109, $CC435, 0, 5, 1)%)^(1/5)-1))</f>
        <v>0.22906328815995769</v>
      </c>
      <c r="AD435" s="340">
        <f t="array" aca="1" ref="AD435" ca="1">IF(AD$406="", "", IF(ISERROR(PRODUCT(1+OFFSET(AD$109, $CC435, 0, 5, 1)%)), "", PRODUCT(1+OFFSET(AD$109, $CC435, 0, 5, 1)%)^(1/5)-1))</f>
        <v>0.25746645010352709</v>
      </c>
      <c r="AE435" s="340">
        <f t="array" aca="1" ref="AE435" ca="1">IF(AE$406="", "", IF(ISERROR(PRODUCT(1+OFFSET(AE$109, $CC435, 0, 5, 1)%)), "", PRODUCT(1+OFFSET(AE$109, $CC435, 0, 5, 1)%)^(1/5)-1))</f>
        <v>9.4715383985881418E-2</v>
      </c>
      <c r="AF435" s="340">
        <f t="array" aca="1" ref="AF435" ca="1">IF(AF$406="", "", IF(ISERROR(PRODUCT(1+OFFSET(AF$109, $CC435, 0, 5, 1)%)), "", PRODUCT(1+OFFSET(AF$109, $CC435, 0, 5, 1)%)^(1/5)-1))</f>
        <v>0.3472293990299018</v>
      </c>
      <c r="AG435" s="340">
        <f t="array" aca="1" ref="AG435" ca="1">IF(AG$406="", "", IF(ISERROR(PRODUCT(1+OFFSET(AG$109, $CC435, 0, 5, 1)%)), "", PRODUCT(1+OFFSET(AG$109, $CC435, 0, 5, 1)%)^(1/5)-1))</f>
        <v>0.10116779960512723</v>
      </c>
      <c r="AH435" s="340">
        <f t="array" aca="1" ref="AH435" ca="1">IF(AH$406="", "", IF(ISERROR(PRODUCT(1+OFFSET(AH$109, $CC435, 0, 5, 1)%)), "", PRODUCT(1+OFFSET(AH$109, $CC435, 0, 5, 1)%)^(1/5)-1))</f>
        <v>2.2275427109084589E-2</v>
      </c>
      <c r="AI435" s="340">
        <f t="array" aca="1" ref="AI435" ca="1">IF(AI$406="", "", IF(ISERROR(PRODUCT(1+OFFSET(AI$109, $CC435, 0, 5, 1)%)), "", PRODUCT(1+OFFSET(AI$109, $CC435, 0, 5, 1)%)^(1/5)-1))</f>
        <v>4.4366065870431237E-2</v>
      </c>
      <c r="AJ435" s="340">
        <f t="array" aca="1" ref="AJ435" ca="1">IF(AJ$406="", "", IF(ISERROR(PRODUCT(1+OFFSET(AJ$109, $CC435, 0, 5, 1)%)), "", PRODUCT(1+OFFSET(AJ$109, $CC435, 0, 5, 1)%)^(1/5)-1))</f>
        <v>5.5067290763689991E-2</v>
      </c>
      <c r="AK435" s="340">
        <f t="array" aca="1" ref="AK435" ca="1">IF(AK$406="", "", IF(ISERROR(PRODUCT(1+OFFSET(AK$109, $CC435, 0, 5, 1)%)), "", PRODUCT(1+OFFSET(AK$109, $CC435, 0, 5, 1)%)^(1/5)-1))</f>
        <v>7.5543837557131344E-2</v>
      </c>
      <c r="AL435" s="340">
        <f t="array" aca="1" ref="AL435" ca="1">IF(AL$406="", "", IF(ISERROR(PRODUCT(1+OFFSET(AL$109, $CC435, 0, 5, 1)%)), "", PRODUCT(1+OFFSET(AL$109, $CC435, 0, 5, 1)%)^(1/5)-1))</f>
        <v>8.8253535616172663E-2</v>
      </c>
      <c r="AM435" s="340">
        <f t="array" aca="1" ref="AM435" ca="1">IF(AM$406="", "", IF(ISERROR(PRODUCT(1+OFFSET(AM$109, $CC435, 0, 5, 1)%)), "", PRODUCT(1+OFFSET(AM$109, $CC435, 0, 5, 1)%)^(1/5)-1))</f>
        <v>0.15794955565445656</v>
      </c>
      <c r="AN435" s="340">
        <f t="array" aca="1" ref="AN435" ca="1">IF(AN$406="", "", IF(ISERROR(PRODUCT(1+OFFSET(AN$109, $CC435, 0, 5, 1)%)), "", PRODUCT(1+OFFSET(AN$109, $CC435, 0, 5, 1)%)^(1/5)-1))</f>
        <v>0.11948512009518031</v>
      </c>
      <c r="AO435" s="340">
        <f t="array" aca="1" ref="AO435" ca="1">IF(AO$406="", "", IF(ISERROR(PRODUCT(1+OFFSET(AO$109, $CC435, 0, 5, 1)%)), "", PRODUCT(1+OFFSET(AO$109, $CC435, 0, 5, 1)%)^(1/5)-1))</f>
        <v>9.3598874444140057E-2</v>
      </c>
      <c r="AP435" s="340">
        <f t="array" aca="1" ref="AP435" ca="1">IF(AP$406="", "", IF(ISERROR(PRODUCT(1+OFFSET(AP$109, $CC435, 0, 5, 1)%)), "", PRODUCT(1+OFFSET(AP$109, $CC435, 0, 5, 1)%)^(1/5)-1))</f>
        <v>3.7353137523827185E-2</v>
      </c>
      <c r="AQ435" s="340" t="str">
        <f t="array" aca="1" ref="AQ435" ca="1">IF(AQ$406="", "", IF(ISERROR(PRODUCT(1+OFFSET(AQ$109, $CC435, 0, 5, 1)%)), "", PRODUCT(1+OFFSET(AQ$109, $CC435, 0, 5, 1)%)^(1/5)-1))</f>
        <v/>
      </c>
      <c r="AR435" s="340" t="str">
        <f t="array" aca="1" ref="AR435" ca="1">IF(AR$406="", "", IF(ISERROR(PRODUCT(1+OFFSET(AR$109, $CC435, 0, 5, 1)%)), "", PRODUCT(1+OFFSET(AR$109, $CC435, 0, 5, 1)%)^(1/5)-1))</f>
        <v/>
      </c>
      <c r="AS435" s="340" t="str">
        <f t="array" aca="1" ref="AS435" ca="1">IF(AS$406="", "", IF(ISERROR(PRODUCT(1+OFFSET(AS$109, $CC435, 0, 5, 1)%)), "", PRODUCT(1+OFFSET(AS$109, $CC435, 0, 5, 1)%)^(1/5)-1))</f>
        <v/>
      </c>
      <c r="AT435" s="340" t="str">
        <f t="array" aca="1" ref="AT435" ca="1">IF(AT$406="", "", IF(ISERROR(PRODUCT(1+OFFSET(AT$109, $CC435, 0, 5, 1)%)), "", PRODUCT(1+OFFSET(AT$109, $CC435, 0, 5, 1)%)^(1/5)-1))</f>
        <v/>
      </c>
      <c r="AU435" s="340" t="str">
        <f t="array" aca="1" ref="AU435" ca="1">IF(AU$406="", "", IF(ISERROR(PRODUCT(1+OFFSET(AU$109, $CC435, 0, 5, 1)%)), "", PRODUCT(1+OFFSET(AU$109, $CC435, 0, 5, 1)%)^(1/5)-1))</f>
        <v/>
      </c>
      <c r="AV435" s="340" t="str">
        <f t="array" aca="1" ref="AV435" ca="1">IF(AV$406="", "", IF(ISERROR(PRODUCT(1+OFFSET(AV$109, $CC435, 0, 5, 1)%)), "", PRODUCT(1+OFFSET(AV$109, $CC435, 0, 5, 1)%)^(1/5)-1))</f>
        <v/>
      </c>
      <c r="AW435" s="340" t="str">
        <f t="array" aca="1" ref="AW435" ca="1">IF(AW$406="", "", IF(ISERROR(PRODUCT(1+OFFSET(AW$109, $CC435, 0, 5, 1)%)), "", PRODUCT(1+OFFSET(AW$109, $CC435, 0, 5, 1)%)^(1/5)-1))</f>
        <v/>
      </c>
      <c r="AX435" s="340" t="str">
        <f t="array" aca="1" ref="AX435" ca="1">IF(AX$406="", "", IF(ISERROR(PRODUCT(1+OFFSET(AX$109, $CC435, 0, 5, 1)%)), "", PRODUCT(1+OFFSET(AX$109, $CC435, 0, 5, 1)%)^(1/5)-1))</f>
        <v/>
      </c>
      <c r="AY435" s="340" t="str">
        <f t="array" aca="1" ref="AY435" ca="1">IF(AY$406="", "", IF(ISERROR(PRODUCT(1+OFFSET(AY$109, $CC435, 0, 5, 1)%)), "", PRODUCT(1+OFFSET(AY$109, $CC435, 0, 5, 1)%)^(1/5)-1))</f>
        <v/>
      </c>
      <c r="AZ435" s="340" t="str">
        <f t="array" aca="1" ref="AZ435" ca="1">IF(AZ$406="", "", IF(ISERROR(PRODUCT(1+OFFSET(AZ$109, $CC435, 0, 5, 1)%)), "", PRODUCT(1+OFFSET(AZ$109, $CC435, 0, 5, 1)%)^(1/5)-1))</f>
        <v/>
      </c>
      <c r="BA435" s="340" t="str">
        <f t="array" aca="1" ref="BA435" ca="1">IF(BA$406="", "", IF(ISERROR(PRODUCT(1+OFFSET(BA$109, $CC435, 0, 5, 1)%)), "", PRODUCT(1+OFFSET(BA$109, $CC435, 0, 5, 1)%)^(1/5)-1))</f>
        <v/>
      </c>
      <c r="BB435" s="340" t="str">
        <f t="array" aca="1" ref="BB435" ca="1">IF(BB$406="", "", IF(ISERROR(PRODUCT(1+OFFSET(BB$109, $CC435, 0, 5, 1)%)), "", PRODUCT(1+OFFSET(BB$109, $CC435, 0, 5, 1)%)^(1/5)-1))</f>
        <v/>
      </c>
      <c r="BC435" s="340" t="str">
        <f t="array" aca="1" ref="BC435" ca="1">IF(BC$406="", "", IF(ISERROR(PRODUCT(1+OFFSET(BC$109, $CC435, 0, 5, 1)%)), "", PRODUCT(1+OFFSET(BC$109, $CC435, 0, 5, 1)%)^(1/5)-1))</f>
        <v/>
      </c>
      <c r="BD435" s="340" t="str">
        <f t="array" aca="1" ref="BD435" ca="1">IF(BD$406="", "", IF(ISERROR(PRODUCT(1+OFFSET(BD$109, $CC435, 0, 5, 1)%)), "", PRODUCT(1+OFFSET(BD$109, $CC435, 0, 5, 1)%)^(1/5)-1))</f>
        <v/>
      </c>
      <c r="BE435" s="340" t="str">
        <f t="array" aca="1" ref="BE435" ca="1">IF(BE$406="", "", IF(ISERROR(PRODUCT(1+OFFSET(BE$109, $CC435, 0, 5, 1)%)), "", PRODUCT(1+OFFSET(BE$109, $CC435, 0, 5, 1)%)^(1/5)-1))</f>
        <v/>
      </c>
      <c r="BF435" s="340" t="str">
        <f t="array" aca="1" ref="BF435" ca="1">IF(BF$406="", "", IF(ISERROR(PRODUCT(1+OFFSET(BF$109, $CC435, 0, 5, 1)%)), "", PRODUCT(1+OFFSET(BF$109, $CC435, 0, 5, 1)%)^(1/5)-1))</f>
        <v/>
      </c>
      <c r="BG435" s="340" t="str">
        <f t="array" aca="1" ref="BG435" ca="1">IF(BG$406="", "", IF(ISERROR(PRODUCT(1+OFFSET(BG$109, $CC435, 0, 5, 1)%)), "", PRODUCT(1+OFFSET(BG$109, $CC435, 0, 5, 1)%)^(1/5)-1))</f>
        <v/>
      </c>
      <c r="BH435" s="340" t="str">
        <f t="array" aca="1" ref="BH435" ca="1">IF(BH$406="", "", IF(ISERROR(PRODUCT(1+OFFSET(BH$109, $CC435, 0, 5, 1)%)), "", PRODUCT(1+OFFSET(BH$109, $CC435, 0, 5, 1)%)^(1/5)-1))</f>
        <v/>
      </c>
      <c r="BI435" s="340" t="str">
        <f t="array" aca="1" ref="BI435" ca="1">IF(BI$406="", "", IF(ISERROR(PRODUCT(1+OFFSET(BI$109, $CC435, 0, 5, 1)%)), "", PRODUCT(1+OFFSET(BI$109, $CC435, 0, 5, 1)%)^(1/5)-1))</f>
        <v/>
      </c>
      <c r="BJ435" s="340" t="str">
        <f t="array" aca="1" ref="BJ435" ca="1">IF(BJ$406="", "", IF(ISERROR(PRODUCT(1+OFFSET(BJ$109, $CC435, 0, 5, 1)%)), "", PRODUCT(1+OFFSET(BJ$109, $CC435, 0, 5, 1)%)^(1/5)-1))</f>
        <v/>
      </c>
      <c r="BK435" s="340" t="str">
        <f t="array" aca="1" ref="BK435" ca="1">IF(BK$406="", "", IF(ISERROR(PRODUCT(1+OFFSET(BK$109, $CC435, 0, 5, 1)%)), "", PRODUCT(1+OFFSET(BK$109, $CC435, 0, 5, 1)%)^(1/5)-1))</f>
        <v/>
      </c>
      <c r="BL435" s="340" t="str">
        <f t="array" aca="1" ref="BL435" ca="1">IF(BL$406="", "", IF(ISERROR(PRODUCT(1+OFFSET(BL$109, $CC435, 0, 5, 1)%)), "", PRODUCT(1+OFFSET(BL$109, $CC435, 0, 5, 1)%)^(1/5)-1))</f>
        <v/>
      </c>
      <c r="BM435" s="340" t="str">
        <f t="array" aca="1" ref="BM435" ca="1">IF(BM$406="", "", IF(ISERROR(PRODUCT(1+OFFSET(BM$109, $CC435, 0, 5, 1)%)), "", PRODUCT(1+OFFSET(BM$109, $CC435, 0, 5, 1)%)^(1/5)-1))</f>
        <v/>
      </c>
      <c r="BN435" s="340" t="str">
        <f t="array" aca="1" ref="BN435" ca="1">IF(BN$406="", "", IF(ISERROR(PRODUCT(1+OFFSET(BN$109, $CC435, 0, 5, 1)%)), "", PRODUCT(1+OFFSET(BN$109, $CC435, 0, 5, 1)%)^(1/5)-1))</f>
        <v/>
      </c>
      <c r="BO435" s="340" t="str">
        <f t="array" aca="1" ref="BO435" ca="1">IF(BO$406="", "", IF(ISERROR(PRODUCT(1+OFFSET(BO$109, $CC435, 0, 5, 1)%)), "", PRODUCT(1+OFFSET(BO$109, $CC435, 0, 5, 1)%)^(1/5)-1))</f>
        <v/>
      </c>
      <c r="BP435" s="340" t="str">
        <f t="array" aca="1" ref="BP435" ca="1">IF(BP$406="", "", IF(ISERROR(PRODUCT(1+OFFSET(BP$109, $CC435, 0, 5, 1)%)), "", PRODUCT(1+OFFSET(BP$109, $CC435, 0, 5, 1)%)^(1/5)-1))</f>
        <v/>
      </c>
      <c r="BQ435" s="340" t="str">
        <f t="array" aca="1" ref="BQ435" ca="1">IF(BQ$406="", "", IF(ISERROR(PRODUCT(1+OFFSET(BQ$109, $CC435, 0, 5, 1)%)), "", PRODUCT(1+OFFSET(BQ$109, $CC435, 0, 5, 1)%)^(1/5)-1))</f>
        <v/>
      </c>
      <c r="BR435" s="340" t="str">
        <f t="array" aca="1" ref="BR435" ca="1">IF(BR$406="", "", IF(ISERROR(PRODUCT(1+OFFSET(BR$109, $CC435, 0, 5, 1)%)), "", PRODUCT(1+OFFSET(BR$109, $CC435, 0, 5, 1)%)^(1/5)-1))</f>
        <v/>
      </c>
      <c r="BS435" s="340" t="str">
        <f t="array" aca="1" ref="BS435" ca="1">IF(BS$406="", "", IF(ISERROR(PRODUCT(1+OFFSET(BS$109, $CC435, 0, 5, 1)%)), "", PRODUCT(1+OFFSET(BS$109, $CC435, 0, 5, 1)%)^(1/5)-1))</f>
        <v/>
      </c>
      <c r="BT435" s="340" t="str">
        <f t="array" aca="1" ref="BT435" ca="1">IF(BT$406="", "", IF(ISERROR(PRODUCT(1+OFFSET(BT$109, $CC435, 0, 5, 1)%)), "", PRODUCT(1+OFFSET(BT$109, $CC435, 0, 5, 1)%)^(1/5)-1))</f>
        <v/>
      </c>
      <c r="BU435" s="340" t="str">
        <f t="array" aca="1" ref="BU435" ca="1">IF(BU$406="", "", IF(ISERROR(PRODUCT(1+OFFSET(BU$109, $CC435, 0, 5, 1)%)), "", PRODUCT(1+OFFSET(BU$109, $CC435, 0, 5, 1)%)^(1/5)-1))</f>
        <v/>
      </c>
      <c r="BV435" s="340" t="str">
        <f t="array" aca="1" ref="BV435" ca="1">IF(BV$406="", "", IF(ISERROR(PRODUCT(1+OFFSET(BV$109, $CC435, 0, 5, 1)%)), "", PRODUCT(1+OFFSET(BV$109, $CC435, 0, 5, 1)%)^(1/5)-1))</f>
        <v/>
      </c>
      <c r="BW435" s="340" t="str">
        <f t="array" aca="1" ref="BW435" ca="1">IF(BW$406="", "", IF(ISERROR(PRODUCT(1+OFFSET(BW$109, $CC435, 0, 5, 1)%)), "", PRODUCT(1+OFFSET(BW$109, $CC435, 0, 5, 1)%)^(1/5)-1))</f>
        <v/>
      </c>
      <c r="BX435" s="340">
        <f t="array" aca="1" ref="BX435" ca="1">IF(BX$406="", "", IF(ISERROR(PRODUCT(1+OFFSET(BX$109, $CC435, 0, 5, 1)%)), "", PRODUCT(1+OFFSET(BX$109, $CC435, 0, 5, 1)%)^(1/5)-1))</f>
        <v>6.3165755653717737E-2</v>
      </c>
      <c r="BY435" s="340">
        <f t="array" aca="1" ref="BY435" ca="1">IF(BY$406="", "", IF(ISERROR(PRODUCT(1+OFFSET(BY$109, $CC435, 0, 5, 1)%)), "", PRODUCT(1+OFFSET(BY$109, $CC435, 0, 5, 1)%)^(1/5)-1))</f>
        <v>4.3013385545130012E-2</v>
      </c>
      <c r="BZ435" s="340">
        <f t="array" aca="1" ref="BZ435" ca="1">IF(BZ$406="", "", IF(ISERROR(PRODUCT(1+OFFSET(BZ$109, $CC435, 0, 5, 1)%)), "", PRODUCT(1+OFFSET(BZ$109, $CC435, 0, 5, 1)%)^(1/5)-1))</f>
        <v>2.4073003303377138E-2</v>
      </c>
      <c r="CA435" s="532">
        <f t="array" aca="1" ref="CA435" ca="1">IF(CA$406="", "", IF(ISERROR(PRODUCT(1+OFFSET(CA$109, $CC435, 0, 5, 1)%)), "", PRODUCT(1+OFFSET(CA$109, $CC435, 0, 5, 1)%)^(1/5)-1))</f>
        <v>2.6920733830331889E-2</v>
      </c>
      <c r="CC435" s="482">
        <f t="shared" si="553"/>
        <v>30</v>
      </c>
    </row>
    <row r="436" spans="1:81" ht="14">
      <c r="A436" s="338" t="str">
        <f t="shared" si="552"/>
        <v>2007-2011</v>
      </c>
      <c r="B436" s="339">
        <f t="array" aca="1" ref="B436" ca="1">IF(B$406="", "", IF(ISERROR(PRODUCT(1+OFFSET(B$109, $CC436, 0, 5, 1)%)), "", PRODUCT(1+OFFSET(B$109, $CC436, 0, 5, 1)%)^(1/5)-1))</f>
        <v>2.0854152836511375E-3</v>
      </c>
      <c r="C436" s="340">
        <f t="array" aca="1" ref="C436" ca="1">IF(C$406="", "", IF(ISERROR(PRODUCT(1+OFFSET(C$109, $CC436, 0, 5, 1)%)), "", PRODUCT(1+OFFSET(C$109, $CC436, 0, 5, 1)%)^(1/5)-1))</f>
        <v>-2.4235824769929915E-2</v>
      </c>
      <c r="D436" s="340">
        <f t="array" aca="1" ref="D436" ca="1">IF(D$406="", "", IF(ISERROR(PRODUCT(1+OFFSET(D$109, $CC436, 0, 5, 1)%)), "", PRODUCT(1+OFFSET(D$109, $CC436, 0, 5, 1)%)^(1/5)-1))</f>
        <v>-3.269611145051865E-3</v>
      </c>
      <c r="E436" s="340">
        <f t="array" aca="1" ref="E436" ca="1">IF(E$406="", "", IF(ISERROR(PRODUCT(1+OFFSET(E$109, $CC436, 0, 5, 1)%)), "", PRODUCT(1+OFFSET(E$109, $CC436, 0, 5, 1)%)^(1/5)-1))</f>
        <v>2.3949860066638795E-2</v>
      </c>
      <c r="F436" s="340">
        <f t="array" aca="1" ref="F436" ca="1">IF(F$406="", "", IF(ISERROR(PRODUCT(1+OFFSET(F$109, $CC436, 0, 5, 1)%)), "", PRODUCT(1+OFFSET(F$109, $CC436, 0, 5, 1)%)^(1/5)-1))</f>
        <v>1.2145662395888435E-2</v>
      </c>
      <c r="G436" s="340">
        <f t="array" aca="1" ref="G436" ca="1">IF(G$406="", "", IF(ISERROR(PRODUCT(1+OFFSET(G$109, $CC436, 0, 5, 1)%)), "", PRODUCT(1+OFFSET(G$109, $CC436, 0, 5, 1)%)^(1/5)-1))</f>
        <v>-3.1017821025832726E-3</v>
      </c>
      <c r="H436" s="340">
        <f t="array" aca="1" ref="H436" ca="1">IF(H$406="", "", IF(ISERROR(PRODUCT(1+OFFSET(H$109, $CC436, 0, 5, 1)%)), "", PRODUCT(1+OFFSET(H$109, $CC436, 0, 5, 1)%)^(1/5)-1))</f>
        <v>1.7916438852281225E-2</v>
      </c>
      <c r="I436" s="340">
        <f t="array" aca="1" ref="I436" ca="1">IF(I$406="", "", IF(ISERROR(PRODUCT(1+OFFSET(I$109, $CC436, 0, 5, 1)%)), "", PRODUCT(1+OFFSET(I$109, $CC436, 0, 5, 1)%)^(1/5)-1))</f>
        <v>3.7163309047182791E-2</v>
      </c>
      <c r="J436" s="340">
        <f t="array" aca="1" ref="J436" ca="1">IF(J$406="", "", IF(ISERROR(PRODUCT(1+OFFSET(J$109, $CC436, 0, 5, 1)%)), "", PRODUCT(1+OFFSET(J$109, $CC436, 0, 5, 1)%)^(1/5)-1))</f>
        <v>-3.6708784334187117E-2</v>
      </c>
      <c r="K436" s="340">
        <f t="array" aca="1" ref="K436" ca="1">IF(K$406="", "", IF(ISERROR(PRODUCT(1+OFFSET(K$109, $CC436, 0, 5, 1)%)), "", PRODUCT(1+OFFSET(K$109, $CC436, 0, 5, 1)%)^(1/5)-1))</f>
        <v>-1.0552181091589063E-2</v>
      </c>
      <c r="L436" s="340">
        <f t="array" aca="1" ref="L436" ca="1">IF(L$406="", "", IF(ISERROR(PRODUCT(1+OFFSET(L$109, $CC436, 0, 5, 1)%)), "", PRODUCT(1+OFFSET(L$109, $CC436, 0, 5, 1)%)^(1/5)-1))</f>
        <v>-4.5129678636541937E-2</v>
      </c>
      <c r="M436" s="340">
        <f t="array" aca="1" ref="M436" ca="1">IF(M$406="", "", IF(ISERROR(PRODUCT(1+OFFSET(M$109, $CC436, 0, 5, 1)%)), "", PRODUCT(1+OFFSET(M$109, $CC436, 0, 5, 1)%)^(1/5)-1))</f>
        <v>2.0737385910069905E-2</v>
      </c>
      <c r="N436" s="340">
        <f t="array" aca="1" ref="N436" ca="1">IF(N$406="", "", IF(ISERROR(PRODUCT(1+OFFSET(N$109, $CC436, 0, 5, 1)%)), "", PRODUCT(1+OFFSET(N$109, $CC436, 0, 5, 1)%)^(1/5)-1))</f>
        <v>-3.4666773226472269E-2</v>
      </c>
      <c r="O436" s="340">
        <f t="array" aca="1" ref="O436" ca="1">IF(O$406="", "", IF(ISERROR(PRODUCT(1+OFFSET(O$109, $CC436, 0, 5, 1)%)), "", PRODUCT(1+OFFSET(O$109, $CC436, 0, 5, 1)%)^(1/5)-1))</f>
        <v>-3.6626979026591955E-2</v>
      </c>
      <c r="P436" s="340">
        <f t="array" aca="1" ref="P436" ca="1">IF(P$406="", "", IF(ISERROR(PRODUCT(1+OFFSET(P$109, $CC436, 0, 5, 1)%)), "", PRODUCT(1+OFFSET(P$109, $CC436, 0, 5, 1)%)^(1/5)-1))</f>
        <v>-5.1033276635176206E-2</v>
      </c>
      <c r="Q436" s="340">
        <f t="array" aca="1" ref="Q436" ca="1">IF(Q$406="", "", IF(ISERROR(PRODUCT(1+OFFSET(Q$109, $CC436, 0, 5, 1)%)), "", PRODUCT(1+OFFSET(Q$109, $CC436, 0, 5, 1)%)^(1/5)-1))</f>
        <v>-4.2497882131379949E-2</v>
      </c>
      <c r="R436" s="340">
        <f t="array" aca="1" ref="R436" ca="1">IF(R$406="", "", IF(ISERROR(PRODUCT(1+OFFSET(R$109, $CC436, 0, 5, 1)%)), "", PRODUCT(1+OFFSET(R$109, $CC436, 0, 5, 1)%)^(1/5)-1))</f>
        <v>2.4089867530924014E-2</v>
      </c>
      <c r="S436" s="340">
        <f t="array" aca="1" ref="S436" ca="1">IF(S$406="", "", IF(ISERROR(PRODUCT(1+OFFSET(S$109, $CC436, 0, 5, 1)%)), "", PRODUCT(1+OFFSET(S$109, $CC436, 0, 5, 1)%)^(1/5)-1))</f>
        <v>0.10637072102458833</v>
      </c>
      <c r="T436" s="340">
        <f t="array" aca="1" ref="T436" ca="1">IF(T$406="", "", IF(ISERROR(PRODUCT(1+OFFSET(T$109, $CC436, 0, 5, 1)%)), "", PRODUCT(1+OFFSET(T$109, $CC436, 0, 5, 1)%)^(1/5)-1))</f>
        <v>7.6278025286685924E-2</v>
      </c>
      <c r="U436" s="340">
        <f t="array" aca="1" ref="U436" ca="1">IF(U$406="", "", IF(ISERROR(PRODUCT(1+OFFSET(U$109, $CC436, 0, 5, 1)%)), "", PRODUCT(1+OFFSET(U$109, $CC436, 0, 5, 1)%)^(1/5)-1))</f>
        <v>6.3725585786145844E-2</v>
      </c>
      <c r="V436" s="340">
        <f t="array" aca="1" ref="V436" ca="1">IF(V$406="", "", IF(ISERROR(PRODUCT(1+OFFSET(V$109, $CC436, 0, 5, 1)%)), "", PRODUCT(1+OFFSET(V$109, $CC436, 0, 5, 1)%)^(1/5)-1))</f>
        <v>1.4209145453889738E-2</v>
      </c>
      <c r="W436" s="340">
        <f t="array" aca="1" ref="W436" ca="1">IF(W$406="", "", IF(ISERROR(PRODUCT(1+OFFSET(W$109, $CC436, 0, 5, 1)%)), "", PRODUCT(1+OFFSET(W$109, $CC436, 0, 5, 1)%)^(1/5)-1))</f>
        <v>7.6271658643643159E-2</v>
      </c>
      <c r="X436" s="340">
        <f t="array" aca="1" ref="X436" ca="1">IF(X$406="", "", IF(ISERROR(PRODUCT(1+OFFSET(X$109, $CC436, 0, 5, 1)%)), "", PRODUCT(1+OFFSET(X$109, $CC436, 0, 5, 1)%)^(1/5)-1))</f>
        <v>3.4558715403152807E-2</v>
      </c>
      <c r="Y436" s="340">
        <f t="array" aca="1" ref="Y436" ca="1">IF(Y$406="", "", IF(ISERROR(PRODUCT(1+OFFSET(Y$109, $CC436, 0, 5, 1)%)), "", PRODUCT(1+OFFSET(Y$109, $CC436, 0, 5, 1)%)^(1/5)-1))</f>
        <v>6.0294546895956591E-2</v>
      </c>
      <c r="Z436" s="340">
        <f t="array" aca="1" ref="Z436" ca="1">IF(Z$406="", "", IF(ISERROR(PRODUCT(1+OFFSET(Z$109, $CC436, 0, 5, 1)%)), "", PRODUCT(1+OFFSET(Z$109, $CC436, 0, 5, 1)%)^(1/5)-1))</f>
        <v>-3.2985069668035494E-2</v>
      </c>
      <c r="AA436" s="340">
        <f t="array" aca="1" ref="AA436" ca="1">IF(AA$406="", "", IF(ISERROR(PRODUCT(1+OFFSET(AA$109, $CC436, 0, 5, 1)%)), "", PRODUCT(1+OFFSET(AA$109, $CC436, 0, 5, 1)%)^(1/5)-1))</f>
        <v>4.1499760661308338E-2</v>
      </c>
      <c r="AB436" s="340">
        <f t="array" aca="1" ref="AB436" ca="1">IF(AB$406="", "", IF(ISERROR(PRODUCT(1+OFFSET(AB$109, $CC436, 0, 5, 1)%)), "", PRODUCT(1+OFFSET(AB$109, $CC436, 0, 5, 1)%)^(1/5)-1))</f>
        <v>0.19201578579872636</v>
      </c>
      <c r="AC436" s="340">
        <f t="array" aca="1" ref="AC436" ca="1">IF(AC$406="", "", IF(ISERROR(PRODUCT(1+OFFSET(AC$109, $CC436, 0, 5, 1)%)), "", PRODUCT(1+OFFSET(AC$109, $CC436, 0, 5, 1)%)^(1/5)-1))</f>
        <v>-3.5430541157344009E-2</v>
      </c>
      <c r="AD436" s="340">
        <f t="array" aca="1" ref="AD436" ca="1">IF(AD$406="", "", IF(ISERROR(PRODUCT(1+OFFSET(AD$109, $CC436, 0, 5, 1)%)), "", PRODUCT(1+OFFSET(AD$109, $CC436, 0, 5, 1)%)^(1/5)-1))</f>
        <v>3.8341010413766918E-2</v>
      </c>
      <c r="AE436" s="340">
        <f t="array" aca="1" ref="AE436" ca="1">IF(AE$406="", "", IF(ISERROR(PRODUCT(1+OFFSET(AE$109, $CC436, 0, 5, 1)%)), "", PRODUCT(1+OFFSET(AE$109, $CC436, 0, 5, 1)%)^(1/5)-1))</f>
        <v>4.0346673882306616E-2</v>
      </c>
      <c r="AF436" s="340">
        <f t="array" aca="1" ref="AF436" ca="1">IF(AF$406="", "", IF(ISERROR(PRODUCT(1+OFFSET(AF$109, $CC436, 0, 5, 1)%)), "", PRODUCT(1+OFFSET(AF$109, $CC436, 0, 5, 1)%)^(1/5)-1))</f>
        <v>2.6011834438498305E-2</v>
      </c>
      <c r="AG436" s="340">
        <f t="array" aca="1" ref="AG436" ca="1">IF(AG$406="", "", IF(ISERROR(PRODUCT(1+OFFSET(AG$109, $CC436, 0, 5, 1)%)), "", PRODUCT(1+OFFSET(AG$109, $CC436, 0, 5, 1)%)^(1/5)-1))</f>
        <v>-1.3556608709184848E-2</v>
      </c>
      <c r="AH436" s="340">
        <f t="array" aca="1" ref="AH436" ca="1">IF(AH$406="", "", IF(ISERROR(PRODUCT(1+OFFSET(AH$109, $CC436, 0, 5, 1)%)), "", PRODUCT(1+OFFSET(AH$109, $CC436, 0, 5, 1)%)^(1/5)-1))</f>
        <v>2.7024769202613985E-2</v>
      </c>
      <c r="AI436" s="340">
        <f t="array" aca="1" ref="AI436" ca="1">IF(AI$406="", "", IF(ISERROR(PRODUCT(1+OFFSET(AI$109, $CC436, 0, 5, 1)%)), "", PRODUCT(1+OFFSET(AI$109, $CC436, 0, 5, 1)%)^(1/5)-1))</f>
        <v>4.970755889313172E-2</v>
      </c>
      <c r="AJ436" s="340">
        <f t="array" aca="1" ref="AJ436" ca="1">IF(AJ$406="", "", IF(ISERROR(PRODUCT(1+OFFSET(AJ$109, $CC436, 0, 5, 1)%)), "", PRODUCT(1+OFFSET(AJ$109, $CC436, 0, 5, 1)%)^(1/5)-1))</f>
        <v>4.568035818792171E-2</v>
      </c>
      <c r="AK436" s="340">
        <f t="array" aca="1" ref="AK436" ca="1">IF(AK$406="", "", IF(ISERROR(PRODUCT(1+OFFSET(AK$109, $CC436, 0, 5, 1)%)), "", PRODUCT(1+OFFSET(AK$109, $CC436, 0, 5, 1)%)^(1/5)-1))</f>
        <v>3.0447455364150056E-2</v>
      </c>
      <c r="AL436" s="340">
        <f t="array" aca="1" ref="AL436" ca="1">IF(AL$406="", "", IF(ISERROR(PRODUCT(1+OFFSET(AL$109, $CC436, 0, 5, 1)%)), "", PRODUCT(1+OFFSET(AL$109, $CC436, 0, 5, 1)%)^(1/5)-1))</f>
        <v>1.8257162210699063E-2</v>
      </c>
      <c r="AM436" s="340">
        <f t="array" aca="1" ref="AM436" ca="1">IF(AM$406="", "", IF(ISERROR(PRODUCT(1+OFFSET(AM$109, $CC436, 0, 5, 1)%)), "", PRODUCT(1+OFFSET(AM$109, $CC436, 0, 5, 1)%)^(1/5)-1))</f>
        <v>1.468829932614879E-3</v>
      </c>
      <c r="AN436" s="340">
        <f t="array" aca="1" ref="AN436" ca="1">IF(AN$406="", "", IF(ISERROR(PRODUCT(1+OFFSET(AN$109, $CC436, 0, 5, 1)%)), "", PRODUCT(1+OFFSET(AN$109, $CC436, 0, 5, 1)%)^(1/5)-1))</f>
        <v>1.4984361765078003E-2</v>
      </c>
      <c r="AO436" s="340">
        <f t="array" aca="1" ref="AO436" ca="1">IF(AO$406="", "", IF(ISERROR(PRODUCT(1+OFFSET(AO$109, $CC436, 0, 5, 1)%)), "", PRODUCT(1+OFFSET(AO$109, $CC436, 0, 5, 1)%)^(1/5)-1))</f>
        <v>8.6429610172645832E-2</v>
      </c>
      <c r="AP436" s="340">
        <f t="array" aca="1" ref="AP436" ca="1">IF(AP$406="", "", IF(ISERROR(PRODUCT(1+OFFSET(AP$109, $CC436, 0, 5, 1)%)), "", PRODUCT(1+OFFSET(AP$109, $CC436, 0, 5, 1)%)^(1/5)-1))</f>
        <v>4.2807454825702029E-2</v>
      </c>
      <c r="AQ436" s="340" t="str">
        <f t="array" aca="1" ref="AQ436" ca="1">IF(AQ$406="", "", IF(ISERROR(PRODUCT(1+OFFSET(AQ$109, $CC436, 0, 5, 1)%)), "", PRODUCT(1+OFFSET(AQ$109, $CC436, 0, 5, 1)%)^(1/5)-1))</f>
        <v/>
      </c>
      <c r="AR436" s="340" t="str">
        <f t="array" aca="1" ref="AR436" ca="1">IF(AR$406="", "", IF(ISERROR(PRODUCT(1+OFFSET(AR$109, $CC436, 0, 5, 1)%)), "", PRODUCT(1+OFFSET(AR$109, $CC436, 0, 5, 1)%)^(1/5)-1))</f>
        <v/>
      </c>
      <c r="AS436" s="340" t="str">
        <f t="array" aca="1" ref="AS436" ca="1">IF(AS$406="", "", IF(ISERROR(PRODUCT(1+OFFSET(AS$109, $CC436, 0, 5, 1)%)), "", PRODUCT(1+OFFSET(AS$109, $CC436, 0, 5, 1)%)^(1/5)-1))</f>
        <v/>
      </c>
      <c r="AT436" s="340" t="str">
        <f t="array" aca="1" ref="AT436" ca="1">IF(AT$406="", "", IF(ISERROR(PRODUCT(1+OFFSET(AT$109, $CC436, 0, 5, 1)%)), "", PRODUCT(1+OFFSET(AT$109, $CC436, 0, 5, 1)%)^(1/5)-1))</f>
        <v/>
      </c>
      <c r="AU436" s="340" t="str">
        <f t="array" aca="1" ref="AU436" ca="1">IF(AU$406="", "", IF(ISERROR(PRODUCT(1+OFFSET(AU$109, $CC436, 0, 5, 1)%)), "", PRODUCT(1+OFFSET(AU$109, $CC436, 0, 5, 1)%)^(1/5)-1))</f>
        <v/>
      </c>
      <c r="AV436" s="340" t="str">
        <f t="array" aca="1" ref="AV436" ca="1">IF(AV$406="", "", IF(ISERROR(PRODUCT(1+OFFSET(AV$109, $CC436, 0, 5, 1)%)), "", PRODUCT(1+OFFSET(AV$109, $CC436, 0, 5, 1)%)^(1/5)-1))</f>
        <v/>
      </c>
      <c r="AW436" s="340" t="str">
        <f t="array" aca="1" ref="AW436" ca="1">IF(AW$406="", "", IF(ISERROR(PRODUCT(1+OFFSET(AW$109, $CC436, 0, 5, 1)%)), "", PRODUCT(1+OFFSET(AW$109, $CC436, 0, 5, 1)%)^(1/5)-1))</f>
        <v/>
      </c>
      <c r="AX436" s="340" t="str">
        <f t="array" aca="1" ref="AX436" ca="1">IF(AX$406="", "", IF(ISERROR(PRODUCT(1+OFFSET(AX$109, $CC436, 0, 5, 1)%)), "", PRODUCT(1+OFFSET(AX$109, $CC436, 0, 5, 1)%)^(1/5)-1))</f>
        <v/>
      </c>
      <c r="AY436" s="340" t="str">
        <f t="array" aca="1" ref="AY436" ca="1">IF(AY$406="", "", IF(ISERROR(PRODUCT(1+OFFSET(AY$109, $CC436, 0, 5, 1)%)), "", PRODUCT(1+OFFSET(AY$109, $CC436, 0, 5, 1)%)^(1/5)-1))</f>
        <v/>
      </c>
      <c r="AZ436" s="340" t="str">
        <f t="array" aca="1" ref="AZ436" ca="1">IF(AZ$406="", "", IF(ISERROR(PRODUCT(1+OFFSET(AZ$109, $CC436, 0, 5, 1)%)), "", PRODUCT(1+OFFSET(AZ$109, $CC436, 0, 5, 1)%)^(1/5)-1))</f>
        <v/>
      </c>
      <c r="BA436" s="340" t="str">
        <f t="array" aca="1" ref="BA436" ca="1">IF(BA$406="", "", IF(ISERROR(PRODUCT(1+OFFSET(BA$109, $CC436, 0, 5, 1)%)), "", PRODUCT(1+OFFSET(BA$109, $CC436, 0, 5, 1)%)^(1/5)-1))</f>
        <v/>
      </c>
      <c r="BB436" s="340" t="str">
        <f t="array" aca="1" ref="BB436" ca="1">IF(BB$406="", "", IF(ISERROR(PRODUCT(1+OFFSET(BB$109, $CC436, 0, 5, 1)%)), "", PRODUCT(1+OFFSET(BB$109, $CC436, 0, 5, 1)%)^(1/5)-1))</f>
        <v/>
      </c>
      <c r="BC436" s="340" t="str">
        <f t="array" aca="1" ref="BC436" ca="1">IF(BC$406="", "", IF(ISERROR(PRODUCT(1+OFFSET(BC$109, $CC436, 0, 5, 1)%)), "", PRODUCT(1+OFFSET(BC$109, $CC436, 0, 5, 1)%)^(1/5)-1))</f>
        <v/>
      </c>
      <c r="BD436" s="340" t="str">
        <f t="array" aca="1" ref="BD436" ca="1">IF(BD$406="", "", IF(ISERROR(PRODUCT(1+OFFSET(BD$109, $CC436, 0, 5, 1)%)), "", PRODUCT(1+OFFSET(BD$109, $CC436, 0, 5, 1)%)^(1/5)-1))</f>
        <v/>
      </c>
      <c r="BE436" s="340" t="str">
        <f t="array" aca="1" ref="BE436" ca="1">IF(BE$406="", "", IF(ISERROR(PRODUCT(1+OFFSET(BE$109, $CC436, 0, 5, 1)%)), "", PRODUCT(1+OFFSET(BE$109, $CC436, 0, 5, 1)%)^(1/5)-1))</f>
        <v/>
      </c>
      <c r="BF436" s="340" t="str">
        <f t="array" aca="1" ref="BF436" ca="1">IF(BF$406="", "", IF(ISERROR(PRODUCT(1+OFFSET(BF$109, $CC436, 0, 5, 1)%)), "", PRODUCT(1+OFFSET(BF$109, $CC436, 0, 5, 1)%)^(1/5)-1))</f>
        <v/>
      </c>
      <c r="BG436" s="340" t="str">
        <f t="array" aca="1" ref="BG436" ca="1">IF(BG$406="", "", IF(ISERROR(PRODUCT(1+OFFSET(BG$109, $CC436, 0, 5, 1)%)), "", PRODUCT(1+OFFSET(BG$109, $CC436, 0, 5, 1)%)^(1/5)-1))</f>
        <v/>
      </c>
      <c r="BH436" s="340" t="str">
        <f t="array" aca="1" ref="BH436" ca="1">IF(BH$406="", "", IF(ISERROR(PRODUCT(1+OFFSET(BH$109, $CC436, 0, 5, 1)%)), "", PRODUCT(1+OFFSET(BH$109, $CC436, 0, 5, 1)%)^(1/5)-1))</f>
        <v/>
      </c>
      <c r="BI436" s="340" t="str">
        <f t="array" aca="1" ref="BI436" ca="1">IF(BI$406="", "", IF(ISERROR(PRODUCT(1+OFFSET(BI$109, $CC436, 0, 5, 1)%)), "", PRODUCT(1+OFFSET(BI$109, $CC436, 0, 5, 1)%)^(1/5)-1))</f>
        <v/>
      </c>
      <c r="BJ436" s="340" t="str">
        <f t="array" aca="1" ref="BJ436" ca="1">IF(BJ$406="", "", IF(ISERROR(PRODUCT(1+OFFSET(BJ$109, $CC436, 0, 5, 1)%)), "", PRODUCT(1+OFFSET(BJ$109, $CC436, 0, 5, 1)%)^(1/5)-1))</f>
        <v/>
      </c>
      <c r="BK436" s="340" t="str">
        <f t="array" aca="1" ref="BK436" ca="1">IF(BK$406="", "", IF(ISERROR(PRODUCT(1+OFFSET(BK$109, $CC436, 0, 5, 1)%)), "", PRODUCT(1+OFFSET(BK$109, $CC436, 0, 5, 1)%)^(1/5)-1))</f>
        <v/>
      </c>
      <c r="BL436" s="340" t="str">
        <f t="array" aca="1" ref="BL436" ca="1">IF(BL$406="", "", IF(ISERROR(PRODUCT(1+OFFSET(BL$109, $CC436, 0, 5, 1)%)), "", PRODUCT(1+OFFSET(BL$109, $CC436, 0, 5, 1)%)^(1/5)-1))</f>
        <v/>
      </c>
      <c r="BM436" s="340" t="str">
        <f t="array" aca="1" ref="BM436" ca="1">IF(BM$406="", "", IF(ISERROR(PRODUCT(1+OFFSET(BM$109, $CC436, 0, 5, 1)%)), "", PRODUCT(1+OFFSET(BM$109, $CC436, 0, 5, 1)%)^(1/5)-1))</f>
        <v/>
      </c>
      <c r="BN436" s="340" t="str">
        <f t="array" aca="1" ref="BN436" ca="1">IF(BN$406="", "", IF(ISERROR(PRODUCT(1+OFFSET(BN$109, $CC436, 0, 5, 1)%)), "", PRODUCT(1+OFFSET(BN$109, $CC436, 0, 5, 1)%)^(1/5)-1))</f>
        <v/>
      </c>
      <c r="BO436" s="340" t="str">
        <f t="array" aca="1" ref="BO436" ca="1">IF(BO$406="", "", IF(ISERROR(PRODUCT(1+OFFSET(BO$109, $CC436, 0, 5, 1)%)), "", PRODUCT(1+OFFSET(BO$109, $CC436, 0, 5, 1)%)^(1/5)-1))</f>
        <v/>
      </c>
      <c r="BP436" s="340" t="str">
        <f t="array" aca="1" ref="BP436" ca="1">IF(BP$406="", "", IF(ISERROR(PRODUCT(1+OFFSET(BP$109, $CC436, 0, 5, 1)%)), "", PRODUCT(1+OFFSET(BP$109, $CC436, 0, 5, 1)%)^(1/5)-1))</f>
        <v/>
      </c>
      <c r="BQ436" s="340" t="str">
        <f t="array" aca="1" ref="BQ436" ca="1">IF(BQ$406="", "", IF(ISERROR(PRODUCT(1+OFFSET(BQ$109, $CC436, 0, 5, 1)%)), "", PRODUCT(1+OFFSET(BQ$109, $CC436, 0, 5, 1)%)^(1/5)-1))</f>
        <v/>
      </c>
      <c r="BR436" s="340" t="str">
        <f t="array" aca="1" ref="BR436" ca="1">IF(BR$406="", "", IF(ISERROR(PRODUCT(1+OFFSET(BR$109, $CC436, 0, 5, 1)%)), "", PRODUCT(1+OFFSET(BR$109, $CC436, 0, 5, 1)%)^(1/5)-1))</f>
        <v/>
      </c>
      <c r="BS436" s="340" t="str">
        <f t="array" aca="1" ref="BS436" ca="1">IF(BS$406="", "", IF(ISERROR(PRODUCT(1+OFFSET(BS$109, $CC436, 0, 5, 1)%)), "", PRODUCT(1+OFFSET(BS$109, $CC436, 0, 5, 1)%)^(1/5)-1))</f>
        <v/>
      </c>
      <c r="BT436" s="340" t="str">
        <f t="array" aca="1" ref="BT436" ca="1">IF(BT$406="", "", IF(ISERROR(PRODUCT(1+OFFSET(BT$109, $CC436, 0, 5, 1)%)), "", PRODUCT(1+OFFSET(BT$109, $CC436, 0, 5, 1)%)^(1/5)-1))</f>
        <v/>
      </c>
      <c r="BU436" s="340" t="str">
        <f t="array" aca="1" ref="BU436" ca="1">IF(BU$406="", "", IF(ISERROR(PRODUCT(1+OFFSET(BU$109, $CC436, 0, 5, 1)%)), "", PRODUCT(1+OFFSET(BU$109, $CC436, 0, 5, 1)%)^(1/5)-1))</f>
        <v/>
      </c>
      <c r="BV436" s="340" t="str">
        <f t="array" aca="1" ref="BV436" ca="1">IF(BV$406="", "", IF(ISERROR(PRODUCT(1+OFFSET(BV$109, $CC436, 0, 5, 1)%)), "", PRODUCT(1+OFFSET(BV$109, $CC436, 0, 5, 1)%)^(1/5)-1))</f>
        <v/>
      </c>
      <c r="BW436" s="340" t="str">
        <f t="array" aca="1" ref="BW436" ca="1">IF(BW$406="", "", IF(ISERROR(PRODUCT(1+OFFSET(BW$109, $CC436, 0, 5, 1)%)), "", PRODUCT(1+OFFSET(BW$109, $CC436, 0, 5, 1)%)^(1/5)-1))</f>
        <v/>
      </c>
      <c r="BX436" s="340">
        <f t="array" aca="1" ref="BX436" ca="1">IF(BX$406="", "", IF(ISERROR(PRODUCT(1+OFFSET(BX$109, $CC436, 0, 5, 1)%)), "", PRODUCT(1+OFFSET(BX$109, $CC436, 0, 5, 1)%)^(1/5)-1))</f>
        <v>3.7764034619975906E-3</v>
      </c>
      <c r="BY436" s="340">
        <f t="array" aca="1" ref="BY436" ca="1">IF(BY$406="", "", IF(ISERROR(PRODUCT(1+OFFSET(BY$109, $CC436, 0, 5, 1)%)), "", PRODUCT(1+OFFSET(BY$109, $CC436, 0, 5, 1)%)^(1/5)-1))</f>
        <v>7.1529583446254374E-2</v>
      </c>
      <c r="BZ436" s="340">
        <f t="array" aca="1" ref="BZ436" ca="1">IF(BZ$406="", "", IF(ISERROR(PRODUCT(1+OFFSET(BZ$109, $CC436, 0, 5, 1)%)), "", PRODUCT(1+OFFSET(BZ$109, $CC436, 0, 5, 1)%)^(1/5)-1))</f>
        <v>1.748741037895285E-2</v>
      </c>
      <c r="CA436" s="532">
        <f t="array" aca="1" ref="CA436" ca="1">IF(CA$406="", "", IF(ISERROR(PRODUCT(1+OFFSET(CA$109, $CC436, 0, 5, 1)%)), "", PRODUCT(1+OFFSET(CA$109, $CC436, 0, 5, 1)%)^(1/5)-1))</f>
        <v>2.2612985344507841E-2</v>
      </c>
      <c r="CC436" s="482">
        <f t="shared" si="553"/>
        <v>35</v>
      </c>
    </row>
    <row r="437" spans="1:81" ht="14">
      <c r="A437" s="338"/>
      <c r="B437" s="339"/>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c r="AA437" s="340"/>
      <c r="AB437" s="340"/>
      <c r="AC437" s="340"/>
      <c r="AD437" s="340"/>
      <c r="AE437" s="340"/>
      <c r="AF437" s="340"/>
      <c r="AG437" s="340"/>
      <c r="AH437" s="340"/>
      <c r="AI437" s="340"/>
      <c r="AJ437" s="340"/>
      <c r="AK437" s="340"/>
      <c r="AL437" s="340"/>
      <c r="AM437" s="340"/>
      <c r="AN437" s="340"/>
      <c r="AO437" s="340"/>
      <c r="AP437" s="340"/>
      <c r="AQ437" s="340"/>
      <c r="AR437" s="340"/>
      <c r="AS437" s="340"/>
      <c r="AT437" s="340"/>
      <c r="AU437" s="340"/>
      <c r="AV437" s="340"/>
      <c r="AW437" s="340"/>
      <c r="AX437" s="340"/>
      <c r="AY437" s="340"/>
      <c r="AZ437" s="340"/>
      <c r="BA437" s="340"/>
      <c r="BB437" s="340"/>
      <c r="BC437" s="340"/>
      <c r="BD437" s="340"/>
      <c r="BE437" s="340"/>
      <c r="BF437" s="340"/>
      <c r="BG437" s="340"/>
      <c r="BH437" s="340"/>
      <c r="BI437" s="340"/>
      <c r="BJ437" s="340"/>
      <c r="BK437" s="340"/>
      <c r="BL437" s="340"/>
      <c r="BM437" s="340"/>
      <c r="BN437" s="340"/>
      <c r="BO437" s="340"/>
      <c r="BP437" s="340"/>
      <c r="BQ437" s="340"/>
      <c r="BR437" s="340"/>
      <c r="BS437" s="340"/>
      <c r="BT437" s="340"/>
      <c r="BU437" s="340"/>
      <c r="BV437" s="340"/>
      <c r="BW437" s="340"/>
      <c r="BX437" s="340"/>
      <c r="BY437" s="340"/>
      <c r="BZ437" s="340"/>
      <c r="CA437" s="532"/>
    </row>
    <row r="438" spans="1:81" ht="14">
      <c r="A438" s="338" t="s">
        <v>834</v>
      </c>
      <c r="B438" s="339">
        <f t="array" ref="B438">IF(B$406="", "", IF(ISERROR(PRODUCT(1+B$8:B$152%)), "", PRODUCT(1+B$8:B$152%)^(1/COUNT(B$8:B$152))-1))</f>
        <v>8.7192537520324631E-2</v>
      </c>
      <c r="C438" s="340" t="str">
        <f t="array" ref="C438">IF(C$406="", "", IF(ISERROR(PRODUCT(1+C$8:C$152%)), "", PRODUCT(1+C$8:C$152%)^(1/COUNT(C$8:C$152))-1))</f>
        <v/>
      </c>
      <c r="D438" s="340">
        <f t="array" ref="D438">IF(D$406="", "", IF(ISERROR(PRODUCT(1+D$8:D$152%)), "", PRODUCT(1+D$8:D$152%)^(1/COUNT(D$8:D$152))-1))</f>
        <v>8.6924055736791184E-2</v>
      </c>
      <c r="E438" s="340" t="str">
        <f t="array" ref="E438">IF(E$406="", "", IF(ISERROR(PRODUCT(1+E$8:E$152%)), "", PRODUCT(1+E$8:E$152%)^(1/COUNT(E$8:E$152))-1))</f>
        <v/>
      </c>
      <c r="F438" s="340" t="str">
        <f t="array" ref="F438">IF(F$406="", "", IF(ISERROR(PRODUCT(1+F$8:F$152%)), "", PRODUCT(1+F$8:F$152%)^(1/COUNT(F$8:F$152))-1))</f>
        <v/>
      </c>
      <c r="G438" s="340" t="str">
        <f t="array" ref="G438">IF(G$406="", "", IF(ISERROR(PRODUCT(1+G$8:G$152%)), "", PRODUCT(1+G$8:G$152%)^(1/COUNT(G$8:G$152))-1))</f>
        <v/>
      </c>
      <c r="H438" s="340" t="str">
        <f t="array" ref="H438">IF(H$406="", "", IF(ISERROR(PRODUCT(1+H$8:H$152%)), "", PRODUCT(1+H$8:H$152%)^(1/COUNT(H$8:H$152))-1))</f>
        <v/>
      </c>
      <c r="I438" s="340" t="str">
        <f t="array" ref="I438">IF(I$406="", "", IF(ISERROR(PRODUCT(1+I$8:I$152%)), "", PRODUCT(1+I$8:I$152%)^(1/COUNT(I$8:I$152))-1))</f>
        <v/>
      </c>
      <c r="J438" s="340" t="str">
        <f t="array" ref="J438">IF(J$406="", "", IF(ISERROR(PRODUCT(1+J$8:J$152%)), "", PRODUCT(1+J$8:J$152%)^(1/COUNT(J$8:J$152))-1))</f>
        <v/>
      </c>
      <c r="K438" s="340" t="str">
        <f t="array" ref="K438">IF(K$406="", "", IF(ISERROR(PRODUCT(1+K$8:K$152%)), "", PRODUCT(1+K$8:K$152%)^(1/COUNT(K$8:K$152))-1))</f>
        <v/>
      </c>
      <c r="L438" s="340" t="str">
        <f t="array" ref="L438">IF(L$406="", "", IF(ISERROR(PRODUCT(1+L$8:L$152%)), "", PRODUCT(1+L$8:L$152%)^(1/COUNT(L$8:L$152))-1))</f>
        <v/>
      </c>
      <c r="M438" s="340" t="str">
        <f t="array" ref="M438">IF(M$406="", "", IF(ISERROR(PRODUCT(1+M$8:M$152%)), "", PRODUCT(1+M$8:M$152%)^(1/COUNT(M$8:M$152))-1))</f>
        <v/>
      </c>
      <c r="N438" s="340" t="str">
        <f t="array" ref="N438">IF(N$406="", "", IF(ISERROR(PRODUCT(1+N$8:N$152%)), "", PRODUCT(1+N$8:N$152%)^(1/COUNT(N$8:N$152))-1))</f>
        <v/>
      </c>
      <c r="O438" s="340" t="str">
        <f t="array" ref="O438">IF(O$406="", "", IF(ISERROR(PRODUCT(1+O$8:O$152%)), "", PRODUCT(1+O$8:O$152%)^(1/COUNT(O$8:O$152))-1))</f>
        <v/>
      </c>
      <c r="P438" s="340" t="str">
        <f t="array" ref="P438">IF(P$406="", "", IF(ISERROR(PRODUCT(1+P$8:P$152%)), "", PRODUCT(1+P$8:P$152%)^(1/COUNT(P$8:P$152))-1))</f>
        <v/>
      </c>
      <c r="Q438" s="340" t="str">
        <f t="array" ref="Q438">IF(Q$406="", "", IF(ISERROR(PRODUCT(1+Q$8:Q$152%)), "", PRODUCT(1+Q$8:Q$152%)^(1/COUNT(Q$8:Q$152))-1))</f>
        <v/>
      </c>
      <c r="R438" s="340" t="str">
        <f t="array" ref="R438">IF(R$406="", "", IF(ISERROR(PRODUCT(1+R$8:R$152%)), "", PRODUCT(1+R$8:R$152%)^(1/COUNT(R$8:R$152))-1))</f>
        <v/>
      </c>
      <c r="S438" s="340" t="str">
        <f t="array" ref="S438">IF(S$406="", "", IF(ISERROR(PRODUCT(1+S$8:S$152%)), "", PRODUCT(1+S$8:S$152%)^(1/COUNT(S$8:S$152))-1))</f>
        <v/>
      </c>
      <c r="T438" s="340">
        <f t="array" ref="T438">IF(T$406="", "", IF(ISERROR(PRODUCT(1+T$8:T$152%)), "", PRODUCT(1+T$8:T$152%)^(1/COUNT(T$8:T$152))-1))</f>
        <v>4.5598834469779082E-2</v>
      </c>
      <c r="U438" s="340">
        <f t="array" ref="U438">IF(U$406="", "", IF(ISERROR(PRODUCT(1+U$8:U$152%)), "", PRODUCT(1+U$8:U$152%)^(1/COUNT(U$8:U$152))-1))</f>
        <v>4.588257087267511E-2</v>
      </c>
      <c r="V438" s="340">
        <f t="array" ref="V438">IF(V$406="", "", IF(ISERROR(PRODUCT(1+V$8:V$152%)), "", PRODUCT(1+V$8:V$152%)^(1/COUNT(V$8:V$152))-1))</f>
        <v>4.1803056044968034E-2</v>
      </c>
      <c r="W438" s="340" t="str">
        <f t="array" ref="W438">IF(W$406="", "", IF(ISERROR(PRODUCT(1+W$8:W$152%)), "", PRODUCT(1+W$8:W$152%)^(1/COUNT(W$8:W$152))-1))</f>
        <v/>
      </c>
      <c r="X438" s="340" t="str">
        <f t="array" ref="X438">IF(X$406="", "", IF(ISERROR(PRODUCT(1+X$8:X$152%)), "", PRODUCT(1+X$8:X$152%)^(1/COUNT(X$8:X$152))-1))</f>
        <v/>
      </c>
      <c r="Y438" s="340" t="str">
        <f t="array" ref="Y438">IF(Y$406="", "", IF(ISERROR(PRODUCT(1+Y$8:Y$152%)), "", PRODUCT(1+Y$8:Y$152%)^(1/COUNT(Y$8:Y$152))-1))</f>
        <v/>
      </c>
      <c r="Z438" s="340" t="str">
        <f t="array" ref="Z438">IF(Z$406="", "", IF(ISERROR(PRODUCT(1+Z$8:Z$152%)), "", PRODUCT(1+Z$8:Z$152%)^(1/COUNT(Z$8:Z$152))-1))</f>
        <v/>
      </c>
      <c r="AA438" s="340" t="str">
        <f t="array" ref="AA438">IF(AA$406="", "", IF(ISERROR(PRODUCT(1+AA$8:AA$152%)), "", PRODUCT(1+AA$8:AA$152%)^(1/COUNT(AA$8:AA$152))-1))</f>
        <v/>
      </c>
      <c r="AB438" s="340" t="str">
        <f t="array" ref="AB438">IF(AB$406="", "", IF(ISERROR(PRODUCT(1+AB$8:AB$152%)), "", PRODUCT(1+AB$8:AB$152%)^(1/COUNT(AB$8:AB$152))-1))</f>
        <v/>
      </c>
      <c r="AC438" s="340" t="str">
        <f t="array" ref="AC438">IF(AC$406="", "", IF(ISERROR(PRODUCT(1+AC$8:AC$152%)), "", PRODUCT(1+AC$8:AC$152%)^(1/COUNT(AC$8:AC$152))-1))</f>
        <v/>
      </c>
      <c r="AD438" s="340" t="str">
        <f t="array" ref="AD438">IF(AD$406="", "", IF(ISERROR(PRODUCT(1+AD$8:AD$152%)), "", PRODUCT(1+AD$8:AD$152%)^(1/COUNT(AD$8:AD$152))-1))</f>
        <v/>
      </c>
      <c r="AE438" s="340" t="str">
        <f t="array" ref="AE438">IF(AE$406="", "", IF(ISERROR(PRODUCT(1+AE$8:AE$152%)), "", PRODUCT(1+AE$8:AE$152%)^(1/COUNT(AE$8:AE$152))-1))</f>
        <v/>
      </c>
      <c r="AF438" s="340" t="str">
        <f t="array" ref="AF438">IF(AF$406="", "", IF(ISERROR(PRODUCT(1+AF$8:AF$152%)), "", PRODUCT(1+AF$8:AF$152%)^(1/COUNT(AF$8:AF$152))-1))</f>
        <v/>
      </c>
      <c r="AG438" s="340" t="str">
        <f t="array" ref="AG438">IF(AG$406="", "", IF(ISERROR(PRODUCT(1+AG$8:AG$152%)), "", PRODUCT(1+AG$8:AG$152%)^(1/COUNT(AG$8:AG$152))-1))</f>
        <v/>
      </c>
      <c r="AH438" s="340" t="str">
        <f t="array" ref="AH438">IF(AH$406="", "", IF(ISERROR(PRODUCT(1+AH$8:AH$152%)), "", PRODUCT(1+AH$8:AH$152%)^(1/COUNT(AH$8:AH$152))-1))</f>
        <v/>
      </c>
      <c r="AI438" s="340" t="str">
        <f t="array" ref="AI438">IF(AI$406="", "", IF(ISERROR(PRODUCT(1+AI$8:AI$152%)), "", PRODUCT(1+AI$8:AI$152%)^(1/COUNT(AI$8:AI$152))-1))</f>
        <v/>
      </c>
      <c r="AJ438" s="340" t="str">
        <f t="array" ref="AJ438">IF(AJ$406="", "", IF(ISERROR(PRODUCT(1+AJ$8:AJ$152%)), "", PRODUCT(1+AJ$8:AJ$152%)^(1/COUNT(AJ$8:AJ$152))-1))</f>
        <v/>
      </c>
      <c r="AK438" s="340" t="str">
        <f t="array" ref="AK438">IF(AK$406="", "", IF(ISERROR(PRODUCT(1+AK$8:AK$152%)), "", PRODUCT(1+AK$8:AK$152%)^(1/COUNT(AK$8:AK$152))-1))</f>
        <v/>
      </c>
      <c r="AL438" s="340" t="str">
        <f t="array" ref="AL438">IF(AL$406="", "", IF(ISERROR(PRODUCT(1+AL$8:AL$152%)), "", PRODUCT(1+AL$8:AL$152%)^(1/COUNT(AL$8:AL$152))-1))</f>
        <v/>
      </c>
      <c r="AM438" s="340" t="str">
        <f t="array" ref="AM438">IF(AM$406="", "", IF(ISERROR(PRODUCT(1+AM$8:AM$152%)), "", PRODUCT(1+AM$8:AM$152%)^(1/COUNT(AM$8:AM$152))-1))</f>
        <v/>
      </c>
      <c r="AN438" s="340" t="str">
        <f t="array" ref="AN438">IF(AN$406="", "", IF(ISERROR(PRODUCT(1+AN$8:AN$152%)), "", PRODUCT(1+AN$8:AN$152%)^(1/COUNT(AN$8:AN$152))-1))</f>
        <v/>
      </c>
      <c r="AO438" s="340" t="str">
        <f t="array" ref="AO438">IF(AO$406="", "", IF(ISERROR(PRODUCT(1+AO$8:AO$152%)), "", PRODUCT(1+AO$8:AO$152%)^(1/COUNT(AO$8:AO$152))-1))</f>
        <v/>
      </c>
      <c r="AP438" s="340" t="str">
        <f t="array" ref="AP438">IF(AP$406="", "", IF(ISERROR(PRODUCT(1+AP$8:AP$152%)), "", PRODUCT(1+AP$8:AP$152%)^(1/COUNT(AP$8:AP$152))-1))</f>
        <v/>
      </c>
      <c r="AQ438" s="340" t="str">
        <f t="array" ref="AQ438">IF(AQ$406="", "", IF(ISERROR(PRODUCT(1+AQ$8:AQ$152%)), "", PRODUCT(1+AQ$8:AQ$152%)^(1/COUNT(AQ$8:AQ$152))-1))</f>
        <v/>
      </c>
      <c r="AR438" s="340" t="str">
        <f t="array" ref="AR438">IF(AR$406="", "", IF(ISERROR(PRODUCT(1+AR$8:AR$152%)), "", PRODUCT(1+AR$8:AR$152%)^(1/COUNT(AR$8:AR$152))-1))</f>
        <v/>
      </c>
      <c r="AS438" s="340" t="str">
        <f t="array" ref="AS438">IF(AS$406="", "", IF(ISERROR(PRODUCT(1+AS$8:AS$152%)), "", PRODUCT(1+AS$8:AS$152%)^(1/COUNT(AS$8:AS$152))-1))</f>
        <v/>
      </c>
      <c r="AT438" s="340" t="str">
        <f t="array" ref="AT438">IF(AT$406="", "", IF(ISERROR(PRODUCT(1+AT$8:AT$152%)), "", PRODUCT(1+AT$8:AT$152%)^(1/COUNT(AT$8:AT$152))-1))</f>
        <v/>
      </c>
      <c r="AU438" s="340" t="str">
        <f t="array" ref="AU438">IF(AU$406="", "", IF(ISERROR(PRODUCT(1+AU$8:AU$152%)), "", PRODUCT(1+AU$8:AU$152%)^(1/COUNT(AU$8:AU$152))-1))</f>
        <v/>
      </c>
      <c r="AV438" s="340" t="str">
        <f t="array" ref="AV438">IF(AV$406="", "", IF(ISERROR(PRODUCT(1+AV$8:AV$152%)), "", PRODUCT(1+AV$8:AV$152%)^(1/COUNT(AV$8:AV$152))-1))</f>
        <v/>
      </c>
      <c r="AW438" s="340" t="str">
        <f t="array" ref="AW438">IF(AW$406="", "", IF(ISERROR(PRODUCT(1+AW$8:AW$152%)), "", PRODUCT(1+AW$8:AW$152%)^(1/COUNT(AW$8:AW$152))-1))</f>
        <v/>
      </c>
      <c r="AX438" s="340" t="str">
        <f t="array" ref="AX438">IF(AX$406="", "", IF(ISERROR(PRODUCT(1+AX$8:AX$152%)), "", PRODUCT(1+AX$8:AX$152%)^(1/COUNT(AX$8:AX$152))-1))</f>
        <v/>
      </c>
      <c r="AY438" s="340" t="str">
        <f t="array" ref="AY438">IF(AY$406="", "", IF(ISERROR(PRODUCT(1+AY$8:AY$152%)), "", PRODUCT(1+AY$8:AY$152%)^(1/COUNT(AY$8:AY$152))-1))</f>
        <v/>
      </c>
      <c r="AZ438" s="340" t="str">
        <f t="array" ref="AZ438">IF(AZ$406="", "", IF(ISERROR(PRODUCT(1+AZ$8:AZ$152%)), "", PRODUCT(1+AZ$8:AZ$152%)^(1/COUNT(AZ$8:AZ$152))-1))</f>
        <v/>
      </c>
      <c r="BA438" s="340" t="str">
        <f t="array" ref="BA438">IF(BA$406="", "", IF(ISERROR(PRODUCT(1+BA$8:BA$152%)), "", PRODUCT(1+BA$8:BA$152%)^(1/COUNT(BA$8:BA$152))-1))</f>
        <v/>
      </c>
      <c r="BB438" s="340" t="str">
        <f t="array" ref="BB438">IF(BB$406="", "", IF(ISERROR(PRODUCT(1+BB$8:BB$152%)), "", PRODUCT(1+BB$8:BB$152%)^(1/COUNT(BB$8:BB$152))-1))</f>
        <v/>
      </c>
      <c r="BC438" s="340" t="str">
        <f t="array" ref="BC438">IF(BC$406="", "", IF(ISERROR(PRODUCT(1+BC$8:BC$152%)), "", PRODUCT(1+BC$8:BC$152%)^(1/COUNT(BC$8:BC$152))-1))</f>
        <v/>
      </c>
      <c r="BD438" s="340" t="str">
        <f t="array" ref="BD438">IF(BD$406="", "", IF(ISERROR(PRODUCT(1+BD$8:BD$152%)), "", PRODUCT(1+BD$8:BD$152%)^(1/COUNT(BD$8:BD$152))-1))</f>
        <v/>
      </c>
      <c r="BE438" s="340" t="str">
        <f t="array" ref="BE438">IF(BE$406="", "", IF(ISERROR(PRODUCT(1+BE$8:BE$152%)), "", PRODUCT(1+BE$8:BE$152%)^(1/COUNT(BE$8:BE$152))-1))</f>
        <v/>
      </c>
      <c r="BF438" s="340" t="str">
        <f t="array" ref="BF438">IF(BF$406="", "", IF(ISERROR(PRODUCT(1+BF$8:BF$152%)), "", PRODUCT(1+BF$8:BF$152%)^(1/COUNT(BF$8:BF$152))-1))</f>
        <v/>
      </c>
      <c r="BG438" s="340" t="str">
        <f t="array" ref="BG438">IF(BG$406="", "", IF(ISERROR(PRODUCT(1+BG$8:BG$152%)), "", PRODUCT(1+BG$8:BG$152%)^(1/COUNT(BG$8:BG$152))-1))</f>
        <v/>
      </c>
      <c r="BH438" s="340" t="str">
        <f t="array" ref="BH438">IF(BH$406="", "", IF(ISERROR(PRODUCT(1+BH$8:BH$152%)), "", PRODUCT(1+BH$8:BH$152%)^(1/COUNT(BH$8:BH$152))-1))</f>
        <v/>
      </c>
      <c r="BI438" s="340" t="str">
        <f t="array" ref="BI438">IF(BI$406="", "", IF(ISERROR(PRODUCT(1+BI$8:BI$152%)), "", PRODUCT(1+BI$8:BI$152%)^(1/COUNT(BI$8:BI$152))-1))</f>
        <v/>
      </c>
      <c r="BJ438" s="340" t="str">
        <f t="array" ref="BJ438">IF(BJ$406="", "", IF(ISERROR(PRODUCT(1+BJ$8:BJ$152%)), "", PRODUCT(1+BJ$8:BJ$152%)^(1/COUNT(BJ$8:BJ$152))-1))</f>
        <v/>
      </c>
      <c r="BK438" s="340" t="str">
        <f t="array" ref="BK438">IF(BK$406="", "", IF(ISERROR(PRODUCT(1+BK$8:BK$152%)), "", PRODUCT(1+BK$8:BK$152%)^(1/COUNT(BK$8:BK$152))-1))</f>
        <v/>
      </c>
      <c r="BL438" s="340" t="str">
        <f t="array" ref="BL438">IF(BL$406="", "", IF(ISERROR(PRODUCT(1+BL$8:BL$152%)), "", PRODUCT(1+BL$8:BL$152%)^(1/COUNT(BL$8:BL$152))-1))</f>
        <v/>
      </c>
      <c r="BM438" s="340" t="str">
        <f t="array" ref="BM438">IF(BM$406="", "", IF(ISERROR(PRODUCT(1+BM$8:BM$152%)), "", PRODUCT(1+BM$8:BM$152%)^(1/COUNT(BM$8:BM$152))-1))</f>
        <v/>
      </c>
      <c r="BN438" s="340" t="str">
        <f t="array" ref="BN438">IF(BN$406="", "", IF(ISERROR(PRODUCT(1+BN$8:BN$152%)), "", PRODUCT(1+BN$8:BN$152%)^(1/COUNT(BN$8:BN$152))-1))</f>
        <v/>
      </c>
      <c r="BO438" s="340" t="str">
        <f t="array" ref="BO438">IF(BO$406="", "", IF(ISERROR(PRODUCT(1+BO$8:BO$152%)), "", PRODUCT(1+BO$8:BO$152%)^(1/COUNT(BO$8:BO$152))-1))</f>
        <v/>
      </c>
      <c r="BP438" s="340" t="str">
        <f t="array" ref="BP438">IF(BP$406="", "", IF(ISERROR(PRODUCT(1+BP$8:BP$152%)), "", PRODUCT(1+BP$8:BP$152%)^(1/COUNT(BP$8:BP$152))-1))</f>
        <v/>
      </c>
      <c r="BQ438" s="340" t="str">
        <f t="array" ref="BQ438">IF(BQ$406="", "", IF(ISERROR(PRODUCT(1+BQ$8:BQ$152%)), "", PRODUCT(1+BQ$8:BQ$152%)^(1/COUNT(BQ$8:BQ$152))-1))</f>
        <v/>
      </c>
      <c r="BR438" s="340" t="str">
        <f t="array" ref="BR438">IF(BR$406="", "", IF(ISERROR(PRODUCT(1+BR$8:BR$152%)), "", PRODUCT(1+BR$8:BR$152%)^(1/COUNT(BR$8:BR$152))-1))</f>
        <v/>
      </c>
      <c r="BS438" s="340" t="str">
        <f t="array" ref="BS438">IF(BS$406="", "", IF(ISERROR(PRODUCT(1+BS$8:BS$152%)), "", PRODUCT(1+BS$8:BS$152%)^(1/COUNT(BS$8:BS$152))-1))</f>
        <v/>
      </c>
      <c r="BT438" s="340" t="str">
        <f t="array" ref="BT438">IF(BT$406="", "", IF(ISERROR(PRODUCT(1+BT$8:BT$152%)), "", PRODUCT(1+BT$8:BT$152%)^(1/COUNT(BT$8:BT$152))-1))</f>
        <v/>
      </c>
      <c r="BU438" s="340" t="str">
        <f t="array" ref="BU438">IF(BU$406="", "", IF(ISERROR(PRODUCT(1+BU$8:BU$152%)), "", PRODUCT(1+BU$8:BU$152%)^(1/COUNT(BU$8:BU$152))-1))</f>
        <v/>
      </c>
      <c r="BV438" s="340" t="str">
        <f t="array" ref="BV438">IF(BV$406="", "", IF(ISERROR(PRODUCT(1+BV$8:BV$152%)), "", PRODUCT(1+BV$8:BV$152%)^(1/COUNT(BV$8:BV$152))-1))</f>
        <v/>
      </c>
      <c r="BW438" s="340" t="str">
        <f t="array" ref="BW438">IF(BW$406="", "", IF(ISERROR(PRODUCT(1+BW$8:BW$152%)), "", PRODUCT(1+BW$8:BW$152%)^(1/COUNT(BW$8:BW$152))-1))</f>
        <v/>
      </c>
      <c r="BX438" s="340">
        <f t="array" ref="BX438">IF(BX$406="", "", IF(ISERROR(PRODUCT(1+BX$8:BX$152%)), "", PRODUCT(1+BX$8:BX$152%)^(1/COUNT(BX$8:BX$152))-1))</f>
        <v>8.7927908934747778E-2</v>
      </c>
      <c r="BY438" s="340">
        <f t="array" ref="BY438">IF(BY$406="", "", IF(ISERROR(PRODUCT(1+BY$8:BY$152%)), "", PRODUCT(1+BY$8:BY$152%)^(1/COUNT(BY$8:BY$152))-1))</f>
        <v>4.6996341796923025E-2</v>
      </c>
      <c r="BZ438" s="340">
        <f t="array" ref="BZ438">IF(BZ$406="", "", IF(ISERROR(PRODUCT(1+BZ$8:BZ$152%)), "", PRODUCT(1+BZ$8:BZ$152%)^(1/COUNT(BZ$8:BZ$152))-1))</f>
        <v>4.3669870562268231E-2</v>
      </c>
      <c r="CA438" s="532">
        <f t="array" ref="CA438">IF(CA$406="", "", IF(ISERROR(PRODUCT(1+CA$8:CA$152%)), "", PRODUCT(1+CA$8:CA$152%)^(1/COUNT(CA$8:CA$152))-1))</f>
        <v>2.0505366813431847E-2</v>
      </c>
    </row>
    <row r="439" spans="1:81" ht="14">
      <c r="A439" s="338" t="s">
        <v>835</v>
      </c>
      <c r="B439" s="339">
        <f t="array" ref="B439">IF(B$406="", "", IF(ISERROR(PRODUCT(1+B$64:B$152%)), "", PRODUCT(1+B$64:B$152%)^(1/COUNT(B$64:B$152))-1))</f>
        <v>9.7280971109353409E-2</v>
      </c>
      <c r="C439" s="340" t="str">
        <f t="array" ref="C439">IF(C$406="", "", IF(ISERROR(PRODUCT(1+C$64:C$152%)), "", PRODUCT(1+C$64:C$152%)^(1/COUNT(C$64:C$152))-1))</f>
        <v/>
      </c>
      <c r="D439" s="340">
        <f t="array" ref="D439">IF(D$406="", "", IF(ISERROR(PRODUCT(1+D$64:D$152%)), "", PRODUCT(1+D$64:D$152%)^(1/COUNT(D$64:D$152))-1))</f>
        <v>9.6839532351312707E-2</v>
      </c>
      <c r="E439" s="340" t="str">
        <f t="array" ref="E439">IF(E$406="", "", IF(ISERROR(PRODUCT(1+E$64:E$152%)), "", PRODUCT(1+E$64:E$152%)^(1/COUNT(E$64:E$152))-1))</f>
        <v/>
      </c>
      <c r="F439" s="340" t="str">
        <f t="array" ref="F439">IF(F$406="", "", IF(ISERROR(PRODUCT(1+F$64:F$152%)), "", PRODUCT(1+F$64:F$152%)^(1/COUNT(F$64:F$152))-1))</f>
        <v/>
      </c>
      <c r="G439" s="340" t="str">
        <f t="array" ref="G439">IF(G$406="", "", IF(ISERROR(PRODUCT(1+G$64:G$152%)), "", PRODUCT(1+G$64:G$152%)^(1/COUNT(G$64:G$152))-1))</f>
        <v/>
      </c>
      <c r="H439" s="340" t="str">
        <f t="array" ref="H439">IF(H$406="", "", IF(ISERROR(PRODUCT(1+H$64:H$152%)), "", PRODUCT(1+H$64:H$152%)^(1/COUNT(H$64:H$152))-1))</f>
        <v/>
      </c>
      <c r="I439" s="340" t="str">
        <f t="array" ref="I439">IF(I$406="", "", IF(ISERROR(PRODUCT(1+I$64:I$152%)), "", PRODUCT(1+I$64:I$152%)^(1/COUNT(I$64:I$152))-1))</f>
        <v/>
      </c>
      <c r="J439" s="340" t="str">
        <f t="array" ref="J439">IF(J$406="", "", IF(ISERROR(PRODUCT(1+J$64:J$152%)), "", PRODUCT(1+J$64:J$152%)^(1/COUNT(J$64:J$152))-1))</f>
        <v/>
      </c>
      <c r="K439" s="340" t="str">
        <f t="array" ref="K439">IF(K$406="", "", IF(ISERROR(PRODUCT(1+K$64:K$152%)), "", PRODUCT(1+K$64:K$152%)^(1/COUNT(K$64:K$152))-1))</f>
        <v/>
      </c>
      <c r="L439" s="340" t="str">
        <f t="array" ref="L439">IF(L$406="", "", IF(ISERROR(PRODUCT(1+L$64:L$152%)), "", PRODUCT(1+L$64:L$152%)^(1/COUNT(L$64:L$152))-1))</f>
        <v/>
      </c>
      <c r="M439" s="340" t="str">
        <f t="array" ref="M439">IF(M$406="", "", IF(ISERROR(PRODUCT(1+M$64:M$152%)), "", PRODUCT(1+M$64:M$152%)^(1/COUNT(M$64:M$152))-1))</f>
        <v/>
      </c>
      <c r="N439" s="340" t="str">
        <f t="array" ref="N439">IF(N$406="", "", IF(ISERROR(PRODUCT(1+N$64:N$152%)), "", PRODUCT(1+N$64:N$152%)^(1/COUNT(N$64:N$152))-1))</f>
        <v/>
      </c>
      <c r="O439" s="340" t="str">
        <f t="array" ref="O439">IF(O$406="", "", IF(ISERROR(PRODUCT(1+O$64:O$152%)), "", PRODUCT(1+O$64:O$152%)^(1/COUNT(O$64:O$152))-1))</f>
        <v/>
      </c>
      <c r="P439" s="340" t="str">
        <f t="array" ref="P439">IF(P$406="", "", IF(ISERROR(PRODUCT(1+P$64:P$152%)), "", PRODUCT(1+P$64:P$152%)^(1/COUNT(P$64:P$152))-1))</f>
        <v/>
      </c>
      <c r="Q439" s="340" t="str">
        <f t="array" ref="Q439">IF(Q$406="", "", IF(ISERROR(PRODUCT(1+Q$64:Q$152%)), "", PRODUCT(1+Q$64:Q$152%)^(1/COUNT(Q$64:Q$152))-1))</f>
        <v/>
      </c>
      <c r="R439" s="340" t="str">
        <f t="array" ref="R439">IF(R$406="", "", IF(ISERROR(PRODUCT(1+R$64:R$152%)), "", PRODUCT(1+R$64:R$152%)^(1/COUNT(R$64:R$152))-1))</f>
        <v/>
      </c>
      <c r="S439" s="340" t="str">
        <f t="array" ref="S439">IF(S$406="", "", IF(ISERROR(PRODUCT(1+S$64:S$152%)), "", PRODUCT(1+S$64:S$152%)^(1/COUNT(S$64:S$152))-1))</f>
        <v/>
      </c>
      <c r="T439" s="340">
        <f t="array" ref="T439">IF(T$406="", "", IF(ISERROR(PRODUCT(1+T$64:T$152%)), "", PRODUCT(1+T$64:T$152%)^(1/COUNT(T$64:T$152))-1))</f>
        <v>5.0262952522340143E-2</v>
      </c>
      <c r="U439" s="340">
        <f t="array" ref="U439">IF(U$406="", "", IF(ISERROR(PRODUCT(1+U$64:U$152%)), "", PRODUCT(1+U$64:U$152%)^(1/COUNT(U$64:U$152))-1))</f>
        <v>5.072732137717173E-2</v>
      </c>
      <c r="V439" s="340">
        <f t="array" ref="V439">IF(V$406="", "", IF(ISERROR(PRODUCT(1+V$64:V$152%)), "", PRODUCT(1+V$64:V$152%)^(1/COUNT(V$64:V$152))-1))</f>
        <v>3.7007444035539239E-2</v>
      </c>
      <c r="W439" s="340" t="str">
        <f t="array" ref="W439">IF(W$406="", "", IF(ISERROR(PRODUCT(1+W$64:W$152%)), "", PRODUCT(1+W$64:W$152%)^(1/COUNT(W$64:W$152))-1))</f>
        <v/>
      </c>
      <c r="X439" s="340" t="str">
        <f t="array" ref="X439">IF(X$406="", "", IF(ISERROR(PRODUCT(1+X$64:X$152%)), "", PRODUCT(1+X$64:X$152%)^(1/COUNT(X$64:X$152))-1))</f>
        <v/>
      </c>
      <c r="Y439" s="340" t="str">
        <f t="array" ref="Y439">IF(Y$406="", "", IF(ISERROR(PRODUCT(1+Y$64:Y$152%)), "", PRODUCT(1+Y$64:Y$152%)^(1/COUNT(Y$64:Y$152))-1))</f>
        <v/>
      </c>
      <c r="Z439" s="340" t="str">
        <f t="array" ref="Z439">IF(Z$406="", "", IF(ISERROR(PRODUCT(1+Z$64:Z$152%)), "", PRODUCT(1+Z$64:Z$152%)^(1/COUNT(Z$64:Z$152))-1))</f>
        <v/>
      </c>
      <c r="AA439" s="340" t="str">
        <f t="array" ref="AA439">IF(AA$406="", "", IF(ISERROR(PRODUCT(1+AA$64:AA$152%)), "", PRODUCT(1+AA$64:AA$152%)^(1/COUNT(AA$64:AA$152))-1))</f>
        <v/>
      </c>
      <c r="AB439" s="340" t="str">
        <f t="array" ref="AB439">IF(AB$406="", "", IF(ISERROR(PRODUCT(1+AB$64:AB$152%)), "", PRODUCT(1+AB$64:AB$152%)^(1/COUNT(AB$64:AB$152))-1))</f>
        <v/>
      </c>
      <c r="AC439" s="340" t="str">
        <f t="array" ref="AC439">IF(AC$406="", "", IF(ISERROR(PRODUCT(1+AC$64:AC$152%)), "", PRODUCT(1+AC$64:AC$152%)^(1/COUNT(AC$64:AC$152))-1))</f>
        <v/>
      </c>
      <c r="AD439" s="340" t="str">
        <f t="array" ref="AD439">IF(AD$406="", "", IF(ISERROR(PRODUCT(1+AD$64:AD$152%)), "", PRODUCT(1+AD$64:AD$152%)^(1/COUNT(AD$64:AD$152))-1))</f>
        <v/>
      </c>
      <c r="AE439" s="340" t="str">
        <f t="array" ref="AE439">IF(AE$406="", "", IF(ISERROR(PRODUCT(1+AE$64:AE$152%)), "", PRODUCT(1+AE$64:AE$152%)^(1/COUNT(AE$64:AE$152))-1))</f>
        <v/>
      </c>
      <c r="AF439" s="340" t="str">
        <f t="array" ref="AF439">IF(AF$406="", "", IF(ISERROR(PRODUCT(1+AF$64:AF$152%)), "", PRODUCT(1+AF$64:AF$152%)^(1/COUNT(AF$64:AF$152))-1))</f>
        <v/>
      </c>
      <c r="AG439" s="340" t="str">
        <f t="array" ref="AG439">IF(AG$406="", "", IF(ISERROR(PRODUCT(1+AG$64:AG$152%)), "", PRODUCT(1+AG$64:AG$152%)^(1/COUNT(AG$64:AG$152))-1))</f>
        <v/>
      </c>
      <c r="AH439" s="340" t="str">
        <f t="array" ref="AH439">IF(AH$406="", "", IF(ISERROR(PRODUCT(1+AH$64:AH$152%)), "", PRODUCT(1+AH$64:AH$152%)^(1/COUNT(AH$64:AH$152))-1))</f>
        <v/>
      </c>
      <c r="AI439" s="340" t="str">
        <f t="array" ref="AI439">IF(AI$406="", "", IF(ISERROR(PRODUCT(1+AI$64:AI$152%)), "", PRODUCT(1+AI$64:AI$152%)^(1/COUNT(AI$64:AI$152))-1))</f>
        <v/>
      </c>
      <c r="AJ439" s="340" t="str">
        <f t="array" ref="AJ439">IF(AJ$406="", "", IF(ISERROR(PRODUCT(1+AJ$64:AJ$152%)), "", PRODUCT(1+AJ$64:AJ$152%)^(1/COUNT(AJ$64:AJ$152))-1))</f>
        <v/>
      </c>
      <c r="AK439" s="340" t="str">
        <f t="array" ref="AK439">IF(AK$406="", "", IF(ISERROR(PRODUCT(1+AK$64:AK$152%)), "", PRODUCT(1+AK$64:AK$152%)^(1/COUNT(AK$64:AK$152))-1))</f>
        <v/>
      </c>
      <c r="AL439" s="340" t="str">
        <f t="array" ref="AL439">IF(AL$406="", "", IF(ISERROR(PRODUCT(1+AL$64:AL$152%)), "", PRODUCT(1+AL$64:AL$152%)^(1/COUNT(AL$64:AL$152))-1))</f>
        <v/>
      </c>
      <c r="AM439" s="340" t="str">
        <f t="array" ref="AM439">IF(AM$406="", "", IF(ISERROR(PRODUCT(1+AM$64:AM$152%)), "", PRODUCT(1+AM$64:AM$152%)^(1/COUNT(AM$64:AM$152))-1))</f>
        <v/>
      </c>
      <c r="AN439" s="340" t="str">
        <f t="array" ref="AN439">IF(AN$406="", "", IF(ISERROR(PRODUCT(1+AN$64:AN$152%)), "", PRODUCT(1+AN$64:AN$152%)^(1/COUNT(AN$64:AN$152))-1))</f>
        <v/>
      </c>
      <c r="AO439" s="340" t="str">
        <f t="array" ref="AO439">IF(AO$406="", "", IF(ISERROR(PRODUCT(1+AO$64:AO$152%)), "", PRODUCT(1+AO$64:AO$152%)^(1/COUNT(AO$64:AO$152))-1))</f>
        <v/>
      </c>
      <c r="AP439" s="340" t="str">
        <f t="array" ref="AP439">IF(AP$406="", "", IF(ISERROR(PRODUCT(1+AP$64:AP$152%)), "", PRODUCT(1+AP$64:AP$152%)^(1/COUNT(AP$64:AP$152))-1))</f>
        <v/>
      </c>
      <c r="AQ439" s="340" t="str">
        <f t="array" ref="AQ439">IF(AQ$406="", "", IF(ISERROR(PRODUCT(1+AQ$64:AQ$152%)), "", PRODUCT(1+AQ$64:AQ$152%)^(1/COUNT(AQ$64:AQ$152))-1))</f>
        <v/>
      </c>
      <c r="AR439" s="340" t="str">
        <f t="array" ref="AR439">IF(AR$406="", "", IF(ISERROR(PRODUCT(1+AR$64:AR$152%)), "", PRODUCT(1+AR$64:AR$152%)^(1/COUNT(AR$64:AR$152))-1))</f>
        <v/>
      </c>
      <c r="AS439" s="340" t="str">
        <f t="array" ref="AS439">IF(AS$406="", "", IF(ISERROR(PRODUCT(1+AS$64:AS$152%)), "", PRODUCT(1+AS$64:AS$152%)^(1/COUNT(AS$64:AS$152))-1))</f>
        <v/>
      </c>
      <c r="AT439" s="340" t="str">
        <f t="array" ref="AT439">IF(AT$406="", "", IF(ISERROR(PRODUCT(1+AT$64:AT$152%)), "", PRODUCT(1+AT$64:AT$152%)^(1/COUNT(AT$64:AT$152))-1))</f>
        <v/>
      </c>
      <c r="AU439" s="340" t="str">
        <f t="array" ref="AU439">IF(AU$406="", "", IF(ISERROR(PRODUCT(1+AU$64:AU$152%)), "", PRODUCT(1+AU$64:AU$152%)^(1/COUNT(AU$64:AU$152))-1))</f>
        <v/>
      </c>
      <c r="AV439" s="340" t="str">
        <f t="array" ref="AV439">IF(AV$406="", "", IF(ISERROR(PRODUCT(1+AV$64:AV$152%)), "", PRODUCT(1+AV$64:AV$152%)^(1/COUNT(AV$64:AV$152))-1))</f>
        <v/>
      </c>
      <c r="AW439" s="340" t="str">
        <f t="array" ref="AW439">IF(AW$406="", "", IF(ISERROR(PRODUCT(1+AW$64:AW$152%)), "", PRODUCT(1+AW$64:AW$152%)^(1/COUNT(AW$64:AW$152))-1))</f>
        <v/>
      </c>
      <c r="AX439" s="340" t="str">
        <f t="array" ref="AX439">IF(AX$406="", "", IF(ISERROR(PRODUCT(1+AX$64:AX$152%)), "", PRODUCT(1+AX$64:AX$152%)^(1/COUNT(AX$64:AX$152))-1))</f>
        <v/>
      </c>
      <c r="AY439" s="340" t="str">
        <f t="array" ref="AY439">IF(AY$406="", "", IF(ISERROR(PRODUCT(1+AY$64:AY$152%)), "", PRODUCT(1+AY$64:AY$152%)^(1/COUNT(AY$64:AY$152))-1))</f>
        <v/>
      </c>
      <c r="AZ439" s="340" t="str">
        <f t="array" ref="AZ439">IF(AZ$406="", "", IF(ISERROR(PRODUCT(1+AZ$64:AZ$152%)), "", PRODUCT(1+AZ$64:AZ$152%)^(1/COUNT(AZ$64:AZ$152))-1))</f>
        <v/>
      </c>
      <c r="BA439" s="340" t="str">
        <f t="array" ref="BA439">IF(BA$406="", "", IF(ISERROR(PRODUCT(1+BA$64:BA$152%)), "", PRODUCT(1+BA$64:BA$152%)^(1/COUNT(BA$64:BA$152))-1))</f>
        <v/>
      </c>
      <c r="BB439" s="340" t="str">
        <f t="array" ref="BB439">IF(BB$406="", "", IF(ISERROR(PRODUCT(1+BB$64:BB$152%)), "", PRODUCT(1+BB$64:BB$152%)^(1/COUNT(BB$64:BB$152))-1))</f>
        <v/>
      </c>
      <c r="BC439" s="340" t="str">
        <f t="array" ref="BC439">IF(BC$406="", "", IF(ISERROR(PRODUCT(1+BC$64:BC$152%)), "", PRODUCT(1+BC$64:BC$152%)^(1/COUNT(BC$64:BC$152))-1))</f>
        <v/>
      </c>
      <c r="BD439" s="340" t="str">
        <f t="array" ref="BD439">IF(BD$406="", "", IF(ISERROR(PRODUCT(1+BD$64:BD$152%)), "", PRODUCT(1+BD$64:BD$152%)^(1/COUNT(BD$64:BD$152))-1))</f>
        <v/>
      </c>
      <c r="BE439" s="340" t="str">
        <f t="array" ref="BE439">IF(BE$406="", "", IF(ISERROR(PRODUCT(1+BE$64:BE$152%)), "", PRODUCT(1+BE$64:BE$152%)^(1/COUNT(BE$64:BE$152))-1))</f>
        <v/>
      </c>
      <c r="BF439" s="340" t="str">
        <f t="array" ref="BF439">IF(BF$406="", "", IF(ISERROR(PRODUCT(1+BF$64:BF$152%)), "", PRODUCT(1+BF$64:BF$152%)^(1/COUNT(BF$64:BF$152))-1))</f>
        <v/>
      </c>
      <c r="BG439" s="340" t="str">
        <f t="array" ref="BG439">IF(BG$406="", "", IF(ISERROR(PRODUCT(1+BG$64:BG$152%)), "", PRODUCT(1+BG$64:BG$152%)^(1/COUNT(BG$64:BG$152))-1))</f>
        <v/>
      </c>
      <c r="BH439" s="340" t="str">
        <f t="array" ref="BH439">IF(BH$406="", "", IF(ISERROR(PRODUCT(1+BH$64:BH$152%)), "", PRODUCT(1+BH$64:BH$152%)^(1/COUNT(BH$64:BH$152))-1))</f>
        <v/>
      </c>
      <c r="BI439" s="340" t="str">
        <f t="array" ref="BI439">IF(BI$406="", "", IF(ISERROR(PRODUCT(1+BI$64:BI$152%)), "", PRODUCT(1+BI$64:BI$152%)^(1/COUNT(BI$64:BI$152))-1))</f>
        <v/>
      </c>
      <c r="BJ439" s="340" t="str">
        <f t="array" ref="BJ439">IF(BJ$406="", "", IF(ISERROR(PRODUCT(1+BJ$64:BJ$152%)), "", PRODUCT(1+BJ$64:BJ$152%)^(1/COUNT(BJ$64:BJ$152))-1))</f>
        <v/>
      </c>
      <c r="BK439" s="340" t="str">
        <f t="array" ref="BK439">IF(BK$406="", "", IF(ISERROR(PRODUCT(1+BK$64:BK$152%)), "", PRODUCT(1+BK$64:BK$152%)^(1/COUNT(BK$64:BK$152))-1))</f>
        <v/>
      </c>
      <c r="BL439" s="340" t="str">
        <f t="array" ref="BL439">IF(BL$406="", "", IF(ISERROR(PRODUCT(1+BL$64:BL$152%)), "", PRODUCT(1+BL$64:BL$152%)^(1/COUNT(BL$64:BL$152))-1))</f>
        <v/>
      </c>
      <c r="BM439" s="340" t="str">
        <f t="array" ref="BM439">IF(BM$406="", "", IF(ISERROR(PRODUCT(1+BM$64:BM$152%)), "", PRODUCT(1+BM$64:BM$152%)^(1/COUNT(BM$64:BM$152))-1))</f>
        <v/>
      </c>
      <c r="BN439" s="340" t="str">
        <f t="array" ref="BN439">IF(BN$406="", "", IF(ISERROR(PRODUCT(1+BN$64:BN$152%)), "", PRODUCT(1+BN$64:BN$152%)^(1/COUNT(BN$64:BN$152))-1))</f>
        <v/>
      </c>
      <c r="BO439" s="340" t="str">
        <f t="array" ref="BO439">IF(BO$406="", "", IF(ISERROR(PRODUCT(1+BO$64:BO$152%)), "", PRODUCT(1+BO$64:BO$152%)^(1/COUNT(BO$64:BO$152))-1))</f>
        <v/>
      </c>
      <c r="BP439" s="340" t="str">
        <f t="array" ref="BP439">IF(BP$406="", "", IF(ISERROR(PRODUCT(1+BP$64:BP$152%)), "", PRODUCT(1+BP$64:BP$152%)^(1/COUNT(BP$64:BP$152))-1))</f>
        <v/>
      </c>
      <c r="BQ439" s="340" t="str">
        <f t="array" ref="BQ439">IF(BQ$406="", "", IF(ISERROR(PRODUCT(1+BQ$64:BQ$152%)), "", PRODUCT(1+BQ$64:BQ$152%)^(1/COUNT(BQ$64:BQ$152))-1))</f>
        <v/>
      </c>
      <c r="BR439" s="340" t="str">
        <f t="array" ref="BR439">IF(BR$406="", "", IF(ISERROR(PRODUCT(1+BR$64:BR$152%)), "", PRODUCT(1+BR$64:BR$152%)^(1/COUNT(BR$64:BR$152))-1))</f>
        <v/>
      </c>
      <c r="BS439" s="340" t="str">
        <f t="array" ref="BS439">IF(BS$406="", "", IF(ISERROR(PRODUCT(1+BS$64:BS$152%)), "", PRODUCT(1+BS$64:BS$152%)^(1/COUNT(BS$64:BS$152))-1))</f>
        <v/>
      </c>
      <c r="BT439" s="340" t="str">
        <f t="array" ref="BT439">IF(BT$406="", "", IF(ISERROR(PRODUCT(1+BT$64:BT$152%)), "", PRODUCT(1+BT$64:BT$152%)^(1/COUNT(BT$64:BT$152))-1))</f>
        <v/>
      </c>
      <c r="BU439" s="340" t="str">
        <f t="array" ref="BU439">IF(BU$406="", "", IF(ISERROR(PRODUCT(1+BU$64:BU$152%)), "", PRODUCT(1+BU$64:BU$152%)^(1/COUNT(BU$64:BU$152))-1))</f>
        <v/>
      </c>
      <c r="BV439" s="340" t="str">
        <f t="array" ref="BV439">IF(BV$406="", "", IF(ISERROR(PRODUCT(1+BV$64:BV$152%)), "", PRODUCT(1+BV$64:BV$152%)^(1/COUNT(BV$64:BV$152))-1))</f>
        <v/>
      </c>
      <c r="BW439" s="340" t="str">
        <f t="array" ref="BW439">IF(BW$406="", "", IF(ISERROR(PRODUCT(1+BW$64:BW$152%)), "", PRODUCT(1+BW$64:BW$152%)^(1/COUNT(BW$64:BW$152))-1))</f>
        <v/>
      </c>
      <c r="BX439" s="340">
        <f t="array" ref="BX439">IF(BX$406="", "", IF(ISERROR(PRODUCT(1+BX$64:BX$152%)), "", PRODUCT(1+BX$64:BX$152%)^(1/COUNT(BX$64:BX$152))-1))</f>
        <v>9.7317033096513184E-2</v>
      </c>
      <c r="BY439" s="340">
        <f t="array" ref="BY439">IF(BY$406="", "", IF(ISERROR(PRODUCT(1+BY$64:BY$152%)), "", PRODUCT(1+BY$64:BY$152%)^(1/COUNT(BY$64:BY$152))-1))</f>
        <v>5.1228503895160982E-2</v>
      </c>
      <c r="BZ439" s="340">
        <f t="array" ref="BZ439">IF(BZ$406="", "", IF(ISERROR(PRODUCT(1+BZ$64:BZ$152%)), "", PRODUCT(1+BZ$64:BZ$152%)^(1/COUNT(BZ$64:BZ$152))-1))</f>
        <v>3.9448056355547489E-2</v>
      </c>
      <c r="CA439" s="532">
        <f t="array" ref="CA439">IF(CA$406="", "", IF(ISERROR(PRODUCT(1+CA$64:CA$152%)), "", PRODUCT(1+CA$64:CA$152%)^(1/COUNT(CA$64:CA$152))-1))</f>
        <v>2.9688959547417237E-2</v>
      </c>
    </row>
    <row r="440" spans="1:81" ht="14">
      <c r="A440" s="338" t="s">
        <v>836</v>
      </c>
      <c r="B440" s="339">
        <f t="array" ref="B440">IF(B$406="", "", IF(ISERROR(PRODUCT(1+B$109:B$152%)), "", PRODUCT(1+B$109:B$152%)^(1/COUNT(B$109:B$152))-1))</f>
        <v>0.10165635989115662</v>
      </c>
      <c r="C440" s="340">
        <f t="array" ref="C440">IF(C$406="", "", IF(ISERROR(PRODUCT(1+C$109:C$152%)), "", PRODUCT(1+C$109:C$152%)^(1/COUNT(C$109:C$152))-1))</f>
        <v>0.11441733616869798</v>
      </c>
      <c r="D440" s="340">
        <f t="array" ref="D440">IF(D$406="", "", IF(ISERROR(PRODUCT(1+D$109:D$152%)), "", PRODUCT(1+D$109:D$152%)^(1/COUNT(D$109:D$152))-1))</f>
        <v>0.10076007363598904</v>
      </c>
      <c r="E440" s="340">
        <f t="array" ref="E440">IF(E$406="", "", IF(ISERROR(PRODUCT(1+E$109:E$152%)), "", PRODUCT(1+E$109:E$152%)^(1/COUNT(E$109:E$152))-1))</f>
        <v>9.4965193437653417E-2</v>
      </c>
      <c r="F440" s="340">
        <f t="array" ref="F440">IF(F$406="", "", IF(ISERROR(PRODUCT(1+F$109:F$152%)), "", PRODUCT(1+F$109:F$152%)^(1/COUNT(F$109:F$152))-1))</f>
        <v>0.12179801038258264</v>
      </c>
      <c r="G440" s="340">
        <f t="array" ref="G440">IF(G$406="", "", IF(ISERROR(PRODUCT(1+G$109:G$152%)), "", PRODUCT(1+G$109:G$152%)^(1/COUNT(G$109:G$152))-1))</f>
        <v>0.13070829748786705</v>
      </c>
      <c r="H440" s="340">
        <f t="array" ref="H440">IF(H$406="", "", IF(ISERROR(PRODUCT(1+H$109:H$152%)), "", PRODUCT(1+H$109:H$152%)^(1/COUNT(H$109:H$152))-1))</f>
        <v>0.11309658952773649</v>
      </c>
      <c r="I440" s="340">
        <f t="array" ref="I440">IF(I$406="", "", IF(ISERROR(PRODUCT(1+I$109:I$152%)), "", PRODUCT(1+I$109:I$152%)^(1/COUNT(I$109:I$152))-1))</f>
        <v>9.2416181809838571E-2</v>
      </c>
      <c r="J440" s="340">
        <f t="array" ref="J440">IF(J$406="", "", IF(ISERROR(PRODUCT(1+J$109:J$152%)), "", PRODUCT(1+J$109:J$152%)^(1/COUNT(J$109:J$152))-1))</f>
        <v>0.11215184748926954</v>
      </c>
      <c r="K440" s="340">
        <f t="array" ref="K440">IF(K$406="", "", IF(ISERROR(PRODUCT(1+K$109:K$152%)), "", PRODUCT(1+K$109:K$152%)^(1/COUNT(K$109:K$152))-1))</f>
        <v>0.11778624350334055</v>
      </c>
      <c r="L440" s="340">
        <f t="array" ref="L440">IF(L$406="", "", IF(ISERROR(PRODUCT(1+L$109:L$152%)), "", PRODUCT(1+L$109:L$152%)^(1/COUNT(L$109:L$152))-1))</f>
        <v>9.0330483283030061E-2</v>
      </c>
      <c r="M440" s="340">
        <f t="array" ref="M440">IF(M$406="", "", IF(ISERROR(PRODUCT(1+M$109:M$152%)), "", PRODUCT(1+M$109:M$152%)^(1/COUNT(M$109:M$152))-1))</f>
        <v>0.14631849511884631</v>
      </c>
      <c r="N440" s="340">
        <f t="array" ref="N440">IF(N$406="", "", IF(ISERROR(PRODUCT(1+N$109:N$152%)), "", PRODUCT(1+N$109:N$152%)^(1/COUNT(N$109:N$152))-1))</f>
        <v>9.7723410457943416E-2</v>
      </c>
      <c r="O440" s="340">
        <f t="array" ref="O440">IF(O$406="", "", IF(ISERROR(PRODUCT(1+O$109:O$152%)), "", PRODUCT(1+O$109:O$152%)^(1/COUNT(O$109:O$152))-1))</f>
        <v>8.7996165335610499E-2</v>
      </c>
      <c r="P440" s="340">
        <f t="array" ref="P440">IF(P$406="", "", IF(ISERROR(PRODUCT(1+P$109:P$152%)), "", PRODUCT(1+P$109:P$152%)^(1/COUNT(P$109:P$152))-1))</f>
        <v>9.771658830614971E-2</v>
      </c>
      <c r="Q440" s="340">
        <f t="array" ref="Q440">IF(Q$406="", "", IF(ISERROR(PRODUCT(1+Q$109:Q$152%)), "", PRODUCT(1+Q$109:Q$152%)^(1/COUNT(Q$109:Q$152))-1))</f>
        <v>0.10721828779740572</v>
      </c>
      <c r="R440" s="340">
        <f t="array" ref="R440">IF(R$406="", "", IF(ISERROR(PRODUCT(1+R$109:R$152%)), "", PRODUCT(1+R$109:R$152%)^(1/COUNT(R$109:R$152))-1))</f>
        <v>7.7060928493622338E-2</v>
      </c>
      <c r="S440" s="340">
        <f t="array" ref="S440">IF(S$406="", "", IF(ISERROR(PRODUCT(1+S$109:S$152%)), "", PRODUCT(1+S$109:S$152%)^(1/COUNT(S$109:S$152))-1))</f>
        <v>7.7907530581458051E-2</v>
      </c>
      <c r="T440" s="340">
        <f t="array" ref="T440">IF(T$406="", "", IF(ISERROR(PRODUCT(1+T$109:T$152%)), "", PRODUCT(1+T$109:T$152%)^(1/COUNT(T$109:T$152))-1))</f>
        <v>7.1050031661996638E-2</v>
      </c>
      <c r="U440" s="340">
        <f t="array" ref="U440">IF(U$406="", "", IF(ISERROR(PRODUCT(1+U$109:U$152%)), "", PRODUCT(1+U$109:U$152%)^(1/COUNT(U$109:U$152))-1))</f>
        <v>7.2008130488391275E-2</v>
      </c>
      <c r="V440" s="340">
        <f t="array" ref="V440">IF(V$406="", "", IF(ISERROR(PRODUCT(1+V$109:V$152%)), "", PRODUCT(1+V$109:V$152%)^(1/COUNT(V$109:V$152))-1))</f>
        <v>4.9096626850346103E-2</v>
      </c>
      <c r="W440" s="340">
        <f t="array" ref="W440">IF(W$406="", "", IF(ISERROR(PRODUCT(1+W$109:W$152%)), "", PRODUCT(1+W$109:W$152%)^(1/COUNT(W$109:W$152))-1))</f>
        <v>6.754930975699236E-2</v>
      </c>
      <c r="X440" s="340">
        <f t="array" ref="X440">IF(X$406="", "", IF(ISERROR(PRODUCT(1+X$109:X$152%)), "", PRODUCT(1+X$109:X$152%)^(1/COUNT(X$109:X$152))-1))</f>
        <v>0.10052159288959306</v>
      </c>
      <c r="Y440" s="340">
        <f t="array" ref="Y440">IF(Y$406="", "", IF(ISERROR(PRODUCT(1+Y$109:Y$152%)), "", PRODUCT(1+Y$109:Y$152%)^(1/COUNT(Y$109:Y$152))-1))</f>
        <v>9.7119073869724071E-2</v>
      </c>
      <c r="Z440" s="340">
        <f t="array" ref="Z440">IF(Z$406="", "", IF(ISERROR(PRODUCT(1+Z$109:Z$152%)), "", PRODUCT(1+Z$109:Z$152%)^(1/COUNT(Z$109:Z$152))-1))</f>
        <v>0.11571531351528197</v>
      </c>
      <c r="AA440" s="340">
        <f t="array" ref="AA440">IF(AA$406="", "", IF(ISERROR(PRODUCT(1+AA$109:AA$152%)), "", PRODUCT(1+AA$109:AA$152%)^(1/COUNT(AA$109:AA$152))-1))</f>
        <v>6.5155432146736469E-2</v>
      </c>
      <c r="AB440" s="340">
        <f t="array" ref="AB440">IF(AB$406="", "", IF(ISERROR(PRODUCT(1+AB$109:AB$152%)), "", PRODUCT(1+AB$109:AB$152%)^(1/COUNT(AB$109:AB$152))-1))</f>
        <v>7.0833524336320064E-2</v>
      </c>
      <c r="AC440" s="340">
        <f t="array" ref="AC440">IF(AC$406="", "", IF(ISERROR(PRODUCT(1+AC$109:AC$152%)), "", PRODUCT(1+AC$109:AC$152%)^(1/COUNT(AC$109:AC$152))-1))</f>
        <v>0.13930553733641737</v>
      </c>
      <c r="AD440" s="340" t="str">
        <f t="array" ref="AD440">IF(AD$406="", "", IF(ISERROR(PRODUCT(1+AD$109:AD$152%)), "", PRODUCT(1+AD$109:AD$152%)^(1/COUNT(AD$109:AD$152))-1))</f>
        <v/>
      </c>
      <c r="AE440" s="340" t="str">
        <f t="array" ref="AE440">IF(AE$406="", "", IF(ISERROR(PRODUCT(1+AE$109:AE$152%)), "", PRODUCT(1+AE$109:AE$152%)^(1/COUNT(AE$109:AE$152))-1))</f>
        <v/>
      </c>
      <c r="AF440" s="340" t="str">
        <f t="array" ref="AF440">IF(AF$406="", "", IF(ISERROR(PRODUCT(1+AF$109:AF$152%)), "", PRODUCT(1+AF$109:AF$152%)^(1/COUNT(AF$109:AF$152))-1))</f>
        <v/>
      </c>
      <c r="AG440" s="340" t="str">
        <f t="array" ref="AG440">IF(AG$406="", "", IF(ISERROR(PRODUCT(1+AG$109:AG$152%)), "", PRODUCT(1+AG$109:AG$152%)^(1/COUNT(AG$109:AG$152))-1))</f>
        <v/>
      </c>
      <c r="AH440" s="340" t="str">
        <f t="array" ref="AH440">IF(AH$406="", "", IF(ISERROR(PRODUCT(1+AH$109:AH$152%)), "", PRODUCT(1+AH$109:AH$152%)^(1/COUNT(AH$109:AH$152))-1))</f>
        <v/>
      </c>
      <c r="AI440" s="340" t="str">
        <f t="array" ref="AI440">IF(AI$406="", "", IF(ISERROR(PRODUCT(1+AI$109:AI$152%)), "", PRODUCT(1+AI$109:AI$152%)^(1/COUNT(AI$109:AI$152))-1))</f>
        <v/>
      </c>
      <c r="AJ440" s="340" t="str">
        <f t="array" ref="AJ440">IF(AJ$406="", "", IF(ISERROR(PRODUCT(1+AJ$109:AJ$152%)), "", PRODUCT(1+AJ$109:AJ$152%)^(1/COUNT(AJ$109:AJ$152))-1))</f>
        <v/>
      </c>
      <c r="AK440" s="340" t="str">
        <f t="array" ref="AK440">IF(AK$406="", "", IF(ISERROR(PRODUCT(1+AK$109:AK$152%)), "", PRODUCT(1+AK$109:AK$152%)^(1/COUNT(AK$109:AK$152))-1))</f>
        <v/>
      </c>
      <c r="AL440" s="340" t="str">
        <f t="array" ref="AL440">IF(AL$406="", "", IF(ISERROR(PRODUCT(1+AL$109:AL$152%)), "", PRODUCT(1+AL$109:AL$152%)^(1/COUNT(AL$109:AL$152))-1))</f>
        <v/>
      </c>
      <c r="AM440" s="340" t="str">
        <f t="array" ref="AM440">IF(AM$406="", "", IF(ISERROR(PRODUCT(1+AM$109:AM$152%)), "", PRODUCT(1+AM$109:AM$152%)^(1/COUNT(AM$109:AM$152))-1))</f>
        <v/>
      </c>
      <c r="AN440" s="340" t="str">
        <f t="array" ref="AN440">IF(AN$406="", "", IF(ISERROR(PRODUCT(1+AN$109:AN$152%)), "", PRODUCT(1+AN$109:AN$152%)^(1/COUNT(AN$109:AN$152))-1))</f>
        <v/>
      </c>
      <c r="AO440" s="340" t="str">
        <f t="array" ref="AO440">IF(AO$406="", "", IF(ISERROR(PRODUCT(1+AO$109:AO$152%)), "", PRODUCT(1+AO$109:AO$152%)^(1/COUNT(AO$109:AO$152))-1))</f>
        <v/>
      </c>
      <c r="AP440" s="340" t="str">
        <f t="array" ref="AP440">IF(AP$406="", "", IF(ISERROR(PRODUCT(1+AP$109:AP$152%)), "", PRODUCT(1+AP$109:AP$152%)^(1/COUNT(AP$109:AP$152))-1))</f>
        <v/>
      </c>
      <c r="AQ440" s="340" t="str">
        <f t="array" ref="AQ440">IF(AQ$406="", "", IF(ISERROR(PRODUCT(1+AQ$109:AQ$152%)), "", PRODUCT(1+AQ$109:AQ$152%)^(1/COUNT(AQ$109:AQ$152))-1))</f>
        <v/>
      </c>
      <c r="AR440" s="340" t="str">
        <f t="array" ref="AR440">IF(AR$406="", "", IF(ISERROR(PRODUCT(1+AR$109:AR$152%)), "", PRODUCT(1+AR$109:AR$152%)^(1/COUNT(AR$109:AR$152))-1))</f>
        <v/>
      </c>
      <c r="AS440" s="340" t="str">
        <f t="array" ref="AS440">IF(AS$406="", "", IF(ISERROR(PRODUCT(1+AS$109:AS$152%)), "", PRODUCT(1+AS$109:AS$152%)^(1/COUNT(AS$109:AS$152))-1))</f>
        <v/>
      </c>
      <c r="AT440" s="340" t="str">
        <f t="array" ref="AT440">IF(AT$406="", "", IF(ISERROR(PRODUCT(1+AT$109:AT$152%)), "", PRODUCT(1+AT$109:AT$152%)^(1/COUNT(AT$109:AT$152))-1))</f>
        <v/>
      </c>
      <c r="AU440" s="340" t="str">
        <f t="array" ref="AU440">IF(AU$406="", "", IF(ISERROR(PRODUCT(1+AU$109:AU$152%)), "", PRODUCT(1+AU$109:AU$152%)^(1/COUNT(AU$109:AU$152))-1))</f>
        <v/>
      </c>
      <c r="AV440" s="340" t="str">
        <f t="array" ref="AV440">IF(AV$406="", "", IF(ISERROR(PRODUCT(1+AV$109:AV$152%)), "", PRODUCT(1+AV$109:AV$152%)^(1/COUNT(AV$109:AV$152))-1))</f>
        <v/>
      </c>
      <c r="AW440" s="340" t="str">
        <f t="array" ref="AW440">IF(AW$406="", "", IF(ISERROR(PRODUCT(1+AW$109:AW$152%)), "", PRODUCT(1+AW$109:AW$152%)^(1/COUNT(AW$109:AW$152))-1))</f>
        <v/>
      </c>
      <c r="AX440" s="340" t="str">
        <f t="array" ref="AX440">IF(AX$406="", "", IF(ISERROR(PRODUCT(1+AX$109:AX$152%)), "", PRODUCT(1+AX$109:AX$152%)^(1/COUNT(AX$109:AX$152))-1))</f>
        <v/>
      </c>
      <c r="AY440" s="340" t="str">
        <f t="array" ref="AY440">IF(AY$406="", "", IF(ISERROR(PRODUCT(1+AY$109:AY$152%)), "", PRODUCT(1+AY$109:AY$152%)^(1/COUNT(AY$109:AY$152))-1))</f>
        <v/>
      </c>
      <c r="AZ440" s="340" t="str">
        <f t="array" ref="AZ440">IF(AZ$406="", "", IF(ISERROR(PRODUCT(1+AZ$109:AZ$152%)), "", PRODUCT(1+AZ$109:AZ$152%)^(1/COUNT(AZ$109:AZ$152))-1))</f>
        <v/>
      </c>
      <c r="BA440" s="340" t="str">
        <f t="array" ref="BA440">IF(BA$406="", "", IF(ISERROR(PRODUCT(1+BA$109:BA$152%)), "", PRODUCT(1+BA$109:BA$152%)^(1/COUNT(BA$109:BA$152))-1))</f>
        <v/>
      </c>
      <c r="BB440" s="340" t="str">
        <f t="array" ref="BB440">IF(BB$406="", "", IF(ISERROR(PRODUCT(1+BB$109:BB$152%)), "", PRODUCT(1+BB$109:BB$152%)^(1/COUNT(BB$109:BB$152))-1))</f>
        <v/>
      </c>
      <c r="BC440" s="340" t="str">
        <f t="array" ref="BC440">IF(BC$406="", "", IF(ISERROR(PRODUCT(1+BC$109:BC$152%)), "", PRODUCT(1+BC$109:BC$152%)^(1/COUNT(BC$109:BC$152))-1))</f>
        <v/>
      </c>
      <c r="BD440" s="340" t="str">
        <f t="array" ref="BD440">IF(BD$406="", "", IF(ISERROR(PRODUCT(1+BD$109:BD$152%)), "", PRODUCT(1+BD$109:BD$152%)^(1/COUNT(BD$109:BD$152))-1))</f>
        <v/>
      </c>
      <c r="BE440" s="340" t="str">
        <f t="array" ref="BE440">IF(BE$406="", "", IF(ISERROR(PRODUCT(1+BE$109:BE$152%)), "", PRODUCT(1+BE$109:BE$152%)^(1/COUNT(BE$109:BE$152))-1))</f>
        <v/>
      </c>
      <c r="BF440" s="340" t="str">
        <f t="array" ref="BF440">IF(BF$406="", "", IF(ISERROR(PRODUCT(1+BF$109:BF$152%)), "", PRODUCT(1+BF$109:BF$152%)^(1/COUNT(BF$109:BF$152))-1))</f>
        <v/>
      </c>
      <c r="BG440" s="340" t="str">
        <f t="array" ref="BG440">IF(BG$406="", "", IF(ISERROR(PRODUCT(1+BG$109:BG$152%)), "", PRODUCT(1+BG$109:BG$152%)^(1/COUNT(BG$109:BG$152))-1))</f>
        <v/>
      </c>
      <c r="BH440" s="340" t="str">
        <f t="array" ref="BH440">IF(BH$406="", "", IF(ISERROR(PRODUCT(1+BH$109:BH$152%)), "", PRODUCT(1+BH$109:BH$152%)^(1/COUNT(BH$109:BH$152))-1))</f>
        <v/>
      </c>
      <c r="BI440" s="340" t="str">
        <f t="array" ref="BI440">IF(BI$406="", "", IF(ISERROR(PRODUCT(1+BI$109:BI$152%)), "", PRODUCT(1+BI$109:BI$152%)^(1/COUNT(BI$109:BI$152))-1))</f>
        <v/>
      </c>
      <c r="BJ440" s="340" t="str">
        <f t="array" ref="BJ440">IF(BJ$406="", "", IF(ISERROR(PRODUCT(1+BJ$109:BJ$152%)), "", PRODUCT(1+BJ$109:BJ$152%)^(1/COUNT(BJ$109:BJ$152))-1))</f>
        <v/>
      </c>
      <c r="BK440" s="340" t="str">
        <f t="array" ref="BK440">IF(BK$406="", "", IF(ISERROR(PRODUCT(1+BK$109:BK$152%)), "", PRODUCT(1+BK$109:BK$152%)^(1/COUNT(BK$109:BK$152))-1))</f>
        <v/>
      </c>
      <c r="BL440" s="340" t="str">
        <f t="array" ref="BL440">IF(BL$406="", "", IF(ISERROR(PRODUCT(1+BL$109:BL$152%)), "", PRODUCT(1+BL$109:BL$152%)^(1/COUNT(BL$109:BL$152))-1))</f>
        <v/>
      </c>
      <c r="BM440" s="340" t="str">
        <f t="array" ref="BM440">IF(BM$406="", "", IF(ISERROR(PRODUCT(1+BM$109:BM$152%)), "", PRODUCT(1+BM$109:BM$152%)^(1/COUNT(BM$109:BM$152))-1))</f>
        <v/>
      </c>
      <c r="BN440" s="340" t="str">
        <f t="array" ref="BN440">IF(BN$406="", "", IF(ISERROR(PRODUCT(1+BN$109:BN$152%)), "", PRODUCT(1+BN$109:BN$152%)^(1/COUNT(BN$109:BN$152))-1))</f>
        <v/>
      </c>
      <c r="BO440" s="340" t="str">
        <f t="array" ref="BO440">IF(BO$406="", "", IF(ISERROR(PRODUCT(1+BO$109:BO$152%)), "", PRODUCT(1+BO$109:BO$152%)^(1/COUNT(BO$109:BO$152))-1))</f>
        <v/>
      </c>
      <c r="BP440" s="340" t="str">
        <f t="array" ref="BP440">IF(BP$406="", "", IF(ISERROR(PRODUCT(1+BP$109:BP$152%)), "", PRODUCT(1+BP$109:BP$152%)^(1/COUNT(BP$109:BP$152))-1))</f>
        <v/>
      </c>
      <c r="BQ440" s="340" t="str">
        <f t="array" ref="BQ440">IF(BQ$406="", "", IF(ISERROR(PRODUCT(1+BQ$109:BQ$152%)), "", PRODUCT(1+BQ$109:BQ$152%)^(1/COUNT(BQ$109:BQ$152))-1))</f>
        <v/>
      </c>
      <c r="BR440" s="340" t="str">
        <f t="array" ref="BR440">IF(BR$406="", "", IF(ISERROR(PRODUCT(1+BR$109:BR$152%)), "", PRODUCT(1+BR$109:BR$152%)^(1/COUNT(BR$109:BR$152))-1))</f>
        <v/>
      </c>
      <c r="BS440" s="340" t="str">
        <f t="array" ref="BS440">IF(BS$406="", "", IF(ISERROR(PRODUCT(1+BS$109:BS$152%)), "", PRODUCT(1+BS$109:BS$152%)^(1/COUNT(BS$109:BS$152))-1))</f>
        <v/>
      </c>
      <c r="BT440" s="340" t="str">
        <f t="array" ref="BT440">IF(BT$406="", "", IF(ISERROR(PRODUCT(1+BT$109:BT$152%)), "", PRODUCT(1+BT$109:BT$152%)^(1/COUNT(BT$109:BT$152))-1))</f>
        <v/>
      </c>
      <c r="BU440" s="340" t="str">
        <f t="array" ref="BU440">IF(BU$406="", "", IF(ISERROR(PRODUCT(1+BU$109:BU$152%)), "", PRODUCT(1+BU$109:BU$152%)^(1/COUNT(BU$109:BU$152))-1))</f>
        <v/>
      </c>
      <c r="BV440" s="340" t="str">
        <f t="array" ref="BV440">IF(BV$406="", "", IF(ISERROR(PRODUCT(1+BV$109:BV$152%)), "", PRODUCT(1+BV$109:BV$152%)^(1/COUNT(BV$109:BV$152))-1))</f>
        <v/>
      </c>
      <c r="BW440" s="340" t="str">
        <f t="array" ref="BW440">IF(BW$406="", "", IF(ISERROR(PRODUCT(1+BW$109:BW$152%)), "", PRODUCT(1+BW$109:BW$152%)^(1/COUNT(BW$109:BW$152))-1))</f>
        <v/>
      </c>
      <c r="BX440" s="340">
        <f t="array" ref="BX440">IF(BX$406="", "", IF(ISERROR(PRODUCT(1+BX$109:BX$152%)), "", PRODUCT(1+BX$109:BX$152%)^(1/COUNT(BX$109:BX$152))-1))</f>
        <v>9.9817376145085346E-2</v>
      </c>
      <c r="BY440" s="340">
        <f t="array" ref="BY440">IF(BY$406="", "", IF(ISERROR(PRODUCT(1+BY$109:BY$152%)), "", PRODUCT(1+BY$109:BY$152%)^(1/COUNT(BY$109:BY$152))-1))</f>
        <v>7.085224098559717E-2</v>
      </c>
      <c r="BZ440" s="340">
        <f t="array" ref="BZ440">IF(BZ$406="", "", IF(ISERROR(PRODUCT(1+BZ$109:BZ$152%)), "", PRODUCT(1+BZ$109:BZ$152%)^(1/COUNT(BZ$109:BZ$152))-1))</f>
        <v>5.3127515499757028E-2</v>
      </c>
      <c r="CA440" s="532">
        <f t="array" ref="CA440">IF(CA$406="", "", IF(ISERROR(PRODUCT(1+CA$109:CA$152%)), "", PRODUCT(1+CA$109:CA$152%)^(1/COUNT(CA$109:CA$152))-1))</f>
        <v>4.0575336053278344E-2</v>
      </c>
    </row>
    <row r="441" spans="1:81" ht="15" thickBot="1">
      <c r="A441" s="338" t="s">
        <v>837</v>
      </c>
      <c r="B441" s="343">
        <f t="array" ref="B441">IF(B$406="", "", IF(ISERROR(PRODUCT(1+B$122:B$152%)), "", PRODUCT(1+B$122:B$152%)^(1/COUNT(B$122:B$152))-1))</f>
        <v>0.10751334148608449</v>
      </c>
      <c r="C441" s="419">
        <f t="array" ref="C441">IF(C$406="", "", IF(ISERROR(PRODUCT(1+C$122:C$152%)), "", PRODUCT(1+C$122:C$152%)^(1/COUNT(C$122:C$152))-1))</f>
        <v>0.10621389896948785</v>
      </c>
      <c r="D441" s="419">
        <f t="array" ref="D441">IF(D$406="", "", IF(ISERROR(PRODUCT(1+D$122:D$152%)), "", PRODUCT(1+D$122:D$152%)^(1/COUNT(D$122:D$152))-1))</f>
        <v>0.10832493121751541</v>
      </c>
      <c r="E441" s="419">
        <f t="array" ref="E441">IF(E$406="", "", IF(ISERROR(PRODUCT(1+E$122:E$152%)), "", PRODUCT(1+E$122:E$152%)^(1/COUNT(E$122:E$152))-1))</f>
        <v>0.11040669829157479</v>
      </c>
      <c r="F441" s="419">
        <f t="array" ref="F441">IF(F$406="", "", IF(ISERROR(PRODUCT(1+F$122:F$152%)), "", PRODUCT(1+F$122:F$152%)^(1/COUNT(F$122:F$152))-1))</f>
        <v>0.12455585596445418</v>
      </c>
      <c r="G441" s="419">
        <f t="array" ref="G441">IF(G$406="", "", IF(ISERROR(PRODUCT(1+G$122:G$152%)), "", PRODUCT(1+G$122:G$152%)^(1/COUNT(G$122:G$152))-1))</f>
        <v>0.1116503362534782</v>
      </c>
      <c r="H441" s="419">
        <f t="array" ref="H441">IF(H$406="", "", IF(ISERROR(PRODUCT(1+H$122:H$152%)), "", PRODUCT(1+H$122:H$152%)^(1/COUNT(H$122:H$152))-1))</f>
        <v>0.10392104907312483</v>
      </c>
      <c r="I441" s="419">
        <f t="array" ref="I441">IF(I$406="", "", IF(ISERROR(PRODUCT(1+I$122:I$152%)), "", PRODUCT(1+I$122:I$152%)^(1/COUNT(I$122:I$152))-1))</f>
        <v>9.589234702385574E-2</v>
      </c>
      <c r="J441" s="419">
        <f t="array" ref="J441">IF(J$406="", "", IF(ISERROR(PRODUCT(1+J$122:J$152%)), "", PRODUCT(1+J$122:J$152%)^(1/COUNT(J$122:J$152))-1))</f>
        <v>0.10782540252668049</v>
      </c>
      <c r="K441" s="419">
        <f t="array" ref="K441">IF(K$406="", "", IF(ISERROR(PRODUCT(1+K$122:K$152%)), "", PRODUCT(1+K$122:K$152%)^(1/COUNT(K$122:K$152))-1))</f>
        <v>0.10744688376874212</v>
      </c>
      <c r="L441" s="419">
        <f t="array" ref="L441">IF(L$406="", "", IF(ISERROR(PRODUCT(1+L$122:L$152%)), "", PRODUCT(1+L$122:L$152%)^(1/COUNT(L$122:L$152))-1))</f>
        <v>8.8494634263329042E-2</v>
      </c>
      <c r="M441" s="419">
        <f t="array" ref="M441">IF(M$406="", "", IF(ISERROR(PRODUCT(1+M$122:M$152%)), "", PRODUCT(1+M$122:M$152%)^(1/COUNT(M$122:M$152))-1))</f>
        <v>0.14259323850867456</v>
      </c>
      <c r="N441" s="419">
        <f t="array" ref="N441">IF(N$406="", "", IF(ISERROR(PRODUCT(1+N$122:N$152%)), "", PRODUCT(1+N$122:N$152%)^(1/COUNT(N$122:N$152))-1))</f>
        <v>9.5452805608436497E-2</v>
      </c>
      <c r="O441" s="419">
        <f t="array" ref="O441">IF(O$406="", "", IF(ISERROR(PRODUCT(1+O$122:O$152%)), "", PRODUCT(1+O$122:O$152%)^(1/COUNT(O$122:O$152))-1))</f>
        <v>6.2360306701793045E-2</v>
      </c>
      <c r="P441" s="419">
        <f t="array" ref="P441">IF(P$406="", "", IF(ISERROR(PRODUCT(1+P$122:P$152%)), "", PRODUCT(1+P$122:P$152%)^(1/COUNT(P$122:P$152))-1))</f>
        <v>0.10756380723470338</v>
      </c>
      <c r="Q441" s="419">
        <f t="array" ref="Q441">IF(Q$406="", "", IF(ISERROR(PRODUCT(1+Q$122:Q$152%)), "", PRODUCT(1+Q$122:Q$152%)^(1/COUNT(Q$122:Q$152))-1))</f>
        <v>0.10231568739044161</v>
      </c>
      <c r="R441" s="419">
        <f t="array" ref="R441">IF(R$406="", "", IF(ISERROR(PRODUCT(1+R$122:R$152%)), "", PRODUCT(1+R$122:R$152%)^(1/COUNT(R$122:R$152))-1))</f>
        <v>6.3374056088895347E-2</v>
      </c>
      <c r="S441" s="419">
        <f t="array" ref="S441">IF(S$406="", "", IF(ISERROR(PRODUCT(1+S$122:S$152%)), "", PRODUCT(1+S$122:S$152%)^(1/COUNT(S$122:S$152))-1))</f>
        <v>9.0991096807576E-2</v>
      </c>
      <c r="T441" s="419">
        <f t="array" ref="T441">IF(T$406="", "", IF(ISERROR(PRODUCT(1+T$122:T$152%)), "", PRODUCT(1+T$122:T$152%)^(1/COUNT(T$122:T$152))-1))</f>
        <v>7.0555535026989968E-2</v>
      </c>
      <c r="U441" s="419">
        <f t="array" ref="U441">IF(U$406="", "", IF(ISERROR(PRODUCT(1+U$122:U$152%)), "", PRODUCT(1+U$122:U$152%)^(1/COUNT(U$122:U$152))-1))</f>
        <v>6.7263519622791312E-2</v>
      </c>
      <c r="V441" s="419">
        <f t="array" ref="V441">IF(V$406="", "", IF(ISERROR(PRODUCT(1+V$122:V$152%)), "", PRODUCT(1+V$122:V$152%)^(1/COUNT(V$122:V$152))-1))</f>
        <v>3.5900142745183494E-2</v>
      </c>
      <c r="W441" s="419">
        <f t="array" ref="W441">IF(W$406="", "", IF(ISERROR(PRODUCT(1+W$122:W$152%)), "", PRODUCT(1+W$122:W$152%)^(1/COUNT(W$122:W$152))-1))</f>
        <v>6.9049129330273962E-2</v>
      </c>
      <c r="X441" s="419">
        <f t="array" ref="X441">IF(X$406="", "", IF(ISERROR(PRODUCT(1+X$122:X$152%)), "", PRODUCT(1+X$122:X$152%)^(1/COUNT(X$122:X$152))-1))</f>
        <v>0.1051831028995831</v>
      </c>
      <c r="Y441" s="419">
        <f t="array" ref="Y441">IF(Y$406="", "", IF(ISERROR(PRODUCT(1+Y$122:Y$152%)), "", PRODUCT(1+Y$122:Y$152%)^(1/COUNT(Y$122:Y$152))-1))</f>
        <v>9.6389508441502514E-2</v>
      </c>
      <c r="Z441" s="419">
        <f t="array" ref="Z441">IF(Z$406="", "", IF(ISERROR(PRODUCT(1+Z$122:Z$152%)), "", PRODUCT(1+Z$122:Z$152%)^(1/COUNT(Z$122:Z$152))-1))</f>
        <v>0.10464953932494536</v>
      </c>
      <c r="AA441" s="419">
        <f t="array" ref="AA441">IF(AA$406="", "", IF(ISERROR(PRODUCT(1+AA$122:AA$152%)), "", PRODUCT(1+AA$122:AA$152%)^(1/COUNT(AA$122:AA$152))-1))</f>
        <v>5.2373902903485758E-2</v>
      </c>
      <c r="AB441" s="419">
        <f t="array" ref="AB441">IF(AB$406="", "", IF(ISERROR(PRODUCT(1+AB$122:AB$152%)), "", PRODUCT(1+AB$122:AB$152%)^(1/COUNT(AB$122:AB$152))-1))</f>
        <v>3.6244865827650186E-2</v>
      </c>
      <c r="AC441" s="419">
        <f t="array" ref="AC441">IF(AC$406="", "", IF(ISERROR(PRODUCT(1+AC$122:AC$152%)), "", PRODUCT(1+AC$122:AC$152%)^(1/COUNT(AC$122:AC$152))-1))</f>
        <v>0.11909010545510479</v>
      </c>
      <c r="AD441" s="419">
        <f t="array" ref="AD441">IF(AD$406="", "", IF(ISERROR(PRODUCT(1+AD$122:AD$152%)), "", PRODUCT(1+AD$122:AD$152%)^(1/COUNT(AD$122:AD$152))-1))</f>
        <v>0.10750140437211897</v>
      </c>
      <c r="AE441" s="419">
        <f t="array" ref="AE441">IF(AE$406="", "", IF(ISERROR(PRODUCT(1+AE$122:AE$152%)), "", PRODUCT(1+AE$122:AE$152%)^(1/COUNT(AE$122:AE$152))-1))</f>
        <v>0.17389201110757369</v>
      </c>
      <c r="AF441" s="419">
        <f t="array" ref="AF441">IF(AF$406="", "", IF(ISERROR(PRODUCT(1+AF$122:AF$152%)), "", PRODUCT(1+AF$122:AF$152%)^(1/COUNT(AF$122:AF$152))-1))</f>
        <v>4.4022215580817869E-2</v>
      </c>
      <c r="AG441" s="419">
        <f t="array" ref="AG441">IF(AG$406="", "", IF(ISERROR(PRODUCT(1+AG$122:AG$152%)), "", PRODUCT(1+AG$122:AG$152%)^(1/COUNT(AG$122:AG$152))-1))</f>
        <v>0.10388134556085071</v>
      </c>
      <c r="AH441" s="419">
        <f t="array" ref="AH441">IF(AH$406="", "", IF(ISERROR(PRODUCT(1+AH$122:AH$152%)), "", PRODUCT(1+AH$122:AH$152%)^(1/COUNT(AH$122:AH$152))-1))</f>
        <v>3.6058310468768839E-2</v>
      </c>
      <c r="AI441" s="419">
        <f t="array" ref="AI441">IF(AI$406="", "", IF(ISERROR(PRODUCT(1+AI$122:AI$152%)), "", PRODUCT(1+AI$122:AI$152%)^(1/COUNT(AI$122:AI$152))-1))</f>
        <v>6.3054640818563046E-2</v>
      </c>
      <c r="AJ441" s="419">
        <f t="array" ref="AJ441">IF(AJ$406="", "", IF(ISERROR(PRODUCT(1+AJ$122:AJ$152%)), "", PRODUCT(1+AJ$122:AJ$152%)^(1/COUNT(AJ$122:AJ$152))-1))</f>
        <v>7.023336483803333E-2</v>
      </c>
      <c r="AK441" s="419">
        <f t="array" ref="AK441">IF(AK$406="", "", IF(ISERROR(PRODUCT(1+AK$122:AK$152%)), "", PRODUCT(1+AK$122:AK$152%)^(1/COUNT(AK$122:AK$152))-1))</f>
        <v>7.368599513953944E-2</v>
      </c>
      <c r="AL441" s="419">
        <f t="array" ref="AL441">IF(AL$406="", "", IF(ISERROR(PRODUCT(1+AL$122:AL$152%)), "", PRODUCT(1+AL$122:AL$152%)^(1/COUNT(AL$122:AL$152))-1))</f>
        <v>0.1083240113353956</v>
      </c>
      <c r="AM441" s="419">
        <f t="array" ref="AM441">IF(AM$406="", "", IF(ISERROR(PRODUCT(1+AM$122:AM$152%)), "", PRODUCT(1+AM$122:AM$152%)^(1/COUNT(AM$122:AM$152))-1))</f>
        <v>0.12752834235650123</v>
      </c>
      <c r="AN441" s="419">
        <f t="array" ref="AN441">IF(AN$406="", "", IF(ISERROR(PRODUCT(1+AN$122:AN$152%)), "", PRODUCT(1+AN$122:AN$152%)^(1/COUNT(AN$122:AN$152))-1))</f>
        <v>0.10718134099003973</v>
      </c>
      <c r="AO441" s="419">
        <f t="array" ref="AO441">IF(AO$406="", "", IF(ISERROR(PRODUCT(1+AO$122:AO$152%)), "", PRODUCT(1+AO$122:AO$152%)^(1/COUNT(AO$122:AO$152))-1))</f>
        <v>5.9196219218519808E-2</v>
      </c>
      <c r="AP441" s="419">
        <f t="array" ref="AP441">IF(AP$406="", "", IF(ISERROR(PRODUCT(1+AP$122:AP$152%)), "", PRODUCT(1+AP$122:AP$152%)^(1/COUNT(AP$122:AP$152))-1))</f>
        <v>5.894998937553253E-2</v>
      </c>
      <c r="AQ441" s="419" t="str">
        <f t="array" ref="AQ441">IF(AQ$406="", "", IF(ISERROR(PRODUCT(1+AQ$122:AQ$152%)), "", PRODUCT(1+AQ$122:AQ$152%)^(1/COUNT(AQ$122:AQ$152))-1))</f>
        <v/>
      </c>
      <c r="AR441" s="419" t="str">
        <f t="array" ref="AR441">IF(AR$406="", "", IF(ISERROR(PRODUCT(1+AR$122:AR$152%)), "", PRODUCT(1+AR$122:AR$152%)^(1/COUNT(AR$122:AR$152))-1))</f>
        <v/>
      </c>
      <c r="AS441" s="419" t="str">
        <f t="array" ref="AS441">IF(AS$406="", "", IF(ISERROR(PRODUCT(1+AS$122:AS$152%)), "", PRODUCT(1+AS$122:AS$152%)^(1/COUNT(AS$122:AS$152))-1))</f>
        <v/>
      </c>
      <c r="AT441" s="419" t="str">
        <f t="array" ref="AT441">IF(AT$406="", "", IF(ISERROR(PRODUCT(1+AT$122:AT$152%)), "", PRODUCT(1+AT$122:AT$152%)^(1/COUNT(AT$122:AT$152))-1))</f>
        <v/>
      </c>
      <c r="AU441" s="419" t="str">
        <f t="array" ref="AU441">IF(AU$406="", "", IF(ISERROR(PRODUCT(1+AU$122:AU$152%)), "", PRODUCT(1+AU$122:AU$152%)^(1/COUNT(AU$122:AU$152))-1))</f>
        <v/>
      </c>
      <c r="AV441" s="419" t="str">
        <f t="array" ref="AV441">IF(AV$406="", "", IF(ISERROR(PRODUCT(1+AV$122:AV$152%)), "", PRODUCT(1+AV$122:AV$152%)^(1/COUNT(AV$122:AV$152))-1))</f>
        <v/>
      </c>
      <c r="AW441" s="419" t="str">
        <f t="array" ref="AW441">IF(AW$406="", "", IF(ISERROR(PRODUCT(1+AW$122:AW$152%)), "", PRODUCT(1+AW$122:AW$152%)^(1/COUNT(AW$122:AW$152))-1))</f>
        <v/>
      </c>
      <c r="AX441" s="419" t="str">
        <f t="array" ref="AX441">IF(AX$406="", "", IF(ISERROR(PRODUCT(1+AX$122:AX$152%)), "", PRODUCT(1+AX$122:AX$152%)^(1/COUNT(AX$122:AX$152))-1))</f>
        <v/>
      </c>
      <c r="AY441" s="419" t="str">
        <f t="array" ref="AY441">IF(AY$406="", "", IF(ISERROR(PRODUCT(1+AY$122:AY$152%)), "", PRODUCT(1+AY$122:AY$152%)^(1/COUNT(AY$122:AY$152))-1))</f>
        <v/>
      </c>
      <c r="AZ441" s="419" t="str">
        <f t="array" ref="AZ441">IF(AZ$406="", "", IF(ISERROR(PRODUCT(1+AZ$122:AZ$152%)), "", PRODUCT(1+AZ$122:AZ$152%)^(1/COUNT(AZ$122:AZ$152))-1))</f>
        <v/>
      </c>
      <c r="BA441" s="419" t="str">
        <f t="array" ref="BA441">IF(BA$406="", "", IF(ISERROR(PRODUCT(1+BA$122:BA$152%)), "", PRODUCT(1+BA$122:BA$152%)^(1/COUNT(BA$122:BA$152))-1))</f>
        <v/>
      </c>
      <c r="BB441" s="419" t="str">
        <f t="array" ref="BB441">IF(BB$406="", "", IF(ISERROR(PRODUCT(1+BB$122:BB$152%)), "", PRODUCT(1+BB$122:BB$152%)^(1/COUNT(BB$122:BB$152))-1))</f>
        <v/>
      </c>
      <c r="BC441" s="419" t="str">
        <f t="array" ref="BC441">IF(BC$406="", "", IF(ISERROR(PRODUCT(1+BC$122:BC$152%)), "", PRODUCT(1+BC$122:BC$152%)^(1/COUNT(BC$122:BC$152))-1))</f>
        <v/>
      </c>
      <c r="BD441" s="419" t="str">
        <f t="array" ref="BD441">IF(BD$406="", "", IF(ISERROR(PRODUCT(1+BD$122:BD$152%)), "", PRODUCT(1+BD$122:BD$152%)^(1/COUNT(BD$122:BD$152))-1))</f>
        <v/>
      </c>
      <c r="BE441" s="419" t="str">
        <f t="array" ref="BE441">IF(BE$406="", "", IF(ISERROR(PRODUCT(1+BE$122:BE$152%)), "", PRODUCT(1+BE$122:BE$152%)^(1/COUNT(BE$122:BE$152))-1))</f>
        <v/>
      </c>
      <c r="BF441" s="419" t="str">
        <f t="array" ref="BF441">IF(BF$406="", "", IF(ISERROR(PRODUCT(1+BF$122:BF$152%)), "", PRODUCT(1+BF$122:BF$152%)^(1/COUNT(BF$122:BF$152))-1))</f>
        <v/>
      </c>
      <c r="BG441" s="419" t="str">
        <f t="array" ref="BG441">IF(BG$406="", "", IF(ISERROR(PRODUCT(1+BG$122:BG$152%)), "", PRODUCT(1+BG$122:BG$152%)^(1/COUNT(BG$122:BG$152))-1))</f>
        <v/>
      </c>
      <c r="BH441" s="419" t="str">
        <f t="array" ref="BH441">IF(BH$406="", "", IF(ISERROR(PRODUCT(1+BH$122:BH$152%)), "", PRODUCT(1+BH$122:BH$152%)^(1/COUNT(BH$122:BH$152))-1))</f>
        <v/>
      </c>
      <c r="BI441" s="419" t="str">
        <f t="array" ref="BI441">IF(BI$406="", "", IF(ISERROR(PRODUCT(1+BI$122:BI$152%)), "", PRODUCT(1+BI$122:BI$152%)^(1/COUNT(BI$122:BI$152))-1))</f>
        <v/>
      </c>
      <c r="BJ441" s="419" t="str">
        <f t="array" ref="BJ441">IF(BJ$406="", "", IF(ISERROR(PRODUCT(1+BJ$122:BJ$152%)), "", PRODUCT(1+BJ$122:BJ$152%)^(1/COUNT(BJ$122:BJ$152))-1))</f>
        <v/>
      </c>
      <c r="BK441" s="419" t="str">
        <f t="array" ref="BK441">IF(BK$406="", "", IF(ISERROR(PRODUCT(1+BK$122:BK$152%)), "", PRODUCT(1+BK$122:BK$152%)^(1/COUNT(BK$122:BK$152))-1))</f>
        <v/>
      </c>
      <c r="BL441" s="419" t="str">
        <f t="array" ref="BL441">IF(BL$406="", "", IF(ISERROR(PRODUCT(1+BL$122:BL$152%)), "", PRODUCT(1+BL$122:BL$152%)^(1/COUNT(BL$122:BL$152))-1))</f>
        <v/>
      </c>
      <c r="BM441" s="419" t="str">
        <f t="array" ref="BM441">IF(BM$406="", "", IF(ISERROR(PRODUCT(1+BM$122:BM$152%)), "", PRODUCT(1+BM$122:BM$152%)^(1/COUNT(BM$122:BM$152))-1))</f>
        <v/>
      </c>
      <c r="BN441" s="419" t="str">
        <f t="array" ref="BN441">IF(BN$406="", "", IF(ISERROR(PRODUCT(1+BN$122:BN$152%)), "", PRODUCT(1+BN$122:BN$152%)^(1/COUNT(BN$122:BN$152))-1))</f>
        <v/>
      </c>
      <c r="BO441" s="419" t="str">
        <f t="array" ref="BO441">IF(BO$406="", "", IF(ISERROR(PRODUCT(1+BO$122:BO$152%)), "", PRODUCT(1+BO$122:BO$152%)^(1/COUNT(BO$122:BO$152))-1))</f>
        <v/>
      </c>
      <c r="BP441" s="419" t="str">
        <f t="array" ref="BP441">IF(BP$406="", "", IF(ISERROR(PRODUCT(1+BP$122:BP$152%)), "", PRODUCT(1+BP$122:BP$152%)^(1/COUNT(BP$122:BP$152))-1))</f>
        <v/>
      </c>
      <c r="BQ441" s="419" t="str">
        <f t="array" ref="BQ441">IF(BQ$406="", "", IF(ISERROR(PRODUCT(1+BQ$122:BQ$152%)), "", PRODUCT(1+BQ$122:BQ$152%)^(1/COUNT(BQ$122:BQ$152))-1))</f>
        <v/>
      </c>
      <c r="BR441" s="419" t="str">
        <f t="array" ref="BR441">IF(BR$406="", "", IF(ISERROR(PRODUCT(1+BR$122:BR$152%)), "", PRODUCT(1+BR$122:BR$152%)^(1/COUNT(BR$122:BR$152))-1))</f>
        <v/>
      </c>
      <c r="BS441" s="419" t="str">
        <f t="array" ref="BS441">IF(BS$406="", "", IF(ISERROR(PRODUCT(1+BS$122:BS$152%)), "", PRODUCT(1+BS$122:BS$152%)^(1/COUNT(BS$122:BS$152))-1))</f>
        <v/>
      </c>
      <c r="BT441" s="419" t="str">
        <f t="array" ref="BT441">IF(BT$406="", "", IF(ISERROR(PRODUCT(1+BT$122:BT$152%)), "", PRODUCT(1+BT$122:BT$152%)^(1/COUNT(BT$122:BT$152))-1))</f>
        <v/>
      </c>
      <c r="BU441" s="419" t="str">
        <f t="array" ref="BU441">IF(BU$406="", "", IF(ISERROR(PRODUCT(1+BU$122:BU$152%)), "", PRODUCT(1+BU$122:BU$152%)^(1/COUNT(BU$122:BU$152))-1))</f>
        <v/>
      </c>
      <c r="BV441" s="419" t="str">
        <f t="array" ref="BV441">IF(BV$406="", "", IF(ISERROR(PRODUCT(1+BV$122:BV$152%)), "", PRODUCT(1+BV$122:BV$152%)^(1/COUNT(BV$122:BV$152))-1))</f>
        <v/>
      </c>
      <c r="BW441" s="419" t="str">
        <f t="array" ref="BW441">IF(BW$406="", "", IF(ISERROR(PRODUCT(1+BW$122:BW$152%)), "", PRODUCT(1+BW$122:BW$152%)^(1/COUNT(BW$122:BW$152))-1))</f>
        <v/>
      </c>
      <c r="BX441" s="419">
        <f t="array" ref="BX441">IF(BX$406="", "", IF(ISERROR(PRODUCT(1+BX$122:BX$152%)), "", PRODUCT(1+BX$122:BX$152%)^(1/COUNT(BX$122:BX$152))-1))</f>
        <v>0.10562504442383469</v>
      </c>
      <c r="BY441" s="419">
        <f t="array" ref="BY441">IF(BY$406="", "", IF(ISERROR(PRODUCT(1+BY$122:BY$152%)), "", PRODUCT(1+BY$122:BY$152%)^(1/COUNT(BY$122:BY$152))-1))</f>
        <v>6.9378562435037816E-2</v>
      </c>
      <c r="BZ441" s="419">
        <f t="array" ref="BZ441">IF(BZ$406="", "", IF(ISERROR(PRODUCT(1+BZ$122:BZ$152%)), "", PRODUCT(1+BZ$122:BZ$152%)^(1/COUNT(BZ$122:BZ$152))-1))</f>
        <v>3.970368162694915E-2</v>
      </c>
      <c r="CA441" s="533">
        <f t="array" ref="CA441">IF(CA$406="", "", IF(ISERROR(PRODUCT(1+CA$122:CA$152%)), "", PRODUCT(1+CA$122:CA$152%)^(1/COUNT(CA$122:CA$152))-1))</f>
        <v>2.6448239534853757E-2</v>
      </c>
    </row>
    <row r="444" spans="1:81" ht="14">
      <c r="A444" s="534"/>
    </row>
  </sheetData>
  <sheetProtection selectLockedCells="1" selectUnlockedCells="1"/>
  <conditionalFormatting sqref="B8:BZ153">
    <cfRule type="cellIs" dxfId="13" priority="684" stopIfTrue="1" operator="equal">
      <formula>MAX($B8:$BZ8,-99)</formula>
    </cfRule>
    <cfRule type="cellIs" dxfId="12" priority="685" stopIfTrue="1" operator="equal">
      <formula>MIN($B8:$BZ8,99)</formula>
    </cfRule>
  </conditionalFormatting>
  <conditionalFormatting sqref="B169:BZ314">
    <cfRule type="cellIs" dxfId="11" priority="1" stopIfTrue="1" operator="equal">
      <formula>MAX($B169:$BZ169,-99)</formula>
    </cfRule>
    <cfRule type="cellIs" dxfId="10" priority="2" stopIfTrue="1" operator="equal">
      <formula>MIN($B169:$BZ169,99)</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K168:P168 K167:P167 CC321:CC397 B320:BZ320 K405:S406 B405:J406 T405:BZ406 AW167:BZ168 E6:S6 BA1:BW2 C154:BZ154 B7:BZ7 B6:D6 T6:BZ6 BA5:BW5 T8:BZ143 B8:D151 E8:S151 CA8:CA151 B152:CA153 B163 AQ167:AV168 BA4:BW4 T146:BZ151 T144:AK144 AM144:BZ144 T145:AK145 AM145:BZ145" emptyCellReference="1"/>
  </ignoredErrors>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80"/>
  <sheetViews>
    <sheetView zoomScale="85" zoomScaleNormal="85" zoomScalePageLayoutView="85" workbookViewId="0">
      <pane xSplit="1" ySplit="4" topLeftCell="B5" activePane="bottomRight" state="frozen"/>
      <selection pane="topRight" activeCell="B1" sqref="B1"/>
      <selection pane="bottomLeft" activeCell="A5" sqref="A5"/>
      <selection pane="bottomRight"/>
    </sheetView>
  </sheetViews>
  <sheetFormatPr baseColWidth="10" defaultColWidth="8.83203125" defaultRowHeight="12" x14ac:dyDescent="0"/>
  <cols>
    <col min="1" max="1" width="10.6640625" style="189" customWidth="1"/>
    <col min="2" max="2" width="9.83203125" style="189" customWidth="1"/>
    <col min="3" max="3" width="8" style="189" customWidth="1"/>
    <col min="4" max="4" width="8.5" style="189" customWidth="1"/>
    <col min="5" max="5" width="7.6640625" style="189" customWidth="1"/>
    <col min="6" max="6" width="7" style="189" customWidth="1"/>
    <col min="7" max="7" width="8" style="189" customWidth="1"/>
    <col min="8" max="8" width="7.33203125" style="189" customWidth="1"/>
    <col min="9" max="9" width="7.6640625" style="189" customWidth="1"/>
    <col min="10" max="10" width="8.1640625" style="189" customWidth="1"/>
    <col min="11" max="11" width="7.5" style="189" customWidth="1"/>
    <col min="12" max="12" width="7" style="189" customWidth="1"/>
    <col min="13" max="13" width="7.5" style="189" customWidth="1"/>
    <col min="14" max="14" width="7.83203125" style="189" customWidth="1"/>
    <col min="15" max="15" width="7.5" style="189" customWidth="1"/>
    <col min="16" max="16" width="7.6640625" style="189" customWidth="1"/>
    <col min="17" max="17" width="7" style="189" customWidth="1"/>
    <col min="18" max="18" width="8.1640625" style="189" customWidth="1"/>
    <col min="19" max="19" width="7.33203125" style="189" customWidth="1"/>
    <col min="20" max="20" width="7" style="189" customWidth="1"/>
    <col min="21" max="21" width="7.5" style="189" customWidth="1"/>
    <col min="22" max="22" width="7.6640625" style="189" customWidth="1"/>
    <col min="23" max="23" width="7.1640625" style="189" customWidth="1"/>
    <col min="24" max="24" width="10.5" style="189" customWidth="1"/>
    <col min="25" max="25" width="11.1640625" style="189" customWidth="1"/>
    <col min="26" max="26" width="8.83203125" style="189" customWidth="1"/>
    <col min="27" max="38" width="9" style="189" customWidth="1"/>
  </cols>
  <sheetData>
    <row r="1" spans="1:39" s="181" customFormat="1" ht="24">
      <c r="A1" s="181" t="s">
        <v>440</v>
      </c>
      <c r="B1" s="181" t="s">
        <v>441</v>
      </c>
      <c r="C1" s="181" t="s">
        <v>371</v>
      </c>
      <c r="D1" s="181" t="s">
        <v>442</v>
      </c>
      <c r="E1" s="181" t="s">
        <v>373</v>
      </c>
      <c r="F1" s="181" t="s">
        <v>374</v>
      </c>
      <c r="G1" s="181" t="s">
        <v>375</v>
      </c>
      <c r="H1" s="181" t="s">
        <v>376</v>
      </c>
      <c r="I1" s="181" t="s">
        <v>377</v>
      </c>
      <c r="J1" s="181" t="s">
        <v>378</v>
      </c>
      <c r="K1" s="181" t="s">
        <v>114</v>
      </c>
      <c r="L1" s="181" t="s">
        <v>443</v>
      </c>
      <c r="M1" s="181" t="s">
        <v>299</v>
      </c>
      <c r="N1" s="65" t="s">
        <v>444</v>
      </c>
      <c r="O1" s="181" t="s">
        <v>318</v>
      </c>
      <c r="P1" s="181" t="s">
        <v>325</v>
      </c>
      <c r="Q1" s="181" t="s">
        <v>445</v>
      </c>
      <c r="R1" s="181" t="s">
        <v>380</v>
      </c>
      <c r="S1" s="181" t="s">
        <v>381</v>
      </c>
      <c r="T1" s="181" t="s">
        <v>382</v>
      </c>
      <c r="U1" s="181" t="s">
        <v>383</v>
      </c>
      <c r="V1" s="181" t="s">
        <v>384</v>
      </c>
      <c r="W1" s="181" t="s">
        <v>446</v>
      </c>
      <c r="X1" s="299" t="s">
        <v>259</v>
      </c>
      <c r="Y1" s="156" t="s">
        <v>260</v>
      </c>
      <c r="Z1" s="181" t="s">
        <v>143</v>
      </c>
      <c r="AA1" s="181" t="s">
        <v>429</v>
      </c>
      <c r="AB1" s="181" t="s">
        <v>281</v>
      </c>
      <c r="AC1" s="116" t="s">
        <v>447</v>
      </c>
      <c r="AD1" s="116"/>
      <c r="AE1" s="116"/>
      <c r="AF1" s="116"/>
      <c r="AG1" s="116"/>
      <c r="AH1" s="116"/>
      <c r="AI1" s="116"/>
      <c r="AJ1" s="116"/>
      <c r="AK1" s="116"/>
      <c r="AL1" s="116"/>
      <c r="AM1" s="181" t="s">
        <v>391</v>
      </c>
    </row>
    <row r="2" spans="1:39" s="36" customFormat="1">
      <c r="A2" s="300">
        <v>2015</v>
      </c>
      <c r="B2" s="36" t="s">
        <v>97</v>
      </c>
      <c r="C2" s="36" t="s">
        <v>99</v>
      </c>
      <c r="D2" s="36" t="s">
        <v>101</v>
      </c>
      <c r="E2" s="36" t="s">
        <v>103</v>
      </c>
      <c r="F2" s="36" t="s">
        <v>105</v>
      </c>
      <c r="G2" s="36" t="s">
        <v>107</v>
      </c>
      <c r="H2" s="36" t="s">
        <v>109</v>
      </c>
      <c r="I2" s="36" t="s">
        <v>111</v>
      </c>
      <c r="J2" s="36" t="s">
        <v>113</v>
      </c>
      <c r="K2" s="36" t="s">
        <v>115</v>
      </c>
      <c r="L2" s="36" t="s">
        <v>624</v>
      </c>
      <c r="M2" s="36" t="s">
        <v>118</v>
      </c>
      <c r="N2" s="58" t="s">
        <v>120</v>
      </c>
      <c r="O2" s="36" t="s">
        <v>122</v>
      </c>
      <c r="P2" s="36" t="s">
        <v>124</v>
      </c>
      <c r="Q2" s="36" t="s">
        <v>126</v>
      </c>
      <c r="R2" s="36" t="s">
        <v>128</v>
      </c>
      <c r="S2" s="36" t="s">
        <v>130</v>
      </c>
      <c r="T2" s="36" t="s">
        <v>132</v>
      </c>
      <c r="U2" s="36" t="s">
        <v>134</v>
      </c>
      <c r="V2" s="36" t="s">
        <v>136</v>
      </c>
      <c r="W2" s="36" t="s">
        <v>138</v>
      </c>
      <c r="X2" s="36" t="s">
        <v>140</v>
      </c>
      <c r="Y2" s="36" t="s">
        <v>142</v>
      </c>
      <c r="Z2" s="36" t="s">
        <v>144</v>
      </c>
      <c r="AA2" s="36" t="s">
        <v>148</v>
      </c>
      <c r="AB2" s="144" t="s">
        <v>448</v>
      </c>
      <c r="AC2" s="181" t="s">
        <v>449</v>
      </c>
      <c r="AD2" s="116"/>
      <c r="AE2" s="116"/>
      <c r="AF2" s="116"/>
      <c r="AG2" s="116"/>
      <c r="AH2" s="116"/>
      <c r="AI2" s="116"/>
      <c r="AJ2" s="116"/>
      <c r="AK2" s="116"/>
      <c r="AL2" s="116"/>
      <c r="AM2" s="36" t="s">
        <v>403</v>
      </c>
    </row>
    <row r="3" spans="1:39" s="36" customFormat="1">
      <c r="A3" s="186" t="s">
        <v>450</v>
      </c>
      <c r="B3" s="501">
        <v>0.17</v>
      </c>
      <c r="C3" s="501">
        <v>0.23</v>
      </c>
      <c r="D3" s="501">
        <v>0.17</v>
      </c>
      <c r="E3" s="501">
        <v>0.23</v>
      </c>
      <c r="F3" s="501">
        <v>0.23</v>
      </c>
      <c r="G3" s="501">
        <v>0.23</v>
      </c>
      <c r="H3" s="501">
        <v>0.23</v>
      </c>
      <c r="I3" s="501">
        <v>0.23</v>
      </c>
      <c r="J3" s="501">
        <v>0.78</v>
      </c>
      <c r="K3" s="501">
        <v>0.26</v>
      </c>
      <c r="L3" s="501">
        <v>0.09</v>
      </c>
      <c r="M3" s="501">
        <v>0.33</v>
      </c>
      <c r="N3" s="501">
        <v>0.22</v>
      </c>
      <c r="O3" s="501">
        <v>0.26</v>
      </c>
      <c r="P3" s="501">
        <v>0.26</v>
      </c>
      <c r="Q3" s="501">
        <v>0.44</v>
      </c>
      <c r="R3" s="501">
        <v>0</v>
      </c>
      <c r="S3" s="501">
        <v>0.2</v>
      </c>
      <c r="T3" s="501">
        <v>0.2</v>
      </c>
      <c r="U3" s="501">
        <v>0.2</v>
      </c>
      <c r="V3" s="501">
        <v>0.09</v>
      </c>
      <c r="W3" s="501">
        <v>0.2</v>
      </c>
      <c r="X3" s="501">
        <v>0.26</v>
      </c>
      <c r="Y3" s="501">
        <v>0.25</v>
      </c>
      <c r="Z3" s="501">
        <v>0.38</v>
      </c>
      <c r="AA3" s="501">
        <v>0.2</v>
      </c>
      <c r="AB3" s="501">
        <v>0.4</v>
      </c>
      <c r="AC3" s="501">
        <v>0.37</v>
      </c>
      <c r="AD3" s="592" t="s">
        <v>451</v>
      </c>
      <c r="AE3" s="592" t="s">
        <v>451</v>
      </c>
      <c r="AF3" s="592" t="s">
        <v>451</v>
      </c>
      <c r="AG3" s="592" t="s">
        <v>451</v>
      </c>
      <c r="AH3" s="592" t="s">
        <v>451</v>
      </c>
      <c r="AI3" s="592" t="s">
        <v>451</v>
      </c>
      <c r="AJ3" s="592" t="s">
        <v>451</v>
      </c>
      <c r="AK3" s="592" t="s">
        <v>451</v>
      </c>
      <c r="AL3" s="592" t="s">
        <v>451</v>
      </c>
      <c r="AM3" s="593"/>
    </row>
    <row r="4" spans="1:39" s="36" customFormat="1">
      <c r="A4" s="186" t="s">
        <v>452</v>
      </c>
      <c r="B4" s="186">
        <v>1993</v>
      </c>
      <c r="C4" s="186">
        <v>1993</v>
      </c>
      <c r="D4" s="186">
        <v>1977</v>
      </c>
      <c r="E4" s="186">
        <v>1992</v>
      </c>
      <c r="F4" s="186">
        <v>1999</v>
      </c>
      <c r="G4" s="186">
        <v>1999</v>
      </c>
      <c r="H4" s="186">
        <v>1992</v>
      </c>
      <c r="I4" s="186">
        <v>1999</v>
      </c>
      <c r="J4" s="186">
        <v>1998</v>
      </c>
      <c r="K4" s="186">
        <v>1997</v>
      </c>
      <c r="L4" s="186">
        <v>2001</v>
      </c>
      <c r="M4" s="186">
        <v>1995</v>
      </c>
      <c r="N4" s="186">
        <v>1997</v>
      </c>
      <c r="O4" s="186">
        <v>1991</v>
      </c>
      <c r="P4" s="186">
        <v>1991</v>
      </c>
      <c r="Q4" s="186">
        <v>1991</v>
      </c>
      <c r="R4" s="186">
        <v>2003</v>
      </c>
      <c r="S4" s="186">
        <v>1987</v>
      </c>
      <c r="T4" s="186">
        <v>1992</v>
      </c>
      <c r="U4" s="186">
        <v>1987</v>
      </c>
      <c r="V4" s="186">
        <v>1984</v>
      </c>
      <c r="W4" s="186">
        <v>2001</v>
      </c>
      <c r="X4" s="186">
        <v>1972</v>
      </c>
      <c r="Y4" s="186">
        <v>1972</v>
      </c>
      <c r="Z4" s="186">
        <v>1972</v>
      </c>
      <c r="AA4" s="186">
        <v>1992</v>
      </c>
      <c r="AB4" s="502">
        <v>2004</v>
      </c>
      <c r="AC4" s="502">
        <v>1997</v>
      </c>
      <c r="AD4" s="502" t="s">
        <v>451</v>
      </c>
      <c r="AE4" s="502" t="s">
        <v>451</v>
      </c>
      <c r="AF4" s="502" t="s">
        <v>451</v>
      </c>
      <c r="AG4" s="502" t="s">
        <v>451</v>
      </c>
      <c r="AH4" s="502" t="s">
        <v>451</v>
      </c>
      <c r="AI4" s="502" t="s">
        <v>451</v>
      </c>
      <c r="AJ4" s="502" t="s">
        <v>451</v>
      </c>
      <c r="AK4" s="502" t="s">
        <v>451</v>
      </c>
      <c r="AL4" s="502" t="s">
        <v>451</v>
      </c>
      <c r="AM4" s="186"/>
    </row>
    <row r="5" spans="1:39" s="36" customFormat="1">
      <c r="AB5" s="181"/>
      <c r="AC5" s="181"/>
      <c r="AD5" s="181"/>
      <c r="AE5" s="181"/>
      <c r="AF5" s="181"/>
      <c r="AG5" s="181"/>
      <c r="AH5" s="181"/>
      <c r="AI5" s="181"/>
      <c r="AJ5" s="181"/>
      <c r="AK5" s="181"/>
      <c r="AL5" s="181"/>
    </row>
    <row r="6" spans="1:39" s="36" customFormat="1">
      <c r="I6" s="301"/>
      <c r="J6" s="189" t="s">
        <v>453</v>
      </c>
      <c r="K6" s="189"/>
      <c r="L6" s="189"/>
      <c r="M6" s="189"/>
      <c r="N6" s="189"/>
      <c r="O6" s="302"/>
      <c r="P6" s="189" t="s">
        <v>454</v>
      </c>
      <c r="Q6" s="189"/>
      <c r="R6" s="189"/>
    </row>
    <row r="7" spans="1:39" s="36" customFormat="1"/>
    <row r="8" spans="1:39">
      <c r="A8" s="58">
        <v>1972</v>
      </c>
      <c r="B8" s="303">
        <f t="shared" ref="B8:AC8" si="0">IF(B$2="-","",(IF(B68="","",IF(B$4&lt;$A8,B68,(B68-B$3)/(1+B$3%)))))</f>
        <v>16.701607267644999</v>
      </c>
      <c r="C8" s="303">
        <f t="shared" si="0"/>
        <v>17.908809737603512</v>
      </c>
      <c r="D8" s="303">
        <f t="shared" si="0"/>
        <v>18.798043326345212</v>
      </c>
      <c r="E8" s="303">
        <f t="shared" si="0"/>
        <v>21.111443679537064</v>
      </c>
      <c r="F8" s="303">
        <f t="shared" si="0"/>
        <v>8.8496458146263581</v>
      </c>
      <c r="G8" s="303">
        <f t="shared" si="0"/>
        <v>6.9440287339120026</v>
      </c>
      <c r="H8" s="303">
        <f t="shared" si="0"/>
        <v>7.1136386311483593</v>
      </c>
      <c r="I8" s="303">
        <f t="shared" si="0"/>
        <v>0.1596328444577472</v>
      </c>
      <c r="J8" s="303">
        <f t="shared" si="0"/>
        <v>-0.97241516173844011</v>
      </c>
      <c r="K8" s="303">
        <f t="shared" si="0"/>
        <v>7.7199281867145428</v>
      </c>
      <c r="L8" s="303">
        <f t="shared" si="0"/>
        <v>36.177440303726641</v>
      </c>
      <c r="M8" s="303">
        <f t="shared" si="0"/>
        <v>49.705970298016545</v>
      </c>
      <c r="N8" s="303">
        <f t="shared" si="0"/>
        <v>38.081221313111158</v>
      </c>
      <c r="O8" s="303">
        <f t="shared" si="0"/>
        <v>107.01176939956115</v>
      </c>
      <c r="P8" s="303">
        <f t="shared" si="0"/>
        <v>15.300219429483343</v>
      </c>
      <c r="Q8" s="303">
        <f t="shared" si="0"/>
        <v>36.350059737156521</v>
      </c>
      <c r="R8" s="303">
        <f t="shared" si="0"/>
        <v>38.69</v>
      </c>
      <c r="S8" s="303">
        <f t="shared" si="0"/>
        <v>-2.9495947923513608</v>
      </c>
      <c r="T8" s="303">
        <f t="shared" si="0"/>
        <v>3.0746145672198071</v>
      </c>
      <c r="U8" s="303">
        <f t="shared" si="0"/>
        <v>5.4890219560878242</v>
      </c>
      <c r="V8" s="303">
        <f t="shared" si="0"/>
        <v>3.7066640023978423</v>
      </c>
      <c r="W8" s="303">
        <f t="shared" si="0"/>
        <v>-2.5948103792415171</v>
      </c>
      <c r="X8" s="303">
        <f t="shared" si="0"/>
        <v>10.702174346698584</v>
      </c>
      <c r="Y8" s="303">
        <f t="shared" si="0"/>
        <v>9.4763092269326688</v>
      </c>
      <c r="Z8" s="303">
        <f t="shared" si="0"/>
        <v>9.782825263996811</v>
      </c>
      <c r="AA8" s="303">
        <f t="shared" si="0"/>
        <v>3.6926147704590817</v>
      </c>
      <c r="AB8" s="303">
        <f t="shared" si="0"/>
        <v>48.659094963429872</v>
      </c>
      <c r="AC8" s="303">
        <f t="shared" si="0"/>
        <v>63.642946099432116</v>
      </c>
      <c r="AD8" s="303" t="str">
        <f t="shared" ref="AD8:AL8" si="1">IF(AD$2="-",0,(IF(AD68="","",IF(AD$4&lt;$A8,AD68,(AD68-AD$3)/(1+AD$3%)))))</f>
        <v/>
      </c>
      <c r="AE8" s="303" t="str">
        <f t="shared" si="1"/>
        <v/>
      </c>
      <c r="AF8" s="303" t="str">
        <f t="shared" si="1"/>
        <v/>
      </c>
      <c r="AG8" s="303" t="str">
        <f t="shared" si="1"/>
        <v/>
      </c>
      <c r="AH8" s="303" t="str">
        <f t="shared" si="1"/>
        <v/>
      </c>
      <c r="AI8" s="303" t="str">
        <f t="shared" si="1"/>
        <v/>
      </c>
      <c r="AJ8" s="303" t="str">
        <f t="shared" si="1"/>
        <v/>
      </c>
      <c r="AK8" s="303" t="str">
        <f t="shared" si="1"/>
        <v/>
      </c>
      <c r="AL8" s="303" t="str">
        <f t="shared" si="1"/>
        <v/>
      </c>
      <c r="AM8" s="303">
        <f t="shared" ref="AM8:AM47" si="2">IF(AM68&lt;&gt;"",AM68,"")</f>
        <v>3.4063260340632562</v>
      </c>
    </row>
    <row r="9" spans="1:39">
      <c r="A9" s="58">
        <f t="shared" ref="A9:A52" si="3">A8+1</f>
        <v>1973</v>
      </c>
      <c r="B9" s="303">
        <f t="shared" ref="B9:AC9" si="4">IF(B$2="-","",(IF(B69="","",IF(B$4&lt;$A9,B69,(B69-B$3)/(1+B$3%)))))</f>
        <v>-18.238993710691826</v>
      </c>
      <c r="C9" s="303">
        <f t="shared" si="4"/>
        <v>-4.2302703781303004</v>
      </c>
      <c r="D9" s="303">
        <f t="shared" si="4"/>
        <v>-14.844763901367674</v>
      </c>
      <c r="E9" s="303">
        <f t="shared" si="4"/>
        <v>-22.478299910206527</v>
      </c>
      <c r="F9" s="303">
        <f t="shared" si="4"/>
        <v>-26.66866207722239</v>
      </c>
      <c r="G9" s="303">
        <f t="shared" si="4"/>
        <v>-27.556619774518609</v>
      </c>
      <c r="H9" s="303">
        <f t="shared" si="4"/>
        <v>-33.07392996108949</v>
      </c>
      <c r="I9" s="303">
        <f t="shared" si="4"/>
        <v>-45.605108251022642</v>
      </c>
      <c r="J9" s="303">
        <f t="shared" si="4"/>
        <v>-42.151220480254018</v>
      </c>
      <c r="K9" s="303">
        <f t="shared" si="4"/>
        <v>-15.719130261320567</v>
      </c>
      <c r="L9" s="303">
        <f t="shared" si="4"/>
        <v>-14.976521130982118</v>
      </c>
      <c r="M9" s="303">
        <f t="shared" si="4"/>
        <v>-14.083524369580385</v>
      </c>
      <c r="N9" s="303">
        <f t="shared" si="4"/>
        <v>-14.922171223308721</v>
      </c>
      <c r="O9" s="303">
        <f t="shared" si="4"/>
        <v>-21.154997007779773</v>
      </c>
      <c r="P9" s="303">
        <f t="shared" si="4"/>
        <v>-7.9393576700578503</v>
      </c>
      <c r="Q9" s="303">
        <f t="shared" si="4"/>
        <v>-14.954201513341298</v>
      </c>
      <c r="R9" s="303">
        <f t="shared" si="4"/>
        <v>68.400000000000006</v>
      </c>
      <c r="S9" s="303">
        <f t="shared" si="4"/>
        <v>-0.97707459298491428</v>
      </c>
      <c r="T9" s="303">
        <f t="shared" si="4"/>
        <v>3.7388518936181594</v>
      </c>
      <c r="U9" s="303">
        <f t="shared" si="4"/>
        <v>3.1936127744510974</v>
      </c>
      <c r="V9" s="303">
        <f t="shared" si="4"/>
        <v>6.8038765111399755</v>
      </c>
      <c r="W9" s="303">
        <f t="shared" si="4"/>
        <v>-3.992015968063872</v>
      </c>
      <c r="X9" s="303">
        <f t="shared" si="4"/>
        <v>-11.83</v>
      </c>
      <c r="Y9" s="303">
        <f t="shared" si="4"/>
        <v>-3.49</v>
      </c>
      <c r="Z9" s="303">
        <f t="shared" si="4"/>
        <v>-25</v>
      </c>
      <c r="AA9" s="303">
        <f t="shared" si="4"/>
        <v>5.8882235528942113</v>
      </c>
      <c r="AB9" s="303">
        <f t="shared" si="4"/>
        <v>71.238124425375418</v>
      </c>
      <c r="AC9" s="303">
        <f t="shared" si="4"/>
        <v>-14.006057586928364</v>
      </c>
      <c r="AD9" s="303" t="str">
        <f t="shared" ref="AD9:AL9" si="5">IF(AD$2="-",0,(IF(AD69="","",IF(AD$4&lt;$A9,AD69,(AD69-AD$3)/(1+AD$3%)))))</f>
        <v/>
      </c>
      <c r="AE9" s="303" t="str">
        <f t="shared" si="5"/>
        <v/>
      </c>
      <c r="AF9" s="303" t="str">
        <f t="shared" si="5"/>
        <v/>
      </c>
      <c r="AG9" s="303" t="str">
        <f t="shared" si="5"/>
        <v/>
      </c>
      <c r="AH9" s="303" t="str">
        <f t="shared" si="5"/>
        <v/>
      </c>
      <c r="AI9" s="303" t="str">
        <f t="shared" si="5"/>
        <v/>
      </c>
      <c r="AJ9" s="303" t="str">
        <f t="shared" si="5"/>
        <v/>
      </c>
      <c r="AK9" s="303" t="str">
        <f t="shared" si="5"/>
        <v/>
      </c>
      <c r="AL9" s="303" t="str">
        <f t="shared" si="5"/>
        <v/>
      </c>
      <c r="AM9" s="303">
        <f t="shared" si="2"/>
        <v>8.7058823529411846</v>
      </c>
    </row>
    <row r="10" spans="1:39">
      <c r="A10" s="58">
        <f t="shared" si="3"/>
        <v>1974</v>
      </c>
      <c r="B10" s="303">
        <f t="shared" ref="B10:AC10" si="6">IF(B$2="-","",(IF(B70="","",IF(B$4&lt;$A10,B70,(B70-B$3)/(1+B$3%)))))</f>
        <v>-27.323549965059399</v>
      </c>
      <c r="C10" s="303">
        <f t="shared" si="6"/>
        <v>-23.39618876583857</v>
      </c>
      <c r="D10" s="303">
        <f t="shared" si="6"/>
        <v>-26.624737945492662</v>
      </c>
      <c r="E10" s="303">
        <f t="shared" si="6"/>
        <v>-29.362466327446874</v>
      </c>
      <c r="F10" s="303">
        <f t="shared" si="6"/>
        <v>-25.371645216003195</v>
      </c>
      <c r="G10" s="303">
        <f t="shared" si="6"/>
        <v>-18.726928065449467</v>
      </c>
      <c r="H10" s="303">
        <f t="shared" si="6"/>
        <v>-26.1398782799561</v>
      </c>
      <c r="I10" s="303">
        <f t="shared" si="6"/>
        <v>-32.754664272173997</v>
      </c>
      <c r="J10" s="303">
        <f t="shared" si="6"/>
        <v>-29.450287755507045</v>
      </c>
      <c r="K10" s="303">
        <f t="shared" si="6"/>
        <v>-21.603830041891086</v>
      </c>
      <c r="L10" s="303">
        <f t="shared" si="6"/>
        <v>-23.269057847936857</v>
      </c>
      <c r="M10" s="303">
        <f t="shared" si="6"/>
        <v>-25.545699192664205</v>
      </c>
      <c r="N10" s="303">
        <f t="shared" si="6"/>
        <v>-23.682897625224506</v>
      </c>
      <c r="O10" s="303">
        <f t="shared" si="6"/>
        <v>-21.14502294035508</v>
      </c>
      <c r="P10" s="303">
        <f t="shared" si="6"/>
        <v>-23.000199481348499</v>
      </c>
      <c r="Q10" s="303">
        <f t="shared" si="6"/>
        <v>-22.869374751095183</v>
      </c>
      <c r="R10" s="303">
        <f t="shared" si="6"/>
        <v>4.0999999999999996</v>
      </c>
      <c r="S10" s="303">
        <f t="shared" si="6"/>
        <v>2.864031736294812</v>
      </c>
      <c r="T10" s="303">
        <f t="shared" si="6"/>
        <v>4.8385265561246955</v>
      </c>
      <c r="U10" s="303">
        <f t="shared" si="6"/>
        <v>6.7864271457085827</v>
      </c>
      <c r="V10" s="303">
        <f t="shared" si="6"/>
        <v>7.9028874013387957</v>
      </c>
      <c r="W10" s="303">
        <f t="shared" si="6"/>
        <v>4.9900199600798407</v>
      </c>
      <c r="X10" s="303">
        <f t="shared" si="6"/>
        <v>-17.73</v>
      </c>
      <c r="Y10" s="303">
        <f t="shared" si="6"/>
        <v>-6.43</v>
      </c>
      <c r="Z10" s="303">
        <f t="shared" si="6"/>
        <v>-16.8</v>
      </c>
      <c r="AA10" s="303">
        <f t="shared" si="6"/>
        <v>8.8822355289421164</v>
      </c>
      <c r="AB10" s="303">
        <f t="shared" si="6"/>
        <v>72.018859684305269</v>
      </c>
      <c r="AC10" s="303">
        <f t="shared" si="6"/>
        <v>-28.892706984158611</v>
      </c>
      <c r="AD10" s="303" t="str">
        <f t="shared" ref="AD10:AL10" si="7">IF(AD$2="-",0,(IF(AD70="","",IF(AD$4&lt;$A10,AD70,(AD70-AD$3)/(1+AD$3%)))))</f>
        <v/>
      </c>
      <c r="AE10" s="303" t="str">
        <f t="shared" si="7"/>
        <v/>
      </c>
      <c r="AF10" s="303" t="str">
        <f t="shared" si="7"/>
        <v/>
      </c>
      <c r="AG10" s="303" t="str">
        <f t="shared" si="7"/>
        <v/>
      </c>
      <c r="AH10" s="303" t="str">
        <f t="shared" si="7"/>
        <v/>
      </c>
      <c r="AI10" s="303" t="str">
        <f t="shared" si="7"/>
        <v/>
      </c>
      <c r="AJ10" s="303" t="str">
        <f t="shared" si="7"/>
        <v/>
      </c>
      <c r="AK10" s="303" t="str">
        <f t="shared" si="7"/>
        <v/>
      </c>
      <c r="AL10" s="303" t="str">
        <f t="shared" si="7"/>
        <v/>
      </c>
      <c r="AM10" s="303">
        <f t="shared" si="2"/>
        <v>12.337662337662337</v>
      </c>
    </row>
    <row r="11" spans="1:39">
      <c r="A11" s="58">
        <f t="shared" si="3"/>
        <v>1975</v>
      </c>
      <c r="B11" s="303">
        <f t="shared" ref="B11:AC11" si="8">IF(B$2="-","",(IF(B71="","",IF(B$4&lt;$A11,B71,(B71-B$3)/(1+B$3%)))))</f>
        <v>38.464610162723368</v>
      </c>
      <c r="C11" s="303">
        <f t="shared" si="8"/>
        <v>55.143170707373045</v>
      </c>
      <c r="D11" s="303">
        <f t="shared" si="8"/>
        <v>36.967155835080362</v>
      </c>
      <c r="E11" s="303">
        <f t="shared" si="8"/>
        <v>33.902025341714065</v>
      </c>
      <c r="F11" s="303">
        <f t="shared" si="8"/>
        <v>57.038810735308793</v>
      </c>
      <c r="G11" s="303">
        <f t="shared" si="8"/>
        <v>57.926768432605016</v>
      </c>
      <c r="H11" s="303">
        <f t="shared" si="8"/>
        <v>57.597525690910913</v>
      </c>
      <c r="I11" s="303">
        <f t="shared" si="8"/>
        <v>61.408759852339628</v>
      </c>
      <c r="J11" s="303">
        <f t="shared" si="8"/>
        <v>71.065687636435797</v>
      </c>
      <c r="K11" s="303">
        <f t="shared" si="8"/>
        <v>18.990624376620787</v>
      </c>
      <c r="L11" s="303">
        <f t="shared" si="8"/>
        <v>35.278249575382155</v>
      </c>
      <c r="M11" s="303">
        <f t="shared" si="8"/>
        <v>43.725705172929331</v>
      </c>
      <c r="N11" s="303">
        <f t="shared" si="8"/>
        <v>36.419876272201158</v>
      </c>
      <c r="O11" s="303">
        <f t="shared" si="8"/>
        <v>26.391382405745063</v>
      </c>
      <c r="P11" s="303">
        <f t="shared" si="8"/>
        <v>43.526830241372437</v>
      </c>
      <c r="Q11" s="303">
        <f t="shared" si="8"/>
        <v>38.381123058542421</v>
      </c>
      <c r="R11" s="303">
        <f t="shared" si="8"/>
        <v>5.1100000000000003</v>
      </c>
      <c r="S11" s="303">
        <f t="shared" si="8"/>
        <v>6.2831606106026916</v>
      </c>
      <c r="T11" s="303">
        <f t="shared" si="8"/>
        <v>6.9982801163783721</v>
      </c>
      <c r="U11" s="303">
        <f t="shared" si="8"/>
        <v>8.0838323353293422</v>
      </c>
      <c r="V11" s="303">
        <f t="shared" si="8"/>
        <v>5.7048656209411535</v>
      </c>
      <c r="W11" s="303">
        <f t="shared" si="8"/>
        <v>16.167664670658681</v>
      </c>
      <c r="X11" s="303">
        <f t="shared" si="8"/>
        <v>25.18</v>
      </c>
      <c r="Y11" s="303">
        <f t="shared" si="8"/>
        <v>17.46</v>
      </c>
      <c r="Z11" s="303">
        <f t="shared" si="8"/>
        <v>54.5</v>
      </c>
      <c r="AA11" s="303">
        <f t="shared" si="8"/>
        <v>7.6846307385229542</v>
      </c>
      <c r="AB11" s="303">
        <f t="shared" si="8"/>
        <v>-27.621121730693805</v>
      </c>
      <c r="AC11" s="303">
        <f t="shared" si="8"/>
        <v>49.30756202052406</v>
      </c>
      <c r="AD11" s="303" t="str">
        <f t="shared" ref="AD11:AL11" si="9">IF(AD$2="-",0,(IF(AD71="","",IF(AD$4&lt;$A11,AD71,(AD71-AD$3)/(1+AD$3%)))))</f>
        <v/>
      </c>
      <c r="AE11" s="303" t="str">
        <f t="shared" si="9"/>
        <v/>
      </c>
      <c r="AF11" s="303" t="str">
        <f t="shared" si="9"/>
        <v/>
      </c>
      <c r="AG11" s="303" t="str">
        <f t="shared" si="9"/>
        <v/>
      </c>
      <c r="AH11" s="303" t="str">
        <f t="shared" si="9"/>
        <v/>
      </c>
      <c r="AI11" s="303" t="str">
        <f t="shared" si="9"/>
        <v/>
      </c>
      <c r="AJ11" s="303" t="str">
        <f t="shared" si="9"/>
        <v/>
      </c>
      <c r="AK11" s="303" t="str">
        <f t="shared" si="9"/>
        <v/>
      </c>
      <c r="AL11" s="303" t="str">
        <f t="shared" si="9"/>
        <v/>
      </c>
      <c r="AM11" s="303">
        <f t="shared" si="2"/>
        <v>6.9364161849710948</v>
      </c>
    </row>
    <row r="12" spans="1:39">
      <c r="A12" s="58">
        <f t="shared" si="3"/>
        <v>1976</v>
      </c>
      <c r="B12" s="303">
        <f t="shared" ref="B12:AC12" si="10">IF(B$2="-","",(IF(B72="","",IF(B$4&lt;$A12,B72,(B72-B$3)/(1+B$3%)))))</f>
        <v>26.484975541579313</v>
      </c>
      <c r="C12" s="303">
        <f t="shared" si="10"/>
        <v>44.148458545345704</v>
      </c>
      <c r="D12" s="303">
        <f t="shared" si="10"/>
        <v>23.689727463312366</v>
      </c>
      <c r="E12" s="303">
        <f t="shared" si="10"/>
        <v>17.030829093085902</v>
      </c>
      <c r="F12" s="303">
        <f t="shared" si="10"/>
        <v>40.077821011673151</v>
      </c>
      <c r="G12" s="303">
        <f t="shared" si="10"/>
        <v>60.251421730020951</v>
      </c>
      <c r="H12" s="303">
        <f t="shared" si="10"/>
        <v>46.981941534470721</v>
      </c>
      <c r="I12" s="303">
        <f t="shared" si="10"/>
        <v>38.012571086501048</v>
      </c>
      <c r="J12" s="303">
        <f t="shared" si="10"/>
        <v>54.494939472117487</v>
      </c>
      <c r="K12" s="303">
        <f t="shared" si="10"/>
        <v>47.217235188509882</v>
      </c>
      <c r="L12" s="303">
        <f t="shared" si="10"/>
        <v>2.40783295034469</v>
      </c>
      <c r="M12" s="303">
        <f t="shared" si="10"/>
        <v>6.9470746536429777</v>
      </c>
      <c r="N12" s="303">
        <f t="shared" si="10"/>
        <v>2.9934144881261222</v>
      </c>
      <c r="O12" s="303">
        <f t="shared" si="10"/>
        <v>21.324556153999602</v>
      </c>
      <c r="P12" s="303">
        <f t="shared" si="10"/>
        <v>-6.642728904847397</v>
      </c>
      <c r="Q12" s="303">
        <f t="shared" si="10"/>
        <v>2.8773397052966949</v>
      </c>
      <c r="R12" s="303">
        <f t="shared" si="10"/>
        <v>-5.55</v>
      </c>
      <c r="S12" s="303">
        <f t="shared" si="10"/>
        <v>13.645072104891241</v>
      </c>
      <c r="T12" s="303">
        <f t="shared" si="10"/>
        <v>10.771135165825145</v>
      </c>
      <c r="U12" s="303">
        <f t="shared" si="10"/>
        <v>11.477045908183634</v>
      </c>
      <c r="V12" s="303">
        <f t="shared" si="10"/>
        <v>5.0054950544509946</v>
      </c>
      <c r="W12" s="303">
        <f t="shared" si="10"/>
        <v>-0.29940119760479045</v>
      </c>
      <c r="X12" s="303">
        <f t="shared" si="10"/>
        <v>23.36</v>
      </c>
      <c r="Y12" s="303">
        <f t="shared" si="10"/>
        <v>23.28</v>
      </c>
      <c r="Z12" s="303">
        <f t="shared" si="10"/>
        <v>46.4</v>
      </c>
      <c r="AA12" s="303">
        <f t="shared" si="10"/>
        <v>8.6826347305389238</v>
      </c>
      <c r="AB12" s="303">
        <f t="shared" si="10"/>
        <v>-4.4818941701997712</v>
      </c>
      <c r="AC12" s="303">
        <f t="shared" si="10"/>
        <v>11.049118262429014</v>
      </c>
      <c r="AD12" s="303" t="str">
        <f t="shared" ref="AD12:AL12" si="11">IF(AD$2="-",0,(IF(AD72="","",IF(AD$4&lt;$A12,AD72,(AD72-AD$3)/(1+AD$3%)))))</f>
        <v/>
      </c>
      <c r="AE12" s="303" t="str">
        <f t="shared" si="11"/>
        <v/>
      </c>
      <c r="AF12" s="303" t="str">
        <f t="shared" si="11"/>
        <v/>
      </c>
      <c r="AG12" s="303" t="str">
        <f t="shared" si="11"/>
        <v/>
      </c>
      <c r="AH12" s="303" t="str">
        <f t="shared" si="11"/>
        <v/>
      </c>
      <c r="AI12" s="303" t="str">
        <f t="shared" si="11"/>
        <v/>
      </c>
      <c r="AJ12" s="303" t="str">
        <f t="shared" si="11"/>
        <v/>
      </c>
      <c r="AK12" s="303" t="str">
        <f t="shared" si="11"/>
        <v/>
      </c>
      <c r="AL12" s="303" t="str">
        <f t="shared" si="11"/>
        <v/>
      </c>
      <c r="AM12" s="303">
        <f t="shared" si="2"/>
        <v>4.8648648648648596</v>
      </c>
    </row>
    <row r="13" spans="1:39">
      <c r="A13" s="58">
        <f t="shared" si="3"/>
        <v>1977</v>
      </c>
      <c r="B13" s="303">
        <f t="shared" ref="B13:AC13" si="12">IF(B$2="-","",(IF(B73="","",IF(B$4&lt;$A13,B73,(B73-B$3)/(1+B$3%)))))</f>
        <v>-4.3625836078666271</v>
      </c>
      <c r="C13" s="303">
        <f t="shared" si="12"/>
        <v>1.1174299112042305</v>
      </c>
      <c r="D13" s="303">
        <f t="shared" si="12"/>
        <v>-7.9564739942098424</v>
      </c>
      <c r="E13" s="303">
        <f t="shared" si="12"/>
        <v>-9.3484984535568199</v>
      </c>
      <c r="F13" s="303">
        <f t="shared" si="12"/>
        <v>3.7613488975356679</v>
      </c>
      <c r="G13" s="303">
        <f t="shared" si="12"/>
        <v>22.91729023246533</v>
      </c>
      <c r="H13" s="303">
        <f t="shared" si="12"/>
        <v>17.908809737603512</v>
      </c>
      <c r="I13" s="303">
        <f t="shared" si="12"/>
        <v>18.477501745984238</v>
      </c>
      <c r="J13" s="303">
        <f t="shared" si="12"/>
        <v>22.24647747568962</v>
      </c>
      <c r="K13" s="303">
        <f t="shared" si="12"/>
        <v>22.082585278276479</v>
      </c>
      <c r="L13" s="303">
        <f t="shared" si="12"/>
        <v>17.99380557498252</v>
      </c>
      <c r="M13" s="303">
        <f t="shared" si="12"/>
        <v>50.104654639689024</v>
      </c>
      <c r="N13" s="303">
        <f t="shared" si="12"/>
        <v>22.705048892436643</v>
      </c>
      <c r="O13" s="303">
        <f t="shared" si="12"/>
        <v>13.395172551366448</v>
      </c>
      <c r="P13" s="303">
        <f t="shared" si="12"/>
        <v>23.578695391980848</v>
      </c>
      <c r="Q13" s="303">
        <f t="shared" si="12"/>
        <v>29.420549581839904</v>
      </c>
      <c r="R13" s="303">
        <f t="shared" si="12"/>
        <v>3.05</v>
      </c>
      <c r="S13" s="303">
        <f t="shared" si="12"/>
        <v>0.63628730833342284</v>
      </c>
      <c r="T13" s="303">
        <f t="shared" si="12"/>
        <v>2.8351778036121869</v>
      </c>
      <c r="U13" s="303">
        <f t="shared" si="12"/>
        <v>2.7944111776447103</v>
      </c>
      <c r="V13" s="303">
        <f t="shared" si="12"/>
        <v>5.0054950544509946</v>
      </c>
      <c r="W13" s="303">
        <f t="shared" si="12"/>
        <v>7.7844311377245505</v>
      </c>
      <c r="X13" s="303">
        <f t="shared" si="12"/>
        <v>-4.38</v>
      </c>
      <c r="Y13" s="303">
        <f t="shared" si="12"/>
        <v>4.2699999999999996</v>
      </c>
      <c r="Z13" s="303">
        <f t="shared" si="12"/>
        <v>1</v>
      </c>
      <c r="AA13" s="303">
        <f t="shared" si="12"/>
        <v>3.4930139720558881</v>
      </c>
      <c r="AB13" s="303">
        <f t="shared" si="12"/>
        <v>22.150801996475057</v>
      </c>
      <c r="AC13" s="303">
        <f t="shared" si="12"/>
        <v>73.438278370030872</v>
      </c>
      <c r="AD13" s="303" t="str">
        <f t="shared" ref="AD13:AL13" si="13">IF(AD$2="-",0,(IF(AD73="","",IF(AD$4&lt;$A13,AD73,(AD73-AD$3)/(1+AD$3%)))))</f>
        <v/>
      </c>
      <c r="AE13" s="303" t="str">
        <f t="shared" si="13"/>
        <v/>
      </c>
      <c r="AF13" s="303" t="str">
        <f t="shared" si="13"/>
        <v/>
      </c>
      <c r="AG13" s="303" t="str">
        <f t="shared" si="13"/>
        <v/>
      </c>
      <c r="AH13" s="303" t="str">
        <f t="shared" si="13"/>
        <v/>
      </c>
      <c r="AI13" s="303" t="str">
        <f t="shared" si="13"/>
        <v/>
      </c>
      <c r="AJ13" s="303" t="str">
        <f t="shared" si="13"/>
        <v/>
      </c>
      <c r="AK13" s="303" t="str">
        <f t="shared" si="13"/>
        <v/>
      </c>
      <c r="AL13" s="303" t="str">
        <f t="shared" si="13"/>
        <v/>
      </c>
      <c r="AM13" s="303">
        <f t="shared" si="2"/>
        <v>6.7010309278350499</v>
      </c>
    </row>
    <row r="14" spans="1:39">
      <c r="A14" s="58">
        <f t="shared" si="3"/>
        <v>1978</v>
      </c>
      <c r="B14" s="303">
        <f t="shared" ref="B14:AC14" si="14">IF(B$2="-","",(IF(B74="","",IF(B$4&lt;$A14,B74,(B74-B$3)/(1+B$3%)))))</f>
        <v>7.3175601477488268</v>
      </c>
      <c r="C14" s="303">
        <f t="shared" si="14"/>
        <v>3.5318766836276567</v>
      </c>
      <c r="D14" s="303">
        <f t="shared" si="14"/>
        <v>5.9</v>
      </c>
      <c r="E14" s="303">
        <f t="shared" si="14"/>
        <v>6.8043499950114734</v>
      </c>
      <c r="F14" s="303">
        <f t="shared" si="14"/>
        <v>10.645515314776015</v>
      </c>
      <c r="G14" s="303">
        <f t="shared" si="14"/>
        <v>21.799860321261097</v>
      </c>
      <c r="H14" s="303">
        <f t="shared" si="14"/>
        <v>20.662476304499652</v>
      </c>
      <c r="I14" s="303">
        <f t="shared" si="14"/>
        <v>17.499750573680533</v>
      </c>
      <c r="J14" s="303">
        <f t="shared" si="14"/>
        <v>27.406231395118077</v>
      </c>
      <c r="K14" s="303">
        <f t="shared" si="14"/>
        <v>10.013963694394576</v>
      </c>
      <c r="L14" s="303">
        <f t="shared" si="14"/>
        <v>32.480767309421523</v>
      </c>
      <c r="M14" s="303">
        <f t="shared" si="14"/>
        <v>53.094787202232631</v>
      </c>
      <c r="N14" s="303">
        <f t="shared" si="14"/>
        <v>35.452005587707049</v>
      </c>
      <c r="O14" s="303">
        <f t="shared" si="14"/>
        <v>48.384201077199293</v>
      </c>
      <c r="P14" s="303">
        <f t="shared" si="14"/>
        <v>23.977658088968681</v>
      </c>
      <c r="Q14" s="303">
        <f t="shared" si="14"/>
        <v>42.045001991238557</v>
      </c>
      <c r="R14" s="303">
        <f t="shared" si="14"/>
        <v>26.37</v>
      </c>
      <c r="S14" s="303">
        <f t="shared" si="14"/>
        <v>-0.31021369670267662</v>
      </c>
      <c r="T14" s="303">
        <f t="shared" si="14"/>
        <v>2.0875732817006716</v>
      </c>
      <c r="U14" s="303">
        <f t="shared" si="14"/>
        <v>1.996007984031936</v>
      </c>
      <c r="V14" s="303">
        <f t="shared" si="14"/>
        <v>7.103606753921472</v>
      </c>
      <c r="W14" s="303">
        <f t="shared" si="14"/>
        <v>9.6806387225548907</v>
      </c>
      <c r="X14" s="303">
        <f t="shared" si="14"/>
        <v>5.32</v>
      </c>
      <c r="Y14" s="303">
        <f t="shared" si="14"/>
        <v>3.61</v>
      </c>
      <c r="Z14" s="303">
        <f t="shared" si="14"/>
        <v>8.8000000000000007</v>
      </c>
      <c r="AA14" s="303">
        <f t="shared" si="14"/>
        <v>5.2894211576846306</v>
      </c>
      <c r="AB14" s="303">
        <f t="shared" si="14"/>
        <v>36.465354103440745</v>
      </c>
      <c r="AC14" s="303">
        <f t="shared" si="14"/>
        <v>64.919796752017533</v>
      </c>
      <c r="AD14" s="303" t="str">
        <f t="shared" ref="AD14:AL14" si="15">IF(AD$2="-",0,(IF(AD74="","",IF(AD$4&lt;$A14,AD74,(AD74-AD$3)/(1+AD$3%)))))</f>
        <v/>
      </c>
      <c r="AE14" s="303" t="str">
        <f t="shared" si="15"/>
        <v/>
      </c>
      <c r="AF14" s="303" t="str">
        <f t="shared" si="15"/>
        <v/>
      </c>
      <c r="AG14" s="303" t="str">
        <f t="shared" si="15"/>
        <v/>
      </c>
      <c r="AH14" s="303" t="str">
        <f t="shared" si="15"/>
        <v/>
      </c>
      <c r="AI14" s="303" t="str">
        <f t="shared" si="15"/>
        <v/>
      </c>
      <c r="AJ14" s="303" t="str">
        <f t="shared" si="15"/>
        <v/>
      </c>
      <c r="AK14" s="303" t="str">
        <f t="shared" si="15"/>
        <v/>
      </c>
      <c r="AL14" s="303" t="str">
        <f t="shared" si="15"/>
        <v/>
      </c>
      <c r="AM14" s="303">
        <f t="shared" si="2"/>
        <v>9.0177133655394481</v>
      </c>
    </row>
    <row r="15" spans="1:39">
      <c r="A15" s="58">
        <f t="shared" si="3"/>
        <v>1979</v>
      </c>
      <c r="B15" s="303">
        <f t="shared" ref="B15:AC15" si="16">IF(B$2="-","",(IF(B75="","",IF(B$4&lt;$A15,B75,(B75-B$3)/(1+B$3%)))))</f>
        <v>22.791254866726561</v>
      </c>
      <c r="C15" s="303">
        <f t="shared" si="16"/>
        <v>20.223485982240845</v>
      </c>
      <c r="D15" s="303">
        <f t="shared" si="16"/>
        <v>18</v>
      </c>
      <c r="E15" s="303">
        <f t="shared" si="16"/>
        <v>23.615683926967971</v>
      </c>
      <c r="F15" s="303">
        <f t="shared" si="16"/>
        <v>32.195949316571891</v>
      </c>
      <c r="G15" s="303">
        <f t="shared" si="16"/>
        <v>35.089294622368556</v>
      </c>
      <c r="H15" s="303">
        <f t="shared" si="16"/>
        <v>42.77162526189764</v>
      </c>
      <c r="I15" s="303">
        <f t="shared" si="16"/>
        <v>50.453955901426717</v>
      </c>
      <c r="J15" s="303">
        <f t="shared" si="16"/>
        <v>41.09942448898591</v>
      </c>
      <c r="K15" s="303">
        <f t="shared" si="16"/>
        <v>35.547576301615798</v>
      </c>
      <c r="L15" s="303">
        <f t="shared" si="16"/>
        <v>4.7057648116694981</v>
      </c>
      <c r="M15" s="303">
        <f t="shared" si="16"/>
        <v>2.2625336389913286</v>
      </c>
      <c r="N15" s="303">
        <f t="shared" si="16"/>
        <v>4.2406705248453402</v>
      </c>
      <c r="O15" s="303">
        <f t="shared" si="16"/>
        <v>-3.7303012168362262</v>
      </c>
      <c r="P15" s="303">
        <f t="shared" si="16"/>
        <v>14.402553361260722</v>
      </c>
      <c r="Q15" s="303">
        <f t="shared" si="16"/>
        <v>5.5256869772998805</v>
      </c>
      <c r="R15" s="303">
        <f t="shared" si="16"/>
        <v>34.26</v>
      </c>
      <c r="S15" s="303">
        <f t="shared" si="16"/>
        <v>-5.807819546648143</v>
      </c>
      <c r="T15" s="303">
        <f t="shared" si="16"/>
        <v>2.5717107632387983</v>
      </c>
      <c r="U15" s="303">
        <f t="shared" si="16"/>
        <v>6.3872255489021947</v>
      </c>
      <c r="V15" s="303">
        <f t="shared" si="16"/>
        <v>10.300729343590771</v>
      </c>
      <c r="W15" s="303">
        <f t="shared" si="16"/>
        <v>9.780439121756487</v>
      </c>
      <c r="X15" s="303">
        <f t="shared" si="16"/>
        <v>13.54</v>
      </c>
      <c r="Y15" s="303">
        <f t="shared" si="16"/>
        <v>6.2</v>
      </c>
      <c r="Z15" s="303">
        <f t="shared" si="16"/>
        <v>22.6</v>
      </c>
      <c r="AA15" s="303">
        <f t="shared" si="16"/>
        <v>10.179640718562876</v>
      </c>
      <c r="AB15" s="303">
        <f t="shared" si="16"/>
        <v>125.6460882135176</v>
      </c>
      <c r="AC15" s="303">
        <f t="shared" si="16"/>
        <v>-1.1457606854637838</v>
      </c>
      <c r="AD15" s="303" t="str">
        <f t="shared" ref="AD15:AL15" si="17">IF(AD$2="-",0,(IF(AD75="","",IF(AD$4&lt;$A15,AD75,(AD75-AD$3)/(1+AD$3%)))))</f>
        <v/>
      </c>
      <c r="AE15" s="303" t="str">
        <f t="shared" si="17"/>
        <v/>
      </c>
      <c r="AF15" s="303" t="str">
        <f t="shared" si="17"/>
        <v/>
      </c>
      <c r="AG15" s="303" t="str">
        <f t="shared" si="17"/>
        <v/>
      </c>
      <c r="AH15" s="303" t="str">
        <f t="shared" si="17"/>
        <v/>
      </c>
      <c r="AI15" s="303" t="str">
        <f t="shared" si="17"/>
        <v/>
      </c>
      <c r="AJ15" s="303" t="str">
        <f t="shared" si="17"/>
        <v/>
      </c>
      <c r="AK15" s="303" t="str">
        <f t="shared" si="17"/>
        <v/>
      </c>
      <c r="AL15" s="303" t="str">
        <f t="shared" si="17"/>
        <v/>
      </c>
      <c r="AM15" s="303">
        <f t="shared" si="2"/>
        <v>13.293943870014768</v>
      </c>
    </row>
    <row r="16" spans="1:39">
      <c r="A16" s="58">
        <f t="shared" si="3"/>
        <v>1980</v>
      </c>
      <c r="B16" s="303">
        <f t="shared" ref="B16:AC16" si="18">IF(B$2="-","",(IF(B76="","",IF(B$4&lt;$A16,B76,(B76-B$3)/(1+B$3%)))))</f>
        <v>32.474792852151346</v>
      </c>
      <c r="C16" s="303">
        <f t="shared" si="18"/>
        <v>24.114536565898433</v>
      </c>
      <c r="D16" s="303">
        <f t="shared" si="18"/>
        <v>31.9</v>
      </c>
      <c r="E16" s="303">
        <f t="shared" si="18"/>
        <v>39.279656789384418</v>
      </c>
      <c r="F16" s="303">
        <f t="shared" si="18"/>
        <v>32.195949316571891</v>
      </c>
      <c r="G16" s="303">
        <f t="shared" si="18"/>
        <v>25.112241843759353</v>
      </c>
      <c r="H16" s="303">
        <f t="shared" si="18"/>
        <v>38.281951511523502</v>
      </c>
      <c r="I16" s="303">
        <f t="shared" si="18"/>
        <v>51.950513818218099</v>
      </c>
      <c r="J16" s="303">
        <f t="shared" si="18"/>
        <v>29.489978170271879</v>
      </c>
      <c r="K16" s="303">
        <f t="shared" si="18"/>
        <v>24.077398763215637</v>
      </c>
      <c r="L16" s="303">
        <f t="shared" si="18"/>
        <v>22.489759216704968</v>
      </c>
      <c r="M16" s="303">
        <f t="shared" si="18"/>
        <v>26.382936310176419</v>
      </c>
      <c r="N16" s="303">
        <f t="shared" si="18"/>
        <v>22.959489123927362</v>
      </c>
      <c r="O16" s="303">
        <f t="shared" si="18"/>
        <v>36.026331538001202</v>
      </c>
      <c r="P16" s="303">
        <f t="shared" si="18"/>
        <v>14.203072012766807</v>
      </c>
      <c r="Q16" s="303">
        <f t="shared" si="18"/>
        <v>18.22978892871366</v>
      </c>
      <c r="R16" s="303">
        <f t="shared" si="18"/>
        <v>6.12</v>
      </c>
      <c r="S16" s="303">
        <f t="shared" si="18"/>
        <v>-2.5423968619251474</v>
      </c>
      <c r="T16" s="303">
        <f t="shared" si="18"/>
        <v>3.3145455292665074</v>
      </c>
      <c r="U16" s="303">
        <f t="shared" si="18"/>
        <v>6.3872255489021947</v>
      </c>
      <c r="V16" s="303">
        <f t="shared" si="18"/>
        <v>11.19992007193526</v>
      </c>
      <c r="W16" s="303">
        <f t="shared" si="18"/>
        <v>15.169660678642716</v>
      </c>
      <c r="X16" s="303">
        <f t="shared" si="18"/>
        <v>22.58</v>
      </c>
      <c r="Y16" s="303">
        <f t="shared" si="18"/>
        <v>11.88</v>
      </c>
      <c r="Z16" s="303">
        <f t="shared" si="18"/>
        <v>22.6</v>
      </c>
      <c r="AA16" s="303">
        <f t="shared" si="18"/>
        <v>13.872255489021956</v>
      </c>
      <c r="AB16" s="303">
        <f t="shared" si="18"/>
        <v>14.726640313745019</v>
      </c>
      <c r="AC16" s="303">
        <f t="shared" si="18"/>
        <v>34.960645611238419</v>
      </c>
      <c r="AD16" s="303" t="str">
        <f t="shared" ref="AD16:AL16" si="19">IF(AD$2="-",0,(IF(AD76="","",IF(AD$4&lt;$A16,AD76,(AD76-AD$3)/(1+AD$3%)))))</f>
        <v/>
      </c>
      <c r="AE16" s="303" t="str">
        <f t="shared" si="19"/>
        <v/>
      </c>
      <c r="AF16" s="303" t="str">
        <f t="shared" si="19"/>
        <v/>
      </c>
      <c r="AG16" s="303" t="str">
        <f t="shared" si="19"/>
        <v/>
      </c>
      <c r="AH16" s="303" t="str">
        <f t="shared" si="19"/>
        <v/>
      </c>
      <c r="AI16" s="303" t="str">
        <f t="shared" si="19"/>
        <v/>
      </c>
      <c r="AJ16" s="303" t="str">
        <f t="shared" si="19"/>
        <v/>
      </c>
      <c r="AK16" s="303" t="str">
        <f t="shared" si="19"/>
        <v/>
      </c>
      <c r="AL16" s="303" t="str">
        <f t="shared" si="19"/>
        <v/>
      </c>
      <c r="AM16" s="303">
        <f t="shared" si="2"/>
        <v>12.516297262059961</v>
      </c>
    </row>
    <row r="17" spans="1:40">
      <c r="A17" s="58">
        <f t="shared" si="3"/>
        <v>1981</v>
      </c>
      <c r="B17" s="303">
        <f t="shared" ref="B17:AC17" si="20">IF(B$2="-","",(IF(B77="","",IF(B$4&lt;$A17,B77,(B77-B$3)/(1+B$3%)))))</f>
        <v>-3.8634321653189576</v>
      </c>
      <c r="C17" s="303">
        <f t="shared" si="20"/>
        <v>1.0675446473111845</v>
      </c>
      <c r="D17" s="303">
        <f t="shared" si="20"/>
        <v>-5.2</v>
      </c>
      <c r="E17" s="303">
        <f t="shared" si="20"/>
        <v>-11.503541853736408</v>
      </c>
      <c r="F17" s="303">
        <f t="shared" si="20"/>
        <v>2.165020452958196</v>
      </c>
      <c r="G17" s="303">
        <f t="shared" si="20"/>
        <v>14.636336426219694</v>
      </c>
      <c r="H17" s="303">
        <f t="shared" si="20"/>
        <v>1.7659383418138284</v>
      </c>
      <c r="I17" s="303">
        <f t="shared" si="20"/>
        <v>-9.4083607702284748</v>
      </c>
      <c r="J17" s="303">
        <f t="shared" si="20"/>
        <v>6.9656677912284177</v>
      </c>
      <c r="K17" s="303">
        <f t="shared" si="20"/>
        <v>5.725114701775385</v>
      </c>
      <c r="L17" s="303">
        <f t="shared" si="20"/>
        <v>-1.0890198821061048</v>
      </c>
      <c r="M17" s="303">
        <f t="shared" si="20"/>
        <v>4.2559553473537317</v>
      </c>
      <c r="N17" s="303">
        <f t="shared" si="20"/>
        <v>-0.37916583516264218</v>
      </c>
      <c r="O17" s="303">
        <f t="shared" si="20"/>
        <v>8.029124276880113</v>
      </c>
      <c r="P17" s="303">
        <f t="shared" si="20"/>
        <v>-10.632355874725715</v>
      </c>
      <c r="Q17" s="303">
        <f t="shared" si="20"/>
        <v>8.5125448028673851</v>
      </c>
      <c r="R17" s="303">
        <f t="shared" si="20"/>
        <v>-22.52</v>
      </c>
      <c r="S17" s="303">
        <f t="shared" si="20"/>
        <v>-3.284578774402616</v>
      </c>
      <c r="T17" s="303">
        <f t="shared" si="20"/>
        <v>5.4748658733656557</v>
      </c>
      <c r="U17" s="303">
        <f t="shared" si="20"/>
        <v>10.578842315369263</v>
      </c>
      <c r="V17" s="303">
        <f t="shared" si="20"/>
        <v>14.596862823458888</v>
      </c>
      <c r="W17" s="303">
        <f t="shared" si="20"/>
        <v>5.788423153692615</v>
      </c>
      <c r="X17" s="303">
        <f t="shared" si="20"/>
        <v>2.9</v>
      </c>
      <c r="Y17" s="303">
        <f t="shared" si="20"/>
        <v>8.67</v>
      </c>
      <c r="Z17" s="303">
        <f t="shared" si="20"/>
        <v>16.8</v>
      </c>
      <c r="AA17" s="303">
        <f t="shared" si="20"/>
        <v>18.662674650698602</v>
      </c>
      <c r="AB17" s="303">
        <f t="shared" si="20"/>
        <v>-32.867090349918676</v>
      </c>
      <c r="AC17" s="303">
        <f t="shared" si="20"/>
        <v>-0.26900468267410582</v>
      </c>
      <c r="AD17" s="303" t="str">
        <f t="shared" ref="AD17:AL17" si="21">IF(AD$2="-",0,(IF(AD77="","",IF(AD$4&lt;$A17,AD77,(AD77-AD$3)/(1+AD$3%)))))</f>
        <v/>
      </c>
      <c r="AE17" s="303" t="str">
        <f t="shared" si="21"/>
        <v/>
      </c>
      <c r="AF17" s="303" t="str">
        <f t="shared" si="21"/>
        <v/>
      </c>
      <c r="AG17" s="303" t="str">
        <f t="shared" si="21"/>
        <v/>
      </c>
      <c r="AH17" s="303" t="str">
        <f t="shared" si="21"/>
        <v/>
      </c>
      <c r="AI17" s="303" t="str">
        <f t="shared" si="21"/>
        <v/>
      </c>
      <c r="AJ17" s="303" t="str">
        <f t="shared" si="21"/>
        <v/>
      </c>
      <c r="AK17" s="303" t="str">
        <f t="shared" si="21"/>
        <v/>
      </c>
      <c r="AL17" s="303" t="str">
        <f t="shared" si="21"/>
        <v/>
      </c>
      <c r="AM17" s="303">
        <f t="shared" si="2"/>
        <v>8.9223638470451903</v>
      </c>
    </row>
    <row r="18" spans="1:40">
      <c r="A18" s="58">
        <f t="shared" si="3"/>
        <v>1982</v>
      </c>
      <c r="B18" s="303">
        <f t="shared" ref="B18:AC18" si="22">IF(B$2="-","",(IF(B78="","",IF(B$4&lt;$A18,B78,(B78-B$3)/(1+B$3%)))))</f>
        <v>20.594988519516821</v>
      </c>
      <c r="C18" s="303">
        <f t="shared" si="22"/>
        <v>19.724633343310387</v>
      </c>
      <c r="D18" s="303">
        <f t="shared" si="22"/>
        <v>20.9</v>
      </c>
      <c r="E18" s="303">
        <f t="shared" si="22"/>
        <v>20.223485982240845</v>
      </c>
      <c r="F18" s="303">
        <f t="shared" si="22"/>
        <v>23.017060760251422</v>
      </c>
      <c r="G18" s="303">
        <f t="shared" si="22"/>
        <v>28.205128205128204</v>
      </c>
      <c r="H18" s="303">
        <f t="shared" si="22"/>
        <v>24.613389204828891</v>
      </c>
      <c r="I18" s="303">
        <f t="shared" si="22"/>
        <v>20.722338621171307</v>
      </c>
      <c r="J18" s="303">
        <f t="shared" si="22"/>
        <v>27.009327247469734</v>
      </c>
      <c r="K18" s="303">
        <f t="shared" si="22"/>
        <v>21.284659884300819</v>
      </c>
      <c r="L18" s="303">
        <f t="shared" si="22"/>
        <v>-0.9891098011789391</v>
      </c>
      <c r="M18" s="303">
        <f t="shared" si="22"/>
        <v>-1.4252965214791189</v>
      </c>
      <c r="N18" s="303">
        <f t="shared" si="22"/>
        <v>-1.1474755537816805</v>
      </c>
      <c r="O18" s="303">
        <f t="shared" si="22"/>
        <v>-6.5030919609016555</v>
      </c>
      <c r="P18" s="303">
        <f t="shared" si="22"/>
        <v>5.4258926790345114</v>
      </c>
      <c r="Q18" s="303">
        <f t="shared" si="22"/>
        <v>-2.6284348864994027</v>
      </c>
      <c r="R18" s="303">
        <f t="shared" si="22"/>
        <v>3.84</v>
      </c>
      <c r="S18" s="303">
        <f t="shared" si="22"/>
        <v>48.298206186686997</v>
      </c>
      <c r="T18" s="303">
        <f t="shared" si="22"/>
        <v>33.054218629262486</v>
      </c>
      <c r="U18" s="303">
        <f t="shared" si="22"/>
        <v>25.149700598802394</v>
      </c>
      <c r="V18" s="303">
        <f t="shared" si="22"/>
        <v>10.400639424517935</v>
      </c>
      <c r="W18" s="303">
        <f t="shared" si="22"/>
        <v>-7.7844311377245505</v>
      </c>
      <c r="X18" s="303">
        <f t="shared" si="22"/>
        <v>24.55</v>
      </c>
      <c r="Y18" s="303">
        <f t="shared" si="22"/>
        <v>23.3</v>
      </c>
      <c r="Z18" s="303">
        <f t="shared" si="22"/>
        <v>21.7</v>
      </c>
      <c r="AA18" s="303">
        <f t="shared" si="22"/>
        <v>19.261477045908183</v>
      </c>
      <c r="AB18" s="303">
        <f t="shared" si="22"/>
        <v>14.485454408779969</v>
      </c>
      <c r="AC18" s="303">
        <f t="shared" si="22"/>
        <v>-0.3287835010461293</v>
      </c>
      <c r="AD18" s="303" t="str">
        <f t="shared" ref="AD18:AL18" si="23">IF(AD$2="-",0,(IF(AD78="","",IF(AD$4&lt;$A18,AD78,(AD78-AD$3)/(1+AD$3%)))))</f>
        <v/>
      </c>
      <c r="AE18" s="303" t="str">
        <f t="shared" si="23"/>
        <v/>
      </c>
      <c r="AF18" s="303" t="str">
        <f t="shared" si="23"/>
        <v/>
      </c>
      <c r="AG18" s="303" t="str">
        <f t="shared" si="23"/>
        <v/>
      </c>
      <c r="AH18" s="303" t="str">
        <f t="shared" si="23"/>
        <v/>
      </c>
      <c r="AI18" s="303" t="str">
        <f t="shared" si="23"/>
        <v/>
      </c>
      <c r="AJ18" s="303" t="str">
        <f t="shared" si="23"/>
        <v/>
      </c>
      <c r="AK18" s="303" t="str">
        <f t="shared" si="23"/>
        <v/>
      </c>
      <c r="AL18" s="303" t="str">
        <f t="shared" si="23"/>
        <v/>
      </c>
      <c r="AM18" s="303">
        <f t="shared" si="2"/>
        <v>3.8297872340425476</v>
      </c>
    </row>
    <row r="19" spans="1:40">
      <c r="A19" s="58">
        <f t="shared" si="3"/>
        <v>1983</v>
      </c>
      <c r="B19" s="303">
        <f t="shared" ref="B19:AC19" si="24">IF(B$2="-","",(IF(B79="","",IF(B$4&lt;$A19,B79,(B79-B$3)/(1+B$3%)))))</f>
        <v>21.792951981631223</v>
      </c>
      <c r="C19" s="303">
        <f t="shared" si="24"/>
        <v>28.005587149556021</v>
      </c>
      <c r="D19" s="303">
        <f t="shared" si="24"/>
        <v>21.3</v>
      </c>
      <c r="E19" s="303">
        <f t="shared" si="24"/>
        <v>15.733812231866708</v>
      </c>
      <c r="F19" s="303">
        <f t="shared" si="24"/>
        <v>23.515913399181883</v>
      </c>
      <c r="G19" s="303">
        <f t="shared" si="24"/>
        <v>38.281951511523502</v>
      </c>
      <c r="H19" s="303">
        <f t="shared" si="24"/>
        <v>28.803751371844758</v>
      </c>
      <c r="I19" s="303">
        <f t="shared" si="24"/>
        <v>19.824403871096479</v>
      </c>
      <c r="J19" s="303">
        <f t="shared" si="24"/>
        <v>36.237348680293707</v>
      </c>
      <c r="K19" s="303">
        <f t="shared" si="24"/>
        <v>30.261320566527033</v>
      </c>
      <c r="L19" s="303">
        <f t="shared" si="24"/>
        <v>24.48796083524828</v>
      </c>
      <c r="M19" s="303">
        <f t="shared" si="24"/>
        <v>32.163859264427387</v>
      </c>
      <c r="N19" s="303">
        <f t="shared" si="24"/>
        <v>25.523847535422075</v>
      </c>
      <c r="O19" s="303">
        <f t="shared" si="24"/>
        <v>26.092160383004192</v>
      </c>
      <c r="P19" s="303">
        <f t="shared" si="24"/>
        <v>22.082585278276479</v>
      </c>
      <c r="Q19" s="303">
        <f t="shared" si="24"/>
        <v>28.783353245718839</v>
      </c>
      <c r="R19" s="303">
        <f t="shared" si="24"/>
        <v>12.24</v>
      </c>
      <c r="S19" s="303">
        <f t="shared" si="24"/>
        <v>1.684420110022552</v>
      </c>
      <c r="T19" s="303">
        <f t="shared" si="24"/>
        <v>5.6117355738323598</v>
      </c>
      <c r="U19" s="303">
        <f t="shared" si="24"/>
        <v>7.9840319361277432</v>
      </c>
      <c r="V19" s="303">
        <f t="shared" si="24"/>
        <v>8.7021680487561213</v>
      </c>
      <c r="W19" s="303">
        <f t="shared" si="24"/>
        <v>16.866267465069864</v>
      </c>
      <c r="X19" s="303">
        <f t="shared" si="24"/>
        <v>23.57</v>
      </c>
      <c r="Y19" s="303">
        <f t="shared" si="24"/>
        <v>18.600000000000001</v>
      </c>
      <c r="Z19" s="303">
        <f t="shared" si="24"/>
        <v>30.1</v>
      </c>
      <c r="AA19" s="303">
        <f t="shared" si="24"/>
        <v>8.3832335329341312</v>
      </c>
      <c r="AB19" s="303">
        <f t="shared" si="24"/>
        <v>-16.638981391134955</v>
      </c>
      <c r="AC19" s="303">
        <f t="shared" si="24"/>
        <v>35.618212613330677</v>
      </c>
      <c r="AD19" s="303" t="str">
        <f t="shared" ref="AD19:AL19" si="25">IF(AD$2="-",0,(IF(AD79="","",IF(AD$4&lt;$A19,AD79,(AD79-AD$3)/(1+AD$3%)))))</f>
        <v/>
      </c>
      <c r="AE19" s="303" t="str">
        <f t="shared" si="25"/>
        <v/>
      </c>
      <c r="AF19" s="303" t="str">
        <f t="shared" si="25"/>
        <v/>
      </c>
      <c r="AG19" s="303" t="str">
        <f t="shared" si="25"/>
        <v/>
      </c>
      <c r="AH19" s="303" t="str">
        <f t="shared" si="25"/>
        <v/>
      </c>
      <c r="AI19" s="303" t="str">
        <f t="shared" si="25"/>
        <v/>
      </c>
      <c r="AJ19" s="303" t="str">
        <f t="shared" si="25"/>
        <v/>
      </c>
      <c r="AK19" s="303" t="str">
        <f t="shared" si="25"/>
        <v/>
      </c>
      <c r="AL19" s="303" t="str">
        <f t="shared" si="25"/>
        <v/>
      </c>
      <c r="AM19" s="303">
        <f t="shared" si="2"/>
        <v>3.7909836065573854</v>
      </c>
    </row>
    <row r="20" spans="1:40">
      <c r="A20" s="58">
        <f t="shared" si="3"/>
        <v>1984</v>
      </c>
      <c r="B20" s="303">
        <f t="shared" ref="B20:AC20" si="26">IF(B$2="-","",(IF(B80="","",IF(B$4&lt;$A20,B80,(B80-B$3)/(1+B$3%)))))</f>
        <v>4.3226514924628132</v>
      </c>
      <c r="C20" s="303">
        <f t="shared" si="26"/>
        <v>9.847351092487278</v>
      </c>
      <c r="D20" s="303">
        <f t="shared" si="26"/>
        <v>6.21</v>
      </c>
      <c r="E20" s="303">
        <f t="shared" si="26"/>
        <v>-1.2271774917689315</v>
      </c>
      <c r="F20" s="303">
        <f t="shared" si="26"/>
        <v>1.1673151750972763</v>
      </c>
      <c r="G20" s="303">
        <f t="shared" si="26"/>
        <v>2.0652499251721039</v>
      </c>
      <c r="H20" s="303">
        <f t="shared" si="26"/>
        <v>-7.5127207422927276</v>
      </c>
      <c r="I20" s="303">
        <f t="shared" si="26"/>
        <v>-15.993215604110548</v>
      </c>
      <c r="J20" s="303">
        <f t="shared" si="26"/>
        <v>-20.123040285770987</v>
      </c>
      <c r="K20" s="303">
        <f t="shared" si="26"/>
        <v>20.586475164572111</v>
      </c>
      <c r="L20" s="303">
        <f t="shared" si="26"/>
        <v>7.8029773204116308</v>
      </c>
      <c r="M20" s="303">
        <f t="shared" si="26"/>
        <v>9.9372072161865841</v>
      </c>
      <c r="N20" s="303">
        <f t="shared" si="26"/>
        <v>8.0223508281780074</v>
      </c>
      <c r="O20" s="303">
        <f t="shared" si="26"/>
        <v>13.185717135447836</v>
      </c>
      <c r="P20" s="303">
        <f t="shared" si="26"/>
        <v>1.0373030121683624</v>
      </c>
      <c r="Q20" s="303">
        <f t="shared" si="26"/>
        <v>8.5324571883711666</v>
      </c>
      <c r="R20" s="303">
        <f t="shared" si="26"/>
        <v>-3.51</v>
      </c>
      <c r="S20" s="303">
        <f t="shared" si="26"/>
        <v>13.761486467913771</v>
      </c>
      <c r="T20" s="303">
        <f t="shared" si="26"/>
        <v>13.014248038014982</v>
      </c>
      <c r="U20" s="303">
        <f t="shared" si="26"/>
        <v>14.071856287425151</v>
      </c>
      <c r="V20" s="303">
        <f t="shared" si="26"/>
        <v>9.7012688580277775</v>
      </c>
      <c r="W20" s="303">
        <f t="shared" si="26"/>
        <v>15.568862275449103</v>
      </c>
      <c r="X20" s="303">
        <f t="shared" si="26"/>
        <v>10.7</v>
      </c>
      <c r="Y20" s="303">
        <f t="shared" si="26"/>
        <v>16.64</v>
      </c>
      <c r="Z20" s="303">
        <f t="shared" si="26"/>
        <v>19.47</v>
      </c>
      <c r="AA20" s="303">
        <f t="shared" si="26"/>
        <v>12.574850299401199</v>
      </c>
      <c r="AB20" s="303">
        <f t="shared" si="26"/>
        <v>-19.516494690693289</v>
      </c>
      <c r="AC20" s="303">
        <f t="shared" si="26"/>
        <v>11.208528444754409</v>
      </c>
      <c r="AD20" s="303" t="str">
        <f t="shared" ref="AD20:AL20" si="27">IF(AD$2="-",0,(IF(AD80="","",IF(AD$4&lt;$A20,AD80,(AD80-AD$3)/(1+AD$3%)))))</f>
        <v/>
      </c>
      <c r="AE20" s="303" t="str">
        <f t="shared" si="27"/>
        <v/>
      </c>
      <c r="AF20" s="303" t="str">
        <f t="shared" si="27"/>
        <v/>
      </c>
      <c r="AG20" s="303" t="str">
        <f t="shared" si="27"/>
        <v/>
      </c>
      <c r="AH20" s="303" t="str">
        <f t="shared" si="27"/>
        <v/>
      </c>
      <c r="AI20" s="303" t="str">
        <f t="shared" si="27"/>
        <v/>
      </c>
      <c r="AJ20" s="303" t="str">
        <f t="shared" si="27"/>
        <v/>
      </c>
      <c r="AK20" s="303" t="str">
        <f t="shared" si="27"/>
        <v/>
      </c>
      <c r="AL20" s="303" t="str">
        <f t="shared" si="27"/>
        <v/>
      </c>
      <c r="AM20" s="303">
        <f t="shared" si="2"/>
        <v>3.948667324777877</v>
      </c>
    </row>
    <row r="21" spans="1:40">
      <c r="A21" s="58">
        <f t="shared" si="3"/>
        <v>1985</v>
      </c>
      <c r="B21" s="303">
        <f t="shared" ref="B21:AC21" si="28">IF(B$2="-","",(IF(B81="","",IF(B$4&lt;$A21,B81,(B81-B$3)/(1+B$3%)))))</f>
        <v>31.975641409603675</v>
      </c>
      <c r="C21" s="303">
        <f t="shared" si="28"/>
        <v>31.198244038710964</v>
      </c>
      <c r="D21" s="303">
        <f t="shared" si="28"/>
        <v>31.23</v>
      </c>
      <c r="E21" s="303">
        <f t="shared" si="28"/>
        <v>32.595031427716258</v>
      </c>
      <c r="F21" s="303">
        <f t="shared" si="28"/>
        <v>31.697096677641426</v>
      </c>
      <c r="G21" s="303">
        <f t="shared" si="28"/>
        <v>30.699391399780506</v>
      </c>
      <c r="H21" s="303">
        <f t="shared" si="28"/>
        <v>30.799161927566598</v>
      </c>
      <c r="I21" s="303">
        <f t="shared" si="28"/>
        <v>30.699391399780506</v>
      </c>
      <c r="J21" s="303">
        <f t="shared" si="28"/>
        <v>24.727128398491761</v>
      </c>
      <c r="K21" s="303">
        <f t="shared" si="28"/>
        <v>18.791143028126871</v>
      </c>
      <c r="L21" s="303">
        <f t="shared" si="28"/>
        <v>56.559096812868425</v>
      </c>
      <c r="M21" s="303">
        <f t="shared" si="28"/>
        <v>60.370776437755403</v>
      </c>
      <c r="N21" s="303">
        <f t="shared" si="28"/>
        <v>56.984633805627617</v>
      </c>
      <c r="O21" s="303">
        <f t="shared" si="28"/>
        <v>39.028525832834632</v>
      </c>
      <c r="P21" s="303">
        <f t="shared" si="28"/>
        <v>79.33373229603032</v>
      </c>
      <c r="Q21" s="303">
        <f t="shared" si="28"/>
        <v>54.430505774591801</v>
      </c>
      <c r="R21" s="303">
        <f t="shared" si="28"/>
        <v>13.03</v>
      </c>
      <c r="S21" s="303">
        <f t="shared" si="28"/>
        <v>30.404367572343421</v>
      </c>
      <c r="T21" s="303">
        <f t="shared" si="28"/>
        <v>20.345943656572945</v>
      </c>
      <c r="U21" s="303">
        <f t="shared" si="28"/>
        <v>17.764471057884233</v>
      </c>
      <c r="V21" s="303">
        <f t="shared" si="28"/>
        <v>7.37</v>
      </c>
      <c r="W21" s="303">
        <f t="shared" si="28"/>
        <v>8.6826347305389238</v>
      </c>
      <c r="X21" s="303">
        <f t="shared" si="28"/>
        <v>28.53</v>
      </c>
      <c r="Y21" s="303">
        <f t="shared" si="28"/>
        <v>27.41</v>
      </c>
      <c r="Z21" s="303">
        <f t="shared" si="28"/>
        <v>28.03</v>
      </c>
      <c r="AA21" s="303">
        <f t="shared" si="28"/>
        <v>12.974051896207584</v>
      </c>
      <c r="AB21" s="303">
        <f t="shared" si="28"/>
        <v>5.2585773411209571</v>
      </c>
      <c r="AC21" s="303">
        <f t="shared" si="28"/>
        <v>66.882534621898969</v>
      </c>
      <c r="AD21" s="303" t="str">
        <f t="shared" ref="AD21:AL21" si="29">IF(AD$2="-",0,(IF(AD81="","",IF(AD$4&lt;$A21,AD81,(AD81-AD$3)/(1+AD$3%)))))</f>
        <v/>
      </c>
      <c r="AE21" s="303" t="str">
        <f t="shared" si="29"/>
        <v/>
      </c>
      <c r="AF21" s="303" t="str">
        <f t="shared" si="29"/>
        <v/>
      </c>
      <c r="AG21" s="303" t="str">
        <f t="shared" si="29"/>
        <v/>
      </c>
      <c r="AH21" s="303" t="str">
        <f t="shared" si="29"/>
        <v/>
      </c>
      <c r="AI21" s="303" t="str">
        <f t="shared" si="29"/>
        <v/>
      </c>
      <c r="AJ21" s="303" t="str">
        <f t="shared" si="29"/>
        <v/>
      </c>
      <c r="AK21" s="303" t="str">
        <f t="shared" si="29"/>
        <v/>
      </c>
      <c r="AL21" s="303" t="str">
        <f t="shared" si="29"/>
        <v/>
      </c>
      <c r="AM21" s="303">
        <f t="shared" si="2"/>
        <v>3.7986704653371284</v>
      </c>
    </row>
    <row r="22" spans="1:40">
      <c r="A22" s="58">
        <f t="shared" si="3"/>
        <v>1986</v>
      </c>
      <c r="B22" s="303">
        <f t="shared" ref="B22:AC22" si="30">IF(B$2="-","",(IF(B82="","",IF(B$4&lt;$A22,B82,(B82-B$3)/(1+B$3%)))))</f>
        <v>15.902964959568735</v>
      </c>
      <c r="C22" s="303">
        <f t="shared" si="30"/>
        <v>19.724633343310387</v>
      </c>
      <c r="D22" s="303">
        <f t="shared" si="30"/>
        <v>18.059999999999999</v>
      </c>
      <c r="E22" s="303">
        <f t="shared" si="30"/>
        <v>15.135189065150154</v>
      </c>
      <c r="F22" s="303">
        <f t="shared" si="30"/>
        <v>17.928763843160731</v>
      </c>
      <c r="G22" s="303">
        <f t="shared" si="30"/>
        <v>7.1535468422627959</v>
      </c>
      <c r="H22" s="303">
        <f t="shared" si="30"/>
        <v>5.4574478698992319</v>
      </c>
      <c r="I22" s="303">
        <f t="shared" si="30"/>
        <v>3.3622667863913001</v>
      </c>
      <c r="J22" s="303">
        <f t="shared" si="30"/>
        <v>-0.47628497717801155</v>
      </c>
      <c r="K22" s="303">
        <f t="shared" si="30"/>
        <v>18.890883702373827</v>
      </c>
      <c r="L22" s="303">
        <f t="shared" si="30"/>
        <v>69.747227495254279</v>
      </c>
      <c r="M22" s="303">
        <f t="shared" si="30"/>
        <v>62.164855975281569</v>
      </c>
      <c r="N22" s="303">
        <f t="shared" si="30"/>
        <v>68.449411295150682</v>
      </c>
      <c r="O22" s="303">
        <f t="shared" si="30"/>
        <v>93.317374825453811</v>
      </c>
      <c r="P22" s="303">
        <f t="shared" si="30"/>
        <v>44.125274286854186</v>
      </c>
      <c r="Q22" s="303">
        <f t="shared" si="30"/>
        <v>64.645559538032671</v>
      </c>
      <c r="R22" s="303">
        <f t="shared" si="30"/>
        <v>-6.19</v>
      </c>
      <c r="S22" s="303">
        <f t="shared" si="30"/>
        <v>30.668014733727887</v>
      </c>
      <c r="T22" s="303">
        <f t="shared" si="30"/>
        <v>18.021296035046223</v>
      </c>
      <c r="U22" s="303">
        <f t="shared" si="30"/>
        <v>12.874251497005988</v>
      </c>
      <c r="V22" s="303">
        <f t="shared" si="30"/>
        <v>6</v>
      </c>
      <c r="W22" s="303">
        <f t="shared" si="30"/>
        <v>21.956087824351297</v>
      </c>
      <c r="X22" s="303">
        <f t="shared" si="30"/>
        <v>18.399999999999999</v>
      </c>
      <c r="Y22" s="303">
        <f t="shared" si="30"/>
        <v>18.34</v>
      </c>
      <c r="Z22" s="303">
        <f t="shared" si="30"/>
        <v>20.27</v>
      </c>
      <c r="AA22" s="303">
        <f t="shared" si="30"/>
        <v>11.676646706586828</v>
      </c>
      <c r="AB22" s="303">
        <f t="shared" si="30"/>
        <v>20.824312610223625</v>
      </c>
      <c r="AC22" s="303">
        <f t="shared" si="30"/>
        <v>58.951878051210521</v>
      </c>
      <c r="AD22" s="303" t="str">
        <f t="shared" ref="AD22:AL22" si="31">IF(AD$2="-",0,(IF(AD82="","",IF(AD$4&lt;$A22,AD82,(AD82-AD$3)/(1+AD$3%)))))</f>
        <v/>
      </c>
      <c r="AE22" s="303" t="str">
        <f t="shared" si="31"/>
        <v/>
      </c>
      <c r="AF22" s="303" t="str">
        <f t="shared" si="31"/>
        <v/>
      </c>
      <c r="AG22" s="303" t="str">
        <f t="shared" si="31"/>
        <v/>
      </c>
      <c r="AH22" s="303" t="str">
        <f t="shared" si="31"/>
        <v/>
      </c>
      <c r="AI22" s="303" t="str">
        <f t="shared" si="31"/>
        <v/>
      </c>
      <c r="AJ22" s="303" t="str">
        <f t="shared" si="31"/>
        <v/>
      </c>
      <c r="AK22" s="303" t="str">
        <f t="shared" si="31"/>
        <v/>
      </c>
      <c r="AL22" s="303" t="str">
        <f t="shared" si="31"/>
        <v/>
      </c>
      <c r="AM22" s="303">
        <f t="shared" si="2"/>
        <v>1.0978956999085021</v>
      </c>
    </row>
    <row r="23" spans="1:40">
      <c r="A23" s="58">
        <f t="shared" si="3"/>
        <v>1987</v>
      </c>
      <c r="B23" s="303">
        <f t="shared" ref="B23:AC23" si="32">IF(B$2="-","",(IF(B83="","",IF(B$4&lt;$A23,B83,(B83-B$3)/(1+B$3%)))))</f>
        <v>1.527403414195867</v>
      </c>
      <c r="C23" s="303">
        <f t="shared" si="32"/>
        <v>0.26938042502244841</v>
      </c>
      <c r="D23" s="303">
        <f t="shared" si="32"/>
        <v>4.71</v>
      </c>
      <c r="E23" s="303">
        <f t="shared" si="32"/>
        <v>5.0583657587548636</v>
      </c>
      <c r="F23" s="303">
        <f t="shared" si="32"/>
        <v>-2.9931158335827598E-2</v>
      </c>
      <c r="G23" s="303">
        <f t="shared" si="32"/>
        <v>-7.3131796867205434</v>
      </c>
      <c r="H23" s="303">
        <f t="shared" si="32"/>
        <v>-9.0092786590841083</v>
      </c>
      <c r="I23" s="303">
        <f t="shared" si="32"/>
        <v>-10.705377631447671</v>
      </c>
      <c r="J23" s="303">
        <f t="shared" si="32"/>
        <v>-15.558642587815042</v>
      </c>
      <c r="K23" s="303">
        <f t="shared" si="32"/>
        <v>-3.8499900259325757</v>
      </c>
      <c r="L23" s="303">
        <f t="shared" si="32"/>
        <v>24.787691078029773</v>
      </c>
      <c r="M23" s="303">
        <f t="shared" si="32"/>
        <v>37.247084620751522</v>
      </c>
      <c r="N23" s="303">
        <f t="shared" si="32"/>
        <v>26.541608461384953</v>
      </c>
      <c r="O23" s="303">
        <f t="shared" si="32"/>
        <v>39.487332934370642</v>
      </c>
      <c r="P23" s="303">
        <f t="shared" si="32"/>
        <v>3.8300418910831837</v>
      </c>
      <c r="Q23" s="303">
        <f t="shared" si="32"/>
        <v>34.428514536041426</v>
      </c>
      <c r="R23" s="303">
        <f t="shared" si="32"/>
        <v>17.91</v>
      </c>
      <c r="S23" s="303">
        <f t="shared" si="32"/>
        <v>-3.1237524950099802</v>
      </c>
      <c r="T23" s="303">
        <f t="shared" si="32"/>
        <v>0.83785628444033255</v>
      </c>
      <c r="U23" s="303">
        <f t="shared" si="32"/>
        <v>0.9381237524950099</v>
      </c>
      <c r="V23" s="303">
        <f t="shared" si="32"/>
        <v>6.12</v>
      </c>
      <c r="W23" s="303">
        <f t="shared" si="32"/>
        <v>8.1836327345309385</v>
      </c>
      <c r="X23" s="303">
        <f t="shared" si="32"/>
        <v>2.2799999999999998</v>
      </c>
      <c r="Y23" s="303">
        <f t="shared" si="32"/>
        <v>-1.92</v>
      </c>
      <c r="Z23" s="303">
        <f t="shared" si="32"/>
        <v>1.23</v>
      </c>
      <c r="AA23" s="303">
        <f t="shared" si="32"/>
        <v>5.788423153692615</v>
      </c>
      <c r="AB23" s="303">
        <f t="shared" si="32"/>
        <v>21.720474273858553</v>
      </c>
      <c r="AC23" s="303">
        <f t="shared" si="32"/>
        <v>40.151439673209126</v>
      </c>
      <c r="AD23" s="303" t="str">
        <f t="shared" ref="AD23:AL23" si="33">IF(AD$2="-",0,(IF(AD83="","",IF(AD$4&lt;$A23,AD83,(AD83-AD$3)/(1+AD$3%)))))</f>
        <v/>
      </c>
      <c r="AE23" s="303" t="str">
        <f t="shared" si="33"/>
        <v/>
      </c>
      <c r="AF23" s="303" t="str">
        <f t="shared" si="33"/>
        <v/>
      </c>
      <c r="AG23" s="303" t="str">
        <f t="shared" si="33"/>
        <v/>
      </c>
      <c r="AH23" s="303" t="str">
        <f t="shared" si="33"/>
        <v/>
      </c>
      <c r="AI23" s="303" t="str">
        <f t="shared" si="33"/>
        <v/>
      </c>
      <c r="AJ23" s="303" t="str">
        <f t="shared" si="33"/>
        <v/>
      </c>
      <c r="AK23" s="303" t="str">
        <f t="shared" si="33"/>
        <v/>
      </c>
      <c r="AL23" s="303" t="str">
        <f t="shared" si="33"/>
        <v/>
      </c>
      <c r="AM23" s="303">
        <f t="shared" si="2"/>
        <v>4.4343891402714997</v>
      </c>
    </row>
    <row r="24" spans="1:40">
      <c r="A24" s="58">
        <f t="shared" si="3"/>
        <v>1988</v>
      </c>
      <c r="B24" s="303">
        <f t="shared" ref="B24:AC24" si="34">IF(B$2="-","",(IF(B84="","",IF(B$4&lt;$A24,B84,(B84-B$3)/(1+B$3%)))))</f>
        <v>17.799740441249874</v>
      </c>
      <c r="C24" s="303">
        <f t="shared" si="34"/>
        <v>22.91729023246533</v>
      </c>
      <c r="D24" s="303">
        <f t="shared" si="34"/>
        <v>16.22</v>
      </c>
      <c r="E24" s="303">
        <f t="shared" si="34"/>
        <v>11.044597425920383</v>
      </c>
      <c r="F24" s="303">
        <f t="shared" si="34"/>
        <v>19.525092287738204</v>
      </c>
      <c r="G24" s="303">
        <f t="shared" si="34"/>
        <v>29.202833482989124</v>
      </c>
      <c r="H24" s="303">
        <f t="shared" si="34"/>
        <v>24.613389204828891</v>
      </c>
      <c r="I24" s="303">
        <f t="shared" si="34"/>
        <v>20.123715454454754</v>
      </c>
      <c r="J24" s="303">
        <f t="shared" si="34"/>
        <v>19.865052589799561</v>
      </c>
      <c r="K24" s="303">
        <f t="shared" si="34"/>
        <v>13.205665270297228</v>
      </c>
      <c r="L24" s="303">
        <f t="shared" si="34"/>
        <v>28.484364072334902</v>
      </c>
      <c r="M24" s="303">
        <f t="shared" si="34"/>
        <v>39.93820392704076</v>
      </c>
      <c r="N24" s="303">
        <f t="shared" si="34"/>
        <v>30.083815605667535</v>
      </c>
      <c r="O24" s="303">
        <f t="shared" si="34"/>
        <v>34.839417514462397</v>
      </c>
      <c r="P24" s="303">
        <f t="shared" si="34"/>
        <v>16.098144823459005</v>
      </c>
      <c r="Q24" s="303">
        <f t="shared" si="34"/>
        <v>37.992831541218642</v>
      </c>
      <c r="R24" s="303">
        <f t="shared" si="34"/>
        <v>18.5</v>
      </c>
      <c r="S24" s="303">
        <f t="shared" si="34"/>
        <v>9.15</v>
      </c>
      <c r="T24" s="303">
        <f t="shared" si="34"/>
        <v>5.4199927741934681</v>
      </c>
      <c r="U24" s="303">
        <f t="shared" si="34"/>
        <v>7.35</v>
      </c>
      <c r="V24" s="303">
        <f t="shared" si="34"/>
        <v>7.18</v>
      </c>
      <c r="W24" s="303">
        <f t="shared" si="34"/>
        <v>18.662674650698602</v>
      </c>
      <c r="X24" s="303">
        <f t="shared" si="34"/>
        <v>16.11</v>
      </c>
      <c r="Y24" s="303">
        <f t="shared" si="34"/>
        <v>13.61</v>
      </c>
      <c r="Z24" s="303">
        <f t="shared" si="34"/>
        <v>28.7</v>
      </c>
      <c r="AA24" s="303">
        <f t="shared" si="34"/>
        <v>5.6886227544910177</v>
      </c>
      <c r="AB24" s="303">
        <f t="shared" si="34"/>
        <v>-15.592741613591084</v>
      </c>
      <c r="AC24" s="303">
        <f t="shared" si="34"/>
        <v>25.475739762877353</v>
      </c>
      <c r="AD24" s="303" t="str">
        <f t="shared" ref="AD24:AL24" si="35">IF(AD$2="-",0,(IF(AD84="","",IF(AD$4&lt;$A24,AD84,(AD84-AD$3)/(1+AD$3%)))))</f>
        <v/>
      </c>
      <c r="AE24" s="303" t="str">
        <f t="shared" si="35"/>
        <v/>
      </c>
      <c r="AF24" s="303" t="str">
        <f t="shared" si="35"/>
        <v/>
      </c>
      <c r="AG24" s="303" t="str">
        <f t="shared" si="35"/>
        <v/>
      </c>
      <c r="AH24" s="303" t="str">
        <f t="shared" si="35"/>
        <v/>
      </c>
      <c r="AI24" s="303" t="str">
        <f t="shared" si="35"/>
        <v/>
      </c>
      <c r="AJ24" s="303" t="str">
        <f t="shared" si="35"/>
        <v/>
      </c>
      <c r="AK24" s="303" t="str">
        <f t="shared" si="35"/>
        <v/>
      </c>
      <c r="AL24" s="303" t="str">
        <f t="shared" si="35"/>
        <v/>
      </c>
      <c r="AM24" s="303">
        <f t="shared" si="2"/>
        <v>4.4194107452339537</v>
      </c>
    </row>
    <row r="25" spans="1:40">
      <c r="A25" s="58">
        <f t="shared" si="3"/>
        <v>1989</v>
      </c>
      <c r="B25" s="303">
        <f t="shared" ref="B25:AC25" si="36">IF(B$2="-","",(IF(B85="","",IF(B$4&lt;$A25,B85,(B85-B$3)/(1+B$3%)))))</f>
        <v>28.681241888789053</v>
      </c>
      <c r="C25" s="303">
        <f t="shared" si="36"/>
        <v>24.91270078818717</v>
      </c>
      <c r="D25" s="303">
        <f t="shared" si="36"/>
        <v>31.36</v>
      </c>
      <c r="E25" s="303">
        <f t="shared" si="36"/>
        <v>35.588147261299014</v>
      </c>
      <c r="F25" s="303">
        <f t="shared" si="36"/>
        <v>26.010176593834181</v>
      </c>
      <c r="G25" s="303">
        <f t="shared" si="36"/>
        <v>12.142073231567394</v>
      </c>
      <c r="H25" s="303">
        <f t="shared" si="36"/>
        <v>15.933353287438891</v>
      </c>
      <c r="I25" s="303">
        <f t="shared" si="36"/>
        <v>19.92417439888257</v>
      </c>
      <c r="J25" s="303">
        <f t="shared" si="36"/>
        <v>4.6834689422504461</v>
      </c>
      <c r="K25" s="303">
        <f t="shared" si="36"/>
        <v>8.5178535806902076</v>
      </c>
      <c r="L25" s="303">
        <f t="shared" si="36"/>
        <v>10.700369667299432</v>
      </c>
      <c r="M25" s="303">
        <f t="shared" si="36"/>
        <v>64.457290939898328</v>
      </c>
      <c r="N25" s="303">
        <f t="shared" si="36"/>
        <v>18.66892835761325</v>
      </c>
      <c r="O25" s="303">
        <f t="shared" si="36"/>
        <v>2.4137243167763813</v>
      </c>
      <c r="P25" s="303">
        <f t="shared" si="36"/>
        <v>28.765210452822664</v>
      </c>
      <c r="Q25" s="303">
        <f t="shared" si="36"/>
        <v>17.642373556352052</v>
      </c>
      <c r="R25" s="303">
        <f t="shared" si="36"/>
        <v>27.72</v>
      </c>
      <c r="S25" s="303">
        <f t="shared" si="36"/>
        <v>17.93</v>
      </c>
      <c r="T25" s="303">
        <f t="shared" si="36"/>
        <v>12.889459258961228</v>
      </c>
      <c r="U25" s="303">
        <f t="shared" si="36"/>
        <v>13.64</v>
      </c>
      <c r="V25" s="303">
        <f t="shared" si="36"/>
        <v>8.8699999999999992</v>
      </c>
      <c r="W25" s="303">
        <f t="shared" si="36"/>
        <v>5.8882235528942113</v>
      </c>
      <c r="X25" s="303">
        <f t="shared" si="36"/>
        <v>21.6</v>
      </c>
      <c r="Y25" s="303">
        <f t="shared" si="36"/>
        <v>20.93</v>
      </c>
      <c r="Z25" s="303">
        <f t="shared" si="36"/>
        <v>15.02</v>
      </c>
      <c r="AA25" s="303">
        <f t="shared" si="36"/>
        <v>8.4830339321357293</v>
      </c>
      <c r="AB25" s="303">
        <f t="shared" si="36"/>
        <v>-3.2268245725203943</v>
      </c>
      <c r="AC25" s="303">
        <f t="shared" si="36"/>
        <v>30.287934641825245</v>
      </c>
      <c r="AD25" s="303" t="str">
        <f t="shared" ref="AD25:AL25" si="37">IF(AD$2="-",0,(IF(AD85="","",IF(AD$4&lt;$A25,AD85,(AD85-AD$3)/(1+AD$3%)))))</f>
        <v/>
      </c>
      <c r="AE25" s="303" t="str">
        <f t="shared" si="37"/>
        <v/>
      </c>
      <c r="AF25" s="303" t="str">
        <f t="shared" si="37"/>
        <v/>
      </c>
      <c r="AG25" s="303" t="str">
        <f t="shared" si="37"/>
        <v/>
      </c>
      <c r="AH25" s="303" t="str">
        <f t="shared" si="37"/>
        <v/>
      </c>
      <c r="AI25" s="303" t="str">
        <f t="shared" si="37"/>
        <v/>
      </c>
      <c r="AJ25" s="303" t="str">
        <f t="shared" si="37"/>
        <v/>
      </c>
      <c r="AK25" s="303" t="str">
        <f t="shared" si="37"/>
        <v/>
      </c>
      <c r="AL25" s="303" t="str">
        <f t="shared" si="37"/>
        <v/>
      </c>
      <c r="AM25" s="303">
        <f t="shared" si="2"/>
        <v>4.647302904564321</v>
      </c>
    </row>
    <row r="26" spans="1:40">
      <c r="A26" s="58">
        <f t="shared" si="3"/>
        <v>1990</v>
      </c>
      <c r="B26" s="303">
        <f t="shared" ref="B26:AC26" si="38">IF(B$2="-","",(IF(B86="","",IF(B$4&lt;$A26,B86,(B86-B$3)/(1+B$3%)))))</f>
        <v>-6.1595288010382347</v>
      </c>
      <c r="C26" s="303">
        <f t="shared" si="38"/>
        <v>-8.3108849645814633</v>
      </c>
      <c r="D26" s="303">
        <f t="shared" si="38"/>
        <v>-3.32</v>
      </c>
      <c r="E26" s="303">
        <f t="shared" si="38"/>
        <v>-0.52878379726628755</v>
      </c>
      <c r="F26" s="303">
        <f t="shared" si="38"/>
        <v>-11.703082909308591</v>
      </c>
      <c r="G26" s="303">
        <f t="shared" si="38"/>
        <v>-21.979447271276065</v>
      </c>
      <c r="H26" s="303">
        <f t="shared" si="38"/>
        <v>-19.68472513219595</v>
      </c>
      <c r="I26" s="303">
        <f t="shared" si="38"/>
        <v>-17.589544048688015</v>
      </c>
      <c r="J26" s="303">
        <f t="shared" si="38"/>
        <v>-31.8317126413971</v>
      </c>
      <c r="K26" s="303">
        <f t="shared" si="38"/>
        <v>-15.619389587073609</v>
      </c>
      <c r="L26" s="303">
        <f t="shared" si="38"/>
        <v>-23.269057847936857</v>
      </c>
      <c r="M26" s="303">
        <f t="shared" si="38"/>
        <v>-10.894049636200537</v>
      </c>
      <c r="N26" s="303">
        <f t="shared" si="38"/>
        <v>-21.482737976451805</v>
      </c>
      <c r="O26" s="303">
        <f t="shared" si="38"/>
        <v>-34.46040295232396</v>
      </c>
      <c r="P26" s="303">
        <f t="shared" si="38"/>
        <v>-3.6505086774386597</v>
      </c>
      <c r="Q26" s="303">
        <f t="shared" si="38"/>
        <v>-21.973317403424932</v>
      </c>
      <c r="R26" s="303">
        <f t="shared" si="38"/>
        <v>25.13</v>
      </c>
      <c r="S26" s="303">
        <f t="shared" si="38"/>
        <v>5.78</v>
      </c>
      <c r="T26" s="303">
        <f t="shared" si="38"/>
        <v>9.4182578819516376</v>
      </c>
      <c r="U26" s="303">
        <f t="shared" si="38"/>
        <v>8.65</v>
      </c>
      <c r="V26" s="303">
        <f t="shared" si="38"/>
        <v>7.94</v>
      </c>
      <c r="W26" s="303">
        <f t="shared" si="38"/>
        <v>5.9880239520958085</v>
      </c>
      <c r="X26" s="303">
        <f t="shared" si="38"/>
        <v>-2.81</v>
      </c>
      <c r="Y26" s="303">
        <f t="shared" si="38"/>
        <v>3.76</v>
      </c>
      <c r="Z26" s="303">
        <f t="shared" si="38"/>
        <v>-15.5</v>
      </c>
      <c r="AA26" s="303">
        <f t="shared" si="38"/>
        <v>8.6826347305389238</v>
      </c>
      <c r="AB26" s="303">
        <f t="shared" si="38"/>
        <v>-1.8601959447708469</v>
      </c>
      <c r="AC26" s="303">
        <f t="shared" si="38"/>
        <v>-18.242502739862509</v>
      </c>
      <c r="AD26" s="303" t="str">
        <f t="shared" ref="AD26:AL26" si="39">IF(AD$2="-",0,(IF(AD86="","",IF(AD$4&lt;$A26,AD86,(AD86-AD$3)/(1+AD$3%)))))</f>
        <v/>
      </c>
      <c r="AE26" s="303" t="str">
        <f t="shared" si="39"/>
        <v/>
      </c>
      <c r="AF26" s="303" t="str">
        <f t="shared" si="39"/>
        <v/>
      </c>
      <c r="AG26" s="303" t="str">
        <f t="shared" si="39"/>
        <v/>
      </c>
      <c r="AH26" s="303" t="str">
        <f t="shared" si="39"/>
        <v/>
      </c>
      <c r="AI26" s="303" t="str">
        <f t="shared" si="39"/>
        <v/>
      </c>
      <c r="AJ26" s="303" t="str">
        <f t="shared" si="39"/>
        <v/>
      </c>
      <c r="AK26" s="303" t="str">
        <f t="shared" si="39"/>
        <v/>
      </c>
      <c r="AL26" s="303" t="str">
        <f t="shared" si="39"/>
        <v/>
      </c>
      <c r="AM26" s="303">
        <f t="shared" si="2"/>
        <v>6.1062648691514898</v>
      </c>
    </row>
    <row r="27" spans="1:40">
      <c r="A27" s="58">
        <f t="shared" si="3"/>
        <v>1991</v>
      </c>
      <c r="B27" s="303">
        <f t="shared" ref="B27:AC27" si="40">IF(B$2="-","",(IF(B87="","",IF(B$4&lt;$A27,B87,(B87-B$3)/(1+B$3%)))))</f>
        <v>34.471398622342015</v>
      </c>
      <c r="C27" s="303">
        <f t="shared" si="40"/>
        <v>24.31407762147062</v>
      </c>
      <c r="D27" s="303">
        <f t="shared" si="40"/>
        <v>30.22</v>
      </c>
      <c r="E27" s="303">
        <f t="shared" si="40"/>
        <v>40.875985233961892</v>
      </c>
      <c r="F27" s="303">
        <f t="shared" si="40"/>
        <v>41.175296817320167</v>
      </c>
      <c r="G27" s="303">
        <f t="shared" si="40"/>
        <v>41.374837872892357</v>
      </c>
      <c r="H27" s="303">
        <f t="shared" si="40"/>
        <v>45.764741095480403</v>
      </c>
      <c r="I27" s="303">
        <f t="shared" si="40"/>
        <v>50.853038012571091</v>
      </c>
      <c r="J27" s="303">
        <f t="shared" si="40"/>
        <v>47.152212740623135</v>
      </c>
      <c r="K27" s="303">
        <f t="shared" si="40"/>
        <v>35.348094953121887</v>
      </c>
      <c r="L27" s="303">
        <f t="shared" si="40"/>
        <v>12.398841043061246</v>
      </c>
      <c r="M27" s="303">
        <f t="shared" si="40"/>
        <v>59.3740655835742</v>
      </c>
      <c r="N27" s="303">
        <f t="shared" si="40"/>
        <v>19.347435641588508</v>
      </c>
      <c r="O27" s="303">
        <f t="shared" si="40"/>
        <v>10.363056054258928</v>
      </c>
      <c r="P27" s="303">
        <f t="shared" si="40"/>
        <v>12.108517853580691</v>
      </c>
      <c r="Q27" s="303">
        <f t="shared" si="40"/>
        <v>10.314615690959778</v>
      </c>
      <c r="R27" s="303">
        <f t="shared" si="40"/>
        <v>3.77</v>
      </c>
      <c r="S27" s="303">
        <f t="shared" si="40"/>
        <v>17.43</v>
      </c>
      <c r="T27" s="303">
        <f t="shared" si="40"/>
        <v>13.965086138411433</v>
      </c>
      <c r="U27" s="303">
        <f t="shared" si="40"/>
        <v>15.25</v>
      </c>
      <c r="V27" s="303">
        <f t="shared" si="40"/>
        <v>5.73</v>
      </c>
      <c r="W27" s="303">
        <f t="shared" si="40"/>
        <v>15.668662674650699</v>
      </c>
      <c r="X27" s="303">
        <f t="shared" si="40"/>
        <v>23.65</v>
      </c>
      <c r="Y27" s="303">
        <f t="shared" si="40"/>
        <v>21.57</v>
      </c>
      <c r="Z27" s="303">
        <f t="shared" si="40"/>
        <v>28.55</v>
      </c>
      <c r="AA27" s="303">
        <f t="shared" si="40"/>
        <v>10.479041916167665</v>
      </c>
      <c r="AB27" s="303">
        <f t="shared" si="40"/>
        <v>-10.428305872626622</v>
      </c>
      <c r="AC27" s="303">
        <f t="shared" si="40"/>
        <v>5.4398724718541391</v>
      </c>
      <c r="AD27" s="303" t="str">
        <f t="shared" ref="AD27:AL27" si="41">IF(AD$2="-",0,(IF(AD87="","",IF(AD$4&lt;$A27,AD87,(AD87-AD$3)/(1+AD$3%)))))</f>
        <v/>
      </c>
      <c r="AE27" s="303" t="str">
        <f t="shared" si="41"/>
        <v/>
      </c>
      <c r="AF27" s="303" t="str">
        <f t="shared" si="41"/>
        <v/>
      </c>
      <c r="AG27" s="303" t="str">
        <f t="shared" si="41"/>
        <v/>
      </c>
      <c r="AH27" s="303" t="str">
        <f t="shared" si="41"/>
        <v/>
      </c>
      <c r="AI27" s="303" t="str">
        <f t="shared" si="41"/>
        <v/>
      </c>
      <c r="AJ27" s="303" t="str">
        <f t="shared" si="41"/>
        <v/>
      </c>
      <c r="AK27" s="303" t="str">
        <f t="shared" si="41"/>
        <v/>
      </c>
      <c r="AL27" s="303" t="str">
        <f t="shared" si="41"/>
        <v/>
      </c>
      <c r="AM27" s="303">
        <f t="shared" si="2"/>
        <v>3.0642750373692129</v>
      </c>
      <c r="AN27" s="304"/>
    </row>
    <row r="28" spans="1:40">
      <c r="A28" s="58">
        <f t="shared" si="3"/>
        <v>1992</v>
      </c>
      <c r="B28" s="303">
        <f t="shared" ref="B28:AC28" si="42">IF(B$2="-","",(IF(B88="","",IF(B$4&lt;$A28,B88,(B88-B$3)/(1+B$3%)))))</f>
        <v>9.6136567834681053</v>
      </c>
      <c r="C28" s="303">
        <f t="shared" si="42"/>
        <v>13.538860620572683</v>
      </c>
      <c r="D28" s="303">
        <f t="shared" si="42"/>
        <v>7.42</v>
      </c>
      <c r="E28" s="303">
        <f t="shared" si="42"/>
        <v>4.7590541753965878</v>
      </c>
      <c r="F28" s="303">
        <f t="shared" si="42"/>
        <v>16.132894343011074</v>
      </c>
      <c r="G28" s="303">
        <f t="shared" si="42"/>
        <v>28.803751371844758</v>
      </c>
      <c r="H28" s="303">
        <f t="shared" si="42"/>
        <v>17.928763843160731</v>
      </c>
      <c r="I28" s="303">
        <f t="shared" si="42"/>
        <v>7.5526289534071633</v>
      </c>
      <c r="J28" s="303">
        <f t="shared" si="42"/>
        <v>32.565985314546538</v>
      </c>
      <c r="K28" s="303">
        <f t="shared" si="42"/>
        <v>14.302812687013764</v>
      </c>
      <c r="L28" s="303">
        <f t="shared" si="42"/>
        <v>-11.879308622239986</v>
      </c>
      <c r="M28" s="303">
        <f t="shared" si="42"/>
        <v>11.033589155785906</v>
      </c>
      <c r="N28" s="303">
        <f t="shared" si="42"/>
        <v>-8.5212532428656971</v>
      </c>
      <c r="O28" s="303">
        <f t="shared" si="42"/>
        <v>-18.170000000000002</v>
      </c>
      <c r="P28" s="303">
        <f t="shared" si="42"/>
        <v>-3.32</v>
      </c>
      <c r="Q28" s="303">
        <f t="shared" si="42"/>
        <v>-10.8</v>
      </c>
      <c r="R28" s="303">
        <f t="shared" si="42"/>
        <v>6.5877883645331323</v>
      </c>
      <c r="S28" s="303">
        <f t="shared" si="42"/>
        <v>7.4</v>
      </c>
      <c r="T28" s="303">
        <f t="shared" si="42"/>
        <v>7.5648702594810384</v>
      </c>
      <c r="U28" s="303">
        <f t="shared" si="42"/>
        <v>7.14</v>
      </c>
      <c r="V28" s="303">
        <f t="shared" si="42"/>
        <v>3.53</v>
      </c>
      <c r="W28" s="303">
        <f t="shared" si="42"/>
        <v>7.2854291417165671</v>
      </c>
      <c r="X28" s="303">
        <f t="shared" si="42"/>
        <v>7.93</v>
      </c>
      <c r="Y28" s="303">
        <f t="shared" si="42"/>
        <v>8.67</v>
      </c>
      <c r="Z28" s="303">
        <f t="shared" si="42"/>
        <v>16.5</v>
      </c>
      <c r="AA28" s="303">
        <f t="shared" si="42"/>
        <v>6.536926147704591</v>
      </c>
      <c r="AB28" s="303">
        <f t="shared" si="42"/>
        <v>-6.1229600285156129</v>
      </c>
      <c r="AC28" s="303">
        <f t="shared" si="42"/>
        <v>-20.872770748231542</v>
      </c>
      <c r="AD28" s="303" t="str">
        <f t="shared" ref="AD28:AL28" si="43">IF(AD$2="-",0,(IF(AD88="","",IF(AD$4&lt;$A28,AD88,(AD88-AD$3)/(1+AD$3%)))))</f>
        <v/>
      </c>
      <c r="AE28" s="303" t="str">
        <f t="shared" si="43"/>
        <v/>
      </c>
      <c r="AF28" s="303" t="str">
        <f t="shared" si="43"/>
        <v/>
      </c>
      <c r="AG28" s="303" t="str">
        <f t="shared" si="43"/>
        <v/>
      </c>
      <c r="AH28" s="303" t="str">
        <f t="shared" si="43"/>
        <v/>
      </c>
      <c r="AI28" s="303" t="str">
        <f t="shared" si="43"/>
        <v/>
      </c>
      <c r="AJ28" s="303" t="str">
        <f t="shared" si="43"/>
        <v/>
      </c>
      <c r="AK28" s="303" t="str">
        <f t="shared" si="43"/>
        <v/>
      </c>
      <c r="AL28" s="303" t="str">
        <f t="shared" si="43"/>
        <v/>
      </c>
      <c r="AM28" s="303">
        <f t="shared" si="2"/>
        <v>2.9006526468455363</v>
      </c>
      <c r="AN28" s="305"/>
    </row>
    <row r="29" spans="1:40">
      <c r="A29" s="58">
        <f t="shared" si="3"/>
        <v>1993</v>
      </c>
      <c r="B29" s="303">
        <f t="shared" ref="B29:AC29" si="44">IF(B$2="-","",(IF(B89="","",IF(B$4&lt;$A29,B89,(B89-B$3)/(1+B$3%)))))</f>
        <v>10.43226514924628</v>
      </c>
      <c r="C29" s="303">
        <f t="shared" si="44"/>
        <v>18.078419634839872</v>
      </c>
      <c r="D29" s="303">
        <f t="shared" si="44"/>
        <v>9.89</v>
      </c>
      <c r="E29" s="303">
        <f t="shared" si="44"/>
        <v>1.53</v>
      </c>
      <c r="F29" s="303">
        <f t="shared" si="44"/>
        <v>14.037713259503143</v>
      </c>
      <c r="G29" s="303">
        <f t="shared" si="44"/>
        <v>23.515913399181883</v>
      </c>
      <c r="H29" s="303">
        <f t="shared" si="44"/>
        <v>18.7</v>
      </c>
      <c r="I29" s="303">
        <f t="shared" si="44"/>
        <v>13.139778509428314</v>
      </c>
      <c r="J29" s="303">
        <f t="shared" si="44"/>
        <v>24.429450287755504</v>
      </c>
      <c r="K29" s="303">
        <f t="shared" si="44"/>
        <v>19.389587073608617</v>
      </c>
      <c r="L29" s="303">
        <f t="shared" si="44"/>
        <v>32.780497552203016</v>
      </c>
      <c r="M29" s="303">
        <f t="shared" si="44"/>
        <v>74.225057310874107</v>
      </c>
      <c r="N29" s="303">
        <f t="shared" si="44"/>
        <v>38.879465176611454</v>
      </c>
      <c r="O29" s="303">
        <f t="shared" si="44"/>
        <v>35.46</v>
      </c>
      <c r="P29" s="303">
        <f t="shared" si="44"/>
        <v>29.13</v>
      </c>
      <c r="Q29" s="303">
        <f t="shared" si="44"/>
        <v>40.4</v>
      </c>
      <c r="R29" s="303">
        <f t="shared" si="44"/>
        <v>6.4207720209574068</v>
      </c>
      <c r="S29" s="303">
        <f t="shared" si="44"/>
        <v>16.79</v>
      </c>
      <c r="T29" s="303">
        <f t="shared" si="44"/>
        <v>11.43</v>
      </c>
      <c r="U29" s="303">
        <f t="shared" si="44"/>
        <v>9.68</v>
      </c>
      <c r="V29" s="303">
        <f t="shared" si="44"/>
        <v>2.86</v>
      </c>
      <c r="W29" s="303">
        <f t="shared" si="44"/>
        <v>15.469061876247505</v>
      </c>
      <c r="X29" s="303">
        <f t="shared" si="44"/>
        <v>13.52</v>
      </c>
      <c r="Y29" s="303">
        <f t="shared" si="44"/>
        <v>14.65</v>
      </c>
      <c r="Z29" s="303">
        <f t="shared" si="44"/>
        <v>19.37</v>
      </c>
      <c r="AA29" s="303">
        <f t="shared" si="44"/>
        <v>6.41</v>
      </c>
      <c r="AB29" s="303">
        <f t="shared" si="44"/>
        <v>17.209144796602125</v>
      </c>
      <c r="AC29" s="303">
        <f t="shared" si="44"/>
        <v>33.894590016937336</v>
      </c>
      <c r="AD29" s="303" t="str">
        <f t="shared" ref="AD29:AL29" si="45">IF(AD$2="-",0,(IF(AD89="","",IF(AD$4&lt;$A29,AD89,(AD89-AD$3)/(1+AD$3%)))))</f>
        <v/>
      </c>
      <c r="AE29" s="303" t="str">
        <f t="shared" si="45"/>
        <v/>
      </c>
      <c r="AF29" s="303" t="str">
        <f t="shared" si="45"/>
        <v/>
      </c>
      <c r="AG29" s="303" t="str">
        <f t="shared" si="45"/>
        <v/>
      </c>
      <c r="AH29" s="303" t="str">
        <f t="shared" si="45"/>
        <v/>
      </c>
      <c r="AI29" s="303" t="str">
        <f t="shared" si="45"/>
        <v/>
      </c>
      <c r="AJ29" s="303" t="str">
        <f t="shared" si="45"/>
        <v/>
      </c>
      <c r="AK29" s="303" t="str">
        <f t="shared" si="45"/>
        <v/>
      </c>
      <c r="AL29" s="303" t="str">
        <f t="shared" si="45"/>
        <v/>
      </c>
      <c r="AM29" s="303">
        <f t="shared" si="2"/>
        <v>2.748414376321362</v>
      </c>
      <c r="AN29" s="305"/>
    </row>
    <row r="30" spans="1:40">
      <c r="A30" s="58">
        <f t="shared" si="3"/>
        <v>1994</v>
      </c>
      <c r="B30" s="303">
        <f t="shared" ref="B30:AC30" si="46">IF(B$2="-","",(IF(B90="","",IF(B$4&lt;$A30,B90,(B90-B$3)/(1+B$3%)))))</f>
        <v>-0.17</v>
      </c>
      <c r="C30" s="303">
        <f t="shared" si="46"/>
        <v>-0.73</v>
      </c>
      <c r="D30" s="303">
        <f t="shared" si="46"/>
        <v>1.18</v>
      </c>
      <c r="E30" s="303">
        <f t="shared" si="46"/>
        <v>2.89</v>
      </c>
      <c r="F30" s="303">
        <f t="shared" si="46"/>
        <v>-2.3246532974159435</v>
      </c>
      <c r="G30" s="303">
        <f t="shared" si="46"/>
        <v>-1.7260301306993915</v>
      </c>
      <c r="H30" s="303">
        <f t="shared" si="46"/>
        <v>-0.51</v>
      </c>
      <c r="I30" s="303">
        <f t="shared" si="46"/>
        <v>-2.6239648807742193</v>
      </c>
      <c r="J30" s="303">
        <f t="shared" si="46"/>
        <v>-3.6515181583647545</v>
      </c>
      <c r="K30" s="303">
        <f t="shared" si="46"/>
        <v>2.9323758228605632</v>
      </c>
      <c r="L30" s="303">
        <f t="shared" si="46"/>
        <v>8.0027974822659615</v>
      </c>
      <c r="M30" s="303">
        <f t="shared" si="46"/>
        <v>-7.6049038174025707</v>
      </c>
      <c r="N30" s="303">
        <f t="shared" si="46"/>
        <v>5.5577728996208347</v>
      </c>
      <c r="O30" s="303">
        <f t="shared" si="46"/>
        <v>13.04</v>
      </c>
      <c r="P30" s="303">
        <f t="shared" si="46"/>
        <v>1.88</v>
      </c>
      <c r="Q30" s="303">
        <f t="shared" si="46"/>
        <v>11.4</v>
      </c>
      <c r="R30" s="303">
        <f t="shared" si="46"/>
        <v>5.8917653646927146</v>
      </c>
      <c r="S30" s="303">
        <f t="shared" si="46"/>
        <v>-7.03</v>
      </c>
      <c r="T30" s="303">
        <f t="shared" si="46"/>
        <v>-4.33</v>
      </c>
      <c r="U30" s="303">
        <f t="shared" si="46"/>
        <v>-2.66</v>
      </c>
      <c r="V30" s="303">
        <f t="shared" si="46"/>
        <v>3.81</v>
      </c>
      <c r="W30" s="303">
        <f t="shared" si="46"/>
        <v>2.9940119760479043</v>
      </c>
      <c r="X30" s="303">
        <f t="shared" si="46"/>
        <v>-0.49</v>
      </c>
      <c r="Y30" s="303">
        <f t="shared" si="46"/>
        <v>-4.4400000000000004</v>
      </c>
      <c r="Z30" s="303">
        <f t="shared" si="46"/>
        <v>-0.15</v>
      </c>
      <c r="AA30" s="303">
        <f t="shared" si="46"/>
        <v>-0.57999999999999996</v>
      </c>
      <c r="AB30" s="303">
        <f t="shared" si="46"/>
        <v>-2.5595130645255608</v>
      </c>
      <c r="AC30" s="303">
        <f t="shared" si="46"/>
        <v>15.48271395835409</v>
      </c>
      <c r="AD30" s="303" t="str">
        <f t="shared" ref="AD30:AL30" si="47">IF(AD$2="-",0,(IF(AD90="","",IF(AD$4&lt;$A30,AD90,(AD90-AD$3)/(1+AD$3%)))))</f>
        <v/>
      </c>
      <c r="AE30" s="303" t="str">
        <f t="shared" si="47"/>
        <v/>
      </c>
      <c r="AF30" s="303" t="str">
        <f t="shared" si="47"/>
        <v/>
      </c>
      <c r="AG30" s="303" t="str">
        <f t="shared" si="47"/>
        <v/>
      </c>
      <c r="AH30" s="303" t="str">
        <f t="shared" si="47"/>
        <v/>
      </c>
      <c r="AI30" s="303" t="str">
        <f t="shared" si="47"/>
        <v/>
      </c>
      <c r="AJ30" s="303" t="str">
        <f t="shared" si="47"/>
        <v/>
      </c>
      <c r="AK30" s="303" t="str">
        <f t="shared" si="47"/>
        <v/>
      </c>
      <c r="AL30" s="303" t="str">
        <f t="shared" si="47"/>
        <v/>
      </c>
      <c r="AM30" s="303">
        <f t="shared" si="2"/>
        <v>2.6748971193415461</v>
      </c>
      <c r="AN30" s="305"/>
    </row>
    <row r="31" spans="1:40">
      <c r="A31" s="58">
        <f t="shared" si="3"/>
        <v>1995</v>
      </c>
      <c r="B31" s="303">
        <f t="shared" ref="B31:AC31" si="48">IF(B$2="-","",(IF(B91="","",IF(B$4&lt;$A31,B91,(B91-B$3)/(1+B$3%)))))</f>
        <v>35.79</v>
      </c>
      <c r="C31" s="303">
        <f t="shared" si="48"/>
        <v>36.94</v>
      </c>
      <c r="D31" s="303">
        <f t="shared" si="48"/>
        <v>37.450000000000003</v>
      </c>
      <c r="E31" s="303">
        <f t="shared" si="48"/>
        <v>38.06</v>
      </c>
      <c r="F31" s="303">
        <f t="shared" si="48"/>
        <v>34.091589344507632</v>
      </c>
      <c r="G31" s="303">
        <f t="shared" si="48"/>
        <v>25.511323954903723</v>
      </c>
      <c r="H31" s="303">
        <f t="shared" si="48"/>
        <v>28.74</v>
      </c>
      <c r="I31" s="303">
        <f t="shared" si="48"/>
        <v>30.699391399780506</v>
      </c>
      <c r="J31" s="303">
        <f t="shared" si="48"/>
        <v>29.093074022623536</v>
      </c>
      <c r="K31" s="303">
        <f t="shared" si="48"/>
        <v>15.000997406742471</v>
      </c>
      <c r="L31" s="303">
        <f t="shared" si="48"/>
        <v>11.499650314716757</v>
      </c>
      <c r="M31" s="303">
        <f t="shared" si="48"/>
        <v>0.22924349646167649</v>
      </c>
      <c r="N31" s="303">
        <f t="shared" si="48"/>
        <v>9.7026541608461372</v>
      </c>
      <c r="O31" s="303">
        <f t="shared" si="48"/>
        <v>2.75</v>
      </c>
      <c r="P31" s="303">
        <f t="shared" si="48"/>
        <v>22.28</v>
      </c>
      <c r="Q31" s="303">
        <f t="shared" si="48"/>
        <v>11.7</v>
      </c>
      <c r="R31" s="303">
        <f t="shared" si="48"/>
        <v>24.288496846677518</v>
      </c>
      <c r="S31" s="303">
        <f t="shared" si="48"/>
        <v>30.11</v>
      </c>
      <c r="T31" s="303">
        <f t="shared" si="48"/>
        <v>20.440000000000001</v>
      </c>
      <c r="U31" s="303">
        <f t="shared" si="48"/>
        <v>18.18</v>
      </c>
      <c r="V31" s="303">
        <f t="shared" si="48"/>
        <v>5.49</v>
      </c>
      <c r="W31" s="303">
        <f t="shared" si="48"/>
        <v>0.5988023952095809</v>
      </c>
      <c r="X31" s="303">
        <f t="shared" si="48"/>
        <v>32.92</v>
      </c>
      <c r="Y31" s="303">
        <f t="shared" si="48"/>
        <v>28.91</v>
      </c>
      <c r="Z31" s="303">
        <f t="shared" si="48"/>
        <v>30.15</v>
      </c>
      <c r="AA31" s="303">
        <f t="shared" si="48"/>
        <v>12.11</v>
      </c>
      <c r="AB31" s="303">
        <f t="shared" si="48"/>
        <v>0.57616890559094336</v>
      </c>
      <c r="AC31" s="303">
        <f t="shared" si="48"/>
        <v>2.2815582345322305</v>
      </c>
      <c r="AD31" s="303" t="str">
        <f t="shared" ref="AD31:AL31" si="49">IF(AD$2="-",0,(IF(AD91="","",IF(AD$4&lt;$A31,AD91,(AD91-AD$3)/(1+AD$3%)))))</f>
        <v/>
      </c>
      <c r="AE31" s="303" t="str">
        <f t="shared" si="49"/>
        <v/>
      </c>
      <c r="AF31" s="303" t="str">
        <f t="shared" si="49"/>
        <v/>
      </c>
      <c r="AG31" s="303" t="str">
        <f t="shared" si="49"/>
        <v/>
      </c>
      <c r="AH31" s="303" t="str">
        <f t="shared" si="49"/>
        <v/>
      </c>
      <c r="AI31" s="303" t="str">
        <f t="shared" si="49"/>
        <v/>
      </c>
      <c r="AJ31" s="303" t="str">
        <f t="shared" si="49"/>
        <v/>
      </c>
      <c r="AK31" s="303" t="str">
        <f t="shared" si="49"/>
        <v/>
      </c>
      <c r="AL31" s="303" t="str">
        <f t="shared" si="49"/>
        <v/>
      </c>
      <c r="AM31" s="303">
        <f t="shared" si="2"/>
        <v>2.5384101536406245</v>
      </c>
      <c r="AN31" s="305"/>
    </row>
    <row r="32" spans="1:40">
      <c r="A32" s="58">
        <f t="shared" si="3"/>
        <v>1996</v>
      </c>
      <c r="B32" s="303">
        <f t="shared" ref="B32:AC32" si="50">IF(B$2="-","",(IF(B92="","",IF(B$4&lt;$A32,B92,(B92-B$3)/(1+B$3%)))))</f>
        <v>20.96</v>
      </c>
      <c r="C32" s="303">
        <f t="shared" si="50"/>
        <v>21.86</v>
      </c>
      <c r="D32" s="303">
        <f t="shared" si="50"/>
        <v>22.88</v>
      </c>
      <c r="E32" s="303">
        <f t="shared" si="50"/>
        <v>23.74</v>
      </c>
      <c r="F32" s="303">
        <f t="shared" si="50"/>
        <v>18.726928065449467</v>
      </c>
      <c r="G32" s="303">
        <f t="shared" si="50"/>
        <v>21.121420732315674</v>
      </c>
      <c r="H32" s="303">
        <f t="shared" si="50"/>
        <v>18.12</v>
      </c>
      <c r="I32" s="303">
        <f t="shared" si="50"/>
        <v>11.044597425920383</v>
      </c>
      <c r="J32" s="303">
        <f t="shared" si="50"/>
        <v>15.896011113316133</v>
      </c>
      <c r="K32" s="303">
        <f t="shared" si="50"/>
        <v>34.94913225613405</v>
      </c>
      <c r="L32" s="303">
        <f t="shared" si="50"/>
        <v>6.3043261065041474</v>
      </c>
      <c r="M32" s="303">
        <f t="shared" si="50"/>
        <v>15.83</v>
      </c>
      <c r="N32" s="303">
        <f t="shared" si="50"/>
        <v>7.5778287766912804</v>
      </c>
      <c r="O32" s="303">
        <f t="shared" si="50"/>
        <v>-7.82</v>
      </c>
      <c r="P32" s="303">
        <f t="shared" si="50"/>
        <v>21.26</v>
      </c>
      <c r="Q32" s="303">
        <f t="shared" si="50"/>
        <v>9.1999999999999993</v>
      </c>
      <c r="R32" s="303">
        <f t="shared" si="50"/>
        <v>18.346666411050315</v>
      </c>
      <c r="S32" s="303">
        <f t="shared" si="50"/>
        <v>-1.25</v>
      </c>
      <c r="T32" s="303">
        <f t="shared" si="50"/>
        <v>1.92</v>
      </c>
      <c r="U32" s="303">
        <f t="shared" si="50"/>
        <v>3.58</v>
      </c>
      <c r="V32" s="303">
        <f t="shared" si="50"/>
        <v>5.09</v>
      </c>
      <c r="W32" s="303">
        <f t="shared" si="50"/>
        <v>3.8922155688622748</v>
      </c>
      <c r="X32" s="303">
        <f t="shared" si="50"/>
        <v>16.190000000000001</v>
      </c>
      <c r="Y32" s="303">
        <f t="shared" si="50"/>
        <v>9.42</v>
      </c>
      <c r="Z32" s="303">
        <f t="shared" si="50"/>
        <v>26.36</v>
      </c>
      <c r="AA32" s="303">
        <f t="shared" si="50"/>
        <v>4.3899999999999997</v>
      </c>
      <c r="AB32" s="303">
        <f t="shared" si="50"/>
        <v>-4.9666965214079086</v>
      </c>
      <c r="AC32" s="303">
        <f t="shared" si="50"/>
        <v>4.0151439673209124</v>
      </c>
      <c r="AD32" s="303" t="str">
        <f t="shared" ref="AD32:AL32" si="51">IF(AD$2="-",0,(IF(AD92="","",IF(AD$4&lt;$A32,AD92,(AD92-AD$3)/(1+AD$3%)))))</f>
        <v/>
      </c>
      <c r="AE32" s="303" t="str">
        <f t="shared" si="51"/>
        <v/>
      </c>
      <c r="AF32" s="303" t="str">
        <f t="shared" si="51"/>
        <v/>
      </c>
      <c r="AG32" s="303" t="str">
        <f t="shared" si="51"/>
        <v/>
      </c>
      <c r="AH32" s="303" t="str">
        <f t="shared" si="51"/>
        <v/>
      </c>
      <c r="AI32" s="303" t="str">
        <f t="shared" si="51"/>
        <v/>
      </c>
      <c r="AJ32" s="303" t="str">
        <f t="shared" si="51"/>
        <v/>
      </c>
      <c r="AK32" s="303" t="str">
        <f t="shared" si="51"/>
        <v/>
      </c>
      <c r="AL32" s="303" t="str">
        <f t="shared" si="51"/>
        <v/>
      </c>
      <c r="AM32" s="303">
        <f t="shared" si="2"/>
        <v>3.3224755700325792</v>
      </c>
      <c r="AN32" s="57"/>
    </row>
    <row r="33" spans="1:40">
      <c r="A33" s="58">
        <f t="shared" si="3"/>
        <v>1997</v>
      </c>
      <c r="B33" s="303">
        <f t="shared" ref="B33:AC33" si="52">IF(B$2="-","",(IF(B93="","",IF(B$4&lt;$A33,B93,(B93-B$3)/(1+B$3%)))))</f>
        <v>30.99</v>
      </c>
      <c r="C33" s="303">
        <f t="shared" si="52"/>
        <v>29.77</v>
      </c>
      <c r="D33" s="303">
        <f t="shared" si="52"/>
        <v>33.19</v>
      </c>
      <c r="E33" s="303">
        <f t="shared" si="52"/>
        <v>36.340000000000003</v>
      </c>
      <c r="F33" s="303">
        <f t="shared" si="52"/>
        <v>28.703980844058666</v>
      </c>
      <c r="G33" s="303">
        <f t="shared" si="52"/>
        <v>31.497555622069243</v>
      </c>
      <c r="H33" s="303">
        <f t="shared" si="52"/>
        <v>24.59</v>
      </c>
      <c r="I33" s="303">
        <f t="shared" si="52"/>
        <v>12.640925870497854</v>
      </c>
      <c r="J33" s="303">
        <f t="shared" si="52"/>
        <v>20.55963484818416</v>
      </c>
      <c r="K33" s="303">
        <f t="shared" si="52"/>
        <v>18.461998803111907</v>
      </c>
      <c r="L33" s="303">
        <f t="shared" si="52"/>
        <v>2.0081926266360282</v>
      </c>
      <c r="M33" s="303">
        <f t="shared" si="52"/>
        <v>-16.82</v>
      </c>
      <c r="N33" s="303">
        <f t="shared" si="52"/>
        <v>-0.98782678108162048</v>
      </c>
      <c r="O33" s="303">
        <f t="shared" si="52"/>
        <v>-25.67</v>
      </c>
      <c r="P33" s="303">
        <f t="shared" si="52"/>
        <v>24.23</v>
      </c>
      <c r="Q33" s="303">
        <f t="shared" si="52"/>
        <v>-4.58</v>
      </c>
      <c r="R33" s="303">
        <f t="shared" si="52"/>
        <v>-1.0029287797843425</v>
      </c>
      <c r="S33" s="303">
        <f t="shared" si="52"/>
        <v>13.9</v>
      </c>
      <c r="T33" s="303">
        <f t="shared" si="52"/>
        <v>8.9600000000000009</v>
      </c>
      <c r="U33" s="303">
        <f t="shared" si="52"/>
        <v>9.44</v>
      </c>
      <c r="V33" s="303">
        <f t="shared" si="52"/>
        <v>5.12</v>
      </c>
      <c r="W33" s="303">
        <f t="shared" si="52"/>
        <v>7.7844311377245505</v>
      </c>
      <c r="X33" s="303">
        <f t="shared" si="52"/>
        <v>23.23</v>
      </c>
      <c r="Y33" s="303">
        <f t="shared" si="52"/>
        <v>20.190000000000001</v>
      </c>
      <c r="Z33" s="303">
        <f t="shared" si="52"/>
        <v>21.97</v>
      </c>
      <c r="AA33" s="303">
        <f t="shared" si="52"/>
        <v>6.39</v>
      </c>
      <c r="AB33" s="303">
        <f t="shared" si="52"/>
        <v>-21.721374488505017</v>
      </c>
      <c r="AC33" s="303">
        <f t="shared" si="52"/>
        <v>-14.446547773239015</v>
      </c>
      <c r="AD33" s="303" t="str">
        <f t="shared" ref="AD33:AL33" si="53">IF(AD$2="-",0,(IF(AD93="","",IF(AD$4&lt;$A33,AD93,(AD93-AD$3)/(1+AD$3%)))))</f>
        <v/>
      </c>
      <c r="AE33" s="303" t="str">
        <f t="shared" si="53"/>
        <v/>
      </c>
      <c r="AF33" s="303" t="str">
        <f t="shared" si="53"/>
        <v/>
      </c>
      <c r="AG33" s="303" t="str">
        <f t="shared" si="53"/>
        <v/>
      </c>
      <c r="AH33" s="303" t="str">
        <f t="shared" si="53"/>
        <v/>
      </c>
      <c r="AI33" s="303" t="str">
        <f t="shared" si="53"/>
        <v/>
      </c>
      <c r="AJ33" s="303" t="str">
        <f t="shared" si="53"/>
        <v/>
      </c>
      <c r="AK33" s="303" t="str">
        <f t="shared" si="53"/>
        <v/>
      </c>
      <c r="AL33" s="303" t="str">
        <f t="shared" si="53"/>
        <v/>
      </c>
      <c r="AM33" s="303">
        <f t="shared" si="2"/>
        <v>1.7023959646910614</v>
      </c>
      <c r="AN33" s="57"/>
    </row>
    <row r="34" spans="1:40">
      <c r="A34" s="58">
        <f t="shared" si="3"/>
        <v>1998</v>
      </c>
      <c r="B34" s="303">
        <f t="shared" ref="B34:AC34" si="54">IF(B$2="-","",(IF(B94="","",IF(B$4&lt;$A34,B94,(B94-B$3)/(1+B$3%)))))</f>
        <v>23.26</v>
      </c>
      <c r="C34" s="303">
        <f t="shared" si="54"/>
        <v>14.64</v>
      </c>
      <c r="D34" s="303">
        <f t="shared" si="54"/>
        <v>28.62</v>
      </c>
      <c r="E34" s="303">
        <f t="shared" si="54"/>
        <v>42.21</v>
      </c>
      <c r="F34" s="303">
        <f t="shared" si="54"/>
        <v>9.847351092487278</v>
      </c>
      <c r="G34" s="303">
        <f t="shared" si="54"/>
        <v>-6.7145565200039918</v>
      </c>
      <c r="H34" s="303">
        <f t="shared" si="54"/>
        <v>-2.61</v>
      </c>
      <c r="I34" s="303">
        <f t="shared" si="54"/>
        <v>0.96777411952509229</v>
      </c>
      <c r="J34" s="303">
        <f t="shared" si="54"/>
        <v>-2.56995435602302</v>
      </c>
      <c r="K34" s="303">
        <f t="shared" si="54"/>
        <v>-16.32</v>
      </c>
      <c r="L34" s="303">
        <f t="shared" si="54"/>
        <v>20.191827355380159</v>
      </c>
      <c r="M34" s="303">
        <f t="shared" si="54"/>
        <v>-18.12</v>
      </c>
      <c r="N34" s="303">
        <f t="shared" si="54"/>
        <v>15.6</v>
      </c>
      <c r="O34" s="303">
        <f t="shared" si="54"/>
        <v>2.41</v>
      </c>
      <c r="P34" s="303">
        <f t="shared" si="54"/>
        <v>28.86</v>
      </c>
      <c r="Q34" s="303">
        <f t="shared" si="54"/>
        <v>19.46</v>
      </c>
      <c r="R34" s="303">
        <f t="shared" si="54"/>
        <v>-25.303110444349187</v>
      </c>
      <c r="S34" s="303">
        <f t="shared" si="54"/>
        <v>13.05</v>
      </c>
      <c r="T34" s="303">
        <f t="shared" si="54"/>
        <v>10.61</v>
      </c>
      <c r="U34" s="303">
        <f t="shared" si="54"/>
        <v>8.58</v>
      </c>
      <c r="V34" s="303">
        <f t="shared" si="54"/>
        <v>5</v>
      </c>
      <c r="W34" s="303">
        <f t="shared" si="54"/>
        <v>2.5948103792415167</v>
      </c>
      <c r="X34" s="303">
        <f t="shared" si="54"/>
        <v>12.06</v>
      </c>
      <c r="Y34" s="303">
        <f t="shared" si="54"/>
        <v>11.84</v>
      </c>
      <c r="Z34" s="303">
        <f t="shared" si="54"/>
        <v>0.81</v>
      </c>
      <c r="AA34" s="303">
        <f t="shared" si="54"/>
        <v>7.36</v>
      </c>
      <c r="AB34" s="303">
        <f t="shared" si="54"/>
        <v>-1.2221273417700587</v>
      </c>
      <c r="AC34" s="303">
        <f t="shared" si="54"/>
        <v>25.98</v>
      </c>
      <c r="AD34" s="303" t="str">
        <f t="shared" ref="AD34:AL34" si="55">IF(AD$2="-",0,(IF(AD94="","",IF(AD$4&lt;$A34,AD94,(AD94-AD$3)/(1+AD$3%)))))</f>
        <v/>
      </c>
      <c r="AE34" s="303" t="str">
        <f t="shared" si="55"/>
        <v/>
      </c>
      <c r="AF34" s="303" t="str">
        <f t="shared" si="55"/>
        <v/>
      </c>
      <c r="AG34" s="303" t="str">
        <f t="shared" si="55"/>
        <v/>
      </c>
      <c r="AH34" s="303" t="str">
        <f t="shared" si="55"/>
        <v/>
      </c>
      <c r="AI34" s="303" t="str">
        <f t="shared" si="55"/>
        <v/>
      </c>
      <c r="AJ34" s="303" t="str">
        <f t="shared" si="55"/>
        <v/>
      </c>
      <c r="AK34" s="303" t="str">
        <f t="shared" si="55"/>
        <v/>
      </c>
      <c r="AL34" s="303" t="str">
        <f t="shared" si="55"/>
        <v/>
      </c>
      <c r="AM34" s="303">
        <f t="shared" si="2"/>
        <v>1.6119032858028515</v>
      </c>
      <c r="AN34" s="57"/>
    </row>
    <row r="35" spans="1:40">
      <c r="A35" s="58">
        <f t="shared" si="3"/>
        <v>1999</v>
      </c>
      <c r="B35" s="303">
        <f t="shared" ref="B35:AC35" si="56">IF(B$2="-","",(IF(B95="","",IF(B$4&lt;$A35,B95,(B95-B$3)/(1+B$3%)))))</f>
        <v>23.81</v>
      </c>
      <c r="C35" s="303">
        <f t="shared" si="56"/>
        <v>12.57</v>
      </c>
      <c r="D35" s="303">
        <f t="shared" si="56"/>
        <v>21.07</v>
      </c>
      <c r="E35" s="303">
        <f t="shared" si="56"/>
        <v>28.76</v>
      </c>
      <c r="F35" s="303">
        <f t="shared" si="56"/>
        <v>15.055372642921281</v>
      </c>
      <c r="G35" s="303">
        <f t="shared" si="56"/>
        <v>3.1128404669260701</v>
      </c>
      <c r="H35" s="303">
        <f t="shared" si="56"/>
        <v>23.13</v>
      </c>
      <c r="I35" s="303">
        <f t="shared" si="56"/>
        <v>19.525092287738204</v>
      </c>
      <c r="J35" s="303">
        <f t="shared" si="56"/>
        <v>31.49</v>
      </c>
      <c r="K35" s="303">
        <f t="shared" si="56"/>
        <v>-4.04</v>
      </c>
      <c r="L35" s="303">
        <f t="shared" si="56"/>
        <v>27.185533020281749</v>
      </c>
      <c r="M35" s="303">
        <f t="shared" si="56"/>
        <v>61.57</v>
      </c>
      <c r="N35" s="303">
        <f t="shared" si="56"/>
        <v>29.92</v>
      </c>
      <c r="O35" s="303">
        <f t="shared" si="56"/>
        <v>57.05</v>
      </c>
      <c r="P35" s="303">
        <f t="shared" si="56"/>
        <v>16.62</v>
      </c>
      <c r="Q35" s="303">
        <f t="shared" si="56"/>
        <v>21.81</v>
      </c>
      <c r="R35" s="303">
        <f t="shared" si="56"/>
        <v>19.658254566019316</v>
      </c>
      <c r="S35" s="303">
        <f t="shared" si="56"/>
        <v>-8.66</v>
      </c>
      <c r="T35" s="303">
        <f t="shared" si="56"/>
        <v>-3.52</v>
      </c>
      <c r="U35" s="303">
        <f t="shared" si="56"/>
        <v>-0.76</v>
      </c>
      <c r="V35" s="303">
        <f t="shared" si="56"/>
        <v>4.55</v>
      </c>
      <c r="W35" s="303">
        <f t="shared" si="56"/>
        <v>7.6846307385229542</v>
      </c>
      <c r="X35" s="303">
        <f t="shared" si="56"/>
        <v>4.41</v>
      </c>
      <c r="Y35" s="303">
        <f t="shared" si="56"/>
        <v>-4.1399999999999997</v>
      </c>
      <c r="Z35" s="303">
        <f t="shared" si="56"/>
        <v>11.57</v>
      </c>
      <c r="AA35" s="303">
        <f t="shared" si="56"/>
        <v>1.85</v>
      </c>
      <c r="AB35" s="303">
        <f t="shared" si="56"/>
        <v>0.44948766435300785</v>
      </c>
      <c r="AC35" s="303">
        <f t="shared" si="56"/>
        <v>90.29</v>
      </c>
      <c r="AD35" s="303" t="str">
        <f t="shared" ref="AD35:AL35" si="57">IF(AD$2="-",0,(IF(AD95="","",IF(AD$4&lt;$A35,AD95,(AD95-AD$3)/(1+AD$3%)))))</f>
        <v/>
      </c>
      <c r="AE35" s="303" t="str">
        <f t="shared" si="57"/>
        <v/>
      </c>
      <c r="AF35" s="303" t="str">
        <f t="shared" si="57"/>
        <v/>
      </c>
      <c r="AG35" s="303" t="str">
        <f t="shared" si="57"/>
        <v/>
      </c>
      <c r="AH35" s="303" t="str">
        <f t="shared" si="57"/>
        <v/>
      </c>
      <c r="AI35" s="303" t="str">
        <f t="shared" si="57"/>
        <v/>
      </c>
      <c r="AJ35" s="303" t="str">
        <f t="shared" si="57"/>
        <v/>
      </c>
      <c r="AK35" s="303" t="str">
        <f t="shared" si="57"/>
        <v/>
      </c>
      <c r="AL35" s="303" t="str">
        <f t="shared" si="57"/>
        <v/>
      </c>
      <c r="AM35" s="303">
        <f t="shared" si="2"/>
        <v>2.6845637583892579</v>
      </c>
      <c r="AN35" s="57"/>
    </row>
    <row r="36" spans="1:40">
      <c r="A36" s="58">
        <f t="shared" si="3"/>
        <v>2000</v>
      </c>
      <c r="B36" s="303">
        <f t="shared" ref="B36:AC36" si="58">IF(B$2="-","",(IF(B96="","",IF(B$4&lt;$A36,B96,(B96-B$3)/(1+B$3%)))))</f>
        <v>-10.57</v>
      </c>
      <c r="C36" s="303">
        <f t="shared" si="58"/>
        <v>6.08</v>
      </c>
      <c r="D36" s="303">
        <f t="shared" si="58"/>
        <v>-9.06</v>
      </c>
      <c r="E36" s="303">
        <f t="shared" si="58"/>
        <v>-22.21</v>
      </c>
      <c r="F36" s="303">
        <f t="shared" si="58"/>
        <v>18.100000000000001</v>
      </c>
      <c r="G36" s="303">
        <f t="shared" si="58"/>
        <v>21.88</v>
      </c>
      <c r="H36" s="303">
        <f t="shared" si="58"/>
        <v>-2.67</v>
      </c>
      <c r="I36" s="303">
        <f t="shared" si="58"/>
        <v>1.59</v>
      </c>
      <c r="J36" s="303">
        <f t="shared" si="58"/>
        <v>0.67</v>
      </c>
      <c r="K36" s="303">
        <f t="shared" si="58"/>
        <v>26.35</v>
      </c>
      <c r="L36" s="303">
        <f t="shared" si="58"/>
        <v>-14.367069637326408</v>
      </c>
      <c r="M36" s="303">
        <f t="shared" si="58"/>
        <v>-27.56</v>
      </c>
      <c r="N36" s="303">
        <f t="shared" si="58"/>
        <v>-15.61</v>
      </c>
      <c r="O36" s="303">
        <f t="shared" si="58"/>
        <v>-25.74</v>
      </c>
      <c r="P36" s="303">
        <f t="shared" si="58"/>
        <v>-8.18</v>
      </c>
      <c r="Q36" s="303">
        <f t="shared" si="58"/>
        <v>-7.48</v>
      </c>
      <c r="R36" s="303">
        <f t="shared" si="58"/>
        <v>35.83076587950972</v>
      </c>
      <c r="S36" s="303">
        <f t="shared" si="58"/>
        <v>19.72</v>
      </c>
      <c r="T36" s="303">
        <f t="shared" si="58"/>
        <v>14.03</v>
      </c>
      <c r="U36" s="303">
        <f t="shared" si="58"/>
        <v>11.39</v>
      </c>
      <c r="V36" s="303">
        <f t="shared" si="58"/>
        <v>5.8</v>
      </c>
      <c r="W36" s="303">
        <f t="shared" si="58"/>
        <v>4.5908183632734527</v>
      </c>
      <c r="X36" s="303">
        <f t="shared" si="58"/>
        <v>10.4</v>
      </c>
      <c r="Y36" s="303">
        <f t="shared" si="58"/>
        <v>16.170000000000002</v>
      </c>
      <c r="Z36" s="303">
        <f t="shared" si="58"/>
        <v>15.89</v>
      </c>
      <c r="AA36" s="303">
        <f t="shared" si="58"/>
        <v>8.83</v>
      </c>
      <c r="AB36" s="303">
        <f t="shared" si="58"/>
        <v>-5.8203019103602864</v>
      </c>
      <c r="AC36" s="303">
        <f t="shared" si="58"/>
        <v>-2.68</v>
      </c>
      <c r="AD36" s="303" t="str">
        <f t="shared" ref="AD36:AL36" si="59">IF(AD$2="-",0,(IF(AD96="","",IF(AD$4&lt;$A36,AD96,(AD96-AD$3)/(1+AD$3%)))))</f>
        <v/>
      </c>
      <c r="AE36" s="303" t="str">
        <f t="shared" si="59"/>
        <v/>
      </c>
      <c r="AF36" s="303" t="str">
        <f t="shared" si="59"/>
        <v/>
      </c>
      <c r="AG36" s="303" t="str">
        <f t="shared" si="59"/>
        <v/>
      </c>
      <c r="AH36" s="303" t="str">
        <f t="shared" si="59"/>
        <v/>
      </c>
      <c r="AI36" s="303" t="str">
        <f t="shared" si="59"/>
        <v/>
      </c>
      <c r="AJ36" s="303" t="str">
        <f t="shared" si="59"/>
        <v/>
      </c>
      <c r="AK36" s="303" t="str">
        <f t="shared" si="59"/>
        <v/>
      </c>
      <c r="AL36" s="303" t="str">
        <f t="shared" si="59"/>
        <v/>
      </c>
      <c r="AM36" s="303">
        <f t="shared" si="2"/>
        <v>3.3868092691621943</v>
      </c>
      <c r="AN36" s="57"/>
    </row>
    <row r="37" spans="1:40">
      <c r="A37" s="58">
        <f t="shared" si="3"/>
        <v>2001</v>
      </c>
      <c r="B37" s="303">
        <f t="shared" ref="B37:AC37" si="60">IF(B$2="-","",(IF(B97="","",IF(B$4&lt;$A37,B97,(B97-B$3)/(1+B$3%)))))</f>
        <v>-10.97</v>
      </c>
      <c r="C37" s="303">
        <f t="shared" si="60"/>
        <v>-11.88</v>
      </c>
      <c r="D37" s="303">
        <f t="shared" si="60"/>
        <v>-12.02</v>
      </c>
      <c r="E37" s="303">
        <f t="shared" si="60"/>
        <v>-12.93</v>
      </c>
      <c r="F37" s="303">
        <f t="shared" si="60"/>
        <v>-0.5</v>
      </c>
      <c r="G37" s="303">
        <f t="shared" si="60"/>
        <v>13.7</v>
      </c>
      <c r="H37" s="303">
        <f t="shared" si="60"/>
        <v>3.1</v>
      </c>
      <c r="I37" s="303">
        <f t="shared" si="60"/>
        <v>-0.78</v>
      </c>
      <c r="J37" s="303">
        <f t="shared" si="60"/>
        <v>23.98</v>
      </c>
      <c r="K37" s="303">
        <f t="shared" si="60"/>
        <v>12.35</v>
      </c>
      <c r="L37" s="303">
        <f t="shared" si="60"/>
        <v>-22.010190828254576</v>
      </c>
      <c r="M37" s="303">
        <f t="shared" si="60"/>
        <v>-2.88</v>
      </c>
      <c r="N37" s="303">
        <f t="shared" si="60"/>
        <v>-20.149999999999999</v>
      </c>
      <c r="O37" s="303">
        <f t="shared" si="60"/>
        <v>-26.34</v>
      </c>
      <c r="P37" s="303">
        <f t="shared" si="60"/>
        <v>-20.3</v>
      </c>
      <c r="Q37" s="303">
        <f t="shared" si="60"/>
        <v>-14.02</v>
      </c>
      <c r="R37" s="303">
        <f t="shared" si="60"/>
        <v>-15.248585151771607</v>
      </c>
      <c r="S37" s="303">
        <f t="shared" si="60"/>
        <v>4.3099999999999996</v>
      </c>
      <c r="T37" s="303">
        <f t="shared" si="60"/>
        <v>7.55</v>
      </c>
      <c r="U37" s="303">
        <f t="shared" si="60"/>
        <v>8.43</v>
      </c>
      <c r="V37" s="303">
        <f t="shared" si="60"/>
        <v>3.99</v>
      </c>
      <c r="W37" s="303">
        <f t="shared" si="60"/>
        <v>7.3952095808383236</v>
      </c>
      <c r="X37" s="303">
        <f t="shared" si="60"/>
        <v>4.1900000000000004</v>
      </c>
      <c r="Y37" s="303">
        <f t="shared" si="60"/>
        <v>7.39</v>
      </c>
      <c r="Z37" s="303">
        <f t="shared" si="60"/>
        <v>5.72</v>
      </c>
      <c r="AA37" s="303">
        <f t="shared" si="60"/>
        <v>7.8</v>
      </c>
      <c r="AB37" s="303">
        <f t="shared" si="60"/>
        <v>0.43629453764465242</v>
      </c>
      <c r="AC37" s="303">
        <f t="shared" si="60"/>
        <v>-22.52</v>
      </c>
      <c r="AD37" s="303" t="str">
        <f t="shared" ref="AD37:AL37" si="61">IF(AD$2="-",0,(IF(AD97="","",IF(AD$4&lt;$A37,AD97,(AD97-AD$3)/(1+AD$3%)))))</f>
        <v/>
      </c>
      <c r="AE37" s="303" t="str">
        <f t="shared" si="61"/>
        <v/>
      </c>
      <c r="AF37" s="303" t="str">
        <f t="shared" si="61"/>
        <v/>
      </c>
      <c r="AG37" s="303" t="str">
        <f t="shared" si="61"/>
        <v/>
      </c>
      <c r="AH37" s="303" t="str">
        <f t="shared" si="61"/>
        <v/>
      </c>
      <c r="AI37" s="303" t="str">
        <f t="shared" si="61"/>
        <v/>
      </c>
      <c r="AJ37" s="303" t="str">
        <f t="shared" si="61"/>
        <v/>
      </c>
      <c r="AK37" s="303" t="str">
        <f t="shared" si="61"/>
        <v/>
      </c>
      <c r="AL37" s="303" t="str">
        <f t="shared" si="61"/>
        <v/>
      </c>
      <c r="AM37" s="303">
        <f t="shared" si="2"/>
        <v>1.551724137931032</v>
      </c>
      <c r="AN37" s="57"/>
    </row>
    <row r="38" spans="1:40">
      <c r="A38" s="58">
        <f t="shared" si="3"/>
        <v>2002</v>
      </c>
      <c r="B38" s="303">
        <f t="shared" ref="B38:AC38" si="62">IF(B$2="-","",(IF(B98="","",IF(B$4&lt;$A38,B98,(B98-B$3)/(1+B$3%)))))</f>
        <v>-20.96</v>
      </c>
      <c r="C38" s="303">
        <f t="shared" si="62"/>
        <v>-20.91</v>
      </c>
      <c r="D38" s="303">
        <f t="shared" si="62"/>
        <v>-22.15</v>
      </c>
      <c r="E38" s="303">
        <f t="shared" si="62"/>
        <v>-23.68</v>
      </c>
      <c r="F38" s="303">
        <f t="shared" si="62"/>
        <v>-14.61</v>
      </c>
      <c r="G38" s="303">
        <f t="shared" si="62"/>
        <v>-14.2</v>
      </c>
      <c r="H38" s="303">
        <f t="shared" si="62"/>
        <v>-20.02</v>
      </c>
      <c r="I38" s="303">
        <f t="shared" si="62"/>
        <v>-15.41</v>
      </c>
      <c r="J38" s="303">
        <f t="shared" si="62"/>
        <v>4.9000000000000004</v>
      </c>
      <c r="K38" s="303">
        <f t="shared" si="62"/>
        <v>3.75</v>
      </c>
      <c r="L38" s="303">
        <f t="shared" si="62"/>
        <v>-15.620000000000001</v>
      </c>
      <c r="M38" s="303">
        <f t="shared" si="62"/>
        <v>-7.43</v>
      </c>
      <c r="N38" s="303">
        <f t="shared" si="62"/>
        <v>-15.08</v>
      </c>
      <c r="O38" s="303">
        <f t="shared" si="62"/>
        <v>-9.32</v>
      </c>
      <c r="P38" s="303">
        <f t="shared" si="62"/>
        <v>-17.95</v>
      </c>
      <c r="Q38" s="303">
        <f t="shared" si="62"/>
        <v>-13.35</v>
      </c>
      <c r="R38" s="303">
        <f t="shared" si="62"/>
        <v>39.929692473577198</v>
      </c>
      <c r="S38" s="303">
        <f t="shared" si="62"/>
        <v>16.670000000000002</v>
      </c>
      <c r="T38" s="303">
        <f t="shared" si="62"/>
        <v>14.15</v>
      </c>
      <c r="U38" s="303">
        <f t="shared" si="62"/>
        <v>8.26</v>
      </c>
      <c r="V38" s="303">
        <f t="shared" si="62"/>
        <v>1.51</v>
      </c>
      <c r="W38" s="303">
        <f t="shared" si="62"/>
        <v>16.61</v>
      </c>
      <c r="X38" s="303">
        <f t="shared" si="62"/>
        <v>-6.9</v>
      </c>
      <c r="Y38" s="303">
        <f t="shared" si="62"/>
        <v>4.6399999999999997</v>
      </c>
      <c r="Z38" s="303">
        <f t="shared" si="62"/>
        <v>-22.25</v>
      </c>
      <c r="AA38" s="303">
        <f t="shared" si="62"/>
        <v>8.02</v>
      </c>
      <c r="AB38" s="303">
        <f t="shared" si="62"/>
        <v>24.956362445430557</v>
      </c>
      <c r="AC38" s="303">
        <f t="shared" si="62"/>
        <v>-13.88</v>
      </c>
      <c r="AD38" s="303" t="str">
        <f t="shared" ref="AD38:AL38" si="63">IF(AD$2="-",0,(IF(AD98="","",IF(AD$4&lt;$A38,AD98,(AD98-AD$3)/(1+AD$3%)))))</f>
        <v/>
      </c>
      <c r="AE38" s="303" t="str">
        <f t="shared" si="63"/>
        <v/>
      </c>
      <c r="AF38" s="303" t="str">
        <f t="shared" si="63"/>
        <v/>
      </c>
      <c r="AG38" s="303" t="str">
        <f t="shared" si="63"/>
        <v/>
      </c>
      <c r="AH38" s="303" t="str">
        <f t="shared" si="63"/>
        <v/>
      </c>
      <c r="AI38" s="303" t="str">
        <f t="shared" si="63"/>
        <v/>
      </c>
      <c r="AJ38" s="303" t="str">
        <f t="shared" si="63"/>
        <v/>
      </c>
      <c r="AK38" s="303" t="str">
        <f t="shared" si="63"/>
        <v/>
      </c>
      <c r="AL38" s="303" t="str">
        <f t="shared" si="63"/>
        <v/>
      </c>
      <c r="AM38" s="303">
        <f t="shared" si="2"/>
        <v>2.3769100169779289</v>
      </c>
      <c r="AN38" s="57"/>
    </row>
    <row r="39" spans="1:40">
      <c r="A39" s="58">
        <f t="shared" si="3"/>
        <v>2003</v>
      </c>
      <c r="B39" s="303">
        <f t="shared" ref="B39:AC39" si="64">IF(B$2="-","",(IF(B99="","",IF(B$4&lt;$A39,B99,(B99-B$3)/(1+B$3%)))))</f>
        <v>31.35</v>
      </c>
      <c r="C39" s="303">
        <f t="shared" si="64"/>
        <v>32.25</v>
      </c>
      <c r="D39" s="303">
        <f t="shared" si="64"/>
        <v>28.5</v>
      </c>
      <c r="E39" s="303">
        <f t="shared" si="64"/>
        <v>25.92</v>
      </c>
      <c r="F39" s="303">
        <f t="shared" si="64"/>
        <v>34.14</v>
      </c>
      <c r="G39" s="303">
        <f t="shared" si="64"/>
        <v>37.19</v>
      </c>
      <c r="H39" s="303">
        <f t="shared" si="64"/>
        <v>45.63</v>
      </c>
      <c r="I39" s="303">
        <f t="shared" si="64"/>
        <v>42.88</v>
      </c>
      <c r="J39" s="303">
        <f t="shared" si="64"/>
        <v>79.430000000000007</v>
      </c>
      <c r="K39" s="303">
        <f t="shared" si="64"/>
        <v>35.65</v>
      </c>
      <c r="L39" s="303">
        <f t="shared" si="64"/>
        <v>38.67</v>
      </c>
      <c r="M39" s="303">
        <f t="shared" si="64"/>
        <v>57.65</v>
      </c>
      <c r="N39" s="303">
        <f t="shared" si="64"/>
        <v>40.340000000000003</v>
      </c>
      <c r="O39" s="303">
        <f t="shared" si="64"/>
        <v>38.42</v>
      </c>
      <c r="P39" s="303">
        <f t="shared" si="64"/>
        <v>38.700000000000003</v>
      </c>
      <c r="Q39" s="303">
        <f t="shared" si="64"/>
        <v>41.9</v>
      </c>
      <c r="R39" s="303">
        <f t="shared" si="64"/>
        <v>29.82</v>
      </c>
      <c r="S39" s="303">
        <f t="shared" si="64"/>
        <v>2.68</v>
      </c>
      <c r="T39" s="303">
        <f t="shared" si="64"/>
        <v>2.37</v>
      </c>
      <c r="U39" s="303">
        <f t="shared" si="64"/>
        <v>3.97</v>
      </c>
      <c r="V39" s="303">
        <f t="shared" si="64"/>
        <v>0.82</v>
      </c>
      <c r="W39" s="303">
        <f t="shared" si="64"/>
        <v>8</v>
      </c>
      <c r="X39" s="303">
        <f t="shared" si="64"/>
        <v>20.75</v>
      </c>
      <c r="Y39" s="303">
        <f t="shared" si="64"/>
        <v>9.66</v>
      </c>
      <c r="Z39" s="303">
        <f t="shared" si="64"/>
        <v>37.01</v>
      </c>
      <c r="AA39" s="303">
        <f t="shared" si="64"/>
        <v>2.38</v>
      </c>
      <c r="AB39" s="303">
        <f t="shared" si="64"/>
        <v>19.123161730956365</v>
      </c>
      <c r="AC39" s="303">
        <f t="shared" si="64"/>
        <v>57.37</v>
      </c>
      <c r="AD39" s="303" t="str">
        <f t="shared" ref="AD39:AL39" si="65">IF(AD$2="-",0,(IF(AD99="","",IF(AD$4&lt;$A39,AD99,(AD99-AD$3)/(1+AD$3%)))))</f>
        <v/>
      </c>
      <c r="AE39" s="303" t="str">
        <f t="shared" si="65"/>
        <v/>
      </c>
      <c r="AF39" s="303" t="str">
        <f t="shared" si="65"/>
        <v/>
      </c>
      <c r="AG39" s="303" t="str">
        <f t="shared" si="65"/>
        <v/>
      </c>
      <c r="AH39" s="303" t="str">
        <f t="shared" si="65"/>
        <v/>
      </c>
      <c r="AI39" s="303" t="str">
        <f t="shared" si="65"/>
        <v/>
      </c>
      <c r="AJ39" s="303" t="str">
        <f t="shared" si="65"/>
        <v/>
      </c>
      <c r="AK39" s="303" t="str">
        <f t="shared" si="65"/>
        <v/>
      </c>
      <c r="AL39" s="303" t="str">
        <f t="shared" si="65"/>
        <v/>
      </c>
      <c r="AM39" s="303">
        <f t="shared" si="2"/>
        <v>1.8794914317302513</v>
      </c>
      <c r="AN39" s="57"/>
    </row>
    <row r="40" spans="1:40">
      <c r="A40" s="58">
        <f t="shared" si="3"/>
        <v>2004</v>
      </c>
      <c r="B40" s="303">
        <f t="shared" ref="B40:AC40" si="66">IF(B$2="-","",(IF(B100="","",IF(B$4&lt;$A40,B100,(B100-B$3)/(1+B$3%)))))</f>
        <v>12.52</v>
      </c>
      <c r="C40" s="303">
        <f t="shared" si="66"/>
        <v>15.29</v>
      </c>
      <c r="D40" s="303">
        <f t="shared" si="66"/>
        <v>10.74</v>
      </c>
      <c r="E40" s="303">
        <f t="shared" si="66"/>
        <v>7.2</v>
      </c>
      <c r="F40" s="303">
        <f t="shared" si="66"/>
        <v>20.350000000000001</v>
      </c>
      <c r="G40" s="303">
        <f t="shared" si="66"/>
        <v>23.55</v>
      </c>
      <c r="H40" s="303">
        <f t="shared" si="66"/>
        <v>19.899999999999999</v>
      </c>
      <c r="I40" s="303">
        <f t="shared" si="66"/>
        <v>16.059999999999999</v>
      </c>
      <c r="J40" s="303">
        <f t="shared" si="66"/>
        <v>20.12</v>
      </c>
      <c r="K40" s="303">
        <f t="shared" si="66"/>
        <v>30.76</v>
      </c>
      <c r="L40" s="303">
        <f t="shared" si="66"/>
        <v>20.25</v>
      </c>
      <c r="M40" s="303">
        <f t="shared" si="66"/>
        <v>26.12</v>
      </c>
      <c r="N40" s="303">
        <f t="shared" si="66"/>
        <v>20.84</v>
      </c>
      <c r="O40" s="303">
        <f t="shared" si="66"/>
        <v>18.829999999999998</v>
      </c>
      <c r="P40" s="303">
        <f t="shared" si="66"/>
        <v>20.86</v>
      </c>
      <c r="Q40" s="303">
        <f t="shared" si="66"/>
        <v>19.77</v>
      </c>
      <c r="R40" s="303">
        <f t="shared" si="66"/>
        <v>16.36</v>
      </c>
      <c r="S40" s="303">
        <f t="shared" si="66"/>
        <v>7.12</v>
      </c>
      <c r="T40" s="303">
        <f t="shared" si="66"/>
        <v>3.4</v>
      </c>
      <c r="U40" s="303">
        <f t="shared" si="66"/>
        <v>4.24</v>
      </c>
      <c r="V40" s="303">
        <f t="shared" si="66"/>
        <v>1</v>
      </c>
      <c r="W40" s="303">
        <f t="shared" si="66"/>
        <v>8.27</v>
      </c>
      <c r="X40" s="303">
        <f t="shared" si="66"/>
        <v>11.17</v>
      </c>
      <c r="Y40" s="303">
        <f t="shared" si="66"/>
        <v>7.57</v>
      </c>
      <c r="Z40" s="303">
        <f t="shared" si="66"/>
        <v>13.38</v>
      </c>
      <c r="AA40" s="303">
        <f t="shared" si="66"/>
        <v>1.03</v>
      </c>
      <c r="AB40" s="303">
        <f t="shared" si="66"/>
        <v>4.4827313263502333</v>
      </c>
      <c r="AC40" s="303">
        <f t="shared" si="66"/>
        <v>31.77</v>
      </c>
      <c r="AD40" s="303" t="str">
        <f t="shared" ref="AD40:AL40" si="67">IF(AD$2="-",0,(IF(AD100="","",IF(AD$4&lt;$A40,AD100,(AD100-AD$3)/(1+AD$3%)))))</f>
        <v/>
      </c>
      <c r="AE40" s="303" t="str">
        <f t="shared" si="67"/>
        <v/>
      </c>
      <c r="AF40" s="303" t="str">
        <f t="shared" si="67"/>
        <v/>
      </c>
      <c r="AG40" s="303" t="str">
        <f t="shared" si="67"/>
        <v/>
      </c>
      <c r="AH40" s="303" t="str">
        <f t="shared" si="67"/>
        <v/>
      </c>
      <c r="AI40" s="303" t="str">
        <f t="shared" si="67"/>
        <v/>
      </c>
      <c r="AJ40" s="303" t="str">
        <f t="shared" si="67"/>
        <v/>
      </c>
      <c r="AK40" s="303" t="str">
        <f t="shared" si="67"/>
        <v/>
      </c>
      <c r="AL40" s="303" t="str">
        <f t="shared" si="67"/>
        <v/>
      </c>
      <c r="AM40" s="303">
        <f t="shared" si="2"/>
        <v>3.255561584373301</v>
      </c>
      <c r="AN40" s="57"/>
    </row>
    <row r="41" spans="1:40">
      <c r="A41" s="58">
        <f t="shared" si="3"/>
        <v>2005</v>
      </c>
      <c r="B41" s="303">
        <f t="shared" ref="B41:AC41" si="68">IF(B$2="-","",(IF(B101="","",IF(B$4&lt;$A41,B101,(B101-B$3)/(1+B$3%)))))</f>
        <v>5.98</v>
      </c>
      <c r="C41" s="303">
        <f t="shared" si="68"/>
        <v>7.09</v>
      </c>
      <c r="D41" s="303">
        <f t="shared" si="68"/>
        <v>4.7699999999999996</v>
      </c>
      <c r="E41" s="303">
        <f t="shared" si="68"/>
        <v>5.09</v>
      </c>
      <c r="F41" s="303">
        <f t="shared" si="68"/>
        <v>13.93</v>
      </c>
      <c r="G41" s="303">
        <f t="shared" si="68"/>
        <v>6.07</v>
      </c>
      <c r="H41" s="303">
        <f t="shared" si="68"/>
        <v>7.36</v>
      </c>
      <c r="I41" s="303">
        <f t="shared" si="68"/>
        <v>8.64</v>
      </c>
      <c r="J41" s="303">
        <f t="shared" si="68"/>
        <v>4.08</v>
      </c>
      <c r="K41" s="303">
        <f t="shared" si="68"/>
        <v>11.89</v>
      </c>
      <c r="L41" s="303">
        <f t="shared" si="68"/>
        <v>13.600000000000001</v>
      </c>
      <c r="M41" s="303">
        <f t="shared" si="68"/>
        <v>32.049999999999997</v>
      </c>
      <c r="N41" s="303">
        <f t="shared" si="68"/>
        <v>15.57</v>
      </c>
      <c r="O41" s="303">
        <f t="shared" si="68"/>
        <v>22.59</v>
      </c>
      <c r="P41" s="303">
        <f t="shared" si="68"/>
        <v>9.26</v>
      </c>
      <c r="Q41" s="303">
        <f t="shared" si="68"/>
        <v>17.96</v>
      </c>
      <c r="R41" s="303">
        <f t="shared" si="68"/>
        <v>20.5</v>
      </c>
      <c r="S41" s="303">
        <f t="shared" si="68"/>
        <v>6.61</v>
      </c>
      <c r="T41" s="303">
        <f t="shared" si="68"/>
        <v>2.3199999999999998</v>
      </c>
      <c r="U41" s="303">
        <f t="shared" si="68"/>
        <v>2.4</v>
      </c>
      <c r="V41" s="303">
        <f t="shared" si="68"/>
        <v>2.77</v>
      </c>
      <c r="W41" s="303">
        <f t="shared" si="68"/>
        <v>2.59</v>
      </c>
      <c r="X41" s="303">
        <f t="shared" si="68"/>
        <v>6.82</v>
      </c>
      <c r="Y41" s="303">
        <f t="shared" si="68"/>
        <v>3.48</v>
      </c>
      <c r="Z41" s="303">
        <f t="shared" si="68"/>
        <v>4.99</v>
      </c>
      <c r="AA41" s="303">
        <f t="shared" si="68"/>
        <v>1.77</v>
      </c>
      <c r="AB41" s="303">
        <f t="shared" si="68"/>
        <v>18.04</v>
      </c>
      <c r="AC41" s="303">
        <f t="shared" si="68"/>
        <v>20.49</v>
      </c>
      <c r="AD41" s="303" t="str">
        <f t="shared" ref="AD41:AL41" si="69">IF(AD$2="-",0,(IF(AD101="","",IF(AD$4&lt;$A41,AD101,(AD101-AD$3)/(1+AD$3%)))))</f>
        <v/>
      </c>
      <c r="AE41" s="303" t="str">
        <f t="shared" si="69"/>
        <v/>
      </c>
      <c r="AF41" s="303" t="str">
        <f t="shared" si="69"/>
        <v/>
      </c>
      <c r="AG41" s="303" t="str">
        <f t="shared" si="69"/>
        <v/>
      </c>
      <c r="AH41" s="303" t="str">
        <f t="shared" si="69"/>
        <v/>
      </c>
      <c r="AI41" s="303" t="str">
        <f t="shared" si="69"/>
        <v/>
      </c>
      <c r="AJ41" s="303" t="str">
        <f t="shared" si="69"/>
        <v/>
      </c>
      <c r="AK41" s="303" t="str">
        <f t="shared" si="69"/>
        <v/>
      </c>
      <c r="AL41" s="303" t="str">
        <f t="shared" si="69"/>
        <v/>
      </c>
      <c r="AM41" s="303">
        <f t="shared" si="2"/>
        <v>3.4156594850236477</v>
      </c>
      <c r="AN41" s="57"/>
    </row>
    <row r="42" spans="1:40">
      <c r="A42" s="58">
        <f t="shared" si="3"/>
        <v>2006</v>
      </c>
      <c r="B42" s="303">
        <f t="shared" ref="B42:AC42" si="70">IF(B$2="-","",(IF(B102="","",IF(B$4&lt;$A42,B102,(B102-B$3)/(1+B$3%)))))</f>
        <v>15.51</v>
      </c>
      <c r="C42" s="303">
        <f t="shared" si="70"/>
        <v>22.15</v>
      </c>
      <c r="D42" s="303">
        <f t="shared" si="70"/>
        <v>15.64</v>
      </c>
      <c r="E42" s="303">
        <f t="shared" si="70"/>
        <v>9.01</v>
      </c>
      <c r="F42" s="303">
        <f t="shared" si="70"/>
        <v>13.6</v>
      </c>
      <c r="G42" s="303">
        <f t="shared" si="70"/>
        <v>19.239999999999998</v>
      </c>
      <c r="H42" s="303">
        <f t="shared" si="70"/>
        <v>15.64</v>
      </c>
      <c r="I42" s="303">
        <f t="shared" si="70"/>
        <v>11.94</v>
      </c>
      <c r="J42" s="303">
        <f t="shared" si="70"/>
        <v>11.48</v>
      </c>
      <c r="K42" s="303">
        <f t="shared" si="70"/>
        <v>35.07</v>
      </c>
      <c r="L42" s="303">
        <f t="shared" si="70"/>
        <v>26.27</v>
      </c>
      <c r="M42" s="303">
        <f t="shared" si="70"/>
        <v>29.39</v>
      </c>
      <c r="N42" s="303">
        <f t="shared" si="70"/>
        <v>26.64</v>
      </c>
      <c r="O42" s="303">
        <f t="shared" si="70"/>
        <v>11.99</v>
      </c>
      <c r="P42" s="303">
        <f t="shared" si="70"/>
        <v>33.42</v>
      </c>
      <c r="Q42" s="303">
        <f t="shared" si="70"/>
        <v>27.37</v>
      </c>
      <c r="R42" s="303">
        <f t="shared" si="70"/>
        <v>-3.04</v>
      </c>
      <c r="S42" s="303">
        <f t="shared" si="70"/>
        <v>1.74</v>
      </c>
      <c r="T42" s="303">
        <f t="shared" si="70"/>
        <v>3.14</v>
      </c>
      <c r="U42" s="303">
        <f t="shared" si="70"/>
        <v>4.2699999999999996</v>
      </c>
      <c r="V42" s="303">
        <f t="shared" si="70"/>
        <v>4.55</v>
      </c>
      <c r="W42" s="303">
        <f t="shared" si="70"/>
        <v>0.43</v>
      </c>
      <c r="X42" s="303">
        <f t="shared" si="70"/>
        <v>14.97</v>
      </c>
      <c r="Y42" s="303">
        <f t="shared" si="70"/>
        <v>11.28</v>
      </c>
      <c r="Z42" s="303">
        <f t="shared" si="70"/>
        <v>19.350000000000001</v>
      </c>
      <c r="AA42" s="303">
        <f t="shared" si="70"/>
        <v>3.77</v>
      </c>
      <c r="AB42" s="303">
        <f t="shared" si="70"/>
        <v>22.17</v>
      </c>
      <c r="AC42" s="303">
        <f t="shared" si="70"/>
        <v>30.34</v>
      </c>
      <c r="AD42" s="303" t="str">
        <f t="shared" ref="AD42:AL42" si="71">IF(AD$2="-",0,(IF(AD102="","",IF(AD$4&lt;$A42,AD102,(AD102-AD$3)/(1+AD$3%)))))</f>
        <v/>
      </c>
      <c r="AE42" s="303" t="str">
        <f t="shared" si="71"/>
        <v/>
      </c>
      <c r="AF42" s="303" t="str">
        <f t="shared" si="71"/>
        <v/>
      </c>
      <c r="AG42" s="303" t="str">
        <f t="shared" si="71"/>
        <v/>
      </c>
      <c r="AH42" s="303" t="str">
        <f t="shared" si="71"/>
        <v/>
      </c>
      <c r="AI42" s="303" t="str">
        <f t="shared" si="71"/>
        <v/>
      </c>
      <c r="AJ42" s="303" t="str">
        <f t="shared" si="71"/>
        <v/>
      </c>
      <c r="AK42" s="303" t="str">
        <f t="shared" si="71"/>
        <v/>
      </c>
      <c r="AL42" s="303" t="str">
        <f t="shared" si="71"/>
        <v/>
      </c>
      <c r="AM42" s="303">
        <f t="shared" si="2"/>
        <v>2.5406504065040636</v>
      </c>
      <c r="AN42" s="57"/>
    </row>
    <row r="43" spans="1:40">
      <c r="A43" s="58">
        <f t="shared" si="3"/>
        <v>2007</v>
      </c>
      <c r="B43" s="303">
        <f t="shared" ref="B43:AA43" si="72">IF(B$2="-","",(IF(B103="","",IF(B$4&lt;$A43,B103,(B103-B$3)/(1+B$3%)))))</f>
        <v>5.49</v>
      </c>
      <c r="C43" s="303">
        <f t="shared" si="72"/>
        <v>0.09</v>
      </c>
      <c r="D43" s="303">
        <f t="shared" si="72"/>
        <v>5.39</v>
      </c>
      <c r="E43" s="303">
        <f t="shared" si="72"/>
        <v>12.56</v>
      </c>
      <c r="F43" s="303">
        <f t="shared" si="72"/>
        <v>6.02</v>
      </c>
      <c r="G43" s="303">
        <f t="shared" si="72"/>
        <v>-7.07</v>
      </c>
      <c r="H43" s="303">
        <f t="shared" si="72"/>
        <v>1.1599999999999999</v>
      </c>
      <c r="I43" s="303">
        <f t="shared" si="72"/>
        <v>9.6300000000000008</v>
      </c>
      <c r="J43" s="303">
        <f t="shared" si="72"/>
        <v>-5.4</v>
      </c>
      <c r="K43" s="303">
        <f t="shared" si="72"/>
        <v>-16.46</v>
      </c>
      <c r="L43" s="303">
        <f t="shared" si="72"/>
        <v>11.15</v>
      </c>
      <c r="M43" s="303">
        <f t="shared" si="72"/>
        <v>38.9</v>
      </c>
      <c r="N43" s="303">
        <f t="shared" si="72"/>
        <v>15.52</v>
      </c>
      <c r="O43" s="303">
        <f t="shared" si="72"/>
        <v>4.78</v>
      </c>
      <c r="P43" s="303">
        <f t="shared" si="72"/>
        <v>13.82</v>
      </c>
      <c r="Q43" s="303">
        <f t="shared" si="72"/>
        <v>12.66</v>
      </c>
      <c r="R43" s="303">
        <f t="shared" si="72"/>
        <v>23.8</v>
      </c>
      <c r="S43" s="303">
        <f t="shared" si="72"/>
        <v>9.24</v>
      </c>
      <c r="T43" s="303">
        <f t="shared" si="72"/>
        <v>9.98</v>
      </c>
      <c r="U43" s="303">
        <f t="shared" si="72"/>
        <v>6.92</v>
      </c>
      <c r="V43" s="303">
        <f t="shared" si="72"/>
        <v>4.6500000000000004</v>
      </c>
      <c r="W43" s="303">
        <f t="shared" si="72"/>
        <v>11.59</v>
      </c>
      <c r="X43" s="303">
        <f t="shared" si="72"/>
        <v>8.34</v>
      </c>
      <c r="Y43" s="303">
        <f t="shared" si="72"/>
        <v>5.61</v>
      </c>
      <c r="Z43" s="303">
        <f t="shared" si="72"/>
        <v>-3.3</v>
      </c>
      <c r="AA43" s="303">
        <f t="shared" si="72"/>
        <v>7.89</v>
      </c>
      <c r="AB43" s="321">
        <v>30.56</v>
      </c>
      <c r="AC43" s="303">
        <f>IF(AC$2="-","",(IF(AC103="","",IF(AC$4&lt;$A43,AC103,(AC103-AC$3)/(1+AC$3%)))))</f>
        <v>5.15</v>
      </c>
      <c r="AD43" s="303" t="str">
        <f t="shared" ref="AD43:AL43" si="73">IF(AD$2="-",0,(IF(AD103="","",IF(AD$4&lt;$A43,AD103,(AD103-AD$3)/(1+AD$3%)))))</f>
        <v/>
      </c>
      <c r="AE43" s="303" t="str">
        <f t="shared" si="73"/>
        <v/>
      </c>
      <c r="AF43" s="303" t="str">
        <f t="shared" si="73"/>
        <v/>
      </c>
      <c r="AG43" s="303" t="str">
        <f t="shared" si="73"/>
        <v/>
      </c>
      <c r="AH43" s="303" t="str">
        <f t="shared" si="73"/>
        <v/>
      </c>
      <c r="AI43" s="303" t="str">
        <f t="shared" si="73"/>
        <v/>
      </c>
      <c r="AJ43" s="303" t="str">
        <f t="shared" si="73"/>
        <v/>
      </c>
      <c r="AK43" s="303" t="str">
        <f t="shared" si="73"/>
        <v/>
      </c>
      <c r="AL43" s="303" t="str">
        <f t="shared" si="73"/>
        <v/>
      </c>
      <c r="AM43" s="303">
        <f t="shared" si="2"/>
        <v>4.0812685827551931</v>
      </c>
      <c r="AN43" s="57"/>
    </row>
    <row r="44" spans="1:40">
      <c r="A44" s="58">
        <f t="shared" si="3"/>
        <v>2008</v>
      </c>
      <c r="B44" s="303">
        <f t="shared" ref="B44:AC44" si="74">IF(B$2="-","",(IF(B104="","",IF(B$4&lt;$A44,B104,(B104-B$3)/(1+B$3%)))))</f>
        <v>-37.04</v>
      </c>
      <c r="C44" s="303">
        <f t="shared" si="74"/>
        <v>-35.97</v>
      </c>
      <c r="D44" s="303">
        <f t="shared" si="74"/>
        <v>-37.020000000000003</v>
      </c>
      <c r="E44" s="303">
        <f t="shared" si="74"/>
        <v>-38.32</v>
      </c>
      <c r="F44" s="303">
        <f t="shared" si="74"/>
        <v>-41.82</v>
      </c>
      <c r="G44" s="303">
        <f t="shared" si="74"/>
        <v>-32.049999999999997</v>
      </c>
      <c r="H44" s="303">
        <f t="shared" si="74"/>
        <v>-36.07</v>
      </c>
      <c r="I44" s="303">
        <f t="shared" si="74"/>
        <v>-40</v>
      </c>
      <c r="J44" s="303">
        <f t="shared" si="74"/>
        <v>-39.49</v>
      </c>
      <c r="K44" s="303">
        <f t="shared" si="74"/>
        <v>-37.049999999999997</v>
      </c>
      <c r="L44" s="303">
        <f t="shared" si="74"/>
        <v>-41.27</v>
      </c>
      <c r="M44" s="303">
        <f t="shared" si="74"/>
        <v>-52.81</v>
      </c>
      <c r="N44" s="303">
        <f t="shared" si="74"/>
        <v>-44.1</v>
      </c>
      <c r="O44" s="303">
        <f t="shared" si="74"/>
        <v>-34.36</v>
      </c>
      <c r="P44" s="303">
        <f t="shared" si="74"/>
        <v>-44.73</v>
      </c>
      <c r="Q44" s="303">
        <f t="shared" si="74"/>
        <v>-41.74</v>
      </c>
      <c r="R44" s="303">
        <f t="shared" si="74"/>
        <v>-43.33</v>
      </c>
      <c r="S44" s="303">
        <f t="shared" si="74"/>
        <v>22.52</v>
      </c>
      <c r="T44" s="303">
        <f t="shared" si="74"/>
        <v>13.32</v>
      </c>
      <c r="U44" s="303">
        <f t="shared" si="74"/>
        <v>5.05</v>
      </c>
      <c r="V44" s="303">
        <f t="shared" si="74"/>
        <v>1.97</v>
      </c>
      <c r="W44" s="303">
        <f t="shared" si="74"/>
        <v>-2.85</v>
      </c>
      <c r="X44" s="303">
        <f t="shared" si="74"/>
        <v>-22.3</v>
      </c>
      <c r="Y44" s="303">
        <f t="shared" si="74"/>
        <v>-9.84</v>
      </c>
      <c r="Z44" s="303">
        <f t="shared" si="74"/>
        <v>-41.1</v>
      </c>
      <c r="AA44" s="303">
        <f t="shared" si="74"/>
        <v>6.68</v>
      </c>
      <c r="AB44" s="303">
        <f t="shared" si="74"/>
        <v>4.96</v>
      </c>
      <c r="AC44" s="303">
        <f t="shared" si="74"/>
        <v>-46.62</v>
      </c>
      <c r="AD44" s="303" t="str">
        <f t="shared" ref="AD44:AL44" si="75">IF(AD$2="-",0,(IF(AD104="","",IF(AD$4&lt;$A44,AD104,(AD104-AD$3)/(1+AD$3%)))))</f>
        <v/>
      </c>
      <c r="AE44" s="303" t="str">
        <f t="shared" si="75"/>
        <v/>
      </c>
      <c r="AF44" s="303" t="str">
        <f t="shared" si="75"/>
        <v/>
      </c>
      <c r="AG44" s="303" t="str">
        <f t="shared" si="75"/>
        <v/>
      </c>
      <c r="AH44" s="303" t="str">
        <f t="shared" si="75"/>
        <v/>
      </c>
      <c r="AI44" s="303" t="str">
        <f t="shared" si="75"/>
        <v/>
      </c>
      <c r="AJ44" s="303" t="str">
        <f t="shared" si="75"/>
        <v/>
      </c>
      <c r="AK44" s="303" t="str">
        <f t="shared" si="75"/>
        <v/>
      </c>
      <c r="AL44" s="303" t="str">
        <f t="shared" si="75"/>
        <v/>
      </c>
      <c r="AM44" s="303">
        <f t="shared" si="2"/>
        <v>9.1412900645604367E-2</v>
      </c>
      <c r="AN44" s="57"/>
    </row>
    <row r="45" spans="1:40">
      <c r="A45" s="58">
        <f t="shared" si="3"/>
        <v>2009</v>
      </c>
      <c r="B45" s="303">
        <f t="shared" ref="B45:AC45" si="76">IF(B$2="-","",(IF(B105="","",IF(B$4&lt;$A45,B105,(B105-B$3)/(1+B$3%)))))</f>
        <v>28.7</v>
      </c>
      <c r="C45" s="303">
        <f t="shared" si="76"/>
        <v>19.579999999999998</v>
      </c>
      <c r="D45" s="303">
        <f t="shared" si="76"/>
        <v>26.49</v>
      </c>
      <c r="E45" s="303">
        <f t="shared" si="76"/>
        <v>36.29</v>
      </c>
      <c r="F45" s="303">
        <f t="shared" si="76"/>
        <v>40.22</v>
      </c>
      <c r="G45" s="303">
        <f t="shared" si="76"/>
        <v>30.34</v>
      </c>
      <c r="H45" s="303">
        <f t="shared" si="76"/>
        <v>36.119999999999997</v>
      </c>
      <c r="I45" s="303">
        <f t="shared" si="76"/>
        <v>41.85</v>
      </c>
      <c r="J45" s="303">
        <f t="shared" si="76"/>
        <v>25.95</v>
      </c>
      <c r="K45" s="303">
        <f t="shared" si="76"/>
        <v>29.58</v>
      </c>
      <c r="L45" s="303">
        <f t="shared" si="76"/>
        <v>28.27</v>
      </c>
      <c r="M45" s="303">
        <f t="shared" si="76"/>
        <v>75.98</v>
      </c>
      <c r="N45" s="303">
        <f t="shared" si="76"/>
        <v>36.729999999999997</v>
      </c>
      <c r="O45" s="303">
        <f t="shared" si="76"/>
        <v>21.18</v>
      </c>
      <c r="P45" s="303">
        <f t="shared" si="76"/>
        <v>31.91</v>
      </c>
      <c r="Q45" s="303">
        <f t="shared" si="76"/>
        <v>33.770000000000003</v>
      </c>
      <c r="R45" s="303">
        <f t="shared" si="76"/>
        <v>39.92</v>
      </c>
      <c r="S45" s="303">
        <f t="shared" si="76"/>
        <v>-12.05</v>
      </c>
      <c r="T45" s="303">
        <f t="shared" si="76"/>
        <v>-1.69</v>
      </c>
      <c r="U45" s="303">
        <f t="shared" si="76"/>
        <v>5.93</v>
      </c>
      <c r="V45" s="303">
        <f t="shared" si="76"/>
        <v>0.53</v>
      </c>
      <c r="W45" s="303">
        <f t="shared" si="76"/>
        <v>10.8</v>
      </c>
      <c r="X45" s="303">
        <f t="shared" si="76"/>
        <v>22.2</v>
      </c>
      <c r="Y45" s="303">
        <f t="shared" si="76"/>
        <v>16.02</v>
      </c>
      <c r="Z45" s="303">
        <f t="shared" si="76"/>
        <v>34.69</v>
      </c>
      <c r="AA45" s="303">
        <f t="shared" si="76"/>
        <v>1.44</v>
      </c>
      <c r="AB45" s="303">
        <f t="shared" si="76"/>
        <v>23.99</v>
      </c>
      <c r="AC45" s="303">
        <f t="shared" si="76"/>
        <v>47.12</v>
      </c>
      <c r="AD45" s="303" t="str">
        <f t="shared" ref="AD45:AL45" si="77">IF(AD$2="-",0,(IF(AD105="","",IF(AD$4&lt;$A45,AD105,(AD105-AD$3)/(1+AD$3%)))))</f>
        <v/>
      </c>
      <c r="AE45" s="303" t="str">
        <f t="shared" si="77"/>
        <v/>
      </c>
      <c r="AF45" s="303" t="str">
        <f t="shared" si="77"/>
        <v/>
      </c>
      <c r="AG45" s="303" t="str">
        <f t="shared" si="77"/>
        <v/>
      </c>
      <c r="AH45" s="303" t="str">
        <f t="shared" si="77"/>
        <v/>
      </c>
      <c r="AI45" s="303" t="str">
        <f t="shared" si="77"/>
        <v/>
      </c>
      <c r="AJ45" s="303" t="str">
        <f t="shared" si="77"/>
        <v/>
      </c>
      <c r="AK45" s="303" t="str">
        <f t="shared" si="77"/>
        <v/>
      </c>
      <c r="AL45" s="303" t="str">
        <f t="shared" si="77"/>
        <v/>
      </c>
      <c r="AM45" s="303">
        <f t="shared" si="2"/>
        <v>2.7213311262058282</v>
      </c>
      <c r="AN45" s="57"/>
    </row>
    <row r="46" spans="1:40">
      <c r="A46" s="58">
        <f t="shared" si="3"/>
        <v>2010</v>
      </c>
      <c r="B46" s="303">
        <f t="shared" ref="B46:AC46" si="78">IF(B$2="-","",(IF(B106="","",IF(B$4&lt;$A46,B106,(B106-B$3)/(1+B$3%)))))</f>
        <v>17.09</v>
      </c>
      <c r="C46" s="303">
        <f t="shared" si="78"/>
        <v>14.28</v>
      </c>
      <c r="D46" s="303">
        <f t="shared" si="78"/>
        <v>14.91</v>
      </c>
      <c r="E46" s="303">
        <f t="shared" si="78"/>
        <v>16.96</v>
      </c>
      <c r="F46" s="303">
        <f t="shared" si="78"/>
        <v>25.46</v>
      </c>
      <c r="G46" s="303">
        <f t="shared" si="78"/>
        <v>24.82</v>
      </c>
      <c r="H46" s="303">
        <f t="shared" si="78"/>
        <v>27.72</v>
      </c>
      <c r="I46" s="303">
        <f t="shared" si="78"/>
        <v>30.69</v>
      </c>
      <c r="J46" s="303">
        <f t="shared" si="78"/>
        <v>24.86</v>
      </c>
      <c r="K46" s="303">
        <f t="shared" si="78"/>
        <v>28.3</v>
      </c>
      <c r="L46" s="303">
        <f t="shared" si="78"/>
        <v>8.36</v>
      </c>
      <c r="M46" s="303">
        <f t="shared" si="78"/>
        <v>18.86</v>
      </c>
      <c r="N46" s="303">
        <f t="shared" si="78"/>
        <v>11.12</v>
      </c>
      <c r="O46" s="303">
        <f t="shared" si="78"/>
        <v>15.77</v>
      </c>
      <c r="P46" s="303">
        <f t="shared" si="78"/>
        <v>4.91</v>
      </c>
      <c r="Q46" s="303">
        <f t="shared" si="78"/>
        <v>7.31</v>
      </c>
      <c r="R46" s="303">
        <f t="shared" si="78"/>
        <v>24.13</v>
      </c>
      <c r="S46" s="303">
        <f t="shared" si="78"/>
        <v>8.93</v>
      </c>
      <c r="T46" s="303">
        <f t="shared" si="78"/>
        <v>7.35</v>
      </c>
      <c r="U46" s="303">
        <f t="shared" si="78"/>
        <v>6.42</v>
      </c>
      <c r="V46" s="303">
        <f t="shared" si="78"/>
        <v>0.01</v>
      </c>
      <c r="W46" s="303">
        <f t="shared" si="78"/>
        <v>6.17</v>
      </c>
      <c r="X46" s="303">
        <f t="shared" si="78"/>
        <v>10.94</v>
      </c>
      <c r="Y46" s="303">
        <f t="shared" si="78"/>
        <v>10.65</v>
      </c>
      <c r="Z46" s="303">
        <f t="shared" si="78"/>
        <v>14.82</v>
      </c>
      <c r="AA46" s="303">
        <f t="shared" si="78"/>
        <v>2.64</v>
      </c>
      <c r="AB46" s="303">
        <f t="shared" si="78"/>
        <v>29.27</v>
      </c>
      <c r="AC46" s="303">
        <f t="shared" si="78"/>
        <v>24.97</v>
      </c>
      <c r="AD46" s="303" t="str">
        <f t="shared" ref="AD46:AL46" si="79">IF(AD$2="-",0,(IF(AD106="","",IF(AD$4&lt;$A46,AD106,(AD106-AD$3)/(1+AD$3%)))))</f>
        <v/>
      </c>
      <c r="AE46" s="303" t="str">
        <f t="shared" si="79"/>
        <v/>
      </c>
      <c r="AF46" s="303" t="str">
        <f t="shared" si="79"/>
        <v/>
      </c>
      <c r="AG46" s="303" t="str">
        <f t="shared" si="79"/>
        <v/>
      </c>
      <c r="AH46" s="303" t="str">
        <f t="shared" si="79"/>
        <v/>
      </c>
      <c r="AI46" s="303" t="str">
        <f t="shared" si="79"/>
        <v/>
      </c>
      <c r="AJ46" s="303" t="str">
        <f t="shared" si="79"/>
        <v/>
      </c>
      <c r="AK46" s="303" t="str">
        <f t="shared" si="79"/>
        <v/>
      </c>
      <c r="AL46" s="303" t="str">
        <f t="shared" si="79"/>
        <v/>
      </c>
      <c r="AM46" s="303">
        <f t="shared" si="2"/>
        <v>1.4957235273143077</v>
      </c>
      <c r="AN46" s="57"/>
    </row>
    <row r="47" spans="1:40">
      <c r="A47" s="58">
        <f t="shared" si="3"/>
        <v>2011</v>
      </c>
      <c r="B47" s="303">
        <f t="shared" ref="B47:Q47" si="80">IF(B$2="-","",(IF(B107="","",IF(B$4&lt;$A47,B107,(B107-B$3)/(1+B$3%)))))</f>
        <v>0.96</v>
      </c>
      <c r="C47" s="303">
        <f t="shared" si="80"/>
        <v>1</v>
      </c>
      <c r="D47" s="303">
        <f t="shared" si="80"/>
        <v>1.97</v>
      </c>
      <c r="E47" s="303">
        <f t="shared" si="80"/>
        <v>1.71</v>
      </c>
      <c r="F47" s="303">
        <f t="shared" si="80"/>
        <v>-2.11</v>
      </c>
      <c r="G47" s="303">
        <f t="shared" si="80"/>
        <v>-4.16</v>
      </c>
      <c r="H47" s="303">
        <f t="shared" si="80"/>
        <v>-2.8</v>
      </c>
      <c r="I47" s="303">
        <f t="shared" si="80"/>
        <v>-1.58</v>
      </c>
      <c r="J47" s="303">
        <f t="shared" si="80"/>
        <v>-7.86</v>
      </c>
      <c r="K47" s="303">
        <f t="shared" si="80"/>
        <v>8.4700000000000006</v>
      </c>
      <c r="L47" s="303">
        <f t="shared" si="80"/>
        <v>-12.509999999999998</v>
      </c>
      <c r="M47" s="303">
        <f t="shared" si="80"/>
        <v>-19.18</v>
      </c>
      <c r="N47" s="303">
        <f t="shared" si="80"/>
        <v>-14.56</v>
      </c>
      <c r="O47" s="303">
        <f t="shared" si="80"/>
        <v>-14</v>
      </c>
      <c r="P47" s="303">
        <f t="shared" si="80"/>
        <v>-11.6</v>
      </c>
      <c r="Q47" s="303">
        <f t="shared" si="80"/>
        <v>-14.58</v>
      </c>
      <c r="R47" s="303">
        <v>-7.56</v>
      </c>
      <c r="S47" s="303">
        <f t="shared" ref="S47:AC47" si="81">IF(S$2="-","",(IF(S107="","",IF(S$4&lt;$A47,S107,(S107-S$3)/(1+S$3%)))))</f>
        <v>29.28</v>
      </c>
      <c r="T47" s="303">
        <f t="shared" si="81"/>
        <v>9.8000000000000007</v>
      </c>
      <c r="U47" s="303">
        <f t="shared" si="81"/>
        <v>7.56</v>
      </c>
      <c r="V47" s="303">
        <f t="shared" si="81"/>
        <v>0.02</v>
      </c>
      <c r="W47" s="303">
        <f t="shared" si="81"/>
        <v>13.24</v>
      </c>
      <c r="X47" s="303">
        <f t="shared" si="81"/>
        <v>3.85</v>
      </c>
      <c r="Y47" s="303">
        <f t="shared" si="81"/>
        <v>9.6300000000000008</v>
      </c>
      <c r="Z47" s="303">
        <f t="shared" si="81"/>
        <v>-4</v>
      </c>
      <c r="AA47" s="303">
        <f t="shared" si="81"/>
        <v>2.2599999999999998</v>
      </c>
      <c r="AB47" s="303">
        <f t="shared" si="81"/>
        <v>9.57</v>
      </c>
      <c r="AC47" s="303">
        <f t="shared" si="81"/>
        <v>-19.09</v>
      </c>
      <c r="AD47" s="303" t="str">
        <f t="shared" ref="AD47:AL47" si="82">IF(AD$2="-",0,(IF(AD107="","",IF(AD$4&lt;$A47,AD107,(AD107-AD$3)/(1+AD$3%)))))</f>
        <v/>
      </c>
      <c r="AE47" s="303" t="str">
        <f t="shared" si="82"/>
        <v/>
      </c>
      <c r="AF47" s="303" t="str">
        <f t="shared" si="82"/>
        <v/>
      </c>
      <c r="AG47" s="303" t="str">
        <f t="shared" si="82"/>
        <v/>
      </c>
      <c r="AH47" s="303" t="str">
        <f t="shared" si="82"/>
        <v/>
      </c>
      <c r="AI47" s="303" t="str">
        <f t="shared" si="82"/>
        <v/>
      </c>
      <c r="AJ47" s="303" t="str">
        <f t="shared" si="82"/>
        <v/>
      </c>
      <c r="AK47" s="303" t="str">
        <f t="shared" si="82"/>
        <v/>
      </c>
      <c r="AL47" s="303" t="str">
        <f t="shared" si="82"/>
        <v/>
      </c>
      <c r="AM47" s="303">
        <f t="shared" si="2"/>
        <v>2.9624188448710953</v>
      </c>
      <c r="AN47" s="57"/>
    </row>
    <row r="48" spans="1:40">
      <c r="A48" s="58">
        <f t="shared" si="3"/>
        <v>2012</v>
      </c>
      <c r="B48" s="303">
        <f t="shared" ref="B48:Q48" si="83">IF(B$2="-","",(IF(B108="","",IF(B$4&lt;$A48,B108,(B108-B$3)/(1+B$3%)))))</f>
        <v>16.25</v>
      </c>
      <c r="C48" s="303">
        <f t="shared" si="83"/>
        <v>15</v>
      </c>
      <c r="D48" s="303">
        <f t="shared" si="83"/>
        <v>15.82</v>
      </c>
      <c r="E48" s="303">
        <f t="shared" si="83"/>
        <v>16.89</v>
      </c>
      <c r="F48" s="303">
        <f t="shared" si="83"/>
        <v>15.8</v>
      </c>
      <c r="G48" s="303">
        <f t="shared" si="83"/>
        <v>18.559999999999999</v>
      </c>
      <c r="H48" s="303">
        <f t="shared" si="83"/>
        <v>18.04</v>
      </c>
      <c r="I48" s="303">
        <f t="shared" si="83"/>
        <v>17.52</v>
      </c>
      <c r="J48" s="303">
        <f t="shared" si="83"/>
        <v>19.829999999999998</v>
      </c>
      <c r="K48" s="303">
        <f t="shared" si="83"/>
        <v>17.53</v>
      </c>
      <c r="L48" s="303">
        <f t="shared" si="83"/>
        <v>18.559999999999999</v>
      </c>
      <c r="M48" s="303">
        <f t="shared" si="83"/>
        <v>18.64</v>
      </c>
      <c r="N48" s="303">
        <f t="shared" si="83"/>
        <v>18.14</v>
      </c>
      <c r="O48" s="303">
        <f t="shared" si="83"/>
        <v>15.49</v>
      </c>
      <c r="P48" s="303">
        <f t="shared" si="83"/>
        <v>20.8</v>
      </c>
      <c r="Q48" s="303">
        <f t="shared" si="83"/>
        <v>20.18</v>
      </c>
      <c r="R48" s="303">
        <f>IF(R$2="-","",(IF(R108="","",IF(R$4&lt;$A48,R108,(R108-R$3)/(1+R$3%)))))</f>
        <v>5.31</v>
      </c>
      <c r="S48" s="303">
        <f t="shared" ref="S48:AC48" si="84">IF(S$2="-","",(IF(S108="","",IF(S$4&lt;$A48,S108,(S108-S$3)/(1+S$3%)))))</f>
        <v>3.47</v>
      </c>
      <c r="T48" s="303">
        <f t="shared" si="84"/>
        <v>2.67</v>
      </c>
      <c r="U48" s="303">
        <f t="shared" si="84"/>
        <v>4.05</v>
      </c>
      <c r="V48" s="303">
        <f t="shared" si="84"/>
        <v>0.02</v>
      </c>
      <c r="W48" s="303">
        <f t="shared" si="84"/>
        <v>6.78</v>
      </c>
      <c r="X48" s="303">
        <f t="shared" si="84"/>
        <v>12.57</v>
      </c>
      <c r="Y48" s="303">
        <f t="shared" si="84"/>
        <v>10.06</v>
      </c>
      <c r="Z48" s="303">
        <f t="shared" si="84"/>
        <v>20.78</v>
      </c>
      <c r="AA48" s="303">
        <f t="shared" si="84"/>
        <v>0.69</v>
      </c>
      <c r="AB48" s="303">
        <f t="shared" si="84"/>
        <v>6.6</v>
      </c>
      <c r="AC48" s="303">
        <f t="shared" si="84"/>
        <v>18.89</v>
      </c>
      <c r="AD48" s="303" t="str">
        <f t="shared" ref="AD48:AL48" si="85">IF(AD$2="-",0,(IF(AD108="","",IF(AD$4&lt;$A48,AD108,(AD108-AD$3)/(1+AD$3%)))))</f>
        <v/>
      </c>
      <c r="AE48" s="303" t="str">
        <f t="shared" si="85"/>
        <v/>
      </c>
      <c r="AF48" s="303" t="str">
        <f t="shared" si="85"/>
        <v/>
      </c>
      <c r="AG48" s="303" t="str">
        <f t="shared" si="85"/>
        <v/>
      </c>
      <c r="AH48" s="303" t="str">
        <f t="shared" si="85"/>
        <v/>
      </c>
      <c r="AI48" s="303" t="str">
        <f t="shared" si="85"/>
        <v/>
      </c>
      <c r="AJ48" s="303" t="str">
        <f t="shared" si="85"/>
        <v/>
      </c>
      <c r="AK48" s="303" t="str">
        <f t="shared" si="85"/>
        <v/>
      </c>
      <c r="AL48" s="303" t="str">
        <f t="shared" si="85"/>
        <v/>
      </c>
      <c r="AM48" s="303">
        <f>IF(AM108&lt;&gt;"",AM108,"")</f>
        <v>1.7410223687475579</v>
      </c>
      <c r="AN48" s="57"/>
    </row>
    <row r="49" spans="1:40">
      <c r="A49" s="58">
        <f t="shared" si="3"/>
        <v>2013</v>
      </c>
      <c r="B49" s="303">
        <f t="shared" ref="B49:Q49" si="86">IF(B$2="-","",(IF(B109="","",IF(B$4&lt;$A49,B109,(B109-B$3)/(1+B$3%)))))</f>
        <v>33.35</v>
      </c>
      <c r="C49" s="303">
        <f t="shared" si="86"/>
        <v>32.85</v>
      </c>
      <c r="D49" s="303">
        <f t="shared" si="86"/>
        <v>32.18</v>
      </c>
      <c r="E49" s="303">
        <f t="shared" si="86"/>
        <v>32.159999999999997</v>
      </c>
      <c r="F49" s="303">
        <f t="shared" si="86"/>
        <v>35</v>
      </c>
      <c r="G49" s="303">
        <f t="shared" si="86"/>
        <v>36.409999999999997</v>
      </c>
      <c r="H49" s="303">
        <f t="shared" si="86"/>
        <v>37.619999999999997</v>
      </c>
      <c r="I49" s="303">
        <f t="shared" si="86"/>
        <v>37.979999999999997</v>
      </c>
      <c r="J49" s="303">
        <f t="shared" si="86"/>
        <v>50.91</v>
      </c>
      <c r="K49" s="303">
        <f t="shared" si="86"/>
        <v>2.31</v>
      </c>
      <c r="L49" s="303">
        <f t="shared" si="86"/>
        <v>22.06</v>
      </c>
      <c r="M49" s="303">
        <f t="shared" si="86"/>
        <v>-5.19</v>
      </c>
      <c r="N49" s="303">
        <f t="shared" si="86"/>
        <v>15.04</v>
      </c>
      <c r="O49" s="303">
        <f t="shared" si="86"/>
        <v>17.36</v>
      </c>
      <c r="P49" s="303">
        <f t="shared" si="86"/>
        <v>24.7</v>
      </c>
      <c r="Q49" s="303">
        <f t="shared" si="86"/>
        <v>22.15</v>
      </c>
      <c r="R49" s="303">
        <f>IF(R$2="-","",(IF(R109="","",IF(R$4&lt;$A49,R109,(R109-R$3)/(1+R$3%)))))</f>
        <v>-14.81</v>
      </c>
      <c r="S49" s="303">
        <f t="shared" ref="S49:AC49" si="87">IF(S$2="-","",(IF(S109="","",IF(S$4&lt;$A49,S109,(S109-S$3)/(1+S$3%)))))</f>
        <v>-13.03</v>
      </c>
      <c r="T49" s="303">
        <f t="shared" si="87"/>
        <v>-3.09</v>
      </c>
      <c r="U49" s="303">
        <f t="shared" si="87"/>
        <v>-2.2599999999999998</v>
      </c>
      <c r="V49" s="303">
        <f t="shared" si="87"/>
        <v>0.01</v>
      </c>
      <c r="W49" s="303">
        <f t="shared" si="87"/>
        <v>-8.92</v>
      </c>
      <c r="X49" s="303">
        <f t="shared" si="87"/>
        <v>19.66</v>
      </c>
      <c r="Y49" s="303">
        <f t="shared" si="87"/>
        <v>9.19</v>
      </c>
      <c r="Z49" s="303">
        <f t="shared" si="87"/>
        <v>36.08</v>
      </c>
      <c r="AA49" s="303">
        <f t="shared" si="87"/>
        <v>-0.1</v>
      </c>
      <c r="AB49" s="303">
        <f t="shared" si="87"/>
        <v>-28.33</v>
      </c>
      <c r="AC49" s="303">
        <f t="shared" si="87"/>
        <v>17.440000000000001</v>
      </c>
      <c r="AD49" s="303" t="str">
        <f t="shared" ref="AD49:AL49" si="88">IF(AD$2="-",0,(IF(AD109="","",IF(AD$4&lt;$A49,AD109,(AD109-AD$3)/(1+AD$3%)))))</f>
        <v/>
      </c>
      <c r="AE49" s="303" t="str">
        <f t="shared" si="88"/>
        <v/>
      </c>
      <c r="AF49" s="303" t="str">
        <f t="shared" si="88"/>
        <v/>
      </c>
      <c r="AG49" s="303" t="str">
        <f t="shared" si="88"/>
        <v/>
      </c>
      <c r="AH49" s="303" t="str">
        <f t="shared" si="88"/>
        <v/>
      </c>
      <c r="AI49" s="303" t="str">
        <f t="shared" si="88"/>
        <v/>
      </c>
      <c r="AJ49" s="303" t="str">
        <f t="shared" si="88"/>
        <v/>
      </c>
      <c r="AK49" s="303" t="str">
        <f t="shared" si="88"/>
        <v/>
      </c>
      <c r="AL49" s="303" t="str">
        <f t="shared" si="88"/>
        <v/>
      </c>
      <c r="AM49" s="303">
        <f>IF(AM109&lt;&gt;"",AM109,"")</f>
        <v>1.501735619618394</v>
      </c>
      <c r="AN49" s="57"/>
    </row>
    <row r="50" spans="1:40">
      <c r="A50" s="58">
        <f t="shared" si="3"/>
        <v>2014</v>
      </c>
      <c r="B50" s="303">
        <f t="shared" ref="B50:Q50" si="89">IF(B$2="-","",(IF(B110="","",IF(B$4&lt;$A50,B110,(B110-B$3)/(1+B$3%)))))</f>
        <v>12.43</v>
      </c>
      <c r="C50" s="303">
        <f t="shared" si="89"/>
        <v>13.05</v>
      </c>
      <c r="D50" s="303">
        <f t="shared" si="89"/>
        <v>13.51</v>
      </c>
      <c r="E50" s="303">
        <f t="shared" si="89"/>
        <v>13.47</v>
      </c>
      <c r="F50" s="303">
        <f t="shared" si="89"/>
        <v>13.6</v>
      </c>
      <c r="G50" s="303">
        <f t="shared" si="89"/>
        <v>10.39</v>
      </c>
      <c r="H50" s="303">
        <f t="shared" si="89"/>
        <v>7.37</v>
      </c>
      <c r="I50" s="303">
        <f t="shared" si="89"/>
        <v>3.88</v>
      </c>
      <c r="J50" s="303">
        <f t="shared" si="89"/>
        <v>4.6100000000000003</v>
      </c>
      <c r="K50" s="303">
        <f t="shared" si="89"/>
        <v>30.13</v>
      </c>
      <c r="L50" s="303">
        <f t="shared" si="89"/>
        <v>-5.66</v>
      </c>
      <c r="M50" s="303">
        <f t="shared" si="89"/>
        <v>0.42</v>
      </c>
      <c r="N50" s="303">
        <f t="shared" si="89"/>
        <v>-4.24</v>
      </c>
      <c r="O50" s="303">
        <f t="shared" si="89"/>
        <v>-4.6900000000000004</v>
      </c>
      <c r="P50" s="303">
        <f t="shared" si="89"/>
        <v>-6.67</v>
      </c>
      <c r="Q50" s="303">
        <f t="shared" si="89"/>
        <v>-6.69</v>
      </c>
      <c r="R50" s="303">
        <f>IF(R$2="-","",(IF(R110="","",IF(R$4&lt;$A50,R110,(R110-R$3)/(1+R$3%)))))</f>
        <v>-18.059999999999999</v>
      </c>
      <c r="S50" s="303">
        <f t="shared" ref="S50:AC50" si="90">IF(S$2="-","",(IF(S110="","",IF(S$4&lt;$A50,S110,(S110-S$3)/(1+S$3%)))))</f>
        <v>25.27</v>
      </c>
      <c r="T50" s="303">
        <f t="shared" si="90"/>
        <v>4.32</v>
      </c>
      <c r="U50" s="303">
        <f t="shared" si="90"/>
        <v>5.76</v>
      </c>
      <c r="V50" s="303">
        <f t="shared" si="90"/>
        <v>0.01</v>
      </c>
      <c r="W50" s="303">
        <f t="shared" si="90"/>
        <v>3.83</v>
      </c>
      <c r="X50" s="303">
        <f t="shared" si="90"/>
        <v>9.82</v>
      </c>
      <c r="Y50" s="303">
        <f t="shared" si="90"/>
        <v>8.07</v>
      </c>
      <c r="Z50" s="303">
        <f t="shared" si="90"/>
        <v>11.82</v>
      </c>
      <c r="AA50" s="303">
        <f t="shared" si="90"/>
        <v>0.71</v>
      </c>
      <c r="AB50" s="303">
        <f t="shared" si="90"/>
        <v>-2.19</v>
      </c>
      <c r="AC50" s="303">
        <f t="shared" si="90"/>
        <v>-4.8099999999999996</v>
      </c>
      <c r="AD50" s="303" t="str">
        <f t="shared" ref="AD50:AL50" si="91">IF(AD$2="-",0,(IF(AD110="","",IF(AD$4&lt;$A50,AD110,(AD110-AD$3)/(1+AD$3%)))))</f>
        <v/>
      </c>
      <c r="AE50" s="303" t="str">
        <f t="shared" si="91"/>
        <v/>
      </c>
      <c r="AF50" s="303" t="str">
        <f t="shared" si="91"/>
        <v/>
      </c>
      <c r="AG50" s="303" t="str">
        <f t="shared" si="91"/>
        <v/>
      </c>
      <c r="AH50" s="303" t="str">
        <f t="shared" si="91"/>
        <v/>
      </c>
      <c r="AI50" s="303" t="str">
        <f t="shared" si="91"/>
        <v/>
      </c>
      <c r="AJ50" s="303" t="str">
        <f t="shared" si="91"/>
        <v/>
      </c>
      <c r="AK50" s="303" t="str">
        <f t="shared" si="91"/>
        <v/>
      </c>
      <c r="AL50" s="303" t="str">
        <f t="shared" si="91"/>
        <v/>
      </c>
      <c r="AM50" s="303">
        <f>IF(AM110&lt;&gt;"",AM110,"")</f>
        <v>0.7564932696557447</v>
      </c>
      <c r="AN50" s="57"/>
    </row>
    <row r="51" spans="1:40">
      <c r="A51" s="58">
        <f t="shared" si="3"/>
        <v>2015</v>
      </c>
      <c r="B51" s="303">
        <f t="shared" ref="B51:AC51" si="92">IF(B$2="-","",(IF(B111="","",IF(B$4&lt;$A51,B111,(B111-B$3)/(1+B$3%)))))</f>
        <v>0.28999999999999998</v>
      </c>
      <c r="C51" s="303">
        <f t="shared" si="92"/>
        <v>-1.03</v>
      </c>
      <c r="D51" s="303">
        <f t="shared" si="92"/>
        <v>1.25</v>
      </c>
      <c r="E51" s="303">
        <f t="shared" si="92"/>
        <v>3.17</v>
      </c>
      <c r="F51" s="303">
        <f t="shared" si="92"/>
        <v>-1.46</v>
      </c>
      <c r="G51" s="303">
        <f t="shared" si="92"/>
        <v>-4.78</v>
      </c>
      <c r="H51" s="303">
        <f t="shared" si="92"/>
        <v>-3.78</v>
      </c>
      <c r="I51" s="303">
        <f t="shared" si="92"/>
        <v>-2.64</v>
      </c>
      <c r="J51" s="303">
        <f t="shared" si="92"/>
        <v>-3.94</v>
      </c>
      <c r="K51" s="303">
        <f t="shared" si="92"/>
        <v>2.2200000000000002</v>
      </c>
      <c r="L51" s="303">
        <f t="shared" si="92"/>
        <v>-0.18</v>
      </c>
      <c r="M51" s="303">
        <f t="shared" si="92"/>
        <v>-15.51</v>
      </c>
      <c r="N51" s="303">
        <f t="shared" si="92"/>
        <v>-4.37</v>
      </c>
      <c r="O51" s="303">
        <f t="shared" si="92"/>
        <v>2.25</v>
      </c>
      <c r="P51" s="303">
        <f t="shared" si="92"/>
        <v>-2</v>
      </c>
      <c r="Q51" s="303">
        <f t="shared" si="92"/>
        <v>-6.44</v>
      </c>
      <c r="R51" s="303">
        <f t="shared" si="92"/>
        <v>-25.7</v>
      </c>
      <c r="S51" s="303">
        <f t="shared" si="92"/>
        <v>-1.54</v>
      </c>
      <c r="T51" s="303">
        <f t="shared" si="92"/>
        <v>1.5</v>
      </c>
      <c r="U51" s="303">
        <f t="shared" si="92"/>
        <v>0.3</v>
      </c>
      <c r="V51" s="303">
        <f t="shared" si="92"/>
        <v>0.02</v>
      </c>
      <c r="W51" s="303">
        <f t="shared" si="92"/>
        <v>-1.83</v>
      </c>
      <c r="X51" s="303">
        <f t="shared" si="92"/>
        <v>0.06</v>
      </c>
      <c r="Y51" s="303">
        <f t="shared" si="92"/>
        <v>1.28</v>
      </c>
      <c r="Z51" s="303">
        <f t="shared" si="92"/>
        <v>-3.32</v>
      </c>
      <c r="AA51" s="303">
        <f t="shared" si="92"/>
        <v>0.45</v>
      </c>
      <c r="AB51" s="303">
        <f t="shared" si="92"/>
        <v>-10.67</v>
      </c>
      <c r="AC51" s="303">
        <f t="shared" si="92"/>
        <v>-0.32</v>
      </c>
      <c r="AD51" s="303" t="str">
        <f t="shared" ref="AD51:AL51" si="93">IF(AD$2="-",0,(IF(AD111="","",IF(AD$4&lt;$A51,AD111,(AD111-AD$3)/(1+AD$3%)))))</f>
        <v/>
      </c>
      <c r="AE51" s="303" t="str">
        <f t="shared" si="93"/>
        <v/>
      </c>
      <c r="AF51" s="303" t="str">
        <f t="shared" si="93"/>
        <v/>
      </c>
      <c r="AG51" s="303" t="str">
        <f t="shared" si="93"/>
        <v/>
      </c>
      <c r="AH51" s="303" t="str">
        <f t="shared" si="93"/>
        <v/>
      </c>
      <c r="AI51" s="303" t="str">
        <f t="shared" si="93"/>
        <v/>
      </c>
      <c r="AJ51" s="303" t="str">
        <f t="shared" si="93"/>
        <v/>
      </c>
      <c r="AK51" s="303" t="str">
        <f t="shared" si="93"/>
        <v/>
      </c>
      <c r="AL51" s="303" t="str">
        <f t="shared" si="93"/>
        <v/>
      </c>
      <c r="AM51" s="303">
        <f>IF(AM111&lt;&gt;"",AM111,"")</f>
        <v>0.72951978604158807</v>
      </c>
      <c r="AN51" s="57"/>
    </row>
    <row r="52" spans="1:40">
      <c r="A52" s="58">
        <f t="shared" si="3"/>
        <v>2016</v>
      </c>
      <c r="B52" s="303" t="str">
        <f t="shared" ref="B52:AC52" si="94">IF(B$2="-","",(IF(B112="","",IF(B$4&lt;$A52,B112,(B112-B$3)/(1+B$3%)))))</f>
        <v/>
      </c>
      <c r="C52" s="303" t="str">
        <f t="shared" si="94"/>
        <v/>
      </c>
      <c r="D52" s="303" t="str">
        <f t="shared" si="94"/>
        <v/>
      </c>
      <c r="E52" s="303" t="str">
        <f t="shared" si="94"/>
        <v/>
      </c>
      <c r="F52" s="303" t="str">
        <f t="shared" si="94"/>
        <v/>
      </c>
      <c r="G52" s="303" t="str">
        <f t="shared" si="94"/>
        <v/>
      </c>
      <c r="H52" s="303" t="str">
        <f t="shared" si="94"/>
        <v/>
      </c>
      <c r="I52" s="303" t="str">
        <f t="shared" si="94"/>
        <v/>
      </c>
      <c r="J52" s="303" t="str">
        <f t="shared" si="94"/>
        <v/>
      </c>
      <c r="K52" s="303" t="str">
        <f t="shared" si="94"/>
        <v/>
      </c>
      <c r="L52" s="303" t="str">
        <f t="shared" si="94"/>
        <v/>
      </c>
      <c r="M52" s="303" t="str">
        <f t="shared" si="94"/>
        <v/>
      </c>
      <c r="N52" s="303" t="str">
        <f t="shared" si="94"/>
        <v/>
      </c>
      <c r="O52" s="303" t="str">
        <f t="shared" si="94"/>
        <v/>
      </c>
      <c r="P52" s="303" t="str">
        <f t="shared" si="94"/>
        <v/>
      </c>
      <c r="Q52" s="303" t="str">
        <f t="shared" si="94"/>
        <v/>
      </c>
      <c r="R52" s="303" t="str">
        <f t="shared" si="94"/>
        <v/>
      </c>
      <c r="S52" s="303" t="str">
        <f t="shared" si="94"/>
        <v/>
      </c>
      <c r="T52" s="303" t="str">
        <f t="shared" si="94"/>
        <v/>
      </c>
      <c r="U52" s="303" t="str">
        <f t="shared" si="94"/>
        <v/>
      </c>
      <c r="V52" s="303" t="str">
        <f t="shared" si="94"/>
        <v/>
      </c>
      <c r="W52" s="303" t="str">
        <f t="shared" si="94"/>
        <v/>
      </c>
      <c r="X52" s="303" t="str">
        <f t="shared" si="94"/>
        <v/>
      </c>
      <c r="Y52" s="303" t="str">
        <f t="shared" si="94"/>
        <v/>
      </c>
      <c r="Z52" s="303" t="str">
        <f t="shared" si="94"/>
        <v/>
      </c>
      <c r="AA52" s="303" t="str">
        <f t="shared" si="94"/>
        <v/>
      </c>
      <c r="AB52" s="303" t="str">
        <f t="shared" si="94"/>
        <v/>
      </c>
      <c r="AC52" s="303" t="str">
        <f t="shared" si="94"/>
        <v/>
      </c>
      <c r="AD52" s="303" t="str">
        <f t="shared" ref="AD52:AL52" si="95">IF(AD$2="-",0,(IF(AD112="","",IF(AD$4&lt;$A52,AD112,(AD112-AD$3)/(1+AD$3%)))))</f>
        <v/>
      </c>
      <c r="AE52" s="303" t="str">
        <f t="shared" si="95"/>
        <v/>
      </c>
      <c r="AF52" s="303" t="str">
        <f t="shared" si="95"/>
        <v/>
      </c>
      <c r="AG52" s="303" t="str">
        <f t="shared" si="95"/>
        <v/>
      </c>
      <c r="AH52" s="303" t="str">
        <f t="shared" si="95"/>
        <v/>
      </c>
      <c r="AI52" s="303" t="str">
        <f t="shared" si="95"/>
        <v/>
      </c>
      <c r="AJ52" s="303" t="str">
        <f t="shared" si="95"/>
        <v/>
      </c>
      <c r="AK52" s="303" t="str">
        <f t="shared" si="95"/>
        <v/>
      </c>
      <c r="AL52" s="303" t="str">
        <f t="shared" si="95"/>
        <v/>
      </c>
      <c r="AM52" s="303" t="str">
        <f>IF(AM112&lt;&gt;"",AM112,"")</f>
        <v/>
      </c>
      <c r="AN52" s="57"/>
    </row>
    <row r="53" spans="1:40" s="181" customFormat="1" ht="24.75" customHeight="1" thickBot="1">
      <c r="A53" s="65"/>
      <c r="B53" s="238" t="str">
        <f>IF(Data_72_15!B$2="","",Data_72_15!B$2)</f>
        <v>VTSMX</v>
      </c>
      <c r="C53" s="238" t="str">
        <f>IF(Data_72_15!C$2="","",Data_72_15!C$2)</f>
        <v>VIVAX</v>
      </c>
      <c r="D53" s="238" t="str">
        <f>IF(Data_72_15!D$2="","",Data_72_15!D$2)</f>
        <v>VFINX</v>
      </c>
      <c r="E53" s="238" t="str">
        <f>IF(Data_72_15!E$2="","",Data_72_15!E$2)</f>
        <v>VIGRX</v>
      </c>
      <c r="F53" s="238" t="str">
        <f>IF(Data_72_15!F$2="","",Data_72_15!F$2)</f>
        <v>VIMSX</v>
      </c>
      <c r="G53" s="238" t="str">
        <f>IF(Data_72_15!G$2="","",Data_72_15!G$2)</f>
        <v>VISVX</v>
      </c>
      <c r="H53" s="238" t="str">
        <f>IF(Data_72_15!H$2="","",Data_72_15!H$2)</f>
        <v>NAESX</v>
      </c>
      <c r="I53" s="238" t="str">
        <f>IF(Data_72_15!I$2="","",Data_72_15!I$2)</f>
        <v>VISGX</v>
      </c>
      <c r="J53" s="238" t="str">
        <f>IF(Data_72_15!J$2="","",Data_72_15!J$2)</f>
        <v>BRSIX</v>
      </c>
      <c r="K53" s="238" t="str">
        <f>IF(Data_72_15!K$2="","",Data_72_15!K$2)</f>
        <v>VGSIX</v>
      </c>
      <c r="L53" s="238" t="str">
        <f>IF(Data_72_15!L$2="","",Data_72_15!L$2)</f>
        <v>VTMGX</v>
      </c>
      <c r="M53" s="238" t="str">
        <f>IF(Data_72_15!M$2="","",Data_72_15!M$2)</f>
        <v>VEIEX</v>
      </c>
      <c r="N53" s="238" t="str">
        <f>IF(Data_72_15!N$2="","",Data_72_15!N$2)</f>
        <v>VGTSX</v>
      </c>
      <c r="O53" s="238" t="str">
        <f>IF(Data_72_15!O$2="","",Data_72_15!O$2)</f>
        <v>VPACX</v>
      </c>
      <c r="P53" s="238" t="str">
        <f>IF(Data_72_15!P$2="","",Data_72_15!P$2)</f>
        <v>VEURX</v>
      </c>
      <c r="Q53" s="238" t="str">
        <f>IF(Data_72_15!Q$2="","",Data_72_15!Q$2)</f>
        <v>VTRIX</v>
      </c>
      <c r="R53" s="238" t="str">
        <f>IF(Data_72_15!R$2="","",Data_72_15!R$2)</f>
        <v>PCRIX</v>
      </c>
      <c r="S53" s="238" t="str">
        <f>IF(Data_72_15!S$2="","",Data_72_15!S$2)</f>
        <v>VUSTX</v>
      </c>
      <c r="T53" s="238" t="str">
        <f>IF(Data_72_15!T$2="","",Data_72_15!T$2)</f>
        <v>VFITX</v>
      </c>
      <c r="U53" s="238" t="str">
        <f>IF(Data_72_15!U$2="","",Data_72_15!U$2)</f>
        <v>VBMFX</v>
      </c>
      <c r="V53" s="238" t="str">
        <f>IF(Data_72_15!V$2="","",Data_72_15!V$2)</f>
        <v>VUSXX</v>
      </c>
      <c r="W53" s="238" t="str">
        <f>IF(Data_72_15!W$2="","",Data_72_15!W$2)</f>
        <v>VIPSX</v>
      </c>
      <c r="X53" s="238" t="str">
        <f>IF(Data_72_15!X$2="","",Data_72_15!X$2)</f>
        <v>VWELX</v>
      </c>
      <c r="Y53" s="238" t="str">
        <f>IF(Data_72_15!Y$2="","",Data_72_15!Y$2)</f>
        <v>VWINX</v>
      </c>
      <c r="Z53" s="238" t="str">
        <f>IF(Data_72_15!Z$2="","",Data_72_15!Z$2)</f>
        <v>VWNDX</v>
      </c>
      <c r="AA53" s="238" t="str">
        <f>IF(Data_72_15!AA$2="","",Data_72_15!AA$2)</f>
        <v>VFISX</v>
      </c>
      <c r="AB53" s="238" t="str">
        <f>IF(Data_72_15!AB$2="","",Data_72_15!AB$2)</f>
        <v>GLD</v>
      </c>
      <c r="AC53" s="238" t="str">
        <f>IF(Data_72_15!AC$2="","",Data_72_15!AC$2)</f>
        <v>VFSVX</v>
      </c>
      <c r="AD53" s="238" t="str">
        <f>IF(Data_72_15!AD$2="","",Data_72_15!AD$2)</f>
        <v/>
      </c>
      <c r="AE53" s="238" t="str">
        <f>IF(Data_72_15!AE$2="","",Data_72_15!AE$2)</f>
        <v/>
      </c>
      <c r="AF53" s="238" t="str">
        <f>IF(Data_72_15!AF$2="","",Data_72_15!AF$2)</f>
        <v/>
      </c>
      <c r="AG53" s="238" t="str">
        <f>IF(Data_72_15!AG$2="","",Data_72_15!AG$2)</f>
        <v/>
      </c>
      <c r="AH53" s="238" t="str">
        <f>IF(Data_72_15!AH$2="","",Data_72_15!AH$2)</f>
        <v/>
      </c>
      <c r="AI53" s="238" t="str">
        <f>IF(Data_72_15!AI$2="","",Data_72_15!AI$2)</f>
        <v/>
      </c>
      <c r="AJ53" s="238" t="str">
        <f>IF(Data_72_15!AJ$2="","",Data_72_15!AJ$2)</f>
        <v/>
      </c>
      <c r="AK53" s="238" t="str">
        <f>IF(Data_72_15!AK$2="","",Data_72_15!AK$2)</f>
        <v/>
      </c>
      <c r="AL53" s="238" t="str">
        <f>IF(Data_72_15!AL$2="","",Data_72_15!AL$2)</f>
        <v/>
      </c>
      <c r="AM53" s="181" t="s">
        <v>403</v>
      </c>
    </row>
    <row r="54" spans="1:40">
      <c r="A54" s="306" t="s">
        <v>199</v>
      </c>
      <c r="B54" s="307">
        <f t="shared" ref="B54:AM54" si="96">IF(ISERROR(AVERAGE(B8:B52)),"",AVERAGE(B8:B52))</f>
        <v>11.736854937515313</v>
      </c>
      <c r="C54" s="307">
        <f t="shared" si="96"/>
        <v>12.904980612772437</v>
      </c>
      <c r="D54" s="307">
        <f t="shared" si="96"/>
        <v>11.594067063265177</v>
      </c>
      <c r="E54" s="307">
        <f t="shared" si="96"/>
        <v>11.480202035318765</v>
      </c>
      <c r="F54" s="307">
        <f t="shared" si="96"/>
        <v>14.026923439724994</v>
      </c>
      <c r="G54" s="307">
        <f t="shared" si="96"/>
        <v>15.073597702556851</v>
      </c>
      <c r="H54" s="307">
        <f t="shared" si="96"/>
        <v>13.546758455552231</v>
      </c>
      <c r="I54" s="307">
        <f t="shared" si="96"/>
        <v>11.968453806245634</v>
      </c>
      <c r="J54" s="307">
        <f t="shared" si="96"/>
        <v>14.405046004798935</v>
      </c>
      <c r="K54" s="307">
        <f t="shared" si="96"/>
        <v>13.340797426690603</v>
      </c>
      <c r="L54" s="307">
        <f t="shared" si="96"/>
        <v>11.240355384699226</v>
      </c>
      <c r="M54" s="307">
        <f t="shared" si="96"/>
        <v>19.044940401221425</v>
      </c>
      <c r="N54" s="307">
        <f t="shared" si="96"/>
        <v>12.145862511565467</v>
      </c>
      <c r="O54" s="307">
        <f t="shared" si="96"/>
        <v>12.399000689117385</v>
      </c>
      <c r="P54" s="307">
        <f t="shared" si="96"/>
        <v>11.905013192971005</v>
      </c>
      <c r="Q54" s="307">
        <f t="shared" si="96"/>
        <v>13.023794938633641</v>
      </c>
      <c r="R54" s="307">
        <f t="shared" si="96"/>
        <v>9.8456722170707316</v>
      </c>
      <c r="S54" s="307">
        <f t="shared" si="96"/>
        <v>8.5179458197907287</v>
      </c>
      <c r="T54" s="307">
        <f t="shared" si="96"/>
        <v>7.329051047284505</v>
      </c>
      <c r="U54" s="307">
        <f t="shared" si="96"/>
        <v>7.334456541462532</v>
      </c>
      <c r="V54" s="307">
        <f t="shared" si="96"/>
        <v>4.9653290674756372</v>
      </c>
      <c r="W54" s="307">
        <f t="shared" si="96"/>
        <v>6.9807979495554324</v>
      </c>
      <c r="X54" s="307">
        <f t="shared" si="96"/>
        <v>10.739367598788606</v>
      </c>
      <c r="Y54" s="307">
        <f t="shared" si="96"/>
        <v>10.071052482430288</v>
      </c>
      <c r="Z54" s="307">
        <f t="shared" si="96"/>
        <v>13.304382392363566</v>
      </c>
      <c r="AA54" s="307">
        <f t="shared" si="96"/>
        <v>6.6146883505715799</v>
      </c>
      <c r="AB54" s="307">
        <f t="shared" si="96"/>
        <v>10.221602501135591</v>
      </c>
      <c r="AC54" s="307">
        <f t="shared" si="96"/>
        <v>17.924871792549389</v>
      </c>
      <c r="AD54" s="307" t="str">
        <f t="shared" si="96"/>
        <v/>
      </c>
      <c r="AE54" s="307" t="str">
        <f t="shared" si="96"/>
        <v/>
      </c>
      <c r="AF54" s="307" t="str">
        <f t="shared" si="96"/>
        <v/>
      </c>
      <c r="AG54" s="307" t="str">
        <f t="shared" si="96"/>
        <v/>
      </c>
      <c r="AH54" s="307" t="str">
        <f t="shared" si="96"/>
        <v/>
      </c>
      <c r="AI54" s="307" t="str">
        <f t="shared" si="96"/>
        <v/>
      </c>
      <c r="AJ54" s="307" t="str">
        <f t="shared" si="96"/>
        <v/>
      </c>
      <c r="AK54" s="307" t="str">
        <f t="shared" si="96"/>
        <v/>
      </c>
      <c r="AL54" s="307" t="str">
        <f t="shared" si="96"/>
        <v/>
      </c>
      <c r="AM54" s="307">
        <f t="shared" si="96"/>
        <v>4.1025362115189452</v>
      </c>
    </row>
    <row r="55" spans="1:40">
      <c r="A55" s="308" t="s">
        <v>455</v>
      </c>
      <c r="B55" s="309">
        <f t="shared" ref="B55:AM55" si="97">IF(ISERROR(STDEV(B8:B52)),"",STDEV(B8:B52))</f>
        <v>17.93233736540342</v>
      </c>
      <c r="C55" s="309">
        <f t="shared" si="97"/>
        <v>17.647579376950336</v>
      </c>
      <c r="D55" s="309">
        <f t="shared" si="97"/>
        <v>17.613734392760527</v>
      </c>
      <c r="E55" s="309">
        <f t="shared" si="97"/>
        <v>20.246477193891117</v>
      </c>
      <c r="F55" s="309">
        <f t="shared" si="97"/>
        <v>19.578015855430653</v>
      </c>
      <c r="G55" s="309">
        <f t="shared" si="97"/>
        <v>20.967881428622068</v>
      </c>
      <c r="H55" s="309">
        <f t="shared" si="97"/>
        <v>21.874840461345496</v>
      </c>
      <c r="I55" s="309">
        <f t="shared" si="97"/>
        <v>23.844428035076902</v>
      </c>
      <c r="J55" s="309">
        <f t="shared" si="97"/>
        <v>26.395389148784012</v>
      </c>
      <c r="K55" s="309">
        <f t="shared" si="97"/>
        <v>18.030584019491968</v>
      </c>
      <c r="L55" s="309">
        <f t="shared" si="97"/>
        <v>21.92394576469292</v>
      </c>
      <c r="M55" s="309">
        <f t="shared" si="97"/>
        <v>31.722693581370873</v>
      </c>
      <c r="N55" s="309">
        <f t="shared" si="97"/>
        <v>22.670101086865447</v>
      </c>
      <c r="O55" s="309">
        <f t="shared" si="97"/>
        <v>29.794142333601247</v>
      </c>
      <c r="P55" s="309">
        <f t="shared" si="97"/>
        <v>21.623836143696813</v>
      </c>
      <c r="Q55" s="309">
        <f t="shared" si="97"/>
        <v>22.43930928619039</v>
      </c>
      <c r="R55" s="309">
        <f t="shared" si="97"/>
        <v>21.323062045127454</v>
      </c>
      <c r="S55" s="309">
        <f t="shared" si="97"/>
        <v>12.998122804153963</v>
      </c>
      <c r="T55" s="309">
        <f t="shared" si="97"/>
        <v>7.1655185441902818</v>
      </c>
      <c r="U55" s="309">
        <f t="shared" si="97"/>
        <v>5.4827143098930353</v>
      </c>
      <c r="V55" s="309">
        <f t="shared" si="97"/>
        <v>3.4711656431811684</v>
      </c>
      <c r="W55" s="309">
        <f t="shared" si="97"/>
        <v>6.9964338969198296</v>
      </c>
      <c r="X55" s="309">
        <f t="shared" si="97"/>
        <v>12.082485222163207</v>
      </c>
      <c r="Y55" s="309">
        <f t="shared" si="97"/>
        <v>8.9485295920801633</v>
      </c>
      <c r="Z55" s="309">
        <f t="shared" si="97"/>
        <v>18.924019296937811</v>
      </c>
      <c r="AA55" s="309">
        <f t="shared" si="97"/>
        <v>4.690491050761481</v>
      </c>
      <c r="AB55" s="309">
        <f t="shared" si="97"/>
        <v>28.947216330649283</v>
      </c>
      <c r="AC55" s="309">
        <f t="shared" si="97"/>
        <v>30.70286158590898</v>
      </c>
      <c r="AD55" s="309" t="str">
        <f t="shared" si="97"/>
        <v/>
      </c>
      <c r="AE55" s="309" t="str">
        <f t="shared" si="97"/>
        <v/>
      </c>
      <c r="AF55" s="309" t="str">
        <f t="shared" si="97"/>
        <v/>
      </c>
      <c r="AG55" s="309" t="str">
        <f t="shared" si="97"/>
        <v/>
      </c>
      <c r="AH55" s="309" t="str">
        <f t="shared" si="97"/>
        <v/>
      </c>
      <c r="AI55" s="309" t="str">
        <f t="shared" si="97"/>
        <v/>
      </c>
      <c r="AJ55" s="309" t="str">
        <f t="shared" si="97"/>
        <v/>
      </c>
      <c r="AK55" s="309" t="str">
        <f t="shared" si="97"/>
        <v/>
      </c>
      <c r="AL55" s="309" t="str">
        <f t="shared" si="97"/>
        <v/>
      </c>
      <c r="AM55" s="309">
        <f t="shared" si="97"/>
        <v>3.1414540707752776</v>
      </c>
    </row>
    <row r="56" spans="1:40">
      <c r="A56" s="308" t="s">
        <v>176</v>
      </c>
      <c r="B56" s="309">
        <f t="array" ref="B56">IF(ISERROR((PRODUCT(1+B8:B51%)^(1/COUNT(B8:B51))-1)*100),"",(PRODUCT(1+B8:B51%)^(1/COUNT(B8:B51))-1)*100)</f>
        <v>10.165635989115662</v>
      </c>
      <c r="C56" s="309">
        <f t="array" ref="C56">IF(ISERROR((PRODUCT(1+C8:C51%)^(1/COUNT(C8:C51))-1)*100),"",(PRODUCT(1+C8:C51%)^(1/COUNT(C8:C51))-1)*100)</f>
        <v>11.441733616869797</v>
      </c>
      <c r="D56" s="309">
        <f t="array" ref="D56">IF(ISERROR((PRODUCT(1+D8:D51%)^(1/COUNT(D8:D51))-1)*100),"",(PRODUCT(1+D8:D51%)^(1/COUNT(D8:D51))-1)*100)</f>
        <v>10.076007363598904</v>
      </c>
      <c r="E56" s="309">
        <f t="array" ref="E56">IF(ISERROR((PRODUCT(1+E8:E51%)^(1/COUNT(E8:E51))-1)*100),"",(PRODUCT(1+E8:E51%)^(1/COUNT(E8:E51))-1)*100)</f>
        <v>9.4965193437653426</v>
      </c>
      <c r="F56" s="309">
        <f t="array" ref="F56">IF(ISERROR((PRODUCT(1+F8:F51%)^(1/COUNT(F8:F51))-1)*100),"",(PRODUCT(1+F8:F51%)^(1/COUNT(F8:F51))-1)*100)</f>
        <v>12.179801038258265</v>
      </c>
      <c r="G56" s="309">
        <f t="array" ref="G56">IF(ISERROR((PRODUCT(1+G8:G51%)^(1/COUNT(G8:G51))-1)*100),"",(PRODUCT(1+G8:G51%)^(1/COUNT(G8:G51))-1)*100)</f>
        <v>13.070829748786705</v>
      </c>
      <c r="H56" s="309">
        <f t="array" ref="H56">IF(ISERROR((PRODUCT(1+H8:H51%)^(1/COUNT(H8:H51))-1)*100),"",(PRODUCT(1+H8:H51%)^(1/COUNT(H8:H51))-1)*100)</f>
        <v>11.309658952773649</v>
      </c>
      <c r="I56" s="309">
        <f t="array" ref="I56">IF(ISERROR((PRODUCT(1+I8:I51%)^(1/COUNT(I8:I51))-1)*100),"",(PRODUCT(1+I8:I51%)^(1/COUNT(I8:I51))-1)*100)</f>
        <v>9.2416181809838562</v>
      </c>
      <c r="J56" s="309">
        <f t="array" ref="J56">IF(ISERROR((PRODUCT(1+J8:J51%)^(1/COUNT(J8:J51))-1)*100),"",(PRODUCT(1+J8:J51%)^(1/COUNT(J8:J51))-1)*100)</f>
        <v>11.215184748926955</v>
      </c>
      <c r="K56" s="309">
        <f t="array" ref="K56">IF(ISERROR((PRODUCT(1+K8:K51%)^(1/COUNT(K8:K51))-1)*100),"",(PRODUCT(1+K8:K51%)^(1/COUNT(K8:K51))-1)*100)</f>
        <v>11.778624350334056</v>
      </c>
      <c r="L56" s="309">
        <f t="array" ref="L56">IF(ISERROR((PRODUCT(1+L8:L51%)^(1/COUNT(L8:L51))-1)*100),"",(PRODUCT(1+L8:L51%)^(1/COUNT(L8:L51))-1)*100)</f>
        <v>9.033048328303007</v>
      </c>
      <c r="M56" s="309">
        <f t="array" ref="M56">IF(ISERROR((PRODUCT(1+M8:M51%)^(1/COUNT(M8:M51))-1)*100),"",(PRODUCT(1+M8:M51%)^(1/COUNT(M8:M51))-1)*100)</f>
        <v>14.631849511884631</v>
      </c>
      <c r="N56" s="309">
        <f t="array" ref="N56">IF(ISERROR((PRODUCT(1+N8:N51%)^(1/COUNT(N8:N51))-1)*100),"",(PRODUCT(1+N8:N51%)^(1/COUNT(N8:N51))-1)*100)</f>
        <v>9.7723410457943416</v>
      </c>
      <c r="O56" s="309">
        <f t="array" ref="O56">IF(ISERROR((PRODUCT(1+O8:O51%)^(1/COUNT(O8:O51))-1)*100),"",(PRODUCT(1+O8:O51%)^(1/COUNT(O8:O51))-1)*100)</f>
        <v>8.7996165335610499</v>
      </c>
      <c r="P56" s="309">
        <f t="array" ref="P56">IF(ISERROR((PRODUCT(1+P8:P51%)^(1/COUNT(P8:P51))-1)*100),"",(PRODUCT(1+P8:P51%)^(1/COUNT(P8:P51))-1)*100)</f>
        <v>9.771658830614971</v>
      </c>
      <c r="Q56" s="309">
        <f t="array" ref="Q56">IF(ISERROR((PRODUCT(1+Q8:Q51%)^(1/COUNT(Q8:Q51))-1)*100),"",(PRODUCT(1+Q8:Q51%)^(1/COUNT(Q8:Q51))-1)*100)</f>
        <v>10.721828779740573</v>
      </c>
      <c r="R56" s="309">
        <f t="array" ref="R56">IF(ISERROR((PRODUCT(1+R8:R51%)^(1/COUNT(R8:R51))-1)*100),"",(PRODUCT(1+R8:R51%)^(1/COUNT(R8:R51))-1)*100)</f>
        <v>7.7060928493622338</v>
      </c>
      <c r="S56" s="309">
        <f t="array" ref="S56">IF(ISERROR((PRODUCT(1+S8:S51%)^(1/COUNT(S8:S51))-1)*100),"",(PRODUCT(1+S8:S51%)^(1/COUNT(S8:S51))-1)*100)</f>
        <v>7.7907530581458051</v>
      </c>
      <c r="T56" s="309">
        <f t="array" ref="T56">IF(ISERROR((PRODUCT(1+T8:T51%)^(1/COUNT(T8:T51))-1)*100),"",(PRODUCT(1+T8:T51%)^(1/COUNT(T8:T51))-1)*100)</f>
        <v>7.1050031661996638</v>
      </c>
      <c r="U56" s="309">
        <f t="array" ref="U56">IF(ISERROR((PRODUCT(1+U8:U51%)^(1/COUNT(U8:U51))-1)*100),"",(PRODUCT(1+U8:U51%)^(1/COUNT(U8:U51))-1)*100)</f>
        <v>7.2008130488391275</v>
      </c>
      <c r="V56" s="309">
        <f t="array" ref="V56">IF(ISERROR((PRODUCT(1+V8:V51%)^(1/COUNT(V8:V51))-1)*100),"",(PRODUCT(1+V8:V51%)^(1/COUNT(V8:V51))-1)*100)</f>
        <v>4.9096626850346103</v>
      </c>
      <c r="W56" s="309">
        <f t="array" ref="W56">IF(ISERROR((PRODUCT(1+W8:W51%)^(1/COUNT(W8:W51))-1)*100),"",(PRODUCT(1+W8:W51%)^(1/COUNT(W8:W51))-1)*100)</f>
        <v>6.754930975699236</v>
      </c>
      <c r="X56" s="309">
        <f t="array" ref="X56">IF(ISERROR((PRODUCT(1+X8:X51%)^(1/COUNT(X8:X51))-1)*100),"",(PRODUCT(1+X8:X51%)^(1/COUNT(X8:X51))-1)*100)</f>
        <v>10.052159288959306</v>
      </c>
      <c r="Y56" s="309">
        <f t="array" ref="Y56">IF(ISERROR((PRODUCT(1+Y8:Y51%)^(1/COUNT(Y8:Y51))-1)*100),"",(PRODUCT(1+Y8:Y51%)^(1/COUNT(Y8:Y51))-1)*100)</f>
        <v>9.7119073869724062</v>
      </c>
      <c r="Z56" s="309">
        <f t="array" ref="Z56">IF(ISERROR((PRODUCT(1+Z8:Z51%)^(1/COUNT(Z8:Z51))-1)*100),"",(PRODUCT(1+Z8:Z51%)^(1/COUNT(Z8:Z51))-1)*100)</f>
        <v>11.571531351528197</v>
      </c>
      <c r="AA56" s="309">
        <f t="array" ref="AA56">IF(ISERROR((PRODUCT(1+AA8:AA51%)^(1/COUNT(AA8:AA51))-1)*100),"",(PRODUCT(1+AA8:AA51%)^(1/COUNT(AA8:AA51))-1)*100)</f>
        <v>6.5155432146736469</v>
      </c>
      <c r="AB56" s="309">
        <f t="array" ref="AB56">IF(ISERROR((PRODUCT(1+AB8:AB51%)^(1/COUNT(AB8:AB51))-1)*100),"",(PRODUCT(1+AB8:AB51%)^(1/COUNT(AB8:AB51))-1)*100)</f>
        <v>7.0833524336320064</v>
      </c>
      <c r="AC56" s="309">
        <f t="array" ref="AC56">IF(ISERROR((PRODUCT(1+AC8:AC51%)^(1/COUNT(AC8:AC51))-1)*100),"",(PRODUCT(1+AC8:AC51%)^(1/COUNT(AC8:AC51))-1)*100)</f>
        <v>13.930553733641737</v>
      </c>
      <c r="AD56" s="309" t="str">
        <f t="array" ref="AD56">IF(ISERROR((PRODUCT(1+AD8:AD51%)^(1/COUNT(AD8:AD51))-1)*100),"",(PRODUCT(1+AD8:AD51%)^(1/COUNT(AD8:AD51))-1)*100)</f>
        <v/>
      </c>
      <c r="AE56" s="309" t="str">
        <f t="array" ref="AE56">IF(ISERROR((PRODUCT(1+AE8:AE51%)^(1/COUNT(AE8:AE51))-1)*100),"",(PRODUCT(1+AE8:AE51%)^(1/COUNT(AE8:AE51))-1)*100)</f>
        <v/>
      </c>
      <c r="AF56" s="309" t="str">
        <f t="array" ref="AF56">IF(ISERROR((PRODUCT(1+AF8:AF51%)^(1/COUNT(AF8:AF51))-1)*100),"",(PRODUCT(1+AF8:AF51%)^(1/COUNT(AF8:AF51))-1)*100)</f>
        <v/>
      </c>
      <c r="AG56" s="309" t="str">
        <f t="array" ref="AG56">IF(ISERROR((PRODUCT(1+AG8:AG51%)^(1/COUNT(AG8:AG51))-1)*100),"",(PRODUCT(1+AG8:AG51%)^(1/COUNT(AG8:AG51))-1)*100)</f>
        <v/>
      </c>
      <c r="AH56" s="309" t="str">
        <f t="array" ref="AH56">IF(ISERROR((PRODUCT(1+AH8:AH51%)^(1/COUNT(AH8:AH51))-1)*100),"",(PRODUCT(1+AH8:AH51%)^(1/COUNT(AH8:AH51))-1)*100)</f>
        <v/>
      </c>
      <c r="AI56" s="309" t="str">
        <f t="array" ref="AI56">IF(ISERROR((PRODUCT(1+AI8:AI51%)^(1/COUNT(AI8:AI51))-1)*100),"",(PRODUCT(1+AI8:AI51%)^(1/COUNT(AI8:AI51))-1)*100)</f>
        <v/>
      </c>
      <c r="AJ56" s="309" t="str">
        <f t="array" ref="AJ56">IF(ISERROR((PRODUCT(1+AJ8:AJ51%)^(1/COUNT(AJ8:AJ51))-1)*100),"",(PRODUCT(1+AJ8:AJ51%)^(1/COUNT(AJ8:AJ51))-1)*100)</f>
        <v/>
      </c>
      <c r="AK56" s="309" t="str">
        <f t="array" ref="AK56">IF(ISERROR((PRODUCT(1+AK8:AK51%)^(1/COUNT(AK8:AK51))-1)*100),"",(PRODUCT(1+AK8:AK51%)^(1/COUNT(AK8:AK51))-1)*100)</f>
        <v/>
      </c>
      <c r="AL56" s="309" t="str">
        <f t="array" ref="AL56">IF(ISERROR((PRODUCT(1+AL8:AL51%)^(1/COUNT(AL8:AL51))-1)*100),"",(PRODUCT(1+AL8:AL51%)^(1/COUNT(AL8:AL51))-1)*100)</f>
        <v/>
      </c>
      <c r="AM56" s="309">
        <f t="array" ref="AM56">IF(ISERROR((PRODUCT(1+AM8:AM51%)^(1/COUNT(AM8:AM51))-1)*100),"",(PRODUCT(1+AM8:AM51%)^(1/COUNT(AM8:AM51))-1)*100)</f>
        <v>4.0575336053278344</v>
      </c>
    </row>
    <row r="57" spans="1:40">
      <c r="A57" s="310" t="s">
        <v>456</v>
      </c>
      <c r="B57" s="309">
        <f>IF(OR(ISERROR(VARA(B8:B52)), COUNT(B8:B52)=0),"",VARA(B8:B52))</f>
        <v>317.32153806132504</v>
      </c>
      <c r="C57" s="309">
        <f t="shared" ref="C57:AM57" si="98">IF(OR(ISERROR(VARA(C8:C52)), COUNT(C8:C52)=0),"",VARA(C8:C52))</f>
        <v>308.05979901684663</v>
      </c>
      <c r="D57" s="309">
        <f t="shared" si="98"/>
        <v>306.1798117033249</v>
      </c>
      <c r="E57" s="309">
        <f t="shared" si="98"/>
        <v>403.53225743024433</v>
      </c>
      <c r="F57" s="309">
        <f t="shared" si="98"/>
        <v>378.95969466099638</v>
      </c>
      <c r="G57" s="309">
        <f t="shared" si="98"/>
        <v>434.70914502723974</v>
      </c>
      <c r="H57" s="309">
        <f t="shared" si="98"/>
        <v>471.71155238624522</v>
      </c>
      <c r="I57" s="309">
        <f t="shared" si="98"/>
        <v>558.81820151801196</v>
      </c>
      <c r="J57" s="309">
        <f t="shared" si="98"/>
        <v>685.49333086292052</v>
      </c>
      <c r="K57" s="309">
        <f t="shared" si="98"/>
        <v>321.66832086140437</v>
      </c>
      <c r="L57" s="309">
        <f t="shared" si="98"/>
        <v>472.5430004277809</v>
      </c>
      <c r="M57" s="309">
        <f t="shared" si="98"/>
        <v>991.51838464966897</v>
      </c>
      <c r="N57" s="309">
        <f t="shared" si="98"/>
        <v>505.53144298698174</v>
      </c>
      <c r="O57" s="309">
        <f t="shared" si="98"/>
        <v>870.93246199748307</v>
      </c>
      <c r="P57" s="309">
        <f t="shared" si="98"/>
        <v>460.11277840321964</v>
      </c>
      <c r="Q57" s="309">
        <f t="shared" si="98"/>
        <v>495.84822208307725</v>
      </c>
      <c r="R57" s="309">
        <f t="shared" si="98"/>
        <v>446.49365964083387</v>
      </c>
      <c r="S57" s="309">
        <f t="shared" si="98"/>
        <v>166.72373875715877</v>
      </c>
      <c r="T57" s="309">
        <f t="shared" si="98"/>
        <v>51.371398434832713</v>
      </c>
      <c r="U57" s="309">
        <f t="shared" si="98"/>
        <v>30.57239867471533</v>
      </c>
      <c r="V57" s="309">
        <f t="shared" si="98"/>
        <v>12.323027836248787</v>
      </c>
      <c r="W57" s="309">
        <f t="shared" si="98"/>
        <v>48.920508401858775</v>
      </c>
      <c r="X57" s="309">
        <f t="shared" si="98"/>
        <v>145.2315534423243</v>
      </c>
      <c r="Y57" s="309">
        <f t="shared" si="98"/>
        <v>80.510181927432853</v>
      </c>
      <c r="Z57" s="309">
        <f t="shared" si="98"/>
        <v>353.91292918484885</v>
      </c>
      <c r="AA57" s="309">
        <f t="shared" si="98"/>
        <v>22.47300362228917</v>
      </c>
      <c r="AB57" s="309">
        <f t="shared" si="98"/>
        <v>821.21901558644413</v>
      </c>
      <c r="AC57" s="309">
        <f t="shared" si="98"/>
        <v>928.38151175335088</v>
      </c>
      <c r="AD57" s="309" t="str">
        <f t="shared" si="98"/>
        <v/>
      </c>
      <c r="AE57" s="309" t="str">
        <f t="shared" si="98"/>
        <v/>
      </c>
      <c r="AF57" s="309" t="str">
        <f t="shared" si="98"/>
        <v/>
      </c>
      <c r="AG57" s="309" t="str">
        <f t="shared" si="98"/>
        <v/>
      </c>
      <c r="AH57" s="309" t="str">
        <f t="shared" si="98"/>
        <v/>
      </c>
      <c r="AI57" s="309" t="str">
        <f t="shared" si="98"/>
        <v/>
      </c>
      <c r="AJ57" s="309" t="str">
        <f t="shared" si="98"/>
        <v/>
      </c>
      <c r="AK57" s="309" t="str">
        <f t="shared" si="98"/>
        <v/>
      </c>
      <c r="AL57" s="309" t="str">
        <f t="shared" si="98"/>
        <v/>
      </c>
      <c r="AM57" s="309">
        <f t="shared" si="98"/>
        <v>10.018462129595962</v>
      </c>
    </row>
    <row r="58" spans="1:40" ht="20">
      <c r="A58" s="311" t="s">
        <v>457</v>
      </c>
      <c r="B58" s="312">
        <f>IF(ISERROR(PEARSON($B$8:$B$52,B8:B52)),"",PEARSON($B$8:$B$52,B8:B52))</f>
        <v>1</v>
      </c>
      <c r="C58" s="312">
        <f t="shared" ref="C58:AM58" si="99">IF(ISERROR(PEARSON($B$8:$B$52,C8:C52)),"",PEARSON($B$8:$B$52,C8:C52))</f>
        <v>0.93182560747978016</v>
      </c>
      <c r="D58" s="312">
        <f t="shared" si="99"/>
        <v>0.99254265006820463</v>
      </c>
      <c r="E58" s="312">
        <f t="shared" si="99"/>
        <v>0.96150059807657651</v>
      </c>
      <c r="F58" s="312">
        <f t="shared" si="99"/>
        <v>0.92340834742236977</v>
      </c>
      <c r="G58" s="312">
        <f t="shared" si="99"/>
        <v>0.76031133108255133</v>
      </c>
      <c r="H58" s="312">
        <f t="shared" si="99"/>
        <v>0.87949487658687309</v>
      </c>
      <c r="I58" s="312">
        <f t="shared" si="99"/>
        <v>0.85996313567933591</v>
      </c>
      <c r="J58" s="312">
        <f t="shared" si="99"/>
        <v>0.74223093257263573</v>
      </c>
      <c r="K58" s="312">
        <f t="shared" si="99"/>
        <v>0.59055723408983785</v>
      </c>
      <c r="L58" s="312">
        <f t="shared" si="99"/>
        <v>0.65901920345766574</v>
      </c>
      <c r="M58" s="312">
        <f t="shared" si="99"/>
        <v>0.53274672538960788</v>
      </c>
      <c r="N58" s="312">
        <f t="shared" si="99"/>
        <v>0.6552685428446493</v>
      </c>
      <c r="O58" s="312">
        <f t="shared" si="99"/>
        <v>0.43614675019895038</v>
      </c>
      <c r="P58" s="312">
        <f t="shared" si="99"/>
        <v>0.7521379783599027</v>
      </c>
      <c r="Q58" s="312">
        <f t="shared" si="99"/>
        <v>0.59761512156244734</v>
      </c>
      <c r="R58" s="312">
        <f t="shared" si="99"/>
        <v>8.0209576850804126E-2</v>
      </c>
      <c r="S58" s="312">
        <f t="shared" si="99"/>
        <v>1.2390556044948835E-2</v>
      </c>
      <c r="T58" s="312">
        <f t="shared" si="99"/>
        <v>2.8073710613219467E-2</v>
      </c>
      <c r="U58" s="312">
        <f t="shared" si="99"/>
        <v>0.22550571882001125</v>
      </c>
      <c r="V58" s="312">
        <f t="shared" si="99"/>
        <v>3.9575237059404911E-2</v>
      </c>
      <c r="W58" s="312">
        <f t="shared" si="99"/>
        <v>0.13429769744433012</v>
      </c>
      <c r="X58" s="312">
        <f t="shared" si="99"/>
        <v>0.92259491482520173</v>
      </c>
      <c r="Y58" s="312">
        <f t="shared" si="99"/>
        <v>0.6962473637496398</v>
      </c>
      <c r="Z58" s="312">
        <f t="shared" si="99"/>
        <v>0.85682814721785305</v>
      </c>
      <c r="AA58" s="312">
        <f t="shared" si="99"/>
        <v>3.591176099285677E-2</v>
      </c>
      <c r="AB58" s="312">
        <f t="shared" si="99"/>
        <v>-0.237784395928446</v>
      </c>
      <c r="AC58" s="312">
        <f t="shared" si="99"/>
        <v>0.51554603619079375</v>
      </c>
      <c r="AD58" s="312" t="str">
        <f t="shared" si="99"/>
        <v/>
      </c>
      <c r="AE58" s="312" t="str">
        <f t="shared" si="99"/>
        <v/>
      </c>
      <c r="AF58" s="312" t="str">
        <f t="shared" si="99"/>
        <v/>
      </c>
      <c r="AG58" s="312" t="str">
        <f t="shared" si="99"/>
        <v/>
      </c>
      <c r="AH58" s="312" t="str">
        <f t="shared" si="99"/>
        <v/>
      </c>
      <c r="AI58" s="312" t="str">
        <f t="shared" si="99"/>
        <v/>
      </c>
      <c r="AJ58" s="312" t="str">
        <f t="shared" si="99"/>
        <v/>
      </c>
      <c r="AK58" s="312" t="str">
        <f t="shared" si="99"/>
        <v/>
      </c>
      <c r="AL58" s="312" t="str">
        <f t="shared" si="99"/>
        <v/>
      </c>
      <c r="AM58" s="312">
        <f t="shared" si="99"/>
        <v>-8.4577447421337021E-2</v>
      </c>
    </row>
    <row r="59" spans="1:40" ht="20">
      <c r="A59" s="311" t="s">
        <v>458</v>
      </c>
      <c r="B59" s="312">
        <f>IF(ISERROR(PEARSON($N$8:$N$50,B8:B50)),"",PEARSON($N$8:$N$50,B8:B50))</f>
        <v>0.65147533959048964</v>
      </c>
      <c r="C59" s="312">
        <f t="shared" ref="C59:AM59" si="100">IF(ISERROR(PEARSON($N$8:$N$50,C8:C50)),"",PEARSON($N$8:$N$50,C8:C50))</f>
        <v>0.61506811816068219</v>
      </c>
      <c r="D59" s="312">
        <f t="shared" si="100"/>
        <v>0.64260243793587124</v>
      </c>
      <c r="E59" s="312">
        <f t="shared" si="100"/>
        <v>0.59892530799067467</v>
      </c>
      <c r="F59" s="312">
        <f t="shared" si="100"/>
        <v>0.5903869776997932</v>
      </c>
      <c r="G59" s="312">
        <f t="shared" si="100"/>
        <v>0.46035616349846248</v>
      </c>
      <c r="H59" s="312">
        <f t="shared" si="100"/>
        <v>0.57136046546750319</v>
      </c>
      <c r="I59" s="312">
        <f t="shared" si="100"/>
        <v>0.55876672652616033</v>
      </c>
      <c r="J59" s="312">
        <f t="shared" si="100"/>
        <v>0.46504885403317592</v>
      </c>
      <c r="K59" s="312">
        <f t="shared" si="100"/>
        <v>0.39585820218496987</v>
      </c>
      <c r="L59" s="312">
        <f t="shared" si="100"/>
        <v>0.99131457791348654</v>
      </c>
      <c r="M59" s="312">
        <f t="shared" si="100"/>
        <v>0.86842479277271933</v>
      </c>
      <c r="N59" s="312">
        <f t="shared" si="100"/>
        <v>0.99999999999999989</v>
      </c>
      <c r="O59" s="312">
        <f t="shared" si="100"/>
        <v>0.858708950190887</v>
      </c>
      <c r="P59" s="312">
        <f t="shared" si="100"/>
        <v>0.87377095091873236</v>
      </c>
      <c r="Q59" s="312">
        <f t="shared" si="100"/>
        <v>0.98247836027435054</v>
      </c>
      <c r="R59" s="312">
        <f t="shared" si="100"/>
        <v>0.17800160938400006</v>
      </c>
      <c r="S59" s="312">
        <f t="shared" si="100"/>
        <v>-0.10842933975702514</v>
      </c>
      <c r="T59" s="312">
        <f t="shared" si="100"/>
        <v>-0.10432539256755501</v>
      </c>
      <c r="U59" s="312">
        <f t="shared" si="100"/>
        <v>-5.6820270303460207E-4</v>
      </c>
      <c r="V59" s="312">
        <f t="shared" si="100"/>
        <v>1.0541110547906553E-2</v>
      </c>
      <c r="W59" s="312">
        <f t="shared" si="100"/>
        <v>0.3868725413690472</v>
      </c>
      <c r="X59" s="312">
        <f t="shared" si="100"/>
        <v>0.59066179204700564</v>
      </c>
      <c r="Y59" s="312">
        <f t="shared" si="100"/>
        <v>0.39783230765657773</v>
      </c>
      <c r="Z59" s="312">
        <f t="shared" si="100"/>
        <v>0.5883959363633765</v>
      </c>
      <c r="AA59" s="312">
        <f t="shared" si="100"/>
        <v>-7.2183920409384372E-2</v>
      </c>
      <c r="AB59" s="312">
        <f t="shared" si="100"/>
        <v>-3.0638249763274009E-2</v>
      </c>
      <c r="AC59" s="312">
        <f t="shared" si="100"/>
        <v>0.89071614789765385</v>
      </c>
      <c r="AD59" s="312" t="str">
        <f t="shared" si="100"/>
        <v/>
      </c>
      <c r="AE59" s="312" t="str">
        <f t="shared" si="100"/>
        <v/>
      </c>
      <c r="AF59" s="312" t="str">
        <f t="shared" si="100"/>
        <v/>
      </c>
      <c r="AG59" s="312" t="str">
        <f t="shared" si="100"/>
        <v/>
      </c>
      <c r="AH59" s="312" t="str">
        <f t="shared" si="100"/>
        <v/>
      </c>
      <c r="AI59" s="312" t="str">
        <f t="shared" si="100"/>
        <v/>
      </c>
      <c r="AJ59" s="312" t="str">
        <f t="shared" si="100"/>
        <v/>
      </c>
      <c r="AK59" s="312" t="str">
        <f t="shared" si="100"/>
        <v/>
      </c>
      <c r="AL59" s="312" t="str">
        <f t="shared" si="100"/>
        <v/>
      </c>
      <c r="AM59" s="312">
        <f t="shared" si="100"/>
        <v>-6.8515380543093723E-2</v>
      </c>
    </row>
    <row r="60" spans="1:40" ht="24">
      <c r="A60" s="313" t="s">
        <v>178</v>
      </c>
      <c r="B60" s="312">
        <f t="shared" ref="B60:AM60" si="101">IF(ISERROR(((AVERAGE(B8:B52))-(AVERAGE($V8:$V52)))/STDEV(B8:B52)),"",((AVERAGE(B8:B52))-(AVERAGE($V8:$V52)))/STDEV(B8:B52))</f>
        <v>0.37761535108657251</v>
      </c>
      <c r="C60" s="312">
        <f t="shared" si="101"/>
        <v>0.44990031639505479</v>
      </c>
      <c r="D60" s="312">
        <f t="shared" si="101"/>
        <v>0.37633915942970259</v>
      </c>
      <c r="E60" s="312">
        <f t="shared" si="101"/>
        <v>0.32177810023211506</v>
      </c>
      <c r="F60" s="312">
        <f t="shared" si="101"/>
        <v>0.46284538939811937</v>
      </c>
      <c r="G60" s="312">
        <f t="shared" si="101"/>
        <v>0.48208345080027915</v>
      </c>
      <c r="H60" s="312">
        <f t="shared" si="101"/>
        <v>0.39229677598063539</v>
      </c>
      <c r="I60" s="312">
        <f t="shared" si="101"/>
        <v>0.29370068044693237</v>
      </c>
      <c r="J60" s="312">
        <f t="shared" si="101"/>
        <v>0.35762749638257058</v>
      </c>
      <c r="K60" s="312">
        <f t="shared" si="101"/>
        <v>0.46451453542273863</v>
      </c>
      <c r="L60" s="312">
        <f t="shared" si="101"/>
        <v>0.286217927401057</v>
      </c>
      <c r="M60" s="312">
        <f t="shared" si="101"/>
        <v>0.44383404257997905</v>
      </c>
      <c r="N60" s="312">
        <f t="shared" si="101"/>
        <v>0.31674024816104906</v>
      </c>
      <c r="O60" s="312">
        <f t="shared" si="101"/>
        <v>0.24950111127240601</v>
      </c>
      <c r="P60" s="312">
        <f t="shared" si="101"/>
        <v>0.32092752087923276</v>
      </c>
      <c r="Q60" s="312">
        <f t="shared" si="101"/>
        <v>0.35912272380493221</v>
      </c>
      <c r="R60" s="312">
        <f t="shared" si="101"/>
        <v>0.22887628143024161</v>
      </c>
      <c r="S60" s="312">
        <f t="shared" si="101"/>
        <v>0.27331767870201534</v>
      </c>
      <c r="T60" s="312">
        <f t="shared" si="101"/>
        <v>0.32987451853367206</v>
      </c>
      <c r="U60" s="312">
        <f t="shared" si="101"/>
        <v>0.43210850321200034</v>
      </c>
      <c r="V60" s="312">
        <f t="shared" si="101"/>
        <v>0</v>
      </c>
      <c r="W60" s="312">
        <f t="shared" si="101"/>
        <v>0.28807088179123691</v>
      </c>
      <c r="X60" s="312">
        <f t="shared" si="101"/>
        <v>0.47788500669725664</v>
      </c>
      <c r="Y60" s="312">
        <f t="shared" si="101"/>
        <v>0.57056562895801755</v>
      </c>
      <c r="Z60" s="312">
        <f t="shared" si="101"/>
        <v>0.44065973480788573</v>
      </c>
      <c r="AA60" s="312">
        <f t="shared" si="101"/>
        <v>0.35163893614681907</v>
      </c>
      <c r="AB60" s="312">
        <f t="shared" si="101"/>
        <v>0.18158130901500938</v>
      </c>
      <c r="AC60" s="312">
        <f t="shared" si="101"/>
        <v>0.42209559811915087</v>
      </c>
      <c r="AD60" s="312" t="str">
        <f t="shared" si="101"/>
        <v/>
      </c>
      <c r="AE60" s="312" t="str">
        <f t="shared" si="101"/>
        <v/>
      </c>
      <c r="AF60" s="312" t="str">
        <f t="shared" si="101"/>
        <v/>
      </c>
      <c r="AG60" s="312" t="str">
        <f t="shared" si="101"/>
        <v/>
      </c>
      <c r="AH60" s="312" t="str">
        <f t="shared" si="101"/>
        <v/>
      </c>
      <c r="AI60" s="312" t="str">
        <f t="shared" si="101"/>
        <v/>
      </c>
      <c r="AJ60" s="312" t="str">
        <f t="shared" si="101"/>
        <v/>
      </c>
      <c r="AK60" s="312" t="str">
        <f t="shared" si="101"/>
        <v/>
      </c>
      <c r="AL60" s="312" t="str">
        <f t="shared" si="101"/>
        <v/>
      </c>
      <c r="AM60" s="312">
        <f t="shared" si="101"/>
        <v>-0.27464761111206182</v>
      </c>
    </row>
    <row r="61" spans="1:40" s="316" customFormat="1" thickBot="1">
      <c r="A61" s="314" t="s">
        <v>283</v>
      </c>
      <c r="B61" s="315">
        <f t="array" ref="B61">IF(ISERROR(PRODUCT(1+B8:B51%)),"",PRODUCT(1+B8:B51%))</f>
        <v>70.799537962556016</v>
      </c>
      <c r="C61" s="315">
        <f t="array" ref="C61">IF(ISERROR(PRODUCT(1+C8:C51%)),"",PRODUCT(1+C8:C51%))</f>
        <v>117.51838555468198</v>
      </c>
      <c r="D61" s="315">
        <f t="array" ref="D61">IF(ISERROR(PRODUCT(1+D8:D51%)),"",PRODUCT(1+D8:D51%))</f>
        <v>68.308919963834001</v>
      </c>
      <c r="E61" s="315">
        <f t="array" ref="E61">IF(ISERROR(PRODUCT(1+E8:E51%)),"",PRODUCT(1+E8:E51%))</f>
        <v>54.151915226191406</v>
      </c>
      <c r="F61" s="315">
        <f t="array" ref="F61">IF(ISERROR(PRODUCT(1+F8:F51%)),"",PRODUCT(1+F8:F51%))</f>
        <v>157.12499543548336</v>
      </c>
      <c r="G61" s="315">
        <f t="array" ref="G61">IF(ISERROR(PRODUCT(1+G8:G51%)),"",PRODUCT(1+G8:G51%))</f>
        <v>222.54891608536738</v>
      </c>
      <c r="H61" s="315">
        <f t="array" ref="H61">IF(ISERROR(PRODUCT(1+H8:H51%)),"",PRODUCT(1+H8:H51%))</f>
        <v>111.5438145320384</v>
      </c>
      <c r="I61" s="315">
        <f t="array" ref="I61">IF(ISERROR(PRODUCT(1+I8:I51%)),"",PRODUCT(1+I8:I51%))</f>
        <v>48.873955044291485</v>
      </c>
      <c r="J61" s="315">
        <f t="array" ref="J61">IF(ISERROR(PRODUCT(1+J8:J51%)),"",PRODUCT(1+J8:J51%))</f>
        <v>107.45332423842136</v>
      </c>
      <c r="K61" s="315">
        <f t="array" ref="K61">IF(ISERROR(PRODUCT(1+K8:K51%)),"",PRODUCT(1+K8:K51%))</f>
        <v>134.21018082896435</v>
      </c>
      <c r="L61" s="315">
        <f t="array" ref="L61">IF(ISERROR(PRODUCT(1+L8:L51%)),"",PRODUCT(1+L8:L51%))</f>
        <v>44.932313914845132</v>
      </c>
      <c r="M61" s="315">
        <f t="array" ref="M61">IF(ISERROR(PRODUCT(1+M8:M51%)),"",PRODUCT(1+M8:M51%))</f>
        <v>406.84893107213355</v>
      </c>
      <c r="N61" s="315">
        <f t="array" ref="N61">IF(ISERROR(PRODUCT(1+N8:N51%)),"",PRODUCT(1+N8:N51%))</f>
        <v>60.490720050066123</v>
      </c>
      <c r="O61" s="315">
        <f t="array" ref="O61">IF(ISERROR(PRODUCT(1+O8:O51%)),"",PRODUCT(1+O8:O51%))</f>
        <v>40.888769969442947</v>
      </c>
      <c r="P61" s="315">
        <f t="array" ref="P61">IF(ISERROR(PRODUCT(1+P8:P51%)),"",PRODUCT(1+P8:P51%))</f>
        <v>60.474180950790718</v>
      </c>
      <c r="Q61" s="315">
        <f t="array" ref="Q61">IF(ISERROR(PRODUCT(1+Q8:Q51%)),"",PRODUCT(1+Q8:Q51%))</f>
        <v>88.361487038565002</v>
      </c>
      <c r="R61" s="315">
        <f t="array" ref="R61">IF(ISERROR(PRODUCT(1+R8:R51%)),"",PRODUCT(1+R8:R51%))</f>
        <v>26.21633358060242</v>
      </c>
      <c r="S61" s="315">
        <f t="array" ref="S61">IF(ISERROR(PRODUCT(1+S8:S51%)),"",PRODUCT(1+S8:S51%))</f>
        <v>27.138526640511159</v>
      </c>
      <c r="T61" s="315">
        <f t="array" ref="T61">IF(ISERROR(PRODUCT(1+T8:T51%)),"",PRODUCT(1+T8:T51%))</f>
        <v>20.494124437260599</v>
      </c>
      <c r="U61" s="315">
        <f t="array" ref="U61">IF(ISERROR(PRODUCT(1+U8:U51%)),"",PRODUCT(1+U8:U51%))</f>
        <v>21.316479720156934</v>
      </c>
      <c r="V61" s="315">
        <f t="array" ref="V61">IF(ISERROR(PRODUCT(1+V8:V51%)),"",PRODUCT(1+V8:V51%))</f>
        <v>8.2391344234905972</v>
      </c>
      <c r="W61" s="315">
        <f t="array" ref="W61">IF(ISERROR(PRODUCT(1+W8:W51%)),"",PRODUCT(1+W8:W51%))</f>
        <v>17.744735883658944</v>
      </c>
      <c r="X61" s="315">
        <f t="array" ref="X61">IF(ISERROR(PRODUCT(1+X8:X51%)),"",PRODUCT(1+X8:X51%))</f>
        <v>67.660779356666794</v>
      </c>
      <c r="Y61" s="315">
        <f t="array" ref="Y61">IF(ISERROR(PRODUCT(1+Y8:Y51%)),"",PRODUCT(1+Y8:Y51%))</f>
        <v>59.042628378063952</v>
      </c>
      <c r="Z61" s="315">
        <f t="array" ref="Z61">IF(ISERROR(PRODUCT(1+Z8:Z51%)),"",PRODUCT(1+Z8:Z51%))</f>
        <v>123.69419917705351</v>
      </c>
      <c r="AA61" s="315">
        <f t="array" ref="AA61">IF(ISERROR(PRODUCT(1+AA8:AA51%)),"",PRODUCT(1+AA8:AA51%))</f>
        <v>16.075756093158805</v>
      </c>
      <c r="AB61" s="315">
        <f t="array" ref="AB61">IF(ISERROR(PRODUCT(1+AB8:AB51%)),"",PRODUCT(1+AB8:AB51%))</f>
        <v>20.312631959924907</v>
      </c>
      <c r="AC61" s="315">
        <f t="array" ref="AC61">IF(ISERROR(PRODUCT(1+AC8:AC51%)),"",PRODUCT(1+AC8:AC51%))</f>
        <v>310.57690638208851</v>
      </c>
      <c r="AD61" s="315" t="str">
        <f t="array" ref="AD61">IF(ISERROR(PRODUCT(1+AD8:AD51%)),"",PRODUCT(1+AD8:AD51%))</f>
        <v/>
      </c>
      <c r="AE61" s="315" t="str">
        <f t="array" ref="AE61">IF(ISERROR(PRODUCT(1+AE8:AE51%)),"",PRODUCT(1+AE8:AE51%))</f>
        <v/>
      </c>
      <c r="AF61" s="315" t="str">
        <f t="array" ref="AF61">IF(ISERROR(PRODUCT(1+AF8:AF51%)),"",PRODUCT(1+AF8:AF51%))</f>
        <v/>
      </c>
      <c r="AG61" s="315" t="str">
        <f t="array" ref="AG61">IF(ISERROR(PRODUCT(1+AG8:AG51%)),"",PRODUCT(1+AG8:AG51%))</f>
        <v/>
      </c>
      <c r="AH61" s="315" t="str">
        <f t="array" ref="AH61">IF(ISERROR(PRODUCT(1+AH8:AH51%)),"",PRODUCT(1+AH8:AH51%))</f>
        <v/>
      </c>
      <c r="AI61" s="315" t="str">
        <f t="array" ref="AI61">IF(ISERROR(PRODUCT(1+AI8:AI51%)),"",PRODUCT(1+AI8:AI51%))</f>
        <v/>
      </c>
      <c r="AJ61" s="315" t="str">
        <f t="array" ref="AJ61">IF(ISERROR(PRODUCT(1+AJ8:AJ51%)),"",PRODUCT(1+AJ8:AJ51%))</f>
        <v/>
      </c>
      <c r="AK61" s="315" t="str">
        <f t="array" ref="AK61">IF(ISERROR(PRODUCT(1+AK8:AK51%)),"",PRODUCT(1+AK8:AK51%))</f>
        <v/>
      </c>
      <c r="AL61" s="315" t="str">
        <f t="array" ref="AL61">IF(ISERROR(PRODUCT(1+AL8:AL51%)),"",PRODUCT(1+AL8:AL51%))</f>
        <v/>
      </c>
      <c r="AM61" s="315">
        <f t="array" ref="AM61">IF(ISERROR(PRODUCT(1+AM8:AM51%)),"",PRODUCT(1+AM8:AM51%))</f>
        <v>5.754866180048662</v>
      </c>
    </row>
    <row r="62" spans="1:40" ht="14" thickTop="1" thickBot="1">
      <c r="A62" s="317" t="s">
        <v>459</v>
      </c>
      <c r="B62" s="519" t="str">
        <f>INDEX(B2:AM2,MATCH(MAX(B56:AM56),B56:AM56,0))</f>
        <v>VEIEX</v>
      </c>
    </row>
    <row r="63" spans="1:40" ht="13" thickTop="1"/>
    <row r="66" spans="1:39" s="181" customFormat="1" ht="24">
      <c r="A66" s="181" t="s">
        <v>440</v>
      </c>
      <c r="B66" s="65" t="str">
        <f>IF(Data_72_15!B$1="","",Data_72_15!B$1)</f>
        <v>MKT-TSM</v>
      </c>
      <c r="C66" s="65" t="str">
        <f>IF(Data_72_15!C$1="","",Data_72_15!C$1)</f>
        <v>LCV</v>
      </c>
      <c r="D66" s="65" t="str">
        <f>IF(Data_72_15!D$1="","",Data_72_15!D$1)</f>
        <v>500 Idx</v>
      </c>
      <c r="E66" s="65" t="str">
        <f>IF(Data_72_15!E$1="","",Data_72_15!E$1)</f>
        <v>LCG</v>
      </c>
      <c r="F66" s="65" t="str">
        <f>IF(Data_72_15!F$1="","",Data_72_15!F$1)</f>
        <v>MCB</v>
      </c>
      <c r="G66" s="65" t="str">
        <f>IF(Data_72_15!G$1="","",Data_72_15!G$1)</f>
        <v>SCV</v>
      </c>
      <c r="H66" s="65" t="str">
        <f>IF(Data_72_15!H$1="","",Data_72_15!H$1)</f>
        <v>SCB</v>
      </c>
      <c r="I66" s="65" t="str">
        <f>IF(Data_72_15!I$1="","",Data_72_15!I$1)</f>
        <v>SCG</v>
      </c>
      <c r="J66" s="65" t="str">
        <f>IF(Data_72_15!J$1="","",Data_72_15!J$1)</f>
        <v>D10</v>
      </c>
      <c r="K66" s="65" t="str">
        <f>IF(Data_72_15!K$1="","",Data_72_15!K$1)</f>
        <v>REIT</v>
      </c>
      <c r="L66" s="65" t="str">
        <f>IF(Data_72_15!L$1="","",Data_72_15!L$1)</f>
        <v>EAFED</v>
      </c>
      <c r="M66" s="65" t="str">
        <f>IF(Data_72_15!M$1="","",Data_72_15!M$1)</f>
        <v>EM</v>
      </c>
      <c r="N66" s="65" t="str">
        <f>IF(Data_72_15!N$1="","",Data_72_15!N$1)</f>
        <v>Total Intl</v>
      </c>
      <c r="O66" s="65" t="str">
        <f>IF(Data_72_15!O$1="","",Data_72_15!O$1)</f>
        <v>Pacific</v>
      </c>
      <c r="P66" s="65" t="str">
        <f>IF(Data_72_15!P$1="","",Data_72_15!P$1)</f>
        <v>Europe</v>
      </c>
      <c r="Q66" s="65" t="str">
        <f>IF(Data_72_15!Q$1="","",Data_72_15!Q$1)</f>
        <v>Intl Value</v>
      </c>
      <c r="R66" s="65" t="str">
        <f>IF(Data_72_15!R$1="","",Data_72_15!R$1)</f>
        <v>COMM</v>
      </c>
      <c r="S66" s="65" t="str">
        <f>IF(Data_72_15!S$1="","",Data_72_15!S$1)</f>
        <v>LTGB</v>
      </c>
      <c r="T66" s="65" t="str">
        <f>IF(Data_72_15!T$1="","",Data_72_15!T$1)</f>
        <v>5 Yr T</v>
      </c>
      <c r="U66" s="65" t="str">
        <f>IF(Data_72_15!U$1="","",Data_72_15!U$1)</f>
        <v>ITB</v>
      </c>
      <c r="V66" s="65" t="str">
        <f>IF(Data_72_15!V$1="","",Data_72_15!V$1)</f>
        <v>TBILL</v>
      </c>
      <c r="W66" s="65" t="str">
        <f>IF(Data_72_15!W$1="","",Data_72_15!W$1)</f>
        <v>S-TIPS</v>
      </c>
      <c r="X66" s="319" t="str">
        <f>IF(Data_72_15!X$1="","",Data_72_15!X$1)</f>
        <v>Wellington</v>
      </c>
      <c r="Y66" s="65" t="str">
        <f>IF(Data_72_15!Y$1="","",Data_72_15!Y$1)</f>
        <v>Wellesley</v>
      </c>
      <c r="Z66" s="65" t="str">
        <f>IF(Data_72_15!Z$1="","",Data_72_15!Z$1)</f>
        <v>Windsor</v>
      </c>
      <c r="AA66" s="65" t="str">
        <f>IF(Data_72_15!AA$1="","",Data_72_15!AA$1)</f>
        <v>ST Trsry</v>
      </c>
      <c r="AB66" s="65" t="str">
        <f>IF(Data_72_15!AB$1="","",Data_72_15!AB$1)</f>
        <v>GOLD</v>
      </c>
      <c r="AC66" s="236" t="str">
        <f>IF(Data_72_15!AC$1="","",Data_72_15!AC$1)</f>
        <v>VG Intl Small</v>
      </c>
      <c r="AD66" s="236" t="str">
        <f>IF(Data_72_15!AD$1="","",Data_72_15!AD$1)</f>
        <v/>
      </c>
      <c r="AE66" s="236" t="str">
        <f>IF(Data_72_15!AE$1="","",Data_72_15!AE$1)</f>
        <v/>
      </c>
      <c r="AF66" s="236" t="str">
        <f>IF(Data_72_15!AF$1="","",Data_72_15!AF$1)</f>
        <v/>
      </c>
      <c r="AG66" s="236" t="str">
        <f>IF(Data_72_15!AG$1="","",Data_72_15!AG$1)</f>
        <v/>
      </c>
      <c r="AH66" s="236" t="str">
        <f>IF(Data_72_15!AH$1="","",Data_72_15!AH$1)</f>
        <v/>
      </c>
      <c r="AI66" s="236" t="str">
        <f>IF(Data_72_15!AI$1="","",Data_72_15!AI$1)</f>
        <v/>
      </c>
      <c r="AJ66" s="236" t="str">
        <f>IF(Data_72_15!AJ$1="","",Data_72_15!AJ$1)</f>
        <v/>
      </c>
      <c r="AK66" s="236" t="str">
        <f>IF(Data_72_15!AK$1="","",Data_72_15!AK$1)</f>
        <v/>
      </c>
      <c r="AL66" s="236" t="str">
        <f>IF(Data_72_15!AL$1="","",Data_72_15!AL$1)</f>
        <v/>
      </c>
      <c r="AM66" s="181" t="s">
        <v>391</v>
      </c>
    </row>
    <row r="67" spans="1:39" ht="24">
      <c r="A67" s="22">
        <f>A$2</f>
        <v>2015</v>
      </c>
      <c r="B67" s="65" t="str">
        <f>IF(Data_72_15!B$2="","",Data_72_15!B$2)</f>
        <v>VTSMX</v>
      </c>
      <c r="C67" s="65" t="str">
        <f>IF(Data_72_15!C$2="","",Data_72_15!C$2)</f>
        <v>VIVAX</v>
      </c>
      <c r="D67" s="65" t="str">
        <f>IF(Data_72_15!D$2="","",Data_72_15!D$2)</f>
        <v>VFINX</v>
      </c>
      <c r="E67" s="65" t="str">
        <f>IF(Data_72_15!E$2="","",Data_72_15!E$2)</f>
        <v>VIGRX</v>
      </c>
      <c r="F67" s="65" t="str">
        <f>IF(Data_72_15!F$2="","",Data_72_15!F$2)</f>
        <v>VIMSX</v>
      </c>
      <c r="G67" s="65" t="str">
        <f>IF(Data_72_15!G$2="","",Data_72_15!G$2)</f>
        <v>VISVX</v>
      </c>
      <c r="H67" s="65" t="str">
        <f>IF(Data_72_15!H$2="","",Data_72_15!H$2)</f>
        <v>NAESX</v>
      </c>
      <c r="I67" s="65" t="str">
        <f>IF(Data_72_15!I$2="","",Data_72_15!I$2)</f>
        <v>VISGX</v>
      </c>
      <c r="J67" s="65" t="str">
        <f>IF(Data_72_15!J$2="","",Data_72_15!J$2)</f>
        <v>BRSIX</v>
      </c>
      <c r="K67" s="65" t="str">
        <f>IF(Data_72_15!K$2="","",Data_72_15!K$2)</f>
        <v>VGSIX</v>
      </c>
      <c r="L67" s="65" t="str">
        <f>IF(Data_72_15!L$2="","",Data_72_15!L$2)</f>
        <v>VTMGX</v>
      </c>
      <c r="M67" s="65" t="str">
        <f>IF(Data_72_15!M$2="","",Data_72_15!M$2)</f>
        <v>VEIEX</v>
      </c>
      <c r="N67" s="65" t="str">
        <f>IF(Data_72_15!N$2="","",Data_72_15!N$2)</f>
        <v>VGTSX</v>
      </c>
      <c r="O67" s="65" t="str">
        <f>IF(Data_72_15!O$2="","",Data_72_15!O$2)</f>
        <v>VPACX</v>
      </c>
      <c r="P67" s="65" t="str">
        <f>IF(Data_72_15!P$2="","",Data_72_15!P$2)</f>
        <v>VEURX</v>
      </c>
      <c r="Q67" s="65" t="str">
        <f>IF(Data_72_15!Q$2="","",Data_72_15!Q$2)</f>
        <v>VTRIX</v>
      </c>
      <c r="R67" s="65" t="str">
        <f>IF(Data_72_15!R$2="","",Data_72_15!R$2)</f>
        <v>PCRIX</v>
      </c>
      <c r="S67" s="65" t="str">
        <f>IF(Data_72_15!S$2="","",Data_72_15!S$2)</f>
        <v>VUSTX</v>
      </c>
      <c r="T67" s="65" t="str">
        <f>IF(Data_72_15!T$2="","",Data_72_15!T$2)</f>
        <v>VFITX</v>
      </c>
      <c r="U67" s="65" t="str">
        <f>IF(Data_72_15!U$2="","",Data_72_15!U$2)</f>
        <v>VBMFX</v>
      </c>
      <c r="V67" s="65" t="str">
        <f>IF(Data_72_15!V$2="","",Data_72_15!V$2)</f>
        <v>VUSXX</v>
      </c>
      <c r="W67" s="65" t="str">
        <f>IF(Data_72_15!W$2="","",Data_72_15!W$2)</f>
        <v>VIPSX</v>
      </c>
      <c r="X67" s="65" t="str">
        <f>IF(Data_72_15!X$2="","",Data_72_15!X$2)</f>
        <v>VWELX</v>
      </c>
      <c r="Y67" s="65" t="str">
        <f>IF(Data_72_15!Y$2="","",Data_72_15!Y$2)</f>
        <v>VWINX</v>
      </c>
      <c r="Z67" s="65" t="str">
        <f>IF(Data_72_15!Z$2="","",Data_72_15!Z$2)</f>
        <v>VWNDX</v>
      </c>
      <c r="AA67" s="65" t="str">
        <f>IF(Data_72_15!AA$2="","",Data_72_15!AA$2)</f>
        <v>VFISX</v>
      </c>
      <c r="AB67" s="65" t="str">
        <f>IF(Data_72_15!AB$2="","",Data_72_15!AB$2)</f>
        <v>GLD</v>
      </c>
      <c r="AC67" s="65" t="str">
        <f>IF(Data_72_15!AC$2="","",Data_72_15!AC$2)</f>
        <v>VFSVX</v>
      </c>
      <c r="AD67" s="236" t="str">
        <f>IF(Data_72_15!AD$2="","",Data_72_15!AD$2)</f>
        <v/>
      </c>
      <c r="AE67" s="236" t="str">
        <f>IF(Data_72_15!AE$2="","",Data_72_15!AE$2)</f>
        <v/>
      </c>
      <c r="AF67" s="236" t="str">
        <f>IF(Data_72_15!AF$2="","",Data_72_15!AF$2)</f>
        <v/>
      </c>
      <c r="AG67" s="236" t="str">
        <f>IF(Data_72_15!AG$2="","",Data_72_15!AG$2)</f>
        <v/>
      </c>
      <c r="AH67" s="236" t="str">
        <f>IF(Data_72_15!AH$2="","",Data_72_15!AH$2)</f>
        <v/>
      </c>
      <c r="AI67" s="236" t="str">
        <f>IF(Data_72_15!AI$2="","",Data_72_15!AI$2)</f>
        <v/>
      </c>
      <c r="AJ67" s="236" t="str">
        <f>IF(Data_72_15!AJ$2="","",Data_72_15!AJ$2)</f>
        <v/>
      </c>
      <c r="AK67" s="236" t="str">
        <f>IF(Data_72_15!AK$2="","",Data_72_15!AK$2)</f>
        <v/>
      </c>
      <c r="AL67" s="236" t="str">
        <f>IF(Data_72_15!AL$2="","",Data_72_15!AL$2)</f>
        <v/>
      </c>
      <c r="AM67" s="58" t="str">
        <f>AM$2</f>
        <v>CPI-U</v>
      </c>
    </row>
    <row r="68" spans="1:39">
      <c r="A68" s="58">
        <v>1972</v>
      </c>
      <c r="B68" s="321">
        <v>16.899999999999999</v>
      </c>
      <c r="C68" s="321">
        <v>18.18</v>
      </c>
      <c r="D68" s="321">
        <v>19</v>
      </c>
      <c r="E68" s="321">
        <v>21.39</v>
      </c>
      <c r="F68" s="321">
        <v>9.1</v>
      </c>
      <c r="G68" s="321">
        <v>7.19</v>
      </c>
      <c r="H68" s="321">
        <v>7.36</v>
      </c>
      <c r="I68" s="321">
        <v>0.39</v>
      </c>
      <c r="J68" s="321">
        <v>-0.2</v>
      </c>
      <c r="K68" s="321">
        <v>8</v>
      </c>
      <c r="L68" s="321">
        <v>36.299999999999997</v>
      </c>
      <c r="M68" s="320">
        <v>50.2</v>
      </c>
      <c r="N68" s="320">
        <v>38.384999999999998</v>
      </c>
      <c r="O68" s="320">
        <v>107.55</v>
      </c>
      <c r="P68" s="320">
        <v>15.6</v>
      </c>
      <c r="Q68" s="320">
        <v>36.950000000000003</v>
      </c>
      <c r="R68" s="321">
        <v>38.69</v>
      </c>
      <c r="S68" s="321">
        <v>-2.7554939819360635</v>
      </c>
      <c r="T68" s="321">
        <v>3.2807637963542469</v>
      </c>
      <c r="U68" s="321">
        <v>5.7</v>
      </c>
      <c r="V68" s="321">
        <v>3.8</v>
      </c>
      <c r="W68" s="610">
        <v>-2.4</v>
      </c>
      <c r="X68" s="366">
        <v>10.99</v>
      </c>
      <c r="Y68" s="366">
        <v>9.75</v>
      </c>
      <c r="Z68" s="366">
        <v>10.199999999999999</v>
      </c>
      <c r="AA68" s="321">
        <v>3.9</v>
      </c>
      <c r="AB68" s="320">
        <v>49.25373134328359</v>
      </c>
      <c r="AC68" s="320">
        <v>64.248425000000012</v>
      </c>
      <c r="AD68" s="320"/>
      <c r="AE68" s="320"/>
      <c r="AF68" s="320"/>
      <c r="AG68" s="320"/>
      <c r="AH68" s="320"/>
      <c r="AI68" s="320"/>
      <c r="AJ68" s="320"/>
      <c r="AK68" s="320"/>
      <c r="AL68" s="320"/>
      <c r="AM68" s="321">
        <v>3.4063260340632562</v>
      </c>
    </row>
    <row r="69" spans="1:39">
      <c r="A69" s="58">
        <f>A68+1</f>
        <v>1973</v>
      </c>
      <c r="B69" s="321">
        <v>-18.100000000000001</v>
      </c>
      <c r="C69" s="321">
        <v>-4.01</v>
      </c>
      <c r="D69" s="321">
        <v>-14.7</v>
      </c>
      <c r="E69" s="321">
        <v>-22.3</v>
      </c>
      <c r="F69" s="321">
        <v>-26.5</v>
      </c>
      <c r="G69" s="321">
        <v>-27.39</v>
      </c>
      <c r="H69" s="321">
        <v>-32.92</v>
      </c>
      <c r="I69" s="321">
        <v>-45.48</v>
      </c>
      <c r="J69" s="321">
        <v>-41.7</v>
      </c>
      <c r="K69" s="321">
        <v>-15.5</v>
      </c>
      <c r="L69" s="321">
        <v>-14.9</v>
      </c>
      <c r="M69" s="320">
        <v>-13.8</v>
      </c>
      <c r="N69" s="320">
        <v>-14.734999999999999</v>
      </c>
      <c r="O69" s="320">
        <v>-20.95</v>
      </c>
      <c r="P69" s="320">
        <v>-7.7</v>
      </c>
      <c r="Q69" s="320">
        <v>-14.58</v>
      </c>
      <c r="R69" s="321">
        <v>68.400000000000006</v>
      </c>
      <c r="S69" s="321">
        <v>-0.77902874217088414</v>
      </c>
      <c r="T69" s="321">
        <v>3.9463295974053958</v>
      </c>
      <c r="U69" s="321">
        <v>3.4</v>
      </c>
      <c r="V69" s="321">
        <v>6.9</v>
      </c>
      <c r="W69" s="610">
        <v>-3.8</v>
      </c>
      <c r="X69" s="321">
        <v>-11.83</v>
      </c>
      <c r="Y69" s="321">
        <v>-3.49</v>
      </c>
      <c r="Z69" s="321">
        <v>-25</v>
      </c>
      <c r="AA69" s="321">
        <v>6.1</v>
      </c>
      <c r="AB69" s="320">
        <v>71.92307692307692</v>
      </c>
      <c r="AC69" s="320">
        <v>-13.68788</v>
      </c>
      <c r="AD69" s="320"/>
      <c r="AE69" s="320"/>
      <c r="AF69" s="320"/>
      <c r="AG69" s="320"/>
      <c r="AH69" s="320"/>
      <c r="AI69" s="320"/>
      <c r="AJ69" s="320"/>
      <c r="AK69" s="320"/>
      <c r="AL69" s="320"/>
      <c r="AM69" s="321">
        <v>8.7058823529411846</v>
      </c>
    </row>
    <row r="70" spans="1:39">
      <c r="A70" s="58">
        <f t="shared" ref="A70:A112" si="102">A69+1</f>
        <v>1974</v>
      </c>
      <c r="B70" s="321">
        <v>-27.2</v>
      </c>
      <c r="C70" s="321">
        <v>-23.22</v>
      </c>
      <c r="D70" s="321">
        <v>-26.5</v>
      </c>
      <c r="E70" s="321">
        <v>-29.2</v>
      </c>
      <c r="F70" s="321">
        <v>-25.2</v>
      </c>
      <c r="G70" s="321">
        <v>-18.54</v>
      </c>
      <c r="H70" s="321">
        <v>-25.97</v>
      </c>
      <c r="I70" s="321">
        <v>-32.6</v>
      </c>
      <c r="J70" s="321">
        <v>-28.9</v>
      </c>
      <c r="K70" s="321">
        <v>-21.4</v>
      </c>
      <c r="L70" s="321">
        <v>-23.2</v>
      </c>
      <c r="M70" s="320">
        <v>-25.3</v>
      </c>
      <c r="N70" s="320">
        <v>-23.515000000000001</v>
      </c>
      <c r="O70" s="320">
        <v>-20.94</v>
      </c>
      <c r="P70" s="320">
        <v>-22.8</v>
      </c>
      <c r="Q70" s="320">
        <v>-22.53</v>
      </c>
      <c r="R70" s="321">
        <v>4.0999999999999996</v>
      </c>
      <c r="S70" s="321">
        <v>3.069759799767402</v>
      </c>
      <c r="T70" s="321">
        <v>5.0482036092369453</v>
      </c>
      <c r="U70" s="321">
        <v>7</v>
      </c>
      <c r="V70" s="321">
        <v>8</v>
      </c>
      <c r="W70" s="610">
        <v>5.2</v>
      </c>
      <c r="X70" s="321">
        <v>-17.73</v>
      </c>
      <c r="Y70" s="321">
        <v>-6.43</v>
      </c>
      <c r="Z70" s="321">
        <v>-16.8</v>
      </c>
      <c r="AA70" s="321">
        <v>9.1</v>
      </c>
      <c r="AB70" s="320">
        <v>72.706935123042499</v>
      </c>
      <c r="AC70" s="320">
        <v>-28.62961</v>
      </c>
      <c r="AD70" s="320"/>
      <c r="AE70" s="320"/>
      <c r="AF70" s="320"/>
      <c r="AG70" s="320"/>
      <c r="AH70" s="320"/>
      <c r="AI70" s="320"/>
      <c r="AJ70" s="320"/>
      <c r="AK70" s="320"/>
      <c r="AL70" s="320"/>
      <c r="AM70" s="321">
        <v>12.337662337662337</v>
      </c>
    </row>
    <row r="71" spans="1:39">
      <c r="A71" s="58">
        <f t="shared" si="102"/>
        <v>1975</v>
      </c>
      <c r="B71" s="321">
        <v>38.700000000000003</v>
      </c>
      <c r="C71" s="321">
        <v>55.5</v>
      </c>
      <c r="D71" s="321">
        <v>37.200000000000003</v>
      </c>
      <c r="E71" s="321">
        <v>34.21</v>
      </c>
      <c r="F71" s="321">
        <v>57.4</v>
      </c>
      <c r="G71" s="321">
        <v>58.29</v>
      </c>
      <c r="H71" s="321">
        <v>57.96</v>
      </c>
      <c r="I71" s="321">
        <v>61.78</v>
      </c>
      <c r="J71" s="321">
        <v>72.400000000000006</v>
      </c>
      <c r="K71" s="321">
        <v>19.3</v>
      </c>
      <c r="L71" s="321">
        <v>35.4</v>
      </c>
      <c r="M71" s="320">
        <v>44.2</v>
      </c>
      <c r="N71" s="320">
        <v>36.72</v>
      </c>
      <c r="O71" s="320">
        <v>26.72</v>
      </c>
      <c r="P71" s="320">
        <v>43.9</v>
      </c>
      <c r="Q71" s="320">
        <v>38.99</v>
      </c>
      <c r="R71" s="321">
        <v>5.1100000000000003</v>
      </c>
      <c r="S71" s="321">
        <v>6.4957269318238975</v>
      </c>
      <c r="T71" s="321">
        <v>7.212276676611129</v>
      </c>
      <c r="U71" s="321">
        <v>8.3000000000000007</v>
      </c>
      <c r="V71" s="321">
        <v>5.8</v>
      </c>
      <c r="W71" s="610">
        <v>16.399999999999999</v>
      </c>
      <c r="X71" s="321">
        <v>25.18</v>
      </c>
      <c r="Y71" s="321">
        <v>17.46</v>
      </c>
      <c r="Z71" s="321">
        <v>54.5</v>
      </c>
      <c r="AA71" s="321">
        <v>7.9</v>
      </c>
      <c r="AB71" s="320">
        <v>-27.331606217616581</v>
      </c>
      <c r="AC71" s="320">
        <v>49.86</v>
      </c>
      <c r="AD71" s="320"/>
      <c r="AE71" s="320"/>
      <c r="AF71" s="320"/>
      <c r="AG71" s="320"/>
      <c r="AH71" s="320"/>
      <c r="AI71" s="320"/>
      <c r="AJ71" s="320"/>
      <c r="AK71" s="320"/>
      <c r="AL71" s="320"/>
      <c r="AM71" s="321">
        <v>6.9364161849710948</v>
      </c>
    </row>
    <row r="72" spans="1:39">
      <c r="A72" s="58">
        <f t="shared" si="102"/>
        <v>1976</v>
      </c>
      <c r="B72" s="321">
        <v>26.7</v>
      </c>
      <c r="C72" s="321">
        <v>44.48</v>
      </c>
      <c r="D72" s="321">
        <v>23.9</v>
      </c>
      <c r="E72" s="321">
        <v>17.3</v>
      </c>
      <c r="F72" s="321">
        <v>40.4</v>
      </c>
      <c r="G72" s="321">
        <v>60.62</v>
      </c>
      <c r="H72" s="321">
        <v>47.32</v>
      </c>
      <c r="I72" s="321">
        <v>38.33</v>
      </c>
      <c r="J72" s="321">
        <v>55.7</v>
      </c>
      <c r="K72" s="321">
        <v>47.6</v>
      </c>
      <c r="L72" s="321">
        <v>2.5</v>
      </c>
      <c r="M72" s="320">
        <v>7.3</v>
      </c>
      <c r="N72" s="320">
        <v>3.2199999999999998</v>
      </c>
      <c r="O72" s="320">
        <v>21.64</v>
      </c>
      <c r="P72" s="320">
        <v>-6.4</v>
      </c>
      <c r="Q72" s="320">
        <v>3.33</v>
      </c>
      <c r="R72" s="321">
        <v>-5.55</v>
      </c>
      <c r="S72" s="321">
        <v>13.872362249101023</v>
      </c>
      <c r="T72" s="321">
        <v>10.992677436156795</v>
      </c>
      <c r="U72" s="321">
        <v>11.7</v>
      </c>
      <c r="V72" s="321">
        <v>5.0999999999999996</v>
      </c>
      <c r="W72" s="610">
        <v>-0.1</v>
      </c>
      <c r="X72" s="321">
        <v>23.36</v>
      </c>
      <c r="Y72" s="321">
        <v>23.28</v>
      </c>
      <c r="Z72" s="321">
        <v>46.4</v>
      </c>
      <c r="AA72" s="321">
        <v>8.9</v>
      </c>
      <c r="AB72" s="320">
        <v>-4.0998217468805702</v>
      </c>
      <c r="AC72" s="320">
        <v>11.46</v>
      </c>
      <c r="AD72" s="320"/>
      <c r="AE72" s="320"/>
      <c r="AF72" s="320"/>
      <c r="AG72" s="320"/>
      <c r="AH72" s="320"/>
      <c r="AI72" s="320"/>
      <c r="AJ72" s="320"/>
      <c r="AK72" s="320"/>
      <c r="AL72" s="320"/>
      <c r="AM72" s="321">
        <v>4.8648648648648596</v>
      </c>
    </row>
    <row r="73" spans="1:39">
      <c r="A73" s="58">
        <f t="shared" si="102"/>
        <v>1977</v>
      </c>
      <c r="B73" s="321">
        <v>-4.2</v>
      </c>
      <c r="C73" s="321">
        <v>1.35</v>
      </c>
      <c r="D73" s="366">
        <v>-7.8</v>
      </c>
      <c r="E73" s="321">
        <v>-9.14</v>
      </c>
      <c r="F73" s="321">
        <v>4</v>
      </c>
      <c r="G73" s="321">
        <v>23.2</v>
      </c>
      <c r="H73" s="321">
        <v>18.18</v>
      </c>
      <c r="I73" s="321">
        <v>18.75</v>
      </c>
      <c r="J73" s="321">
        <v>23.2</v>
      </c>
      <c r="K73" s="321">
        <v>22.4</v>
      </c>
      <c r="L73" s="321">
        <v>18.100000000000001</v>
      </c>
      <c r="M73" s="320">
        <v>50.6</v>
      </c>
      <c r="N73" s="320">
        <v>22.975000000000001</v>
      </c>
      <c r="O73" s="320">
        <v>13.69</v>
      </c>
      <c r="P73" s="320">
        <v>23.9</v>
      </c>
      <c r="Q73" s="320">
        <v>29.99</v>
      </c>
      <c r="R73" s="321">
        <v>3.05</v>
      </c>
      <c r="S73" s="321">
        <v>0.83755988295008965</v>
      </c>
      <c r="T73" s="321">
        <v>3.0408481592194114</v>
      </c>
      <c r="U73" s="321">
        <v>3</v>
      </c>
      <c r="V73" s="321">
        <v>5.0999999999999996</v>
      </c>
      <c r="W73" s="610">
        <v>8</v>
      </c>
      <c r="X73" s="321">
        <v>-4.38</v>
      </c>
      <c r="Y73" s="321">
        <v>4.2699999999999996</v>
      </c>
      <c r="Z73" s="321">
        <v>1</v>
      </c>
      <c r="AA73" s="321">
        <v>3.7</v>
      </c>
      <c r="AB73" s="320">
        <v>22.639405204460957</v>
      </c>
      <c r="AC73" s="320">
        <v>74.08</v>
      </c>
      <c r="AD73" s="320"/>
      <c r="AE73" s="320"/>
      <c r="AF73" s="320"/>
      <c r="AG73" s="320"/>
      <c r="AH73" s="320"/>
      <c r="AI73" s="320"/>
      <c r="AJ73" s="320"/>
      <c r="AK73" s="320"/>
      <c r="AL73" s="320"/>
      <c r="AM73" s="321">
        <v>6.7010309278350499</v>
      </c>
    </row>
    <row r="74" spans="1:39">
      <c r="A74" s="58">
        <f t="shared" si="102"/>
        <v>1978</v>
      </c>
      <c r="B74" s="321">
        <v>7.5</v>
      </c>
      <c r="C74" s="321">
        <v>3.77</v>
      </c>
      <c r="D74" s="321">
        <v>5.9</v>
      </c>
      <c r="E74" s="321">
        <v>7.05</v>
      </c>
      <c r="F74" s="321">
        <v>10.9</v>
      </c>
      <c r="G74" s="321">
        <v>22.08</v>
      </c>
      <c r="H74" s="321">
        <v>20.94</v>
      </c>
      <c r="I74" s="321">
        <v>17.77</v>
      </c>
      <c r="J74" s="321">
        <v>28.4</v>
      </c>
      <c r="K74" s="321">
        <v>10.3</v>
      </c>
      <c r="L74" s="321">
        <v>32.6</v>
      </c>
      <c r="M74" s="320">
        <v>53.6</v>
      </c>
      <c r="N74" s="320">
        <v>35.75</v>
      </c>
      <c r="O74" s="320">
        <v>48.77</v>
      </c>
      <c r="P74" s="320">
        <v>24.3</v>
      </c>
      <c r="Q74" s="320">
        <v>42.67</v>
      </c>
      <c r="R74" s="321">
        <v>26.37</v>
      </c>
      <c r="S74" s="321">
        <v>-0.11083412409608195</v>
      </c>
      <c r="T74" s="321">
        <v>2.2917484282640732</v>
      </c>
      <c r="U74" s="321">
        <v>2.2000000000000002</v>
      </c>
      <c r="V74" s="321">
        <v>7.2</v>
      </c>
      <c r="W74" s="610">
        <v>9.9</v>
      </c>
      <c r="X74" s="321">
        <v>5.32</v>
      </c>
      <c r="Y74" s="321">
        <v>3.61</v>
      </c>
      <c r="Z74" s="321">
        <v>8.8000000000000007</v>
      </c>
      <c r="AA74" s="321">
        <v>5.5</v>
      </c>
      <c r="AB74" s="320">
        <v>37.01121551985451</v>
      </c>
      <c r="AC74" s="320">
        <v>65.53</v>
      </c>
      <c r="AD74" s="320"/>
      <c r="AE74" s="320"/>
      <c r="AF74" s="320"/>
      <c r="AG74" s="320"/>
      <c r="AH74" s="320"/>
      <c r="AI74" s="320"/>
      <c r="AJ74" s="320"/>
      <c r="AK74" s="320"/>
      <c r="AL74" s="320"/>
      <c r="AM74" s="321">
        <v>9.0177133655394481</v>
      </c>
    </row>
    <row r="75" spans="1:39">
      <c r="A75" s="58">
        <f t="shared" si="102"/>
        <v>1979</v>
      </c>
      <c r="B75" s="321">
        <v>23</v>
      </c>
      <c r="C75" s="321">
        <v>20.5</v>
      </c>
      <c r="D75" s="321">
        <v>18</v>
      </c>
      <c r="E75" s="321">
        <v>23.9</v>
      </c>
      <c r="F75" s="321">
        <v>32.5</v>
      </c>
      <c r="G75" s="321">
        <v>35.4</v>
      </c>
      <c r="H75" s="321">
        <v>43.1</v>
      </c>
      <c r="I75" s="321">
        <v>50.8</v>
      </c>
      <c r="J75" s="321">
        <v>42.2</v>
      </c>
      <c r="K75" s="321">
        <v>35.9</v>
      </c>
      <c r="L75" s="321">
        <v>4.8</v>
      </c>
      <c r="M75" s="320">
        <v>2.6</v>
      </c>
      <c r="N75" s="320">
        <v>4.47</v>
      </c>
      <c r="O75" s="320">
        <v>-3.48</v>
      </c>
      <c r="P75" s="320">
        <v>14.7</v>
      </c>
      <c r="Q75" s="320">
        <v>5.99</v>
      </c>
      <c r="R75" s="321">
        <v>34.26</v>
      </c>
      <c r="S75" s="321">
        <v>-5.6194351857414393</v>
      </c>
      <c r="T75" s="321">
        <v>2.7768541847652761</v>
      </c>
      <c r="U75" s="321">
        <v>6.6</v>
      </c>
      <c r="V75" s="321">
        <v>10.4</v>
      </c>
      <c r="W75" s="610">
        <v>10</v>
      </c>
      <c r="X75" s="321">
        <v>13.54</v>
      </c>
      <c r="Y75" s="321">
        <v>6.2</v>
      </c>
      <c r="Z75" s="321">
        <v>22.6</v>
      </c>
      <c r="AA75" s="321">
        <v>10.4</v>
      </c>
      <c r="AB75" s="320">
        <v>126.54867256637168</v>
      </c>
      <c r="AC75" s="320">
        <v>-0.78</v>
      </c>
      <c r="AD75" s="320"/>
      <c r="AE75" s="320"/>
      <c r="AF75" s="320"/>
      <c r="AG75" s="320"/>
      <c r="AH75" s="320"/>
      <c r="AI75" s="320"/>
      <c r="AJ75" s="320"/>
      <c r="AK75" s="320"/>
      <c r="AL75" s="320"/>
      <c r="AM75" s="321">
        <v>13.293943870014768</v>
      </c>
    </row>
    <row r="76" spans="1:39">
      <c r="A76" s="58">
        <f t="shared" si="102"/>
        <v>1980</v>
      </c>
      <c r="B76" s="321">
        <v>32.700000000000003</v>
      </c>
      <c r="C76" s="321">
        <v>24.4</v>
      </c>
      <c r="D76" s="321">
        <v>31.9</v>
      </c>
      <c r="E76" s="321">
        <v>39.6</v>
      </c>
      <c r="F76" s="321">
        <v>32.5</v>
      </c>
      <c r="G76" s="321">
        <v>25.4</v>
      </c>
      <c r="H76" s="321">
        <v>38.6</v>
      </c>
      <c r="I76" s="321">
        <v>52.3</v>
      </c>
      <c r="J76" s="321">
        <v>30.5</v>
      </c>
      <c r="K76" s="321">
        <v>24.4</v>
      </c>
      <c r="L76" s="321">
        <v>22.6</v>
      </c>
      <c r="M76" s="320">
        <v>26.8</v>
      </c>
      <c r="N76" s="320">
        <v>23.23</v>
      </c>
      <c r="O76" s="320">
        <v>36.380000000000003</v>
      </c>
      <c r="P76" s="320">
        <v>14.5</v>
      </c>
      <c r="Q76" s="320">
        <v>18.75</v>
      </c>
      <c r="R76" s="321">
        <v>6.12</v>
      </c>
      <c r="S76" s="321">
        <v>-2.3474816556489975</v>
      </c>
      <c r="T76" s="321">
        <v>3.5211746203250405</v>
      </c>
      <c r="U76" s="321">
        <v>6.6</v>
      </c>
      <c r="V76" s="321">
        <v>11.3</v>
      </c>
      <c r="W76" s="610">
        <v>15.4</v>
      </c>
      <c r="X76" s="321">
        <v>22.58</v>
      </c>
      <c r="Y76" s="321">
        <v>11.88</v>
      </c>
      <c r="Z76" s="321">
        <v>22.6</v>
      </c>
      <c r="AA76" s="321">
        <v>14.1</v>
      </c>
      <c r="AB76" s="320">
        <v>15.185546875</v>
      </c>
      <c r="AC76" s="320">
        <v>35.46</v>
      </c>
      <c r="AD76" s="320"/>
      <c r="AE76" s="320"/>
      <c r="AF76" s="320"/>
      <c r="AG76" s="320"/>
      <c r="AH76" s="320"/>
      <c r="AI76" s="320"/>
      <c r="AJ76" s="320"/>
      <c r="AK76" s="320"/>
      <c r="AL76" s="320"/>
      <c r="AM76" s="321">
        <v>12.516297262059961</v>
      </c>
    </row>
    <row r="77" spans="1:39">
      <c r="A77" s="58">
        <f t="shared" si="102"/>
        <v>1981</v>
      </c>
      <c r="B77" s="321">
        <v>-3.7</v>
      </c>
      <c r="C77" s="321">
        <v>1.3</v>
      </c>
      <c r="D77" s="321">
        <v>-5.2</v>
      </c>
      <c r="E77" s="321">
        <v>-11.3</v>
      </c>
      <c r="F77" s="321">
        <v>2.4</v>
      </c>
      <c r="G77" s="321">
        <v>14.9</v>
      </c>
      <c r="H77" s="321">
        <v>2</v>
      </c>
      <c r="I77" s="321">
        <v>-9.1999999999999993</v>
      </c>
      <c r="J77" s="321">
        <v>7.8</v>
      </c>
      <c r="K77" s="321">
        <v>6</v>
      </c>
      <c r="L77" s="321">
        <v>-1</v>
      </c>
      <c r="M77" s="320">
        <v>4.5999999999999996</v>
      </c>
      <c r="N77" s="320">
        <v>-0.16000000000000003</v>
      </c>
      <c r="O77" s="320">
        <v>8.31</v>
      </c>
      <c r="P77" s="320">
        <v>-10.4</v>
      </c>
      <c r="Q77" s="320">
        <v>8.99</v>
      </c>
      <c r="R77" s="321">
        <v>-22.52</v>
      </c>
      <c r="S77" s="321">
        <v>-3.0911479319514212</v>
      </c>
      <c r="T77" s="321">
        <v>5.6858156051123876</v>
      </c>
      <c r="U77" s="321">
        <v>10.8</v>
      </c>
      <c r="V77" s="321">
        <v>14.7</v>
      </c>
      <c r="W77" s="610">
        <v>6</v>
      </c>
      <c r="X77" s="321">
        <v>2.9</v>
      </c>
      <c r="Y77" s="321">
        <v>8.67</v>
      </c>
      <c r="Z77" s="321">
        <v>16.8</v>
      </c>
      <c r="AA77" s="321">
        <v>18.899999999999999</v>
      </c>
      <c r="AB77" s="320">
        <v>-32.598558711318354</v>
      </c>
      <c r="AC77" s="320">
        <v>0.1</v>
      </c>
      <c r="AD77" s="320"/>
      <c r="AE77" s="320"/>
      <c r="AF77" s="320"/>
      <c r="AG77" s="320"/>
      <c r="AH77" s="320"/>
      <c r="AI77" s="320"/>
      <c r="AJ77" s="320"/>
      <c r="AK77" s="320"/>
      <c r="AL77" s="320"/>
      <c r="AM77" s="321">
        <v>8.9223638470451903</v>
      </c>
    </row>
    <row r="78" spans="1:39">
      <c r="A78" s="58">
        <f t="shared" si="102"/>
        <v>1982</v>
      </c>
      <c r="B78" s="321">
        <v>20.8</v>
      </c>
      <c r="C78" s="321">
        <v>20</v>
      </c>
      <c r="D78" s="321">
        <v>20.9</v>
      </c>
      <c r="E78" s="321">
        <v>20.5</v>
      </c>
      <c r="F78" s="321">
        <v>23.3</v>
      </c>
      <c r="G78" s="321">
        <v>28.5</v>
      </c>
      <c r="H78" s="321">
        <v>24.9</v>
      </c>
      <c r="I78" s="321">
        <v>21</v>
      </c>
      <c r="J78" s="321">
        <v>28</v>
      </c>
      <c r="K78" s="321">
        <v>21.6</v>
      </c>
      <c r="L78" s="321">
        <v>-0.9</v>
      </c>
      <c r="M78" s="320">
        <v>-1.1000000000000001</v>
      </c>
      <c r="N78" s="320">
        <v>-0.93</v>
      </c>
      <c r="O78" s="320">
        <v>-6.26</v>
      </c>
      <c r="P78" s="320">
        <v>5.7</v>
      </c>
      <c r="Q78" s="320">
        <v>-2.2000000000000002</v>
      </c>
      <c r="R78" s="321">
        <v>3.84</v>
      </c>
      <c r="S78" s="321">
        <v>48.594802599060372</v>
      </c>
      <c r="T78" s="321">
        <v>33.320327066521017</v>
      </c>
      <c r="U78" s="321">
        <v>25.4</v>
      </c>
      <c r="V78" s="321">
        <v>10.5</v>
      </c>
      <c r="W78" s="610">
        <v>-7.6</v>
      </c>
      <c r="X78" s="321">
        <v>24.55</v>
      </c>
      <c r="Y78" s="321">
        <v>23.3</v>
      </c>
      <c r="Z78" s="321">
        <v>21.7</v>
      </c>
      <c r="AA78" s="321">
        <v>19.5</v>
      </c>
      <c r="AB78" s="320">
        <v>14.943396226415089</v>
      </c>
      <c r="AC78" s="320">
        <v>0.04</v>
      </c>
      <c r="AD78" s="320"/>
      <c r="AE78" s="320"/>
      <c r="AF78" s="320"/>
      <c r="AG78" s="320"/>
      <c r="AH78" s="320"/>
      <c r="AI78" s="320"/>
      <c r="AJ78" s="320"/>
      <c r="AK78" s="320"/>
      <c r="AL78" s="320"/>
      <c r="AM78" s="321">
        <v>3.8297872340425476</v>
      </c>
    </row>
    <row r="79" spans="1:39">
      <c r="A79" s="58">
        <f t="shared" si="102"/>
        <v>1983</v>
      </c>
      <c r="B79" s="321">
        <v>22</v>
      </c>
      <c r="C79" s="321">
        <v>28.3</v>
      </c>
      <c r="D79" s="321">
        <v>21.3</v>
      </c>
      <c r="E79" s="321">
        <v>16</v>
      </c>
      <c r="F79" s="321">
        <v>23.8</v>
      </c>
      <c r="G79" s="321">
        <v>38.6</v>
      </c>
      <c r="H79" s="321">
        <v>29.1</v>
      </c>
      <c r="I79" s="321">
        <v>20.100000000000001</v>
      </c>
      <c r="J79" s="321">
        <v>37.299999999999997</v>
      </c>
      <c r="K79" s="321">
        <v>30.6</v>
      </c>
      <c r="L79" s="321">
        <v>24.6</v>
      </c>
      <c r="M79" s="320">
        <v>32.6</v>
      </c>
      <c r="N79" s="320">
        <v>25.8</v>
      </c>
      <c r="O79" s="320">
        <v>26.42</v>
      </c>
      <c r="P79" s="320">
        <v>22.4</v>
      </c>
      <c r="Q79" s="320">
        <v>29.35</v>
      </c>
      <c r="R79" s="321">
        <v>12.24</v>
      </c>
      <c r="S79" s="321">
        <v>1.8877889502425971</v>
      </c>
      <c r="T79" s="321">
        <v>5.822959044980025</v>
      </c>
      <c r="U79" s="321">
        <v>8.1999999999999993</v>
      </c>
      <c r="V79" s="321">
        <v>8.8000000000000007</v>
      </c>
      <c r="W79" s="610">
        <v>17.100000000000001</v>
      </c>
      <c r="X79" s="321">
        <v>23.57</v>
      </c>
      <c r="Y79" s="321">
        <v>18.600000000000001</v>
      </c>
      <c r="Z79" s="321">
        <v>30.1</v>
      </c>
      <c r="AA79" s="321">
        <v>8.6</v>
      </c>
      <c r="AB79" s="320">
        <v>-16.305537316699496</v>
      </c>
      <c r="AC79" s="320">
        <v>36.119999999999997</v>
      </c>
      <c r="AD79" s="320"/>
      <c r="AE79" s="320"/>
      <c r="AF79" s="320"/>
      <c r="AG79" s="320"/>
      <c r="AH79" s="320"/>
      <c r="AI79" s="320"/>
      <c r="AJ79" s="320"/>
      <c r="AK79" s="320"/>
      <c r="AL79" s="320"/>
      <c r="AM79" s="321">
        <v>3.7909836065573854</v>
      </c>
    </row>
    <row r="80" spans="1:39">
      <c r="A80" s="58">
        <f t="shared" si="102"/>
        <v>1984</v>
      </c>
      <c r="B80" s="321">
        <v>4.5</v>
      </c>
      <c r="C80" s="321">
        <v>10.1</v>
      </c>
      <c r="D80" s="321">
        <v>6.21</v>
      </c>
      <c r="E80" s="321">
        <v>-1</v>
      </c>
      <c r="F80" s="321">
        <v>1.4</v>
      </c>
      <c r="G80" s="321">
        <v>2.2999999999999998</v>
      </c>
      <c r="H80" s="321">
        <v>-7.3</v>
      </c>
      <c r="I80" s="321">
        <v>-15.8</v>
      </c>
      <c r="J80" s="321">
        <v>-19.5</v>
      </c>
      <c r="K80" s="321">
        <v>20.9</v>
      </c>
      <c r="L80" s="321">
        <v>7.9</v>
      </c>
      <c r="M80" s="320">
        <v>10.3</v>
      </c>
      <c r="N80" s="320">
        <v>8.26</v>
      </c>
      <c r="O80" s="320">
        <v>13.48</v>
      </c>
      <c r="P80" s="320">
        <v>1.3</v>
      </c>
      <c r="Q80" s="320">
        <v>9.01</v>
      </c>
      <c r="R80" s="321">
        <v>-3.51</v>
      </c>
      <c r="S80" s="321">
        <v>13.989009440849598</v>
      </c>
      <c r="T80" s="321">
        <v>13.240276534091011</v>
      </c>
      <c r="U80" s="321">
        <v>14.3</v>
      </c>
      <c r="V80" s="366">
        <v>9.8000000000000007</v>
      </c>
      <c r="W80" s="610">
        <v>15.8</v>
      </c>
      <c r="X80" s="321">
        <v>10.7</v>
      </c>
      <c r="Y80" s="321">
        <v>16.64</v>
      </c>
      <c r="Z80" s="321">
        <v>19.47</v>
      </c>
      <c r="AA80" s="321">
        <v>12.8</v>
      </c>
      <c r="AB80" s="320">
        <v>-19.194560669456063</v>
      </c>
      <c r="AC80" s="320">
        <v>11.62</v>
      </c>
      <c r="AD80" s="320"/>
      <c r="AE80" s="320"/>
      <c r="AF80" s="320"/>
      <c r="AG80" s="320"/>
      <c r="AH80" s="320"/>
      <c r="AI80" s="320"/>
      <c r="AJ80" s="320"/>
      <c r="AK80" s="320"/>
      <c r="AL80" s="320"/>
      <c r="AM80" s="321">
        <v>3.948667324777877</v>
      </c>
    </row>
    <row r="81" spans="1:40">
      <c r="A81" s="58">
        <f t="shared" si="102"/>
        <v>1985</v>
      </c>
      <c r="B81" s="321">
        <v>32.200000000000003</v>
      </c>
      <c r="C81" s="321">
        <v>31.5</v>
      </c>
      <c r="D81" s="321">
        <v>31.23</v>
      </c>
      <c r="E81" s="321">
        <v>32.9</v>
      </c>
      <c r="F81" s="321">
        <v>32</v>
      </c>
      <c r="G81" s="321">
        <v>31</v>
      </c>
      <c r="H81" s="321">
        <v>31.1</v>
      </c>
      <c r="I81" s="321">
        <v>31</v>
      </c>
      <c r="J81" s="321">
        <v>25.7</v>
      </c>
      <c r="K81" s="321">
        <v>19.100000000000001</v>
      </c>
      <c r="L81" s="321">
        <v>56.7</v>
      </c>
      <c r="M81" s="320">
        <v>60.9</v>
      </c>
      <c r="N81" s="320">
        <v>57.33</v>
      </c>
      <c r="O81" s="320">
        <v>39.39</v>
      </c>
      <c r="P81" s="320">
        <v>79.8</v>
      </c>
      <c r="Q81" s="320">
        <v>55.11</v>
      </c>
      <c r="R81" s="321">
        <v>13.03</v>
      </c>
      <c r="S81" s="321">
        <v>30.665176307488107</v>
      </c>
      <c r="T81" s="321">
        <v>20.586635543886089</v>
      </c>
      <c r="U81" s="321">
        <v>18</v>
      </c>
      <c r="V81" s="321">
        <v>7.37</v>
      </c>
      <c r="W81" s="610">
        <v>8.9</v>
      </c>
      <c r="X81" s="321">
        <v>28.53</v>
      </c>
      <c r="Y81" s="321">
        <v>27.41</v>
      </c>
      <c r="Z81" s="321">
        <v>28.03</v>
      </c>
      <c r="AA81" s="321">
        <v>13.2</v>
      </c>
      <c r="AB81" s="320">
        <v>5.679611650485441</v>
      </c>
      <c r="AC81" s="320">
        <v>67.5</v>
      </c>
      <c r="AD81" s="320"/>
      <c r="AE81" s="320"/>
      <c r="AF81" s="320"/>
      <c r="AG81" s="320"/>
      <c r="AH81" s="320"/>
      <c r="AI81" s="320"/>
      <c r="AJ81" s="320"/>
      <c r="AK81" s="320"/>
      <c r="AL81" s="320"/>
      <c r="AM81" s="321">
        <v>3.7986704653371284</v>
      </c>
    </row>
    <row r="82" spans="1:40">
      <c r="A82" s="58">
        <f t="shared" si="102"/>
        <v>1986</v>
      </c>
      <c r="B82" s="321">
        <v>16.100000000000001</v>
      </c>
      <c r="C82" s="321">
        <v>20</v>
      </c>
      <c r="D82" s="321">
        <v>18.059999999999999</v>
      </c>
      <c r="E82" s="321">
        <v>15.4</v>
      </c>
      <c r="F82" s="321">
        <v>18.2</v>
      </c>
      <c r="G82" s="321">
        <v>7.4</v>
      </c>
      <c r="H82" s="321">
        <v>5.7</v>
      </c>
      <c r="I82" s="321">
        <v>3.6</v>
      </c>
      <c r="J82" s="321">
        <v>0.3</v>
      </c>
      <c r="K82" s="321">
        <v>19.2</v>
      </c>
      <c r="L82" s="321">
        <v>69.900000000000006</v>
      </c>
      <c r="M82" s="320">
        <v>62.7</v>
      </c>
      <c r="N82" s="320">
        <v>68.820000000000007</v>
      </c>
      <c r="O82" s="320">
        <v>93.82</v>
      </c>
      <c r="P82" s="320">
        <v>44.5</v>
      </c>
      <c r="Q82" s="320">
        <v>65.37</v>
      </c>
      <c r="R82" s="321">
        <v>-6.19</v>
      </c>
      <c r="S82" s="321">
        <v>30.929350763195341</v>
      </c>
      <c r="T82" s="321">
        <v>18.257338627116315</v>
      </c>
      <c r="U82" s="321">
        <v>13.1</v>
      </c>
      <c r="V82" s="321">
        <v>6</v>
      </c>
      <c r="W82" s="610">
        <v>22.2</v>
      </c>
      <c r="X82" s="321">
        <v>18.399999999999999</v>
      </c>
      <c r="Y82" s="321">
        <v>18.34</v>
      </c>
      <c r="Z82" s="321">
        <v>20.27</v>
      </c>
      <c r="AA82" s="321">
        <v>11.9</v>
      </c>
      <c r="AB82" s="320">
        <v>21.307609860664517</v>
      </c>
      <c r="AC82" s="320">
        <v>59.54</v>
      </c>
      <c r="AD82" s="320"/>
      <c r="AE82" s="320"/>
      <c r="AF82" s="320"/>
      <c r="AG82" s="320"/>
      <c r="AH82" s="320"/>
      <c r="AI82" s="320"/>
      <c r="AJ82" s="320"/>
      <c r="AK82" s="320"/>
      <c r="AL82" s="320"/>
      <c r="AM82" s="321">
        <v>1.0978956999085021</v>
      </c>
    </row>
    <row r="83" spans="1:40">
      <c r="A83" s="58">
        <f t="shared" si="102"/>
        <v>1987</v>
      </c>
      <c r="B83" s="321">
        <v>1.7</v>
      </c>
      <c r="C83" s="321">
        <v>0.5</v>
      </c>
      <c r="D83" s="321">
        <v>4.71</v>
      </c>
      <c r="E83" s="321">
        <v>5.3</v>
      </c>
      <c r="F83" s="321">
        <v>0.2</v>
      </c>
      <c r="G83" s="321">
        <v>-7.1</v>
      </c>
      <c r="H83" s="321">
        <v>-8.8000000000000007</v>
      </c>
      <c r="I83" s="321">
        <v>-10.5</v>
      </c>
      <c r="J83" s="321">
        <v>-14.9</v>
      </c>
      <c r="K83" s="321">
        <v>-3.6</v>
      </c>
      <c r="L83" s="321">
        <v>24.9</v>
      </c>
      <c r="M83" s="320">
        <v>37.700000000000003</v>
      </c>
      <c r="N83" s="320">
        <v>26.82</v>
      </c>
      <c r="O83" s="320">
        <v>39.85</v>
      </c>
      <c r="P83" s="320">
        <v>4.0999999999999996</v>
      </c>
      <c r="Q83" s="320">
        <v>35.020000000000003</v>
      </c>
      <c r="R83" s="321">
        <v>17.91</v>
      </c>
      <c r="S83" s="366">
        <v>-2.93</v>
      </c>
      <c r="T83" s="321">
        <v>1.0395319970092132</v>
      </c>
      <c r="U83" s="366">
        <v>1.1399999999999999</v>
      </c>
      <c r="V83" s="321">
        <v>6.12</v>
      </c>
      <c r="W83" s="610">
        <v>8.4</v>
      </c>
      <c r="X83" s="321">
        <v>2.2799999999999998</v>
      </c>
      <c r="Y83" s="321">
        <v>-1.92</v>
      </c>
      <c r="Z83" s="321">
        <v>1.23</v>
      </c>
      <c r="AA83" s="321">
        <v>6</v>
      </c>
      <c r="AB83" s="320">
        <v>22.207356170953986</v>
      </c>
      <c r="AC83" s="320">
        <v>40.67</v>
      </c>
      <c r="AD83" s="320"/>
      <c r="AE83" s="320"/>
      <c r="AF83" s="320"/>
      <c r="AG83" s="320"/>
      <c r="AH83" s="320"/>
      <c r="AI83" s="320"/>
      <c r="AJ83" s="320"/>
      <c r="AK83" s="320"/>
      <c r="AL83" s="320"/>
      <c r="AM83" s="321">
        <v>4.4343891402714997</v>
      </c>
    </row>
    <row r="84" spans="1:40">
      <c r="A84" s="58">
        <f t="shared" si="102"/>
        <v>1988</v>
      </c>
      <c r="B84" s="321">
        <v>18</v>
      </c>
      <c r="C84" s="321">
        <v>23.2</v>
      </c>
      <c r="D84" s="321">
        <v>16.22</v>
      </c>
      <c r="E84" s="321">
        <v>11.3</v>
      </c>
      <c r="F84" s="321">
        <v>19.8</v>
      </c>
      <c r="G84" s="321">
        <v>29.5</v>
      </c>
      <c r="H84" s="321">
        <v>24.9</v>
      </c>
      <c r="I84" s="321">
        <v>20.399999999999999</v>
      </c>
      <c r="J84" s="321">
        <v>20.8</v>
      </c>
      <c r="K84" s="321">
        <v>13.5</v>
      </c>
      <c r="L84" s="321">
        <v>28.6</v>
      </c>
      <c r="M84" s="320">
        <v>40.4</v>
      </c>
      <c r="N84" s="320">
        <v>30.37</v>
      </c>
      <c r="O84" s="320">
        <v>35.19</v>
      </c>
      <c r="P84" s="320">
        <v>16.399999999999999</v>
      </c>
      <c r="Q84" s="320">
        <v>38.6</v>
      </c>
      <c r="R84" s="321">
        <v>18.5</v>
      </c>
      <c r="S84" s="321">
        <v>9.15</v>
      </c>
      <c r="T84" s="321">
        <v>5.630832759741855</v>
      </c>
      <c r="U84" s="321">
        <v>7.35</v>
      </c>
      <c r="V84" s="321">
        <v>7.18</v>
      </c>
      <c r="W84" s="610">
        <v>18.899999999999999</v>
      </c>
      <c r="X84" s="321">
        <v>16.11</v>
      </c>
      <c r="Y84" s="321">
        <v>13.61</v>
      </c>
      <c r="Z84" s="321">
        <v>28.7</v>
      </c>
      <c r="AA84" s="321">
        <v>5.9</v>
      </c>
      <c r="AB84" s="320">
        <v>-15.255112580045449</v>
      </c>
      <c r="AC84" s="320">
        <v>25.94</v>
      </c>
      <c r="AD84" s="320"/>
      <c r="AE84" s="320"/>
      <c r="AF84" s="320"/>
      <c r="AG84" s="320"/>
      <c r="AH84" s="320"/>
      <c r="AI84" s="320"/>
      <c r="AJ84" s="320"/>
      <c r="AK84" s="320"/>
      <c r="AL84" s="320"/>
      <c r="AM84" s="321">
        <v>4.4194107452339537</v>
      </c>
    </row>
    <row r="85" spans="1:40">
      <c r="A85" s="58">
        <f t="shared" si="102"/>
        <v>1989</v>
      </c>
      <c r="B85" s="321">
        <v>28.9</v>
      </c>
      <c r="C85" s="321">
        <v>25.2</v>
      </c>
      <c r="D85" s="321">
        <v>31.36</v>
      </c>
      <c r="E85" s="321">
        <v>35.9</v>
      </c>
      <c r="F85" s="321">
        <v>26.3</v>
      </c>
      <c r="G85" s="321">
        <v>12.4</v>
      </c>
      <c r="H85" s="321">
        <v>16.2</v>
      </c>
      <c r="I85" s="321">
        <v>20.2</v>
      </c>
      <c r="J85" s="321">
        <v>5.5</v>
      </c>
      <c r="K85" s="321">
        <v>8.8000000000000007</v>
      </c>
      <c r="L85" s="321">
        <v>10.8</v>
      </c>
      <c r="M85" s="320">
        <v>65</v>
      </c>
      <c r="N85" s="320">
        <v>18.93</v>
      </c>
      <c r="O85" s="320">
        <v>2.68</v>
      </c>
      <c r="P85" s="320">
        <v>29.1</v>
      </c>
      <c r="Q85" s="320">
        <v>18.16</v>
      </c>
      <c r="R85" s="321">
        <v>27.72</v>
      </c>
      <c r="S85" s="321">
        <v>17.93</v>
      </c>
      <c r="T85" s="321">
        <v>13.115238177479149</v>
      </c>
      <c r="U85" s="321">
        <v>13.64</v>
      </c>
      <c r="V85" s="321">
        <v>8.8699999999999992</v>
      </c>
      <c r="W85" s="610">
        <v>6.1</v>
      </c>
      <c r="X85" s="321">
        <v>21.6</v>
      </c>
      <c r="Y85" s="321">
        <v>20.93</v>
      </c>
      <c r="Z85" s="321">
        <v>15.02</v>
      </c>
      <c r="AA85" s="321">
        <v>8.6999999999999993</v>
      </c>
      <c r="AB85" s="320">
        <v>-2.8397318708104762</v>
      </c>
      <c r="AC85" s="320">
        <v>30.77</v>
      </c>
      <c r="AD85" s="320"/>
      <c r="AE85" s="320"/>
      <c r="AF85" s="320"/>
      <c r="AG85" s="320"/>
      <c r="AH85" s="320"/>
      <c r="AI85" s="320"/>
      <c r="AJ85" s="320"/>
      <c r="AK85" s="320"/>
      <c r="AL85" s="320"/>
      <c r="AM85" s="321">
        <v>4.647302904564321</v>
      </c>
    </row>
    <row r="86" spans="1:40">
      <c r="A86" s="58">
        <f t="shared" si="102"/>
        <v>1990</v>
      </c>
      <c r="B86" s="321">
        <v>-6</v>
      </c>
      <c r="C86" s="321">
        <v>-8.1</v>
      </c>
      <c r="D86" s="321">
        <v>-3.32</v>
      </c>
      <c r="E86" s="321">
        <v>-0.3</v>
      </c>
      <c r="F86" s="321">
        <v>-11.5</v>
      </c>
      <c r="G86" s="321">
        <v>-21.8</v>
      </c>
      <c r="H86" s="321">
        <v>-19.5</v>
      </c>
      <c r="I86" s="321">
        <v>-17.399999999999999</v>
      </c>
      <c r="J86" s="321">
        <v>-31.3</v>
      </c>
      <c r="K86" s="321">
        <v>-15.4</v>
      </c>
      <c r="L86" s="321">
        <v>-23.2</v>
      </c>
      <c r="M86" s="320">
        <v>-10.6</v>
      </c>
      <c r="N86" s="320">
        <v>-21.31</v>
      </c>
      <c r="O86" s="320">
        <v>-34.29</v>
      </c>
      <c r="P86" s="320">
        <v>-3.4</v>
      </c>
      <c r="Q86" s="320">
        <v>-21.63</v>
      </c>
      <c r="R86" s="321">
        <v>25.13</v>
      </c>
      <c r="S86" s="321">
        <v>5.78</v>
      </c>
      <c r="T86" s="321">
        <v>9.6370943977155399</v>
      </c>
      <c r="U86" s="321">
        <v>8.65</v>
      </c>
      <c r="V86" s="321">
        <v>7.94</v>
      </c>
      <c r="W86" s="610">
        <v>6.2</v>
      </c>
      <c r="X86" s="321">
        <v>-2.81</v>
      </c>
      <c r="Y86" s="321">
        <v>3.76</v>
      </c>
      <c r="Z86" s="321">
        <v>-15.5</v>
      </c>
      <c r="AA86" s="321">
        <v>8.9</v>
      </c>
      <c r="AB86" s="320">
        <v>-1.4676367285499303</v>
      </c>
      <c r="AC86" s="320">
        <v>-17.940000000000001</v>
      </c>
      <c r="AD86" s="320"/>
      <c r="AE86" s="320"/>
      <c r="AF86" s="320"/>
      <c r="AG86" s="320"/>
      <c r="AH86" s="320"/>
      <c r="AI86" s="320"/>
      <c r="AJ86" s="320"/>
      <c r="AK86" s="320"/>
      <c r="AL86" s="320"/>
      <c r="AM86" s="321">
        <v>6.1062648691514898</v>
      </c>
    </row>
    <row r="87" spans="1:40">
      <c r="A87" s="58">
        <f t="shared" si="102"/>
        <v>1991</v>
      </c>
      <c r="B87" s="321">
        <v>34.700000000000003</v>
      </c>
      <c r="C87" s="321">
        <v>24.6</v>
      </c>
      <c r="D87" s="321">
        <v>30.22</v>
      </c>
      <c r="E87" s="321">
        <v>41.2</v>
      </c>
      <c r="F87" s="321">
        <v>41.5</v>
      </c>
      <c r="G87" s="321">
        <v>41.7</v>
      </c>
      <c r="H87" s="321">
        <v>46.1</v>
      </c>
      <c r="I87" s="321">
        <v>51.2</v>
      </c>
      <c r="J87" s="321">
        <v>48.3</v>
      </c>
      <c r="K87" s="321">
        <v>35.700000000000003</v>
      </c>
      <c r="L87" s="321">
        <v>12.5</v>
      </c>
      <c r="M87" s="320">
        <v>59.9</v>
      </c>
      <c r="N87" s="320">
        <v>19.61</v>
      </c>
      <c r="O87" s="322">
        <v>10.65</v>
      </c>
      <c r="P87" s="322">
        <v>12.4</v>
      </c>
      <c r="Q87" s="322">
        <v>10.8</v>
      </c>
      <c r="R87" s="321">
        <v>3.77</v>
      </c>
      <c r="S87" s="321">
        <v>17.43</v>
      </c>
      <c r="T87" s="321">
        <v>14.193016310688256</v>
      </c>
      <c r="U87" s="321">
        <v>15.25</v>
      </c>
      <c r="V87" s="321">
        <v>5.73</v>
      </c>
      <c r="W87" s="610">
        <v>15.9</v>
      </c>
      <c r="X87" s="321">
        <v>23.65</v>
      </c>
      <c r="Y87" s="321">
        <v>21.57</v>
      </c>
      <c r="Z87" s="321">
        <v>28.55</v>
      </c>
      <c r="AA87" s="321">
        <v>10.7</v>
      </c>
      <c r="AB87" s="320">
        <v>-10.070019096117127</v>
      </c>
      <c r="AC87" s="320">
        <v>5.83</v>
      </c>
      <c r="AD87" s="320"/>
      <c r="AE87" s="320"/>
      <c r="AF87" s="320"/>
      <c r="AG87" s="320"/>
      <c r="AH87" s="320"/>
      <c r="AI87" s="320"/>
      <c r="AJ87" s="320"/>
      <c r="AK87" s="320"/>
      <c r="AL87" s="320"/>
      <c r="AM87" s="321">
        <v>3.0642750373692129</v>
      </c>
      <c r="AN87" s="304"/>
    </row>
    <row r="88" spans="1:40">
      <c r="A88" s="58">
        <f t="shared" si="102"/>
        <v>1992</v>
      </c>
      <c r="B88" s="321">
        <v>9.8000000000000007</v>
      </c>
      <c r="C88" s="321">
        <v>13.8</v>
      </c>
      <c r="D88" s="321">
        <v>7.42</v>
      </c>
      <c r="E88" s="321">
        <v>5</v>
      </c>
      <c r="F88" s="321">
        <v>16.399999999999999</v>
      </c>
      <c r="G88" s="321">
        <v>29.1</v>
      </c>
      <c r="H88" s="366">
        <v>18.2</v>
      </c>
      <c r="I88" s="321">
        <v>7.8</v>
      </c>
      <c r="J88" s="321">
        <v>33.6</v>
      </c>
      <c r="K88" s="321">
        <v>14.6</v>
      </c>
      <c r="L88" s="321">
        <v>-11.8</v>
      </c>
      <c r="M88" s="320">
        <v>11.4</v>
      </c>
      <c r="N88" s="320">
        <v>-8.32</v>
      </c>
      <c r="O88" s="320">
        <v>-18.170000000000002</v>
      </c>
      <c r="P88" s="320">
        <v>-3.32</v>
      </c>
      <c r="Q88" s="320">
        <v>-10.8</v>
      </c>
      <c r="R88" s="321">
        <v>6.5877883645331323</v>
      </c>
      <c r="S88" s="321">
        <v>7.4</v>
      </c>
      <c r="T88" s="366">
        <v>7.78</v>
      </c>
      <c r="U88" s="321">
        <v>7.14</v>
      </c>
      <c r="V88" s="321">
        <v>3.53</v>
      </c>
      <c r="W88" s="610">
        <v>7.5</v>
      </c>
      <c r="X88" s="321">
        <v>7.93</v>
      </c>
      <c r="Y88" s="321">
        <v>8.67</v>
      </c>
      <c r="Z88" s="321">
        <v>16.5</v>
      </c>
      <c r="AA88" s="366">
        <v>6.75</v>
      </c>
      <c r="AB88" s="320">
        <v>-5.7474518686296747</v>
      </c>
      <c r="AC88" s="320">
        <v>-20.58</v>
      </c>
      <c r="AD88" s="320"/>
      <c r="AE88" s="320"/>
      <c r="AF88" s="320"/>
      <c r="AG88" s="320"/>
      <c r="AH88" s="320"/>
      <c r="AI88" s="320"/>
      <c r="AJ88" s="320"/>
      <c r="AK88" s="320"/>
      <c r="AL88" s="320"/>
      <c r="AM88" s="321">
        <v>2.9006526468455363</v>
      </c>
      <c r="AN88" s="305"/>
    </row>
    <row r="89" spans="1:40">
      <c r="A89" s="58">
        <f t="shared" si="102"/>
        <v>1993</v>
      </c>
      <c r="B89" s="366">
        <v>10.62</v>
      </c>
      <c r="C89" s="366">
        <v>18.350000000000001</v>
      </c>
      <c r="D89" s="321">
        <v>9.89</v>
      </c>
      <c r="E89" s="366">
        <v>1.53</v>
      </c>
      <c r="F89" s="321">
        <v>14.3</v>
      </c>
      <c r="G89" s="321">
        <v>23.8</v>
      </c>
      <c r="H89" s="321">
        <v>18.7</v>
      </c>
      <c r="I89" s="321">
        <v>13.4</v>
      </c>
      <c r="J89" s="321">
        <v>25.4</v>
      </c>
      <c r="K89" s="321">
        <v>19.7</v>
      </c>
      <c r="L89" s="321">
        <v>32.9</v>
      </c>
      <c r="M89" s="320">
        <v>74.8</v>
      </c>
      <c r="N89" s="320">
        <v>39.184999999999995</v>
      </c>
      <c r="O89" s="320">
        <v>35.46</v>
      </c>
      <c r="P89" s="320">
        <v>29.13</v>
      </c>
      <c r="Q89" s="320">
        <v>40.4</v>
      </c>
      <c r="R89" s="321">
        <v>6.4207720209574068</v>
      </c>
      <c r="S89" s="321">
        <v>16.79</v>
      </c>
      <c r="T89" s="321">
        <v>11.43</v>
      </c>
      <c r="U89" s="321">
        <v>9.68</v>
      </c>
      <c r="V89" s="321">
        <v>2.86</v>
      </c>
      <c r="W89" s="610">
        <v>15.7</v>
      </c>
      <c r="X89" s="321">
        <v>13.52</v>
      </c>
      <c r="Y89" s="321">
        <v>14.65</v>
      </c>
      <c r="Z89" s="321">
        <v>19.37</v>
      </c>
      <c r="AA89" s="321">
        <v>6.41</v>
      </c>
      <c r="AB89" s="320">
        <v>17.677981375788534</v>
      </c>
      <c r="AC89" s="320">
        <v>34.39</v>
      </c>
      <c r="AD89" s="320"/>
      <c r="AE89" s="320"/>
      <c r="AF89" s="320"/>
      <c r="AG89" s="320"/>
      <c r="AH89" s="320"/>
      <c r="AI89" s="320"/>
      <c r="AJ89" s="320"/>
      <c r="AK89" s="320"/>
      <c r="AL89" s="320"/>
      <c r="AM89" s="321">
        <v>2.748414376321362</v>
      </c>
      <c r="AN89" s="305"/>
    </row>
    <row r="90" spans="1:40">
      <c r="A90" s="58">
        <f t="shared" si="102"/>
        <v>1994</v>
      </c>
      <c r="B90" s="321">
        <v>-0.17</v>
      </c>
      <c r="C90" s="321">
        <v>-0.73</v>
      </c>
      <c r="D90" s="321">
        <v>1.18</v>
      </c>
      <c r="E90" s="321">
        <v>2.89</v>
      </c>
      <c r="F90" s="321">
        <v>-2.1</v>
      </c>
      <c r="G90" s="321">
        <v>-1.5</v>
      </c>
      <c r="H90" s="321">
        <v>-0.51</v>
      </c>
      <c r="I90" s="321">
        <v>-2.4</v>
      </c>
      <c r="J90" s="321">
        <v>-2.9</v>
      </c>
      <c r="K90" s="321">
        <v>3.2</v>
      </c>
      <c r="L90" s="321">
        <v>8.1</v>
      </c>
      <c r="M90" s="320">
        <v>-7.3</v>
      </c>
      <c r="N90" s="320">
        <v>5.79</v>
      </c>
      <c r="O90" s="320">
        <v>13.04</v>
      </c>
      <c r="P90" s="320">
        <v>1.88</v>
      </c>
      <c r="Q90" s="320">
        <v>11.4</v>
      </c>
      <c r="R90" s="321">
        <v>5.8917653646927146</v>
      </c>
      <c r="S90" s="321">
        <v>-7.03</v>
      </c>
      <c r="T90" s="321">
        <v>-4.33</v>
      </c>
      <c r="U90" s="321">
        <v>-2.66</v>
      </c>
      <c r="V90" s="321">
        <v>3.81</v>
      </c>
      <c r="W90" s="610">
        <v>3.2</v>
      </c>
      <c r="X90" s="321">
        <v>-0.49</v>
      </c>
      <c r="Y90" s="321">
        <v>-4.4400000000000004</v>
      </c>
      <c r="Z90" s="321">
        <v>-0.15</v>
      </c>
      <c r="AA90" s="321">
        <v>-0.57999999999999996</v>
      </c>
      <c r="AB90" s="320">
        <v>-2.1697511167836629</v>
      </c>
      <c r="AC90" s="320">
        <v>15.91</v>
      </c>
      <c r="AD90" s="320"/>
      <c r="AE90" s="320"/>
      <c r="AF90" s="320"/>
      <c r="AG90" s="320"/>
      <c r="AH90" s="320"/>
      <c r="AI90" s="320"/>
      <c r="AJ90" s="320"/>
      <c r="AK90" s="320"/>
      <c r="AL90" s="320"/>
      <c r="AM90" s="321">
        <v>2.6748971193415461</v>
      </c>
      <c r="AN90" s="305"/>
    </row>
    <row r="91" spans="1:40">
      <c r="A91" s="58">
        <f t="shared" si="102"/>
        <v>1995</v>
      </c>
      <c r="B91" s="321">
        <v>35.79</v>
      </c>
      <c r="C91" s="321">
        <v>36.94</v>
      </c>
      <c r="D91" s="321">
        <v>37.450000000000003</v>
      </c>
      <c r="E91" s="321">
        <v>38.06</v>
      </c>
      <c r="F91" s="321">
        <v>34.4</v>
      </c>
      <c r="G91" s="321">
        <v>25.8</v>
      </c>
      <c r="H91" s="321">
        <v>28.74</v>
      </c>
      <c r="I91" s="321">
        <v>31</v>
      </c>
      <c r="J91" s="321">
        <v>30.1</v>
      </c>
      <c r="K91" s="321">
        <v>15.3</v>
      </c>
      <c r="L91" s="321">
        <v>11.6</v>
      </c>
      <c r="M91" s="322">
        <v>0.56000000000000005</v>
      </c>
      <c r="N91" s="320">
        <v>9.9439999999999991</v>
      </c>
      <c r="O91" s="320">
        <v>2.75</v>
      </c>
      <c r="P91" s="320">
        <v>22.28</v>
      </c>
      <c r="Q91" s="320">
        <v>11.7</v>
      </c>
      <c r="R91" s="321">
        <v>24.288496846677518</v>
      </c>
      <c r="S91" s="321">
        <v>30.11</v>
      </c>
      <c r="T91" s="321">
        <v>20.440000000000001</v>
      </c>
      <c r="U91" s="321">
        <v>18.18</v>
      </c>
      <c r="V91" s="321">
        <v>5.49</v>
      </c>
      <c r="W91" s="610">
        <v>0.8</v>
      </c>
      <c r="X91" s="321">
        <v>32.92</v>
      </c>
      <c r="Y91" s="321">
        <v>28.91</v>
      </c>
      <c r="Z91" s="321">
        <v>30.15</v>
      </c>
      <c r="AA91" s="321">
        <v>12.11</v>
      </c>
      <c r="AB91" s="320">
        <v>0.97847358121330719</v>
      </c>
      <c r="AC91" s="320">
        <v>2.66</v>
      </c>
      <c r="AD91" s="320"/>
      <c r="AE91" s="320"/>
      <c r="AF91" s="320"/>
      <c r="AG91" s="320"/>
      <c r="AH91" s="320"/>
      <c r="AI91" s="320"/>
      <c r="AJ91" s="320"/>
      <c r="AK91" s="320"/>
      <c r="AL91" s="320"/>
      <c r="AM91" s="321">
        <v>2.5384101536406245</v>
      </c>
      <c r="AN91" s="305"/>
    </row>
    <row r="92" spans="1:40">
      <c r="A92" s="58">
        <f t="shared" si="102"/>
        <v>1996</v>
      </c>
      <c r="B92" s="321">
        <v>20.96</v>
      </c>
      <c r="C92" s="321">
        <v>21.86</v>
      </c>
      <c r="D92" s="321">
        <v>22.88</v>
      </c>
      <c r="E92" s="321">
        <v>23.74</v>
      </c>
      <c r="F92" s="321">
        <v>19</v>
      </c>
      <c r="G92" s="321">
        <v>21.4</v>
      </c>
      <c r="H92" s="321">
        <v>18.12</v>
      </c>
      <c r="I92" s="321">
        <v>11.3</v>
      </c>
      <c r="J92" s="321">
        <v>16.8</v>
      </c>
      <c r="K92" s="321">
        <v>35.299999999999997</v>
      </c>
      <c r="L92" s="321">
        <v>6.4</v>
      </c>
      <c r="M92" s="320">
        <v>15.83</v>
      </c>
      <c r="N92" s="320">
        <v>7.8145000000000007</v>
      </c>
      <c r="O92" s="320">
        <v>-7.82</v>
      </c>
      <c r="P92" s="320">
        <v>21.26</v>
      </c>
      <c r="Q92" s="320">
        <v>9.1999999999999993</v>
      </c>
      <c r="R92" s="321">
        <v>18.346666411050315</v>
      </c>
      <c r="S92" s="321">
        <v>-1.25</v>
      </c>
      <c r="T92" s="321">
        <v>1.92</v>
      </c>
      <c r="U92" s="321">
        <v>3.58</v>
      </c>
      <c r="V92" s="321">
        <v>5.09</v>
      </c>
      <c r="W92" s="610">
        <v>4.0999999999999996</v>
      </c>
      <c r="X92" s="321">
        <v>16.190000000000001</v>
      </c>
      <c r="Y92" s="321">
        <v>9.42</v>
      </c>
      <c r="Z92" s="321">
        <v>26.36</v>
      </c>
      <c r="AA92" s="321">
        <v>4.3899999999999997</v>
      </c>
      <c r="AB92" s="320">
        <v>-4.5865633074935399</v>
      </c>
      <c r="AC92" s="320">
        <v>4.4000000000000004</v>
      </c>
      <c r="AD92" s="320"/>
      <c r="AE92" s="320"/>
      <c r="AF92" s="320"/>
      <c r="AG92" s="320"/>
      <c r="AH92" s="320"/>
      <c r="AI92" s="320"/>
      <c r="AJ92" s="320"/>
      <c r="AK92" s="320"/>
      <c r="AL92" s="320"/>
      <c r="AM92" s="321">
        <v>3.3224755700325792</v>
      </c>
      <c r="AN92" s="57"/>
    </row>
    <row r="93" spans="1:40">
      <c r="A93" s="58">
        <f t="shared" si="102"/>
        <v>1997</v>
      </c>
      <c r="B93" s="321">
        <v>30.99</v>
      </c>
      <c r="C93" s="321">
        <v>29.77</v>
      </c>
      <c r="D93" s="321">
        <v>33.19</v>
      </c>
      <c r="E93" s="321">
        <v>36.340000000000003</v>
      </c>
      <c r="F93" s="321">
        <v>29</v>
      </c>
      <c r="G93" s="321">
        <v>31.8</v>
      </c>
      <c r="H93" s="321">
        <v>24.59</v>
      </c>
      <c r="I93" s="321">
        <v>12.9</v>
      </c>
      <c r="J93" s="321">
        <v>21.5</v>
      </c>
      <c r="K93" s="366">
        <v>18.77</v>
      </c>
      <c r="L93" s="321">
        <v>2.1</v>
      </c>
      <c r="M93" s="320">
        <v>-16.82</v>
      </c>
      <c r="N93" s="322">
        <v>-0.77</v>
      </c>
      <c r="O93" s="320">
        <v>-25.67</v>
      </c>
      <c r="P93" s="320">
        <v>24.23</v>
      </c>
      <c r="Q93" s="320">
        <v>-4.58</v>
      </c>
      <c r="R93" s="321">
        <v>-1.0029287797843425</v>
      </c>
      <c r="S93" s="321">
        <v>13.9</v>
      </c>
      <c r="T93" s="321">
        <v>8.9600000000000009</v>
      </c>
      <c r="U93" s="321">
        <v>9.44</v>
      </c>
      <c r="V93" s="321">
        <v>5.12</v>
      </c>
      <c r="W93" s="610">
        <v>8</v>
      </c>
      <c r="X93" s="321">
        <v>23.23</v>
      </c>
      <c r="Y93" s="321">
        <v>20.190000000000001</v>
      </c>
      <c r="Z93" s="321">
        <v>21.97</v>
      </c>
      <c r="AA93" s="321">
        <v>6.39</v>
      </c>
      <c r="AB93" s="320">
        <v>-21.40825998645904</v>
      </c>
      <c r="AC93" s="320">
        <v>-14.13</v>
      </c>
      <c r="AD93" s="320"/>
      <c r="AE93" s="320"/>
      <c r="AF93" s="320"/>
      <c r="AG93" s="320"/>
      <c r="AH93" s="320"/>
      <c r="AI93" s="320"/>
      <c r="AJ93" s="320"/>
      <c r="AK93" s="320"/>
      <c r="AL93" s="320"/>
      <c r="AM93" s="321">
        <v>1.7023959646910614</v>
      </c>
      <c r="AN93" s="57"/>
    </row>
    <row r="94" spans="1:40">
      <c r="A94" s="58">
        <f t="shared" si="102"/>
        <v>1998</v>
      </c>
      <c r="B94" s="321">
        <v>23.26</v>
      </c>
      <c r="C94" s="321">
        <v>14.64</v>
      </c>
      <c r="D94" s="321">
        <v>28.62</v>
      </c>
      <c r="E94" s="321">
        <v>42.21</v>
      </c>
      <c r="F94" s="321">
        <v>10.1</v>
      </c>
      <c r="G94" s="321">
        <v>-6.5</v>
      </c>
      <c r="H94" s="321">
        <v>-2.61</v>
      </c>
      <c r="I94" s="321">
        <v>1.2</v>
      </c>
      <c r="J94" s="366">
        <v>-1.81</v>
      </c>
      <c r="K94" s="321">
        <v>-16.32</v>
      </c>
      <c r="L94" s="321">
        <v>20.3</v>
      </c>
      <c r="M94" s="320">
        <v>-18.12</v>
      </c>
      <c r="N94" s="320">
        <v>15.6</v>
      </c>
      <c r="O94" s="320">
        <v>2.41</v>
      </c>
      <c r="P94" s="320">
        <v>28.86</v>
      </c>
      <c r="Q94" s="320">
        <v>19.46</v>
      </c>
      <c r="R94" s="321">
        <v>-25.303110444349187</v>
      </c>
      <c r="S94" s="321">
        <v>13.05</v>
      </c>
      <c r="T94" s="321">
        <v>10.61</v>
      </c>
      <c r="U94" s="321">
        <v>8.58</v>
      </c>
      <c r="V94" s="321">
        <v>5</v>
      </c>
      <c r="W94" s="610">
        <v>2.8</v>
      </c>
      <c r="X94" s="321">
        <v>12.06</v>
      </c>
      <c r="Y94" s="321">
        <v>11.84</v>
      </c>
      <c r="Z94" s="321">
        <v>0.81</v>
      </c>
      <c r="AA94" s="321">
        <v>7.36</v>
      </c>
      <c r="AB94" s="320">
        <v>-0.82701585113713894</v>
      </c>
      <c r="AC94" s="320">
        <v>25.98</v>
      </c>
      <c r="AD94" s="320"/>
      <c r="AE94" s="320"/>
      <c r="AF94" s="320"/>
      <c r="AG94" s="320"/>
      <c r="AH94" s="320"/>
      <c r="AI94" s="320"/>
      <c r="AJ94" s="320"/>
      <c r="AK94" s="320"/>
      <c r="AL94" s="320"/>
      <c r="AM94" s="321">
        <v>1.6119032858028515</v>
      </c>
      <c r="AN94" s="57"/>
    </row>
    <row r="95" spans="1:40">
      <c r="A95" s="58">
        <f t="shared" si="102"/>
        <v>1999</v>
      </c>
      <c r="B95" s="321">
        <v>23.81</v>
      </c>
      <c r="C95" s="321">
        <v>12.57</v>
      </c>
      <c r="D95" s="321">
        <v>21.07</v>
      </c>
      <c r="E95" s="321">
        <v>28.76</v>
      </c>
      <c r="F95" s="366">
        <v>15.32</v>
      </c>
      <c r="G95" s="321">
        <v>3.35</v>
      </c>
      <c r="H95" s="321">
        <v>23.13</v>
      </c>
      <c r="I95" s="366">
        <v>19.8</v>
      </c>
      <c r="J95" s="321">
        <v>31.49</v>
      </c>
      <c r="K95" s="321">
        <v>-4.04</v>
      </c>
      <c r="L95" s="321">
        <v>27.3</v>
      </c>
      <c r="M95" s="320">
        <v>61.57</v>
      </c>
      <c r="N95" s="320">
        <v>29.92</v>
      </c>
      <c r="O95" s="320">
        <v>57.05</v>
      </c>
      <c r="P95" s="320">
        <v>16.62</v>
      </c>
      <c r="Q95" s="320">
        <v>21.81</v>
      </c>
      <c r="R95" s="321">
        <v>19.658254566019316</v>
      </c>
      <c r="S95" s="321">
        <v>-8.66</v>
      </c>
      <c r="T95" s="321">
        <v>-3.52</v>
      </c>
      <c r="U95" s="321">
        <v>-0.76</v>
      </c>
      <c r="V95" s="321">
        <v>4.55</v>
      </c>
      <c r="W95" s="610">
        <v>7.9</v>
      </c>
      <c r="X95" s="321">
        <v>4.41</v>
      </c>
      <c r="Y95" s="321">
        <v>-4.1399999999999997</v>
      </c>
      <c r="Z95" s="321">
        <v>11.57</v>
      </c>
      <c r="AA95" s="321">
        <v>1.85</v>
      </c>
      <c r="AB95" s="320">
        <v>0.85128561501041988</v>
      </c>
      <c r="AC95" s="320">
        <v>90.29</v>
      </c>
      <c r="AD95" s="320"/>
      <c r="AE95" s="320"/>
      <c r="AF95" s="320"/>
      <c r="AG95" s="320"/>
      <c r="AH95" s="320"/>
      <c r="AI95" s="320"/>
      <c r="AJ95" s="320"/>
      <c r="AK95" s="320"/>
      <c r="AL95" s="320"/>
      <c r="AM95" s="321">
        <v>2.6845637583892579</v>
      </c>
      <c r="AN95" s="57"/>
    </row>
    <row r="96" spans="1:40">
      <c r="A96" s="58">
        <f t="shared" si="102"/>
        <v>2000</v>
      </c>
      <c r="B96" s="321">
        <v>-10.57</v>
      </c>
      <c r="C96" s="321">
        <v>6.08</v>
      </c>
      <c r="D96" s="321">
        <v>-9.06</v>
      </c>
      <c r="E96" s="321">
        <v>-22.21</v>
      </c>
      <c r="F96" s="321">
        <v>18.100000000000001</v>
      </c>
      <c r="G96" s="321">
        <v>21.88</v>
      </c>
      <c r="H96" s="321">
        <v>-2.67</v>
      </c>
      <c r="I96" s="321">
        <v>1.59</v>
      </c>
      <c r="J96" s="321">
        <v>0.67</v>
      </c>
      <c r="K96" s="321">
        <v>26.35</v>
      </c>
      <c r="L96" s="321">
        <v>-14.29</v>
      </c>
      <c r="M96" s="320">
        <v>-27.56</v>
      </c>
      <c r="N96" s="320">
        <v>-15.61</v>
      </c>
      <c r="O96" s="320">
        <v>-25.74</v>
      </c>
      <c r="P96" s="320">
        <v>-8.18</v>
      </c>
      <c r="Q96" s="320">
        <v>-7.48</v>
      </c>
      <c r="R96" s="321">
        <v>35.83076587950972</v>
      </c>
      <c r="S96" s="321">
        <v>19.72</v>
      </c>
      <c r="T96" s="321">
        <v>14.03</v>
      </c>
      <c r="U96" s="321">
        <v>11.39</v>
      </c>
      <c r="V96" s="321">
        <v>5.8</v>
      </c>
      <c r="W96" s="610">
        <v>4.8</v>
      </c>
      <c r="X96" s="321">
        <v>10.4</v>
      </c>
      <c r="Y96" s="321">
        <v>16.170000000000002</v>
      </c>
      <c r="Z96" s="321">
        <v>15.89</v>
      </c>
      <c r="AA96" s="321">
        <v>8.83</v>
      </c>
      <c r="AB96" s="320">
        <v>-5.4435831180017269</v>
      </c>
      <c r="AC96" s="320">
        <v>-2.68</v>
      </c>
      <c r="AD96" s="320"/>
      <c r="AE96" s="320"/>
      <c r="AF96" s="320"/>
      <c r="AG96" s="320"/>
      <c r="AH96" s="320"/>
      <c r="AI96" s="320"/>
      <c r="AJ96" s="320"/>
      <c r="AK96" s="320"/>
      <c r="AL96" s="320"/>
      <c r="AM96" s="321">
        <v>3.3868092691621943</v>
      </c>
      <c r="AN96" s="57"/>
    </row>
    <row r="97" spans="1:41">
      <c r="A97" s="58">
        <f t="shared" si="102"/>
        <v>2001</v>
      </c>
      <c r="B97" s="321">
        <v>-10.97</v>
      </c>
      <c r="C97" s="321">
        <v>-11.88</v>
      </c>
      <c r="D97" s="321">
        <v>-12.02</v>
      </c>
      <c r="E97" s="321">
        <v>-12.93</v>
      </c>
      <c r="F97" s="321">
        <v>-0.5</v>
      </c>
      <c r="G97" s="321">
        <v>13.7</v>
      </c>
      <c r="H97" s="321">
        <v>3.1</v>
      </c>
      <c r="I97" s="321">
        <v>-0.78</v>
      </c>
      <c r="J97" s="321">
        <v>23.98</v>
      </c>
      <c r="K97" s="321">
        <v>12.35</v>
      </c>
      <c r="L97" s="366">
        <v>-21.94</v>
      </c>
      <c r="M97" s="320">
        <v>-2.88</v>
      </c>
      <c r="N97" s="320">
        <v>-20.149999999999999</v>
      </c>
      <c r="O97" s="320">
        <v>-26.34</v>
      </c>
      <c r="P97" s="320">
        <v>-20.3</v>
      </c>
      <c r="Q97" s="320">
        <v>-14.02</v>
      </c>
      <c r="R97" s="321">
        <v>-15.248585151771607</v>
      </c>
      <c r="S97" s="321">
        <v>4.3099999999999996</v>
      </c>
      <c r="T97" s="321">
        <v>7.55</v>
      </c>
      <c r="U97" s="321">
        <v>8.43</v>
      </c>
      <c r="V97" s="321">
        <v>3.99</v>
      </c>
      <c r="W97" s="613">
        <v>7.61</v>
      </c>
      <c r="X97" s="321">
        <v>4.1900000000000004</v>
      </c>
      <c r="Y97" s="321">
        <v>7.39</v>
      </c>
      <c r="Z97" s="321">
        <v>5.72</v>
      </c>
      <c r="AA97" s="321">
        <v>7.8</v>
      </c>
      <c r="AB97" s="320">
        <v>0.83803971579523107</v>
      </c>
      <c r="AC97" s="320">
        <v>-22.52</v>
      </c>
      <c r="AD97" s="320"/>
      <c r="AE97" s="320"/>
      <c r="AF97" s="320"/>
      <c r="AG97" s="320"/>
      <c r="AH97" s="320"/>
      <c r="AI97" s="320"/>
      <c r="AJ97" s="320"/>
      <c r="AK97" s="320"/>
      <c r="AL97" s="320"/>
      <c r="AM97" s="321">
        <v>1.551724137931032</v>
      </c>
      <c r="AN97" s="57"/>
    </row>
    <row r="98" spans="1:41">
      <c r="A98" s="58">
        <f t="shared" si="102"/>
        <v>2002</v>
      </c>
      <c r="B98" s="321">
        <v>-20.96</v>
      </c>
      <c r="C98" s="321">
        <v>-20.91</v>
      </c>
      <c r="D98" s="321">
        <v>-22.15</v>
      </c>
      <c r="E98" s="321">
        <v>-23.68</v>
      </c>
      <c r="F98" s="321">
        <v>-14.61</v>
      </c>
      <c r="G98" s="321">
        <v>-14.2</v>
      </c>
      <c r="H98" s="321">
        <v>-20.02</v>
      </c>
      <c r="I98" s="321">
        <v>-15.41</v>
      </c>
      <c r="J98" s="321">
        <v>4.9000000000000004</v>
      </c>
      <c r="K98" s="321">
        <v>3.75</v>
      </c>
      <c r="L98" s="321">
        <v>-15.620000000000001</v>
      </c>
      <c r="M98" s="320">
        <v>-7.43</v>
      </c>
      <c r="N98" s="320">
        <v>-15.08</v>
      </c>
      <c r="O98" s="320">
        <v>-9.32</v>
      </c>
      <c r="P98" s="320">
        <v>-17.95</v>
      </c>
      <c r="Q98" s="320">
        <v>-13.35</v>
      </c>
      <c r="R98" s="321">
        <v>39.929692473577198</v>
      </c>
      <c r="S98" s="321">
        <v>16.670000000000002</v>
      </c>
      <c r="T98" s="321">
        <v>14.15</v>
      </c>
      <c r="U98" s="321">
        <v>8.26</v>
      </c>
      <c r="V98" s="321">
        <v>1.51</v>
      </c>
      <c r="W98" s="610">
        <v>16.61</v>
      </c>
      <c r="X98" s="321">
        <v>-6.9</v>
      </c>
      <c r="Y98" s="321">
        <v>4.6399999999999997</v>
      </c>
      <c r="Z98" s="321">
        <v>-22.25</v>
      </c>
      <c r="AA98" s="321">
        <v>8.02</v>
      </c>
      <c r="AB98" s="320">
        <v>25.456187895212278</v>
      </c>
      <c r="AC98" s="320">
        <v>-13.88</v>
      </c>
      <c r="AD98" s="320"/>
      <c r="AE98" s="320"/>
      <c r="AF98" s="320"/>
      <c r="AG98" s="320"/>
      <c r="AH98" s="320"/>
      <c r="AI98" s="320"/>
      <c r="AJ98" s="320"/>
      <c r="AK98" s="320"/>
      <c r="AL98" s="320"/>
      <c r="AM98" s="321">
        <v>2.3769100169779289</v>
      </c>
      <c r="AN98" s="57"/>
    </row>
    <row r="99" spans="1:41">
      <c r="A99" s="58">
        <f t="shared" si="102"/>
        <v>2003</v>
      </c>
      <c r="B99" s="321">
        <v>31.35</v>
      </c>
      <c r="C99" s="321">
        <v>32.25</v>
      </c>
      <c r="D99" s="321">
        <v>28.5</v>
      </c>
      <c r="E99" s="321">
        <v>25.92</v>
      </c>
      <c r="F99" s="321">
        <v>34.14</v>
      </c>
      <c r="G99" s="321">
        <v>37.19</v>
      </c>
      <c r="H99" s="321">
        <v>45.63</v>
      </c>
      <c r="I99" s="321">
        <v>42.88</v>
      </c>
      <c r="J99" s="321">
        <v>79.430000000000007</v>
      </c>
      <c r="K99" s="321">
        <v>35.65</v>
      </c>
      <c r="L99" s="321">
        <v>38.67</v>
      </c>
      <c r="M99" s="320">
        <v>57.65</v>
      </c>
      <c r="N99" s="320">
        <v>40.340000000000003</v>
      </c>
      <c r="O99" s="320">
        <v>38.42</v>
      </c>
      <c r="P99" s="320">
        <v>38.700000000000003</v>
      </c>
      <c r="Q99" s="320">
        <v>41.9</v>
      </c>
      <c r="R99" s="366">
        <v>29.82</v>
      </c>
      <c r="S99" s="321">
        <v>2.68</v>
      </c>
      <c r="T99" s="321">
        <v>2.37</v>
      </c>
      <c r="U99" s="321">
        <v>3.97</v>
      </c>
      <c r="V99" s="321">
        <v>0.82</v>
      </c>
      <c r="W99" s="610">
        <v>8</v>
      </c>
      <c r="X99" s="321">
        <v>20.75</v>
      </c>
      <c r="Y99" s="321">
        <v>9.66</v>
      </c>
      <c r="Z99" s="321">
        <v>37.01</v>
      </c>
      <c r="AA99" s="321">
        <v>2.38</v>
      </c>
      <c r="AB99" s="320">
        <v>19.599654377880189</v>
      </c>
      <c r="AC99" s="320">
        <v>57.37</v>
      </c>
      <c r="AD99" s="320"/>
      <c r="AE99" s="320"/>
      <c r="AF99" s="320"/>
      <c r="AG99" s="320"/>
      <c r="AH99" s="320"/>
      <c r="AI99" s="320"/>
      <c r="AJ99" s="320"/>
      <c r="AK99" s="320"/>
      <c r="AL99" s="320"/>
      <c r="AM99" s="321">
        <v>1.8794914317302513</v>
      </c>
      <c r="AN99" s="57"/>
    </row>
    <row r="100" spans="1:41">
      <c r="A100" s="58">
        <f t="shared" si="102"/>
        <v>2004</v>
      </c>
      <c r="B100" s="321">
        <v>12.52</v>
      </c>
      <c r="C100" s="321">
        <v>15.29</v>
      </c>
      <c r="D100" s="321">
        <v>10.74</v>
      </c>
      <c r="E100" s="321">
        <v>7.2</v>
      </c>
      <c r="F100" s="321">
        <v>20.350000000000001</v>
      </c>
      <c r="G100" s="321">
        <v>23.55</v>
      </c>
      <c r="H100" s="321">
        <v>19.899999999999999</v>
      </c>
      <c r="I100" s="321">
        <v>16.059999999999999</v>
      </c>
      <c r="J100" s="321">
        <v>20.12</v>
      </c>
      <c r="K100" s="321">
        <v>30.76</v>
      </c>
      <c r="L100" s="321">
        <v>20.25</v>
      </c>
      <c r="M100" s="320">
        <v>26.12</v>
      </c>
      <c r="N100" s="320">
        <v>20.84</v>
      </c>
      <c r="O100" s="320">
        <v>18.829999999999998</v>
      </c>
      <c r="P100" s="320">
        <v>20.86</v>
      </c>
      <c r="Q100" s="320">
        <v>19.77</v>
      </c>
      <c r="R100" s="321">
        <v>16.36</v>
      </c>
      <c r="S100" s="321">
        <v>7.12</v>
      </c>
      <c r="T100" s="321">
        <v>3.4</v>
      </c>
      <c r="U100" s="321">
        <v>4.24</v>
      </c>
      <c r="V100" s="321">
        <v>1</v>
      </c>
      <c r="W100" s="610">
        <v>8.27</v>
      </c>
      <c r="X100" s="321">
        <v>11.17</v>
      </c>
      <c r="Y100" s="321">
        <v>7.57</v>
      </c>
      <c r="Z100" s="321">
        <v>13.38</v>
      </c>
      <c r="AA100" s="321">
        <v>1.03</v>
      </c>
      <c r="AB100" s="320">
        <v>4.9006622516556346</v>
      </c>
      <c r="AC100" s="320">
        <v>31.77</v>
      </c>
      <c r="AD100" s="320"/>
      <c r="AE100" s="320"/>
      <c r="AF100" s="320"/>
      <c r="AG100" s="320"/>
      <c r="AH100" s="320"/>
      <c r="AI100" s="320"/>
      <c r="AJ100" s="320"/>
      <c r="AK100" s="320"/>
      <c r="AL100" s="320"/>
      <c r="AM100" s="321">
        <v>3.255561584373301</v>
      </c>
      <c r="AN100" s="57"/>
    </row>
    <row r="101" spans="1:41">
      <c r="A101" s="58">
        <f t="shared" si="102"/>
        <v>2005</v>
      </c>
      <c r="B101" s="321">
        <v>5.98</v>
      </c>
      <c r="C101" s="321">
        <v>7.09</v>
      </c>
      <c r="D101" s="321">
        <v>4.7699999999999996</v>
      </c>
      <c r="E101" s="321">
        <v>5.09</v>
      </c>
      <c r="F101" s="321">
        <v>13.93</v>
      </c>
      <c r="G101" s="321">
        <v>6.07</v>
      </c>
      <c r="H101" s="321">
        <v>7.36</v>
      </c>
      <c r="I101" s="321">
        <v>8.64</v>
      </c>
      <c r="J101" s="321">
        <v>4.08</v>
      </c>
      <c r="K101" s="321">
        <v>11.89</v>
      </c>
      <c r="L101" s="321">
        <v>13.600000000000001</v>
      </c>
      <c r="M101" s="320">
        <v>32.049999999999997</v>
      </c>
      <c r="N101" s="320">
        <v>15.57</v>
      </c>
      <c r="O101" s="320">
        <v>22.59</v>
      </c>
      <c r="P101" s="320">
        <v>9.26</v>
      </c>
      <c r="Q101" s="320">
        <v>17.96</v>
      </c>
      <c r="R101" s="321">
        <v>20.5</v>
      </c>
      <c r="S101" s="321">
        <v>6.61</v>
      </c>
      <c r="T101" s="321">
        <v>2.3199999999999998</v>
      </c>
      <c r="U101" s="321">
        <v>2.4</v>
      </c>
      <c r="V101" s="321">
        <v>2.77</v>
      </c>
      <c r="W101" s="610">
        <v>2.59</v>
      </c>
      <c r="X101" s="321">
        <v>6.82</v>
      </c>
      <c r="Y101" s="321">
        <v>3.48</v>
      </c>
      <c r="Z101" s="321">
        <v>4.99</v>
      </c>
      <c r="AA101" s="321">
        <v>1.77</v>
      </c>
      <c r="AB101" s="320">
        <v>18.04</v>
      </c>
      <c r="AC101" s="320">
        <v>20.49</v>
      </c>
      <c r="AD101" s="320"/>
      <c r="AE101" s="320"/>
      <c r="AF101" s="320"/>
      <c r="AG101" s="320"/>
      <c r="AH101" s="320"/>
      <c r="AI101" s="320"/>
      <c r="AJ101" s="320"/>
      <c r="AK101" s="320"/>
      <c r="AL101" s="320"/>
      <c r="AM101" s="321">
        <v>3.4156594850236477</v>
      </c>
      <c r="AN101" s="57"/>
    </row>
    <row r="102" spans="1:41">
      <c r="A102" s="58">
        <f t="shared" si="102"/>
        <v>2006</v>
      </c>
      <c r="B102" s="321">
        <v>15.51</v>
      </c>
      <c r="C102" s="321">
        <v>22.15</v>
      </c>
      <c r="D102" s="321">
        <v>15.64</v>
      </c>
      <c r="E102" s="321">
        <v>9.01</v>
      </c>
      <c r="F102" s="321">
        <v>13.6</v>
      </c>
      <c r="G102" s="321">
        <v>19.239999999999998</v>
      </c>
      <c r="H102" s="321">
        <v>15.64</v>
      </c>
      <c r="I102" s="321">
        <v>11.94</v>
      </c>
      <c r="J102" s="321">
        <v>11.48</v>
      </c>
      <c r="K102" s="321">
        <v>35.07</v>
      </c>
      <c r="L102" s="321">
        <v>26.27</v>
      </c>
      <c r="M102" s="320">
        <v>29.39</v>
      </c>
      <c r="N102" s="320">
        <v>26.64</v>
      </c>
      <c r="O102" s="320">
        <v>11.99</v>
      </c>
      <c r="P102" s="320">
        <v>33.42</v>
      </c>
      <c r="Q102" s="320">
        <v>27.37</v>
      </c>
      <c r="R102" s="321">
        <v>-3.04</v>
      </c>
      <c r="S102" s="321">
        <v>1.74</v>
      </c>
      <c r="T102" s="321">
        <v>3.14</v>
      </c>
      <c r="U102" s="321">
        <v>4.2699999999999996</v>
      </c>
      <c r="V102" s="321">
        <v>4.55</v>
      </c>
      <c r="W102" s="610">
        <v>0.43</v>
      </c>
      <c r="X102" s="321">
        <v>14.97</v>
      </c>
      <c r="Y102" s="321">
        <v>11.28</v>
      </c>
      <c r="Z102" s="321">
        <v>19.350000000000001</v>
      </c>
      <c r="AA102" s="321">
        <v>3.77</v>
      </c>
      <c r="AB102" s="320">
        <v>22.17</v>
      </c>
      <c r="AC102" s="320">
        <v>30.34</v>
      </c>
      <c r="AD102" s="320"/>
      <c r="AE102" s="320"/>
      <c r="AF102" s="320"/>
      <c r="AG102" s="320"/>
      <c r="AH102" s="320"/>
      <c r="AI102" s="320"/>
      <c r="AJ102" s="320"/>
      <c r="AK102" s="320"/>
      <c r="AL102" s="320"/>
      <c r="AM102" s="321">
        <v>2.5406504065040636</v>
      </c>
      <c r="AN102" s="57"/>
    </row>
    <row r="103" spans="1:41">
      <c r="A103" s="58">
        <f t="shared" si="102"/>
        <v>2007</v>
      </c>
      <c r="B103" s="321">
        <v>5.49</v>
      </c>
      <c r="C103" s="321">
        <v>0.09</v>
      </c>
      <c r="D103" s="321">
        <v>5.39</v>
      </c>
      <c r="E103" s="321">
        <v>12.56</v>
      </c>
      <c r="F103" s="321">
        <v>6.02</v>
      </c>
      <c r="G103" s="321">
        <v>-7.07</v>
      </c>
      <c r="H103" s="321">
        <v>1.1599999999999999</v>
      </c>
      <c r="I103" s="321">
        <v>9.6300000000000008</v>
      </c>
      <c r="J103" s="321">
        <v>-5.4</v>
      </c>
      <c r="K103" s="321">
        <v>-16.46</v>
      </c>
      <c r="L103" s="321">
        <v>11.15</v>
      </c>
      <c r="M103" s="321">
        <v>38.9</v>
      </c>
      <c r="N103" s="321">
        <v>15.52</v>
      </c>
      <c r="O103" s="321">
        <v>4.78</v>
      </c>
      <c r="P103" s="321">
        <v>13.82</v>
      </c>
      <c r="Q103" s="321">
        <v>12.66</v>
      </c>
      <c r="R103" s="321">
        <v>23.8</v>
      </c>
      <c r="S103" s="321">
        <v>9.24</v>
      </c>
      <c r="T103" s="321">
        <v>9.98</v>
      </c>
      <c r="U103" s="321">
        <v>6.92</v>
      </c>
      <c r="V103" s="321">
        <v>4.6500000000000004</v>
      </c>
      <c r="W103" s="321">
        <v>11.59</v>
      </c>
      <c r="X103" s="321">
        <v>8.34</v>
      </c>
      <c r="Y103" s="321">
        <v>5.61</v>
      </c>
      <c r="Z103" s="321">
        <v>-3.3</v>
      </c>
      <c r="AA103" s="321">
        <v>7.89</v>
      </c>
      <c r="AB103" s="321">
        <v>30.56</v>
      </c>
      <c r="AC103" s="321">
        <v>5.15</v>
      </c>
      <c r="AD103" s="321"/>
      <c r="AE103" s="321"/>
      <c r="AF103" s="321"/>
      <c r="AG103" s="321"/>
      <c r="AH103" s="321"/>
      <c r="AI103" s="321"/>
      <c r="AJ103" s="321"/>
      <c r="AK103" s="321"/>
      <c r="AL103" s="321"/>
      <c r="AM103" s="321">
        <v>4.0812685827551931</v>
      </c>
      <c r="AN103" s="57"/>
    </row>
    <row r="104" spans="1:41">
      <c r="A104" s="58">
        <f t="shared" si="102"/>
        <v>2008</v>
      </c>
      <c r="B104" s="303">
        <v>-37.04</v>
      </c>
      <c r="C104" s="303">
        <v>-35.97</v>
      </c>
      <c r="D104" s="303">
        <v>-37.020000000000003</v>
      </c>
      <c r="E104" s="303">
        <v>-38.32</v>
      </c>
      <c r="F104" s="303">
        <v>-41.82</v>
      </c>
      <c r="G104" s="303">
        <v>-32.049999999999997</v>
      </c>
      <c r="H104" s="303">
        <v>-36.07</v>
      </c>
      <c r="I104" s="303">
        <v>-40</v>
      </c>
      <c r="J104" s="303">
        <v>-39.49</v>
      </c>
      <c r="K104" s="303">
        <v>-37.049999999999997</v>
      </c>
      <c r="L104" s="303">
        <v>-41.27</v>
      </c>
      <c r="M104" s="303">
        <v>-52.81</v>
      </c>
      <c r="N104" s="303">
        <v>-44.1</v>
      </c>
      <c r="O104" s="303">
        <v>-34.36</v>
      </c>
      <c r="P104" s="303">
        <v>-44.73</v>
      </c>
      <c r="Q104" s="303">
        <v>-41.74</v>
      </c>
      <c r="R104" s="303">
        <v>-43.33</v>
      </c>
      <c r="S104" s="303">
        <v>22.52</v>
      </c>
      <c r="T104" s="303">
        <v>13.32</v>
      </c>
      <c r="U104" s="303">
        <v>5.05</v>
      </c>
      <c r="V104" s="303">
        <v>1.97</v>
      </c>
      <c r="W104" s="303">
        <v>-2.85</v>
      </c>
      <c r="X104" s="303">
        <v>-22.3</v>
      </c>
      <c r="Y104" s="303">
        <v>-9.84</v>
      </c>
      <c r="Z104" s="303">
        <v>-41.1</v>
      </c>
      <c r="AA104" s="303">
        <v>6.68</v>
      </c>
      <c r="AB104" s="321">
        <v>4.96</v>
      </c>
      <c r="AC104" s="321">
        <v>-46.62</v>
      </c>
      <c r="AD104" s="321"/>
      <c r="AE104" s="321"/>
      <c r="AF104" s="321"/>
      <c r="AG104" s="321"/>
      <c r="AH104" s="321"/>
      <c r="AI104" s="321"/>
      <c r="AJ104" s="321"/>
      <c r="AK104" s="321"/>
      <c r="AL104" s="321"/>
      <c r="AM104" s="321">
        <v>9.1412900645604367E-2</v>
      </c>
      <c r="AN104" s="57"/>
    </row>
    <row r="105" spans="1:41">
      <c r="A105" s="58">
        <f t="shared" si="102"/>
        <v>2009</v>
      </c>
      <c r="B105" s="321">
        <v>28.7</v>
      </c>
      <c r="C105" s="321">
        <v>19.579999999999998</v>
      </c>
      <c r="D105" s="321">
        <v>26.49</v>
      </c>
      <c r="E105" s="321">
        <v>36.29</v>
      </c>
      <c r="F105" s="321">
        <v>40.22</v>
      </c>
      <c r="G105" s="321">
        <v>30.34</v>
      </c>
      <c r="H105" s="321">
        <v>36.119999999999997</v>
      </c>
      <c r="I105" s="321">
        <v>41.85</v>
      </c>
      <c r="J105" s="321">
        <v>25.95</v>
      </c>
      <c r="K105" s="321">
        <v>29.58</v>
      </c>
      <c r="L105" s="321">
        <v>28.27</v>
      </c>
      <c r="M105" s="321">
        <v>75.98</v>
      </c>
      <c r="N105" s="321">
        <v>36.729999999999997</v>
      </c>
      <c r="O105" s="321">
        <v>21.18</v>
      </c>
      <c r="P105" s="321">
        <v>31.91</v>
      </c>
      <c r="Q105" s="321">
        <v>33.770000000000003</v>
      </c>
      <c r="R105" s="321">
        <v>39.92</v>
      </c>
      <c r="S105" s="321">
        <v>-12.05</v>
      </c>
      <c r="T105" s="321">
        <v>-1.69</v>
      </c>
      <c r="U105" s="321">
        <v>5.93</v>
      </c>
      <c r="V105" s="321">
        <v>0.53</v>
      </c>
      <c r="W105" s="321">
        <v>10.8</v>
      </c>
      <c r="X105" s="321">
        <v>22.2</v>
      </c>
      <c r="Y105" s="321">
        <v>16.02</v>
      </c>
      <c r="Z105" s="321">
        <v>34.69</v>
      </c>
      <c r="AA105" s="321">
        <v>1.44</v>
      </c>
      <c r="AB105" s="321">
        <v>23.99</v>
      </c>
      <c r="AC105" s="321">
        <v>47.12</v>
      </c>
      <c r="AD105" s="321"/>
      <c r="AE105" s="321"/>
      <c r="AF105" s="321"/>
      <c r="AG105" s="321"/>
      <c r="AH105" s="321"/>
      <c r="AI105" s="321"/>
      <c r="AJ105" s="321"/>
      <c r="AK105" s="321"/>
      <c r="AL105" s="321"/>
      <c r="AM105" s="321">
        <v>2.7213311262058282</v>
      </c>
      <c r="AN105" s="57"/>
    </row>
    <row r="106" spans="1:41">
      <c r="A106" s="58">
        <f t="shared" si="102"/>
        <v>2010</v>
      </c>
      <c r="B106" s="321">
        <v>17.09</v>
      </c>
      <c r="C106" s="321">
        <v>14.28</v>
      </c>
      <c r="D106" s="321">
        <v>14.91</v>
      </c>
      <c r="E106" s="321">
        <v>16.96</v>
      </c>
      <c r="F106" s="321">
        <v>25.46</v>
      </c>
      <c r="G106" s="321">
        <v>24.82</v>
      </c>
      <c r="H106" s="321">
        <v>27.72</v>
      </c>
      <c r="I106" s="321">
        <v>30.69</v>
      </c>
      <c r="J106" s="321">
        <v>24.86</v>
      </c>
      <c r="K106" s="321">
        <v>28.3</v>
      </c>
      <c r="L106" s="321">
        <v>8.36</v>
      </c>
      <c r="M106" s="321">
        <v>18.86</v>
      </c>
      <c r="N106" s="321">
        <v>11.12</v>
      </c>
      <c r="O106" s="321">
        <v>15.77</v>
      </c>
      <c r="P106" s="321">
        <v>4.91</v>
      </c>
      <c r="Q106" s="321">
        <v>7.31</v>
      </c>
      <c r="R106" s="321">
        <v>24.13</v>
      </c>
      <c r="S106" s="321">
        <v>8.93</v>
      </c>
      <c r="T106" s="321">
        <v>7.35</v>
      </c>
      <c r="U106" s="321">
        <v>6.42</v>
      </c>
      <c r="V106" s="321">
        <v>0.01</v>
      </c>
      <c r="W106" s="321">
        <v>6.17</v>
      </c>
      <c r="X106" s="321">
        <v>10.94</v>
      </c>
      <c r="Y106" s="321">
        <v>10.65</v>
      </c>
      <c r="Z106" s="321">
        <v>14.82</v>
      </c>
      <c r="AA106" s="321">
        <v>2.64</v>
      </c>
      <c r="AB106" s="321">
        <v>29.27</v>
      </c>
      <c r="AC106" s="321">
        <v>24.97</v>
      </c>
      <c r="AD106" s="321"/>
      <c r="AE106" s="321"/>
      <c r="AF106" s="321"/>
      <c r="AG106" s="321"/>
      <c r="AH106" s="321"/>
      <c r="AI106" s="321"/>
      <c r="AJ106" s="321"/>
      <c r="AK106" s="321"/>
      <c r="AL106" s="321"/>
      <c r="AM106" s="321">
        <v>1.4957235273143077</v>
      </c>
      <c r="AN106" s="57"/>
    </row>
    <row r="107" spans="1:41">
      <c r="A107" s="58">
        <f t="shared" si="102"/>
        <v>2011</v>
      </c>
      <c r="B107" s="321">
        <v>0.96</v>
      </c>
      <c r="C107" s="321">
        <v>1</v>
      </c>
      <c r="D107" s="321">
        <v>1.97</v>
      </c>
      <c r="E107" s="321">
        <v>1.71</v>
      </c>
      <c r="F107" s="321">
        <v>-2.11</v>
      </c>
      <c r="G107" s="321">
        <v>-4.16</v>
      </c>
      <c r="H107" s="321">
        <v>-2.8</v>
      </c>
      <c r="I107" s="321">
        <v>-1.58</v>
      </c>
      <c r="J107" s="321">
        <v>-7.86</v>
      </c>
      <c r="K107" s="321">
        <v>8.4700000000000006</v>
      </c>
      <c r="L107" s="321">
        <v>-12.509999999999998</v>
      </c>
      <c r="M107" s="321">
        <v>-19.18</v>
      </c>
      <c r="N107" s="320">
        <v>-14.56</v>
      </c>
      <c r="O107" s="321">
        <v>-14</v>
      </c>
      <c r="P107" s="321">
        <v>-11.6</v>
      </c>
      <c r="Q107" s="321">
        <v>-14.58</v>
      </c>
      <c r="R107" s="321">
        <v>-7.56</v>
      </c>
      <c r="S107" s="321">
        <v>29.28</v>
      </c>
      <c r="T107" s="321">
        <v>9.8000000000000007</v>
      </c>
      <c r="U107" s="321">
        <v>7.56</v>
      </c>
      <c r="V107" s="321">
        <v>0.02</v>
      </c>
      <c r="W107" s="610">
        <v>13.24</v>
      </c>
      <c r="X107" s="321">
        <v>3.85</v>
      </c>
      <c r="Y107" s="321">
        <v>9.6300000000000008</v>
      </c>
      <c r="Z107" s="321">
        <v>-4</v>
      </c>
      <c r="AA107" s="321">
        <v>2.2599999999999998</v>
      </c>
      <c r="AB107" s="321">
        <v>9.57</v>
      </c>
      <c r="AC107" s="321">
        <v>-19.09</v>
      </c>
      <c r="AD107" s="320"/>
      <c r="AE107" s="320"/>
      <c r="AF107" s="320"/>
      <c r="AG107" s="320"/>
      <c r="AH107" s="320"/>
      <c r="AI107" s="320"/>
      <c r="AJ107" s="320"/>
      <c r="AK107" s="320"/>
      <c r="AL107" s="320"/>
      <c r="AM107" s="321">
        <v>2.9624188448710953</v>
      </c>
      <c r="AN107" s="57"/>
    </row>
    <row r="108" spans="1:41">
      <c r="A108" s="58">
        <f t="shared" si="102"/>
        <v>2012</v>
      </c>
      <c r="B108" s="321">
        <v>16.25</v>
      </c>
      <c r="C108" s="321">
        <v>15</v>
      </c>
      <c r="D108" s="321">
        <v>15.82</v>
      </c>
      <c r="E108" s="321">
        <v>16.89</v>
      </c>
      <c r="F108" s="321">
        <v>15.8</v>
      </c>
      <c r="G108" s="321">
        <v>18.559999999999999</v>
      </c>
      <c r="H108" s="321">
        <v>18.04</v>
      </c>
      <c r="I108" s="321">
        <v>17.52</v>
      </c>
      <c r="J108" s="321">
        <v>19.829999999999998</v>
      </c>
      <c r="K108" s="321">
        <v>17.53</v>
      </c>
      <c r="L108" s="321">
        <v>18.559999999999999</v>
      </c>
      <c r="M108" s="321">
        <v>18.64</v>
      </c>
      <c r="N108" s="321">
        <v>18.14</v>
      </c>
      <c r="O108" s="321">
        <v>15.49</v>
      </c>
      <c r="P108" s="321">
        <v>20.8</v>
      </c>
      <c r="Q108" s="321">
        <v>20.18</v>
      </c>
      <c r="R108" s="321">
        <v>5.31</v>
      </c>
      <c r="S108" s="321">
        <v>3.47</v>
      </c>
      <c r="T108" s="321">
        <v>2.67</v>
      </c>
      <c r="U108" s="321">
        <v>4.05</v>
      </c>
      <c r="V108" s="321">
        <v>0.02</v>
      </c>
      <c r="W108" s="321">
        <v>6.78</v>
      </c>
      <c r="X108" s="321">
        <v>12.57</v>
      </c>
      <c r="Y108" s="321">
        <v>10.06</v>
      </c>
      <c r="Z108" s="321">
        <v>20.78</v>
      </c>
      <c r="AA108" s="321">
        <v>0.69</v>
      </c>
      <c r="AB108" s="321">
        <v>6.6</v>
      </c>
      <c r="AC108" s="321">
        <v>18.89</v>
      </c>
      <c r="AD108" s="321"/>
      <c r="AE108" s="321"/>
      <c r="AF108" s="321"/>
      <c r="AG108" s="321"/>
      <c r="AH108" s="321"/>
      <c r="AI108" s="321"/>
      <c r="AJ108" s="321"/>
      <c r="AK108" s="321"/>
      <c r="AL108" s="321"/>
      <c r="AM108" s="321">
        <v>1.7410223687475579</v>
      </c>
      <c r="AN108" s="57"/>
    </row>
    <row r="109" spans="1:41">
      <c r="A109" s="58">
        <f t="shared" si="102"/>
        <v>2013</v>
      </c>
      <c r="B109" s="303">
        <v>33.35</v>
      </c>
      <c r="C109" s="303">
        <v>32.85</v>
      </c>
      <c r="D109" s="303">
        <v>32.18</v>
      </c>
      <c r="E109" s="303">
        <v>32.159999999999997</v>
      </c>
      <c r="F109" s="303">
        <v>35</v>
      </c>
      <c r="G109" s="303">
        <v>36.409999999999997</v>
      </c>
      <c r="H109" s="303">
        <v>37.619999999999997</v>
      </c>
      <c r="I109" s="303">
        <v>37.979999999999997</v>
      </c>
      <c r="J109" s="614">
        <v>50.91</v>
      </c>
      <c r="K109" s="303">
        <v>2.31</v>
      </c>
      <c r="L109" s="303">
        <v>22.06</v>
      </c>
      <c r="M109" s="303">
        <v>-5.19</v>
      </c>
      <c r="N109" s="303">
        <v>15.04</v>
      </c>
      <c r="O109" s="303">
        <v>17.36</v>
      </c>
      <c r="P109" s="303">
        <v>24.7</v>
      </c>
      <c r="Q109" s="303">
        <v>22.15</v>
      </c>
      <c r="R109" s="303">
        <v>-14.81</v>
      </c>
      <c r="S109" s="303">
        <v>-13.03</v>
      </c>
      <c r="T109" s="303">
        <v>-3.09</v>
      </c>
      <c r="U109" s="303">
        <v>-2.2599999999999998</v>
      </c>
      <c r="V109" s="303">
        <v>0.01</v>
      </c>
      <c r="W109" s="303">
        <v>-8.92</v>
      </c>
      <c r="X109" s="303">
        <v>19.66</v>
      </c>
      <c r="Y109" s="303">
        <v>9.19</v>
      </c>
      <c r="Z109" s="303">
        <v>36.08</v>
      </c>
      <c r="AA109" s="303">
        <v>-0.1</v>
      </c>
      <c r="AB109" s="321">
        <v>-28.33</v>
      </c>
      <c r="AC109" s="321">
        <v>17.440000000000001</v>
      </c>
      <c r="AD109" s="321"/>
      <c r="AE109" s="321"/>
      <c r="AF109" s="321"/>
      <c r="AG109" s="321"/>
      <c r="AH109" s="321"/>
      <c r="AI109" s="321"/>
      <c r="AJ109" s="321"/>
      <c r="AK109" s="321"/>
      <c r="AL109" s="321"/>
      <c r="AM109" s="321">
        <v>1.501735619618394</v>
      </c>
      <c r="AN109" s="57"/>
    </row>
    <row r="110" spans="1:41">
      <c r="A110" s="58">
        <f t="shared" si="102"/>
        <v>2014</v>
      </c>
      <c r="B110" s="303">
        <v>12.43</v>
      </c>
      <c r="C110" s="303">
        <v>13.05</v>
      </c>
      <c r="D110" s="303">
        <v>13.51</v>
      </c>
      <c r="E110" s="303">
        <v>13.47</v>
      </c>
      <c r="F110" s="303">
        <v>13.6</v>
      </c>
      <c r="G110" s="303">
        <v>10.39</v>
      </c>
      <c r="H110" s="303">
        <v>7.37</v>
      </c>
      <c r="I110" s="303">
        <v>3.88</v>
      </c>
      <c r="J110" s="614">
        <v>4.6100000000000003</v>
      </c>
      <c r="K110" s="303">
        <v>30.13</v>
      </c>
      <c r="L110" s="303">
        <v>-5.66</v>
      </c>
      <c r="M110" s="303">
        <v>0.42</v>
      </c>
      <c r="N110" s="303">
        <v>-4.24</v>
      </c>
      <c r="O110" s="303">
        <v>-4.6900000000000004</v>
      </c>
      <c r="P110" s="303">
        <v>-6.67</v>
      </c>
      <c r="Q110" s="303">
        <v>-6.69</v>
      </c>
      <c r="R110" s="303">
        <v>-18.059999999999999</v>
      </c>
      <c r="S110" s="303">
        <v>25.27</v>
      </c>
      <c r="T110" s="303">
        <v>4.32</v>
      </c>
      <c r="U110" s="303">
        <v>5.76</v>
      </c>
      <c r="V110" s="303">
        <v>0.01</v>
      </c>
      <c r="W110" s="303">
        <v>3.83</v>
      </c>
      <c r="X110" s="303">
        <v>9.82</v>
      </c>
      <c r="Y110" s="303">
        <v>8.07</v>
      </c>
      <c r="Z110" s="303">
        <v>11.82</v>
      </c>
      <c r="AA110" s="303">
        <v>0.71</v>
      </c>
      <c r="AB110" s="321">
        <v>-2.19</v>
      </c>
      <c r="AC110" s="321">
        <v>-4.8099999999999996</v>
      </c>
      <c r="AD110" s="321"/>
      <c r="AE110" s="321"/>
      <c r="AF110" s="321"/>
      <c r="AG110" s="321"/>
      <c r="AH110" s="321"/>
      <c r="AI110" s="321"/>
      <c r="AJ110" s="321"/>
      <c r="AK110" s="321"/>
      <c r="AL110" s="321"/>
      <c r="AM110" s="321">
        <v>0.7564932696557447</v>
      </c>
      <c r="AN110" s="57"/>
    </row>
    <row r="111" spans="1:41">
      <c r="A111" s="58">
        <f t="shared" si="102"/>
        <v>2015</v>
      </c>
      <c r="B111" s="303">
        <v>0.28999999999999998</v>
      </c>
      <c r="C111" s="303">
        <v>-1.03</v>
      </c>
      <c r="D111" s="303">
        <v>1.25</v>
      </c>
      <c r="E111" s="303">
        <v>3.17</v>
      </c>
      <c r="F111" s="303">
        <v>-1.46</v>
      </c>
      <c r="G111" s="303">
        <v>-4.78</v>
      </c>
      <c r="H111" s="303">
        <v>-3.78</v>
      </c>
      <c r="I111" s="303">
        <v>-2.64</v>
      </c>
      <c r="J111" s="614">
        <v>-3.94</v>
      </c>
      <c r="K111" s="303">
        <v>2.2200000000000002</v>
      </c>
      <c r="L111" s="303">
        <v>-0.18</v>
      </c>
      <c r="M111" s="303">
        <v>-15.51</v>
      </c>
      <c r="N111" s="303">
        <v>-4.37</v>
      </c>
      <c r="O111" s="303">
        <v>2.25</v>
      </c>
      <c r="P111" s="303">
        <v>-2</v>
      </c>
      <c r="Q111" s="303">
        <v>-6.44</v>
      </c>
      <c r="R111" s="303">
        <v>-25.7</v>
      </c>
      <c r="S111" s="303">
        <v>-1.54</v>
      </c>
      <c r="T111" s="303">
        <v>1.5</v>
      </c>
      <c r="U111" s="303">
        <v>0.3</v>
      </c>
      <c r="V111" s="303">
        <v>0.02</v>
      </c>
      <c r="W111" s="303">
        <v>-1.83</v>
      </c>
      <c r="X111" s="303">
        <v>0.06</v>
      </c>
      <c r="Y111" s="303">
        <v>1.28</v>
      </c>
      <c r="Z111" s="303">
        <v>-3.32</v>
      </c>
      <c r="AA111" s="303">
        <v>0.45</v>
      </c>
      <c r="AB111" s="321">
        <v>-10.67</v>
      </c>
      <c r="AC111" s="321">
        <v>-0.32</v>
      </c>
      <c r="AD111" s="321"/>
      <c r="AE111" s="321"/>
      <c r="AF111" s="321"/>
      <c r="AG111" s="321"/>
      <c r="AH111" s="321"/>
      <c r="AI111" s="321"/>
      <c r="AJ111" s="321"/>
      <c r="AK111" s="321"/>
      <c r="AL111" s="321"/>
      <c r="AM111" s="321">
        <v>0.72951978604158807</v>
      </c>
      <c r="AN111" s="57"/>
      <c r="AO111" s="421"/>
    </row>
    <row r="112" spans="1:41">
      <c r="A112" s="58">
        <f t="shared" si="102"/>
        <v>2016</v>
      </c>
      <c r="B112" s="303"/>
      <c r="C112" s="303"/>
      <c r="D112" s="303"/>
      <c r="E112" s="303"/>
      <c r="F112" s="303"/>
      <c r="G112" s="303"/>
      <c r="H112" s="303"/>
      <c r="I112" s="303"/>
      <c r="J112" s="614"/>
      <c r="K112" s="303"/>
      <c r="L112" s="303"/>
      <c r="M112" s="303"/>
      <c r="N112" s="303"/>
      <c r="O112" s="303"/>
      <c r="P112" s="303"/>
      <c r="Q112" s="303"/>
      <c r="R112" s="303"/>
      <c r="S112" s="303"/>
      <c r="T112" s="303"/>
      <c r="U112" s="303"/>
      <c r="V112" s="303"/>
      <c r="W112" s="303"/>
      <c r="X112" s="303"/>
      <c r="Y112" s="303"/>
      <c r="Z112" s="303"/>
      <c r="AA112" s="303"/>
      <c r="AB112" s="321"/>
      <c r="AC112" s="321"/>
      <c r="AD112" s="321"/>
      <c r="AE112" s="321"/>
      <c r="AF112" s="321"/>
      <c r="AG112" s="321"/>
      <c r="AH112" s="321"/>
      <c r="AI112" s="321"/>
      <c r="AJ112" s="321"/>
      <c r="AK112" s="321"/>
      <c r="AL112" s="321"/>
      <c r="AM112" s="321"/>
      <c r="AN112" s="57"/>
    </row>
    <row r="113" spans="1:38">
      <c r="A113" s="58"/>
      <c r="B113" s="318"/>
    </row>
    <row r="114" spans="1:38">
      <c r="A114" s="36" t="s">
        <v>467</v>
      </c>
      <c r="B114" s="143">
        <f>IF(ISERROR(VLOOKUP(EYear72,$A$8:B$52,COLUMN(),FALSE)),"",(VLOOKUP(EYear72,$A$8:B$52,COLUMN(),FALSE)))</f>
        <v>0.28999999999999998</v>
      </c>
      <c r="C114" s="143">
        <f>IF(ISERROR(VLOOKUP(EYear72,$A$8:C$52,COLUMN(),FALSE)),"",(VLOOKUP(EYear72,$A$8:C$52,COLUMN(),FALSE)))</f>
        <v>-1.03</v>
      </c>
      <c r="D114" s="143">
        <f>IF(ISERROR(VLOOKUP(EYear72,$A$8:D$52,COLUMN(),FALSE)),"",(VLOOKUP(EYear72,$A$8:D$52,COLUMN(),FALSE)))</f>
        <v>1.25</v>
      </c>
      <c r="E114" s="143">
        <f>IF(ISERROR(VLOOKUP(EYear72,$A$8:E$52,COLUMN(),FALSE)),"",(VLOOKUP(EYear72,$A$8:E$52,COLUMN(),FALSE)))</f>
        <v>3.17</v>
      </c>
      <c r="F114" s="143">
        <f>IF(ISERROR(VLOOKUP(EYear72,$A$8:F$52,COLUMN(),FALSE)),"",(VLOOKUP(EYear72,$A$8:F$52,COLUMN(),FALSE)))</f>
        <v>-1.46</v>
      </c>
      <c r="G114" s="143">
        <f>IF(ISERROR(VLOOKUP(EYear72,$A$8:G$52,COLUMN(),FALSE)),"",(VLOOKUP(EYear72,$A$8:G$52,COLUMN(),FALSE)))</f>
        <v>-4.78</v>
      </c>
      <c r="H114" s="143">
        <f>IF(ISERROR(VLOOKUP(EYear72,$A$8:H$52,COLUMN(),FALSE)),"",(VLOOKUP(EYear72,$A$8:H$52,COLUMN(),FALSE)))</f>
        <v>-3.78</v>
      </c>
      <c r="I114" s="143">
        <f>IF(ISERROR(VLOOKUP(EYear72,$A$8:I$52,COLUMN(),FALSE)),"",(VLOOKUP(EYear72,$A$8:I$52,COLUMN(),FALSE)))</f>
        <v>-2.64</v>
      </c>
      <c r="J114" s="143">
        <f>IF(ISERROR(VLOOKUP(EYear72,$A$8:J$52,COLUMN(),FALSE)),"",(VLOOKUP(EYear72,$A$8:J$52,COLUMN(),FALSE)))</f>
        <v>-3.94</v>
      </c>
      <c r="K114" s="143">
        <f>IF(ISERROR(VLOOKUP(EYear72,$A$8:K$52,COLUMN(),FALSE)),"",(VLOOKUP(EYear72,$A$8:K$52,COLUMN(),FALSE)))</f>
        <v>2.2200000000000002</v>
      </c>
      <c r="L114" s="143">
        <f>IF(ISERROR(VLOOKUP(EYear72,$A$8:L$52,COLUMN(),FALSE)),"",(VLOOKUP(EYear72,$A$8:L$52,COLUMN(),FALSE)))</f>
        <v>-0.18</v>
      </c>
      <c r="M114" s="143">
        <f>IF(ISERROR(VLOOKUP(EYear72,$A$8:M$52,COLUMN(),FALSE)),"",(VLOOKUP(EYear72,$A$8:M$52,COLUMN(),FALSE)))</f>
        <v>-15.51</v>
      </c>
      <c r="N114" s="143">
        <f>IF(ISERROR(VLOOKUP(EYear72,$A$8:N$52,COLUMN(),FALSE)),"",(VLOOKUP(EYear72,$A$8:N$52,COLUMN(),FALSE)))</f>
        <v>-4.37</v>
      </c>
      <c r="O114" s="143">
        <f>IF(ISERROR(VLOOKUP(EYear72,$A$8:O$52,COLUMN(),FALSE)),"",(VLOOKUP(EYear72,$A$8:O$52,COLUMN(),FALSE)))</f>
        <v>2.25</v>
      </c>
      <c r="P114" s="143">
        <f>IF(ISERROR(VLOOKUP(EYear72,$A$8:P$52,COLUMN(),FALSE)),"",(VLOOKUP(EYear72,$A$8:P$52,COLUMN(),FALSE)))</f>
        <v>-2</v>
      </c>
      <c r="Q114" s="143">
        <f>IF(ISERROR(VLOOKUP(EYear72,$A$8:Q$52,COLUMN(),FALSE)),"",(VLOOKUP(EYear72,$A$8:Q$52,COLUMN(),FALSE)))</f>
        <v>-6.44</v>
      </c>
      <c r="R114" s="143">
        <f>IF(ISERROR(VLOOKUP(EYear72,$A$8:R$52,COLUMN(),FALSE)),"",(VLOOKUP(EYear72,$A$8:R$52,COLUMN(),FALSE)))</f>
        <v>-25.7</v>
      </c>
      <c r="S114" s="143">
        <f>IF(ISERROR(VLOOKUP(EYear72,$A$8:S$52,COLUMN(),FALSE)),"",(VLOOKUP(EYear72,$A$8:S$52,COLUMN(),FALSE)))</f>
        <v>-1.54</v>
      </c>
      <c r="T114" s="143">
        <f>IF(ISERROR(VLOOKUP(EYear72,$A$8:T$52,COLUMN(),FALSE)),"",(VLOOKUP(EYear72,$A$8:T$52,COLUMN(),FALSE)))</f>
        <v>1.5</v>
      </c>
      <c r="U114" s="143">
        <f>IF(ISERROR(VLOOKUP(EYear72,$A$8:U$52,COLUMN(),FALSE)),"",(VLOOKUP(EYear72,$A$8:U$52,COLUMN(),FALSE)))</f>
        <v>0.3</v>
      </c>
      <c r="V114" s="143">
        <f>IF(ISERROR(VLOOKUP(EYear72,$A$8:V$52,COLUMN(),FALSE)),"",(VLOOKUP(EYear72,$A$8:V$52,COLUMN(),FALSE)))</f>
        <v>0.02</v>
      </c>
      <c r="W114" s="143">
        <f>IF(ISERROR(VLOOKUP(EYear72,$A$8:W$52,COLUMN(),FALSE)),"",(VLOOKUP(EYear72,$A$8:W$52,COLUMN(),FALSE)))</f>
        <v>-1.83</v>
      </c>
      <c r="X114" s="143">
        <f>IF(ISERROR(VLOOKUP(EYear72,$A$8:X$52,COLUMN(),FALSE)),"",(VLOOKUP(EYear72,$A$8:X$52,COLUMN(),FALSE)))</f>
        <v>0.06</v>
      </c>
      <c r="Y114" s="143">
        <f>IF(ISERROR(VLOOKUP(EYear72,$A$8:Y$52,COLUMN(),FALSE)),"",(VLOOKUP(EYear72,$A$8:Y$52,COLUMN(),FALSE)))</f>
        <v>1.28</v>
      </c>
      <c r="Z114" s="143">
        <f>IF(ISERROR(VLOOKUP(EYear72,$A$8:Z$52,COLUMN(),FALSE)),"",(VLOOKUP(EYear72,$A$8:Z$52,COLUMN(),FALSE)))</f>
        <v>-3.32</v>
      </c>
      <c r="AA114" s="143">
        <f>IF(ISERROR(VLOOKUP(EYear72,$A$8:AA$52,COLUMN(),FALSE)),"",(VLOOKUP(EYear72,$A$8:AA$52,COLUMN(),FALSE)))</f>
        <v>0.45</v>
      </c>
      <c r="AB114" s="143">
        <f>IF(ISERROR(VLOOKUP(EYear72,$A$8:AB$52,COLUMN(),FALSE)),"",(VLOOKUP(EYear72,$A$8:AB$52,COLUMN(),FALSE)))</f>
        <v>-10.67</v>
      </c>
      <c r="AC114" s="143">
        <f>IF(ISERROR(VLOOKUP(EYear72,$A$8:AC$52,COLUMN(),FALSE)),"",(VLOOKUP(EYear72,$A$8:AC$52,COLUMN(),FALSE)))</f>
        <v>-0.32</v>
      </c>
      <c r="AD114" s="143" t="str">
        <f>IF(ISERROR(VLOOKUP(EYear72,$A$8:AD$52,COLUMN(),FALSE)),"",(VLOOKUP(EYear72,$A$8:AD$52,COLUMN(),FALSE)))</f>
        <v/>
      </c>
      <c r="AE114" s="143" t="str">
        <f>IF(ISERROR(VLOOKUP(EYear72,$A$8:AE$52,COLUMN(),FALSE)),"",(VLOOKUP(EYear72,$A$8:AE$52,COLUMN(),FALSE)))</f>
        <v/>
      </c>
      <c r="AF114" s="143" t="str">
        <f>IF(ISERROR(VLOOKUP(EYear72,$A$8:AF$52,COLUMN(),FALSE)),"",(VLOOKUP(EYear72,$A$8:AF$52,COLUMN(),FALSE)))</f>
        <v/>
      </c>
      <c r="AG114" s="143" t="str">
        <f>IF(ISERROR(VLOOKUP(EYear72,$A$8:AG$52,COLUMN(),FALSE)),"",(VLOOKUP(EYear72,$A$8:AG$52,COLUMN(),FALSE)))</f>
        <v/>
      </c>
      <c r="AH114" s="143" t="str">
        <f>IF(ISERROR(VLOOKUP(EYear72,$A$8:AH$52,COLUMN(),FALSE)),"",(VLOOKUP(EYear72,$A$8:AH$52,COLUMN(),FALSE)))</f>
        <v/>
      </c>
      <c r="AI114" s="143" t="str">
        <f>IF(ISERROR(VLOOKUP(EYear72,$A$8:AI$52,COLUMN(),FALSE)),"",(VLOOKUP(EYear72,$A$8:AI$52,COLUMN(),FALSE)))</f>
        <v/>
      </c>
      <c r="AJ114" s="143" t="str">
        <f>IF(ISERROR(VLOOKUP(EYear72,$A$8:AJ$52,COLUMN(),FALSE)),"",(VLOOKUP(EYear72,$A$8:AJ$52,COLUMN(),FALSE)))</f>
        <v/>
      </c>
      <c r="AK114" s="143" t="str">
        <f>IF(ISERROR(VLOOKUP(EYear72,$A$8:AK$52,COLUMN(),FALSE)),"",(VLOOKUP(EYear72,$A$8:AK$52,COLUMN(),FALSE)))</f>
        <v/>
      </c>
      <c r="AL114" s="143" t="str">
        <f>IF(ISERROR(VLOOKUP(EYear72,$A$8:AL$52,COLUMN(),FALSE)),"",(VLOOKUP(EYear72,$A$8:AL$52,COLUMN(),FALSE)))</f>
        <v/>
      </c>
    </row>
    <row r="116" spans="1:38">
      <c r="E116" s="57"/>
      <c r="K116" s="153"/>
    </row>
    <row r="117" spans="1:38">
      <c r="A117" s="634" t="s">
        <v>466</v>
      </c>
      <c r="B117" s="634"/>
      <c r="C117" s="634"/>
      <c r="D117" s="634"/>
      <c r="E117" s="634"/>
    </row>
    <row r="118" spans="1:38" ht="24">
      <c r="A118" s="27"/>
      <c r="B118" s="323" t="str">
        <f>IF(Data_72_15!B$2="???","",Data_72_15!B$2)</f>
        <v>VTSMX</v>
      </c>
      <c r="C118" s="323" t="str">
        <f>IF(Data_72_15!C$2="???","",Data_72_15!C$2)</f>
        <v>VIVAX</v>
      </c>
      <c r="D118" s="323" t="str">
        <f>IF(Data_72_15!D$2="???","",Data_72_15!D$2)</f>
        <v>VFINX</v>
      </c>
      <c r="E118" s="323" t="str">
        <f>IF(Data_72_15!E$2="???","",Data_72_15!E$2)</f>
        <v>VIGRX</v>
      </c>
      <c r="F118" s="323" t="str">
        <f>IF(Data_72_15!F$2="???","",Data_72_15!F$2)</f>
        <v>VIMSX</v>
      </c>
      <c r="G118" s="323" t="str">
        <f>IF(Data_72_15!G$2="???","",Data_72_15!G$2)</f>
        <v>VISVX</v>
      </c>
      <c r="H118" s="323" t="str">
        <f>IF(Data_72_15!H$2="???","",Data_72_15!H$2)</f>
        <v>NAESX</v>
      </c>
      <c r="I118" s="323" t="str">
        <f>IF(Data_72_15!I$2="???","",Data_72_15!I$2)</f>
        <v>VISGX</v>
      </c>
      <c r="J118" s="323" t="str">
        <f>IF(Data_72_15!J$2="???","",Data_72_15!J$2)</f>
        <v>BRSIX</v>
      </c>
      <c r="K118" s="323" t="str">
        <f>IF(Data_72_15!K$2="???","",Data_72_15!K$2)</f>
        <v>VGSIX</v>
      </c>
      <c r="L118" s="323" t="str">
        <f>IF(Data_72_15!L$2="???","",Data_72_15!L$2)</f>
        <v>VTMGX</v>
      </c>
      <c r="M118" s="323" t="str">
        <f>IF(Data_72_15!M$2="???","",Data_72_15!M$2)</f>
        <v>VEIEX</v>
      </c>
      <c r="N118" s="323" t="str">
        <f>IF(Data_72_15!N$2="???","",Data_72_15!N$2)</f>
        <v>VGTSX</v>
      </c>
      <c r="O118" s="323" t="str">
        <f>IF(Data_72_15!O$2="???","",Data_72_15!O$2)</f>
        <v>VPACX</v>
      </c>
      <c r="P118" s="323" t="str">
        <f>IF(Data_72_15!P$2="???","",Data_72_15!P$2)</f>
        <v>VEURX</v>
      </c>
      <c r="Q118" s="323" t="str">
        <f>IF(Data_72_15!Q$2="???","",Data_72_15!Q$2)</f>
        <v>VTRIX</v>
      </c>
      <c r="R118" s="323" t="str">
        <f>IF(Data_72_15!R$2="???","",Data_72_15!R$2)</f>
        <v>PCRIX</v>
      </c>
      <c r="S118" s="323" t="str">
        <f>IF(Data_72_15!S$2="???","",Data_72_15!S$2)</f>
        <v>VUSTX</v>
      </c>
      <c r="T118" s="323" t="str">
        <f>IF(Data_72_15!T$2="???","",Data_72_15!T$2)</f>
        <v>VFITX</v>
      </c>
      <c r="U118" s="323" t="str">
        <f>IF(Data_72_15!U$2="???","",Data_72_15!U$2)</f>
        <v>VBMFX</v>
      </c>
      <c r="V118" s="323" t="str">
        <f>IF(Data_72_15!V$2="???","",Data_72_15!V$2)</f>
        <v>VUSXX</v>
      </c>
      <c r="W118" s="323" t="str">
        <f>IF(Data_72_15!W$2="???","",Data_72_15!W$2)</f>
        <v>VIPSX</v>
      </c>
      <c r="X118" s="323" t="str">
        <f>IF(Data_72_15!X$2="???","",Data_72_15!X$2)</f>
        <v>VWELX</v>
      </c>
      <c r="Y118" s="323" t="str">
        <f>IF(Data_72_15!Y$2="???","",Data_72_15!Y$2)</f>
        <v>VWINX</v>
      </c>
      <c r="Z118" s="323" t="str">
        <f>IF(Data_72_15!Z$2="???","",Data_72_15!Z$2)</f>
        <v>VWNDX</v>
      </c>
      <c r="AA118" s="323" t="str">
        <f>IF(Data_72_15!AA$2="???","",Data_72_15!AA$2)</f>
        <v>VFISX</v>
      </c>
      <c r="AB118" s="323" t="str">
        <f>IF(Data_72_15!AB$2="???","",Data_72_15!AB$2)</f>
        <v>GLD</v>
      </c>
      <c r="AC118" s="323" t="str">
        <f>IF(Data_72_15!AC$2="???","",Data_72_15!AC$2)</f>
        <v>VFSVX</v>
      </c>
      <c r="AD118" s="323" t="str">
        <f>IF(Data_72_15!AD$2="","",Data_72_15!AD$2)</f>
        <v/>
      </c>
      <c r="AE118" s="323" t="str">
        <f>IF(Data_72_15!AE$2="","",Data_72_15!AE$2)</f>
        <v/>
      </c>
      <c r="AF118" s="323" t="str">
        <f>IF(Data_72_15!AF$2="","",Data_72_15!AF$2)</f>
        <v/>
      </c>
      <c r="AG118" s="323" t="str">
        <f>IF(Data_72_15!AG$2="","",Data_72_15!AG$2)</f>
        <v/>
      </c>
      <c r="AH118" s="323" t="str">
        <f>IF(Data_72_15!AH$2="","",Data_72_15!AH$2)</f>
        <v/>
      </c>
      <c r="AI118" s="323" t="str">
        <f>IF(Data_72_15!AI$2="","",Data_72_15!AI$2)</f>
        <v/>
      </c>
      <c r="AJ118" s="323" t="str">
        <f>IF(Data_72_15!AJ$2="","",Data_72_15!AJ$2)</f>
        <v/>
      </c>
      <c r="AK118" s="323" t="str">
        <f>IF(Data_72_15!AK$2="","",Data_72_15!AK$2)</f>
        <v/>
      </c>
      <c r="AL118" s="479" t="str">
        <f>IF(Data_72_15!AL$2="","",Data_72_15!AL$2)</f>
        <v/>
      </c>
    </row>
    <row r="119" spans="1:38">
      <c r="A119" s="50" t="s">
        <v>97</v>
      </c>
      <c r="B119" s="222">
        <f>PEARSON($B$8:$B$52,B$8:B$52)</f>
        <v>1</v>
      </c>
      <c r="C119" s="222"/>
      <c r="D119" s="222"/>
      <c r="E119" s="222"/>
      <c r="F119" s="222"/>
      <c r="G119" s="222"/>
      <c r="H119" s="222"/>
      <c r="I119" s="222"/>
      <c r="J119" s="222"/>
      <c r="K119" s="222"/>
      <c r="L119" s="222"/>
      <c r="M119" s="222"/>
      <c r="N119" s="222"/>
      <c r="O119" s="222"/>
      <c r="P119" s="222"/>
      <c r="Q119" s="222"/>
      <c r="R119" s="222"/>
      <c r="S119" s="222"/>
      <c r="T119" s="222"/>
      <c r="U119" s="222"/>
      <c r="V119" s="222"/>
      <c r="W119" s="222"/>
      <c r="X119" s="222"/>
      <c r="Y119" s="222"/>
      <c r="Z119" s="32"/>
      <c r="AA119" s="32"/>
      <c r="AB119" s="32"/>
      <c r="AC119" s="32"/>
      <c r="AD119" s="32"/>
      <c r="AE119" s="32"/>
      <c r="AF119" s="32"/>
      <c r="AG119" s="32"/>
      <c r="AH119" s="32"/>
      <c r="AI119" s="32"/>
      <c r="AJ119" s="32"/>
      <c r="AK119" s="32"/>
      <c r="AL119" s="261"/>
    </row>
    <row r="120" spans="1:38">
      <c r="A120" s="50" t="s">
        <v>99</v>
      </c>
      <c r="B120" s="222">
        <f>PEARSON($C$8:$C$52,B$8:B$52)</f>
        <v>0.93182560747978016</v>
      </c>
      <c r="C120" s="222">
        <f>PEARSON($C$8:$C$52,C$8:C$52)</f>
        <v>1</v>
      </c>
      <c r="D120" s="222"/>
      <c r="E120" s="222"/>
      <c r="F120" s="222"/>
      <c r="G120" s="222"/>
      <c r="H120" s="222"/>
      <c r="I120" s="222"/>
      <c r="J120" s="222"/>
      <c r="K120" s="222"/>
      <c r="L120" s="222"/>
      <c r="M120" s="222"/>
      <c r="N120" s="222"/>
      <c r="O120" s="222"/>
      <c r="P120" s="222"/>
      <c r="Q120" s="222"/>
      <c r="R120" s="222"/>
      <c r="S120" s="222"/>
      <c r="T120" s="222"/>
      <c r="U120" s="222"/>
      <c r="V120" s="222"/>
      <c r="W120" s="222"/>
      <c r="X120" s="222"/>
      <c r="Y120" s="222"/>
      <c r="Z120" s="32"/>
      <c r="AA120" s="32"/>
      <c r="AB120" s="32"/>
      <c r="AC120" s="32"/>
      <c r="AD120" s="32"/>
      <c r="AE120" s="32"/>
      <c r="AF120" s="32"/>
      <c r="AG120" s="32"/>
      <c r="AH120" s="32"/>
      <c r="AI120" s="32"/>
      <c r="AJ120" s="32"/>
      <c r="AK120" s="32"/>
      <c r="AL120" s="261"/>
    </row>
    <row r="121" spans="1:38">
      <c r="A121" s="50" t="s">
        <v>101</v>
      </c>
      <c r="B121" s="222">
        <f>PEARSON($D$8:$D$52,B$8:B$52)</f>
        <v>0.99254265006820463</v>
      </c>
      <c r="C121" s="222">
        <f>PEARSON($D$8:$D$52,C$8:C$52)</f>
        <v>0.92499137109390572</v>
      </c>
      <c r="D121" s="222">
        <f>PEARSON($D$8:$D$52,D$8:D$52)</f>
        <v>0.99999999999999978</v>
      </c>
      <c r="E121" s="222"/>
      <c r="F121" s="222"/>
      <c r="G121" s="222"/>
      <c r="H121" s="222"/>
      <c r="I121" s="222"/>
      <c r="J121" s="222"/>
      <c r="K121" s="222"/>
      <c r="L121" s="222"/>
      <c r="M121" s="222"/>
      <c r="N121" s="222"/>
      <c r="O121" s="222"/>
      <c r="P121" s="222"/>
      <c r="Q121" s="222"/>
      <c r="R121" s="222"/>
      <c r="S121" s="222"/>
      <c r="T121" s="222"/>
      <c r="U121" s="222"/>
      <c r="V121" s="222"/>
      <c r="W121" s="222"/>
      <c r="X121" s="222"/>
      <c r="Y121" s="222"/>
      <c r="Z121" s="32"/>
      <c r="AA121" s="32"/>
      <c r="AB121" s="32"/>
      <c r="AC121" s="32"/>
      <c r="AD121" s="32"/>
      <c r="AE121" s="32"/>
      <c r="AF121" s="32"/>
      <c r="AG121" s="32"/>
      <c r="AH121" s="32"/>
      <c r="AI121" s="32"/>
      <c r="AJ121" s="32"/>
      <c r="AK121" s="32"/>
      <c r="AL121" s="261"/>
    </row>
    <row r="122" spans="1:38">
      <c r="A122" s="50" t="s">
        <v>103</v>
      </c>
      <c r="B122" s="222">
        <f>PEARSON($E$8:$E$52,B$8:B$52)</f>
        <v>0.96150059807657651</v>
      </c>
      <c r="C122" s="222">
        <f>PEARSON($E$8:$E$52,C$8:C$52)</f>
        <v>0.81743246741540698</v>
      </c>
      <c r="D122" s="222">
        <f>PEARSON($E$8:$E$52,D$8:D$52)</f>
        <v>0.96901269577814164</v>
      </c>
      <c r="E122" s="222">
        <f>PEARSON($E$8:$E$52,E$8:E$52)</f>
        <v>1</v>
      </c>
      <c r="F122" s="222"/>
      <c r="G122" s="222"/>
      <c r="H122" s="222"/>
      <c r="I122" s="222"/>
      <c r="J122" s="222"/>
      <c r="K122" s="222"/>
      <c r="L122" s="222"/>
      <c r="M122" s="222"/>
      <c r="N122" s="222"/>
      <c r="O122" s="222"/>
      <c r="P122" s="222"/>
      <c r="Q122" s="222"/>
      <c r="R122" s="222"/>
      <c r="S122" s="222"/>
      <c r="T122" s="222"/>
      <c r="U122" s="222"/>
      <c r="V122" s="222"/>
      <c r="W122" s="222"/>
      <c r="X122" s="222"/>
      <c r="Y122" s="222"/>
      <c r="Z122" s="32"/>
      <c r="AA122" s="32"/>
      <c r="AB122" s="32"/>
      <c r="AC122" s="32"/>
      <c r="AD122" s="32"/>
      <c r="AE122" s="32"/>
      <c r="AF122" s="32"/>
      <c r="AG122" s="32"/>
      <c r="AH122" s="32"/>
      <c r="AI122" s="32"/>
      <c r="AJ122" s="32"/>
      <c r="AK122" s="32"/>
      <c r="AL122" s="261"/>
    </row>
    <row r="123" spans="1:38">
      <c r="A123" s="50" t="s">
        <v>105</v>
      </c>
      <c r="B123" s="222">
        <f>PEARSON($F$8:$F$52,B$8:B$52)</f>
        <v>0.92340834742236977</v>
      </c>
      <c r="C123" s="222">
        <f>PEARSON($F$8:$F$52,C$8:C$52)</f>
        <v>0.9242018622122713</v>
      </c>
      <c r="D123" s="222">
        <f>PEARSON($F$8:$F$52,D$8:D$52)</f>
        <v>0.8912277622361181</v>
      </c>
      <c r="E123" s="222">
        <f>PEARSON($F$8:$F$52,E$8:E$52)</f>
        <v>0.82760166160158455</v>
      </c>
      <c r="F123" s="222">
        <f>PEARSON($F$8:$F$52,F$8:F$52)</f>
        <v>1</v>
      </c>
      <c r="G123" s="222"/>
      <c r="H123" s="222"/>
      <c r="I123" s="222"/>
      <c r="J123" s="222"/>
      <c r="K123" s="222"/>
      <c r="L123" s="222"/>
      <c r="M123" s="222"/>
      <c r="N123" s="222"/>
      <c r="O123" s="222"/>
      <c r="P123" s="222"/>
      <c r="Q123" s="222"/>
      <c r="R123" s="222"/>
      <c r="S123" s="222"/>
      <c r="T123" s="222"/>
      <c r="U123" s="222"/>
      <c r="V123" s="222"/>
      <c r="W123" s="222"/>
      <c r="X123" s="222"/>
      <c r="Y123" s="222"/>
      <c r="Z123" s="32"/>
      <c r="AA123" s="32"/>
      <c r="AB123" s="32"/>
      <c r="AC123" s="32"/>
      <c r="AD123" s="32"/>
      <c r="AE123" s="32"/>
      <c r="AF123" s="32"/>
      <c r="AG123" s="32"/>
      <c r="AH123" s="32"/>
      <c r="AI123" s="32"/>
      <c r="AJ123" s="32"/>
      <c r="AK123" s="32"/>
      <c r="AL123" s="261"/>
    </row>
    <row r="124" spans="1:38">
      <c r="A124" s="50" t="s">
        <v>107</v>
      </c>
      <c r="B124" s="222">
        <f t="shared" ref="B124:G124" si="103">PEARSON($G$8:$G$52,B$8:B$52)</f>
        <v>0.76031133108255133</v>
      </c>
      <c r="C124" s="222">
        <f t="shared" si="103"/>
        <v>0.84342790103016407</v>
      </c>
      <c r="D124" s="222">
        <f t="shared" si="103"/>
        <v>0.70391909927289875</v>
      </c>
      <c r="E124" s="222">
        <f t="shared" si="103"/>
        <v>0.59369783634265416</v>
      </c>
      <c r="F124" s="222">
        <f t="shared" si="103"/>
        <v>0.90590069950672736</v>
      </c>
      <c r="G124" s="222">
        <f t="shared" si="103"/>
        <v>0.99999999999999989</v>
      </c>
      <c r="H124" s="222"/>
      <c r="I124" s="222"/>
      <c r="J124" s="222"/>
      <c r="K124" s="222"/>
      <c r="L124" s="222"/>
      <c r="M124" s="222"/>
      <c r="N124" s="222"/>
      <c r="O124" s="222"/>
      <c r="P124" s="222"/>
      <c r="Q124" s="222"/>
      <c r="R124" s="222"/>
      <c r="S124" s="222"/>
      <c r="T124" s="222"/>
      <c r="U124" s="222"/>
      <c r="V124" s="222"/>
      <c r="W124" s="222"/>
      <c r="X124" s="222"/>
      <c r="Y124" s="222"/>
      <c r="Z124" s="32"/>
      <c r="AA124" s="32"/>
      <c r="AB124" s="32"/>
      <c r="AC124" s="32"/>
      <c r="AD124" s="32"/>
      <c r="AE124" s="32"/>
      <c r="AF124" s="32"/>
      <c r="AG124" s="32"/>
      <c r="AH124" s="32"/>
      <c r="AI124" s="32"/>
      <c r="AJ124" s="32"/>
      <c r="AK124" s="32"/>
      <c r="AL124" s="261"/>
    </row>
    <row r="125" spans="1:38">
      <c r="A125" s="50" t="s">
        <v>109</v>
      </c>
      <c r="B125" s="222">
        <f>PEARSON($H$8:$H$52,B$8:B$52)</f>
        <v>0.87949487658687309</v>
      </c>
      <c r="C125" s="222">
        <f t="shared" ref="C125:H125" si="104">PEARSON($H$8:$H$52,C$8:C$52)</f>
        <v>0.86806207095879362</v>
      </c>
      <c r="D125" s="222">
        <f t="shared" si="104"/>
        <v>0.8219768930234187</v>
      </c>
      <c r="E125" s="222">
        <f t="shared" si="104"/>
        <v>0.76749832983943189</v>
      </c>
      <c r="F125" s="222">
        <f t="shared" si="104"/>
        <v>0.9472432456974248</v>
      </c>
      <c r="G125" s="222">
        <f t="shared" si="104"/>
        <v>0.93856060502721461</v>
      </c>
      <c r="H125" s="222">
        <f t="shared" si="104"/>
        <v>1</v>
      </c>
      <c r="I125" s="222"/>
      <c r="J125" s="222"/>
      <c r="K125" s="222"/>
      <c r="L125" s="222"/>
      <c r="M125" s="222"/>
      <c r="N125" s="222"/>
      <c r="O125" s="222"/>
      <c r="P125" s="222"/>
      <c r="Q125" s="222"/>
      <c r="R125" s="222"/>
      <c r="S125" s="222"/>
      <c r="T125" s="222"/>
      <c r="U125" s="222"/>
      <c r="V125" s="222"/>
      <c r="W125" s="222"/>
      <c r="X125" s="222"/>
      <c r="Y125" s="222"/>
      <c r="Z125" s="32"/>
      <c r="AA125" s="32"/>
      <c r="AB125" s="32"/>
      <c r="AC125" s="32"/>
      <c r="AD125" s="32"/>
      <c r="AE125" s="32"/>
      <c r="AF125" s="32"/>
      <c r="AG125" s="32"/>
      <c r="AH125" s="32"/>
      <c r="AI125" s="32"/>
      <c r="AJ125" s="32"/>
      <c r="AK125" s="32"/>
      <c r="AL125" s="261"/>
    </row>
    <row r="126" spans="1:38">
      <c r="A126" s="50" t="s">
        <v>111</v>
      </c>
      <c r="B126" s="222">
        <f>PEARSON($I$8:$I$52,B$8:B$52)</f>
        <v>0.85996313567933591</v>
      </c>
      <c r="C126" s="222">
        <f t="shared" ref="C126:I126" si="105">PEARSON($I$8:$I$52,C$8:C$52)</f>
        <v>0.80976042492895151</v>
      </c>
      <c r="D126" s="222">
        <f t="shared" si="105"/>
        <v>0.80324169478902674</v>
      </c>
      <c r="E126" s="222">
        <f t="shared" si="105"/>
        <v>0.7822452705206927</v>
      </c>
      <c r="F126" s="222">
        <f t="shared" si="105"/>
        <v>0.93710092782545629</v>
      </c>
      <c r="G126" s="222">
        <f t="shared" si="105"/>
        <v>0.87025784856142263</v>
      </c>
      <c r="H126" s="222">
        <f t="shared" si="105"/>
        <v>0.97119968026825654</v>
      </c>
      <c r="I126" s="222">
        <f t="shared" si="105"/>
        <v>1</v>
      </c>
      <c r="J126" s="222"/>
      <c r="K126" s="222"/>
      <c r="L126" s="222"/>
      <c r="M126" s="222"/>
      <c r="N126" s="222"/>
      <c r="O126" s="222"/>
      <c r="P126" s="222"/>
      <c r="Q126" s="222"/>
      <c r="R126" s="222"/>
      <c r="S126" s="222"/>
      <c r="T126" s="222"/>
      <c r="U126" s="222"/>
      <c r="V126" s="222"/>
      <c r="W126" s="222"/>
      <c r="X126" s="222"/>
      <c r="Y126" s="222"/>
      <c r="Z126" s="32"/>
      <c r="AA126" s="32"/>
      <c r="AB126" s="32"/>
      <c r="AC126" s="32"/>
      <c r="AD126" s="32"/>
      <c r="AE126" s="32"/>
      <c r="AF126" s="32"/>
      <c r="AG126" s="32"/>
      <c r="AH126" s="32"/>
      <c r="AI126" s="32"/>
      <c r="AJ126" s="32"/>
      <c r="AK126" s="32"/>
      <c r="AL126" s="261"/>
    </row>
    <row r="127" spans="1:38">
      <c r="A127" s="50" t="s">
        <v>113</v>
      </c>
      <c r="B127" s="222">
        <f>PEARSON($J$8:$J$52,B$8:B$52)</f>
        <v>0.74223093257263573</v>
      </c>
      <c r="C127" s="222">
        <f t="shared" ref="C127:J127" si="106">PEARSON($J$8:$J$52,C$8:C$52)</f>
        <v>0.75451150389241461</v>
      </c>
      <c r="D127" s="222">
        <f t="shared" si="106"/>
        <v>0.67311853791876497</v>
      </c>
      <c r="E127" s="222">
        <f t="shared" si="106"/>
        <v>0.60863304623153769</v>
      </c>
      <c r="F127" s="222">
        <f t="shared" si="106"/>
        <v>0.84903138101055298</v>
      </c>
      <c r="G127" s="222">
        <f t="shared" si="106"/>
        <v>0.90529561159868766</v>
      </c>
      <c r="H127" s="222">
        <f t="shared" si="106"/>
        <v>0.93441484040393963</v>
      </c>
      <c r="I127" s="222">
        <f t="shared" si="106"/>
        <v>0.89293944018720339</v>
      </c>
      <c r="J127" s="222">
        <f t="shared" si="106"/>
        <v>1</v>
      </c>
      <c r="K127" s="222"/>
      <c r="L127" s="222"/>
      <c r="M127" s="222"/>
      <c r="N127" s="222"/>
      <c r="O127" s="222"/>
      <c r="P127" s="222"/>
      <c r="Q127" s="222"/>
      <c r="R127" s="222"/>
      <c r="S127" s="222"/>
      <c r="T127" s="222"/>
      <c r="U127" s="222"/>
      <c r="V127" s="222"/>
      <c r="W127" s="222"/>
      <c r="X127" s="222"/>
      <c r="Y127" s="222"/>
      <c r="Z127" s="32"/>
      <c r="AA127" s="32"/>
      <c r="AB127" s="32"/>
      <c r="AC127" s="32"/>
      <c r="AD127" s="32"/>
      <c r="AE127" s="32"/>
      <c r="AF127" s="32"/>
      <c r="AG127" s="32"/>
      <c r="AH127" s="32"/>
      <c r="AI127" s="32"/>
      <c r="AJ127" s="32"/>
      <c r="AK127" s="32"/>
      <c r="AL127" s="261"/>
    </row>
    <row r="128" spans="1:38">
      <c r="A128" s="50" t="s">
        <v>115</v>
      </c>
      <c r="B128" s="222">
        <f>PEARSON($K$8:$K$52,B$8:B$52)</f>
        <v>0.59055723408983785</v>
      </c>
      <c r="C128" s="222">
        <f t="shared" ref="C128:K128" si="107">PEARSON($K$8:$K$52,C$8:C$52)</f>
        <v>0.66899299341795448</v>
      </c>
      <c r="D128" s="222">
        <f t="shared" si="107"/>
        <v>0.544069921332475</v>
      </c>
      <c r="E128" s="222">
        <f t="shared" si="107"/>
        <v>0.42863444782686594</v>
      </c>
      <c r="F128" s="222">
        <f t="shared" si="107"/>
        <v>0.73495264522461068</v>
      </c>
      <c r="G128" s="222">
        <f t="shared" si="107"/>
        <v>0.81301522638386325</v>
      </c>
      <c r="H128" s="222">
        <f t="shared" si="107"/>
        <v>0.73784902296627142</v>
      </c>
      <c r="I128" s="222">
        <f t="shared" si="107"/>
        <v>0.68251458496570938</v>
      </c>
      <c r="J128" s="222">
        <f t="shared" si="107"/>
        <v>0.68286506637824207</v>
      </c>
      <c r="K128" s="222">
        <f t="shared" si="107"/>
        <v>1</v>
      </c>
      <c r="L128" s="222"/>
      <c r="M128" s="222"/>
      <c r="N128" s="222"/>
      <c r="O128" s="222"/>
      <c r="P128" s="222"/>
      <c r="Q128" s="222"/>
      <c r="R128" s="222"/>
      <c r="S128" s="222"/>
      <c r="T128" s="222"/>
      <c r="U128" s="222"/>
      <c r="V128" s="222"/>
      <c r="W128" s="222"/>
      <c r="X128" s="222"/>
      <c r="Y128" s="222"/>
      <c r="Z128" s="32"/>
      <c r="AA128" s="32"/>
      <c r="AB128" s="32"/>
      <c r="AC128" s="32"/>
      <c r="AD128" s="32"/>
      <c r="AE128" s="32"/>
      <c r="AF128" s="32"/>
      <c r="AG128" s="32"/>
      <c r="AH128" s="32"/>
      <c r="AI128" s="32"/>
      <c r="AJ128" s="32"/>
      <c r="AK128" s="32"/>
      <c r="AL128" s="261"/>
    </row>
    <row r="129" spans="1:38">
      <c r="A129" s="50" t="s">
        <v>624</v>
      </c>
      <c r="B129" s="222">
        <f>PEARSON($L$8:$L$52,B$8:B$52)</f>
        <v>0.65901920345766574</v>
      </c>
      <c r="C129" s="222">
        <f t="shared" ref="C129:L129" si="108">PEARSON($L$8:$L$52,C$8:C$52)</f>
        <v>0.63094751953243244</v>
      </c>
      <c r="D129" s="222">
        <f t="shared" si="108"/>
        <v>0.6554789329617724</v>
      </c>
      <c r="E129" s="222">
        <f t="shared" si="108"/>
        <v>0.60513783655392517</v>
      </c>
      <c r="F129" s="222">
        <f t="shared" si="108"/>
        <v>0.58687813768232366</v>
      </c>
      <c r="G129" s="222">
        <f t="shared" si="108"/>
        <v>0.45768107193780361</v>
      </c>
      <c r="H129" s="222">
        <f t="shared" si="108"/>
        <v>0.56342906303133256</v>
      </c>
      <c r="I129" s="222">
        <f t="shared" si="108"/>
        <v>0.54742353099193775</v>
      </c>
      <c r="J129" s="222">
        <f t="shared" si="108"/>
        <v>0.46301309012833208</v>
      </c>
      <c r="K129" s="222">
        <f t="shared" si="108"/>
        <v>0.37861849739707576</v>
      </c>
      <c r="L129" s="222">
        <f t="shared" si="108"/>
        <v>1</v>
      </c>
      <c r="M129" s="222"/>
      <c r="N129" s="222"/>
      <c r="O129" s="222"/>
      <c r="P129" s="222"/>
      <c r="Q129" s="222"/>
      <c r="R129" s="222"/>
      <c r="S129" s="222"/>
      <c r="T129" s="222"/>
      <c r="U129" s="222"/>
      <c r="V129" s="222"/>
      <c r="W129" s="222"/>
      <c r="X129" s="222"/>
      <c r="Y129" s="222"/>
      <c r="Z129" s="32"/>
      <c r="AA129" s="32"/>
      <c r="AB129" s="32"/>
      <c r="AC129" s="32"/>
      <c r="AD129" s="32"/>
      <c r="AE129" s="32"/>
      <c r="AF129" s="32"/>
      <c r="AG129" s="32"/>
      <c r="AH129" s="32"/>
      <c r="AI129" s="32"/>
      <c r="AJ129" s="32"/>
      <c r="AK129" s="32"/>
      <c r="AL129" s="261"/>
    </row>
    <row r="130" spans="1:38">
      <c r="A130" s="50" t="s">
        <v>118</v>
      </c>
      <c r="B130" s="222">
        <f>PEARSON($M$8:$M$52,B$8:B$52)</f>
        <v>0.53274672538960788</v>
      </c>
      <c r="C130" s="222">
        <f t="shared" ref="C130:M130" si="109">PEARSON($M$8:$M$52,C$8:C$52)</f>
        <v>0.47008600213324087</v>
      </c>
      <c r="D130" s="222">
        <f t="shared" si="109"/>
        <v>0.49870520467872742</v>
      </c>
      <c r="E130" s="222">
        <f t="shared" si="109"/>
        <v>0.48085157742655832</v>
      </c>
      <c r="F130" s="222">
        <f t="shared" si="109"/>
        <v>0.51984294345907434</v>
      </c>
      <c r="G130" s="222">
        <f t="shared" si="109"/>
        <v>0.42698193484668079</v>
      </c>
      <c r="H130" s="222">
        <f t="shared" si="109"/>
        <v>0.54238419166215202</v>
      </c>
      <c r="I130" s="222">
        <f t="shared" si="109"/>
        <v>0.53468421074501227</v>
      </c>
      <c r="J130" s="222">
        <f t="shared" si="109"/>
        <v>0.4559790963022281</v>
      </c>
      <c r="K130" s="222">
        <f t="shared" si="109"/>
        <v>0.39639225758864061</v>
      </c>
      <c r="L130" s="222">
        <f t="shared" si="109"/>
        <v>0.79838517447684754</v>
      </c>
      <c r="M130" s="222">
        <f t="shared" si="109"/>
        <v>1</v>
      </c>
      <c r="N130" s="222"/>
      <c r="O130" s="222"/>
      <c r="P130" s="222"/>
      <c r="Q130" s="222"/>
      <c r="R130" s="222"/>
      <c r="S130" s="222"/>
      <c r="T130" s="222"/>
      <c r="U130" s="222"/>
      <c r="V130" s="222"/>
      <c r="W130" s="222"/>
      <c r="X130" s="222"/>
      <c r="Y130" s="222"/>
      <c r="Z130" s="32"/>
      <c r="AA130" s="32"/>
      <c r="AB130" s="32"/>
      <c r="AC130" s="32"/>
      <c r="AD130" s="32"/>
      <c r="AE130" s="32"/>
      <c r="AF130" s="32"/>
      <c r="AG130" s="32"/>
      <c r="AH130" s="32"/>
      <c r="AI130" s="32"/>
      <c r="AJ130" s="32"/>
      <c r="AK130" s="32"/>
      <c r="AL130" s="261"/>
    </row>
    <row r="131" spans="1:38">
      <c r="A131" s="50" t="s">
        <v>120</v>
      </c>
      <c r="B131" s="222">
        <f>PEARSON($N$8:$N$52,B$8:B$52)</f>
        <v>0.6552685428446493</v>
      </c>
      <c r="C131" s="222">
        <f t="shared" ref="C131:N131" si="110">PEARSON($N$8:$N$52,C$8:C$52)</f>
        <v>0.62030991329041629</v>
      </c>
      <c r="D131" s="222">
        <f t="shared" si="110"/>
        <v>0.6460870592404635</v>
      </c>
      <c r="E131" s="222">
        <f t="shared" si="110"/>
        <v>0.60105268898874264</v>
      </c>
      <c r="F131" s="222">
        <f t="shared" si="110"/>
        <v>0.59597653035216025</v>
      </c>
      <c r="G131" s="222">
        <f t="shared" si="110"/>
        <v>0.46894903901816581</v>
      </c>
      <c r="H131" s="222">
        <f t="shared" si="110"/>
        <v>0.57721873018876291</v>
      </c>
      <c r="I131" s="222">
        <f t="shared" si="110"/>
        <v>0.56336300074431822</v>
      </c>
      <c r="J131" s="222">
        <f t="shared" si="110"/>
        <v>0.47148823590435107</v>
      </c>
      <c r="K131" s="222">
        <f t="shared" si="110"/>
        <v>0.40225867716116359</v>
      </c>
      <c r="L131" s="222">
        <f t="shared" si="110"/>
        <v>0.99087979757149414</v>
      </c>
      <c r="M131" s="222">
        <f t="shared" si="110"/>
        <v>0.86953780475778852</v>
      </c>
      <c r="N131" s="222">
        <f t="shared" si="110"/>
        <v>1.0000000000000002</v>
      </c>
      <c r="O131" s="222"/>
      <c r="P131" s="222"/>
      <c r="Q131" s="222"/>
      <c r="R131" s="222"/>
      <c r="S131" s="222"/>
      <c r="T131" s="222"/>
      <c r="U131" s="222"/>
      <c r="V131" s="222"/>
      <c r="W131" s="222"/>
      <c r="X131" s="222"/>
      <c r="Y131" s="222"/>
      <c r="Z131" s="32"/>
      <c r="AA131" s="32"/>
      <c r="AB131" s="32"/>
      <c r="AC131" s="32"/>
      <c r="AD131" s="32"/>
      <c r="AE131" s="32"/>
      <c r="AF131" s="32"/>
      <c r="AG131" s="32"/>
      <c r="AH131" s="32"/>
      <c r="AI131" s="32"/>
      <c r="AJ131" s="32"/>
      <c r="AK131" s="32"/>
      <c r="AL131" s="261"/>
    </row>
    <row r="132" spans="1:38">
      <c r="A132" s="50" t="s">
        <v>122</v>
      </c>
      <c r="B132" s="222">
        <f>PEARSON($O$8:$O$52,B$8:B$52)</f>
        <v>0.43614675019895038</v>
      </c>
      <c r="C132" s="222">
        <f t="shared" ref="C132:O132" si="111">PEARSON($O$8:$O$52,C$8:C$52)</f>
        <v>0.40924301504617111</v>
      </c>
      <c r="D132" s="222">
        <f t="shared" si="111"/>
        <v>0.42791825654302346</v>
      </c>
      <c r="E132" s="222">
        <f t="shared" si="111"/>
        <v>0.39411576673277277</v>
      </c>
      <c r="F132" s="222">
        <f t="shared" si="111"/>
        <v>0.35867758284405121</v>
      </c>
      <c r="G132" s="222">
        <f t="shared" si="111"/>
        <v>0.26920888992005226</v>
      </c>
      <c r="H132" s="222">
        <f t="shared" si="111"/>
        <v>0.37452902823868955</v>
      </c>
      <c r="I132" s="222">
        <f t="shared" si="111"/>
        <v>0.34819244215042666</v>
      </c>
      <c r="J132" s="222">
        <f t="shared" si="111"/>
        <v>0.30258280147555805</v>
      </c>
      <c r="K132" s="222">
        <f t="shared" si="111"/>
        <v>0.23688594436705493</v>
      </c>
      <c r="L132" s="222">
        <f t="shared" si="111"/>
        <v>0.86121205864049433</v>
      </c>
      <c r="M132" s="222">
        <f t="shared" si="111"/>
        <v>0.72624958273171591</v>
      </c>
      <c r="N132" s="222">
        <f t="shared" si="111"/>
        <v>0.85799551678089192</v>
      </c>
      <c r="O132" s="222">
        <f t="shared" si="111"/>
        <v>0.99999999999999989</v>
      </c>
      <c r="P132" s="222"/>
      <c r="Q132" s="222"/>
      <c r="R132" s="222"/>
      <c r="S132" s="222"/>
      <c r="T132" s="222"/>
      <c r="U132" s="222"/>
      <c r="V132" s="222"/>
      <c r="W132" s="222"/>
      <c r="X132" s="222"/>
      <c r="Y132" s="222"/>
      <c r="Z132" s="32"/>
      <c r="AA132" s="32"/>
      <c r="AB132" s="32"/>
      <c r="AC132" s="32"/>
      <c r="AD132" s="32"/>
      <c r="AE132" s="32"/>
      <c r="AF132" s="32"/>
      <c r="AG132" s="32"/>
      <c r="AH132" s="32"/>
      <c r="AI132" s="32"/>
      <c r="AJ132" s="32"/>
      <c r="AK132" s="32"/>
      <c r="AL132" s="261"/>
    </row>
    <row r="133" spans="1:38">
      <c r="A133" s="50" t="s">
        <v>124</v>
      </c>
      <c r="B133" s="222">
        <f>PEARSON($P$8:$P$52,B$8:B$52)</f>
        <v>0.7521379783599027</v>
      </c>
      <c r="C133" s="222">
        <f t="shared" ref="C133:P133" si="112">PEARSON($P$8:$P$52,C$8:C$52)</f>
        <v>0.71978447685372504</v>
      </c>
      <c r="D133" s="222">
        <f t="shared" si="112"/>
        <v>0.75563231927046615</v>
      </c>
      <c r="E133" s="222">
        <f t="shared" si="112"/>
        <v>0.71227718094682879</v>
      </c>
      <c r="F133" s="222">
        <f t="shared" si="112"/>
        <v>0.67460247838450127</v>
      </c>
      <c r="G133" s="222">
        <f t="shared" si="112"/>
        <v>0.5245485515264926</v>
      </c>
      <c r="H133" s="222">
        <f t="shared" si="112"/>
        <v>0.62638763655585195</v>
      </c>
      <c r="I133" s="222">
        <f t="shared" si="112"/>
        <v>0.61946335050872059</v>
      </c>
      <c r="J133" s="222">
        <f t="shared" si="112"/>
        <v>0.5091014290558884</v>
      </c>
      <c r="K133" s="222">
        <f t="shared" si="112"/>
        <v>0.40473944491317143</v>
      </c>
      <c r="L133" s="222">
        <f t="shared" si="112"/>
        <v>0.88069671178901221</v>
      </c>
      <c r="M133" s="222">
        <f t="shared" si="112"/>
        <v>0.70334161725949407</v>
      </c>
      <c r="N133" s="222">
        <f t="shared" si="112"/>
        <v>0.87510132753549441</v>
      </c>
      <c r="O133" s="222">
        <f t="shared" si="112"/>
        <v>0.56169303180721541</v>
      </c>
      <c r="P133" s="222">
        <f t="shared" si="112"/>
        <v>0.99999999999999989</v>
      </c>
      <c r="Q133" s="222"/>
      <c r="R133" s="222"/>
      <c r="S133" s="222"/>
      <c r="T133" s="222"/>
      <c r="U133" s="222"/>
      <c r="V133" s="222"/>
      <c r="W133" s="222"/>
      <c r="X133" s="222"/>
      <c r="Y133" s="222"/>
      <c r="Z133" s="32"/>
      <c r="AA133" s="32"/>
      <c r="AB133" s="32"/>
      <c r="AC133" s="32"/>
      <c r="AD133" s="32"/>
      <c r="AE133" s="32"/>
      <c r="AF133" s="32"/>
      <c r="AG133" s="32"/>
      <c r="AH133" s="32"/>
      <c r="AI133" s="32"/>
      <c r="AJ133" s="32"/>
      <c r="AK133" s="32"/>
      <c r="AL133" s="261"/>
    </row>
    <row r="134" spans="1:38">
      <c r="A134" s="50" t="s">
        <v>126</v>
      </c>
      <c r="B134" s="222">
        <f>PEARSON($Q$8:$Q$52,B$8:B$52)</f>
        <v>0.59761512156244734</v>
      </c>
      <c r="C134" s="222">
        <f t="shared" ref="C134:Q134" si="113">PEARSON($Q$8:$Q$52,C$8:C$52)</f>
        <v>0.58881124211806513</v>
      </c>
      <c r="D134" s="222">
        <f t="shared" si="113"/>
        <v>0.58974419091055819</v>
      </c>
      <c r="E134" s="222">
        <f t="shared" si="113"/>
        <v>0.52969254014791423</v>
      </c>
      <c r="F134" s="222">
        <f t="shared" si="113"/>
        <v>0.55891055882197249</v>
      </c>
      <c r="G134" s="222">
        <f t="shared" si="113"/>
        <v>0.466331099431468</v>
      </c>
      <c r="H134" s="222">
        <f t="shared" si="113"/>
        <v>0.54409662566691486</v>
      </c>
      <c r="I134" s="222">
        <f t="shared" si="113"/>
        <v>0.52601972278999276</v>
      </c>
      <c r="J134" s="222">
        <f t="shared" si="113"/>
        <v>0.46081921426853889</v>
      </c>
      <c r="K134" s="222">
        <f t="shared" si="113"/>
        <v>0.37820828899676462</v>
      </c>
      <c r="L134" s="222">
        <f t="shared" si="113"/>
        <v>0.97962872761190689</v>
      </c>
      <c r="M134" s="222">
        <f t="shared" si="113"/>
        <v>0.83095305245549023</v>
      </c>
      <c r="N134" s="222">
        <f t="shared" si="113"/>
        <v>0.98251295053555521</v>
      </c>
      <c r="O134" s="222">
        <f t="shared" si="113"/>
        <v>0.84218154939193135</v>
      </c>
      <c r="P134" s="222">
        <f t="shared" si="113"/>
        <v>0.85263462531188605</v>
      </c>
      <c r="Q134" s="222">
        <f t="shared" si="113"/>
        <v>1.0000000000000002</v>
      </c>
      <c r="R134" s="222"/>
      <c r="S134" s="222"/>
      <c r="T134" s="222"/>
      <c r="U134" s="222"/>
      <c r="V134" s="222"/>
      <c r="W134" s="222"/>
      <c r="X134" s="222"/>
      <c r="Y134" s="222"/>
      <c r="Z134" s="32"/>
      <c r="AA134" s="32"/>
      <c r="AB134" s="32"/>
      <c r="AC134" s="32"/>
      <c r="AD134" s="32"/>
      <c r="AE134" s="32"/>
      <c r="AF134" s="32"/>
      <c r="AG134" s="32"/>
      <c r="AH134" s="32"/>
      <c r="AI134" s="32"/>
      <c r="AJ134" s="32"/>
      <c r="AK134" s="32"/>
      <c r="AL134" s="261"/>
    </row>
    <row r="135" spans="1:38">
      <c r="A135" s="50" t="s">
        <v>128</v>
      </c>
      <c r="B135" s="222">
        <f>PEARSON($R$8:$R$52,B$8:B$52)</f>
        <v>8.0209576850804126E-2</v>
      </c>
      <c r="C135" s="222">
        <f t="shared" ref="C135:R135" si="114">PEARSON($R$8:$R$52,C$8:C$52)</f>
        <v>9.891903533243171E-2</v>
      </c>
      <c r="D135" s="222">
        <f t="shared" si="114"/>
        <v>7.5411271686616044E-2</v>
      </c>
      <c r="E135" s="222">
        <f t="shared" si="114"/>
        <v>6.1792635609872588E-2</v>
      </c>
      <c r="F135" s="222">
        <f t="shared" si="114"/>
        <v>0.1201135586100969</v>
      </c>
      <c r="G135" s="222">
        <f t="shared" si="114"/>
        <v>1.8021730856706292E-2</v>
      </c>
      <c r="H135" s="222">
        <f t="shared" si="114"/>
        <v>7.0739178494832494E-2</v>
      </c>
      <c r="I135" s="222">
        <f t="shared" si="114"/>
        <v>9.8341949301924664E-2</v>
      </c>
      <c r="J135" s="222">
        <f t="shared" si="114"/>
        <v>3.3046317946971354E-2</v>
      </c>
      <c r="K135" s="222">
        <f t="shared" si="114"/>
        <v>0.12429127831503904</v>
      </c>
      <c r="L135" s="222">
        <f t="shared" si="114"/>
        <v>0.1466990465057556</v>
      </c>
      <c r="M135" s="222">
        <f t="shared" si="114"/>
        <v>0.3354749016563025</v>
      </c>
      <c r="N135" s="222">
        <f t="shared" si="114"/>
        <v>0.19982588615764943</v>
      </c>
      <c r="O135" s="222">
        <f t="shared" si="114"/>
        <v>0.15446196709020377</v>
      </c>
      <c r="P135" s="222">
        <f t="shared" si="114"/>
        <v>0.20037363601567673</v>
      </c>
      <c r="Q135" s="222">
        <f t="shared" si="114"/>
        <v>0.18382240219477106</v>
      </c>
      <c r="R135" s="222">
        <f t="shared" si="114"/>
        <v>1.0000000000000002</v>
      </c>
      <c r="S135" s="222"/>
      <c r="T135" s="222"/>
      <c r="U135" s="222"/>
      <c r="V135" s="222"/>
      <c r="W135" s="222"/>
      <c r="X135" s="222"/>
      <c r="Y135" s="222"/>
      <c r="Z135" s="32"/>
      <c r="AA135" s="32"/>
      <c r="AB135" s="32"/>
      <c r="AC135" s="32"/>
      <c r="AD135" s="32"/>
      <c r="AE135" s="32"/>
      <c r="AF135" s="32"/>
      <c r="AG135" s="32"/>
      <c r="AH135" s="32"/>
      <c r="AI135" s="32"/>
      <c r="AJ135" s="32"/>
      <c r="AK135" s="32"/>
      <c r="AL135" s="261"/>
    </row>
    <row r="136" spans="1:38">
      <c r="A136" s="50" t="s">
        <v>130</v>
      </c>
      <c r="B136" s="222">
        <f>PEARSON($S$8:$S$52,B$8:B$52)</f>
        <v>1.2390556044948835E-2</v>
      </c>
      <c r="C136" s="222">
        <f t="shared" ref="C136:S136" si="115">PEARSON($S$8:$S$52,C$8:C$52)</f>
        <v>5.9982669089102908E-2</v>
      </c>
      <c r="D136" s="222">
        <f t="shared" si="115"/>
        <v>4.0017123316872655E-2</v>
      </c>
      <c r="E136" s="222">
        <f t="shared" si="115"/>
        <v>-6.7901447692207953E-3</v>
      </c>
      <c r="F136" s="222">
        <f t="shared" si="115"/>
        <v>2.2759637781485573E-2</v>
      </c>
      <c r="G136" s="222">
        <f t="shared" si="115"/>
        <v>-1.8518693412076042E-3</v>
      </c>
      <c r="H136" s="222">
        <f t="shared" si="115"/>
        <v>-7.8785576860218268E-2</v>
      </c>
      <c r="I136" s="222">
        <f t="shared" si="115"/>
        <v>-6.9468410603017339E-2</v>
      </c>
      <c r="J136" s="222">
        <f t="shared" si="115"/>
        <v>-9.6261399675289211E-2</v>
      </c>
      <c r="K136" s="222">
        <f t="shared" si="115"/>
        <v>6.7142288208865045E-2</v>
      </c>
      <c r="L136" s="222">
        <f t="shared" si="115"/>
        <v>-8.6452656364053262E-2</v>
      </c>
      <c r="M136" s="222">
        <f t="shared" si="115"/>
        <v>-0.14073823085557458</v>
      </c>
      <c r="N136" s="222">
        <f t="shared" si="115"/>
        <v>-9.3557027361935011E-2</v>
      </c>
      <c r="O136" s="222">
        <f t="shared" si="115"/>
        <v>-0.16476731394179833</v>
      </c>
      <c r="P136" s="222">
        <f t="shared" si="115"/>
        <v>-2.1572319991340345E-3</v>
      </c>
      <c r="Q136" s="222">
        <f t="shared" si="115"/>
        <v>-0.13505944455695301</v>
      </c>
      <c r="R136" s="222">
        <f t="shared" si="115"/>
        <v>-0.1988788724492751</v>
      </c>
      <c r="S136" s="222">
        <f t="shared" si="115"/>
        <v>1</v>
      </c>
      <c r="T136" s="222"/>
      <c r="U136" s="222"/>
      <c r="V136" s="222"/>
      <c r="W136" s="222"/>
      <c r="X136" s="222"/>
      <c r="Y136" s="222"/>
      <c r="Z136" s="32"/>
      <c r="AA136" s="32"/>
      <c r="AB136" s="32"/>
      <c r="AC136" s="32"/>
      <c r="AD136" s="32"/>
      <c r="AE136" s="32"/>
      <c r="AF136" s="32"/>
      <c r="AG136" s="32"/>
      <c r="AH136" s="32"/>
      <c r="AI136" s="32"/>
      <c r="AJ136" s="32"/>
      <c r="AK136" s="32"/>
      <c r="AL136" s="261"/>
    </row>
    <row r="137" spans="1:38">
      <c r="A137" s="50" t="s">
        <v>132</v>
      </c>
      <c r="B137" s="222">
        <f>PEARSON($T$8:$T$52,B$8:B$52)</f>
        <v>2.8073710613219467E-2</v>
      </c>
      <c r="C137" s="222">
        <f t="shared" ref="C137:T137" si="116">PEARSON($T$8:$T$52,C$8:C$52)</f>
        <v>7.4777564863162727E-2</v>
      </c>
      <c r="D137" s="222">
        <f t="shared" si="116"/>
        <v>5.1934121142260856E-2</v>
      </c>
      <c r="E137" s="222">
        <f t="shared" si="116"/>
        <v>9.7029532846128145E-3</v>
      </c>
      <c r="F137" s="222">
        <f t="shared" si="116"/>
        <v>5.3544063136233701E-2</v>
      </c>
      <c r="G137" s="222">
        <f t="shared" si="116"/>
        <v>4.1527099669072351E-2</v>
      </c>
      <c r="H137" s="222">
        <f t="shared" si="116"/>
        <v>-4.8320515861762635E-2</v>
      </c>
      <c r="I137" s="222">
        <f t="shared" si="116"/>
        <v>-3.47933155715721E-2</v>
      </c>
      <c r="J137" s="222">
        <f t="shared" si="116"/>
        <v>-6.0688297273571466E-2</v>
      </c>
      <c r="K137" s="222">
        <f t="shared" si="116"/>
        <v>3.0799758762726583E-2</v>
      </c>
      <c r="L137" s="222">
        <f t="shared" si="116"/>
        <v>-8.8797172439086552E-2</v>
      </c>
      <c r="M137" s="222">
        <f t="shared" si="116"/>
        <v>-0.11543015031229377</v>
      </c>
      <c r="N137" s="222">
        <f t="shared" si="116"/>
        <v>-8.8741921639411137E-2</v>
      </c>
      <c r="O137" s="222">
        <f t="shared" si="116"/>
        <v>-0.17290129165569523</v>
      </c>
      <c r="P137" s="222">
        <f t="shared" si="116"/>
        <v>2.2608283011543516E-2</v>
      </c>
      <c r="Q137" s="222">
        <f t="shared" si="116"/>
        <v>-0.12491501028518608</v>
      </c>
      <c r="R137" s="222">
        <f t="shared" si="116"/>
        <v>-9.9106351637576598E-2</v>
      </c>
      <c r="S137" s="222">
        <f t="shared" si="116"/>
        <v>0.90889800343636329</v>
      </c>
      <c r="T137" s="222">
        <f t="shared" si="116"/>
        <v>1</v>
      </c>
      <c r="U137" s="222"/>
      <c r="V137" s="222"/>
      <c r="W137" s="222"/>
      <c r="X137" s="222"/>
      <c r="Y137" s="222"/>
      <c r="Z137" s="32"/>
      <c r="AA137" s="32"/>
      <c r="AB137" s="32"/>
      <c r="AC137" s="32"/>
      <c r="AD137" s="32"/>
      <c r="AE137" s="32"/>
      <c r="AF137" s="32"/>
      <c r="AG137" s="32"/>
      <c r="AH137" s="32"/>
      <c r="AI137" s="32"/>
      <c r="AJ137" s="32"/>
      <c r="AK137" s="32"/>
      <c r="AL137" s="261"/>
    </row>
    <row r="138" spans="1:38">
      <c r="A138" s="50" t="s">
        <v>134</v>
      </c>
      <c r="B138" s="222">
        <f>PEARSON($U$8:$U$52,B$8:B$52)</f>
        <v>0.22550571882001125</v>
      </c>
      <c r="C138" s="222">
        <f t="shared" ref="C138:U138" si="117">PEARSON($U$8:$U$52,C$8:C$52)</f>
        <v>0.26663728677325854</v>
      </c>
      <c r="D138" s="222">
        <f t="shared" si="117"/>
        <v>0.24071228997103258</v>
      </c>
      <c r="E138" s="222">
        <f t="shared" si="117"/>
        <v>0.18657661006810658</v>
      </c>
      <c r="F138" s="222">
        <f t="shared" si="117"/>
        <v>0.26331693860454602</v>
      </c>
      <c r="G138" s="222">
        <f t="shared" si="117"/>
        <v>0.24590467696598806</v>
      </c>
      <c r="H138" s="222">
        <f t="shared" si="117"/>
        <v>0.15343944725104988</v>
      </c>
      <c r="I138" s="222">
        <f t="shared" si="117"/>
        <v>0.1454730281940036</v>
      </c>
      <c r="J138" s="222">
        <f t="shared" si="117"/>
        <v>8.6876419888769998E-2</v>
      </c>
      <c r="K138" s="222">
        <f t="shared" si="117"/>
        <v>0.23024797088121812</v>
      </c>
      <c r="L138" s="222">
        <f t="shared" si="117"/>
        <v>2.6142890223601971E-3</v>
      </c>
      <c r="M138" s="222">
        <f t="shared" si="117"/>
        <v>3.2351124198463123E-2</v>
      </c>
      <c r="N138" s="222">
        <f t="shared" si="117"/>
        <v>2.1689829265614972E-2</v>
      </c>
      <c r="O138" s="222">
        <f t="shared" si="117"/>
        <v>-0.10984519853677813</v>
      </c>
      <c r="P138" s="222">
        <f t="shared" si="117"/>
        <v>0.13282154788803102</v>
      </c>
      <c r="Q138" s="222">
        <f t="shared" si="117"/>
        <v>-2.1724701838460068E-2</v>
      </c>
      <c r="R138" s="222">
        <f t="shared" si="117"/>
        <v>-2.8171552175013256E-2</v>
      </c>
      <c r="S138" s="222">
        <f t="shared" si="117"/>
        <v>0.78845895302379732</v>
      </c>
      <c r="T138" s="222">
        <f t="shared" si="117"/>
        <v>0.92024287051329345</v>
      </c>
      <c r="U138" s="222">
        <f t="shared" si="117"/>
        <v>1.0000000000000002</v>
      </c>
      <c r="V138" s="222"/>
      <c r="W138" s="222"/>
      <c r="X138" s="222"/>
      <c r="Y138" s="222"/>
      <c r="Z138" s="32"/>
      <c r="AA138" s="32"/>
      <c r="AB138" s="32"/>
      <c r="AC138" s="32"/>
      <c r="AD138" s="32"/>
      <c r="AE138" s="32"/>
      <c r="AF138" s="32"/>
      <c r="AG138" s="32"/>
      <c r="AH138" s="32"/>
      <c r="AI138" s="32"/>
      <c r="AJ138" s="32"/>
      <c r="AK138" s="32"/>
      <c r="AL138" s="261"/>
    </row>
    <row r="139" spans="1:38">
      <c r="A139" s="50" t="s">
        <v>136</v>
      </c>
      <c r="B139" s="222">
        <f>PEARSON($V$8:$V$52,B$8:B$52)</f>
        <v>3.9575237059404911E-2</v>
      </c>
      <c r="C139" s="222">
        <f t="shared" ref="C139:V139" si="118">PEARSON($V$8:$V$52,C$8:C$52)</f>
        <v>7.5767062504846758E-2</v>
      </c>
      <c r="D139" s="222">
        <f t="shared" si="118"/>
        <v>5.2100201534492019E-2</v>
      </c>
      <c r="E139" s="222">
        <f t="shared" si="118"/>
        <v>2.1001769515858131E-2</v>
      </c>
      <c r="F139" s="222">
        <f t="shared" si="118"/>
        <v>2.5305224999315867E-2</v>
      </c>
      <c r="G139" s="222">
        <f t="shared" si="118"/>
        <v>6.3004363112016459E-2</v>
      </c>
      <c r="H139" s="222">
        <f t="shared" si="118"/>
        <v>1.3985040610598602E-2</v>
      </c>
      <c r="I139" s="222">
        <f t="shared" si="118"/>
        <v>-1.0149475510459031E-2</v>
      </c>
      <c r="J139" s="222">
        <f t="shared" si="118"/>
        <v>-8.353397847462897E-2</v>
      </c>
      <c r="K139" s="222">
        <f t="shared" si="118"/>
        <v>-2.1122789925824798E-2</v>
      </c>
      <c r="L139" s="222">
        <f t="shared" si="118"/>
        <v>2.297468869493435E-2</v>
      </c>
      <c r="M139" s="222">
        <f t="shared" si="118"/>
        <v>3.7202731745114091E-2</v>
      </c>
      <c r="N139" s="222">
        <f t="shared" si="118"/>
        <v>3.4917470667658476E-2</v>
      </c>
      <c r="O139" s="222">
        <f t="shared" si="118"/>
        <v>6.4105457322890837E-3</v>
      </c>
      <c r="P139" s="222">
        <f t="shared" si="118"/>
        <v>4.3301244424817475E-2</v>
      </c>
      <c r="Q139" s="222">
        <f t="shared" si="118"/>
        <v>5.9645255231848056E-2</v>
      </c>
      <c r="R139" s="222">
        <f t="shared" si="118"/>
        <v>7.9506312059021755E-2</v>
      </c>
      <c r="S139" s="222">
        <f t="shared" si="118"/>
        <v>5.1714864048190215E-2</v>
      </c>
      <c r="T139" s="222">
        <f t="shared" si="118"/>
        <v>0.28910902444286041</v>
      </c>
      <c r="U139" s="222">
        <f t="shared" si="118"/>
        <v>0.44968983115870054</v>
      </c>
      <c r="V139" s="222">
        <f t="shared" si="118"/>
        <v>1.0000000000000002</v>
      </c>
      <c r="W139" s="222"/>
      <c r="X139" s="222"/>
      <c r="Y139" s="222"/>
      <c r="Z139" s="32"/>
      <c r="AA139" s="32"/>
      <c r="AB139" s="32"/>
      <c r="AC139" s="32"/>
      <c r="AD139" s="32"/>
      <c r="AE139" s="32"/>
      <c r="AF139" s="32"/>
      <c r="AG139" s="32"/>
      <c r="AH139" s="32"/>
      <c r="AI139" s="32"/>
      <c r="AJ139" s="32"/>
      <c r="AK139" s="32"/>
      <c r="AL139" s="261"/>
    </row>
    <row r="140" spans="1:38">
      <c r="A140" s="50" t="s">
        <v>138</v>
      </c>
      <c r="B140" s="222">
        <f>PEARSON($W$8:$W$52,B$8:B$52)</f>
        <v>0.13429769744433012</v>
      </c>
      <c r="C140" s="222">
        <f t="shared" ref="C140:W140" si="119">PEARSON($W$8:$W$52,C$8:C$52)</f>
        <v>0.11232002589739684</v>
      </c>
      <c r="D140" s="222">
        <f t="shared" si="119"/>
        <v>0.10727454607549676</v>
      </c>
      <c r="E140" s="222">
        <f t="shared" si="119"/>
        <v>9.739095973148644E-2</v>
      </c>
      <c r="F140" s="222">
        <f t="shared" si="119"/>
        <v>0.20570860516025788</v>
      </c>
      <c r="G140" s="222">
        <f t="shared" si="119"/>
        <v>0.1783630168364832</v>
      </c>
      <c r="H140" s="222">
        <f t="shared" si="119"/>
        <v>0.19683724807282943</v>
      </c>
      <c r="I140" s="222">
        <f t="shared" si="119"/>
        <v>0.23452826768644958</v>
      </c>
      <c r="J140" s="222">
        <f t="shared" si="119"/>
        <v>0.17804639008933962</v>
      </c>
      <c r="K140" s="222">
        <f t="shared" si="119"/>
        <v>0.2456496586635904</v>
      </c>
      <c r="L140" s="222">
        <f t="shared" si="119"/>
        <v>0.35677749937022746</v>
      </c>
      <c r="M140" s="222">
        <f t="shared" si="119"/>
        <v>0.46622060045009434</v>
      </c>
      <c r="N140" s="222">
        <f t="shared" si="119"/>
        <v>0.39893041698417059</v>
      </c>
      <c r="O140" s="222">
        <f t="shared" si="119"/>
        <v>0.27020430945987056</v>
      </c>
      <c r="P140" s="222">
        <f t="shared" si="119"/>
        <v>0.25694306051467308</v>
      </c>
      <c r="Q140" s="222">
        <f t="shared" si="119"/>
        <v>0.37813481647438635</v>
      </c>
      <c r="R140" s="222">
        <f t="shared" si="119"/>
        <v>0.11563506940615231</v>
      </c>
      <c r="S140" s="222">
        <f t="shared" si="119"/>
        <v>5.9007340380334505E-2</v>
      </c>
      <c r="T140" s="222">
        <f t="shared" si="119"/>
        <v>4.3350623071465394E-2</v>
      </c>
      <c r="U140" s="222">
        <f t="shared" si="119"/>
        <v>0.13804178781695309</v>
      </c>
      <c r="V140" s="222">
        <f t="shared" si="119"/>
        <v>0.16198710010365727</v>
      </c>
      <c r="W140" s="222">
        <f t="shared" si="119"/>
        <v>1.0000000000000002</v>
      </c>
      <c r="X140" s="222"/>
      <c r="Y140" s="222"/>
      <c r="Z140" s="32"/>
      <c r="AA140" s="32"/>
      <c r="AB140" s="32"/>
      <c r="AC140" s="32"/>
      <c r="AD140" s="32"/>
      <c r="AE140" s="32"/>
      <c r="AF140" s="32"/>
      <c r="AG140" s="32"/>
      <c r="AH140" s="32"/>
      <c r="AI140" s="32"/>
      <c r="AJ140" s="32"/>
      <c r="AK140" s="32"/>
      <c r="AL140" s="261"/>
    </row>
    <row r="141" spans="1:38">
      <c r="A141" s="50" t="s">
        <v>140</v>
      </c>
      <c r="B141" s="222">
        <f>PEARSON($X$8:$X$52,B$8:B$52)</f>
        <v>0.92259491482520173</v>
      </c>
      <c r="C141" s="222">
        <f t="shared" ref="C141:X141" si="120">PEARSON($X$8:$X$52,C$8:C$52)</f>
        <v>0.91681950331194473</v>
      </c>
      <c r="D141" s="222">
        <f t="shared" si="120"/>
        <v>0.92142815916865195</v>
      </c>
      <c r="E141" s="222">
        <f t="shared" si="120"/>
        <v>0.84163813918063624</v>
      </c>
      <c r="F141" s="222">
        <f t="shared" si="120"/>
        <v>0.91887421602151542</v>
      </c>
      <c r="G141" s="222">
        <f t="shared" si="120"/>
        <v>0.80161974423450344</v>
      </c>
      <c r="H141" s="222">
        <f t="shared" si="120"/>
        <v>0.82686947734079552</v>
      </c>
      <c r="I141" s="222">
        <f t="shared" si="120"/>
        <v>0.80306753605603753</v>
      </c>
      <c r="J141" s="222">
        <f t="shared" si="120"/>
        <v>0.70233071216789655</v>
      </c>
      <c r="K141" s="222">
        <f t="shared" si="120"/>
        <v>0.68549447805478958</v>
      </c>
      <c r="L141" s="222">
        <f t="shared" si="120"/>
        <v>0.59900889345885633</v>
      </c>
      <c r="M141" s="222">
        <f t="shared" si="120"/>
        <v>0.46992197206844144</v>
      </c>
      <c r="N141" s="222">
        <f t="shared" si="120"/>
        <v>0.59676195816909272</v>
      </c>
      <c r="O141" s="222">
        <f t="shared" si="120"/>
        <v>0.35020702244006879</v>
      </c>
      <c r="P141" s="222">
        <f t="shared" si="120"/>
        <v>0.70401910298390968</v>
      </c>
      <c r="Q141" s="222">
        <f t="shared" si="120"/>
        <v>0.55808678411173862</v>
      </c>
      <c r="R141" s="222">
        <f t="shared" si="120"/>
        <v>8.1631651409761447E-2</v>
      </c>
      <c r="S141" s="222">
        <f t="shared" si="120"/>
        <v>0.22641142215890181</v>
      </c>
      <c r="T141" s="222">
        <f t="shared" si="120"/>
        <v>0.27169490098440596</v>
      </c>
      <c r="U141" s="222">
        <f t="shared" si="120"/>
        <v>0.46631707624145652</v>
      </c>
      <c r="V141" s="222">
        <f t="shared" si="120"/>
        <v>0.12179631412607025</v>
      </c>
      <c r="W141" s="222">
        <f t="shared" si="120"/>
        <v>0.18518606384846473</v>
      </c>
      <c r="X141" s="222">
        <f t="shared" si="120"/>
        <v>1</v>
      </c>
      <c r="Y141" s="222"/>
      <c r="Z141" s="32"/>
      <c r="AA141" s="32"/>
      <c r="AB141" s="32"/>
      <c r="AC141" s="32"/>
      <c r="AD141" s="32"/>
      <c r="AE141" s="32"/>
      <c r="AF141" s="32"/>
      <c r="AG141" s="32"/>
      <c r="AH141" s="32"/>
      <c r="AI141" s="32"/>
      <c r="AJ141" s="32"/>
      <c r="AK141" s="32"/>
      <c r="AL141" s="261"/>
    </row>
    <row r="142" spans="1:38">
      <c r="A142" s="50" t="s">
        <v>142</v>
      </c>
      <c r="B142" s="222">
        <f>PEARSON($Y$8:$Y$52,B$8:B$52)</f>
        <v>0.6962473637496398</v>
      </c>
      <c r="C142" s="222">
        <f t="shared" ref="C142:Y142" si="121">PEARSON($Y$8:$Y$52,C$8:C$52)</f>
        <v>0.75346661903863765</v>
      </c>
      <c r="D142" s="222">
        <f t="shared" si="121"/>
        <v>0.70409527574750885</v>
      </c>
      <c r="E142" s="222">
        <f t="shared" si="121"/>
        <v>0.60319045499306378</v>
      </c>
      <c r="F142" s="222">
        <f t="shared" si="121"/>
        <v>0.7355556032264926</v>
      </c>
      <c r="G142" s="222">
        <f t="shared" si="121"/>
        <v>0.68414914742997035</v>
      </c>
      <c r="H142" s="222">
        <f t="shared" si="121"/>
        <v>0.61002597665670333</v>
      </c>
      <c r="I142" s="222">
        <f t="shared" si="121"/>
        <v>0.58039022097296988</v>
      </c>
      <c r="J142" s="222">
        <f t="shared" si="121"/>
        <v>0.50059445466574604</v>
      </c>
      <c r="K142" s="222">
        <f t="shared" si="121"/>
        <v>0.61694934092774023</v>
      </c>
      <c r="L142" s="222">
        <f t="shared" si="121"/>
        <v>0.40182905027683702</v>
      </c>
      <c r="M142" s="222">
        <f t="shared" si="121"/>
        <v>0.3179309899954193</v>
      </c>
      <c r="N142" s="222">
        <f t="shared" si="121"/>
        <v>0.40777763473236572</v>
      </c>
      <c r="O142" s="222">
        <f t="shared" si="121"/>
        <v>0.16969986261295553</v>
      </c>
      <c r="P142" s="222">
        <f t="shared" si="121"/>
        <v>0.54369485395206241</v>
      </c>
      <c r="Q142" s="222">
        <f t="shared" si="121"/>
        <v>0.37400113420634823</v>
      </c>
      <c r="R142" s="222">
        <f t="shared" si="121"/>
        <v>2.3707922986657155E-2</v>
      </c>
      <c r="S142" s="222">
        <f t="shared" si="121"/>
        <v>0.51079152763374813</v>
      </c>
      <c r="T142" s="222">
        <f t="shared" si="121"/>
        <v>0.58721504308919781</v>
      </c>
      <c r="U142" s="222">
        <f t="shared" si="121"/>
        <v>0.75497285803174874</v>
      </c>
      <c r="V142" s="222">
        <f t="shared" si="121"/>
        <v>0.20834629779744301</v>
      </c>
      <c r="W142" s="222">
        <f t="shared" si="121"/>
        <v>0.21278420103364826</v>
      </c>
      <c r="X142" s="222">
        <f t="shared" si="121"/>
        <v>0.88337439106966953</v>
      </c>
      <c r="Y142" s="222">
        <f t="shared" si="121"/>
        <v>1</v>
      </c>
      <c r="Z142" s="32"/>
      <c r="AA142" s="32"/>
      <c r="AB142" s="32"/>
      <c r="AC142" s="32"/>
      <c r="AD142" s="32"/>
      <c r="AE142" s="32"/>
      <c r="AF142" s="32"/>
      <c r="AG142" s="32"/>
      <c r="AH142" s="32"/>
      <c r="AI142" s="32"/>
      <c r="AJ142" s="32"/>
      <c r="AK142" s="32"/>
      <c r="AL142" s="261"/>
    </row>
    <row r="143" spans="1:38">
      <c r="A143" s="50" t="s">
        <v>144</v>
      </c>
      <c r="B143" s="222">
        <f>PEARSON($Z$8:$Z$52,B$8:B$52)</f>
        <v>0.85682814721785305</v>
      </c>
      <c r="C143" s="222">
        <f t="shared" ref="C143:Z143" si="122">PEARSON($Z$8:$Z$52,C$8:C$52)</f>
        <v>0.92395017686199954</v>
      </c>
      <c r="D143" s="222">
        <f t="shared" si="122"/>
        <v>0.82714882756683938</v>
      </c>
      <c r="E143" s="222">
        <f t="shared" si="122"/>
        <v>0.7100665578270583</v>
      </c>
      <c r="F143" s="222">
        <f t="shared" si="122"/>
        <v>0.93546417261879244</v>
      </c>
      <c r="G143" s="222">
        <f t="shared" si="122"/>
        <v>0.92578806869812202</v>
      </c>
      <c r="H143" s="222">
        <f t="shared" si="122"/>
        <v>0.90276315185353495</v>
      </c>
      <c r="I143" s="222">
        <f t="shared" si="122"/>
        <v>0.83653832723210608</v>
      </c>
      <c r="J143" s="222">
        <f t="shared" si="122"/>
        <v>0.82788912731362885</v>
      </c>
      <c r="K143" s="222">
        <f t="shared" si="122"/>
        <v>0.76530118892936438</v>
      </c>
      <c r="L143" s="222">
        <f t="shared" si="122"/>
        <v>0.59362725216504664</v>
      </c>
      <c r="M143" s="222">
        <f t="shared" si="122"/>
        <v>0.49407945781102186</v>
      </c>
      <c r="N143" s="222">
        <f t="shared" si="122"/>
        <v>0.59450473346182986</v>
      </c>
      <c r="O143" s="222">
        <f t="shared" si="122"/>
        <v>0.39341244537749442</v>
      </c>
      <c r="P143" s="222">
        <f t="shared" si="122"/>
        <v>0.62916246323947034</v>
      </c>
      <c r="Q143" s="222">
        <f t="shared" si="122"/>
        <v>0.58648945694237697</v>
      </c>
      <c r="R143" s="222">
        <f t="shared" si="122"/>
        <v>2.6081758669907446E-2</v>
      </c>
      <c r="S143" s="222">
        <f t="shared" si="122"/>
        <v>-2.0656925825198076E-2</v>
      </c>
      <c r="T143" s="222">
        <f t="shared" si="122"/>
        <v>2.1695112409439735E-2</v>
      </c>
      <c r="U143" s="222">
        <f t="shared" si="122"/>
        <v>0.26242537535996624</v>
      </c>
      <c r="V143" s="222">
        <f t="shared" si="122"/>
        <v>0.10355864784657384</v>
      </c>
      <c r="W143" s="222">
        <f t="shared" si="122"/>
        <v>0.2077073868937486</v>
      </c>
      <c r="X143" s="222">
        <f t="shared" si="122"/>
        <v>0.89160422552850582</v>
      </c>
      <c r="Y143" s="222">
        <f t="shared" si="122"/>
        <v>0.73334589255077787</v>
      </c>
      <c r="Z143" s="222">
        <f t="shared" si="122"/>
        <v>1.0000000000000002</v>
      </c>
      <c r="AA143" s="32"/>
      <c r="AB143" s="32"/>
      <c r="AC143" s="32"/>
      <c r="AD143" s="32"/>
      <c r="AE143" s="32"/>
      <c r="AF143" s="32"/>
      <c r="AG143" s="32"/>
      <c r="AH143" s="32"/>
      <c r="AI143" s="32"/>
      <c r="AJ143" s="32"/>
      <c r="AK143" s="32"/>
      <c r="AL143" s="261"/>
    </row>
    <row r="144" spans="1:38">
      <c r="A144" s="324" t="s">
        <v>148</v>
      </c>
      <c r="B144" s="222">
        <f>PEARSON($AA$8:$AA$52,B$8:B$52)</f>
        <v>3.591176099285677E-2</v>
      </c>
      <c r="C144" s="222">
        <f t="shared" ref="C144:AA144" si="123">PEARSON($AA$8:$AA$52,C$8:C$52)</f>
        <v>7.3787895753219757E-2</v>
      </c>
      <c r="D144" s="222">
        <f t="shared" si="123"/>
        <v>4.462205845125046E-2</v>
      </c>
      <c r="E144" s="222">
        <f t="shared" si="123"/>
        <v>9.3887249080268371E-3</v>
      </c>
      <c r="F144" s="222">
        <f t="shared" si="123"/>
        <v>6.9107208414119645E-2</v>
      </c>
      <c r="G144" s="222">
        <f t="shared" si="123"/>
        <v>9.9232634930912653E-2</v>
      </c>
      <c r="H144" s="222">
        <f t="shared" si="123"/>
        <v>1.8263501746404946E-2</v>
      </c>
      <c r="I144" s="222">
        <f t="shared" si="123"/>
        <v>1.6215792916683465E-2</v>
      </c>
      <c r="J144" s="222">
        <f t="shared" si="123"/>
        <v>-1.7656417736340912E-2</v>
      </c>
      <c r="K144" s="222">
        <f t="shared" si="123"/>
        <v>1.6652326380687168E-2</v>
      </c>
      <c r="L144" s="222">
        <f t="shared" si="123"/>
        <v>-5.3772154121120248E-2</v>
      </c>
      <c r="M144" s="222">
        <f t="shared" si="123"/>
        <v>-5.8541446408947324E-2</v>
      </c>
      <c r="N144" s="222">
        <f t="shared" si="123"/>
        <v>-4.7451583227716455E-2</v>
      </c>
      <c r="O144" s="222">
        <f t="shared" si="123"/>
        <v>-8.4646994169423034E-2</v>
      </c>
      <c r="P144" s="222">
        <f t="shared" si="123"/>
        <v>-1.6601144775875203E-2</v>
      </c>
      <c r="Q144" s="222">
        <f t="shared" si="123"/>
        <v>-5.3515183811731502E-2</v>
      </c>
      <c r="R144" s="222">
        <f t="shared" si="123"/>
        <v>-6.6319230188700312E-2</v>
      </c>
      <c r="S144" s="222">
        <f t="shared" si="123"/>
        <v>0.46094757895332744</v>
      </c>
      <c r="T144" s="222">
        <f t="shared" si="123"/>
        <v>0.70911996595018956</v>
      </c>
      <c r="U144" s="222">
        <f t="shared" si="123"/>
        <v>0.79388740248368239</v>
      </c>
      <c r="V144" s="222">
        <f t="shared" si="123"/>
        <v>0.81618974338693318</v>
      </c>
      <c r="W144" s="222">
        <f t="shared" si="123"/>
        <v>0.16494617227301231</v>
      </c>
      <c r="X144" s="222">
        <f t="shared" si="123"/>
        <v>0.22780749220198201</v>
      </c>
      <c r="Y144" s="222">
        <f t="shared" si="123"/>
        <v>0.44686662868922927</v>
      </c>
      <c r="Z144" s="222">
        <f t="shared" si="123"/>
        <v>0.11583775583667176</v>
      </c>
      <c r="AA144" s="222">
        <f t="shared" si="123"/>
        <v>1.0000000000000002</v>
      </c>
      <c r="AB144" s="222"/>
      <c r="AC144" s="222"/>
      <c r="AD144" s="222"/>
      <c r="AE144" s="222"/>
      <c r="AF144" s="222"/>
      <c r="AG144" s="222"/>
      <c r="AH144" s="222"/>
      <c r="AI144" s="222"/>
      <c r="AJ144" s="222"/>
      <c r="AK144" s="222"/>
      <c r="AL144" s="325"/>
    </row>
    <row r="145" spans="1:38">
      <c r="A145" s="324" t="str">
        <f>AB118</f>
        <v>GLD</v>
      </c>
      <c r="B145" s="222">
        <f>IF(ISERROR(PEARSON($AB$8:$AB$52,B$8:B$52)),"",(PEARSON($AB$8:$AB$52,B$8:B$52)))</f>
        <v>-0.237784395928446</v>
      </c>
      <c r="C145" s="222">
        <f t="shared" ref="C145:AB145" si="124">IF(ISERROR(PEARSON($AB$8:$AB$52,C$8:C$52)),"",(PEARSON($AB$8:$AB$52,C$8:C$52)))</f>
        <v>-0.27290780193663533</v>
      </c>
      <c r="D145" s="222">
        <f t="shared" si="124"/>
        <v>-0.25672373331626053</v>
      </c>
      <c r="E145" s="222">
        <f t="shared" si="124"/>
        <v>-0.19159447749253372</v>
      </c>
      <c r="F145" s="222">
        <f t="shared" si="124"/>
        <v>-0.23551446829343231</v>
      </c>
      <c r="G145" s="222">
        <f t="shared" si="124"/>
        <v>-0.24987598657269561</v>
      </c>
      <c r="H145" s="222">
        <f t="shared" si="124"/>
        <v>-0.16033656242886096</v>
      </c>
      <c r="I145" s="222">
        <f t="shared" si="124"/>
        <v>-0.10577523622610895</v>
      </c>
      <c r="J145" s="222">
        <f t="shared" si="124"/>
        <v>-0.19327211844501696</v>
      </c>
      <c r="K145" s="222">
        <f t="shared" si="124"/>
        <v>-8.7760746277965068E-2</v>
      </c>
      <c r="L145" s="222">
        <f t="shared" si="124"/>
        <v>-3.6764043262302058E-2</v>
      </c>
      <c r="M145" s="222">
        <f t="shared" si="124"/>
        <v>2.8704739157224466E-2</v>
      </c>
      <c r="N145" s="222">
        <f t="shared" si="124"/>
        <v>-1.7742834000177496E-2</v>
      </c>
      <c r="O145" s="222">
        <f t="shared" si="124"/>
        <v>6.4062925469274626E-2</v>
      </c>
      <c r="P145" s="222">
        <f t="shared" si="124"/>
        <v>-7.1262982729253951E-2</v>
      </c>
      <c r="Q145" s="222">
        <f t="shared" si="124"/>
        <v>-3.8251157794040688E-2</v>
      </c>
      <c r="R145" s="222">
        <f t="shared" si="124"/>
        <v>0.49336558834761796</v>
      </c>
      <c r="S145" s="222">
        <f t="shared" si="124"/>
        <v>-0.15334937433913168</v>
      </c>
      <c r="T145" s="222">
        <f t="shared" si="124"/>
        <v>-0.10980496275925118</v>
      </c>
      <c r="U145" s="222">
        <f t="shared" si="124"/>
        <v>-0.13255294109562085</v>
      </c>
      <c r="V145" s="222">
        <f t="shared" si="124"/>
        <v>6.7179740938888996E-2</v>
      </c>
      <c r="W145" s="222">
        <f t="shared" si="124"/>
        <v>-5.411576513034444E-2</v>
      </c>
      <c r="X145" s="222">
        <f t="shared" si="124"/>
        <v>-0.30609083367094109</v>
      </c>
      <c r="Y145" s="222">
        <f t="shared" si="124"/>
        <v>-0.34368519451100704</v>
      </c>
      <c r="Z145" s="222">
        <f t="shared" si="124"/>
        <v>-0.32470344744672092</v>
      </c>
      <c r="AA145" s="222">
        <f t="shared" si="124"/>
        <v>-2.0705394709887807E-2</v>
      </c>
      <c r="AB145" s="222">
        <f t="shared" si="124"/>
        <v>0.99999999999999989</v>
      </c>
      <c r="AC145" s="222"/>
      <c r="AD145" s="222"/>
      <c r="AE145" s="222"/>
      <c r="AF145" s="222"/>
      <c r="AG145" s="222"/>
      <c r="AH145" s="222"/>
      <c r="AI145" s="222"/>
      <c r="AJ145" s="222"/>
      <c r="AK145" s="222"/>
      <c r="AL145" s="325"/>
    </row>
    <row r="146" spans="1:38">
      <c r="A146" s="326" t="str">
        <f>AC118</f>
        <v>VFSVX</v>
      </c>
      <c r="B146" s="222">
        <f>IF(ISERROR(PEARSON($AC$8:$AC$52,B$8:B$52)),"",(PEARSON($AC$8:$AC$52,B$8:B$52)))</f>
        <v>0.51554603619079375</v>
      </c>
      <c r="C146" s="222">
        <f t="shared" ref="C146:AC146" si="125">IF(ISERROR(PEARSON($AC$8:$AC$52,C$8:C$52)),"",(PEARSON($AC$8:$AC$52,C$8:C$52)))</f>
        <v>0.47301667441513112</v>
      </c>
      <c r="D146" s="222">
        <f t="shared" si="125"/>
        <v>0.49819591539034996</v>
      </c>
      <c r="E146" s="222">
        <f t="shared" si="125"/>
        <v>0.47550106625424543</v>
      </c>
      <c r="F146" s="222">
        <f t="shared" si="125"/>
        <v>0.46349446297913427</v>
      </c>
      <c r="G146" s="222">
        <f t="shared" si="125"/>
        <v>0.36623586518778739</v>
      </c>
      <c r="H146" s="222">
        <f t="shared" si="125"/>
        <v>0.49192138556243897</v>
      </c>
      <c r="I146" s="222">
        <f t="shared" si="125"/>
        <v>0.48523150704369938</v>
      </c>
      <c r="J146" s="222">
        <f t="shared" si="125"/>
        <v>0.42555663028140622</v>
      </c>
      <c r="K146" s="222">
        <f t="shared" si="125"/>
        <v>0.30212541119246084</v>
      </c>
      <c r="L146" s="222">
        <f t="shared" si="125"/>
        <v>0.87702219965220662</v>
      </c>
      <c r="M146" s="222">
        <f t="shared" si="125"/>
        <v>0.81511392253318771</v>
      </c>
      <c r="N146" s="222">
        <f t="shared" si="125"/>
        <v>0.89164886564012891</v>
      </c>
      <c r="O146" s="222">
        <f t="shared" si="125"/>
        <v>0.83767333458378901</v>
      </c>
      <c r="P146" s="222">
        <f t="shared" si="125"/>
        <v>0.74515817454328404</v>
      </c>
      <c r="Q146" s="222">
        <f t="shared" si="125"/>
        <v>0.88647953642847843</v>
      </c>
      <c r="R146" s="222">
        <f t="shared" si="125"/>
        <v>0.24203388831764494</v>
      </c>
      <c r="S146" s="222">
        <f t="shared" si="125"/>
        <v>-0.24272255363210782</v>
      </c>
      <c r="T146" s="222">
        <f t="shared" si="125"/>
        <v>-0.24130617248604444</v>
      </c>
      <c r="U146" s="222">
        <f t="shared" si="125"/>
        <v>-0.15692943426739786</v>
      </c>
      <c r="V146" s="222">
        <f t="shared" si="125"/>
        <v>1.5172173378190242E-2</v>
      </c>
      <c r="W146" s="222">
        <f t="shared" si="125"/>
        <v>0.25809535268129802</v>
      </c>
      <c r="X146" s="222">
        <f t="shared" si="125"/>
        <v>0.39125707120505404</v>
      </c>
      <c r="Y146" s="222">
        <f t="shared" si="125"/>
        <v>0.18937863213917105</v>
      </c>
      <c r="Z146" s="222">
        <f t="shared" si="125"/>
        <v>0.44627769572984122</v>
      </c>
      <c r="AA146" s="222">
        <f t="shared" si="125"/>
        <v>-0.1672895482367617</v>
      </c>
      <c r="AB146" s="222">
        <f t="shared" si="125"/>
        <v>5.2928208242378795E-3</v>
      </c>
      <c r="AC146" s="222">
        <f t="shared" si="125"/>
        <v>1</v>
      </c>
      <c r="AD146" s="32"/>
      <c r="AE146" s="32"/>
      <c r="AF146" s="32"/>
      <c r="AG146" s="32"/>
      <c r="AH146" s="32"/>
      <c r="AI146" s="32"/>
      <c r="AJ146" s="32"/>
      <c r="AK146" s="32"/>
      <c r="AL146" s="261"/>
    </row>
    <row r="147" spans="1:38">
      <c r="A147" s="31" t="str">
        <f>AD118</f>
        <v/>
      </c>
      <c r="B147" s="222" t="str">
        <f>IF(ISERROR(PEARSON($AD$8:$AD$52,B$8:B$52)),"",(PEARSON($AD$8:$AD$52,B$8:B$52)))</f>
        <v/>
      </c>
      <c r="C147" s="222" t="str">
        <f t="shared" ref="C147:AD147" si="126">IF(ISERROR(PEARSON($AD$8:$AD$52,C$8:C$52)),"",(PEARSON($AD$8:$AD$52,C$8:C$52)))</f>
        <v/>
      </c>
      <c r="D147" s="222" t="str">
        <f t="shared" si="126"/>
        <v/>
      </c>
      <c r="E147" s="222" t="str">
        <f t="shared" si="126"/>
        <v/>
      </c>
      <c r="F147" s="222" t="str">
        <f t="shared" si="126"/>
        <v/>
      </c>
      <c r="G147" s="222" t="str">
        <f t="shared" si="126"/>
        <v/>
      </c>
      <c r="H147" s="222" t="str">
        <f t="shared" si="126"/>
        <v/>
      </c>
      <c r="I147" s="222" t="str">
        <f t="shared" si="126"/>
        <v/>
      </c>
      <c r="J147" s="222" t="str">
        <f t="shared" si="126"/>
        <v/>
      </c>
      <c r="K147" s="222" t="str">
        <f t="shared" si="126"/>
        <v/>
      </c>
      <c r="L147" s="222" t="str">
        <f t="shared" si="126"/>
        <v/>
      </c>
      <c r="M147" s="222" t="str">
        <f t="shared" si="126"/>
        <v/>
      </c>
      <c r="N147" s="222" t="str">
        <f t="shared" si="126"/>
        <v/>
      </c>
      <c r="O147" s="222" t="str">
        <f t="shared" si="126"/>
        <v/>
      </c>
      <c r="P147" s="222" t="str">
        <f t="shared" si="126"/>
        <v/>
      </c>
      <c r="Q147" s="222" t="str">
        <f t="shared" si="126"/>
        <v/>
      </c>
      <c r="R147" s="222" t="str">
        <f t="shared" si="126"/>
        <v/>
      </c>
      <c r="S147" s="222" t="str">
        <f t="shared" si="126"/>
        <v/>
      </c>
      <c r="T147" s="222" t="str">
        <f t="shared" si="126"/>
        <v/>
      </c>
      <c r="U147" s="222" t="str">
        <f t="shared" si="126"/>
        <v/>
      </c>
      <c r="V147" s="222" t="str">
        <f t="shared" si="126"/>
        <v/>
      </c>
      <c r="W147" s="222" t="str">
        <f t="shared" si="126"/>
        <v/>
      </c>
      <c r="X147" s="222" t="str">
        <f t="shared" si="126"/>
        <v/>
      </c>
      <c r="Y147" s="222" t="str">
        <f t="shared" si="126"/>
        <v/>
      </c>
      <c r="Z147" s="222" t="str">
        <f t="shared" si="126"/>
        <v/>
      </c>
      <c r="AA147" s="222" t="str">
        <f t="shared" si="126"/>
        <v/>
      </c>
      <c r="AB147" s="222" t="str">
        <f t="shared" si="126"/>
        <v/>
      </c>
      <c r="AC147" s="222" t="str">
        <f t="shared" si="126"/>
        <v/>
      </c>
      <c r="AD147" s="222" t="str">
        <f t="shared" si="126"/>
        <v/>
      </c>
      <c r="AE147" s="32"/>
      <c r="AF147" s="32"/>
      <c r="AG147" s="32"/>
      <c r="AH147" s="32"/>
      <c r="AI147" s="32"/>
      <c r="AJ147" s="32"/>
      <c r="AK147" s="32"/>
      <c r="AL147" s="261"/>
    </row>
    <row r="148" spans="1:38">
      <c r="A148" s="31" t="str">
        <f>AE118</f>
        <v/>
      </c>
      <c r="B148" s="222" t="str">
        <f>IF(ISERROR(PEARSON($AE$8:$AE$52,B$8:B$52)),"",(PEARSON($AE$8:$AE$52,B$8:B$52)))</f>
        <v/>
      </c>
      <c r="C148" s="222" t="str">
        <f t="shared" ref="C148:AE148" si="127">IF(ISERROR(PEARSON($AE$8:$AE$52,C$8:C$52)),"",(PEARSON($AE$8:$AE$52,C$8:C$52)))</f>
        <v/>
      </c>
      <c r="D148" s="222" t="str">
        <f t="shared" si="127"/>
        <v/>
      </c>
      <c r="E148" s="222" t="str">
        <f t="shared" si="127"/>
        <v/>
      </c>
      <c r="F148" s="222" t="str">
        <f t="shared" si="127"/>
        <v/>
      </c>
      <c r="G148" s="222" t="str">
        <f t="shared" si="127"/>
        <v/>
      </c>
      <c r="H148" s="222" t="str">
        <f t="shared" si="127"/>
        <v/>
      </c>
      <c r="I148" s="222" t="str">
        <f t="shared" si="127"/>
        <v/>
      </c>
      <c r="J148" s="222" t="str">
        <f t="shared" si="127"/>
        <v/>
      </c>
      <c r="K148" s="222" t="str">
        <f t="shared" si="127"/>
        <v/>
      </c>
      <c r="L148" s="222" t="str">
        <f t="shared" si="127"/>
        <v/>
      </c>
      <c r="M148" s="222" t="str">
        <f t="shared" si="127"/>
        <v/>
      </c>
      <c r="N148" s="222" t="str">
        <f t="shared" si="127"/>
        <v/>
      </c>
      <c r="O148" s="222" t="str">
        <f t="shared" si="127"/>
        <v/>
      </c>
      <c r="P148" s="222" t="str">
        <f t="shared" si="127"/>
        <v/>
      </c>
      <c r="Q148" s="222" t="str">
        <f t="shared" si="127"/>
        <v/>
      </c>
      <c r="R148" s="222" t="str">
        <f t="shared" si="127"/>
        <v/>
      </c>
      <c r="S148" s="222" t="str">
        <f t="shared" si="127"/>
        <v/>
      </c>
      <c r="T148" s="222" t="str">
        <f t="shared" si="127"/>
        <v/>
      </c>
      <c r="U148" s="222" t="str">
        <f t="shared" si="127"/>
        <v/>
      </c>
      <c r="V148" s="222" t="str">
        <f t="shared" si="127"/>
        <v/>
      </c>
      <c r="W148" s="222" t="str">
        <f t="shared" si="127"/>
        <v/>
      </c>
      <c r="X148" s="222" t="str">
        <f t="shared" si="127"/>
        <v/>
      </c>
      <c r="Y148" s="222" t="str">
        <f t="shared" si="127"/>
        <v/>
      </c>
      <c r="Z148" s="222" t="str">
        <f t="shared" si="127"/>
        <v/>
      </c>
      <c r="AA148" s="222" t="str">
        <f t="shared" si="127"/>
        <v/>
      </c>
      <c r="AB148" s="222" t="str">
        <f t="shared" si="127"/>
        <v/>
      </c>
      <c r="AC148" s="222" t="str">
        <f t="shared" si="127"/>
        <v/>
      </c>
      <c r="AD148" s="222" t="str">
        <f t="shared" si="127"/>
        <v/>
      </c>
      <c r="AE148" s="222" t="str">
        <f t="shared" si="127"/>
        <v/>
      </c>
      <c r="AF148" s="32"/>
      <c r="AG148" s="32"/>
      <c r="AH148" s="32"/>
      <c r="AI148" s="32"/>
      <c r="AJ148" s="32"/>
      <c r="AK148" s="32"/>
      <c r="AL148" s="261"/>
    </row>
    <row r="149" spans="1:38">
      <c r="A149" s="31" t="str">
        <f>AF118</f>
        <v/>
      </c>
      <c r="B149" s="222" t="str">
        <f>IF(ISERROR(PEARSON($AF$8:$AF$52,B$8:B$52)),"",(PEARSON($AF$8:$AF$52,B$8:B$52)))</f>
        <v/>
      </c>
      <c r="C149" s="222" t="str">
        <f t="shared" ref="C149:AF149" si="128">IF(ISERROR(PEARSON($AF$8:$AF$52,C$8:C$52)),"",(PEARSON($AF$8:$AF$52,C$8:C$52)))</f>
        <v/>
      </c>
      <c r="D149" s="222" t="str">
        <f t="shared" si="128"/>
        <v/>
      </c>
      <c r="E149" s="222" t="str">
        <f t="shared" si="128"/>
        <v/>
      </c>
      <c r="F149" s="222" t="str">
        <f t="shared" si="128"/>
        <v/>
      </c>
      <c r="G149" s="222" t="str">
        <f t="shared" si="128"/>
        <v/>
      </c>
      <c r="H149" s="222" t="str">
        <f t="shared" si="128"/>
        <v/>
      </c>
      <c r="I149" s="222" t="str">
        <f t="shared" si="128"/>
        <v/>
      </c>
      <c r="J149" s="222" t="str">
        <f t="shared" si="128"/>
        <v/>
      </c>
      <c r="K149" s="222" t="str">
        <f t="shared" si="128"/>
        <v/>
      </c>
      <c r="L149" s="222" t="str">
        <f t="shared" si="128"/>
        <v/>
      </c>
      <c r="M149" s="222" t="str">
        <f t="shared" si="128"/>
        <v/>
      </c>
      <c r="N149" s="222" t="str">
        <f t="shared" si="128"/>
        <v/>
      </c>
      <c r="O149" s="222" t="str">
        <f t="shared" si="128"/>
        <v/>
      </c>
      <c r="P149" s="222" t="str">
        <f t="shared" si="128"/>
        <v/>
      </c>
      <c r="Q149" s="222" t="str">
        <f t="shared" si="128"/>
        <v/>
      </c>
      <c r="R149" s="222" t="str">
        <f t="shared" si="128"/>
        <v/>
      </c>
      <c r="S149" s="222" t="str">
        <f t="shared" si="128"/>
        <v/>
      </c>
      <c r="T149" s="222" t="str">
        <f t="shared" si="128"/>
        <v/>
      </c>
      <c r="U149" s="222" t="str">
        <f t="shared" si="128"/>
        <v/>
      </c>
      <c r="V149" s="222" t="str">
        <f t="shared" si="128"/>
        <v/>
      </c>
      <c r="W149" s="222" t="str">
        <f t="shared" si="128"/>
        <v/>
      </c>
      <c r="X149" s="222" t="str">
        <f t="shared" si="128"/>
        <v/>
      </c>
      <c r="Y149" s="222" t="str">
        <f t="shared" si="128"/>
        <v/>
      </c>
      <c r="Z149" s="222" t="str">
        <f t="shared" si="128"/>
        <v/>
      </c>
      <c r="AA149" s="222" t="str">
        <f t="shared" si="128"/>
        <v/>
      </c>
      <c r="AB149" s="222" t="str">
        <f t="shared" si="128"/>
        <v/>
      </c>
      <c r="AC149" s="222" t="str">
        <f t="shared" si="128"/>
        <v/>
      </c>
      <c r="AD149" s="222" t="str">
        <f t="shared" si="128"/>
        <v/>
      </c>
      <c r="AE149" s="222" t="str">
        <f t="shared" si="128"/>
        <v/>
      </c>
      <c r="AF149" s="222" t="str">
        <f t="shared" si="128"/>
        <v/>
      </c>
      <c r="AG149" s="32"/>
      <c r="AH149" s="32"/>
      <c r="AI149" s="32"/>
      <c r="AJ149" s="32"/>
      <c r="AK149" s="32"/>
      <c r="AL149" s="261"/>
    </row>
    <row r="150" spans="1:38">
      <c r="A150" s="31" t="str">
        <f>AG118</f>
        <v/>
      </c>
      <c r="B150" s="222" t="str">
        <f>IF(ISERROR(PEARSON($AG$8:$AG$52,B$8:B$52)),"",(PEARSON($AG$8:$AG$52,B$8:B$52)))</f>
        <v/>
      </c>
      <c r="C150" s="222" t="str">
        <f t="shared" ref="C150:AG150" si="129">IF(ISERROR(PEARSON($AG$8:$AG$52,C$8:C$52)),"",(PEARSON($AG$8:$AG$52,C$8:C$52)))</f>
        <v/>
      </c>
      <c r="D150" s="222" t="str">
        <f t="shared" si="129"/>
        <v/>
      </c>
      <c r="E150" s="222" t="str">
        <f t="shared" si="129"/>
        <v/>
      </c>
      <c r="F150" s="222" t="str">
        <f t="shared" si="129"/>
        <v/>
      </c>
      <c r="G150" s="222" t="str">
        <f t="shared" si="129"/>
        <v/>
      </c>
      <c r="H150" s="222" t="str">
        <f t="shared" si="129"/>
        <v/>
      </c>
      <c r="I150" s="222" t="str">
        <f t="shared" si="129"/>
        <v/>
      </c>
      <c r="J150" s="222" t="str">
        <f t="shared" si="129"/>
        <v/>
      </c>
      <c r="K150" s="222" t="str">
        <f t="shared" si="129"/>
        <v/>
      </c>
      <c r="L150" s="222" t="str">
        <f t="shared" si="129"/>
        <v/>
      </c>
      <c r="M150" s="222" t="str">
        <f t="shared" si="129"/>
        <v/>
      </c>
      <c r="N150" s="222" t="str">
        <f t="shared" si="129"/>
        <v/>
      </c>
      <c r="O150" s="222" t="str">
        <f t="shared" si="129"/>
        <v/>
      </c>
      <c r="P150" s="222" t="str">
        <f t="shared" si="129"/>
        <v/>
      </c>
      <c r="Q150" s="222" t="str">
        <f t="shared" si="129"/>
        <v/>
      </c>
      <c r="R150" s="222" t="str">
        <f t="shared" si="129"/>
        <v/>
      </c>
      <c r="S150" s="222" t="str">
        <f t="shared" si="129"/>
        <v/>
      </c>
      <c r="T150" s="222" t="str">
        <f t="shared" si="129"/>
        <v/>
      </c>
      <c r="U150" s="222" t="str">
        <f t="shared" si="129"/>
        <v/>
      </c>
      <c r="V150" s="222" t="str">
        <f t="shared" si="129"/>
        <v/>
      </c>
      <c r="W150" s="222" t="str">
        <f t="shared" si="129"/>
        <v/>
      </c>
      <c r="X150" s="222" t="str">
        <f t="shared" si="129"/>
        <v/>
      </c>
      <c r="Y150" s="222" t="str">
        <f t="shared" si="129"/>
        <v/>
      </c>
      <c r="Z150" s="222" t="str">
        <f t="shared" si="129"/>
        <v/>
      </c>
      <c r="AA150" s="222" t="str">
        <f t="shared" si="129"/>
        <v/>
      </c>
      <c r="AB150" s="222" t="str">
        <f t="shared" si="129"/>
        <v/>
      </c>
      <c r="AC150" s="222" t="str">
        <f t="shared" si="129"/>
        <v/>
      </c>
      <c r="AD150" s="222" t="str">
        <f t="shared" si="129"/>
        <v/>
      </c>
      <c r="AE150" s="222" t="str">
        <f t="shared" si="129"/>
        <v/>
      </c>
      <c r="AF150" s="222" t="str">
        <f t="shared" si="129"/>
        <v/>
      </c>
      <c r="AG150" s="222" t="str">
        <f t="shared" si="129"/>
        <v/>
      </c>
      <c r="AH150" s="32"/>
      <c r="AI150" s="32"/>
      <c r="AJ150" s="32"/>
      <c r="AK150" s="32"/>
      <c r="AL150" s="261"/>
    </row>
    <row r="151" spans="1:38">
      <c r="A151" s="31" t="str">
        <f>AH118</f>
        <v/>
      </c>
      <c r="B151" s="222" t="str">
        <f>IF(ISERROR(PEARSON($AH$8:$AH$52,B$8:B$52)),"",(PEARSON($AH$8:$AH$52,B$8:B$52)))</f>
        <v/>
      </c>
      <c r="C151" s="222" t="str">
        <f>IF(ISERROR(PEARSON($AH$8:$AH$52,C$8:C$52)),"",(PEARSON($AH$8:$AH$52,C$8:C$52)))</f>
        <v/>
      </c>
      <c r="D151" s="222" t="str">
        <f t="shared" ref="D151:AH151" si="130">IF(ISERROR(PEARSON($AH$8:$AH$52,D$8:D$52)),"",(PEARSON($AH$8:$AH$52,D$8:D$52)))</f>
        <v/>
      </c>
      <c r="E151" s="222" t="str">
        <f t="shared" si="130"/>
        <v/>
      </c>
      <c r="F151" s="222" t="str">
        <f t="shared" si="130"/>
        <v/>
      </c>
      <c r="G151" s="222" t="str">
        <f t="shared" si="130"/>
        <v/>
      </c>
      <c r="H151" s="222" t="str">
        <f t="shared" si="130"/>
        <v/>
      </c>
      <c r="I151" s="222" t="str">
        <f t="shared" si="130"/>
        <v/>
      </c>
      <c r="J151" s="222" t="str">
        <f t="shared" si="130"/>
        <v/>
      </c>
      <c r="K151" s="222" t="str">
        <f t="shared" si="130"/>
        <v/>
      </c>
      <c r="L151" s="222" t="str">
        <f t="shared" si="130"/>
        <v/>
      </c>
      <c r="M151" s="222" t="str">
        <f t="shared" si="130"/>
        <v/>
      </c>
      <c r="N151" s="222" t="str">
        <f t="shared" si="130"/>
        <v/>
      </c>
      <c r="O151" s="222" t="str">
        <f t="shared" si="130"/>
        <v/>
      </c>
      <c r="P151" s="222" t="str">
        <f t="shared" si="130"/>
        <v/>
      </c>
      <c r="Q151" s="222" t="str">
        <f t="shared" si="130"/>
        <v/>
      </c>
      <c r="R151" s="222" t="str">
        <f t="shared" si="130"/>
        <v/>
      </c>
      <c r="S151" s="222" t="str">
        <f t="shared" si="130"/>
        <v/>
      </c>
      <c r="T151" s="222" t="str">
        <f t="shared" si="130"/>
        <v/>
      </c>
      <c r="U151" s="222" t="str">
        <f t="shared" si="130"/>
        <v/>
      </c>
      <c r="V151" s="222" t="str">
        <f t="shared" si="130"/>
        <v/>
      </c>
      <c r="W151" s="222" t="str">
        <f t="shared" si="130"/>
        <v/>
      </c>
      <c r="X151" s="222" t="str">
        <f t="shared" si="130"/>
        <v/>
      </c>
      <c r="Y151" s="222" t="str">
        <f t="shared" si="130"/>
        <v/>
      </c>
      <c r="Z151" s="222" t="str">
        <f t="shared" si="130"/>
        <v/>
      </c>
      <c r="AA151" s="222" t="str">
        <f t="shared" si="130"/>
        <v/>
      </c>
      <c r="AB151" s="222" t="str">
        <f t="shared" si="130"/>
        <v/>
      </c>
      <c r="AC151" s="222" t="str">
        <f t="shared" si="130"/>
        <v/>
      </c>
      <c r="AD151" s="222" t="str">
        <f t="shared" si="130"/>
        <v/>
      </c>
      <c r="AE151" s="222" t="str">
        <f t="shared" si="130"/>
        <v/>
      </c>
      <c r="AF151" s="222" t="str">
        <f t="shared" si="130"/>
        <v/>
      </c>
      <c r="AG151" s="222" t="str">
        <f t="shared" si="130"/>
        <v/>
      </c>
      <c r="AH151" s="222" t="str">
        <f t="shared" si="130"/>
        <v/>
      </c>
      <c r="AI151" s="32"/>
      <c r="AJ151" s="32"/>
      <c r="AK151" s="32"/>
      <c r="AL151" s="261"/>
    </row>
    <row r="152" spans="1:38">
      <c r="A152" s="31" t="str">
        <f>AI118</f>
        <v/>
      </c>
      <c r="B152" s="222" t="str">
        <f>IF(ISERROR(PEARSON($AI$8:$AI$52,B$8:B$52)),"",(PEARSON($AI$8:$AI$52,B$8:B$52)))</f>
        <v/>
      </c>
      <c r="C152" s="222" t="str">
        <f>IF(ISERROR(PEARSON($AI$8:$AI$52,C$8:C$52)),"",(PEARSON($AI$8:$AI$52,C$8:C$52)))</f>
        <v/>
      </c>
      <c r="D152" s="222" t="str">
        <f t="shared" ref="D152:AI152" si="131">IF(ISERROR(PEARSON($AI$8:$AI$52,D$8:D$52)),"",(PEARSON($AI$8:$AI$52,D$8:D$52)))</f>
        <v/>
      </c>
      <c r="E152" s="222" t="str">
        <f t="shared" si="131"/>
        <v/>
      </c>
      <c r="F152" s="222" t="str">
        <f t="shared" si="131"/>
        <v/>
      </c>
      <c r="G152" s="222" t="str">
        <f t="shared" si="131"/>
        <v/>
      </c>
      <c r="H152" s="222" t="str">
        <f t="shared" si="131"/>
        <v/>
      </c>
      <c r="I152" s="222" t="str">
        <f t="shared" si="131"/>
        <v/>
      </c>
      <c r="J152" s="222" t="str">
        <f t="shared" si="131"/>
        <v/>
      </c>
      <c r="K152" s="222" t="str">
        <f t="shared" si="131"/>
        <v/>
      </c>
      <c r="L152" s="222" t="str">
        <f t="shared" si="131"/>
        <v/>
      </c>
      <c r="M152" s="222" t="str">
        <f t="shared" si="131"/>
        <v/>
      </c>
      <c r="N152" s="222" t="str">
        <f t="shared" si="131"/>
        <v/>
      </c>
      <c r="O152" s="222" t="str">
        <f t="shared" si="131"/>
        <v/>
      </c>
      <c r="P152" s="222" t="str">
        <f t="shared" si="131"/>
        <v/>
      </c>
      <c r="Q152" s="222" t="str">
        <f t="shared" si="131"/>
        <v/>
      </c>
      <c r="R152" s="222" t="str">
        <f t="shared" si="131"/>
        <v/>
      </c>
      <c r="S152" s="222" t="str">
        <f t="shared" si="131"/>
        <v/>
      </c>
      <c r="T152" s="222" t="str">
        <f t="shared" si="131"/>
        <v/>
      </c>
      <c r="U152" s="222" t="str">
        <f t="shared" si="131"/>
        <v/>
      </c>
      <c r="V152" s="222" t="str">
        <f t="shared" si="131"/>
        <v/>
      </c>
      <c r="W152" s="222" t="str">
        <f t="shared" si="131"/>
        <v/>
      </c>
      <c r="X152" s="222" t="str">
        <f t="shared" si="131"/>
        <v/>
      </c>
      <c r="Y152" s="222" t="str">
        <f t="shared" si="131"/>
        <v/>
      </c>
      <c r="Z152" s="222" t="str">
        <f t="shared" si="131"/>
        <v/>
      </c>
      <c r="AA152" s="222" t="str">
        <f t="shared" si="131"/>
        <v/>
      </c>
      <c r="AB152" s="222" t="str">
        <f t="shared" si="131"/>
        <v/>
      </c>
      <c r="AC152" s="222" t="str">
        <f t="shared" si="131"/>
        <v/>
      </c>
      <c r="AD152" s="222" t="str">
        <f t="shared" si="131"/>
        <v/>
      </c>
      <c r="AE152" s="222" t="str">
        <f t="shared" si="131"/>
        <v/>
      </c>
      <c r="AF152" s="222" t="str">
        <f t="shared" si="131"/>
        <v/>
      </c>
      <c r="AG152" s="222" t="str">
        <f t="shared" si="131"/>
        <v/>
      </c>
      <c r="AH152" s="222" t="str">
        <f t="shared" si="131"/>
        <v/>
      </c>
      <c r="AI152" s="222" t="str">
        <f t="shared" si="131"/>
        <v/>
      </c>
      <c r="AJ152" s="32"/>
      <c r="AK152" s="32"/>
      <c r="AL152" s="261"/>
    </row>
    <row r="153" spans="1:38">
      <c r="A153" s="31" t="str">
        <f>AJ118</f>
        <v/>
      </c>
      <c r="B153" s="222" t="str">
        <f>IF(ISERROR(PEARSON($AJ$8:$AJ$52,B$8:B$52)),"",(PEARSON($AJ$8:$AJ$52,B$8:B$52)))</f>
        <v/>
      </c>
      <c r="C153" s="222" t="str">
        <f>IF(ISERROR(PEARSON($AJ$8:$AJ$52,C$8:C$52)),"",(PEARSON($AJ$8:$AJ$52,C$8:C$52)))</f>
        <v/>
      </c>
      <c r="D153" s="222"/>
      <c r="E153" s="222"/>
      <c r="F153" s="222"/>
      <c r="G153" s="222"/>
      <c r="H153" s="222"/>
      <c r="I153" s="222"/>
      <c r="J153" s="222"/>
      <c r="K153" s="222"/>
      <c r="L153" s="222"/>
      <c r="M153" s="222"/>
      <c r="N153" s="222"/>
      <c r="O153" s="222"/>
      <c r="P153" s="222"/>
      <c r="Q153" s="222"/>
      <c r="R153" s="222"/>
      <c r="S153" s="222"/>
      <c r="T153" s="222"/>
      <c r="U153" s="222"/>
      <c r="V153" s="222"/>
      <c r="W153" s="222"/>
      <c r="X153" s="222"/>
      <c r="Y153" s="222"/>
      <c r="Z153" s="222"/>
      <c r="AA153" s="222"/>
      <c r="AB153" s="222"/>
      <c r="AC153" s="222"/>
      <c r="AD153" s="222"/>
      <c r="AE153" s="222"/>
      <c r="AF153" s="32"/>
      <c r="AG153" s="32"/>
      <c r="AH153" s="32"/>
      <c r="AI153" s="32"/>
      <c r="AJ153" s="32"/>
      <c r="AK153" s="32"/>
      <c r="AL153" s="261"/>
    </row>
    <row r="154" spans="1:38">
      <c r="A154" s="31" t="str">
        <f>AK118</f>
        <v/>
      </c>
      <c r="B154" s="222" t="str">
        <f>IF(ISERROR(PEARSON($AK$8:$AK$52,B$8:B$52)),"",(PEARSON($AK$8:$AK$52,B$8:B$52)))</f>
        <v/>
      </c>
      <c r="C154" s="222" t="str">
        <f t="shared" ref="C154:AK154" si="132">IF(ISERROR(PEARSON($AK$8:$AK$52,C$8:C$52)),"",(PEARSON($AK$8:$AK$52,C$8:C$52)))</f>
        <v/>
      </c>
      <c r="D154" s="222" t="str">
        <f t="shared" si="132"/>
        <v/>
      </c>
      <c r="E154" s="222" t="str">
        <f t="shared" si="132"/>
        <v/>
      </c>
      <c r="F154" s="222" t="str">
        <f t="shared" si="132"/>
        <v/>
      </c>
      <c r="G154" s="222" t="str">
        <f t="shared" si="132"/>
        <v/>
      </c>
      <c r="H154" s="222" t="str">
        <f t="shared" si="132"/>
        <v/>
      </c>
      <c r="I154" s="222" t="str">
        <f t="shared" si="132"/>
        <v/>
      </c>
      <c r="J154" s="222" t="str">
        <f t="shared" si="132"/>
        <v/>
      </c>
      <c r="K154" s="222" t="str">
        <f t="shared" si="132"/>
        <v/>
      </c>
      <c r="L154" s="222" t="str">
        <f t="shared" si="132"/>
        <v/>
      </c>
      <c r="M154" s="222" t="str">
        <f t="shared" si="132"/>
        <v/>
      </c>
      <c r="N154" s="222" t="str">
        <f t="shared" si="132"/>
        <v/>
      </c>
      <c r="O154" s="222" t="str">
        <f t="shared" si="132"/>
        <v/>
      </c>
      <c r="P154" s="222" t="str">
        <f t="shared" si="132"/>
        <v/>
      </c>
      <c r="Q154" s="222" t="str">
        <f t="shared" si="132"/>
        <v/>
      </c>
      <c r="R154" s="222" t="str">
        <f t="shared" si="132"/>
        <v/>
      </c>
      <c r="S154" s="222" t="str">
        <f t="shared" si="132"/>
        <v/>
      </c>
      <c r="T154" s="222" t="str">
        <f t="shared" si="132"/>
        <v/>
      </c>
      <c r="U154" s="222" t="str">
        <f t="shared" si="132"/>
        <v/>
      </c>
      <c r="V154" s="222" t="str">
        <f t="shared" si="132"/>
        <v/>
      </c>
      <c r="W154" s="222" t="str">
        <f t="shared" si="132"/>
        <v/>
      </c>
      <c r="X154" s="222" t="str">
        <f t="shared" si="132"/>
        <v/>
      </c>
      <c r="Y154" s="222" t="str">
        <f t="shared" si="132"/>
        <v/>
      </c>
      <c r="Z154" s="222" t="str">
        <f t="shared" si="132"/>
        <v/>
      </c>
      <c r="AA154" s="222" t="str">
        <f t="shared" si="132"/>
        <v/>
      </c>
      <c r="AB154" s="222" t="str">
        <f t="shared" si="132"/>
        <v/>
      </c>
      <c r="AC154" s="222" t="str">
        <f t="shared" si="132"/>
        <v/>
      </c>
      <c r="AD154" s="222" t="str">
        <f t="shared" si="132"/>
        <v/>
      </c>
      <c r="AE154" s="222" t="str">
        <f t="shared" si="132"/>
        <v/>
      </c>
      <c r="AF154" s="222" t="str">
        <f t="shared" si="132"/>
        <v/>
      </c>
      <c r="AG154" s="222" t="str">
        <f t="shared" si="132"/>
        <v/>
      </c>
      <c r="AH154" s="222" t="str">
        <f t="shared" si="132"/>
        <v/>
      </c>
      <c r="AI154" s="222" t="str">
        <f t="shared" si="132"/>
        <v/>
      </c>
      <c r="AJ154" s="222" t="str">
        <f t="shared" si="132"/>
        <v/>
      </c>
      <c r="AK154" s="222" t="str">
        <f t="shared" si="132"/>
        <v/>
      </c>
      <c r="AL154" s="261"/>
    </row>
    <row r="155" spans="1:38">
      <c r="A155" s="327" t="str">
        <f>AL118</f>
        <v/>
      </c>
      <c r="B155" s="328" t="str">
        <f>IF(ISERROR(PEARSON($AL$8:$AL$52,B$8:B$52)),"",(PEARSON($AL$8:$AL$52,B$8:B$52)))</f>
        <v/>
      </c>
      <c r="C155" s="328" t="str">
        <f t="shared" ref="C155:AL155" si="133">IF(ISERROR(PEARSON($AL$8:$AL$52,C$8:C$52)),"",(PEARSON($AL$8:$AL$52,C$8:C$52)))</f>
        <v/>
      </c>
      <c r="D155" s="328" t="str">
        <f t="shared" si="133"/>
        <v/>
      </c>
      <c r="E155" s="328" t="str">
        <f t="shared" si="133"/>
        <v/>
      </c>
      <c r="F155" s="328" t="str">
        <f t="shared" si="133"/>
        <v/>
      </c>
      <c r="G155" s="328" t="str">
        <f t="shared" si="133"/>
        <v/>
      </c>
      <c r="H155" s="328" t="str">
        <f t="shared" si="133"/>
        <v/>
      </c>
      <c r="I155" s="328" t="str">
        <f t="shared" si="133"/>
        <v/>
      </c>
      <c r="J155" s="328" t="str">
        <f t="shared" si="133"/>
        <v/>
      </c>
      <c r="K155" s="328" t="str">
        <f t="shared" si="133"/>
        <v/>
      </c>
      <c r="L155" s="328" t="str">
        <f t="shared" si="133"/>
        <v/>
      </c>
      <c r="M155" s="328" t="str">
        <f t="shared" si="133"/>
        <v/>
      </c>
      <c r="N155" s="328" t="str">
        <f t="shared" si="133"/>
        <v/>
      </c>
      <c r="O155" s="328" t="str">
        <f t="shared" si="133"/>
        <v/>
      </c>
      <c r="P155" s="328" t="str">
        <f t="shared" si="133"/>
        <v/>
      </c>
      <c r="Q155" s="328" t="str">
        <f t="shared" si="133"/>
        <v/>
      </c>
      <c r="R155" s="328" t="str">
        <f t="shared" si="133"/>
        <v/>
      </c>
      <c r="S155" s="328" t="str">
        <f t="shared" si="133"/>
        <v/>
      </c>
      <c r="T155" s="328" t="str">
        <f t="shared" si="133"/>
        <v/>
      </c>
      <c r="U155" s="328" t="str">
        <f t="shared" si="133"/>
        <v/>
      </c>
      <c r="V155" s="328" t="str">
        <f t="shared" si="133"/>
        <v/>
      </c>
      <c r="W155" s="328" t="str">
        <f t="shared" si="133"/>
        <v/>
      </c>
      <c r="X155" s="328" t="str">
        <f t="shared" si="133"/>
        <v/>
      </c>
      <c r="Y155" s="328" t="str">
        <f t="shared" si="133"/>
        <v/>
      </c>
      <c r="Z155" s="328" t="str">
        <f t="shared" si="133"/>
        <v/>
      </c>
      <c r="AA155" s="328" t="str">
        <f t="shared" si="133"/>
        <v/>
      </c>
      <c r="AB155" s="328" t="str">
        <f t="shared" si="133"/>
        <v/>
      </c>
      <c r="AC155" s="328" t="str">
        <f t="shared" si="133"/>
        <v/>
      </c>
      <c r="AD155" s="328" t="str">
        <f t="shared" si="133"/>
        <v/>
      </c>
      <c r="AE155" s="328" t="str">
        <f t="shared" si="133"/>
        <v/>
      </c>
      <c r="AF155" s="328" t="str">
        <f t="shared" si="133"/>
        <v/>
      </c>
      <c r="AG155" s="328" t="str">
        <f t="shared" si="133"/>
        <v/>
      </c>
      <c r="AH155" s="328" t="str">
        <f t="shared" si="133"/>
        <v/>
      </c>
      <c r="AI155" s="328" t="str">
        <f t="shared" si="133"/>
        <v/>
      </c>
      <c r="AJ155" s="328" t="str">
        <f t="shared" si="133"/>
        <v/>
      </c>
      <c r="AK155" s="328" t="str">
        <f t="shared" si="133"/>
        <v/>
      </c>
      <c r="AL155" s="329" t="str">
        <f t="shared" si="133"/>
        <v/>
      </c>
    </row>
    <row r="161" spans="1:39">
      <c r="A161" s="634" t="s">
        <v>745</v>
      </c>
      <c r="B161" s="634"/>
      <c r="C161" s="634"/>
    </row>
    <row r="163" spans="1:39" ht="24">
      <c r="A163" s="330"/>
      <c r="B163" s="331" t="str">
        <f t="shared" ref="B163:H164" si="134">B1</f>
        <v>MKT-TSM</v>
      </c>
      <c r="C163" s="332" t="str">
        <f t="shared" si="134"/>
        <v>LCV</v>
      </c>
      <c r="D163" s="332" t="str">
        <f t="shared" si="134"/>
        <v>500 Idx</v>
      </c>
      <c r="E163" s="332" t="str">
        <f t="shared" si="134"/>
        <v>LCG</v>
      </c>
      <c r="F163" s="332" t="str">
        <f t="shared" si="134"/>
        <v>MCB</v>
      </c>
      <c r="G163" s="332" t="str">
        <f t="shared" si="134"/>
        <v>SCV</v>
      </c>
      <c r="H163" s="332" t="str">
        <f t="shared" si="134"/>
        <v>SCB</v>
      </c>
      <c r="I163" s="332" t="str">
        <f>IF(I$1="", "", I$1)</f>
        <v>SCG</v>
      </c>
      <c r="J163" s="332" t="str">
        <f t="shared" ref="J163:AL163" si="135">IF(J$1="", "", J$1)</f>
        <v>D10</v>
      </c>
      <c r="K163" s="332" t="str">
        <f t="shared" si="135"/>
        <v>REIT</v>
      </c>
      <c r="L163" s="332" t="str">
        <f t="shared" si="135"/>
        <v>EAFED</v>
      </c>
      <c r="M163" s="332" t="str">
        <f t="shared" si="135"/>
        <v>EM</v>
      </c>
      <c r="N163" s="332" t="str">
        <f t="shared" si="135"/>
        <v>Total Intl</v>
      </c>
      <c r="O163" s="332" t="str">
        <f t="shared" si="135"/>
        <v>Pacific</v>
      </c>
      <c r="P163" s="332" t="str">
        <f t="shared" si="135"/>
        <v>Europe</v>
      </c>
      <c r="Q163" s="332" t="str">
        <f t="shared" si="135"/>
        <v>Intl Value</v>
      </c>
      <c r="R163" s="332" t="str">
        <f t="shared" si="135"/>
        <v>COMM</v>
      </c>
      <c r="S163" s="332" t="str">
        <f t="shared" si="135"/>
        <v>LTGB</v>
      </c>
      <c r="T163" s="332" t="str">
        <f t="shared" si="135"/>
        <v>5 Yr T</v>
      </c>
      <c r="U163" s="332" t="str">
        <f t="shared" si="135"/>
        <v>ITB</v>
      </c>
      <c r="V163" s="332" t="str">
        <f t="shared" si="135"/>
        <v>TBILL</v>
      </c>
      <c r="W163" s="332" t="str">
        <f t="shared" si="135"/>
        <v>S-TIPS</v>
      </c>
      <c r="X163" s="333" t="str">
        <f t="shared" si="135"/>
        <v>Wellington</v>
      </c>
      <c r="Y163" s="332" t="str">
        <f t="shared" si="135"/>
        <v>Wellesley</v>
      </c>
      <c r="Z163" s="332" t="str">
        <f t="shared" si="135"/>
        <v>Windsor</v>
      </c>
      <c r="AA163" s="332" t="str">
        <f t="shared" si="135"/>
        <v>ST Trsry</v>
      </c>
      <c r="AB163" s="332" t="str">
        <f t="shared" si="135"/>
        <v>GOLD</v>
      </c>
      <c r="AC163" s="332" t="str">
        <f t="shared" si="135"/>
        <v>VG Intl Small</v>
      </c>
      <c r="AD163" s="332" t="str">
        <f t="shared" si="135"/>
        <v/>
      </c>
      <c r="AE163" s="332" t="str">
        <f t="shared" si="135"/>
        <v/>
      </c>
      <c r="AF163" s="332" t="str">
        <f t="shared" si="135"/>
        <v/>
      </c>
      <c r="AG163" s="332" t="str">
        <f t="shared" si="135"/>
        <v/>
      </c>
      <c r="AH163" s="332" t="str">
        <f t="shared" si="135"/>
        <v/>
      </c>
      <c r="AI163" s="332" t="str">
        <f t="shared" si="135"/>
        <v/>
      </c>
      <c r="AJ163" s="332" t="str">
        <f t="shared" si="135"/>
        <v/>
      </c>
      <c r="AK163" s="332" t="str">
        <f t="shared" si="135"/>
        <v/>
      </c>
      <c r="AL163" s="334" t="str">
        <f t="shared" si="135"/>
        <v/>
      </c>
      <c r="AM163" s="330" t="str">
        <f>AM1</f>
        <v>Inflation</v>
      </c>
    </row>
    <row r="164" spans="1:39" ht="24">
      <c r="A164" s="335"/>
      <c r="B164" s="336" t="str">
        <f t="shared" si="134"/>
        <v>VTSMX</v>
      </c>
      <c r="C164" s="335" t="str">
        <f t="shared" si="134"/>
        <v>VIVAX</v>
      </c>
      <c r="D164" s="335" t="str">
        <f t="shared" si="134"/>
        <v>VFINX</v>
      </c>
      <c r="E164" s="335" t="str">
        <f t="shared" si="134"/>
        <v>VIGRX</v>
      </c>
      <c r="F164" s="335" t="str">
        <f t="shared" si="134"/>
        <v>VIMSX</v>
      </c>
      <c r="G164" s="335" t="str">
        <f t="shared" si="134"/>
        <v>VISVX</v>
      </c>
      <c r="H164" s="335" t="str">
        <f t="shared" si="134"/>
        <v>NAESX</v>
      </c>
      <c r="I164" s="335" t="str">
        <f>IF(I$2="", "", I$2)</f>
        <v>VISGX</v>
      </c>
      <c r="J164" s="335" t="str">
        <f t="shared" ref="J164:AL164" si="136">IF(J$2="", "", J$2)</f>
        <v>BRSIX</v>
      </c>
      <c r="K164" s="335" t="str">
        <f t="shared" si="136"/>
        <v>VGSIX</v>
      </c>
      <c r="L164" s="335" t="str">
        <f t="shared" si="136"/>
        <v>VTMGX</v>
      </c>
      <c r="M164" s="335" t="str">
        <f t="shared" si="136"/>
        <v>VEIEX</v>
      </c>
      <c r="N164" s="335" t="str">
        <f t="shared" si="136"/>
        <v>VGTSX</v>
      </c>
      <c r="O164" s="335" t="str">
        <f t="shared" si="136"/>
        <v>VPACX</v>
      </c>
      <c r="P164" s="335" t="str">
        <f t="shared" si="136"/>
        <v>VEURX</v>
      </c>
      <c r="Q164" s="335" t="str">
        <f t="shared" si="136"/>
        <v>VTRIX</v>
      </c>
      <c r="R164" s="335" t="str">
        <f t="shared" si="136"/>
        <v>PCRIX</v>
      </c>
      <c r="S164" s="335" t="str">
        <f t="shared" si="136"/>
        <v>VUSTX</v>
      </c>
      <c r="T164" s="335" t="str">
        <f t="shared" si="136"/>
        <v>VFITX</v>
      </c>
      <c r="U164" s="335" t="str">
        <f t="shared" si="136"/>
        <v>VBMFX</v>
      </c>
      <c r="V164" s="335" t="str">
        <f t="shared" si="136"/>
        <v>VUSXX</v>
      </c>
      <c r="W164" s="335" t="str">
        <f t="shared" si="136"/>
        <v>VIPSX</v>
      </c>
      <c r="X164" s="335" t="str">
        <f t="shared" si="136"/>
        <v>VWELX</v>
      </c>
      <c r="Y164" s="335" t="str">
        <f t="shared" si="136"/>
        <v>VWINX</v>
      </c>
      <c r="Z164" s="335" t="str">
        <f t="shared" si="136"/>
        <v>VWNDX</v>
      </c>
      <c r="AA164" s="335" t="str">
        <f t="shared" si="136"/>
        <v>VFISX</v>
      </c>
      <c r="AB164" s="335" t="str">
        <f t="shared" si="136"/>
        <v>GLD</v>
      </c>
      <c r="AC164" s="335" t="str">
        <f t="shared" si="136"/>
        <v>VFSVX</v>
      </c>
      <c r="AD164" s="335" t="str">
        <f t="shared" si="136"/>
        <v/>
      </c>
      <c r="AE164" s="335" t="str">
        <f t="shared" si="136"/>
        <v/>
      </c>
      <c r="AF164" s="335" t="str">
        <f t="shared" si="136"/>
        <v/>
      </c>
      <c r="AG164" s="335" t="str">
        <f t="shared" si="136"/>
        <v/>
      </c>
      <c r="AH164" s="335" t="str">
        <f t="shared" si="136"/>
        <v/>
      </c>
      <c r="AI164" s="335" t="str">
        <f t="shared" si="136"/>
        <v/>
      </c>
      <c r="AJ164" s="335" t="str">
        <f t="shared" si="136"/>
        <v/>
      </c>
      <c r="AK164" s="335" t="str">
        <f t="shared" si="136"/>
        <v/>
      </c>
      <c r="AL164" s="337" t="str">
        <f t="shared" si="136"/>
        <v/>
      </c>
      <c r="AM164" s="335" t="str">
        <f>AM2</f>
        <v>CPI-U</v>
      </c>
    </row>
    <row r="165" spans="1:39" ht="14">
      <c r="A165" s="338" t="s">
        <v>468</v>
      </c>
      <c r="B165" s="339">
        <f t="array" ref="B165">(PRODUCT(1+B$8:B$11%)^(1/COUNT(B$8:B$11))-1)</f>
        <v>-1.010554946499187E-2</v>
      </c>
      <c r="C165" s="340">
        <f t="array" ref="C165">(PRODUCT(1+C$8:C$11%)^(1/COUNT(C$8:C$11))-1)</f>
        <v>7.6314991129749155E-2</v>
      </c>
      <c r="D165" s="340">
        <f t="array" ref="D165">(PRODUCT(1+D$8:D$11%)^(1/COUNT(D$8:D$11))-1)</f>
        <v>4.1455939558245891E-3</v>
      </c>
      <c r="E165" s="340">
        <f t="array" ref="E165">(PRODUCT(1+E$8:E$11%)^(1/COUNT(E$8:E$11))-1)</f>
        <v>-2.9249136098358441E-2</v>
      </c>
      <c r="F165" s="340">
        <f t="array" ref="F165">(PRODUCT(1+F$8:F$11%)^(1/COUNT(F$8:F$11))-1)</f>
        <v>-1.653960856177028E-2</v>
      </c>
      <c r="G165" s="340">
        <f t="array" ref="G165">(PRODUCT(1+G$8:G$11%)^(1/COUNT(G$8:G$11))-1)</f>
        <v>-1.404929694339585E-3</v>
      </c>
      <c r="H165" s="340">
        <f t="array" ref="H165">(PRODUCT(1+H$8:H$11%)^(1/COUNT(H$8:H$11))-1)</f>
        <v>-4.4237740390155489E-2</v>
      </c>
      <c r="I165" s="340">
        <f t="array" ref="I165">(PRODUCT(1+I$8:I$11%)^(1/COUNT(I$8:I$11))-1)</f>
        <v>-0.12307989559183208</v>
      </c>
      <c r="J165" s="340">
        <f t="array" ref="J165">(PRODUCT(1+J$8:J$11%)^(1/COUNT(J$8:J$11))-1)</f>
        <v>-8.8142161890635506E-2</v>
      </c>
      <c r="K165" s="340">
        <f t="array" ref="K165">(PRODUCT(1+K$8:K$11%)^(1/COUNT(K$8:K$11))-1)</f>
        <v>-4.0691785642517964E-2</v>
      </c>
      <c r="L165" s="340">
        <f t="array" ref="L165">(PRODUCT(1+L$8:L$11%)^(1/COUNT(L$8:L$11))-1)</f>
        <v>4.7033641288158012E-2</v>
      </c>
      <c r="M165" s="340">
        <f t="array" ref="M165">(PRODUCT(1+M$8:M$11%)^(1/COUNT(M$8:M$11))-1)</f>
        <v>8.3140893970925944E-2</v>
      </c>
      <c r="N165" s="340">
        <f t="array" ref="N165">(PRODUCT(1+N$8:N$11%)^(1/COUNT(N$8:N$11))-1)</f>
        <v>5.1629197536108506E-2</v>
      </c>
      <c r="O165" s="340">
        <f t="array" ref="O165">(PRODUCT(1+O$8:O$11%)^(1/COUNT(O$8:O$11))-1)</f>
        <v>0.12935101438808561</v>
      </c>
      <c r="P165" s="340">
        <f t="array" ref="P165">(PRODUCT(1+P$8:P$11%)^(1/COUNT(P$8:P$11))-1)</f>
        <v>4.0714743358681416E-2</v>
      </c>
      <c r="Q165" s="340">
        <f t="array" ref="Q165">(PRODUCT(1+Q$8:Q$11%)^(1/COUNT(Q$8:Q$11))-1)</f>
        <v>5.4758355925057511E-2</v>
      </c>
      <c r="R165" s="340">
        <f t="array" ref="R165">(PRODUCT(1+R$8:R$11%)^(1/COUNT(R$8:R$11))-1)</f>
        <v>0.26435927924487079</v>
      </c>
      <c r="S165" s="340">
        <f t="array" ref="S165">(PRODUCT(1+S$8:S$11%)^(1/COUNT(S$8:S$11))-1)</f>
        <v>1.243063319216664E-2</v>
      </c>
      <c r="T165" s="340">
        <f t="array" ref="T165">(PRODUCT(1+T$8:T$11%)^(1/COUNT(T$8:T$11))-1)</f>
        <v>4.6520441008059521E-2</v>
      </c>
      <c r="U165" s="340">
        <f t="array" ref="U165">(PRODUCT(1+U$8:U$11%)^(1/COUNT(U$8:U$11))-1)</f>
        <v>5.8727560264427048E-2</v>
      </c>
      <c r="V165" s="340">
        <f t="array" ref="V165">(PRODUCT(1+V$8:V$11%)^(1/COUNT(V$8:V$11))-1)</f>
        <v>6.0182011766032328E-2</v>
      </c>
      <c r="W165" s="340">
        <f t="array" ref="W165">(PRODUCT(1+W$8:W$11%)^(1/COUNT(W$8:W$11))-1)</f>
        <v>3.3429086641988848E-2</v>
      </c>
      <c r="X165" s="340">
        <f t="array" ref="X165">(PRODUCT(1+X$8:X$11%)^(1/COUNT(X$8:X$11))-1)</f>
        <v>1.2980239899960111E-3</v>
      </c>
      <c r="Y165" s="340">
        <f t="array" ref="Y165">(PRODUCT(1+Y$8:Y$11%)^(1/COUNT(Y$8:Y$11))-1)</f>
        <v>3.8077486511970626E-2</v>
      </c>
      <c r="Z165" s="340">
        <f t="array" ref="Z165">(PRODUCT(1+Z$8:Z$11%)^(1/COUNT(Z$8:Z$11))-1)</f>
        <v>1.4289358687065823E-2</v>
      </c>
      <c r="AA165" s="340">
        <f t="array" ref="AA165">(PRODUCT(1+AA$8:AA$11%)^(1/COUNT(AA$8:AA$11))-1)</f>
        <v>6.5188723424975281E-2</v>
      </c>
      <c r="AB165" s="340">
        <f t="array" ref="AB165">(PRODUCT(1+AB$8:AB$11%)^(1/COUNT(AB$8:AB$11))-1)</f>
        <v>0.33427382027716357</v>
      </c>
      <c r="AC165" s="340">
        <f t="array" ref="AC165">(PRODUCT(1+AC$8:AC$11%)^(1/COUNT(AC$8:AC$11))-1)</f>
        <v>0.1055802574184308</v>
      </c>
      <c r="AD165" s="340"/>
      <c r="AE165" s="340"/>
      <c r="AF165" s="340"/>
      <c r="AG165" s="340"/>
      <c r="AH165" s="340"/>
      <c r="AI165" s="340"/>
      <c r="AJ165" s="340"/>
      <c r="AK165" s="340"/>
      <c r="AL165" s="341"/>
      <c r="AM165" s="61">
        <f t="array" ref="AM165">(PRODUCT(1+AM$8:AM$11%)^(1/COUNT(AM$8:AM$11))-1)</f>
        <v>7.7985180109022334E-2</v>
      </c>
    </row>
    <row r="166" spans="1:39" ht="14">
      <c r="A166" s="338" t="s">
        <v>469</v>
      </c>
      <c r="B166" s="339">
        <f t="array" ref="B166">PRODUCT(1+B$12:B$16%)^(1/COUNT(B$12:B$16))-1</f>
        <v>0.16125514382267991</v>
      </c>
      <c r="C166" s="340">
        <f t="array" ref="C166">PRODUCT(1+C$12:C$16%)^(1/COUNT(C$12:C$16))-1</f>
        <v>0.17626294414928734</v>
      </c>
      <c r="D166" s="340">
        <f t="array" ref="D166">PRODUCT(1+D$12:D$16%)^(1/COUNT(D$12:D$16))-1</f>
        <v>0.13414851524688665</v>
      </c>
      <c r="E166" s="340">
        <f t="array" ref="E166">PRODUCT(1+E$12:E$16%)^(1/COUNT(E$12:E$16))-1</f>
        <v>0.14299701922962349</v>
      </c>
      <c r="F166" s="340">
        <f t="array" ref="F166">PRODUCT(1+F$12:F$16%)^(1/COUNT(F$12:F$16))-1</f>
        <v>0.22957498639018659</v>
      </c>
      <c r="G166" s="340">
        <f t="array" ref="G166">PRODUCT(1+G$12:G$16%)^(1/COUNT(G$12:G$16))-1</f>
        <v>0.32311160854870646</v>
      </c>
      <c r="H166" s="340">
        <f t="array" ref="H166">PRODUCT(1+H$12:H$16%)^(1/COUNT(H$12:H$16))-1</f>
        <v>0.3278773848347265</v>
      </c>
      <c r="I166" s="340">
        <f t="array" ref="I166">PRODUCT(1+I$12:I$16%)^(1/COUNT(I$12:I$16))-1</f>
        <v>0.34443389371973598</v>
      </c>
      <c r="J166" s="340">
        <f t="array" ref="J166">PRODUCT(1+J$12:J$16%)^(1/COUNT(J$12:J$16))-1</f>
        <v>0.34468492595080935</v>
      </c>
      <c r="K166" s="340">
        <f t="array" ref="K166">PRODUCT(1+K$12:K$16%)^(1/COUNT(K$12:K$16))-1</f>
        <v>0.27165389168141552</v>
      </c>
      <c r="L166" s="340">
        <f t="array" ref="L166">PRODUCT(1+L$12:L$16%)^(1/COUNT(L$12:L$16))-1</f>
        <v>0.15473709854110607</v>
      </c>
      <c r="M166" s="340">
        <f t="array" ref="M166">PRODUCT(1+M$12:M$16%)^(1/COUNT(M$12:M$16))-1</f>
        <v>0.26004394728611713</v>
      </c>
      <c r="N166" s="340">
        <f t="array" ref="N166">PRODUCT(1+N$12:N$16%)^(1/COUNT(N$12:N$16))-1</f>
        <v>0.17017634616676292</v>
      </c>
      <c r="O166" s="340">
        <f t="array" ref="O166">PRODUCT(1+O$12:O$16%)^(1/COUNT(O$12:O$16))-1</f>
        <v>0.21733107310504063</v>
      </c>
      <c r="P166" s="340">
        <f t="array" ref="P166">PRODUCT(1+P$12:P$16%)^(1/COUNT(P$12:P$16))-1</f>
        <v>0.13320827549904202</v>
      </c>
      <c r="Q166" s="340">
        <f t="array" ref="Q166">PRODUCT(1+Q$12:Q$16%)^(1/COUNT(Q$12:Q$16))-1</f>
        <v>0.1873173249306137</v>
      </c>
      <c r="R166" s="340">
        <f t="array" ref="R166">PRODUCT(1+R$12:R$16%)^(1/COUNT(R$12:R$16))-1</f>
        <v>0.11873587651024131</v>
      </c>
      <c r="S166" s="340">
        <f t="array" ref="S166">PRODUCT(1+S$12:S$16%)^(1/COUNT(S$12:S$16))-1</f>
        <v>9.1536406387575653E-3</v>
      </c>
      <c r="T166" s="340">
        <f t="array" ref="T166">PRODUCT(1+T$12:T$16%)^(1/COUNT(T$12:T$16))-1</f>
        <v>4.2668016072945791E-2</v>
      </c>
      <c r="U166" s="340">
        <f t="array" ref="U166">PRODUCT(1+U$12:U$16%)^(1/COUNT(U$12:U$16))-1</f>
        <v>5.7556110871897603E-2</v>
      </c>
      <c r="V166" s="340">
        <f t="array" ref="V166">PRODUCT(1+V$12:V$16%)^(1/COUNT(V$12:V$16))-1</f>
        <v>7.6916923316852515E-2</v>
      </c>
      <c r="W166" s="340">
        <f t="array" ref="W166">PRODUCT(1+W$12:W$16%)^(1/COUNT(W$12:W$16))-1</f>
        <v>8.3052139194091934E-2</v>
      </c>
      <c r="X166" s="340">
        <f t="array" ref="X166">PRODUCT(1+X$12:X$16%)^(1/COUNT(X$12:X$16))-1</f>
        <v>0.11573354746473519</v>
      </c>
      <c r="Y166" s="340">
        <f t="array" ref="Y166">PRODUCT(1+Y$12:Y$16%)^(1/COUNT(Y$12:Y$16))-1</f>
        <v>9.6140260729246529E-2</v>
      </c>
      <c r="Z166" s="340">
        <f t="array" ref="Z166">PRODUCT(1+Z$12:Z$16%)^(1/COUNT(Z$12:Z$16))-1</f>
        <v>0.19314838365716858</v>
      </c>
      <c r="AA166" s="340">
        <f t="array" ref="AA166">PRODUCT(1+AA$12:AA$16%)^(1/COUNT(AA$12:AA$16))-1</f>
        <v>8.2418088392014699E-2</v>
      </c>
      <c r="AB166" s="340">
        <f t="array" ref="AB166">PRODUCT(1+AB$12:AB$16%)^(1/COUNT(AB$12:AB$16))-1</f>
        <v>0.32745345783422675</v>
      </c>
      <c r="AC166" s="340">
        <f t="array" ref="AC166">PRODUCT(1+AC$12:AC$16%)^(1/COUNT(AC$12:AC$16))-1</f>
        <v>0.33483338780646976</v>
      </c>
      <c r="AD166" s="340"/>
      <c r="AE166" s="340"/>
      <c r="AF166" s="340"/>
      <c r="AG166" s="340"/>
      <c r="AH166" s="340"/>
      <c r="AI166" s="340"/>
      <c r="AJ166" s="340"/>
      <c r="AK166" s="340"/>
      <c r="AL166" s="341"/>
      <c r="AM166" s="61">
        <f t="array" ref="AM166">PRODUCT(1+AM$12:AM$16%)^(1/COUNT(AM$12:AM$16))-1</f>
        <v>9.2304096788104362E-2</v>
      </c>
    </row>
    <row r="167" spans="1:39" ht="14">
      <c r="A167" s="338" t="s">
        <v>470</v>
      </c>
      <c r="B167" s="339">
        <f t="array" ref="B167">PRODUCT(1+B$17:B$21%)^(1/COUNT(B$17:B$21))-1</f>
        <v>0.14220086772944374</v>
      </c>
      <c r="C167" s="340">
        <f t="array" ref="C167">PRODUCT(1+C$17:C$21%)^(1/COUNT(C$17:C$21))-1</f>
        <v>0.17421697261561331</v>
      </c>
      <c r="D167" s="340">
        <f t="array" ref="D167">PRODUCT(1+D$17:D$21%)^(1/COUNT(D$17:D$21))-1</f>
        <v>0.14145500140322853</v>
      </c>
      <c r="E167" s="340">
        <f t="array" ref="E167">PRODUCT(1+E$17:E$21%)^(1/COUNT(E$17:E$21))-1</f>
        <v>0.10029220430394203</v>
      </c>
      <c r="F167" s="340">
        <f t="array" ref="F167">PRODUCT(1+F$17:F$21%)^(1/COUNT(F$17:F$21))-1</f>
        <v>0.15643541316110166</v>
      </c>
      <c r="G167" s="340">
        <f t="array" ref="G167">PRODUCT(1+G$17:G$21%)^(1/COUNT(G$17:G$21))-1</f>
        <v>0.22075618363261551</v>
      </c>
      <c r="H167" s="340">
        <f t="array" ref="H167">PRODUCT(1+H$17:H$21%)^(1/COUNT(H$17:H$21))-1</f>
        <v>0.14592587337904339</v>
      </c>
      <c r="I167" s="340">
        <f t="array" ref="I167">PRODUCT(1+I$17:I$21%)^(1/COUNT(I$17:I$21))-1</f>
        <v>7.5478647434416235E-2</v>
      </c>
      <c r="J167" s="340">
        <f t="array" ref="J167">PRODUCT(1+J$17:J$21%)^(1/COUNT(J$17:J$21))-1</f>
        <v>0.13019070478944261</v>
      </c>
      <c r="K167" s="340">
        <f t="array" ref="K167">PRODUCT(1+K$17:K$21%)^(1/COUNT(K$17:K$21))-1</f>
        <v>0.19062894302959199</v>
      </c>
      <c r="L167" s="340">
        <f t="array" ref="L167">PRODUCT(1+L$17:L$21%)^(1/COUNT(L$17:L$21))-1</f>
        <v>0.15524148802323268</v>
      </c>
      <c r="M167" s="340">
        <f t="array" ref="M167">PRODUCT(1+M$17:M$21%)^(1/COUNT(M$17:M$21))-1</f>
        <v>0.19083008779594746</v>
      </c>
      <c r="N167" s="340">
        <f t="array" ref="N167">PRODUCT(1+N$17:N$21%)^(1/COUNT(N$17:N$21))-1</f>
        <v>0.15954335109912665</v>
      </c>
      <c r="O167" s="340">
        <f t="array" ref="O167">PRODUCT(1+O$17:O$21%)^(1/COUNT(O$17:O$21))-1</f>
        <v>0.14917017756143447</v>
      </c>
      <c r="P167" s="340">
        <f t="array" ref="P167">PRODUCT(1+P$17:P$21%)^(1/COUNT(P$17:P$21))-1</f>
        <v>0.15820386329903768</v>
      </c>
      <c r="Q167" s="340">
        <f t="array" ref="Q167">PRODUCT(1+Q$17:Q$21%)^(1/COUNT(Q$17:Q$21))-1</f>
        <v>0.17926907971011596</v>
      </c>
      <c r="R167" s="340">
        <f t="array" ref="R167">PRODUCT(1+R$17:R$21%)^(1/COUNT(R$17:R$21))-1</f>
        <v>-3.044906124916591E-3</v>
      </c>
      <c r="S167" s="340">
        <f t="array" ref="S167">PRODUCT(1+S$17:S$21%)^(1/COUNT(S$17:S$21))-1</f>
        <v>0.16690281475165092</v>
      </c>
      <c r="T167" s="340">
        <f t="array" ref="T167">PRODUCT(1+T$17:T$21%)^(1/COUNT(T$17:T$21))-1</f>
        <v>0.15051131271555307</v>
      </c>
      <c r="U167" s="340">
        <f t="array" ref="U167">PRODUCT(1+U$17:U$21%)^(1/COUNT(U$17:U$21))-1</f>
        <v>0.14955786609820865</v>
      </c>
      <c r="V167" s="340">
        <f t="array" ref="V167">PRODUCT(1+V$17:V$21%)^(1/COUNT(V$17:V$21))-1</f>
        <v>0.10127409997099135</v>
      </c>
      <c r="W167" s="340">
        <f t="array" ref="W167">PRODUCT(1+W$17:W$21%)^(1/COUNT(W$17:W$21))-1</f>
        <v>7.4450748130168609E-2</v>
      </c>
      <c r="X167" s="340">
        <f t="array" ref="X167">PRODUCT(1+X$17:X$21%)^(1/COUNT(X$17:X$21))-1</f>
        <v>0.17642665589596063</v>
      </c>
      <c r="Y167" s="340">
        <f t="array" ref="Y167">PRODUCT(1+Y$17:Y$21%)^(1/COUNT(Y$17:Y$21))-1</f>
        <v>0.18752207594623127</v>
      </c>
      <c r="Z167" s="340">
        <f t="array" ref="Z167">PRODUCT(1+Z$17:Z$21%)^(1/COUNT(Z$17:Z$21))-1</f>
        <v>0.2311650131272498</v>
      </c>
      <c r="AA167" s="340">
        <f t="array" ref="AA167">PRODUCT(1+AA$17:AA$21%)^(1/COUNT(AA$17:AA$21))-1</f>
        <v>0.14298176245669891</v>
      </c>
      <c r="AB167" s="340">
        <f t="array" ref="AB167">PRODUCT(1+AB$17:AB$21%)^(1/COUNT(AB$17:AB$21))-1</f>
        <v>-0.1150420503805567</v>
      </c>
      <c r="AC167" s="340">
        <f t="array" ref="AC167">PRODUCT(1+AC$17:AC$21%)^(1/COUNT(AC$17:AC$21))-1</f>
        <v>0.20130526908975455</v>
      </c>
      <c r="AD167" s="340"/>
      <c r="AE167" s="340"/>
      <c r="AF167" s="340"/>
      <c r="AG167" s="340"/>
      <c r="AH167" s="340"/>
      <c r="AI167" s="340"/>
      <c r="AJ167" s="340"/>
      <c r="AK167" s="340"/>
      <c r="AL167" s="341"/>
      <c r="AM167" s="61">
        <f t="array" ref="AM167">PRODUCT(1+AM$17:AM$21%)^(1/COUNT(AM$17:AM$21))-1</f>
        <v>4.8387594305359549E-2</v>
      </c>
    </row>
    <row r="168" spans="1:39" ht="14">
      <c r="A168" s="338" t="s">
        <v>471</v>
      </c>
      <c r="B168" s="339">
        <f t="array" ref="B168">PRODUCT(1+B$22:B$26%)^(1/COUNT(B$22:B$26))-1</f>
        <v>0.10852506234865578</v>
      </c>
      <c r="C168" s="340">
        <f t="array" ref="C168">PRODUCT(1+C$22:C$26%)^(1/COUNT(C$22:C$26))-1</f>
        <v>0.11065158525784091</v>
      </c>
      <c r="D168" s="340">
        <f t="array" ref="D168">PRODUCT(1+D$22:D$26%)^(1/COUNT(D$22:D$26))-1</f>
        <v>0.12780578571976231</v>
      </c>
      <c r="E168" s="340">
        <f t="array" ref="E168">PRODUCT(1+E$22:E$26%)^(1/COUNT(E$22:E$26))-1</f>
        <v>0.12618843066190566</v>
      </c>
      <c r="F168" s="340">
        <f t="array" ref="F168">PRODUCT(1+F$22:F$26%)^(1/COUNT(F$22:F$26))-1</f>
        <v>9.4107505111372447E-2</v>
      </c>
      <c r="G168" s="340">
        <f t="array" ref="G168">PRODUCT(1+G$22:G$26%)^(1/COUNT(G$22:G$26))-1</f>
        <v>2.3422204319618611E-2</v>
      </c>
      <c r="H168" s="340">
        <f t="array" ref="H168">PRODUCT(1+H$22:H$26%)^(1/COUNT(H$22:H$26))-1</f>
        <v>2.1713481966091575E-2</v>
      </c>
      <c r="I168" s="340">
        <f t="array" ref="I168">PRODUCT(1+I$22:I$26%)^(1/COUNT(I$22:I$26))-1</f>
        <v>1.8453085304235728E-2</v>
      </c>
      <c r="J168" s="340">
        <f t="array" ref="J168">PRODUCT(1+J$22:J$26%)^(1/COUNT(J$22:J$26))-1</f>
        <v>-6.3889814249417309E-2</v>
      </c>
      <c r="K168" s="340">
        <f t="array" ref="K168">PRODUCT(1+K$22:K$26%)^(1/COUNT(K$22:K$26))-1</f>
        <v>3.4527361647330279E-2</v>
      </c>
      <c r="L168" s="340">
        <f t="array" ref="L168">PRODUCT(1+L$22:L$26%)^(1/COUNT(L$22:L$26))-1</f>
        <v>0.18246654967789344</v>
      </c>
      <c r="M168" s="340">
        <f t="array" ref="M168">PRODUCT(1+M$22:M$26%)^(1/COUNT(M$22:M$26))-1</f>
        <v>0.35478756113333021</v>
      </c>
      <c r="N168" s="340">
        <f t="array" ref="N168">PRODUCT(1+N$22:N$26%)^(1/COUNT(N$22:N$26))-1</f>
        <v>0.20905388390476576</v>
      </c>
      <c r="O168" s="340">
        <f t="array" ref="O168">PRODUCT(1+O$22:O$26%)^(1/COUNT(O$22:O$26))-1</f>
        <v>0.19535496774577621</v>
      </c>
      <c r="P168" s="340">
        <f t="array" ref="P168">PRODUCT(1+P$22:P$26%)^(1/COUNT(P$22:P$26))-1</f>
        <v>0.16602345053014123</v>
      </c>
      <c r="Q168" s="340">
        <f t="array" ref="Q168">PRODUCT(1+Q$22:Q$26%)^(1/COUNT(Q$22:Q$26))-1</f>
        <v>0.2289691291252014</v>
      </c>
      <c r="R168" s="340">
        <f t="array" ref="R168">PRODUCT(1+R$22:R$26%)^(1/COUNT(R$22:R$26))-1</f>
        <v>0.15938505020548854</v>
      </c>
      <c r="S168" s="340">
        <f t="array" ref="S168">PRODUCT(1+S$22:S$26%)^(1/COUNT(S$22:S$26))-1</f>
        <v>0.11503279379299558</v>
      </c>
      <c r="T168" s="340">
        <f t="array" ref="T168">PRODUCT(1+T$22:T$26%)^(1/COUNT(T$22:T$26))-1</f>
        <v>9.1566078107855775E-2</v>
      </c>
      <c r="U168" s="340">
        <f t="array" ref="U168">PRODUCT(1+U$22:U$26%)^(1/COUNT(U$22:U$26))-1</f>
        <v>8.5931980294914334E-2</v>
      </c>
      <c r="V168" s="340">
        <f t="array" ref="V168">PRODUCT(1+V$22:V$26%)^(1/COUNT(V$22:V$26))-1</f>
        <v>7.2164687145918283E-2</v>
      </c>
      <c r="W168" s="340">
        <f t="array" ref="W168">PRODUCT(1+W$22:W$26%)^(1/COUNT(W$22:W$26))-1</f>
        <v>0.11932634886680149</v>
      </c>
      <c r="X168" s="340">
        <f t="array" ref="X168">PRODUCT(1+X$22:X$26%)^(1/COUNT(X$22:X$26))-1</f>
        <v>0.10691287964711016</v>
      </c>
      <c r="Y168" s="340">
        <f t="array" ref="Y168">PRODUCT(1+Y$22:Y$26%)^(1/COUNT(Y$22:Y$26))-1</f>
        <v>0.10595770745323785</v>
      </c>
      <c r="Z168" s="340">
        <f t="array" ref="Z168">PRODUCT(1+Z$22:Z$26%)^(1/COUNT(Z$22:Z$26))-1</f>
        <v>8.7764881207136103E-2</v>
      </c>
      <c r="AA168" s="340">
        <f t="array" ref="AA168">PRODUCT(1+AA$22:AA$26%)^(1/COUNT(AA$22:AA$26))-1</f>
        <v>8.0413856903391423E-2</v>
      </c>
      <c r="AB168" s="340">
        <f t="array" ref="AB168">PRODUCT(1+AB$22:AB$26%)^(1/COUNT(AB$22:AB$26))-1</f>
        <v>3.3474078851322586E-2</v>
      </c>
      <c r="AC168" s="340">
        <f t="array" ref="AC168">PRODUCT(1+AC$22:AC$26%)^(1/COUNT(AC$22:AC$26))-1</f>
        <v>0.24385843601181878</v>
      </c>
      <c r="AD168" s="340"/>
      <c r="AE168" s="340"/>
      <c r="AF168" s="340"/>
      <c r="AG168" s="340"/>
      <c r="AH168" s="340"/>
      <c r="AI168" s="340"/>
      <c r="AJ168" s="340"/>
      <c r="AK168" s="340"/>
      <c r="AL168" s="341"/>
      <c r="AM168" s="61">
        <f t="array" ref="AM168">PRODUCT(1+AM$22:AM$26%)^(1/COUNT(AM$22:AM$26))-1</f>
        <v>4.1279192897776706E-2</v>
      </c>
    </row>
    <row r="169" spans="1:39" ht="14">
      <c r="A169" s="338" t="s">
        <v>472</v>
      </c>
      <c r="B169" s="339">
        <f t="array" ref="B169">PRODUCT(1+B$27:B$31%)^(1/COUNT(B$27:B$31))-1</f>
        <v>0.17150429623613284</v>
      </c>
      <c r="C169" s="340">
        <f t="array" ref="C169">PRODUCT(1+C$27:C$31%)^(1/COUNT(C$27:C$31))-1</f>
        <v>0.17770561102058036</v>
      </c>
      <c r="D169" s="340">
        <f t="array" ref="D169">PRODUCT(1+D$27:D$31%)^(1/COUNT(D$27:D$31))-1</f>
        <v>0.16410481703694502</v>
      </c>
      <c r="E169" s="340">
        <f t="array" ref="E169">PRODUCT(1+E$27:E$31%)^(1/COUNT(E$27:E$31))-1</f>
        <v>0.16308857988904868</v>
      </c>
      <c r="F169" s="340">
        <f t="array" ref="F169">PRODUCT(1+F$27:F$31%)^(1/COUNT(F$27:F$31))-1</f>
        <v>0.19616142256953295</v>
      </c>
      <c r="G169" s="340">
        <f t="array" ref="G169">PRODUCT(1+G$27:G$31%)^(1/COUNT(G$27:G$31))-1</f>
        <v>0.22639110352625003</v>
      </c>
      <c r="H169" s="340">
        <f t="array" ref="H169">PRODUCT(1+H$27:H$31%)^(1/COUNT(H$27:H$31))-1</f>
        <v>0.21183412304486593</v>
      </c>
      <c r="I169" s="340">
        <f t="array" ref="I169">PRODUCT(1+I$27:I$31%)^(1/COUNT(I$27:I$31))-1</f>
        <v>0.18495869920726005</v>
      </c>
      <c r="J169" s="340">
        <f t="array" ref="J169">PRODUCT(1+J$27:J$31%)^(1/COUNT(J$27:J$31))-1</f>
        <v>0.24730878283178104</v>
      </c>
      <c r="K169" s="340">
        <f t="array" ref="K169">PRODUCT(1+K$27:K$31%)^(1/COUNT(K$27:K$31))-1</f>
        <v>0.1693535104995314</v>
      </c>
      <c r="L169" s="340">
        <f t="array" ref="L169">PRODUCT(1+L$27:L$31%)^(1/COUNT(L$27:L$31))-1</f>
        <v>9.6317902795859167E-2</v>
      </c>
      <c r="M169" s="340">
        <f t="array" ref="M169">PRODUCT(1+M$27:M$31%)^(1/COUNT(M$27:M$31))-1</f>
        <v>0.23346038006970748</v>
      </c>
      <c r="N169" s="340">
        <f t="array" ref="N169">PRODUCT(1+N$27:N$31%)^(1/COUNT(N$27:N$31))-1</f>
        <v>0.11916916853491122</v>
      </c>
      <c r="O169" s="340">
        <f t="array" ref="O169">PRODUCT(1+O$27:O$31%)^(1/COUNT(O$27:O$31))-1</f>
        <v>7.2783941561797683E-2</v>
      </c>
      <c r="P169" s="340">
        <f t="array" ref="P169">PRODUCT(1+P$27:P$31%)^(1/COUNT(P$27:P$31))-1</f>
        <v>0.11760761953142129</v>
      </c>
      <c r="Q169" s="340">
        <f t="array" ref="Q169">PRODUCT(1+Q$27:Q$31%)^(1/COUNT(Q$27:Q$31))-1</f>
        <v>0.11445022566881979</v>
      </c>
      <c r="R169" s="340">
        <f t="array" ref="R169">PRODUCT(1+R$27:R$31%)^(1/COUNT(R$27:R$31))-1</f>
        <v>9.148999568299887E-2</v>
      </c>
      <c r="S169" s="340">
        <f t="array" ref="S169">PRODUCT(1+S$27:S$31%)^(1/COUNT(S$27:S$31))-1</f>
        <v>0.12245387015213804</v>
      </c>
      <c r="T169" s="340">
        <f t="array" ref="T169">PRODUCT(1+T$27:T$31%)^(1/COUNT(T$27:T$31))-1</f>
        <v>9.4959829011802777E-2</v>
      </c>
      <c r="U169" s="340">
        <f t="array" ref="U169">PRODUCT(1+U$27:U$31%)^(1/COUNT(U$27:U$31))-1</f>
        <v>9.2725477688731184E-2</v>
      </c>
      <c r="V169" s="340">
        <f t="array" ref="V169">PRODUCT(1+V$27:V$31%)^(1/COUNT(V$27:V$31))-1</f>
        <v>4.2779032097625569E-2</v>
      </c>
      <c r="W169" s="340">
        <f t="array" ref="W169">PRODUCT(1+W$27:W$31%)^(1/COUNT(W$27:W$31))-1</f>
        <v>8.2244472063844665E-2</v>
      </c>
      <c r="X169" s="340">
        <f t="array" ref="X169">PRODUCT(1+X$27:X$31%)^(1/COUNT(X$27:X$31))-1</f>
        <v>0.14914054427776979</v>
      </c>
      <c r="Y169" s="340">
        <f t="array" ref="Y169">PRODUCT(1+Y$27:Y$31%)^(1/COUNT(Y$27:Y$31))-1</f>
        <v>0.13285565903306629</v>
      </c>
      <c r="Z169" s="340">
        <f t="array" ref="Z169">PRODUCT(1+Z$27:Z$31%)^(1/COUNT(Z$27:Z$31))-1</f>
        <v>0.1836330639649113</v>
      </c>
      <c r="AA169" s="340">
        <f t="array" ref="AA169">PRODUCT(1+AA$27:AA$31%)^(1/COUNT(AA$27:AA$31))-1</f>
        <v>6.8996105988297751E-2</v>
      </c>
      <c r="AB169" s="340">
        <f t="array" ref="AB169">PRODUCT(1+AB$27:AB$31%)^(1/COUNT(AB$27:AB$31))-1</f>
        <v>-6.9176998813463841E-3</v>
      </c>
      <c r="AC169" s="340">
        <f t="array" ref="AC169">PRODUCT(1+AC$27:AC$31%)^(1/COUNT(AC$27:AC$31))-1</f>
        <v>5.7016180855622878E-2</v>
      </c>
      <c r="AD169" s="340"/>
      <c r="AE169" s="340"/>
      <c r="AF169" s="340"/>
      <c r="AG169" s="340"/>
      <c r="AH169" s="340"/>
      <c r="AI169" s="340"/>
      <c r="AJ169" s="340"/>
      <c r="AK169" s="340"/>
      <c r="AL169" s="341"/>
      <c r="AM169" s="61">
        <f t="array" ref="AM169">PRODUCT(1+AM$27:AM$31%)^(1/COUNT(AM$27:AM$31))-1</f>
        <v>2.7851687604741882E-2</v>
      </c>
    </row>
    <row r="170" spans="1:39" ht="14">
      <c r="A170" s="338" t="s">
        <v>473</v>
      </c>
      <c r="B170" s="339">
        <f t="array" ref="B170">PRODUCT(1+B$32:B$36%)^(1/COUNT(B$32:B$36))-1</f>
        <v>0.16677793512638872</v>
      </c>
      <c r="C170" s="340">
        <f t="array" ref="C170">PRODUCT(1+C$32:C$36%)^(1/COUNT(C$32:C$36))-1</f>
        <v>0.16703952962749846</v>
      </c>
      <c r="D170" s="340">
        <f t="array" ref="D170">PRODUCT(1+D$32:D$36%)^(1/COUNT(D$32:D$36))-1</f>
        <v>0.18307033250861626</v>
      </c>
      <c r="E170" s="340">
        <f t="array" ref="E170">PRODUCT(1+E$32:E$36%)^(1/COUNT(E$32:E$36))-1</f>
        <v>0.19166354968582766</v>
      </c>
      <c r="F170" s="340">
        <f t="array" ref="F170">PRODUCT(1+F$32:F$36%)^(1/COUNT(F$32:F$36))-1</f>
        <v>0.17928159374038555</v>
      </c>
      <c r="G170" s="340">
        <f t="array" ref="G170">PRODUCT(1+G$32:G$36%)^(1/COUNT(G$32:G$36))-1</f>
        <v>0.13302513041565689</v>
      </c>
      <c r="H170" s="340">
        <f t="array" ref="H170">PRODUCT(1+H$32:H$36%)^(1/COUNT(H$32:H$36))-1</f>
        <v>0.11425943088247492</v>
      </c>
      <c r="I170" s="340">
        <f t="array" ref="I170">PRODUCT(1+I$32:I$36%)^(1/COUNT(I$32:I$36))-1</f>
        <v>8.927439530418857E-2</v>
      </c>
      <c r="J170" s="340">
        <f t="array" ref="J170">PRODUCT(1+J$32:J$36%)^(1/COUNT(J$32:J$36))-1</f>
        <v>0.12499663269568151</v>
      </c>
      <c r="K170" s="340">
        <f t="array" ref="K170">PRODUCT(1+K$32:K$36%)^(1/COUNT(K$32:K$36))-1</f>
        <v>0.10155772873721025</v>
      </c>
      <c r="L170" s="340">
        <f t="array" ref="L170">PRODUCT(1+L$32:L$36%)^(1/COUNT(L$32:L$36))-1</f>
        <v>7.2575543185035674E-2</v>
      </c>
      <c r="M170" s="340">
        <f t="array" ref="M170">PRODUCT(1+M$32:M$36%)^(1/COUNT(M$32:M$36))-1</f>
        <v>-1.5827117256165257E-2</v>
      </c>
      <c r="N170" s="340">
        <f t="array" ref="N170">PRODUCT(1+N$32:N$36%)^(1/COUNT(N$32:N$36))-1</f>
        <v>6.1859948087637173E-2</v>
      </c>
      <c r="O170" s="340">
        <f t="array" ref="O170">PRODUCT(1+O$32:O$36%)^(1/COUNT(O$32:O$36))-1</f>
        <v>-3.9301267596265066E-2</v>
      </c>
      <c r="P170" s="340">
        <f t="array" ref="P170">PRODUCT(1+P$32:P$36%)^(1/COUNT(P$32:P$36))-1</f>
        <v>0.1575892907628571</v>
      </c>
      <c r="Q170" s="340">
        <f t="array" ref="Q170">PRODUCT(1+Q$32:Q$36%)^(1/COUNT(Q$32:Q$36))-1</f>
        <v>7.0041510271426466E-2</v>
      </c>
      <c r="R170" s="340">
        <f t="array" ref="R170">PRODUCT(1+R$32:R$36%)^(1/COUNT(R$32:R$36))-1</f>
        <v>7.3011412904368411E-2</v>
      </c>
      <c r="S170" s="340">
        <f t="array" ref="S170">PRODUCT(1+S$32:S$36%)^(1/COUNT(S$32:S$36))-1</f>
        <v>6.814896030360984E-2</v>
      </c>
      <c r="T170" s="340">
        <f t="array" ref="T170">PRODUCT(1+T$32:T$36%)^(1/COUNT(T$32:T$36))-1</f>
        <v>6.207567991332219E-2</v>
      </c>
      <c r="U170" s="340">
        <f t="array" ref="U170">PRODUCT(1+U$32:U$36%)^(1/COUNT(U$32:U$36))-1</f>
        <v>6.3523174086953071E-2</v>
      </c>
      <c r="V170" s="340">
        <f t="array" ref="V170">PRODUCT(1+V$32:V$36%)^(1/COUNT(V$32:V$36))-1</f>
        <v>5.1112376122386616E-2</v>
      </c>
      <c r="W170" s="340">
        <f t="array" ref="W170">PRODUCT(1+W$32:W$36%)^(1/COUNT(W$32:W$36))-1</f>
        <v>5.2888407057945619E-2</v>
      </c>
      <c r="X170" s="340">
        <f t="array" ref="X170">PRODUCT(1+X$32:X$36%)^(1/COUNT(X$32:X$36))-1</f>
        <v>0.13086144443362624</v>
      </c>
      <c r="Y170" s="340">
        <f t="array" ref="Y170">PRODUCT(1+Y$32:Y$36%)^(1/COUNT(Y$32:Y$36))-1</f>
        <v>0.10371952052400446</v>
      </c>
      <c r="Z170" s="340">
        <f t="array" ref="Z170">PRODUCT(1+Z$32:Z$36%)^(1/COUNT(Z$32:Z$36))-1</f>
        <v>0.14971958737075974</v>
      </c>
      <c r="AA170" s="340">
        <f t="array" ref="AA170">PRODUCT(1+AA$32:AA$36%)^(1/COUNT(AA$32:AA$36))-1</f>
        <v>5.7358776270422407E-2</v>
      </c>
      <c r="AB170" s="340">
        <f t="array" ref="AB170">PRODUCT(1+AB$32:AB$36%)^(1/COUNT(AB$32:AB$36))-1</f>
        <v>-7.0141765872335893E-2</v>
      </c>
      <c r="AC170" s="340">
        <f t="array" ref="AC170">PRODUCT(1+AC$32:AC$36%)^(1/COUNT(AC$32:AC$36))-1</f>
        <v>0.15731280063760056</v>
      </c>
      <c r="AD170" s="340"/>
      <c r="AE170" s="340"/>
      <c r="AF170" s="340"/>
      <c r="AG170" s="340"/>
      <c r="AH170" s="340"/>
      <c r="AI170" s="340"/>
      <c r="AJ170" s="340"/>
      <c r="AK170" s="340"/>
      <c r="AL170" s="341"/>
      <c r="AM170" s="61">
        <f t="array" ref="AM170">PRODUCT(1+AM$32:AM$36%)^(1/COUNT(AM$32:AM$36))-1</f>
        <v>2.5387865559969303E-2</v>
      </c>
    </row>
    <row r="171" spans="1:39" ht="14">
      <c r="A171" s="338" t="s">
        <v>474</v>
      </c>
      <c r="B171" s="339">
        <f t="array" ref="B171">PRODUCT(1+B$37:B$41%)^(1/COUNT(B$37:B$41))-1</f>
        <v>1.9655354424908067E-2</v>
      </c>
      <c r="C171" s="340">
        <f t="array" ref="C171">PRODUCT(1+C$37:C$41%)^(1/COUNT(C$37:C$41))-1</f>
        <v>2.6186886334007786E-2</v>
      </c>
      <c r="D171" s="340">
        <f t="array" ref="D171">PRODUCT(1+D$37:D$41%)^(1/COUNT(D$37:D$41))-1</f>
        <v>4.1935627497238226E-3</v>
      </c>
      <c r="E171" s="340">
        <f t="array" ref="E171">PRODUCT(1+E$37:E$41%)^(1/COUNT(E$37:E$41))-1</f>
        <v>-1.1739221444337034E-2</v>
      </c>
      <c r="F171" s="340">
        <f t="array" ref="F171">PRODUCT(1+F$37:F$41%)^(1/COUNT(F$37:F$41))-1</f>
        <v>9.3388539994809339E-2</v>
      </c>
      <c r="G171" s="340">
        <f t="array" ref="G171">PRODUCT(1+G$37:G$41%)^(1/COUNT(G$37:G$41))-1</f>
        <v>0.11892533004389527</v>
      </c>
      <c r="H171" s="340">
        <f t="array" ref="H171">PRODUCT(1+H$37:H$41%)^(1/COUNT(H$37:H$41))-1</f>
        <v>9.1014493812591413E-2</v>
      </c>
      <c r="I171" s="340">
        <f t="array" ref="I171">PRODUCT(1+I$37:I$41%)^(1/COUNT(I$37:I$41))-1</f>
        <v>8.6206512843522543E-2</v>
      </c>
      <c r="J171" s="340">
        <f t="array" ref="J171">PRODUCT(1+J$37:J$41%)^(1/COUNT(J$37:J$41))-1</f>
        <v>0.23879931598313453</v>
      </c>
      <c r="K171" s="340">
        <f t="array" ref="K171">PRODUCT(1+K$37:K$41%)^(1/COUNT(K$37:K$41))-1</f>
        <v>0.18263147474056796</v>
      </c>
      <c r="L171" s="340">
        <f t="array" ref="L171">PRODUCT(1+L$37:L$41%)^(1/COUNT(L$37:L$41))-1</f>
        <v>4.5068270244983388E-2</v>
      </c>
      <c r="M171" s="340">
        <f t="array" ref="M171">PRODUCT(1+M$37:M$41%)^(1/COUNT(M$37:M$41))-1</f>
        <v>0.18740549947690766</v>
      </c>
      <c r="N171" s="340">
        <f t="array" ref="N171">PRODUCT(1+N$37:N$41%)^(1/COUNT(N$37:N$41))-1</f>
        <v>5.8533097043743876E-2</v>
      </c>
      <c r="O171" s="340">
        <f t="array" ref="O171">PRODUCT(1+O$37:O$41%)^(1/COUNT(O$37:O$41))-1</f>
        <v>6.1364708077254138E-2</v>
      </c>
      <c r="P171" s="340">
        <f t="array" ref="P171">PRODUCT(1+P$37:P$41%)^(1/COUNT(P$37:P$41))-1</f>
        <v>3.6743761664236541E-2</v>
      </c>
      <c r="Q171" s="340">
        <f t="array" ref="Q171">PRODUCT(1+Q$37:Q$41%)^(1/COUNT(Q$37:Q$41))-1</f>
        <v>8.3543230863416307E-2</v>
      </c>
      <c r="R171" s="340">
        <f t="array" ref="R171">PRODUCT(1+R$37:R$41%)^(1/COUNT(R$37:R$41))-1</f>
        <v>0.16637402717529715</v>
      </c>
      <c r="S171" s="340">
        <f t="array" ref="S171">PRODUCT(1+S$37:S$41%)^(1/COUNT(S$37:S$41))-1</f>
        <v>7.3712235448485597E-2</v>
      </c>
      <c r="T171" s="340">
        <f t="array" ref="T171">PRODUCT(1+T$37:T$41%)^(1/COUNT(T$37:T$41))-1</f>
        <v>5.863932069472777E-2</v>
      </c>
      <c r="U171" s="340">
        <f t="array" ref="U171">PRODUCT(1+U$37:U$41%)^(1/COUNT(U$37:U$41))-1</f>
        <v>5.4318863350210078E-2</v>
      </c>
      <c r="V171" s="340">
        <f t="array" ref="V171">PRODUCT(1+V$37:V$41%)^(1/COUNT(V$37:V$41))-1</f>
        <v>2.0109908305752544E-2</v>
      </c>
      <c r="W171" s="340">
        <f t="array" ref="W171">PRODUCT(1+W$37:W$41%)^(1/COUNT(W$37:W$41))-1</f>
        <v>8.4804618365339701E-2</v>
      </c>
      <c r="X171" s="340">
        <f t="array" ref="X171">PRODUCT(1+X$37:X$41%)^(1/COUNT(X$37:X$41))-1</f>
        <v>6.8219760566498477E-2</v>
      </c>
      <c r="Y171" s="340">
        <f t="array" ref="Y171">PRODUCT(1+Y$37:Y$41%)^(1/COUNT(Y$37:Y$41))-1</f>
        <v>6.5249847538614292E-2</v>
      </c>
      <c r="Z171" s="340">
        <f t="array" ref="Z171">PRODUCT(1+Z$37:Z$41%)^(1/COUNT(Z$37:Z$41))-1</f>
        <v>6.0373440701511072E-2</v>
      </c>
      <c r="AA171" s="340">
        <f t="array" ref="AA171">PRODUCT(1+AA$37:AA$41%)^(1/COUNT(AA$37:AA$41))-1</f>
        <v>4.1553631085679887E-2</v>
      </c>
      <c r="AB171" s="340">
        <f t="array" ref="AB171">PRODUCT(1+AB$37:AB$41%)^(1/COUNT(AB$37:AB$41))-1</f>
        <v>0.13017005778275736</v>
      </c>
      <c r="AC171" s="340">
        <f t="array" ref="AC171">PRODUCT(1+AC$37:AC$41%)^(1/COUNT(AC$37:AC$41))-1</f>
        <v>0.10763488565771029</v>
      </c>
      <c r="AD171" s="340"/>
      <c r="AE171" s="340"/>
      <c r="AF171" s="340"/>
      <c r="AG171" s="340"/>
      <c r="AH171" s="340"/>
      <c r="AI171" s="340"/>
      <c r="AJ171" s="340"/>
      <c r="AK171" s="340"/>
      <c r="AL171" s="341"/>
      <c r="AM171" s="61">
        <f t="array" ref="AM171">PRODUCT(1+AM$37:AM$41%)^(1/COUNT(AM$37:AM$41))-1</f>
        <v>2.4932274840123947E-2</v>
      </c>
    </row>
    <row r="172" spans="1:39" ht="14">
      <c r="A172" s="342" t="s">
        <v>475</v>
      </c>
      <c r="B172" s="340">
        <f t="array" ref="B172">PRODUCT(1+B$42:B$46%)^(1/COUNT(B$42:B$46))-1</f>
        <v>2.9434667778782453E-2</v>
      </c>
      <c r="C172" s="340">
        <f t="array" ref="C172">PRODUCT(1+C$42:C$46%)^(1/COUNT(C$42:C$46))-1</f>
        <v>1.3582931771717766E-2</v>
      </c>
      <c r="D172" s="340">
        <f t="array" ref="D172">PRODUCT(1+D$42:D$46%)^(1/COUNT(D$42:D$46))-1</f>
        <v>2.2126933301260143E-2</v>
      </c>
      <c r="E172" s="340">
        <f t="array" ref="E172">PRODUCT(1+E$42:E$46%)^(1/COUNT(E$42:E$46))-1</f>
        <v>3.8243517199340937E-2</v>
      </c>
      <c r="F172" s="340">
        <f t="array" ref="F172">PRODUCT(1+F$42:F$46%)^(1/COUNT(F$42:F$46))-1</f>
        <v>4.2727959614952349E-2</v>
      </c>
      <c r="G172" s="340">
        <f t="array" ref="G172">PRODUCT(1+G$42:G$46%)^(1/COUNT(G$42:G$46))-1</f>
        <v>4.1419851921001616E-2</v>
      </c>
      <c r="H172" s="340">
        <f t="array" ref="H172">PRODUCT(1+H$42:H$46%)^(1/COUNT(H$42:H$46))-1</f>
        <v>5.3902638226662525E-2</v>
      </c>
      <c r="I172" s="340">
        <f t="array" ref="I172">PRODUCT(1+I$42:I$46%)^(1/COUNT(I$42:I$46))-1</f>
        <v>6.4210483995476464E-2</v>
      </c>
      <c r="J172" s="340">
        <f t="array" ref="J172">PRODUCT(1+J$42:J$46%)^(1/COUNT(J$42:J$46))-1</f>
        <v>7.0795083849817253E-4</v>
      </c>
      <c r="K172" s="340">
        <f t="array" ref="K172">PRODUCT(1+K$42:K$46%)^(1/COUNT(K$42:K$46))-1</f>
        <v>3.3814805349341004E-2</v>
      </c>
      <c r="L172" s="340">
        <f t="array" ref="L172">PRODUCT(1+L$42:L$46%)^(1/COUNT(L$42:L$46))-1</f>
        <v>2.7573150131904089E-2</v>
      </c>
      <c r="M172" s="340">
        <f t="array" ref="M172">PRODUCT(1+M$42:M$46%)^(1/COUNT(M$42:M$46))-1</f>
        <v>0.12147706155612359</v>
      </c>
      <c r="N172" s="340">
        <f t="array" ref="N172">PRODUCT(1+N$42:N$46%)^(1/COUNT(N$42:N$46))-1</f>
        <v>4.4381541122275214E-2</v>
      </c>
      <c r="O172" s="340">
        <f t="array" ref="O172">PRODUCT(1+O$42:O$46%)^(1/COUNT(O$42:O$46))-1</f>
        <v>1.5618582674022941E-2</v>
      </c>
      <c r="P172" s="340">
        <f t="array" ref="P172">PRODUCT(1+P$42:P$46%)^(1/COUNT(P$42:P$46))-1</f>
        <v>3.0397313982648777E-2</v>
      </c>
      <c r="Q172" s="340">
        <f t="array" ref="Q172">PRODUCT(1+Q$42:Q$46%)^(1/COUNT(Q$42:Q$46))-1</f>
        <v>3.7149254674306631E-2</v>
      </c>
      <c r="R172" s="340">
        <f t="array" ref="R172">PRODUCT(1+R$42:R$46%)^(1/COUNT(R$42:R$46))-1</f>
        <v>3.391444554456724E-2</v>
      </c>
      <c r="S172" s="340">
        <f t="array" ref="S172">PRODUCT(1+S$42:S$46%)^(1/COUNT(S$42:S$46))-1</f>
        <v>5.4612105344298278E-2</v>
      </c>
      <c r="T172" s="340">
        <f t="array" ref="T172">PRODUCT(1+T$42:T$46%)^(1/COUNT(T$42:T$46))-1</f>
        <v>6.289271546977937E-2</v>
      </c>
      <c r="U172" s="340">
        <f t="array" ref="U172">PRODUCT(1+U$42:U$46%)^(1/COUNT(U$42:U$46))-1</f>
        <v>5.7137116751230232E-2</v>
      </c>
      <c r="V172" s="340">
        <f t="array" ref="V172">PRODUCT(1+V$42:V$46%)^(1/COUNT(V$42:V$46))-1</f>
        <v>2.3233993764382843E-2</v>
      </c>
      <c r="W172" s="340">
        <f t="array" ref="W172">PRODUCT(1+W$42:W$46%)^(1/COUNT(W$42:W$46))-1</f>
        <v>5.0738449443837208E-2</v>
      </c>
      <c r="X172" s="340">
        <f t="array" ref="X172">PRODUCT(1+X$42:X$46%)^(1/COUNT(X$42:X$46))-1</f>
        <v>5.5822103775221121E-2</v>
      </c>
      <c r="Y172" s="340">
        <f t="array" ref="Y172">PRODUCT(1+Y$42:Y$46%)^(1/COUNT(Y$42:Y$46))-1</f>
        <v>6.3467123343438736E-2</v>
      </c>
      <c r="Z172" s="340">
        <f t="array" ref="Z172">PRODUCT(1+Z$42:Z$46%)^(1/COUNT(Z$42:Z$46))-1</f>
        <v>1.0051266486271304E-2</v>
      </c>
      <c r="AA172" s="340">
        <f t="array" ref="AA172">PRODUCT(1+AA$42:AA$46%)^(1/COUNT(AA$42:AA$46))-1</f>
        <v>4.4557568468093889E-2</v>
      </c>
      <c r="AB172" s="340">
        <f t="array" ref="AB172">PRODUCT(1+AB$42:AB$46%)^(1/COUNT(AB$42:AB$46))-1</f>
        <v>0.21825047454923063</v>
      </c>
      <c r="AC172" s="340">
        <f t="array" ref="AC172">PRODUCT(1+AC$42:AC$46%)^(1/COUNT(AC$42:AC$46))-1</f>
        <v>6.1081175488051587E-2</v>
      </c>
      <c r="AD172" s="340"/>
      <c r="AE172" s="340"/>
      <c r="AF172" s="340"/>
      <c r="AG172" s="340"/>
      <c r="AH172" s="340"/>
      <c r="AI172" s="340"/>
      <c r="AJ172" s="340"/>
      <c r="AK172" s="340"/>
      <c r="AL172" s="341"/>
      <c r="AM172" s="61">
        <f t="array" ref="AM172">PRODUCT(1+AM$41:AM$46%)^(1/COUNT(AM$41:AM$46))-1</f>
        <v>2.3827268084179787E-2</v>
      </c>
    </row>
    <row r="173" spans="1:39" ht="14">
      <c r="A173" s="342" t="s">
        <v>839</v>
      </c>
      <c r="B173" s="587">
        <f t="array" ref="B173">PRODUCT(1+B$47:B$51%)^(1/COUNT(B$47:B$51))-1</f>
        <v>0.12030179828392895</v>
      </c>
      <c r="C173" s="340">
        <f t="array" ref="C173">PRODUCT(1+C$47:C$51%)^(1/COUNT(C$47:C$51))-1</f>
        <v>0.11540087787276399</v>
      </c>
      <c r="D173" s="340">
        <f t="array" ref="D173">PRODUCT(1+D$47:D$51%)^(1/COUNT(D$47:D$51))-1</f>
        <v>0.12401000402039131</v>
      </c>
      <c r="E173" s="340">
        <f t="array" ref="E173">PRODUCT(1+E$47:E$51%)^(1/COUNT(E$47:E$51))-1</f>
        <v>0.12962710783808506</v>
      </c>
      <c r="F173" s="340">
        <f t="array" ref="F173">PRODUCT(1+F$47:F$51%)^(1/COUNT(F$47:F$51))-1</f>
        <v>0.11366432858843667</v>
      </c>
      <c r="G173" s="340">
        <f t="array" ref="G173">PRODUCT(1+G$47:G$51%)^(1/COUNT(G$47:G$51))-1</f>
        <v>0.10254880535551059</v>
      </c>
      <c r="H173" s="340">
        <f t="array" ref="H173">PRODUCT(1+H$47:H$51%)^(1/COUNT(H$47:H$51))-1</f>
        <v>0.10282109549861262</v>
      </c>
      <c r="I173" s="340">
        <f t="array" ref="I173">PRODUCT(1+I$47:I$51%)^(1/COUNT(I$47:I$51))-1</f>
        <v>0.10048659819984107</v>
      </c>
      <c r="J173" s="340">
        <f t="array" ref="J173">PRODUCT(1+J$47:J$51%)^(1/COUNT(J$47:J$51))-1</f>
        <v>0.10858631762499371</v>
      </c>
      <c r="K173" s="340">
        <f t="array" ref="K173">PRODUCT(1+K$47:K$51%)^(1/COUNT(K$47:K$51))-1</f>
        <v>0.11649801035092011</v>
      </c>
      <c r="L173" s="340">
        <f t="array" ref="L173">PRODUCT(1+L$47:L$51%)^(1/COUNT(L$47:L$51))-1</f>
        <v>3.5801849257061091E-2</v>
      </c>
      <c r="M173" s="340">
        <f t="array" ref="M173">PRODUCT(1+M$47:M$51%)^(1/COUNT(M$47:M$51))-1</f>
        <v>-5.060720486191761E-2</v>
      </c>
      <c r="N173" s="340">
        <f t="array" ref="N173">PRODUCT(1+N$47:N$51%)^(1/COUNT(N$47:N$51))-1</f>
        <v>1.2364889015787472E-2</v>
      </c>
      <c r="O173" s="340">
        <f t="array" ref="O173">PRODUCT(1+O$47:O$51%)^(1/COUNT(O$47:O$51))-1</f>
        <v>2.5824208813206795E-2</v>
      </c>
      <c r="P173" s="340">
        <f t="array" ref="P173">PRODUCT(1+P$47:P$51%)^(1/COUNT(P$47:P$51))-1</f>
        <v>4.022335157749235E-2</v>
      </c>
      <c r="Q173" s="340">
        <f t="array" ref="Q173">PRODUCT(1+Q$47:Q$51%)^(1/COUNT(Q$47:Q$51))-1</f>
        <v>1.8264793103421884E-2</v>
      </c>
      <c r="R173" s="340">
        <f t="array" ref="R173">PRODUCT(1+R$47:R$51%)^(1/COUNT(R$47:R$51))-1</f>
        <v>-0.12775078304783616</v>
      </c>
      <c r="S173" s="340">
        <f t="array" ref="S173">PRODUCT(1+S$47:S$51%)^(1/COUNT(S$47:S$51))-1</f>
        <v>7.4891019087345079E-2</v>
      </c>
      <c r="T173" s="340">
        <f t="array" ref="T173">PRODUCT(1+T$47:T$51%)^(1/COUNT(T$47:T$51))-1</f>
        <v>2.9555168764229256E-2</v>
      </c>
      <c r="U173" s="340">
        <f t="array" ref="U173">PRODUCT(1+U$47:U$51%)^(1/COUNT(U$47:U$51))-1</f>
        <v>3.0190445241443209E-2</v>
      </c>
      <c r="V173" s="340">
        <f t="array" ref="V173">PRODUCT(1+V$47:V$51%)^(1/COUNT(V$47:V$51))-1</f>
        <v>1.5999880017592005E-4</v>
      </c>
      <c r="W173" s="340">
        <f t="array" ref="W173">PRODUCT(1+W$47:W$51%)^(1/COUNT(W$47:W$51))-1</f>
        <v>2.3394052762813811E-2</v>
      </c>
      <c r="X173" s="340">
        <f t="array" ref="X173">PRODUCT(1+X$47:X$51%)^(1/COUNT(X$47:X$51))-1</f>
        <v>8.9793016755452371E-2</v>
      </c>
      <c r="Y173" s="340">
        <f t="array" ref="Y173">PRODUCT(1+Y$47:Y$51%)^(1/COUNT(Y$47:Y$51))-1</f>
        <v>7.5955045748741901E-2</v>
      </c>
      <c r="Z173" s="340">
        <f t="array" ref="Z173">PRODUCT(1+Z$47:Z$51%)^(1/COUNT(Z$47:Z$51))-1</f>
        <v>0.11271345018100987</v>
      </c>
      <c r="AA173" s="340">
        <f t="array" ref="AA173">PRODUCT(1+AA$47:AA$51%)^(1/COUNT(AA$47:AA$51))-1</f>
        <v>7.9895527325974935E-3</v>
      </c>
      <c r="AB173" s="340">
        <f t="array" ref="AB173">PRODUCT(1+AB$47:AB$51%)^(1/COUNT(AB$47:AB$51))-1</f>
        <v>-6.0637167156152305E-2</v>
      </c>
      <c r="AC173" s="340">
        <f t="array" ref="AC173">PRODUCT(1+AC$47:AC$51%)^(1/COUNT(AC$47:AC$51))-1</f>
        <v>1.3987462996379207E-2</v>
      </c>
      <c r="AD173" s="340"/>
      <c r="AE173" s="340"/>
      <c r="AF173" s="340"/>
      <c r="AG173" s="340"/>
      <c r="AH173" s="340"/>
      <c r="AI173" s="340"/>
      <c r="AJ173" s="340"/>
      <c r="AK173" s="340"/>
      <c r="AL173" s="341"/>
      <c r="AM173" s="61">
        <f t="array" ref="AM173">PRODUCT(1+AM$47:AM$51%)^(1/COUNT(AM$47:AM$51))-1</f>
        <v>1.5349646622278001E-2</v>
      </c>
    </row>
    <row r="174" spans="1:39" ht="14">
      <c r="A174" s="338"/>
      <c r="B174" s="339"/>
      <c r="C174" s="340"/>
      <c r="D174" s="340"/>
      <c r="E174" s="340"/>
      <c r="F174" s="340"/>
      <c r="G174" s="340"/>
      <c r="H174" s="340"/>
      <c r="I174" s="340"/>
      <c r="J174" s="340"/>
      <c r="K174" s="340"/>
      <c r="L174" s="340"/>
      <c r="M174" s="340"/>
      <c r="N174" s="340"/>
      <c r="O174" s="340"/>
      <c r="P174" s="340"/>
      <c r="Q174" s="340"/>
      <c r="R174" s="340"/>
      <c r="S174" s="340"/>
      <c r="T174" s="340"/>
      <c r="U174" s="340"/>
      <c r="V174" s="340"/>
      <c r="W174" s="340"/>
      <c r="X174" s="340"/>
      <c r="Y174" s="340"/>
      <c r="Z174" s="340"/>
      <c r="AA174" s="340"/>
      <c r="AB174" s="340"/>
      <c r="AC174" s="340"/>
      <c r="AD174" s="340"/>
      <c r="AE174" s="340"/>
      <c r="AF174" s="340"/>
      <c r="AG174" s="340"/>
      <c r="AH174" s="340"/>
      <c r="AI174" s="340"/>
      <c r="AJ174" s="340"/>
      <c r="AK174" s="340"/>
      <c r="AL174" s="341"/>
      <c r="AM174" s="61"/>
    </row>
    <row r="175" spans="1:39" ht="14">
      <c r="A175" s="338" t="s">
        <v>476</v>
      </c>
      <c r="B175" s="339">
        <f t="array" ref="B175">PRODUCT(1+B$8:B$15%)^(1/COUNT(B$8:B$15))-1</f>
        <v>5.4648089696518243E-2</v>
      </c>
      <c r="C175" s="340">
        <f t="array" ref="C175">PRODUCT(1+C$8:C$15%)^(1/COUNT(C$8:C$15))-1</f>
        <v>0.11765334734156285</v>
      </c>
      <c r="D175" s="340">
        <f t="array" ref="D175">PRODUCT(1+D$8:D$15%)^(1/COUNT(D$8:D$15))-1</f>
        <v>4.7216434985742461E-2</v>
      </c>
      <c r="E175" s="340">
        <f t="array" ref="E175">PRODUCT(1+E$8:E$15%)^(1/COUNT(E$8:E$15))-1</f>
        <v>2.7652109341260056E-2</v>
      </c>
      <c r="F175" s="340">
        <f t="array" ref="F175">PRODUCT(1+F$8:F$15%)^(1/COUNT(F$8:F$15))-1</f>
        <v>8.9740409309392755E-2</v>
      </c>
      <c r="G175" s="340">
        <f t="array" ref="G175">PRODUCT(1+G$8:G$15%)^(1/COUNT(G$8:G$15))-1</f>
        <v>0.15752407621672826</v>
      </c>
      <c r="H175" s="340">
        <f t="array" ref="H175">PRODUCT(1+H$8:H$15%)^(1/COUNT(H$8:H$15))-1</f>
        <v>0.12086416670285183</v>
      </c>
      <c r="I175" s="340">
        <f t="array" ref="I175">PRODUCT(1+I$8:I$15%)^(1/COUNT(I$8:I$15))-1</f>
        <v>6.9311899467930482E-2</v>
      </c>
      <c r="J175" s="340">
        <f t="array" ref="J175">PRODUCT(1+J$8:J$15%)^(1/COUNT(J$8:J$15))-1</f>
        <v>0.1125560079682757</v>
      </c>
      <c r="K175" s="340">
        <f t="array" ref="K175">PRODUCT(1+K$8:K$15%)^(1/COUNT(K$8:K$15))-1</f>
        <v>0.10789365350287183</v>
      </c>
      <c r="L175" s="340">
        <f t="array" ref="L175">PRODUCT(1+L$8:L$15%)^(1/COUNT(L$8:L$15))-1</f>
        <v>9.1490083825364499E-2</v>
      </c>
      <c r="M175" s="340">
        <f t="array" ref="M175">PRODUCT(1+M$8:M$15%)^(1/COUNT(M$8:M$15))-1</f>
        <v>0.16781077796838484</v>
      </c>
      <c r="N175" s="340">
        <f t="array" ref="N175">PRODUCT(1+N$8:N$15%)^(1/COUNT(N$8:N$15))-1</f>
        <v>0.1024734344327014</v>
      </c>
      <c r="O175" s="340">
        <f t="array" ref="O175">PRODUCT(1+O$8:O$15%)^(1/COUNT(O$8:O$15))-1</f>
        <v>0.15635728901051982</v>
      </c>
      <c r="P175" s="340">
        <f t="array" ref="P175">PRODUCT(1+P$8:P$15%)^(1/COUNT(P$8:P$15))-1</f>
        <v>8.492499828105271E-2</v>
      </c>
      <c r="Q175" s="340">
        <f t="array" ref="Q175">PRODUCT(1+Q$8:Q$15%)^(1/COUNT(Q$8:Q$15))-1</f>
        <v>0.1196695721583434</v>
      </c>
      <c r="R175" s="340">
        <f t="array" ref="R175">PRODUCT(1+R$8:R$15%)^(1/COUNT(R$8:R$15))-1</f>
        <v>0.19719618282694551</v>
      </c>
      <c r="S175" s="340">
        <f t="array" ref="S175">PRODUCT(1+S$8:S$15%)^(1/COUNT(S$8:S$15))-1</f>
        <v>1.5205541947292733E-2</v>
      </c>
      <c r="T175" s="340">
        <f t="array" ref="T175">PRODUCT(1+T$8:T$15%)^(1/COUNT(T$8:T$15))-1</f>
        <v>4.5791135810097972E-2</v>
      </c>
      <c r="U175" s="340">
        <f t="array" ref="U175">PRODUCT(1+U$8:U$15%)^(1/COUNT(U$8:U$15))-1</f>
        <v>5.7354360886835654E-2</v>
      </c>
      <c r="V175" s="340">
        <f t="array" ref="V175">PRODUCT(1+V$8:V$15%)^(1/COUNT(V$8:V$15))-1</f>
        <v>6.4243563688261451E-2</v>
      </c>
      <c r="W175" s="340">
        <f t="array" ref="W175">PRODUCT(1+W$8:W$15%)^(1/COUNT(W$8:W$15))-1</f>
        <v>4.9854060682522849E-2</v>
      </c>
      <c r="X175" s="340">
        <f t="array" ref="X175">PRODUCT(1+X$8:X$15%)^(1/COUNT(X$8:X$15))-1</f>
        <v>4.4610855332171129E-2</v>
      </c>
      <c r="Y175" s="340">
        <f t="array" ref="Y175">PRODUCT(1+Y$8:Y$15%)^(1/COUNT(Y$8:Y$15))-1</f>
        <v>6.3989053449074795E-2</v>
      </c>
      <c r="Z175" s="340">
        <f t="array" ref="Z175">PRODUCT(1+Z$8:Z$15%)^(1/COUNT(Z$8:Z$15))-1</f>
        <v>9.6361210190850644E-2</v>
      </c>
      <c r="AA175" s="340">
        <f t="array" ref="AA175">PRODUCT(1+AA$8:AA$15%)^(1/COUNT(AA$8:AA$15))-1</f>
        <v>6.6984082212435681E-2</v>
      </c>
      <c r="AB175" s="340">
        <f t="array" ref="AB175">PRODUCT(1+AB$8:AB$15%)^(1/COUNT(AB$8:AB$15))-1</f>
        <v>0.35535016316756796</v>
      </c>
      <c r="AC175" s="340">
        <f t="array" ref="AC175">PRODUCT(1+AC$8:AC$15%)^(1/COUNT(AC$8:AC$15))-1</f>
        <v>0.21314065502950919</v>
      </c>
      <c r="AD175" s="340"/>
      <c r="AE175" s="340"/>
      <c r="AF175" s="340"/>
      <c r="AG175" s="340"/>
      <c r="AH175" s="340"/>
      <c r="AI175" s="340"/>
      <c r="AJ175" s="340"/>
      <c r="AK175" s="340"/>
      <c r="AL175" s="341"/>
      <c r="AM175" s="61">
        <f t="array" ref="AM175">PRODUCT(1+AM$8:AM$15%)^(1/COUNT(AM$8:AM$15))-1</f>
        <v>8.1108278060111338E-2</v>
      </c>
    </row>
    <row r="176" spans="1:39" ht="14">
      <c r="A176" s="338" t="s">
        <v>477</v>
      </c>
      <c r="B176" s="339">
        <f t="array" ref="B176">PRODUCT(1+B$16:B$25%)^(1/COUNT(B$16:B$25))-1</f>
        <v>0.16471135097301293</v>
      </c>
      <c r="C176" s="340">
        <f t="array" ref="C176">PRODUCT(1+C$16:C$25%)^(1/COUNT(C$16:C$25))-1</f>
        <v>0.17710060816366524</v>
      </c>
      <c r="D176" s="340">
        <f t="array" ref="D176">PRODUCT(1+D$16:D$25%)^(1/COUNT(D$16:D$25))-1</f>
        <v>0.17040824399201004</v>
      </c>
      <c r="E176" s="340">
        <f t="array" ref="E176">PRODUCT(1+E$16:E$25%)^(1/COUNT(E$16:E$25))-1</f>
        <v>0.15127367638420175</v>
      </c>
      <c r="F176" s="340">
        <f t="array" ref="F176">PRODUCT(1+F$16:F$25%)^(1/COUNT(F$16:F$25))-1</f>
        <v>0.17116463711490582</v>
      </c>
      <c r="G176" s="340">
        <f t="array" ref="G176">PRODUCT(1+G$16:G$25%)^(1/COUNT(G$16:G$25))-1</f>
        <v>0.17179317020045648</v>
      </c>
      <c r="H176" s="340">
        <f t="array" ref="H176">PRODUCT(1+H$16:H$25%)^(1/COUNT(H$16:H$25))-1</f>
        <v>0.14245620214706167</v>
      </c>
      <c r="I176" s="340">
        <f t="array" ref="I176">PRODUCT(1+I$16:I$25%)^(1/COUNT(I$16:I$25))-1</f>
        <v>0.1126111191312047</v>
      </c>
      <c r="J176" s="340">
        <f t="array" ref="J176">PRODUCT(1+J$16:J$25%)^(1/COUNT(J$16:J$25))-1</f>
        <v>9.674263948863393E-2</v>
      </c>
      <c r="K176" s="340">
        <f t="array" ref="K176">PRODUCT(1+K$16:K$25%)^(1/COUNT(K$16:K$25))-1</f>
        <v>0.15346444018416427</v>
      </c>
      <c r="L176" s="340">
        <f t="array" ref="L176">PRODUCT(1+L$16:L$25%)^(1/COUNT(L$16:L$25))-1</f>
        <v>0.22473955870824813</v>
      </c>
      <c r="M176" s="340">
        <f t="array" ref="M176">PRODUCT(1+M$16:M$25%)^(1/COUNT(M$16:M$25))-1</f>
        <v>0.31534195629571316</v>
      </c>
      <c r="N176" s="340">
        <f t="array" ref="N176">PRODUCT(1+N$16:N$25%)^(1/COUNT(N$16:N$25))-1</f>
        <v>0.23835742811078542</v>
      </c>
      <c r="O176" s="340">
        <f t="array" ref="O176">PRODUCT(1+O$16:O$25%)^(1/COUNT(O$16:O$25))-1</f>
        <v>0.26081840755295715</v>
      </c>
      <c r="P176" s="340">
        <f t="array" ref="P176">PRODUCT(1+P$16:P$25%)^(1/COUNT(P$16:P$25))-1</f>
        <v>0.18203131719192944</v>
      </c>
      <c r="Q176" s="340">
        <f t="array" ref="Q176">PRODUCT(1+Q$16:Q$25%)^(1/COUNT(Q$16:Q$25))-1</f>
        <v>0.25494681256912299</v>
      </c>
      <c r="R176" s="340">
        <f t="array" ref="R176">PRODUCT(1+R$16:R$25%)^(1/COUNT(R$16:R$25))-1</f>
        <v>5.753616010461915E-2</v>
      </c>
      <c r="S176" s="340">
        <f t="array" ref="S176">PRODUCT(1+S$16:S$25%)^(1/COUNT(S$16:S$25))-1</f>
        <v>0.13136406488854657</v>
      </c>
      <c r="T176" s="340">
        <f t="array" ref="T176">PRODUCT(1+T$16:T$25%)^(1/COUNT(T$16:T$25))-1</f>
        <v>0.11423713781118883</v>
      </c>
      <c r="U176" s="340">
        <f t="array" ref="U176">PRODUCT(1+U$16:U$25%)^(1/COUNT(U$16:U$25))-1</f>
        <v>0.11494310363771709</v>
      </c>
      <c r="V176" s="340">
        <f t="array" ref="V176">PRODUCT(1+V$16:V$25%)^(1/COUNT(V$16:V$25))-1</f>
        <v>8.9859887233843638E-2</v>
      </c>
      <c r="W176" s="340">
        <f t="array" ref="W176">PRODUCT(1+W$16:W$25%)^(1/COUNT(W$16:W$25))-1</f>
        <v>0.10580805488114287</v>
      </c>
      <c r="X176" s="340">
        <f t="array" ref="X176">PRODUCT(1+X$16:X$25%)^(1/COUNT(X$16:X$25))-1</f>
        <v>0.1679357495804561</v>
      </c>
      <c r="Y176" s="340">
        <f t="array" ref="Y176">PRODUCT(1+Y$16:Y$25%)^(1/COUNT(Y$16:Y$25))-1</f>
        <v>0.15468189208738115</v>
      </c>
      <c r="Z176" s="340">
        <f t="array" ref="Z176">PRODUCT(1+Z$16:Z$25%)^(1/COUNT(Z$16:Z$25))-1</f>
        <v>0.2011272653818299</v>
      </c>
      <c r="AA176" s="340">
        <f t="array" ref="AA176">PRODUCT(1+AA$16:AA$25%)^(1/COUNT(AA$16:AA$25))-1</f>
        <v>0.11645314046741584</v>
      </c>
      <c r="AB176" s="340">
        <f t="array" ref="AB176">PRODUCT(1+AB$16:AB$25%)^(1/COUNT(AB$16:AB$25))-1</f>
        <v>-2.8611359412449411E-2</v>
      </c>
      <c r="AC176" s="340">
        <f t="array" ref="AC176">PRODUCT(1+AC$16:AC$25%)^(1/COUNT(AC$16:AC$25))-1</f>
        <v>0.28522784104349697</v>
      </c>
      <c r="AD176" s="340"/>
      <c r="AE176" s="340"/>
      <c r="AF176" s="340"/>
      <c r="AG176" s="340"/>
      <c r="AH176" s="340"/>
      <c r="AI176" s="340"/>
      <c r="AJ176" s="340"/>
      <c r="AK176" s="340"/>
      <c r="AL176" s="341"/>
      <c r="AM176" s="61">
        <f t="array" ref="AM176">PRODUCT(1+AM$16:AM$25%)^(1/COUNT(AM$16:AM$25))-1</f>
        <v>5.0974000226363003E-2</v>
      </c>
    </row>
    <row r="177" spans="1:39" ht="14">
      <c r="A177" s="338" t="s">
        <v>478</v>
      </c>
      <c r="B177" s="339">
        <f t="array" ref="B177">PRODUCT(1+B$26:B$35%)^(1/COUNT(B$26:B$35))-1</f>
        <v>0.17478053353123779</v>
      </c>
      <c r="C177" s="340">
        <f t="array" ref="C177">PRODUCT(1+C$26:C$35%)^(1/COUNT(C$26:C$35))-1</f>
        <v>0.15539260192723137</v>
      </c>
      <c r="D177" s="340">
        <f t="array" ref="D177">PRODUCT(1+D$26:D$35%)^(1/COUNT(D$26:D$35))-1</f>
        <v>0.18075418697904566</v>
      </c>
      <c r="E177" s="340">
        <f t="array" ref="E177">PRODUCT(1+E$26:E$35%)^(1/COUNT(E$26:E$35))-1</f>
        <v>0.20659241011665563</v>
      </c>
      <c r="F177" s="340">
        <f t="array" ref="F177">PRODUCT(1+F$26:F$35%)^(1/COUNT(F$26:F$35))-1</f>
        <v>0.15364774167865902</v>
      </c>
      <c r="G177" s="340">
        <f t="array" ref="G177">PRODUCT(1+G$26:G$35%)^(1/COUNT(G$26:G$35))-1</f>
        <v>0.12735819124663394</v>
      </c>
      <c r="H177" s="340">
        <f t="array" ref="H177">PRODUCT(1+H$26:H$35%)^(1/COUNT(H$26:H$35))-1</f>
        <v>0.13990823356459514</v>
      </c>
      <c r="I177" s="340">
        <f t="array" ref="I177">PRODUCT(1+I$26:I$35%)^(1/COUNT(I$26:I$35))-1</f>
        <v>0.11258548574643257</v>
      </c>
      <c r="J177" s="340">
        <f t="array" ref="J177">PRODUCT(1+J$26:J$35%)^(1/COUNT(J$26:J$35))-1</f>
        <v>0.13928094302728145</v>
      </c>
      <c r="K177" s="340">
        <f t="array" ref="K177">PRODUCT(1+K$26:K$35%)^(1/COUNT(K$26:K$35))-1</f>
        <v>9.0042132017609244E-2</v>
      </c>
      <c r="L177" s="340">
        <f t="array" ref="L177">PRODUCT(1+L$26:L$35%)^(1/COUNT(L$26:L$35))-1</f>
        <v>7.2544130554351938E-2</v>
      </c>
      <c r="M177" s="340">
        <f t="array" ref="M177">PRODUCT(1+M$26:M$35%)^(1/COUNT(M$26:M$35))-1</f>
        <v>0.12484096895502073</v>
      </c>
      <c r="N177" s="340">
        <f t="array" ref="N177">PRODUCT(1+N$26:N$35%)^(1/COUNT(N$26:N$35))-1</f>
        <v>8.2303106014623761E-2</v>
      </c>
      <c r="O177" s="340">
        <f t="array" ref="O177">PRODUCT(1+O$26:O$35%)^(1/COUNT(O$26:O$35))-1</f>
        <v>2.5928959563845666E-3</v>
      </c>
      <c r="P177" s="340">
        <f t="array" ref="P177">PRODUCT(1+P$26:P$35%)^(1/COUNT(P$26:P$35))-1</f>
        <v>0.1429129166819012</v>
      </c>
      <c r="Q177" s="340">
        <f t="array" ref="Q177">PRODUCT(1+Q$26:Q$35%)^(1/COUNT(Q$26:Q$35))-1</f>
        <v>7.3572560820468924E-2</v>
      </c>
      <c r="R177" s="340">
        <f t="array" ref="R177">PRODUCT(1+R$26:R$35%)^(1/COUNT(R$26:R$35))-1</f>
        <v>7.3367348060482174E-2</v>
      </c>
      <c r="S177" s="340">
        <f t="array" ref="S177">PRODUCT(1+S$26:S$35%)^(1/COUNT(S$26:S$35))-1</f>
        <v>8.1493335069975581E-2</v>
      </c>
      <c r="T177" s="340">
        <f t="array" ref="T177">PRODUCT(1+T$26:T$35%)^(1/COUNT(T$26:T$35))-1</f>
        <v>7.3949579916705144E-2</v>
      </c>
      <c r="U177" s="340">
        <f t="array" ref="U177">PRODUCT(1+U$26:U$35%)^(1/COUNT(U$26:U$35))-1</f>
        <v>7.5343875581999065E-2</v>
      </c>
      <c r="V177" s="340">
        <f t="array" ref="V177">PRODUCT(1+V$26:V$35%)^(1/COUNT(V$26:V$35))-1</f>
        <v>4.9036005191252396E-2</v>
      </c>
      <c r="W177" s="340">
        <f t="array" ref="W177">PRODUCT(1+W$26:W$35%)^(1/COUNT(W$26:W$35))-1</f>
        <v>6.8883033287280737E-2</v>
      </c>
      <c r="X177" s="340">
        <f t="array" ref="X177">PRODUCT(1+X$26:X$35%)^(1/COUNT(X$26:X$35))-1</f>
        <v>0.12552857020563946</v>
      </c>
      <c r="Y177" s="340">
        <f t="array" ref="Y177">PRODUCT(1+Y$26:Y$35%)^(1/COUNT(Y$26:Y$35))-1</f>
        <v>0.10563110522111252</v>
      </c>
      <c r="Z177" s="340">
        <f t="array" ref="Z177">PRODUCT(1+Z$26:Z$35%)^(1/COUNT(Z$26:Z$35))-1</f>
        <v>0.13027880548267001</v>
      </c>
      <c r="AA177" s="340">
        <f t="array" ref="AA177">PRODUCT(1+AA$26:AA$35%)^(1/COUNT(AA$26:AA$35))-1</f>
        <v>6.3017469424479833E-2</v>
      </c>
      <c r="AB177" s="340">
        <f t="array" ref="AB177">PRODUCT(1+AB$26:AB$35%)^(1/COUNT(AB$26:AB$35))-1</f>
        <v>-3.5083393960727016E-2</v>
      </c>
      <c r="AC177" s="340">
        <f t="array" ref="AC177">PRODUCT(1+AC$26:AC$35%)^(1/COUNT(AC$26:AC$35))-1</f>
        <v>8.6922915311142601E-2</v>
      </c>
      <c r="AD177" s="340"/>
      <c r="AE177" s="340"/>
      <c r="AF177" s="340"/>
      <c r="AG177" s="340"/>
      <c r="AH177" s="340"/>
      <c r="AI177" s="340"/>
      <c r="AJ177" s="340"/>
      <c r="AK177" s="340"/>
      <c r="AL177" s="341"/>
      <c r="AM177" s="61">
        <f t="array" ref="AM177">PRODUCT(1+AM$26:AM$35%)^(1/COUNT(AM$26:AM$35))-1</f>
        <v>2.9287984302121872E-2</v>
      </c>
    </row>
    <row r="178" spans="1:39" ht="14">
      <c r="A178" s="338" t="s">
        <v>479</v>
      </c>
      <c r="B178" s="339">
        <f t="array" ref="B178">PRODUCT(1+B$36:B$45%)^(1/COUNT(B$36:B$45))-1</f>
        <v>-2.7077608817230869E-3</v>
      </c>
      <c r="C178" s="340">
        <f t="array" ref="C178">PRODUCT(1+C$36:C$45%)^(1/COUNT(C$36:C$45))-1</f>
        <v>1.2299919938270953E-2</v>
      </c>
      <c r="D178" s="340">
        <f t="array" ref="D178">PRODUCT(1+D$36:D$45%)^(1/COUNT(D$36:D$45))-1</f>
        <v>-1.0306210146836303E-2</v>
      </c>
      <c r="E178" s="340">
        <f t="array" ref="E178">PRODUCT(1+E$36:E$45%)^(1/COUNT(E$36:E$45))-1</f>
        <v>-2.7534875749445242E-2</v>
      </c>
      <c r="F178" s="340">
        <f t="array" ref="F178">PRODUCT(1+F$36:F$45%)^(1/COUNT(F$36:F$45))-1</f>
        <v>6.1322153791854461E-2</v>
      </c>
      <c r="G178" s="340">
        <f t="array" ref="G178">PRODUCT(1+G$36:G$45%)^(1/COUNT(G$36:G$45))-1</f>
        <v>7.6907261790627901E-2</v>
      </c>
      <c r="H178" s="340">
        <f t="array" ref="H178">PRODUCT(1+H$36:H$45%)^(1/COUNT(H$36:H$45))-1</f>
        <v>4.3552462525801916E-2</v>
      </c>
      <c r="I178" s="340">
        <f t="array" ref="I178">PRODUCT(1+I$36:I$45%)^(1/COUNT(I$36:I$45))-1</f>
        <v>4.8409211289982101E-2</v>
      </c>
      <c r="J178" s="340">
        <f t="array" ref="J178">PRODUCT(1+J$36:J$45%)^(1/COUNT(J$36:J$45))-1</f>
        <v>8.9687144631878102E-2</v>
      </c>
      <c r="K178" s="340">
        <f t="array" ref="K178">PRODUCT(1+K$36:K$45%)^(1/COUNT(K$36:K$45))-1</f>
        <v>0.10403018963289634</v>
      </c>
      <c r="L178" s="340">
        <f t="array" ref="L178">PRODUCT(1+L$36:L$45%)^(1/COUNT(L$36:L$45))-1</f>
        <v>1.2175651696353151E-2</v>
      </c>
      <c r="M178" s="340">
        <f t="array" ref="M178">PRODUCT(1+M$36:M$45%)^(1/COUNT(M$36:M$45))-1</f>
        <v>9.8219111410939197E-2</v>
      </c>
      <c r="N178" s="340">
        <f t="array" ref="N178">PRODUCT(1+N$36:N$45%)^(1/COUNT(N$36:N$45))-1</f>
        <v>2.2896493556576081E-2</v>
      </c>
      <c r="O178" s="340">
        <f t="array" ref="O178">PRODUCT(1+O$36:O$45%)^(1/COUNT(O$36:O$45))-1</f>
        <v>-6.8530076417734342E-3</v>
      </c>
      <c r="P178" s="340">
        <f t="array" ref="P178">PRODUCT(1+P$36:P$45%)^(1/COUNT(P$36:P$45))-1</f>
        <v>1.9882440422019698E-2</v>
      </c>
      <c r="Q178" s="340">
        <f t="array" ref="Q178">PRODUCT(1+Q$36:Q$45%)^(1/COUNT(Q$36:Q$45))-1</f>
        <v>4.4487614240644069E-2</v>
      </c>
      <c r="R178" s="340">
        <f t="array" ref="R178">PRODUCT(1+R$36:R$45%)^(1/COUNT(R$36:R$45))-1</f>
        <v>0.10808572763341706</v>
      </c>
      <c r="S178" s="340">
        <f t="array" ref="S178">PRODUCT(1+S$36:S$45%)^(1/COUNT(S$36:S$45))-1</f>
        <v>7.4217560330640309E-2</v>
      </c>
      <c r="T178" s="340">
        <f t="array" ref="T178">PRODUCT(1+T$36:T$45%)^(1/COUNT(T$36:T$45))-1</f>
        <v>6.7186771605016071E-2</v>
      </c>
      <c r="U178" s="340">
        <f t="array" ref="U178">PRODUCT(1+U$36:U$45%)^(1/COUNT(U$36:U$45))-1</f>
        <v>6.0556827247029821E-2</v>
      </c>
      <c r="V178" s="340">
        <f t="array" ref="V178">PRODUCT(1+V$36:V$45%)^(1/COUNT(V$36:V$45))-1</f>
        <v>2.7436965509550104E-2</v>
      </c>
      <c r="W178" s="340">
        <f t="array" ref="W178">PRODUCT(1+W$36:W$45%)^(1/COUNT(W$36:W$45))-1</f>
        <v>6.6036928721131094E-2</v>
      </c>
      <c r="X178" s="340">
        <f t="array" ref="X178">PRODUCT(1+X$36:X$45%)^(1/COUNT(X$36:X$45))-1</f>
        <v>6.1484776060650725E-2</v>
      </c>
      <c r="Y178" s="340">
        <f t="array" ref="Y178">PRODUCT(1+Y$36:Y$45%)^(1/COUNT(Y$36:Y$45))-1</f>
        <v>6.9552314021776418E-2</v>
      </c>
      <c r="Z178" s="340">
        <f t="array" ref="Z178">PRODUCT(1+Z$36:Z$45%)^(1/COUNT(Z$36:Z$45))-1</f>
        <v>3.5866937214462213E-2</v>
      </c>
      <c r="AA178" s="340">
        <f t="array" ref="AA178">PRODUCT(1+AA$36:AA$45%)^(1/COUNT(AA$36:AA$45))-1</f>
        <v>4.918049295310678E-2</v>
      </c>
      <c r="AB178" s="340">
        <f t="array" ref="AB178">PRODUCT(1+AB$36:AB$45%)^(1/COUNT(AB$36:AB$45))-1</f>
        <v>0.13680545179656711</v>
      </c>
      <c r="AC178" s="340">
        <f t="array" ref="AC178">PRODUCT(1+AC$36:AC$45%)^(1/COUNT(AC$36:AC$45))-1</f>
        <v>5.7334129130803158E-2</v>
      </c>
      <c r="AD178" s="340"/>
      <c r="AE178" s="340"/>
      <c r="AF178" s="340"/>
      <c r="AG178" s="340"/>
      <c r="AH178" s="340"/>
      <c r="AI178" s="340"/>
      <c r="AJ178" s="340"/>
      <c r="AK178" s="340"/>
      <c r="AL178" s="341"/>
      <c r="AM178" s="61">
        <f t="array" ref="AM178">PRODUCT(1+AM$36:AM$45%)^(1/COUNT(AM$36:AM$45))-1</f>
        <v>2.5242753004707241E-2</v>
      </c>
    </row>
    <row r="179" spans="1:39" ht="14">
      <c r="A179" s="338"/>
      <c r="B179" s="339"/>
      <c r="C179" s="340"/>
      <c r="D179" s="340"/>
      <c r="E179" s="340"/>
      <c r="F179" s="340"/>
      <c r="G179" s="340"/>
      <c r="H179" s="340"/>
      <c r="I179" s="340"/>
      <c r="J179" s="340"/>
      <c r="K179" s="340"/>
      <c r="L179" s="340"/>
      <c r="M179" s="340"/>
      <c r="N179" s="340"/>
      <c r="O179" s="340"/>
      <c r="P179" s="340"/>
      <c r="Q179" s="340"/>
      <c r="R179" s="340"/>
      <c r="S179" s="340"/>
      <c r="T179" s="340"/>
      <c r="U179" s="340"/>
      <c r="V179" s="340"/>
      <c r="W179" s="340"/>
      <c r="X179" s="340"/>
      <c r="Y179" s="340"/>
      <c r="Z179" s="340"/>
      <c r="AA179" s="340"/>
      <c r="AB179" s="340"/>
      <c r="AC179" s="340"/>
      <c r="AD179" s="340"/>
      <c r="AE179" s="340"/>
      <c r="AF179" s="340"/>
      <c r="AG179" s="340"/>
      <c r="AH179" s="340"/>
      <c r="AI179" s="340"/>
      <c r="AJ179" s="340"/>
      <c r="AK179" s="340"/>
      <c r="AL179" s="341"/>
      <c r="AM179" s="61"/>
    </row>
    <row r="180" spans="1:39" ht="14">
      <c r="A180" s="338" t="s">
        <v>836</v>
      </c>
      <c r="B180" s="343">
        <f t="array" ref="B180">PRODUCT(1+B$8:B51%)^(1/COUNT(B$8:B51))-1</f>
        <v>0.10165635989115662</v>
      </c>
      <c r="C180" s="419">
        <f t="array" ref="C180">PRODUCT(1+C$8:C51%)^(1/COUNT(C$8:C51))-1</f>
        <v>0.11441733616869798</v>
      </c>
      <c r="D180" s="419">
        <f t="array" ref="D180">PRODUCT(1+D$8:D51%)^(1/COUNT(D$8:D51))-1</f>
        <v>0.10076007363598904</v>
      </c>
      <c r="E180" s="480">
        <f t="array" ref="E180">PRODUCT(1+E$8:E51%)^(1/COUNT(E$8:E51))-1</f>
        <v>9.4965193437653417E-2</v>
      </c>
      <c r="F180" s="480">
        <f t="array" ref="F180">PRODUCT(1+F$8:F51%)^(1/COUNT(F$8:F51))-1</f>
        <v>0.12179801038258264</v>
      </c>
      <c r="G180" s="480">
        <f t="array" ref="G180">PRODUCT(1+G$8:G51%)^(1/COUNT(G$8:G51))-1</f>
        <v>0.13070829748786705</v>
      </c>
      <c r="H180" s="480">
        <f t="array" ref="H180">PRODUCT(1+H$8:H51%)^(1/COUNT(H$8:H51))-1</f>
        <v>0.11309658952773649</v>
      </c>
      <c r="I180" s="480">
        <f t="array" ref="I180">PRODUCT(1+I$8:I51%)^(1/COUNT(I$8:I51))-1</f>
        <v>9.2416181809838571E-2</v>
      </c>
      <c r="J180" s="480">
        <f t="array" ref="J180">PRODUCT(1+J$8:J51%)^(1/COUNT(J$8:J51))-1</f>
        <v>0.11215184748926954</v>
      </c>
      <c r="K180" s="480">
        <f t="array" ref="K180">PRODUCT(1+K$8:K51%)^(1/COUNT(K$8:K51))-1</f>
        <v>0.11778624350334055</v>
      </c>
      <c r="L180" s="480">
        <f t="array" ref="L180">PRODUCT(1+L$8:L51%)^(1/COUNT(L$8:L51))-1</f>
        <v>9.0330483283030061E-2</v>
      </c>
      <c r="M180" s="480">
        <f t="array" ref="M180">PRODUCT(1+M$8:M51%)^(1/COUNT(M$8:M51))-1</f>
        <v>0.14631849511884631</v>
      </c>
      <c r="N180" s="480">
        <f t="array" ref="N180">PRODUCT(1+N$8:N51%)^(1/COUNT(N$8:N51))-1</f>
        <v>9.7723410457943416E-2</v>
      </c>
      <c r="O180" s="480">
        <f t="array" ref="O180">PRODUCT(1+O$8:O51%)^(1/COUNT(O$8:O51))-1</f>
        <v>8.7996165335610499E-2</v>
      </c>
      <c r="P180" s="480">
        <f t="array" ref="P180">PRODUCT(1+P$8:P51%)^(1/COUNT(P$8:P51))-1</f>
        <v>9.771658830614971E-2</v>
      </c>
      <c r="Q180" s="480">
        <f t="array" ref="Q180">PRODUCT(1+Q$8:Q51%)^(1/COUNT(Q$8:Q51))-1</f>
        <v>0.10721828779740572</v>
      </c>
      <c r="R180" s="419">
        <f t="array" ref="R180">PRODUCT(1+R$8:R51%)^(1/COUNT(R$8:R51))-1</f>
        <v>7.7060928493622338E-2</v>
      </c>
      <c r="S180" s="419">
        <f t="array" ref="S180">PRODUCT(1+S$8:S51%)^(1/COUNT(S$8:S51))-1</f>
        <v>7.7907530581458051E-2</v>
      </c>
      <c r="T180" s="419">
        <f t="array" ref="T180">PRODUCT(1+T$8:T51%)^(1/COUNT(T$8:T51))-1</f>
        <v>7.1050031661996638E-2</v>
      </c>
      <c r="U180" s="419">
        <f t="array" ref="U180">PRODUCT(1+U$8:U51%)^(1/COUNT(U$8:U51))-1</f>
        <v>7.2008130488391275E-2</v>
      </c>
      <c r="V180" s="419">
        <f t="array" ref="V180">PRODUCT(1+V$8:V51%)^(1/COUNT(V$8:V51))-1</f>
        <v>4.9096626850346103E-2</v>
      </c>
      <c r="W180" s="419">
        <f t="array" ref="W180">PRODUCT(1+W$8:W51%)^(1/COUNT(W$8:W51))-1</f>
        <v>6.754930975699236E-2</v>
      </c>
      <c r="X180" s="419">
        <f t="array" ref="X180">PRODUCT(1+X$8:X51%)^(1/COUNT(X$8:X51))-1</f>
        <v>0.10052159288959306</v>
      </c>
      <c r="Y180" s="419">
        <f t="array" ref="Y180">PRODUCT(1+Y$8:Y51%)^(1/COUNT(Y$8:Y51))-1</f>
        <v>9.7119073869724071E-2</v>
      </c>
      <c r="Z180" s="419">
        <f t="array" ref="Z180">PRODUCT(1+Z$8:Z51%)^(1/COUNT(Z$8:Z51))-1</f>
        <v>0.11571531351528197</v>
      </c>
      <c r="AA180" s="419">
        <f t="array" ref="AA180">PRODUCT(1+AA$8:AA51%)^(1/COUNT(AA$8:AA51))-1</f>
        <v>6.5155432146736469E-2</v>
      </c>
      <c r="AB180" s="419">
        <f t="array" ref="AB180">PRODUCT(1+AB$8:AB51%)^(1/COUNT(AB$8:AB51))-1</f>
        <v>7.0833524336320064E-2</v>
      </c>
      <c r="AC180" s="419">
        <f t="array" ref="AC180">PRODUCT(1+AC$8:AC51%)^(1/COUNT(AC$8:AC51))-1</f>
        <v>0.13930553733641737</v>
      </c>
      <c r="AD180" s="419"/>
      <c r="AE180" s="419"/>
      <c r="AF180" s="419"/>
      <c r="AG180" s="419"/>
      <c r="AH180" s="419"/>
      <c r="AI180" s="419"/>
      <c r="AJ180" s="419"/>
      <c r="AK180" s="419"/>
      <c r="AL180" s="420"/>
      <c r="AM180" s="61">
        <f t="array" ref="AM180">PRODUCT(1+AM$8:AM$51%)^(1/COUNT(AM$8:AM$51))-1</f>
        <v>4.0575336053278344E-2</v>
      </c>
    </row>
  </sheetData>
  <sheetProtection selectLockedCells="1" selectUnlockedCells="1"/>
  <mergeCells count="2">
    <mergeCell ref="A117:E117"/>
    <mergeCell ref="A161:C161"/>
  </mergeCells>
  <conditionalFormatting sqref="B8:AL52">
    <cfRule type="cellIs" dxfId="9" priority="29" stopIfTrue="1" operator="equal">
      <formula>MAX($B8:$AL8,-99)</formula>
    </cfRule>
    <cfRule type="cellIs" dxfId="8" priority="30" stopIfTrue="1" operator="equal">
      <formula>MIN($B8:$AL8,99)</formula>
    </cfRule>
  </conditionalFormatting>
  <conditionalFormatting sqref="B68:AL112">
    <cfRule type="cellIs" dxfId="7" priority="69" stopIfTrue="1" operator="equal">
      <formula>MAX($B68:$AL68,-99)</formula>
    </cfRule>
    <cfRule type="cellIs" dxfId="6" priority="70" stopIfTrue="1" operator="equal">
      <formula>MIN($B68:$AL68,99)</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AD163:AL164 AD118:AL118 B62 B66:AL67 N8:AL42 N53:AL53 N43:AA43 AC43:AL43 N44:AL50 B51:AM52" emptyCellReference="1"/>
  </ignoredErrors>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67"/>
  <sheetViews>
    <sheetView zoomScale="80" zoomScaleNormal="80" zoomScalePageLayoutView="80" workbookViewId="0">
      <pane xSplit="1" ySplit="4" topLeftCell="B5" activePane="bottomRight" state="frozen"/>
      <selection pane="topRight" activeCell="B1" sqref="B1"/>
      <selection pane="bottomLeft" activeCell="A5" sqref="A5"/>
      <selection pane="bottomRight"/>
    </sheetView>
  </sheetViews>
  <sheetFormatPr baseColWidth="10" defaultColWidth="8.83203125" defaultRowHeight="12" x14ac:dyDescent="0"/>
  <cols>
    <col min="1" max="1" width="11.1640625" style="189" customWidth="1"/>
    <col min="2" max="2" width="9.5" style="189" customWidth="1"/>
    <col min="3" max="3" width="8.5" style="189" customWidth="1"/>
    <col min="4" max="4" width="7.5" style="189" customWidth="1"/>
    <col min="5" max="5" width="8.5" style="189" customWidth="1"/>
    <col min="6" max="6" width="8" style="189" customWidth="1"/>
    <col min="7" max="8" width="8.5" style="189" customWidth="1"/>
    <col min="9" max="9" width="8" style="189" customWidth="1"/>
    <col min="10" max="10" width="9.33203125" style="189" customWidth="1"/>
    <col min="11" max="11" width="8" style="189" customWidth="1"/>
    <col min="12" max="12" width="7.5" style="189" customWidth="1"/>
    <col min="13" max="14" width="8.5" style="189" customWidth="1"/>
    <col min="15" max="15" width="8" style="189" customWidth="1"/>
    <col min="16" max="16" width="8.1640625" style="189" customWidth="1"/>
    <col min="18" max="18" width="8" style="189" customWidth="1"/>
    <col min="19" max="19" width="7.5" style="189" customWidth="1"/>
    <col min="21" max="21" width="8.5" style="189" customWidth="1"/>
    <col min="22" max="22" width="8.33203125" style="189" customWidth="1"/>
    <col min="23" max="23" width="8.5" style="189" customWidth="1"/>
    <col min="24" max="24" width="11.1640625" style="189" customWidth="1"/>
    <col min="25" max="25" width="10.1640625" style="189" customWidth="1"/>
    <col min="26" max="26" width="7.6640625" style="189" customWidth="1"/>
    <col min="27" max="27" width="7.83203125" style="189" customWidth="1"/>
    <col min="28" max="28" width="9.33203125" style="189" customWidth="1"/>
    <col min="29" max="29" width="8.5" style="189" customWidth="1"/>
    <col min="30" max="30" width="10.1640625" style="189" customWidth="1"/>
    <col min="35" max="35" width="10" style="189" customWidth="1"/>
    <col min="40" max="40" width="11.5" style="189" customWidth="1"/>
  </cols>
  <sheetData>
    <row r="1" spans="1:55" s="181" customFormat="1" ht="36">
      <c r="A1" s="65" t="s">
        <v>440</v>
      </c>
      <c r="B1" s="65" t="s">
        <v>441</v>
      </c>
      <c r="C1" s="65" t="s">
        <v>371</v>
      </c>
      <c r="D1" s="65" t="s">
        <v>442</v>
      </c>
      <c r="E1" s="65" t="s">
        <v>373</v>
      </c>
      <c r="F1" s="65" t="s">
        <v>374</v>
      </c>
      <c r="G1" s="65" t="s">
        <v>375</v>
      </c>
      <c r="H1" s="65" t="s">
        <v>376</v>
      </c>
      <c r="I1" s="65" t="s">
        <v>377</v>
      </c>
      <c r="J1" s="65" t="s">
        <v>378</v>
      </c>
      <c r="K1" s="65" t="s">
        <v>114</v>
      </c>
      <c r="L1" s="65" t="s">
        <v>443</v>
      </c>
      <c r="M1" s="65" t="s">
        <v>299</v>
      </c>
      <c r="N1" s="65" t="s">
        <v>444</v>
      </c>
      <c r="O1" s="65" t="s">
        <v>318</v>
      </c>
      <c r="P1" s="65" t="s">
        <v>325</v>
      </c>
      <c r="Q1" s="65" t="s">
        <v>445</v>
      </c>
      <c r="R1" s="65" t="s">
        <v>380</v>
      </c>
      <c r="S1" s="65" t="s">
        <v>381</v>
      </c>
      <c r="T1" s="65" t="s">
        <v>382</v>
      </c>
      <c r="U1" s="65" t="s">
        <v>383</v>
      </c>
      <c r="V1" s="65" t="s">
        <v>384</v>
      </c>
      <c r="W1" s="65" t="s">
        <v>300</v>
      </c>
      <c r="X1" s="236" t="s">
        <v>259</v>
      </c>
      <c r="Y1" s="236" t="s">
        <v>260</v>
      </c>
      <c r="Z1" s="65" t="s">
        <v>345</v>
      </c>
      <c r="AA1" s="65" t="s">
        <v>422</v>
      </c>
      <c r="AB1" s="65" t="s">
        <v>423</v>
      </c>
      <c r="AC1" s="236" t="s">
        <v>143</v>
      </c>
      <c r="AD1" s="236" t="s">
        <v>153</v>
      </c>
      <c r="AE1" s="65" t="s">
        <v>480</v>
      </c>
      <c r="AF1" s="65" t="s">
        <v>481</v>
      </c>
      <c r="AG1" s="65" t="s">
        <v>482</v>
      </c>
      <c r="AH1" s="65" t="s">
        <v>483</v>
      </c>
      <c r="AI1" s="236" t="s">
        <v>387</v>
      </c>
      <c r="AJ1" s="236" t="s">
        <v>484</v>
      </c>
      <c r="AK1" s="236" t="s">
        <v>485</v>
      </c>
      <c r="AL1" s="65" t="s">
        <v>486</v>
      </c>
      <c r="AM1" s="116" t="s">
        <v>277</v>
      </c>
      <c r="AN1" s="344" t="s">
        <v>279</v>
      </c>
      <c r="AO1" s="236" t="s">
        <v>281</v>
      </c>
      <c r="AP1" s="344" t="s">
        <v>447</v>
      </c>
      <c r="AQ1" s="344"/>
      <c r="AR1" s="344"/>
      <c r="AS1" s="344"/>
      <c r="AT1" s="344"/>
      <c r="AU1" s="344"/>
      <c r="AV1" s="344"/>
      <c r="AW1" s="344"/>
      <c r="AX1" s="344"/>
      <c r="AY1" s="344"/>
      <c r="AZ1" s="65" t="s">
        <v>391</v>
      </c>
    </row>
    <row r="2" spans="1:55" s="36" customFormat="1">
      <c r="A2" s="22">
        <v>2015</v>
      </c>
      <c r="B2" s="58" t="s">
        <v>97</v>
      </c>
      <c r="C2" s="58" t="s">
        <v>99</v>
      </c>
      <c r="D2" s="58" t="s">
        <v>101</v>
      </c>
      <c r="E2" s="58" t="s">
        <v>103</v>
      </c>
      <c r="F2" s="58" t="s">
        <v>105</v>
      </c>
      <c r="G2" s="58" t="s">
        <v>107</v>
      </c>
      <c r="H2" s="58" t="s">
        <v>109</v>
      </c>
      <c r="I2" s="58" t="s">
        <v>111</v>
      </c>
      <c r="J2" s="58" t="s">
        <v>113</v>
      </c>
      <c r="K2" s="58" t="s">
        <v>115</v>
      </c>
      <c r="L2" s="58" t="s">
        <v>624</v>
      </c>
      <c r="M2" s="58" t="s">
        <v>118</v>
      </c>
      <c r="N2" s="58" t="s">
        <v>120</v>
      </c>
      <c r="O2" s="58" t="s">
        <v>122</v>
      </c>
      <c r="P2" s="58" t="s">
        <v>124</v>
      </c>
      <c r="Q2" s="58" t="s">
        <v>126</v>
      </c>
      <c r="R2" s="58" t="s">
        <v>128</v>
      </c>
      <c r="S2" s="58" t="s">
        <v>130</v>
      </c>
      <c r="T2" s="58" t="s">
        <v>132</v>
      </c>
      <c r="U2" s="58" t="s">
        <v>134</v>
      </c>
      <c r="V2" s="58" t="s">
        <v>136</v>
      </c>
      <c r="W2" s="58" t="s">
        <v>138</v>
      </c>
      <c r="X2" s="58" t="s">
        <v>140</v>
      </c>
      <c r="Y2" s="58" t="s">
        <v>142</v>
      </c>
      <c r="Z2" s="53" t="s">
        <v>146</v>
      </c>
      <c r="AA2" s="53" t="s">
        <v>150</v>
      </c>
      <c r="AB2" s="53" t="s">
        <v>152</v>
      </c>
      <c r="AC2" s="53" t="s">
        <v>144</v>
      </c>
      <c r="AD2" s="58" t="s">
        <v>154</v>
      </c>
      <c r="AE2" s="58" t="s">
        <v>156</v>
      </c>
      <c r="AF2" s="58" t="s">
        <v>158</v>
      </c>
      <c r="AG2" s="58" t="s">
        <v>160</v>
      </c>
      <c r="AH2" s="58" t="s">
        <v>162</v>
      </c>
      <c r="AI2" s="58" t="s">
        <v>148</v>
      </c>
      <c r="AJ2" s="58" t="s">
        <v>164</v>
      </c>
      <c r="AK2" s="58" t="s">
        <v>166</v>
      </c>
      <c r="AL2" s="58" t="s">
        <v>168</v>
      </c>
      <c r="AM2" s="181" t="s">
        <v>278</v>
      </c>
      <c r="AN2" s="8" t="s">
        <v>280</v>
      </c>
      <c r="AO2" s="8" t="s">
        <v>448</v>
      </c>
      <c r="AP2" s="65" t="s">
        <v>449</v>
      </c>
      <c r="AQ2" s="345"/>
      <c r="AR2" s="345"/>
      <c r="AS2" s="345"/>
      <c r="AT2" s="345"/>
      <c r="AU2" s="345"/>
      <c r="AV2" s="345"/>
      <c r="AW2" s="345"/>
      <c r="AX2" s="345"/>
      <c r="AY2" s="345"/>
      <c r="AZ2" s="58" t="s">
        <v>403</v>
      </c>
    </row>
    <row r="3" spans="1:55" s="36" customFormat="1">
      <c r="A3" s="346" t="s">
        <v>450</v>
      </c>
      <c r="B3" s="501">
        <v>0.17</v>
      </c>
      <c r="C3" s="501">
        <v>0.23</v>
      </c>
      <c r="D3" s="501">
        <v>0.17</v>
      </c>
      <c r="E3" s="501">
        <v>0.23</v>
      </c>
      <c r="F3" s="501">
        <v>0.23</v>
      </c>
      <c r="G3" s="501">
        <v>0.23</v>
      </c>
      <c r="H3" s="501">
        <v>0.23</v>
      </c>
      <c r="I3" s="501">
        <v>0.23</v>
      </c>
      <c r="J3" s="501">
        <v>0.78</v>
      </c>
      <c r="K3" s="501">
        <v>0.26</v>
      </c>
      <c r="L3" s="501">
        <v>0.09</v>
      </c>
      <c r="M3" s="501">
        <v>0.33</v>
      </c>
      <c r="N3" s="501">
        <v>0.22</v>
      </c>
      <c r="O3" s="501">
        <v>0.26</v>
      </c>
      <c r="P3" s="501">
        <v>0.26</v>
      </c>
      <c r="Q3" s="501">
        <v>0.44</v>
      </c>
      <c r="R3" s="501">
        <v>0</v>
      </c>
      <c r="S3" s="501">
        <v>0.2</v>
      </c>
      <c r="T3" s="501">
        <v>0.2</v>
      </c>
      <c r="U3" s="501">
        <v>0.2</v>
      </c>
      <c r="V3" s="501">
        <v>0.09</v>
      </c>
      <c r="W3" s="501">
        <v>0.2</v>
      </c>
      <c r="X3" s="501">
        <v>0.26</v>
      </c>
      <c r="Y3" s="501">
        <v>0.25</v>
      </c>
      <c r="Z3" s="501">
        <v>0.37</v>
      </c>
      <c r="AA3" s="501">
        <v>0.34</v>
      </c>
      <c r="AB3" s="501">
        <v>0.28999999999999998</v>
      </c>
      <c r="AC3" s="593">
        <v>0.38</v>
      </c>
      <c r="AD3" s="501">
        <v>0.36</v>
      </c>
      <c r="AE3" s="501">
        <v>0.2</v>
      </c>
      <c r="AF3" s="501">
        <v>0.2</v>
      </c>
      <c r="AG3" s="501">
        <v>0.2</v>
      </c>
      <c r="AH3" s="501">
        <v>0.23</v>
      </c>
      <c r="AI3" s="501">
        <v>0.2</v>
      </c>
      <c r="AJ3" s="501">
        <v>0.23</v>
      </c>
      <c r="AK3" s="501">
        <v>0.23</v>
      </c>
      <c r="AL3" s="501">
        <v>0.23</v>
      </c>
      <c r="AM3" s="501">
        <v>0</v>
      </c>
      <c r="AN3" s="594">
        <v>0.21</v>
      </c>
      <c r="AO3" s="501">
        <v>0.4</v>
      </c>
      <c r="AP3" s="501">
        <v>0.37</v>
      </c>
      <c r="AQ3" s="592" t="s">
        <v>451</v>
      </c>
      <c r="AR3" s="592" t="s">
        <v>451</v>
      </c>
      <c r="AS3" s="592" t="s">
        <v>451</v>
      </c>
      <c r="AT3" s="592" t="s">
        <v>451</v>
      </c>
      <c r="AU3" s="592" t="s">
        <v>451</v>
      </c>
      <c r="AV3" s="592" t="s">
        <v>451</v>
      </c>
      <c r="AW3" s="592" t="s">
        <v>451</v>
      </c>
      <c r="AX3" s="592" t="s">
        <v>451</v>
      </c>
      <c r="AY3" s="592" t="s">
        <v>451</v>
      </c>
      <c r="AZ3" s="594"/>
    </row>
    <row r="4" spans="1:55" s="36" customFormat="1">
      <c r="A4" s="346" t="s">
        <v>452</v>
      </c>
      <c r="B4" s="186">
        <v>1993</v>
      </c>
      <c r="C4" s="186">
        <v>1993</v>
      </c>
      <c r="D4" s="186">
        <v>1977</v>
      </c>
      <c r="E4" s="186">
        <v>1992</v>
      </c>
      <c r="F4" s="186">
        <v>1999</v>
      </c>
      <c r="G4" s="186">
        <v>1999</v>
      </c>
      <c r="H4" s="186">
        <v>1992</v>
      </c>
      <c r="I4" s="186">
        <v>1999</v>
      </c>
      <c r="J4" s="186">
        <v>1998</v>
      </c>
      <c r="K4" s="186">
        <v>1997</v>
      </c>
      <c r="L4" s="186">
        <v>2001</v>
      </c>
      <c r="M4" s="186">
        <v>1995</v>
      </c>
      <c r="N4" s="186">
        <v>1997</v>
      </c>
      <c r="O4" s="186">
        <v>1991</v>
      </c>
      <c r="P4" s="186">
        <v>1991</v>
      </c>
      <c r="Q4" s="186">
        <v>1991</v>
      </c>
      <c r="R4" s="186">
        <v>2003</v>
      </c>
      <c r="S4" s="186">
        <v>1987</v>
      </c>
      <c r="T4" s="186">
        <v>1992</v>
      </c>
      <c r="U4" s="186">
        <v>1987</v>
      </c>
      <c r="V4" s="186">
        <v>1984</v>
      </c>
      <c r="W4" s="186">
        <v>2001</v>
      </c>
      <c r="X4" s="186">
        <v>1972</v>
      </c>
      <c r="Y4" s="186">
        <v>1972</v>
      </c>
      <c r="Z4" s="591">
        <v>1985</v>
      </c>
      <c r="AA4" s="591">
        <v>1985</v>
      </c>
      <c r="AB4" s="591">
        <v>1985</v>
      </c>
      <c r="AC4" s="186">
        <v>1972</v>
      </c>
      <c r="AD4" s="346">
        <v>1985</v>
      </c>
      <c r="AE4" s="346">
        <v>1985</v>
      </c>
      <c r="AF4" s="346">
        <v>1985</v>
      </c>
      <c r="AG4" s="346">
        <v>1985</v>
      </c>
      <c r="AH4" s="346">
        <v>1985</v>
      </c>
      <c r="AI4" s="186">
        <v>1992</v>
      </c>
      <c r="AJ4" s="346">
        <v>2007</v>
      </c>
      <c r="AK4" s="346">
        <v>2007</v>
      </c>
      <c r="AL4" s="346">
        <v>1988</v>
      </c>
      <c r="AM4" s="346">
        <v>1987</v>
      </c>
      <c r="AN4" s="346">
        <v>1982</v>
      </c>
      <c r="AO4" s="502">
        <v>2004</v>
      </c>
      <c r="AP4" s="346">
        <v>1997</v>
      </c>
      <c r="AQ4" s="502" t="s">
        <v>451</v>
      </c>
      <c r="AR4" s="502" t="s">
        <v>451</v>
      </c>
      <c r="AS4" s="502" t="s">
        <v>451</v>
      </c>
      <c r="AT4" s="502" t="s">
        <v>451</v>
      </c>
      <c r="AU4" s="502" t="s">
        <v>451</v>
      </c>
      <c r="AV4" s="502" t="s">
        <v>451</v>
      </c>
      <c r="AW4" s="502" t="s">
        <v>451</v>
      </c>
      <c r="AX4" s="502" t="s">
        <v>451</v>
      </c>
      <c r="AY4" s="502" t="s">
        <v>451</v>
      </c>
      <c r="AZ4" s="346"/>
    </row>
    <row r="5" spans="1:55" s="36" customFormat="1">
      <c r="A5" s="58"/>
      <c r="B5" s="58"/>
      <c r="C5" s="58"/>
      <c r="D5" s="58"/>
      <c r="E5" s="58"/>
      <c r="F5" s="58"/>
      <c r="G5" s="58"/>
      <c r="H5" s="58"/>
      <c r="I5" s="58"/>
      <c r="J5" s="58"/>
      <c r="K5" s="58"/>
      <c r="L5" s="58"/>
      <c r="M5" s="58"/>
      <c r="N5" s="58"/>
      <c r="O5" s="58"/>
      <c r="P5" s="58"/>
      <c r="Q5" s="58"/>
      <c r="R5" s="58"/>
      <c r="S5" s="58"/>
      <c r="T5" s="58"/>
      <c r="U5" s="58"/>
      <c r="V5" s="58"/>
      <c r="W5" s="58"/>
      <c r="X5" s="58"/>
      <c r="Y5" s="58"/>
      <c r="Z5" s="53"/>
      <c r="AA5" s="53"/>
      <c r="AB5" s="53"/>
      <c r="AC5" s="53"/>
      <c r="AD5" s="58"/>
      <c r="AE5" s="58"/>
      <c r="AF5" s="58"/>
      <c r="AG5" s="58"/>
      <c r="AH5" s="58"/>
      <c r="AI5" s="58"/>
      <c r="AJ5" s="58"/>
      <c r="AK5" s="58"/>
      <c r="AL5" s="58"/>
      <c r="AM5" s="345"/>
      <c r="AN5" s="345"/>
      <c r="AO5" s="345"/>
      <c r="AP5" s="345"/>
      <c r="AQ5" s="345"/>
      <c r="AR5" s="345"/>
      <c r="AS5" s="345"/>
      <c r="AT5" s="345"/>
      <c r="AU5" s="345"/>
      <c r="AV5" s="345"/>
      <c r="AW5" s="345"/>
      <c r="AX5" s="345"/>
      <c r="AY5" s="345"/>
      <c r="AZ5" s="58"/>
    </row>
    <row r="6" spans="1:55" s="350" customFormat="1">
      <c r="A6" s="236"/>
      <c r="B6" s="236"/>
      <c r="C6" s="236"/>
      <c r="D6" s="236"/>
      <c r="E6" s="236"/>
      <c r="F6" s="236"/>
      <c r="G6" s="236"/>
      <c r="H6" s="236"/>
      <c r="I6" s="347"/>
      <c r="J6" s="47" t="s">
        <v>453</v>
      </c>
      <c r="K6" s="47"/>
      <c r="L6" s="47"/>
      <c r="M6" s="47"/>
      <c r="N6" s="348"/>
      <c r="O6" s="47" t="s">
        <v>454</v>
      </c>
      <c r="P6" s="47"/>
      <c r="Q6" s="236"/>
      <c r="R6" s="236"/>
      <c r="S6" s="236"/>
      <c r="T6" s="236"/>
      <c r="U6" s="236"/>
      <c r="V6" s="236"/>
      <c r="W6" s="236"/>
      <c r="X6" s="236"/>
      <c r="Y6" s="236"/>
      <c r="Z6" s="236"/>
      <c r="AA6" s="236"/>
      <c r="AB6" s="236"/>
      <c r="AC6" s="236"/>
      <c r="AD6" s="236"/>
      <c r="AE6" s="349"/>
      <c r="AF6" s="236"/>
      <c r="AG6" s="236"/>
      <c r="AH6" s="236"/>
      <c r="AZ6" s="235"/>
    </row>
    <row r="7" spans="1:55" s="47" customFormat="1">
      <c r="A7" s="24"/>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351"/>
      <c r="AD7" s="352"/>
      <c r="AE7" s="48"/>
      <c r="AF7" s="48"/>
    </row>
    <row r="8" spans="1:55">
      <c r="A8" s="58">
        <v>1985</v>
      </c>
      <c r="B8" s="321">
        <f t="shared" ref="B8:AP8" si="0">IF(B$2="-","",(IF(B56="","",(IF(B$4&lt;$A8,B56,(B56-B$3)/(1+B$3%))))))</f>
        <v>31.975641409603675</v>
      </c>
      <c r="C8" s="321">
        <f t="shared" si="0"/>
        <v>31.198244038710964</v>
      </c>
      <c r="D8" s="321">
        <f t="shared" si="0"/>
        <v>31.23</v>
      </c>
      <c r="E8" s="321">
        <f t="shared" si="0"/>
        <v>32.595031427716258</v>
      </c>
      <c r="F8" s="321">
        <f t="shared" si="0"/>
        <v>31.697096677641426</v>
      </c>
      <c r="G8" s="321">
        <f t="shared" si="0"/>
        <v>30.699391399780506</v>
      </c>
      <c r="H8" s="321">
        <f t="shared" si="0"/>
        <v>30.799161927566598</v>
      </c>
      <c r="I8" s="321">
        <f t="shared" si="0"/>
        <v>30.699391399780506</v>
      </c>
      <c r="J8" s="321">
        <f t="shared" si="0"/>
        <v>24.727128398491761</v>
      </c>
      <c r="K8" s="321">
        <f t="shared" si="0"/>
        <v>18.791143028126871</v>
      </c>
      <c r="L8" s="321">
        <f t="shared" si="0"/>
        <v>56.559096812868425</v>
      </c>
      <c r="M8" s="321">
        <f t="shared" si="0"/>
        <v>60.370776437755403</v>
      </c>
      <c r="N8" s="321">
        <f t="shared" si="0"/>
        <v>56.984633805627617</v>
      </c>
      <c r="O8" s="321">
        <f t="shared" si="0"/>
        <v>39.028525832834632</v>
      </c>
      <c r="P8" s="321">
        <f t="shared" si="0"/>
        <v>79.33373229603032</v>
      </c>
      <c r="Q8" s="321">
        <f t="shared" si="0"/>
        <v>54.430505774591801</v>
      </c>
      <c r="R8" s="321">
        <f t="shared" si="0"/>
        <v>13.03</v>
      </c>
      <c r="S8" s="321">
        <f t="shared" si="0"/>
        <v>30.738522954091817</v>
      </c>
      <c r="T8" s="321">
        <f t="shared" si="0"/>
        <v>20.345943656572945</v>
      </c>
      <c r="U8" s="321">
        <f t="shared" si="0"/>
        <v>17.764471057884233</v>
      </c>
      <c r="V8" s="321">
        <f t="shared" si="0"/>
        <v>7.37</v>
      </c>
      <c r="W8" s="321">
        <f t="shared" si="0"/>
        <v>8.6826347305389238</v>
      </c>
      <c r="X8" s="321">
        <f t="shared" si="0"/>
        <v>28.53</v>
      </c>
      <c r="Y8" s="321">
        <f t="shared" si="0"/>
        <v>27.41</v>
      </c>
      <c r="Z8" s="321">
        <f t="shared" si="0"/>
        <v>14.008169771844177</v>
      </c>
      <c r="AA8" s="321">
        <f t="shared" si="0"/>
        <v>45.266095276061385</v>
      </c>
      <c r="AB8" s="321">
        <f t="shared" si="0"/>
        <v>-5.3046166118257059</v>
      </c>
      <c r="AC8" s="321">
        <f t="shared" si="0"/>
        <v>28.03</v>
      </c>
      <c r="AD8" s="321">
        <f t="shared" si="0"/>
        <v>10.721402949382224</v>
      </c>
      <c r="AE8" s="321">
        <f t="shared" si="0"/>
        <v>6.7365269461077846</v>
      </c>
      <c r="AF8" s="321">
        <f t="shared" si="0"/>
        <v>17.095808383233532</v>
      </c>
      <c r="AG8" s="321">
        <f t="shared" si="0"/>
        <v>20.528942115768462</v>
      </c>
      <c r="AH8" s="321">
        <f t="shared" si="0"/>
        <v>21.710066846253614</v>
      </c>
      <c r="AI8" s="321">
        <f t="shared" si="0"/>
        <v>12.974051896207584</v>
      </c>
      <c r="AJ8" s="321">
        <f t="shared" si="0"/>
        <v>31.697096677641426</v>
      </c>
      <c r="AK8" s="321">
        <f t="shared" si="0"/>
        <v>31.697096677641426</v>
      </c>
      <c r="AL8" s="321">
        <f t="shared" si="0"/>
        <v>31.298014566497059</v>
      </c>
      <c r="AM8" s="321">
        <f t="shared" si="0"/>
        <v>1.65</v>
      </c>
      <c r="AN8" s="321">
        <f t="shared" si="0"/>
        <v>14.9</v>
      </c>
      <c r="AO8" s="321">
        <f t="shared" si="0"/>
        <v>5.2585773411209571</v>
      </c>
      <c r="AP8" s="321">
        <f t="shared" si="0"/>
        <v>66.882534621898969</v>
      </c>
      <c r="AQ8" s="321" t="str">
        <f t="shared" ref="AQ8:AY8" si="1">IF(AQ$2="-",0,(IF(AQ56="","",IF(AQ$4&lt;$A8,AQ56,(AQ56-AQ$3)/(1+AQ$3%)))))</f>
        <v/>
      </c>
      <c r="AR8" s="321" t="str">
        <f t="shared" si="1"/>
        <v/>
      </c>
      <c r="AS8" s="321" t="str">
        <f t="shared" si="1"/>
        <v/>
      </c>
      <c r="AT8" s="321" t="str">
        <f t="shared" si="1"/>
        <v/>
      </c>
      <c r="AU8" s="321" t="str">
        <f t="shared" si="1"/>
        <v/>
      </c>
      <c r="AV8" s="321" t="str">
        <f t="shared" si="1"/>
        <v/>
      </c>
      <c r="AW8" s="321" t="str">
        <f t="shared" si="1"/>
        <v/>
      </c>
      <c r="AX8" s="321" t="str">
        <f t="shared" si="1"/>
        <v/>
      </c>
      <c r="AY8" s="321" t="str">
        <f t="shared" si="1"/>
        <v/>
      </c>
      <c r="AZ8" s="321">
        <v>3.7986704653371284</v>
      </c>
      <c r="BB8" s="47"/>
      <c r="BC8" s="47"/>
    </row>
    <row r="9" spans="1:55">
      <c r="A9" s="58">
        <f t="shared" ref="A9:A39" si="2">A8+1</f>
        <v>1986</v>
      </c>
      <c r="B9" s="321">
        <f t="shared" ref="B9:W9" si="3">IF(B$2="-","",(IF(B57="","",(IF(B$4&lt;$A9,B57,(B57-B$3)/(1+B$3%))))))</f>
        <v>15.902964959568735</v>
      </c>
      <c r="C9" s="321">
        <f t="shared" si="3"/>
        <v>19.724633343310387</v>
      </c>
      <c r="D9" s="321">
        <f t="shared" si="3"/>
        <v>18.059999999999999</v>
      </c>
      <c r="E9" s="321">
        <f t="shared" si="3"/>
        <v>15.135189065150154</v>
      </c>
      <c r="F9" s="321">
        <f t="shared" si="3"/>
        <v>17.928763843160731</v>
      </c>
      <c r="G9" s="321">
        <f t="shared" si="3"/>
        <v>7.1535468422627959</v>
      </c>
      <c r="H9" s="321">
        <f t="shared" si="3"/>
        <v>5.4574478698992319</v>
      </c>
      <c r="I9" s="321">
        <f t="shared" si="3"/>
        <v>3.3622667863913001</v>
      </c>
      <c r="J9" s="321">
        <f t="shared" si="3"/>
        <v>-0.47628497717801155</v>
      </c>
      <c r="K9" s="321">
        <f t="shared" si="3"/>
        <v>18.890883702373827</v>
      </c>
      <c r="L9" s="321">
        <f t="shared" si="3"/>
        <v>69.747227495254279</v>
      </c>
      <c r="M9" s="321">
        <f t="shared" si="3"/>
        <v>62.164855975281569</v>
      </c>
      <c r="N9" s="321">
        <f t="shared" si="3"/>
        <v>68.449411295150682</v>
      </c>
      <c r="O9" s="321">
        <f t="shared" si="3"/>
        <v>93.317374825453811</v>
      </c>
      <c r="P9" s="321">
        <f t="shared" si="3"/>
        <v>44.125274286854186</v>
      </c>
      <c r="Q9" s="321">
        <f t="shared" si="3"/>
        <v>64.645559538032671</v>
      </c>
      <c r="R9" s="321">
        <f t="shared" si="3"/>
        <v>-6.19</v>
      </c>
      <c r="S9" s="321">
        <f t="shared" si="3"/>
        <v>24.251497005988025</v>
      </c>
      <c r="T9" s="321">
        <f t="shared" si="3"/>
        <v>18.021296035046223</v>
      </c>
      <c r="U9" s="321">
        <f t="shared" si="3"/>
        <v>12.874251497005988</v>
      </c>
      <c r="V9" s="321">
        <f t="shared" si="3"/>
        <v>6</v>
      </c>
      <c r="W9" s="321">
        <f t="shared" si="3"/>
        <v>21.956087824351297</v>
      </c>
      <c r="X9" s="321">
        <f t="shared" ref="X9:AY9" si="4">IF(X$2="-",0,(IF(X57="","",(IF(X$4&lt;$A9,X57,(X57-X$3)/(1+X$3%))))))</f>
        <v>18.399999999999999</v>
      </c>
      <c r="Y9" s="321">
        <f t="shared" si="4"/>
        <v>18.34</v>
      </c>
      <c r="Z9" s="321">
        <f t="shared" si="4"/>
        <v>12.7</v>
      </c>
      <c r="AA9" s="321">
        <f t="shared" si="4"/>
        <v>21.42</v>
      </c>
      <c r="AB9" s="321">
        <f t="shared" si="4"/>
        <v>49.88</v>
      </c>
      <c r="AC9" s="321">
        <f t="shared" si="4"/>
        <v>20.27</v>
      </c>
      <c r="AD9" s="321">
        <f t="shared" si="4"/>
        <v>21.41</v>
      </c>
      <c r="AE9" s="321">
        <f t="shared" si="4"/>
        <v>7.39</v>
      </c>
      <c r="AF9" s="321">
        <f t="shared" si="4"/>
        <v>16.21</v>
      </c>
      <c r="AG9" s="321">
        <f t="shared" si="4"/>
        <v>19.38</v>
      </c>
      <c r="AH9" s="321">
        <f t="shared" si="4"/>
        <v>16.86</v>
      </c>
      <c r="AI9" s="321">
        <f t="shared" si="4"/>
        <v>11.676646706586828</v>
      </c>
      <c r="AJ9" s="321">
        <f t="shared" si="4"/>
        <v>17.330140676444181</v>
      </c>
      <c r="AK9" s="321">
        <f t="shared" si="4"/>
        <v>17.629452259802452</v>
      </c>
      <c r="AL9" s="321">
        <f t="shared" si="4"/>
        <v>12.321660181582361</v>
      </c>
      <c r="AM9" s="321">
        <f t="shared" si="4"/>
        <v>1.65</v>
      </c>
      <c r="AN9" s="321">
        <f t="shared" si="4"/>
        <v>11.4</v>
      </c>
      <c r="AO9" s="321">
        <f t="shared" si="4"/>
        <v>20.824312610223625</v>
      </c>
      <c r="AP9" s="321">
        <f t="shared" si="4"/>
        <v>58.951878051210521</v>
      </c>
      <c r="AQ9" s="321" t="str">
        <f t="shared" si="4"/>
        <v/>
      </c>
      <c r="AR9" s="321" t="str">
        <f t="shared" si="4"/>
        <v/>
      </c>
      <c r="AS9" s="321" t="str">
        <f t="shared" si="4"/>
        <v/>
      </c>
      <c r="AT9" s="321" t="str">
        <f t="shared" si="4"/>
        <v/>
      </c>
      <c r="AU9" s="321" t="str">
        <f t="shared" si="4"/>
        <v/>
      </c>
      <c r="AV9" s="321" t="str">
        <f t="shared" si="4"/>
        <v/>
      </c>
      <c r="AW9" s="321" t="str">
        <f t="shared" si="4"/>
        <v/>
      </c>
      <c r="AX9" s="321" t="str">
        <f t="shared" si="4"/>
        <v/>
      </c>
      <c r="AY9" s="321" t="str">
        <f t="shared" si="4"/>
        <v/>
      </c>
      <c r="AZ9" s="321">
        <v>1.0978956999085021</v>
      </c>
      <c r="BB9" s="47"/>
      <c r="BC9" s="47"/>
    </row>
    <row r="10" spans="1:55">
      <c r="A10" s="58">
        <f t="shared" si="2"/>
        <v>1987</v>
      </c>
      <c r="B10" s="321">
        <f t="shared" ref="B10:W10" si="5">IF(B$2="-","",(IF(B58="","",(IF(B$4&lt;$A10,B58,(B58-B$3)/(1+B$3%))))))</f>
        <v>1.527403414195867</v>
      </c>
      <c r="C10" s="321">
        <f t="shared" si="5"/>
        <v>0.26938042502244841</v>
      </c>
      <c r="D10" s="321">
        <f t="shared" si="5"/>
        <v>4.71</v>
      </c>
      <c r="E10" s="321">
        <f t="shared" si="5"/>
        <v>5.0583657587548636</v>
      </c>
      <c r="F10" s="321">
        <f t="shared" si="5"/>
        <v>-2.9931158335827598E-2</v>
      </c>
      <c r="G10" s="321">
        <f t="shared" si="5"/>
        <v>-7.3131796867205434</v>
      </c>
      <c r="H10" s="321">
        <f t="shared" si="5"/>
        <v>-9.0092786590841083</v>
      </c>
      <c r="I10" s="321">
        <f t="shared" si="5"/>
        <v>-10.705377631447671</v>
      </c>
      <c r="J10" s="321">
        <f t="shared" si="5"/>
        <v>-15.558642587815042</v>
      </c>
      <c r="K10" s="321">
        <f t="shared" si="5"/>
        <v>-3.8499900259325757</v>
      </c>
      <c r="L10" s="321">
        <f t="shared" si="5"/>
        <v>24.787691078029773</v>
      </c>
      <c r="M10" s="321">
        <f t="shared" si="5"/>
        <v>37.247084620751522</v>
      </c>
      <c r="N10" s="321">
        <f t="shared" si="5"/>
        <v>26.541608461384953</v>
      </c>
      <c r="O10" s="321">
        <f t="shared" si="5"/>
        <v>39.487332934370642</v>
      </c>
      <c r="P10" s="321">
        <f t="shared" si="5"/>
        <v>3.8300418910831837</v>
      </c>
      <c r="Q10" s="321">
        <f t="shared" si="5"/>
        <v>34.428514536041426</v>
      </c>
      <c r="R10" s="321">
        <f t="shared" si="5"/>
        <v>17.91</v>
      </c>
      <c r="S10" s="321">
        <f t="shared" si="5"/>
        <v>-3.1237524950099802</v>
      </c>
      <c r="T10" s="321">
        <f t="shared" si="5"/>
        <v>0.83785628444033255</v>
      </c>
      <c r="U10" s="321">
        <f t="shared" si="5"/>
        <v>0.9381237524950099</v>
      </c>
      <c r="V10" s="321">
        <f t="shared" si="5"/>
        <v>6.12</v>
      </c>
      <c r="W10" s="321">
        <f t="shared" si="5"/>
        <v>8.1836327345309385</v>
      </c>
      <c r="X10" s="321">
        <f t="shared" ref="X10:AY10" si="6">IF(X$2="-",0,(IF(X58="","",(IF(X$4&lt;$A10,X58,(X58-X$3)/(1+X$3%))))))</f>
        <v>2.2799999999999998</v>
      </c>
      <c r="Y10" s="321">
        <f t="shared" si="6"/>
        <v>-1.92</v>
      </c>
      <c r="Z10" s="321">
        <f t="shared" si="6"/>
        <v>6.13</v>
      </c>
      <c r="AA10" s="321">
        <f t="shared" si="6"/>
        <v>-0.5</v>
      </c>
      <c r="AB10" s="321">
        <f t="shared" si="6"/>
        <v>38.729999999999997</v>
      </c>
      <c r="AC10" s="321">
        <f t="shared" si="6"/>
        <v>1.23</v>
      </c>
      <c r="AD10" s="321">
        <f t="shared" si="6"/>
        <v>-2.14</v>
      </c>
      <c r="AE10" s="321">
        <f t="shared" si="6"/>
        <v>4.1100000000000003</v>
      </c>
      <c r="AF10" s="321">
        <f t="shared" si="6"/>
        <v>1.64</v>
      </c>
      <c r="AG10" s="321">
        <f t="shared" si="6"/>
        <v>-1.1399999999999999</v>
      </c>
      <c r="AH10" s="321">
        <f t="shared" si="6"/>
        <v>2.65</v>
      </c>
      <c r="AI10" s="321">
        <f t="shared" si="6"/>
        <v>5.788423153692615</v>
      </c>
      <c r="AJ10" s="321">
        <f t="shared" si="6"/>
        <v>2.5641025641025639</v>
      </c>
      <c r="AK10" s="321">
        <f t="shared" si="6"/>
        <v>-2.4244238252020356</v>
      </c>
      <c r="AL10" s="321">
        <f t="shared" si="6"/>
        <v>-4.0706375336725538</v>
      </c>
      <c r="AM10" s="321">
        <f t="shared" si="6"/>
        <v>1.65</v>
      </c>
      <c r="AN10" s="321">
        <f t="shared" si="6"/>
        <v>4.46</v>
      </c>
      <c r="AO10" s="321">
        <f t="shared" si="6"/>
        <v>21.720474273858553</v>
      </c>
      <c r="AP10" s="321">
        <f t="shared" si="6"/>
        <v>40.151439673209126</v>
      </c>
      <c r="AQ10" s="321" t="str">
        <f t="shared" si="6"/>
        <v/>
      </c>
      <c r="AR10" s="321" t="str">
        <f t="shared" si="6"/>
        <v/>
      </c>
      <c r="AS10" s="321" t="str">
        <f t="shared" si="6"/>
        <v/>
      </c>
      <c r="AT10" s="321" t="str">
        <f t="shared" si="6"/>
        <v/>
      </c>
      <c r="AU10" s="321" t="str">
        <f t="shared" si="6"/>
        <v/>
      </c>
      <c r="AV10" s="321" t="str">
        <f t="shared" si="6"/>
        <v/>
      </c>
      <c r="AW10" s="321" t="str">
        <f t="shared" si="6"/>
        <v/>
      </c>
      <c r="AX10" s="321" t="str">
        <f t="shared" si="6"/>
        <v/>
      </c>
      <c r="AY10" s="321" t="str">
        <f t="shared" si="6"/>
        <v/>
      </c>
      <c r="AZ10" s="321">
        <v>4.4343891402714997</v>
      </c>
      <c r="BB10" s="47"/>
      <c r="BC10" s="47"/>
    </row>
    <row r="11" spans="1:55">
      <c r="A11" s="58">
        <f t="shared" si="2"/>
        <v>1988</v>
      </c>
      <c r="B11" s="321">
        <f t="shared" ref="B11:W11" si="7">IF(B$2="-","",(IF(B59="","",(IF(B$4&lt;$A11,B59,(B59-B$3)/(1+B$3%))))))</f>
        <v>17.799740441249874</v>
      </c>
      <c r="C11" s="321">
        <f t="shared" si="7"/>
        <v>22.91729023246533</v>
      </c>
      <c r="D11" s="321">
        <f t="shared" si="7"/>
        <v>16.22</v>
      </c>
      <c r="E11" s="321">
        <f t="shared" si="7"/>
        <v>11.044597425920383</v>
      </c>
      <c r="F11" s="321">
        <f t="shared" si="7"/>
        <v>19.525092287738204</v>
      </c>
      <c r="G11" s="321">
        <f t="shared" si="7"/>
        <v>29.202833482989124</v>
      </c>
      <c r="H11" s="321">
        <f t="shared" si="7"/>
        <v>24.613389204828891</v>
      </c>
      <c r="I11" s="321">
        <f t="shared" si="7"/>
        <v>20.123715454454754</v>
      </c>
      <c r="J11" s="321">
        <f t="shared" si="7"/>
        <v>19.865052589799561</v>
      </c>
      <c r="K11" s="321">
        <f t="shared" si="7"/>
        <v>13.205665270297228</v>
      </c>
      <c r="L11" s="321">
        <f t="shared" si="7"/>
        <v>28.484364072334902</v>
      </c>
      <c r="M11" s="321">
        <f t="shared" si="7"/>
        <v>39.93820392704076</v>
      </c>
      <c r="N11" s="321">
        <f t="shared" si="7"/>
        <v>30.083815605667535</v>
      </c>
      <c r="O11" s="321">
        <f t="shared" si="7"/>
        <v>34.839417514462397</v>
      </c>
      <c r="P11" s="321">
        <f t="shared" si="7"/>
        <v>16.098144823459005</v>
      </c>
      <c r="Q11" s="321">
        <f t="shared" si="7"/>
        <v>37.992831541218642</v>
      </c>
      <c r="R11" s="321">
        <f t="shared" si="7"/>
        <v>18.5</v>
      </c>
      <c r="S11" s="321">
        <f t="shared" si="7"/>
        <v>9.15</v>
      </c>
      <c r="T11" s="321">
        <f t="shared" si="7"/>
        <v>5.4199927741934681</v>
      </c>
      <c r="U11" s="321">
        <f t="shared" si="7"/>
        <v>7.35</v>
      </c>
      <c r="V11" s="321">
        <f t="shared" si="7"/>
        <v>7.18</v>
      </c>
      <c r="W11" s="321">
        <f t="shared" si="7"/>
        <v>18.662674650698602</v>
      </c>
      <c r="X11" s="321">
        <f t="shared" ref="X11:AY11" si="8">IF(X$2="-",0,(IF(X59="","",(IF(X$4&lt;$A11,X59,(X59-X$3)/(1+X$3%))))))</f>
        <v>16.11</v>
      </c>
      <c r="Y11" s="321">
        <f t="shared" si="8"/>
        <v>13.61</v>
      </c>
      <c r="Z11" s="321">
        <f t="shared" si="8"/>
        <v>21.37</v>
      </c>
      <c r="AA11" s="321">
        <f t="shared" si="8"/>
        <v>28.4</v>
      </c>
      <c r="AB11" s="321">
        <f t="shared" si="8"/>
        <v>-14.19</v>
      </c>
      <c r="AC11" s="321">
        <f t="shared" si="8"/>
        <v>28.7</v>
      </c>
      <c r="AD11" s="321">
        <f t="shared" si="8"/>
        <v>24.72</v>
      </c>
      <c r="AE11" s="321">
        <f t="shared" si="8"/>
        <v>5.61</v>
      </c>
      <c r="AF11" s="321">
        <f t="shared" si="8"/>
        <v>10</v>
      </c>
      <c r="AG11" s="321">
        <f t="shared" si="8"/>
        <v>12.24</v>
      </c>
      <c r="AH11" s="321">
        <f t="shared" si="8"/>
        <v>13.55</v>
      </c>
      <c r="AI11" s="321">
        <f t="shared" si="8"/>
        <v>5.6886227544910177</v>
      </c>
      <c r="AJ11" s="321">
        <f t="shared" si="8"/>
        <v>12.640925870497854</v>
      </c>
      <c r="AK11" s="321">
        <f t="shared" si="8"/>
        <v>24.31407762147062</v>
      </c>
      <c r="AL11" s="321">
        <f t="shared" si="8"/>
        <v>19.475207023845158</v>
      </c>
      <c r="AM11" s="321">
        <f t="shared" si="8"/>
        <v>6.25</v>
      </c>
      <c r="AN11" s="321">
        <f t="shared" si="8"/>
        <v>6.95</v>
      </c>
      <c r="AO11" s="321">
        <f t="shared" si="8"/>
        <v>-15.592741613591084</v>
      </c>
      <c r="AP11" s="321">
        <f t="shared" si="8"/>
        <v>25.475739762877353</v>
      </c>
      <c r="AQ11" s="321" t="str">
        <f t="shared" si="8"/>
        <v/>
      </c>
      <c r="AR11" s="321" t="str">
        <f t="shared" si="8"/>
        <v/>
      </c>
      <c r="AS11" s="321" t="str">
        <f t="shared" si="8"/>
        <v/>
      </c>
      <c r="AT11" s="321" t="str">
        <f t="shared" si="8"/>
        <v/>
      </c>
      <c r="AU11" s="321" t="str">
        <f t="shared" si="8"/>
        <v/>
      </c>
      <c r="AV11" s="321" t="str">
        <f t="shared" si="8"/>
        <v/>
      </c>
      <c r="AW11" s="321" t="str">
        <f t="shared" si="8"/>
        <v/>
      </c>
      <c r="AX11" s="321" t="str">
        <f t="shared" si="8"/>
        <v/>
      </c>
      <c r="AY11" s="321" t="str">
        <f t="shared" si="8"/>
        <v/>
      </c>
      <c r="AZ11" s="321">
        <v>4.4194107452339537</v>
      </c>
      <c r="BB11" s="47"/>
      <c r="BC11" s="47"/>
    </row>
    <row r="12" spans="1:55">
      <c r="A12" s="58">
        <f t="shared" si="2"/>
        <v>1989</v>
      </c>
      <c r="B12" s="321">
        <f t="shared" ref="B12:W12" si="9">IF(B$2="-","",(IF(B60="","",(IF(B$4&lt;$A12,B60,(B60-B$3)/(1+B$3%))))))</f>
        <v>28.681241888789053</v>
      </c>
      <c r="C12" s="321">
        <f t="shared" si="9"/>
        <v>24.91270078818717</v>
      </c>
      <c r="D12" s="321">
        <f t="shared" si="9"/>
        <v>31.36</v>
      </c>
      <c r="E12" s="321">
        <f t="shared" si="9"/>
        <v>35.588147261299014</v>
      </c>
      <c r="F12" s="321">
        <f t="shared" si="9"/>
        <v>26.010176593834181</v>
      </c>
      <c r="G12" s="321">
        <f t="shared" si="9"/>
        <v>12.142073231567394</v>
      </c>
      <c r="H12" s="321">
        <f t="shared" si="9"/>
        <v>15.933353287438891</v>
      </c>
      <c r="I12" s="321">
        <f t="shared" si="9"/>
        <v>19.92417439888257</v>
      </c>
      <c r="J12" s="321">
        <f t="shared" si="9"/>
        <v>4.6834689422504461</v>
      </c>
      <c r="K12" s="321">
        <f t="shared" si="9"/>
        <v>8.5178535806902076</v>
      </c>
      <c r="L12" s="321">
        <f t="shared" si="9"/>
        <v>10.700369667299432</v>
      </c>
      <c r="M12" s="321">
        <f t="shared" si="9"/>
        <v>64.457290939898328</v>
      </c>
      <c r="N12" s="321">
        <f t="shared" si="9"/>
        <v>18.66892835761325</v>
      </c>
      <c r="O12" s="321">
        <f t="shared" si="9"/>
        <v>2.4137243167763813</v>
      </c>
      <c r="P12" s="321">
        <f t="shared" si="9"/>
        <v>28.765210452822664</v>
      </c>
      <c r="Q12" s="321">
        <f t="shared" si="9"/>
        <v>17.642373556352052</v>
      </c>
      <c r="R12" s="321">
        <f t="shared" si="9"/>
        <v>27.72</v>
      </c>
      <c r="S12" s="321">
        <f t="shared" si="9"/>
        <v>17.93</v>
      </c>
      <c r="T12" s="321">
        <f t="shared" si="9"/>
        <v>12.889459258961228</v>
      </c>
      <c r="U12" s="321">
        <f t="shared" si="9"/>
        <v>13.64</v>
      </c>
      <c r="V12" s="321">
        <f t="shared" si="9"/>
        <v>8.8699999999999992</v>
      </c>
      <c r="W12" s="321">
        <f t="shared" si="9"/>
        <v>5.8882235528942113</v>
      </c>
      <c r="X12" s="321">
        <f t="shared" ref="X12:AY12" si="10">IF(X$2="-",0,(IF(X60="","",(IF(X$4&lt;$A12,X60,(X60-X$3)/(1+X$3%))))))</f>
        <v>21.6</v>
      </c>
      <c r="Y12" s="321">
        <f t="shared" si="10"/>
        <v>20.93</v>
      </c>
      <c r="Z12" s="321">
        <f t="shared" si="10"/>
        <v>43.45</v>
      </c>
      <c r="AA12" s="321">
        <f t="shared" si="10"/>
        <v>32.950000000000003</v>
      </c>
      <c r="AB12" s="321">
        <f t="shared" si="10"/>
        <v>30.4</v>
      </c>
      <c r="AC12" s="321">
        <f t="shared" si="10"/>
        <v>15.02</v>
      </c>
      <c r="AD12" s="321">
        <f t="shared" si="10"/>
        <v>27.83</v>
      </c>
      <c r="AE12" s="321">
        <f t="shared" si="10"/>
        <v>7.08</v>
      </c>
      <c r="AF12" s="321">
        <f t="shared" si="10"/>
        <v>10</v>
      </c>
      <c r="AG12" s="321">
        <f t="shared" si="10"/>
        <v>11.54</v>
      </c>
      <c r="AH12" s="321">
        <f t="shared" si="10"/>
        <v>1.89</v>
      </c>
      <c r="AI12" s="321">
        <f t="shared" si="10"/>
        <v>8.4830339321357293</v>
      </c>
      <c r="AJ12" s="321">
        <f t="shared" si="10"/>
        <v>31.198244038710964</v>
      </c>
      <c r="AK12" s="321">
        <f t="shared" si="10"/>
        <v>22.418437593534868</v>
      </c>
      <c r="AL12" s="321">
        <f t="shared" si="10"/>
        <v>24.1</v>
      </c>
      <c r="AM12" s="321">
        <f t="shared" si="10"/>
        <v>13.45</v>
      </c>
      <c r="AN12" s="321">
        <f t="shared" si="10"/>
        <v>11.45</v>
      </c>
      <c r="AO12" s="321">
        <f t="shared" si="10"/>
        <v>-3.2268245725203943</v>
      </c>
      <c r="AP12" s="321">
        <f t="shared" si="10"/>
        <v>30.287934641825245</v>
      </c>
      <c r="AQ12" s="321" t="str">
        <f t="shared" si="10"/>
        <v/>
      </c>
      <c r="AR12" s="321" t="str">
        <f t="shared" si="10"/>
        <v/>
      </c>
      <c r="AS12" s="321" t="str">
        <f t="shared" si="10"/>
        <v/>
      </c>
      <c r="AT12" s="321" t="str">
        <f t="shared" si="10"/>
        <v/>
      </c>
      <c r="AU12" s="321" t="str">
        <f t="shared" si="10"/>
        <v/>
      </c>
      <c r="AV12" s="321" t="str">
        <f t="shared" si="10"/>
        <v/>
      </c>
      <c r="AW12" s="321" t="str">
        <f t="shared" si="10"/>
        <v/>
      </c>
      <c r="AX12" s="321" t="str">
        <f t="shared" si="10"/>
        <v/>
      </c>
      <c r="AY12" s="321" t="str">
        <f t="shared" si="10"/>
        <v/>
      </c>
      <c r="AZ12" s="321">
        <v>4.647302904564321</v>
      </c>
      <c r="BB12" s="47"/>
      <c r="BC12" s="47"/>
    </row>
    <row r="13" spans="1:55">
      <c r="A13" s="58">
        <f t="shared" si="2"/>
        <v>1990</v>
      </c>
      <c r="B13" s="321">
        <f t="shared" ref="B13:W13" si="11">IF(B$2="-","",(IF(B61="","",(IF(B$4&lt;$A13,B61,(B61-B$3)/(1+B$3%))))))</f>
        <v>-6.1595288010382347</v>
      </c>
      <c r="C13" s="321">
        <f t="shared" si="11"/>
        <v>-8.3108849645814633</v>
      </c>
      <c r="D13" s="321">
        <f t="shared" si="11"/>
        <v>-3.32</v>
      </c>
      <c r="E13" s="321">
        <f t="shared" si="11"/>
        <v>-0.52878379726628755</v>
      </c>
      <c r="F13" s="321">
        <f t="shared" si="11"/>
        <v>-11.703082909308591</v>
      </c>
      <c r="G13" s="321">
        <f t="shared" si="11"/>
        <v>-21.979447271276065</v>
      </c>
      <c r="H13" s="321">
        <f t="shared" si="11"/>
        <v>-19.68472513219595</v>
      </c>
      <c r="I13" s="321">
        <f t="shared" si="11"/>
        <v>-17.589544048688015</v>
      </c>
      <c r="J13" s="321">
        <f t="shared" si="11"/>
        <v>-31.8317126413971</v>
      </c>
      <c r="K13" s="321">
        <f t="shared" si="11"/>
        <v>-15.619389587073609</v>
      </c>
      <c r="L13" s="321">
        <f t="shared" si="11"/>
        <v>-23.269057847936857</v>
      </c>
      <c r="M13" s="321">
        <f t="shared" si="11"/>
        <v>-10.894049636200537</v>
      </c>
      <c r="N13" s="321">
        <f t="shared" si="11"/>
        <v>-21.482737976451805</v>
      </c>
      <c r="O13" s="321">
        <f t="shared" si="11"/>
        <v>-34.46040295232396</v>
      </c>
      <c r="P13" s="321">
        <f t="shared" si="11"/>
        <v>-3.6505086774386597</v>
      </c>
      <c r="Q13" s="321">
        <f t="shared" si="11"/>
        <v>-21.973317403424932</v>
      </c>
      <c r="R13" s="321">
        <f t="shared" si="11"/>
        <v>25.13</v>
      </c>
      <c r="S13" s="321">
        <f t="shared" si="11"/>
        <v>5.78</v>
      </c>
      <c r="T13" s="321">
        <f t="shared" si="11"/>
        <v>9.4182578819516376</v>
      </c>
      <c r="U13" s="321">
        <f t="shared" si="11"/>
        <v>8.65</v>
      </c>
      <c r="V13" s="321">
        <f t="shared" si="11"/>
        <v>7.94</v>
      </c>
      <c r="W13" s="321">
        <f t="shared" si="11"/>
        <v>5.9880239520958085</v>
      </c>
      <c r="X13" s="321">
        <f t="shared" ref="X13:AY13" si="12">IF(X$2="-",0,(IF(X61="","",(IF(X$4&lt;$A13,X61,(X61-X$3)/(1+X$3%))))))</f>
        <v>-2.81</v>
      </c>
      <c r="Y13" s="321">
        <f t="shared" si="12"/>
        <v>3.76</v>
      </c>
      <c r="Z13" s="321">
        <f t="shared" si="12"/>
        <v>-1.37</v>
      </c>
      <c r="AA13" s="321">
        <f t="shared" si="12"/>
        <v>16.79</v>
      </c>
      <c r="AB13" s="321">
        <f t="shared" si="12"/>
        <v>-19.86</v>
      </c>
      <c r="AC13" s="321">
        <f t="shared" si="12"/>
        <v>-15.5</v>
      </c>
      <c r="AD13" s="321">
        <f t="shared" si="12"/>
        <v>-9.98</v>
      </c>
      <c r="AE13" s="321">
        <f t="shared" si="12"/>
        <v>6.57</v>
      </c>
      <c r="AF13" s="321">
        <f t="shared" si="12"/>
        <v>7.2</v>
      </c>
      <c r="AG13" s="321">
        <f t="shared" si="12"/>
        <v>6.82</v>
      </c>
      <c r="AH13" s="321">
        <f t="shared" si="12"/>
        <v>-5.85</v>
      </c>
      <c r="AI13" s="321">
        <f t="shared" si="12"/>
        <v>8.6826347305389238</v>
      </c>
      <c r="AJ13" s="321">
        <f t="shared" si="12"/>
        <v>-5.3177691309987036</v>
      </c>
      <c r="AK13" s="321">
        <f t="shared" si="12"/>
        <v>-16.292527187468824</v>
      </c>
      <c r="AL13" s="321">
        <f t="shared" si="12"/>
        <v>-14.05</v>
      </c>
      <c r="AM13" s="321">
        <f t="shared" si="12"/>
        <v>8.0500000000000007</v>
      </c>
      <c r="AN13" s="321">
        <f t="shared" si="12"/>
        <v>9.23</v>
      </c>
      <c r="AO13" s="321">
        <f t="shared" si="12"/>
        <v>-1.8601959447708469</v>
      </c>
      <c r="AP13" s="321">
        <f t="shared" si="12"/>
        <v>-18.242502739862509</v>
      </c>
      <c r="AQ13" s="321" t="str">
        <f t="shared" si="12"/>
        <v/>
      </c>
      <c r="AR13" s="321" t="str">
        <f t="shared" si="12"/>
        <v/>
      </c>
      <c r="AS13" s="321" t="str">
        <f t="shared" si="12"/>
        <v/>
      </c>
      <c r="AT13" s="321" t="str">
        <f t="shared" si="12"/>
        <v/>
      </c>
      <c r="AU13" s="321" t="str">
        <f t="shared" si="12"/>
        <v/>
      </c>
      <c r="AV13" s="321" t="str">
        <f t="shared" si="12"/>
        <v/>
      </c>
      <c r="AW13" s="321" t="str">
        <f t="shared" si="12"/>
        <v/>
      </c>
      <c r="AX13" s="321" t="str">
        <f t="shared" si="12"/>
        <v/>
      </c>
      <c r="AY13" s="321" t="str">
        <f t="shared" si="12"/>
        <v/>
      </c>
      <c r="AZ13" s="321">
        <v>6.1062648691514898</v>
      </c>
      <c r="BB13" s="47"/>
      <c r="BC13" s="47"/>
    </row>
    <row r="14" spans="1:55">
      <c r="A14" s="58">
        <f t="shared" si="2"/>
        <v>1991</v>
      </c>
      <c r="B14" s="321">
        <f t="shared" ref="B14:W14" si="13">IF(B$2="-","",(IF(B62="","",(IF(B$4&lt;$A14,B62,(B62-B$3)/(1+B$3%))))))</f>
        <v>34.471398622342015</v>
      </c>
      <c r="C14" s="321">
        <f t="shared" si="13"/>
        <v>24.31407762147062</v>
      </c>
      <c r="D14" s="321">
        <f t="shared" si="13"/>
        <v>30.22</v>
      </c>
      <c r="E14" s="321">
        <f t="shared" si="13"/>
        <v>40.875985233961892</v>
      </c>
      <c r="F14" s="321">
        <f t="shared" si="13"/>
        <v>41.175296817320167</v>
      </c>
      <c r="G14" s="321">
        <f t="shared" si="13"/>
        <v>41.374837872892357</v>
      </c>
      <c r="H14" s="321">
        <f t="shared" si="13"/>
        <v>45.764741095480403</v>
      </c>
      <c r="I14" s="321">
        <f t="shared" si="13"/>
        <v>50.853038012571091</v>
      </c>
      <c r="J14" s="321">
        <f t="shared" si="13"/>
        <v>47.152212740623135</v>
      </c>
      <c r="K14" s="321">
        <f t="shared" si="13"/>
        <v>35.348094953121887</v>
      </c>
      <c r="L14" s="321">
        <f t="shared" si="13"/>
        <v>12.398841043061246</v>
      </c>
      <c r="M14" s="321">
        <f t="shared" si="13"/>
        <v>59.3740655835742</v>
      </c>
      <c r="N14" s="321">
        <f t="shared" si="13"/>
        <v>19.347435641588508</v>
      </c>
      <c r="O14" s="321">
        <f t="shared" si="13"/>
        <v>10.363056054258928</v>
      </c>
      <c r="P14" s="321">
        <f t="shared" si="13"/>
        <v>12.108517853580691</v>
      </c>
      <c r="Q14" s="321">
        <f t="shared" si="13"/>
        <v>10.314615690959778</v>
      </c>
      <c r="R14" s="321">
        <f t="shared" si="13"/>
        <v>3.77</v>
      </c>
      <c r="S14" s="321">
        <f t="shared" si="13"/>
        <v>17.43</v>
      </c>
      <c r="T14" s="321">
        <f t="shared" si="13"/>
        <v>13.965086138411433</v>
      </c>
      <c r="U14" s="321">
        <f t="shared" si="13"/>
        <v>15.25</v>
      </c>
      <c r="V14" s="321">
        <f t="shared" si="13"/>
        <v>5.73</v>
      </c>
      <c r="W14" s="321">
        <f t="shared" si="13"/>
        <v>15.668662674650699</v>
      </c>
      <c r="X14" s="321">
        <f t="shared" ref="X14:AY14" si="14">IF(X$2="-",0,(IF(X62="","",(IF(X$4&lt;$A14,X62,(X62-X$3)/(1+X$3%))))))</f>
        <v>23.65</v>
      </c>
      <c r="Y14" s="321">
        <f t="shared" si="14"/>
        <v>21.57</v>
      </c>
      <c r="Z14" s="321">
        <f t="shared" si="14"/>
        <v>0.28000000000000003</v>
      </c>
      <c r="AA14" s="321">
        <f t="shared" si="14"/>
        <v>46.32</v>
      </c>
      <c r="AB14" s="321">
        <f t="shared" si="14"/>
        <v>4.37</v>
      </c>
      <c r="AC14" s="321">
        <f t="shared" si="14"/>
        <v>28.55</v>
      </c>
      <c r="AD14" s="321">
        <f t="shared" si="14"/>
        <v>28.7</v>
      </c>
      <c r="AE14" s="321">
        <f t="shared" si="14"/>
        <v>7.2</v>
      </c>
      <c r="AF14" s="321">
        <f t="shared" si="14"/>
        <v>12.16</v>
      </c>
      <c r="AG14" s="321">
        <f t="shared" si="14"/>
        <v>13.5</v>
      </c>
      <c r="AH14" s="321">
        <f t="shared" si="14"/>
        <v>29.01</v>
      </c>
      <c r="AI14" s="321">
        <f t="shared" si="14"/>
        <v>10.479041916167665</v>
      </c>
      <c r="AJ14" s="321">
        <f t="shared" si="14"/>
        <v>46.662675845555228</v>
      </c>
      <c r="AK14" s="321">
        <f t="shared" si="14"/>
        <v>37.583557817020854</v>
      </c>
      <c r="AL14" s="321">
        <f t="shared" si="14"/>
        <v>41.85</v>
      </c>
      <c r="AM14" s="321">
        <f t="shared" si="14"/>
        <v>14.95</v>
      </c>
      <c r="AN14" s="321">
        <f t="shared" si="14"/>
        <v>13.08</v>
      </c>
      <c r="AO14" s="321">
        <f t="shared" si="14"/>
        <v>-10.428305872626622</v>
      </c>
      <c r="AP14" s="321">
        <f t="shared" si="14"/>
        <v>5.4398724718541391</v>
      </c>
      <c r="AQ14" s="321" t="str">
        <f t="shared" si="14"/>
        <v/>
      </c>
      <c r="AR14" s="321" t="str">
        <f t="shared" si="14"/>
        <v/>
      </c>
      <c r="AS14" s="321" t="str">
        <f t="shared" si="14"/>
        <v/>
      </c>
      <c r="AT14" s="321" t="str">
        <f t="shared" si="14"/>
        <v/>
      </c>
      <c r="AU14" s="321" t="str">
        <f t="shared" si="14"/>
        <v/>
      </c>
      <c r="AV14" s="321" t="str">
        <f t="shared" si="14"/>
        <v/>
      </c>
      <c r="AW14" s="321" t="str">
        <f t="shared" si="14"/>
        <v/>
      </c>
      <c r="AX14" s="321" t="str">
        <f t="shared" si="14"/>
        <v/>
      </c>
      <c r="AY14" s="321" t="str">
        <f t="shared" si="14"/>
        <v/>
      </c>
      <c r="AZ14" s="321">
        <v>3.0642750373692129</v>
      </c>
      <c r="BB14" s="47"/>
      <c r="BC14" s="47"/>
    </row>
    <row r="15" spans="1:55">
      <c r="A15" s="58">
        <f t="shared" si="2"/>
        <v>1992</v>
      </c>
      <c r="B15" s="321">
        <f t="shared" ref="B15:W15" si="15">IF(B$2="-","",(IF(B63="","",(IF(B$4&lt;$A15,B63,(B63-B$3)/(1+B$3%))))))</f>
        <v>9.6136567834681053</v>
      </c>
      <c r="C15" s="321">
        <f t="shared" si="15"/>
        <v>13.538860620572683</v>
      </c>
      <c r="D15" s="321">
        <f t="shared" si="15"/>
        <v>7.42</v>
      </c>
      <c r="E15" s="321">
        <f t="shared" si="15"/>
        <v>4.7590541753965878</v>
      </c>
      <c r="F15" s="321">
        <f t="shared" si="15"/>
        <v>16.132894343011074</v>
      </c>
      <c r="G15" s="321">
        <f t="shared" si="15"/>
        <v>28.803751371844758</v>
      </c>
      <c r="H15" s="321">
        <f t="shared" si="15"/>
        <v>17.928763843160731</v>
      </c>
      <c r="I15" s="321">
        <f t="shared" si="15"/>
        <v>7.5526289534071633</v>
      </c>
      <c r="J15" s="321">
        <f t="shared" si="15"/>
        <v>32.565985314546538</v>
      </c>
      <c r="K15" s="321">
        <f t="shared" si="15"/>
        <v>14.302812687013764</v>
      </c>
      <c r="L15" s="321">
        <f t="shared" si="15"/>
        <v>-11.879308622239986</v>
      </c>
      <c r="M15" s="321">
        <f t="shared" si="15"/>
        <v>11.033589155785906</v>
      </c>
      <c r="N15" s="321">
        <f t="shared" si="15"/>
        <v>-8.5212532428656971</v>
      </c>
      <c r="O15" s="321">
        <f t="shared" si="15"/>
        <v>-18.170000000000002</v>
      </c>
      <c r="P15" s="321">
        <f t="shared" si="15"/>
        <v>-3.32</v>
      </c>
      <c r="Q15" s="321">
        <f t="shared" si="15"/>
        <v>-10.8</v>
      </c>
      <c r="R15" s="321">
        <f t="shared" si="15"/>
        <v>6.5877883645331323</v>
      </c>
      <c r="S15" s="321">
        <f t="shared" si="15"/>
        <v>7.4</v>
      </c>
      <c r="T15" s="321">
        <f t="shared" si="15"/>
        <v>7.5648702594810384</v>
      </c>
      <c r="U15" s="321">
        <f t="shared" si="15"/>
        <v>7.14</v>
      </c>
      <c r="V15" s="321">
        <f t="shared" si="15"/>
        <v>3.53</v>
      </c>
      <c r="W15" s="321">
        <f t="shared" si="15"/>
        <v>7.2854291417165671</v>
      </c>
      <c r="X15" s="321">
        <f t="shared" ref="X15:AY15" si="16">IF(X$2="-",0,(IF(X63="","",(IF(X$4&lt;$A15,X63,(X63-X$3)/(1+X$3%))))))</f>
        <v>7.93</v>
      </c>
      <c r="Y15" s="321">
        <f t="shared" si="16"/>
        <v>8.67</v>
      </c>
      <c r="Z15" s="321">
        <f t="shared" si="16"/>
        <v>6.1</v>
      </c>
      <c r="AA15" s="321">
        <f t="shared" si="16"/>
        <v>-1.57</v>
      </c>
      <c r="AB15" s="321">
        <f t="shared" si="16"/>
        <v>-19.41</v>
      </c>
      <c r="AC15" s="321">
        <f t="shared" si="16"/>
        <v>16.5</v>
      </c>
      <c r="AD15" s="321">
        <f t="shared" si="16"/>
        <v>11.99</v>
      </c>
      <c r="AE15" s="321">
        <f t="shared" si="16"/>
        <v>4.71</v>
      </c>
      <c r="AF15" s="321">
        <f t="shared" si="16"/>
        <v>8.85</v>
      </c>
      <c r="AG15" s="321">
        <f t="shared" si="16"/>
        <v>9.3000000000000007</v>
      </c>
      <c r="AH15" s="321">
        <f t="shared" si="16"/>
        <v>14.24</v>
      </c>
      <c r="AI15" s="321">
        <f t="shared" si="16"/>
        <v>6.536926147704591</v>
      </c>
      <c r="AJ15" s="321">
        <f t="shared" si="16"/>
        <v>8.4505637034819898</v>
      </c>
      <c r="AK15" s="321">
        <f t="shared" si="16"/>
        <v>21.420732315673948</v>
      </c>
      <c r="AL15" s="321">
        <f t="shared" si="16"/>
        <v>12.47</v>
      </c>
      <c r="AM15" s="321">
        <f t="shared" si="16"/>
        <v>4.05</v>
      </c>
      <c r="AN15" s="321">
        <f t="shared" si="16"/>
        <v>7.2</v>
      </c>
      <c r="AO15" s="321">
        <f t="shared" si="16"/>
        <v>-6.1229600285156129</v>
      </c>
      <c r="AP15" s="321">
        <f t="shared" si="16"/>
        <v>-20.872770748231542</v>
      </c>
      <c r="AQ15" s="321" t="str">
        <f t="shared" si="16"/>
        <v/>
      </c>
      <c r="AR15" s="321" t="str">
        <f t="shared" si="16"/>
        <v/>
      </c>
      <c r="AS15" s="321" t="str">
        <f t="shared" si="16"/>
        <v/>
      </c>
      <c r="AT15" s="321" t="str">
        <f t="shared" si="16"/>
        <v/>
      </c>
      <c r="AU15" s="321" t="str">
        <f t="shared" si="16"/>
        <v/>
      </c>
      <c r="AV15" s="321" t="str">
        <f t="shared" si="16"/>
        <v/>
      </c>
      <c r="AW15" s="321" t="str">
        <f t="shared" si="16"/>
        <v/>
      </c>
      <c r="AX15" s="321" t="str">
        <f t="shared" si="16"/>
        <v/>
      </c>
      <c r="AY15" s="321" t="str">
        <f t="shared" si="16"/>
        <v/>
      </c>
      <c r="AZ15" s="321">
        <v>2.9006526468455363</v>
      </c>
      <c r="BB15" s="47"/>
      <c r="BC15" s="47"/>
    </row>
    <row r="16" spans="1:55">
      <c r="A16" s="58">
        <f t="shared" si="2"/>
        <v>1993</v>
      </c>
      <c r="B16" s="321">
        <f t="shared" ref="B16:W16" si="17">IF(B$2="-","",(IF(B64="","",(IF(B$4&lt;$A16,B64,(B64-B$3)/(1+B$3%))))))</f>
        <v>10.43226514924628</v>
      </c>
      <c r="C16" s="321">
        <f t="shared" si="17"/>
        <v>18.078419634839872</v>
      </c>
      <c r="D16" s="321">
        <f t="shared" si="17"/>
        <v>9.89</v>
      </c>
      <c r="E16" s="321">
        <f t="shared" si="17"/>
        <v>1.53</v>
      </c>
      <c r="F16" s="321">
        <f t="shared" si="17"/>
        <v>14.037713259503143</v>
      </c>
      <c r="G16" s="321">
        <f t="shared" si="17"/>
        <v>23.515913399181883</v>
      </c>
      <c r="H16" s="321">
        <f t="shared" si="17"/>
        <v>18.7</v>
      </c>
      <c r="I16" s="321">
        <f t="shared" si="17"/>
        <v>13.139778509428314</v>
      </c>
      <c r="J16" s="321">
        <f t="shared" si="17"/>
        <v>24.429450287755504</v>
      </c>
      <c r="K16" s="321">
        <f t="shared" si="17"/>
        <v>19.389587073608617</v>
      </c>
      <c r="L16" s="321">
        <f t="shared" si="17"/>
        <v>32.780497552203016</v>
      </c>
      <c r="M16" s="321">
        <f t="shared" si="17"/>
        <v>74.225057310874107</v>
      </c>
      <c r="N16" s="321">
        <f t="shared" si="17"/>
        <v>38.879465176611454</v>
      </c>
      <c r="O16" s="321">
        <f t="shared" si="17"/>
        <v>35.46</v>
      </c>
      <c r="P16" s="321">
        <f t="shared" si="17"/>
        <v>29.13</v>
      </c>
      <c r="Q16" s="321">
        <f t="shared" si="17"/>
        <v>40.4</v>
      </c>
      <c r="R16" s="321">
        <f t="shared" si="17"/>
        <v>6.4207720209574068</v>
      </c>
      <c r="S16" s="321">
        <f t="shared" si="17"/>
        <v>16.79</v>
      </c>
      <c r="T16" s="321">
        <f t="shared" si="17"/>
        <v>11.43</v>
      </c>
      <c r="U16" s="321">
        <f t="shared" si="17"/>
        <v>9.68</v>
      </c>
      <c r="V16" s="321">
        <f t="shared" si="17"/>
        <v>2.86</v>
      </c>
      <c r="W16" s="321">
        <f t="shared" si="17"/>
        <v>15.469061876247505</v>
      </c>
      <c r="X16" s="321">
        <f t="shared" ref="X16:AY16" si="18">IF(X$2="-",0,(IF(X64="","",(IF(X$4&lt;$A16,X64,(X64-X$3)/(1+X$3%))))))</f>
        <v>13.52</v>
      </c>
      <c r="Y16" s="321">
        <f t="shared" si="18"/>
        <v>14.65</v>
      </c>
      <c r="Z16" s="321">
        <f t="shared" si="18"/>
        <v>26.52</v>
      </c>
      <c r="AA16" s="321">
        <f t="shared" si="18"/>
        <v>11.81</v>
      </c>
      <c r="AB16" s="321">
        <f t="shared" si="18"/>
        <v>93.36</v>
      </c>
      <c r="AC16" s="321">
        <f t="shared" si="18"/>
        <v>19.37</v>
      </c>
      <c r="AD16" s="321">
        <f t="shared" si="18"/>
        <v>13.6</v>
      </c>
      <c r="AE16" s="321">
        <f t="shared" si="18"/>
        <v>3.82</v>
      </c>
      <c r="AF16" s="321">
        <f t="shared" si="18"/>
        <v>11.55</v>
      </c>
      <c r="AG16" s="321">
        <f t="shared" si="18"/>
        <v>13.45</v>
      </c>
      <c r="AH16" s="321">
        <f t="shared" si="18"/>
        <v>18.239999999999998</v>
      </c>
      <c r="AI16" s="321">
        <f t="shared" si="18"/>
        <v>6.41</v>
      </c>
      <c r="AJ16" s="321">
        <f t="shared" si="18"/>
        <v>10.94482689813429</v>
      </c>
      <c r="AK16" s="321">
        <f t="shared" si="18"/>
        <v>15.334730120722337</v>
      </c>
      <c r="AL16" s="321">
        <f t="shared" si="18"/>
        <v>14.49</v>
      </c>
      <c r="AM16" s="321">
        <f t="shared" si="18"/>
        <v>11.75</v>
      </c>
      <c r="AN16" s="321">
        <f t="shared" si="18"/>
        <v>7.07</v>
      </c>
      <c r="AO16" s="321">
        <f t="shared" si="18"/>
        <v>17.209144796602125</v>
      </c>
      <c r="AP16" s="321">
        <f t="shared" si="18"/>
        <v>33.894590016937336</v>
      </c>
      <c r="AQ16" s="321" t="str">
        <f t="shared" si="18"/>
        <v/>
      </c>
      <c r="AR16" s="321" t="str">
        <f t="shared" si="18"/>
        <v/>
      </c>
      <c r="AS16" s="321" t="str">
        <f t="shared" si="18"/>
        <v/>
      </c>
      <c r="AT16" s="321" t="str">
        <f t="shared" si="18"/>
        <v/>
      </c>
      <c r="AU16" s="321" t="str">
        <f t="shared" si="18"/>
        <v/>
      </c>
      <c r="AV16" s="321" t="str">
        <f t="shared" si="18"/>
        <v/>
      </c>
      <c r="AW16" s="321" t="str">
        <f t="shared" si="18"/>
        <v/>
      </c>
      <c r="AX16" s="321" t="str">
        <f t="shared" si="18"/>
        <v/>
      </c>
      <c r="AY16" s="321" t="str">
        <f t="shared" si="18"/>
        <v/>
      </c>
      <c r="AZ16" s="321">
        <v>2.748414376321362</v>
      </c>
      <c r="BB16" s="47"/>
      <c r="BC16" s="47"/>
    </row>
    <row r="17" spans="1:55">
      <c r="A17" s="58">
        <f t="shared" si="2"/>
        <v>1994</v>
      </c>
      <c r="B17" s="321">
        <f t="shared" ref="B17:W17" si="19">IF(B$2="-","",(IF(B65="","",(IF(B$4&lt;$A17,B65,(B65-B$3)/(1+B$3%))))))</f>
        <v>-0.17</v>
      </c>
      <c r="C17" s="321">
        <f t="shared" si="19"/>
        <v>-0.73</v>
      </c>
      <c r="D17" s="321">
        <f t="shared" si="19"/>
        <v>1.18</v>
      </c>
      <c r="E17" s="321">
        <f t="shared" si="19"/>
        <v>2.89</v>
      </c>
      <c r="F17" s="321">
        <f t="shared" si="19"/>
        <v>-2.3246532974159435</v>
      </c>
      <c r="G17" s="321">
        <f t="shared" si="19"/>
        <v>-1.7260301306993915</v>
      </c>
      <c r="H17" s="321">
        <f t="shared" si="19"/>
        <v>-0.51</v>
      </c>
      <c r="I17" s="321">
        <f t="shared" si="19"/>
        <v>-2.6239648807742193</v>
      </c>
      <c r="J17" s="321">
        <f t="shared" si="19"/>
        <v>-3.6515181583647545</v>
      </c>
      <c r="K17" s="321">
        <f t="shared" si="19"/>
        <v>2.9323758228605632</v>
      </c>
      <c r="L17" s="321">
        <f t="shared" si="19"/>
        <v>8.0027974822659615</v>
      </c>
      <c r="M17" s="321">
        <f t="shared" si="19"/>
        <v>-7.6049038174025707</v>
      </c>
      <c r="N17" s="321">
        <f t="shared" si="19"/>
        <v>5.5577728996208347</v>
      </c>
      <c r="O17" s="321">
        <f t="shared" si="19"/>
        <v>13.04</v>
      </c>
      <c r="P17" s="321">
        <f t="shared" si="19"/>
        <v>1.88</v>
      </c>
      <c r="Q17" s="321">
        <f t="shared" si="19"/>
        <v>11.4</v>
      </c>
      <c r="R17" s="321">
        <f t="shared" si="19"/>
        <v>5.8917653646927146</v>
      </c>
      <c r="S17" s="321">
        <f t="shared" si="19"/>
        <v>-7.03</v>
      </c>
      <c r="T17" s="321">
        <f t="shared" si="19"/>
        <v>-4.33</v>
      </c>
      <c r="U17" s="321">
        <f t="shared" si="19"/>
        <v>-2.66</v>
      </c>
      <c r="V17" s="321">
        <f t="shared" si="19"/>
        <v>3.81</v>
      </c>
      <c r="W17" s="321">
        <f t="shared" si="19"/>
        <v>2.9940119760479043</v>
      </c>
      <c r="X17" s="321">
        <f t="shared" ref="X17:AY17" si="20">IF(X$2="-",0,(IF(X65="","",(IF(X$4&lt;$A17,X65,(X65-X$3)/(1+X$3%))))))</f>
        <v>-0.49</v>
      </c>
      <c r="Y17" s="321">
        <f t="shared" si="20"/>
        <v>-4.4400000000000004</v>
      </c>
      <c r="Z17" s="321">
        <f t="shared" si="20"/>
        <v>-1.63</v>
      </c>
      <c r="AA17" s="321">
        <f t="shared" si="20"/>
        <v>9.5399999999999991</v>
      </c>
      <c r="AB17" s="321">
        <f t="shared" si="20"/>
        <v>-5.42</v>
      </c>
      <c r="AC17" s="321">
        <f t="shared" si="20"/>
        <v>-0.15</v>
      </c>
      <c r="AD17" s="321">
        <f t="shared" si="20"/>
        <v>-1.1599999999999999</v>
      </c>
      <c r="AE17" s="321">
        <f t="shared" si="20"/>
        <v>1.7</v>
      </c>
      <c r="AF17" s="321">
        <f t="shared" si="20"/>
        <v>-2.12</v>
      </c>
      <c r="AG17" s="321">
        <f t="shared" si="20"/>
        <v>-5.75</v>
      </c>
      <c r="AH17" s="321">
        <f t="shared" si="20"/>
        <v>-1.71</v>
      </c>
      <c r="AI17" s="321">
        <f t="shared" si="20"/>
        <v>-0.57999999999999996</v>
      </c>
      <c r="AJ17" s="321">
        <f t="shared" si="20"/>
        <v>-2.4244238252020356</v>
      </c>
      <c r="AK17" s="321">
        <f t="shared" si="20"/>
        <v>-2.3246532974159435</v>
      </c>
      <c r="AL17" s="321">
        <f t="shared" si="20"/>
        <v>-1.76</v>
      </c>
      <c r="AM17" s="321">
        <f t="shared" si="20"/>
        <v>0.75</v>
      </c>
      <c r="AN17" s="321">
        <f t="shared" si="20"/>
        <v>-0.08</v>
      </c>
      <c r="AO17" s="321">
        <f t="shared" si="20"/>
        <v>-2.5595130645255608</v>
      </c>
      <c r="AP17" s="321">
        <f t="shared" si="20"/>
        <v>15.48271395835409</v>
      </c>
      <c r="AQ17" s="321" t="str">
        <f t="shared" si="20"/>
        <v/>
      </c>
      <c r="AR17" s="321" t="str">
        <f t="shared" si="20"/>
        <v/>
      </c>
      <c r="AS17" s="321" t="str">
        <f t="shared" si="20"/>
        <v/>
      </c>
      <c r="AT17" s="321" t="str">
        <f t="shared" si="20"/>
        <v/>
      </c>
      <c r="AU17" s="321" t="str">
        <f t="shared" si="20"/>
        <v/>
      </c>
      <c r="AV17" s="321" t="str">
        <f t="shared" si="20"/>
        <v/>
      </c>
      <c r="AW17" s="321" t="str">
        <f t="shared" si="20"/>
        <v/>
      </c>
      <c r="AX17" s="321" t="str">
        <f t="shared" si="20"/>
        <v/>
      </c>
      <c r="AY17" s="321" t="str">
        <f t="shared" si="20"/>
        <v/>
      </c>
      <c r="AZ17" s="321">
        <v>2.6748971193415461</v>
      </c>
      <c r="BB17" s="47"/>
      <c r="BC17" s="47"/>
    </row>
    <row r="18" spans="1:55">
      <c r="A18" s="58">
        <f t="shared" si="2"/>
        <v>1995</v>
      </c>
      <c r="B18" s="321">
        <f t="shared" ref="B18:W18" si="21">IF(B$2="-","",(IF(B66="","",(IF(B$4&lt;$A18,B66,(B66-B$3)/(1+B$3%))))))</f>
        <v>35.79</v>
      </c>
      <c r="C18" s="321">
        <f t="shared" si="21"/>
        <v>36.94</v>
      </c>
      <c r="D18" s="321">
        <f t="shared" si="21"/>
        <v>37.450000000000003</v>
      </c>
      <c r="E18" s="321">
        <f t="shared" si="21"/>
        <v>38.06</v>
      </c>
      <c r="F18" s="321">
        <f t="shared" si="21"/>
        <v>34.091589344507632</v>
      </c>
      <c r="G18" s="321">
        <f t="shared" si="21"/>
        <v>25.511323954903723</v>
      </c>
      <c r="H18" s="321">
        <f t="shared" si="21"/>
        <v>28.74</v>
      </c>
      <c r="I18" s="321">
        <f t="shared" si="21"/>
        <v>30.699391399780506</v>
      </c>
      <c r="J18" s="321">
        <f t="shared" si="21"/>
        <v>29.093074022623536</v>
      </c>
      <c r="K18" s="321">
        <f t="shared" si="21"/>
        <v>15.000997406742471</v>
      </c>
      <c r="L18" s="321">
        <f t="shared" si="21"/>
        <v>11.499650314716757</v>
      </c>
      <c r="M18" s="321">
        <f t="shared" si="21"/>
        <v>0.22924349646167649</v>
      </c>
      <c r="N18" s="321">
        <f t="shared" si="21"/>
        <v>9.7026541608461372</v>
      </c>
      <c r="O18" s="321">
        <f t="shared" si="21"/>
        <v>2.75</v>
      </c>
      <c r="P18" s="321">
        <f t="shared" si="21"/>
        <v>22.28</v>
      </c>
      <c r="Q18" s="321">
        <f t="shared" si="21"/>
        <v>11.7</v>
      </c>
      <c r="R18" s="321">
        <f t="shared" si="21"/>
        <v>24.288496846677518</v>
      </c>
      <c r="S18" s="321">
        <f t="shared" si="21"/>
        <v>30.11</v>
      </c>
      <c r="T18" s="321">
        <f t="shared" si="21"/>
        <v>20.440000000000001</v>
      </c>
      <c r="U18" s="321">
        <f t="shared" si="21"/>
        <v>18.18</v>
      </c>
      <c r="V18" s="321">
        <f t="shared" si="21"/>
        <v>5.49</v>
      </c>
      <c r="W18" s="321">
        <f t="shared" si="21"/>
        <v>0.5988023952095809</v>
      </c>
      <c r="X18" s="321">
        <f t="shared" ref="X18:AY18" si="22">IF(X$2="-",0,(IF(X66="","",(IF(X$4&lt;$A18,X66,(X66-X$3)/(1+X$3%))))))</f>
        <v>32.92</v>
      </c>
      <c r="Y18" s="321">
        <f t="shared" si="22"/>
        <v>28.91</v>
      </c>
      <c r="Z18" s="321">
        <f t="shared" si="22"/>
        <v>25.32</v>
      </c>
      <c r="AA18" s="321">
        <f t="shared" si="22"/>
        <v>45.17</v>
      </c>
      <c r="AB18" s="321">
        <f t="shared" si="22"/>
        <v>-4.4800000000000004</v>
      </c>
      <c r="AC18" s="321">
        <f t="shared" si="22"/>
        <v>30.15</v>
      </c>
      <c r="AD18" s="321">
        <f t="shared" si="22"/>
        <v>38.83</v>
      </c>
      <c r="AE18" s="321">
        <f t="shared" si="22"/>
        <v>5.92</v>
      </c>
      <c r="AF18" s="321">
        <f t="shared" si="22"/>
        <v>13.65</v>
      </c>
      <c r="AG18" s="321">
        <f t="shared" si="22"/>
        <v>18.72</v>
      </c>
      <c r="AH18" s="321">
        <f t="shared" si="22"/>
        <v>19.149999999999999</v>
      </c>
      <c r="AI18" s="321">
        <f t="shared" si="22"/>
        <v>12.11</v>
      </c>
      <c r="AJ18" s="321">
        <f t="shared" si="22"/>
        <v>33.692507233363266</v>
      </c>
      <c r="AK18" s="321">
        <f t="shared" si="22"/>
        <v>34.590441983438097</v>
      </c>
      <c r="AL18" s="321">
        <f t="shared" si="22"/>
        <v>33.799999999999997</v>
      </c>
      <c r="AM18" s="321">
        <f t="shared" si="22"/>
        <v>18.75</v>
      </c>
      <c r="AN18" s="321">
        <f t="shared" si="22"/>
        <v>12.74</v>
      </c>
      <c r="AO18" s="321">
        <f t="shared" si="22"/>
        <v>0.57616890559094336</v>
      </c>
      <c r="AP18" s="321">
        <f t="shared" si="22"/>
        <v>2.2815582345322305</v>
      </c>
      <c r="AQ18" s="321" t="str">
        <f t="shared" si="22"/>
        <v/>
      </c>
      <c r="AR18" s="321" t="str">
        <f t="shared" si="22"/>
        <v/>
      </c>
      <c r="AS18" s="321" t="str">
        <f t="shared" si="22"/>
        <v/>
      </c>
      <c r="AT18" s="321" t="str">
        <f t="shared" si="22"/>
        <v/>
      </c>
      <c r="AU18" s="321" t="str">
        <f t="shared" si="22"/>
        <v/>
      </c>
      <c r="AV18" s="321" t="str">
        <f t="shared" si="22"/>
        <v/>
      </c>
      <c r="AW18" s="321" t="str">
        <f t="shared" si="22"/>
        <v/>
      </c>
      <c r="AX18" s="321" t="str">
        <f t="shared" si="22"/>
        <v/>
      </c>
      <c r="AY18" s="321" t="str">
        <f t="shared" si="22"/>
        <v/>
      </c>
      <c r="AZ18" s="321">
        <v>2.5384101536406245</v>
      </c>
      <c r="BB18" s="47"/>
      <c r="BC18" s="47"/>
    </row>
    <row r="19" spans="1:55">
      <c r="A19" s="58">
        <f t="shared" si="2"/>
        <v>1996</v>
      </c>
      <c r="B19" s="321">
        <f t="shared" ref="B19:W19" si="23">IF(B$2="-","",(IF(B67="","",(IF(B$4&lt;$A19,B67,(B67-B$3)/(1+B$3%))))))</f>
        <v>20.96</v>
      </c>
      <c r="C19" s="321">
        <f t="shared" si="23"/>
        <v>21.86</v>
      </c>
      <c r="D19" s="321">
        <f t="shared" si="23"/>
        <v>22.88</v>
      </c>
      <c r="E19" s="321">
        <f t="shared" si="23"/>
        <v>23.74</v>
      </c>
      <c r="F19" s="321">
        <f t="shared" si="23"/>
        <v>18.726928065449467</v>
      </c>
      <c r="G19" s="321">
        <f t="shared" si="23"/>
        <v>21.121420732315674</v>
      </c>
      <c r="H19" s="321">
        <f t="shared" si="23"/>
        <v>18.12</v>
      </c>
      <c r="I19" s="321">
        <f t="shared" si="23"/>
        <v>11.044597425920383</v>
      </c>
      <c r="J19" s="321">
        <f t="shared" si="23"/>
        <v>15.896011113316133</v>
      </c>
      <c r="K19" s="321">
        <f t="shared" si="23"/>
        <v>34.94913225613405</v>
      </c>
      <c r="L19" s="321">
        <f t="shared" si="23"/>
        <v>6.3043261065041474</v>
      </c>
      <c r="M19" s="321">
        <f t="shared" si="23"/>
        <v>15.83</v>
      </c>
      <c r="N19" s="321">
        <f t="shared" si="23"/>
        <v>7.5778287766912804</v>
      </c>
      <c r="O19" s="321">
        <f t="shared" si="23"/>
        <v>-7.82</v>
      </c>
      <c r="P19" s="321">
        <f t="shared" si="23"/>
        <v>21.26</v>
      </c>
      <c r="Q19" s="321">
        <f t="shared" si="23"/>
        <v>9.1999999999999993</v>
      </c>
      <c r="R19" s="321">
        <f t="shared" si="23"/>
        <v>18.346666411050315</v>
      </c>
      <c r="S19" s="321">
        <f t="shared" si="23"/>
        <v>-1.25</v>
      </c>
      <c r="T19" s="321">
        <f t="shared" si="23"/>
        <v>1.92</v>
      </c>
      <c r="U19" s="321">
        <f t="shared" si="23"/>
        <v>3.58</v>
      </c>
      <c r="V19" s="321">
        <f t="shared" si="23"/>
        <v>5.09</v>
      </c>
      <c r="W19" s="321">
        <f t="shared" si="23"/>
        <v>3.8922155688622748</v>
      </c>
      <c r="X19" s="321">
        <f t="shared" ref="X19:AY19" si="24">IF(X$2="-",0,(IF(X67="","",(IF(X$4&lt;$A19,X67,(X67-X$3)/(1+X$3%))))))</f>
        <v>16.190000000000001</v>
      </c>
      <c r="Y19" s="321">
        <f t="shared" si="24"/>
        <v>9.42</v>
      </c>
      <c r="Z19" s="321">
        <f t="shared" si="24"/>
        <v>34</v>
      </c>
      <c r="AA19" s="321">
        <f t="shared" si="24"/>
        <v>21.36</v>
      </c>
      <c r="AB19" s="321">
        <f t="shared" si="24"/>
        <v>-0.75</v>
      </c>
      <c r="AC19" s="321">
        <f t="shared" si="24"/>
        <v>26.36</v>
      </c>
      <c r="AD19" s="321">
        <f t="shared" si="24"/>
        <v>24.18</v>
      </c>
      <c r="AE19" s="321">
        <f t="shared" si="24"/>
        <v>3.69</v>
      </c>
      <c r="AF19" s="321">
        <f t="shared" si="24"/>
        <v>4.2</v>
      </c>
      <c r="AG19" s="321">
        <f t="shared" si="24"/>
        <v>4.41</v>
      </c>
      <c r="AH19" s="321">
        <f t="shared" si="24"/>
        <v>9.5399999999999991</v>
      </c>
      <c r="AI19" s="321">
        <f t="shared" si="24"/>
        <v>4.3899999999999997</v>
      </c>
      <c r="AJ19" s="321">
        <f t="shared" si="24"/>
        <v>18.657088695999203</v>
      </c>
      <c r="AK19" s="321">
        <f t="shared" si="24"/>
        <v>21.181283048987328</v>
      </c>
      <c r="AL19" s="321">
        <f t="shared" si="24"/>
        <v>17.649999999999999</v>
      </c>
      <c r="AM19" s="321">
        <f t="shared" si="24"/>
        <v>3.85</v>
      </c>
      <c r="AN19" s="321">
        <f t="shared" si="24"/>
        <v>4.79</v>
      </c>
      <c r="AO19" s="321">
        <f t="shared" si="24"/>
        <v>-4.9666965214079086</v>
      </c>
      <c r="AP19" s="321">
        <f t="shared" si="24"/>
        <v>4.0151439673209124</v>
      </c>
      <c r="AQ19" s="321" t="str">
        <f t="shared" si="24"/>
        <v/>
      </c>
      <c r="AR19" s="321" t="str">
        <f t="shared" si="24"/>
        <v/>
      </c>
      <c r="AS19" s="321" t="str">
        <f t="shared" si="24"/>
        <v/>
      </c>
      <c r="AT19" s="321" t="str">
        <f t="shared" si="24"/>
        <v/>
      </c>
      <c r="AU19" s="321" t="str">
        <f t="shared" si="24"/>
        <v/>
      </c>
      <c r="AV19" s="321" t="str">
        <f t="shared" si="24"/>
        <v/>
      </c>
      <c r="AW19" s="321" t="str">
        <f t="shared" si="24"/>
        <v/>
      </c>
      <c r="AX19" s="321" t="str">
        <f t="shared" si="24"/>
        <v/>
      </c>
      <c r="AY19" s="321" t="str">
        <f t="shared" si="24"/>
        <v/>
      </c>
      <c r="AZ19" s="321">
        <v>3.3224755700325792</v>
      </c>
      <c r="BB19" s="47"/>
      <c r="BC19" s="47"/>
    </row>
    <row r="20" spans="1:55">
      <c r="A20" s="58">
        <f t="shared" si="2"/>
        <v>1997</v>
      </c>
      <c r="B20" s="321">
        <f t="shared" ref="B20:W20" si="25">IF(B$2="-","",(IF(B68="","",(IF(B$4&lt;$A20,B68,(B68-B$3)/(1+B$3%))))))</f>
        <v>30.99</v>
      </c>
      <c r="C20" s="321">
        <f t="shared" si="25"/>
        <v>29.77</v>
      </c>
      <c r="D20" s="321">
        <f t="shared" si="25"/>
        <v>33.19</v>
      </c>
      <c r="E20" s="321">
        <f t="shared" si="25"/>
        <v>36.340000000000003</v>
      </c>
      <c r="F20" s="321">
        <f t="shared" si="25"/>
        <v>28.703980844058666</v>
      </c>
      <c r="G20" s="321">
        <f t="shared" si="25"/>
        <v>31.497555622069243</v>
      </c>
      <c r="H20" s="321">
        <f t="shared" si="25"/>
        <v>24.59</v>
      </c>
      <c r="I20" s="321">
        <f t="shared" si="25"/>
        <v>12.640925870497854</v>
      </c>
      <c r="J20" s="321">
        <f t="shared" si="25"/>
        <v>20.55963484818416</v>
      </c>
      <c r="K20" s="321">
        <f t="shared" si="25"/>
        <v>18.461998803111907</v>
      </c>
      <c r="L20" s="321">
        <f t="shared" si="25"/>
        <v>2.0081926266360282</v>
      </c>
      <c r="M20" s="321">
        <f t="shared" si="25"/>
        <v>-16.82</v>
      </c>
      <c r="N20" s="321">
        <f t="shared" si="25"/>
        <v>-0.98782678108162048</v>
      </c>
      <c r="O20" s="321">
        <f t="shared" si="25"/>
        <v>-25.67</v>
      </c>
      <c r="P20" s="321">
        <f t="shared" si="25"/>
        <v>24.23</v>
      </c>
      <c r="Q20" s="321">
        <f t="shared" si="25"/>
        <v>-4.58</v>
      </c>
      <c r="R20" s="321">
        <f t="shared" si="25"/>
        <v>-1.0029287797843425</v>
      </c>
      <c r="S20" s="321">
        <f t="shared" si="25"/>
        <v>13.9</v>
      </c>
      <c r="T20" s="321">
        <f t="shared" si="25"/>
        <v>8.9600000000000009</v>
      </c>
      <c r="U20" s="321">
        <f t="shared" si="25"/>
        <v>9.44</v>
      </c>
      <c r="V20" s="321">
        <f t="shared" si="25"/>
        <v>5.12</v>
      </c>
      <c r="W20" s="321">
        <f t="shared" si="25"/>
        <v>7.7844311377245505</v>
      </c>
      <c r="X20" s="321">
        <f t="shared" ref="X20:AY20" si="26">IF(X$2="-",0,(IF(X68="","",(IF(X$4&lt;$A20,X68,(X68-X$3)/(1+X$3%))))))</f>
        <v>23.23</v>
      </c>
      <c r="Y20" s="321">
        <f t="shared" si="26"/>
        <v>20.190000000000001</v>
      </c>
      <c r="Z20" s="321">
        <f t="shared" si="26"/>
        <v>14.89</v>
      </c>
      <c r="AA20" s="321">
        <f t="shared" si="26"/>
        <v>28.57</v>
      </c>
      <c r="AB20" s="321">
        <f t="shared" si="26"/>
        <v>-38.92</v>
      </c>
      <c r="AC20" s="321">
        <f t="shared" si="26"/>
        <v>21.97</v>
      </c>
      <c r="AD20" s="321">
        <f t="shared" si="26"/>
        <v>32.369999999999997</v>
      </c>
      <c r="AE20" s="321">
        <f t="shared" si="26"/>
        <v>4.07</v>
      </c>
      <c r="AF20" s="321">
        <f t="shared" si="26"/>
        <v>7.08</v>
      </c>
      <c r="AG20" s="321">
        <f t="shared" si="26"/>
        <v>9.2899999999999991</v>
      </c>
      <c r="AH20" s="321">
        <f t="shared" si="26"/>
        <v>11.91</v>
      </c>
      <c r="AI20" s="321">
        <f t="shared" si="26"/>
        <v>6.39</v>
      </c>
      <c r="AJ20" s="321">
        <f t="shared" si="26"/>
        <v>20.32325651002694</v>
      </c>
      <c r="AK20" s="321">
        <f t="shared" si="26"/>
        <v>36.765439489174902</v>
      </c>
      <c r="AL20" s="321">
        <f t="shared" si="26"/>
        <v>26.73</v>
      </c>
      <c r="AM20" s="321">
        <f t="shared" si="26"/>
        <v>-0.9</v>
      </c>
      <c r="AN20" s="321">
        <f t="shared" si="26"/>
        <v>6.95</v>
      </c>
      <c r="AO20" s="321">
        <f t="shared" si="26"/>
        <v>-21.721374488505017</v>
      </c>
      <c r="AP20" s="321">
        <f t="shared" si="26"/>
        <v>-14.446547773239015</v>
      </c>
      <c r="AQ20" s="321" t="str">
        <f t="shared" si="26"/>
        <v/>
      </c>
      <c r="AR20" s="321" t="str">
        <f t="shared" si="26"/>
        <v/>
      </c>
      <c r="AS20" s="321" t="str">
        <f t="shared" si="26"/>
        <v/>
      </c>
      <c r="AT20" s="321" t="str">
        <f t="shared" si="26"/>
        <v/>
      </c>
      <c r="AU20" s="321" t="str">
        <f t="shared" si="26"/>
        <v/>
      </c>
      <c r="AV20" s="321" t="str">
        <f t="shared" si="26"/>
        <v/>
      </c>
      <c r="AW20" s="321" t="str">
        <f t="shared" si="26"/>
        <v/>
      </c>
      <c r="AX20" s="321" t="str">
        <f t="shared" si="26"/>
        <v/>
      </c>
      <c r="AY20" s="321" t="str">
        <f t="shared" si="26"/>
        <v/>
      </c>
      <c r="AZ20" s="321">
        <v>1.7023959646910614</v>
      </c>
      <c r="BB20" s="47"/>
      <c r="BC20" s="47"/>
    </row>
    <row r="21" spans="1:55">
      <c r="A21" s="58">
        <f t="shared" si="2"/>
        <v>1998</v>
      </c>
      <c r="B21" s="321">
        <f t="shared" ref="B21:W21" si="27">IF(B$2="-","",(IF(B69="","",(IF(B$4&lt;$A21,B69,(B69-B$3)/(1+B$3%))))))</f>
        <v>23.26</v>
      </c>
      <c r="C21" s="321">
        <f t="shared" si="27"/>
        <v>14.64</v>
      </c>
      <c r="D21" s="321">
        <f t="shared" si="27"/>
        <v>28.62</v>
      </c>
      <c r="E21" s="321">
        <f t="shared" si="27"/>
        <v>42.21</v>
      </c>
      <c r="F21" s="321">
        <f t="shared" si="27"/>
        <v>9.847351092487278</v>
      </c>
      <c r="G21" s="321">
        <f t="shared" si="27"/>
        <v>-6.7145565200039918</v>
      </c>
      <c r="H21" s="321">
        <f t="shared" si="27"/>
        <v>-2.61</v>
      </c>
      <c r="I21" s="321">
        <f t="shared" si="27"/>
        <v>0.96777411952509229</v>
      </c>
      <c r="J21" s="321">
        <f t="shared" si="27"/>
        <v>-2.56995435602302</v>
      </c>
      <c r="K21" s="321">
        <f t="shared" si="27"/>
        <v>-16.32</v>
      </c>
      <c r="L21" s="321">
        <f t="shared" si="27"/>
        <v>20.191827355380159</v>
      </c>
      <c r="M21" s="321">
        <f t="shared" si="27"/>
        <v>-18.12</v>
      </c>
      <c r="N21" s="321">
        <f t="shared" si="27"/>
        <v>15.6</v>
      </c>
      <c r="O21" s="321">
        <f t="shared" si="27"/>
        <v>2.41</v>
      </c>
      <c r="P21" s="321">
        <f t="shared" si="27"/>
        <v>28.86</v>
      </c>
      <c r="Q21" s="321">
        <f t="shared" si="27"/>
        <v>19.46</v>
      </c>
      <c r="R21" s="321">
        <f t="shared" si="27"/>
        <v>-25.303110444349187</v>
      </c>
      <c r="S21" s="321">
        <f t="shared" si="27"/>
        <v>13.05</v>
      </c>
      <c r="T21" s="321">
        <f t="shared" si="27"/>
        <v>10.61</v>
      </c>
      <c r="U21" s="321">
        <f t="shared" si="27"/>
        <v>8.58</v>
      </c>
      <c r="V21" s="321">
        <f t="shared" si="27"/>
        <v>5</v>
      </c>
      <c r="W21" s="321">
        <f t="shared" si="27"/>
        <v>2.5948103792415167</v>
      </c>
      <c r="X21" s="321">
        <f t="shared" ref="X21:AY21" si="28">IF(X$2="-",0,(IF(X69="","",(IF(X$4&lt;$A21,X69,(X69-X$3)/(1+X$3%))))))</f>
        <v>12.06</v>
      </c>
      <c r="Y21" s="321">
        <f t="shared" si="28"/>
        <v>11.84</v>
      </c>
      <c r="Z21" s="321">
        <f t="shared" si="28"/>
        <v>-20.53</v>
      </c>
      <c r="AA21" s="321">
        <f t="shared" si="28"/>
        <v>40.799999999999997</v>
      </c>
      <c r="AB21" s="321">
        <f t="shared" si="28"/>
        <v>-3.91</v>
      </c>
      <c r="AC21" s="321">
        <f t="shared" si="28"/>
        <v>0.81</v>
      </c>
      <c r="AD21" s="321">
        <f t="shared" si="28"/>
        <v>16.36</v>
      </c>
      <c r="AE21" s="321">
        <f t="shared" si="28"/>
        <v>4.32</v>
      </c>
      <c r="AF21" s="321">
        <f t="shared" si="28"/>
        <v>5.76</v>
      </c>
      <c r="AG21" s="321">
        <f t="shared" si="28"/>
        <v>6.02</v>
      </c>
      <c r="AH21" s="321">
        <f t="shared" si="28"/>
        <v>5.62</v>
      </c>
      <c r="AI21" s="321">
        <f t="shared" si="28"/>
        <v>7.36</v>
      </c>
      <c r="AJ21" s="321">
        <f t="shared" si="28"/>
        <v>16.990920881971466</v>
      </c>
      <c r="AK21" s="321">
        <f t="shared" si="28"/>
        <v>1.2870398084405867</v>
      </c>
      <c r="AL21" s="321">
        <f t="shared" si="28"/>
        <v>8.32</v>
      </c>
      <c r="AM21" s="321">
        <f t="shared" si="28"/>
        <v>12.5</v>
      </c>
      <c r="AN21" s="321">
        <f t="shared" si="28"/>
        <v>6.57</v>
      </c>
      <c r="AO21" s="321">
        <f t="shared" si="28"/>
        <v>-1.2221273417700587</v>
      </c>
      <c r="AP21" s="321">
        <f t="shared" si="28"/>
        <v>25.98</v>
      </c>
      <c r="AQ21" s="321" t="str">
        <f t="shared" si="28"/>
        <v/>
      </c>
      <c r="AR21" s="321" t="str">
        <f t="shared" si="28"/>
        <v/>
      </c>
      <c r="AS21" s="321" t="str">
        <f t="shared" si="28"/>
        <v/>
      </c>
      <c r="AT21" s="321" t="str">
        <f t="shared" si="28"/>
        <v/>
      </c>
      <c r="AU21" s="321" t="str">
        <f t="shared" si="28"/>
        <v/>
      </c>
      <c r="AV21" s="321" t="str">
        <f t="shared" si="28"/>
        <v/>
      </c>
      <c r="AW21" s="321" t="str">
        <f t="shared" si="28"/>
        <v/>
      </c>
      <c r="AX21" s="321" t="str">
        <f t="shared" si="28"/>
        <v/>
      </c>
      <c r="AY21" s="321" t="str">
        <f t="shared" si="28"/>
        <v/>
      </c>
      <c r="AZ21" s="321">
        <v>1.6119032858028515</v>
      </c>
      <c r="BB21" s="47"/>
      <c r="BC21" s="47"/>
    </row>
    <row r="22" spans="1:55">
      <c r="A22" s="58">
        <f t="shared" si="2"/>
        <v>1999</v>
      </c>
      <c r="B22" s="321">
        <f t="shared" ref="B22:W22" si="29">IF(B$2="-","",(IF(B70="","",(IF(B$4&lt;$A22,B70,(B70-B$3)/(1+B$3%))))))</f>
        <v>23.81</v>
      </c>
      <c r="C22" s="321">
        <f t="shared" si="29"/>
        <v>12.57</v>
      </c>
      <c r="D22" s="321">
        <f t="shared" si="29"/>
        <v>21.07</v>
      </c>
      <c r="E22" s="321">
        <f t="shared" si="29"/>
        <v>28.76</v>
      </c>
      <c r="F22" s="321">
        <f t="shared" si="29"/>
        <v>15.055372642921281</v>
      </c>
      <c r="G22" s="321">
        <f t="shared" si="29"/>
        <v>3.1128404669260701</v>
      </c>
      <c r="H22" s="321">
        <f t="shared" si="29"/>
        <v>23.13</v>
      </c>
      <c r="I22" s="321">
        <f t="shared" si="29"/>
        <v>19.525092287738204</v>
      </c>
      <c r="J22" s="321">
        <f t="shared" si="29"/>
        <v>31.49</v>
      </c>
      <c r="K22" s="321">
        <f t="shared" si="29"/>
        <v>-4.04</v>
      </c>
      <c r="L22" s="321">
        <f t="shared" si="29"/>
        <v>27.185533020281749</v>
      </c>
      <c r="M22" s="321">
        <f t="shared" si="29"/>
        <v>61.57</v>
      </c>
      <c r="N22" s="321">
        <f t="shared" si="29"/>
        <v>29.92</v>
      </c>
      <c r="O22" s="321">
        <f t="shared" si="29"/>
        <v>57.05</v>
      </c>
      <c r="P22" s="321">
        <f t="shared" si="29"/>
        <v>16.62</v>
      </c>
      <c r="Q22" s="321">
        <f t="shared" si="29"/>
        <v>21.81</v>
      </c>
      <c r="R22" s="321">
        <f t="shared" si="29"/>
        <v>19.658254566019316</v>
      </c>
      <c r="S22" s="321">
        <f t="shared" si="29"/>
        <v>-8.66</v>
      </c>
      <c r="T22" s="321">
        <f t="shared" si="29"/>
        <v>-3.52</v>
      </c>
      <c r="U22" s="321">
        <f t="shared" si="29"/>
        <v>-0.76</v>
      </c>
      <c r="V22" s="321">
        <f t="shared" si="29"/>
        <v>4.55</v>
      </c>
      <c r="W22" s="321">
        <f t="shared" si="29"/>
        <v>7.6846307385229542</v>
      </c>
      <c r="X22" s="321">
        <f t="shared" ref="X22:AY22" si="30">IF(X$2="-",0,(IF(X70="","",(IF(X$4&lt;$A22,X70,(X70-X$3)/(1+X$3%))))))</f>
        <v>4.41</v>
      </c>
      <c r="Y22" s="321">
        <f t="shared" si="30"/>
        <v>-4.1399999999999997</v>
      </c>
      <c r="Z22" s="321">
        <f t="shared" si="30"/>
        <v>20.98</v>
      </c>
      <c r="AA22" s="321">
        <f t="shared" si="30"/>
        <v>7.05</v>
      </c>
      <c r="AB22" s="321">
        <f t="shared" si="30"/>
        <v>28.82</v>
      </c>
      <c r="AC22" s="321">
        <f t="shared" si="30"/>
        <v>11.57</v>
      </c>
      <c r="AD22" s="321">
        <f t="shared" si="30"/>
        <v>-5.81</v>
      </c>
      <c r="AE22" s="321">
        <f t="shared" si="30"/>
        <v>2.58</v>
      </c>
      <c r="AF22" s="321">
        <f t="shared" si="30"/>
        <v>-0.5</v>
      </c>
      <c r="AG22" s="321">
        <f t="shared" si="30"/>
        <v>-3.53</v>
      </c>
      <c r="AH22" s="321">
        <f t="shared" si="30"/>
        <v>2.5499999999999998</v>
      </c>
      <c r="AI22" s="321">
        <f t="shared" si="30"/>
        <v>1.85</v>
      </c>
      <c r="AJ22" s="321">
        <f t="shared" si="30"/>
        <v>70.13868103362266</v>
      </c>
      <c r="AK22" s="321">
        <f t="shared" si="30"/>
        <v>1.9654793973860125</v>
      </c>
      <c r="AL22" s="321">
        <f t="shared" si="30"/>
        <v>36.22</v>
      </c>
      <c r="AM22" s="321">
        <f t="shared" si="30"/>
        <v>-4.29</v>
      </c>
      <c r="AN22" s="321">
        <f t="shared" si="30"/>
        <v>3.3</v>
      </c>
      <c r="AO22" s="321">
        <f t="shared" si="30"/>
        <v>0.44948766435300785</v>
      </c>
      <c r="AP22" s="321">
        <f t="shared" si="30"/>
        <v>90.29</v>
      </c>
      <c r="AQ22" s="321" t="str">
        <f t="shared" si="30"/>
        <v/>
      </c>
      <c r="AR22" s="321" t="str">
        <f t="shared" si="30"/>
        <v/>
      </c>
      <c r="AS22" s="321" t="str">
        <f t="shared" si="30"/>
        <v/>
      </c>
      <c r="AT22" s="321" t="str">
        <f t="shared" si="30"/>
        <v/>
      </c>
      <c r="AU22" s="321" t="str">
        <f t="shared" si="30"/>
        <v/>
      </c>
      <c r="AV22" s="321" t="str">
        <f t="shared" si="30"/>
        <v/>
      </c>
      <c r="AW22" s="321" t="str">
        <f t="shared" si="30"/>
        <v/>
      </c>
      <c r="AX22" s="321" t="str">
        <f t="shared" si="30"/>
        <v/>
      </c>
      <c r="AY22" s="321" t="str">
        <f t="shared" si="30"/>
        <v/>
      </c>
      <c r="AZ22" s="321">
        <v>2.6845637583892579</v>
      </c>
      <c r="BB22" s="47"/>
      <c r="BC22" s="47"/>
    </row>
    <row r="23" spans="1:55">
      <c r="A23" s="58">
        <f t="shared" si="2"/>
        <v>2000</v>
      </c>
      <c r="B23" s="321">
        <f t="shared" ref="B23:W23" si="31">IF(B$2="-","",(IF(B71="","",(IF(B$4&lt;$A23,B71,(B71-B$3)/(1+B$3%))))))</f>
        <v>-10.57</v>
      </c>
      <c r="C23" s="321">
        <f t="shared" si="31"/>
        <v>6.08</v>
      </c>
      <c r="D23" s="321">
        <f t="shared" si="31"/>
        <v>-9.06</v>
      </c>
      <c r="E23" s="321">
        <f t="shared" si="31"/>
        <v>-22.21</v>
      </c>
      <c r="F23" s="321">
        <f t="shared" si="31"/>
        <v>18.100000000000001</v>
      </c>
      <c r="G23" s="321">
        <f t="shared" si="31"/>
        <v>21.88</v>
      </c>
      <c r="H23" s="321">
        <f t="shared" si="31"/>
        <v>-2.67</v>
      </c>
      <c r="I23" s="321">
        <f t="shared" si="31"/>
        <v>1.59</v>
      </c>
      <c r="J23" s="321">
        <f t="shared" si="31"/>
        <v>0.67</v>
      </c>
      <c r="K23" s="321">
        <f t="shared" si="31"/>
        <v>26.35</v>
      </c>
      <c r="L23" s="321">
        <f t="shared" si="31"/>
        <v>-14.367069637326408</v>
      </c>
      <c r="M23" s="321">
        <f t="shared" si="31"/>
        <v>-27.56</v>
      </c>
      <c r="N23" s="321">
        <f t="shared" si="31"/>
        <v>-15.61</v>
      </c>
      <c r="O23" s="321">
        <f t="shared" si="31"/>
        <v>-25.74</v>
      </c>
      <c r="P23" s="321">
        <f t="shared" si="31"/>
        <v>-8.18</v>
      </c>
      <c r="Q23" s="321">
        <f t="shared" si="31"/>
        <v>-7.48</v>
      </c>
      <c r="R23" s="321">
        <f t="shared" si="31"/>
        <v>35.83076587950972</v>
      </c>
      <c r="S23" s="321">
        <f t="shared" si="31"/>
        <v>19.72</v>
      </c>
      <c r="T23" s="321">
        <f t="shared" si="31"/>
        <v>14.03</v>
      </c>
      <c r="U23" s="321">
        <f t="shared" si="31"/>
        <v>11.39</v>
      </c>
      <c r="V23" s="321">
        <f t="shared" si="31"/>
        <v>5.8</v>
      </c>
      <c r="W23" s="321">
        <f t="shared" si="31"/>
        <v>4.5908183632734527</v>
      </c>
      <c r="X23" s="321">
        <f t="shared" ref="X23:AY23" si="32">IF(X$2="-",0,(IF(X71="","",(IF(X$4&lt;$A23,X71,(X71-X$3)/(1+X$3%))))))</f>
        <v>10.4</v>
      </c>
      <c r="Y23" s="321">
        <f t="shared" si="32"/>
        <v>16.170000000000002</v>
      </c>
      <c r="Z23" s="321">
        <f t="shared" si="32"/>
        <v>36.43</v>
      </c>
      <c r="AA23" s="321">
        <f t="shared" si="32"/>
        <v>60.53</v>
      </c>
      <c r="AB23" s="321">
        <f t="shared" si="32"/>
        <v>-7.34</v>
      </c>
      <c r="AC23" s="321">
        <f t="shared" si="32"/>
        <v>15.89</v>
      </c>
      <c r="AD23" s="321">
        <f t="shared" si="32"/>
        <v>16.86</v>
      </c>
      <c r="AE23" s="321">
        <f t="shared" si="32"/>
        <v>4.91</v>
      </c>
      <c r="AF23" s="321">
        <f t="shared" si="32"/>
        <v>9.24</v>
      </c>
      <c r="AG23" s="321">
        <f t="shared" si="32"/>
        <v>13.32</v>
      </c>
      <c r="AH23" s="321">
        <f t="shared" si="32"/>
        <v>-0.88</v>
      </c>
      <c r="AI23" s="321">
        <f t="shared" si="32"/>
        <v>8.83</v>
      </c>
      <c r="AJ23" s="321">
        <f t="shared" si="32"/>
        <v>-26.459143968871597</v>
      </c>
      <c r="AK23" s="321">
        <f t="shared" si="32"/>
        <v>22.188965379626858</v>
      </c>
      <c r="AL23" s="321">
        <f t="shared" si="32"/>
        <v>-15.55</v>
      </c>
      <c r="AM23" s="321">
        <f t="shared" si="32"/>
        <v>0.43</v>
      </c>
      <c r="AN23" s="321">
        <f t="shared" si="32"/>
        <v>8.17</v>
      </c>
      <c r="AO23" s="321">
        <f t="shared" si="32"/>
        <v>-5.8203019103602864</v>
      </c>
      <c r="AP23" s="321">
        <f t="shared" si="32"/>
        <v>-2.68</v>
      </c>
      <c r="AQ23" s="321" t="str">
        <f t="shared" si="32"/>
        <v/>
      </c>
      <c r="AR23" s="321" t="str">
        <f t="shared" si="32"/>
        <v/>
      </c>
      <c r="AS23" s="321" t="str">
        <f t="shared" si="32"/>
        <v/>
      </c>
      <c r="AT23" s="321" t="str">
        <f t="shared" si="32"/>
        <v/>
      </c>
      <c r="AU23" s="321" t="str">
        <f t="shared" si="32"/>
        <v/>
      </c>
      <c r="AV23" s="321" t="str">
        <f t="shared" si="32"/>
        <v/>
      </c>
      <c r="AW23" s="321" t="str">
        <f t="shared" si="32"/>
        <v/>
      </c>
      <c r="AX23" s="321" t="str">
        <f t="shared" si="32"/>
        <v/>
      </c>
      <c r="AY23" s="321" t="str">
        <f t="shared" si="32"/>
        <v/>
      </c>
      <c r="AZ23" s="321">
        <v>3.3868092691621943</v>
      </c>
      <c r="BB23" s="47"/>
      <c r="BC23" s="47"/>
    </row>
    <row r="24" spans="1:55">
      <c r="A24" s="58">
        <f t="shared" si="2"/>
        <v>2001</v>
      </c>
      <c r="B24" s="321">
        <f t="shared" ref="B24:W24" si="33">IF(B$2="-","",(IF(B72="","",(IF(B$4&lt;$A24,B72,(B72-B$3)/(1+B$3%))))))</f>
        <v>-10.97</v>
      </c>
      <c r="C24" s="321">
        <f t="shared" si="33"/>
        <v>-11.88</v>
      </c>
      <c r="D24" s="321">
        <f t="shared" si="33"/>
        <v>-12.02</v>
      </c>
      <c r="E24" s="321">
        <f t="shared" si="33"/>
        <v>-12.93</v>
      </c>
      <c r="F24" s="321">
        <f t="shared" si="33"/>
        <v>-0.5</v>
      </c>
      <c r="G24" s="321">
        <f t="shared" si="33"/>
        <v>13.7</v>
      </c>
      <c r="H24" s="321">
        <f t="shared" si="33"/>
        <v>3.1</v>
      </c>
      <c r="I24" s="321">
        <f t="shared" si="33"/>
        <v>-0.78</v>
      </c>
      <c r="J24" s="321">
        <f t="shared" si="33"/>
        <v>23.98</v>
      </c>
      <c r="K24" s="321">
        <f t="shared" si="33"/>
        <v>12.35</v>
      </c>
      <c r="L24" s="321">
        <f t="shared" si="33"/>
        <v>-22.010190828254576</v>
      </c>
      <c r="M24" s="321">
        <f t="shared" si="33"/>
        <v>-2.88</v>
      </c>
      <c r="N24" s="321">
        <f t="shared" si="33"/>
        <v>-20.149999999999999</v>
      </c>
      <c r="O24" s="321">
        <f t="shared" si="33"/>
        <v>-26.34</v>
      </c>
      <c r="P24" s="321">
        <f t="shared" si="33"/>
        <v>-20.3</v>
      </c>
      <c r="Q24" s="321">
        <f t="shared" si="33"/>
        <v>-14.02</v>
      </c>
      <c r="R24" s="321">
        <f t="shared" si="33"/>
        <v>-15.248585151771607</v>
      </c>
      <c r="S24" s="321">
        <f t="shared" si="33"/>
        <v>4.3099999999999996</v>
      </c>
      <c r="T24" s="321">
        <f t="shared" si="33"/>
        <v>7.55</v>
      </c>
      <c r="U24" s="321">
        <f t="shared" si="33"/>
        <v>8.43</v>
      </c>
      <c r="V24" s="321">
        <f t="shared" si="33"/>
        <v>3.99</v>
      </c>
      <c r="W24" s="321">
        <f t="shared" si="33"/>
        <v>7.3952095808383236</v>
      </c>
      <c r="X24" s="321">
        <f t="shared" ref="X24:AY24" si="34">IF(X$2="-",0,(IF(X72="","",(IF(X$4&lt;$A24,X72,(X72-X$3)/(1+X$3%))))))</f>
        <v>4.1900000000000004</v>
      </c>
      <c r="Y24" s="321">
        <f t="shared" si="34"/>
        <v>7.39</v>
      </c>
      <c r="Z24" s="321">
        <f t="shared" si="34"/>
        <v>-2.5499999999999998</v>
      </c>
      <c r="AA24" s="321">
        <f t="shared" si="34"/>
        <v>-6.87</v>
      </c>
      <c r="AB24" s="321">
        <f t="shared" si="34"/>
        <v>18.329999999999998</v>
      </c>
      <c r="AC24" s="321">
        <f t="shared" si="34"/>
        <v>5.72</v>
      </c>
      <c r="AD24" s="321">
        <f t="shared" si="34"/>
        <v>-3.4</v>
      </c>
      <c r="AE24" s="321">
        <f t="shared" si="34"/>
        <v>4.75</v>
      </c>
      <c r="AF24" s="321">
        <f t="shared" si="34"/>
        <v>5.05</v>
      </c>
      <c r="AG24" s="321">
        <f t="shared" si="34"/>
        <v>4.54</v>
      </c>
      <c r="AH24" s="321">
        <f t="shared" si="34"/>
        <v>2.9</v>
      </c>
      <c r="AI24" s="321">
        <f t="shared" si="34"/>
        <v>7.8</v>
      </c>
      <c r="AJ24" s="321">
        <f t="shared" si="34"/>
        <v>-20.612591040606606</v>
      </c>
      <c r="AK24" s="321">
        <f t="shared" si="34"/>
        <v>8.5403571784894741</v>
      </c>
      <c r="AL24" s="321">
        <f t="shared" si="34"/>
        <v>-9.1300000000000008</v>
      </c>
      <c r="AM24" s="321">
        <f t="shared" si="34"/>
        <v>2.48</v>
      </c>
      <c r="AN24" s="321">
        <f t="shared" si="34"/>
        <v>8.14</v>
      </c>
      <c r="AO24" s="321">
        <f t="shared" si="34"/>
        <v>0.43629453764465242</v>
      </c>
      <c r="AP24" s="321">
        <f t="shared" si="34"/>
        <v>-22.52</v>
      </c>
      <c r="AQ24" s="321" t="str">
        <f t="shared" si="34"/>
        <v/>
      </c>
      <c r="AR24" s="321" t="str">
        <f t="shared" si="34"/>
        <v/>
      </c>
      <c r="AS24" s="321" t="str">
        <f t="shared" si="34"/>
        <v/>
      </c>
      <c r="AT24" s="321" t="str">
        <f t="shared" si="34"/>
        <v/>
      </c>
      <c r="AU24" s="321" t="str">
        <f t="shared" si="34"/>
        <v/>
      </c>
      <c r="AV24" s="321" t="str">
        <f t="shared" si="34"/>
        <v/>
      </c>
      <c r="AW24" s="321" t="str">
        <f t="shared" si="34"/>
        <v/>
      </c>
      <c r="AX24" s="321" t="str">
        <f t="shared" si="34"/>
        <v/>
      </c>
      <c r="AY24" s="321" t="str">
        <f t="shared" si="34"/>
        <v/>
      </c>
      <c r="AZ24" s="321">
        <v>1.551724137931032</v>
      </c>
      <c r="BB24" s="47"/>
      <c r="BC24" s="47"/>
    </row>
    <row r="25" spans="1:55">
      <c r="A25" s="58">
        <f t="shared" si="2"/>
        <v>2002</v>
      </c>
      <c r="B25" s="321">
        <f t="shared" ref="B25:W25" si="35">IF(B$2="-","",(IF(B73="","",(IF(B$4&lt;$A25,B73,(B73-B$3)/(1+B$3%))))))</f>
        <v>-20.96</v>
      </c>
      <c r="C25" s="321">
        <f t="shared" si="35"/>
        <v>-20.91</v>
      </c>
      <c r="D25" s="321">
        <f t="shared" si="35"/>
        <v>-22.15</v>
      </c>
      <c r="E25" s="321">
        <f t="shared" si="35"/>
        <v>-23.68</v>
      </c>
      <c r="F25" s="321">
        <f t="shared" si="35"/>
        <v>-14.61</v>
      </c>
      <c r="G25" s="321">
        <f t="shared" si="35"/>
        <v>-14.2</v>
      </c>
      <c r="H25" s="321">
        <f t="shared" si="35"/>
        <v>-20.02</v>
      </c>
      <c r="I25" s="321">
        <f t="shared" si="35"/>
        <v>-15.41</v>
      </c>
      <c r="J25" s="321">
        <f t="shared" si="35"/>
        <v>4.9000000000000004</v>
      </c>
      <c r="K25" s="321">
        <f t="shared" si="35"/>
        <v>3.75</v>
      </c>
      <c r="L25" s="321">
        <f t="shared" si="35"/>
        <v>-15.620000000000001</v>
      </c>
      <c r="M25" s="321">
        <f t="shared" si="35"/>
        <v>-7.43</v>
      </c>
      <c r="N25" s="321">
        <f t="shared" si="35"/>
        <v>-15.08</v>
      </c>
      <c r="O25" s="321">
        <f t="shared" si="35"/>
        <v>-9.32</v>
      </c>
      <c r="P25" s="321">
        <f t="shared" si="35"/>
        <v>-17.95</v>
      </c>
      <c r="Q25" s="321">
        <f t="shared" si="35"/>
        <v>-13.35</v>
      </c>
      <c r="R25" s="321">
        <f t="shared" si="35"/>
        <v>39.929692473577198</v>
      </c>
      <c r="S25" s="321">
        <f t="shared" si="35"/>
        <v>16.670000000000002</v>
      </c>
      <c r="T25" s="321">
        <f t="shared" si="35"/>
        <v>14.15</v>
      </c>
      <c r="U25" s="321">
        <f t="shared" si="35"/>
        <v>8.26</v>
      </c>
      <c r="V25" s="321">
        <f t="shared" si="35"/>
        <v>1.51</v>
      </c>
      <c r="W25" s="321">
        <f t="shared" si="35"/>
        <v>16.61</v>
      </c>
      <c r="X25" s="321">
        <f t="shared" ref="X25:AY25" si="36">IF(X$2="-",0,(IF(X73="","",(IF(X$4&lt;$A25,X73,(X73-X$3)/(1+X$3%))))))</f>
        <v>-6.9</v>
      </c>
      <c r="Y25" s="321">
        <f t="shared" si="36"/>
        <v>4.6399999999999997</v>
      </c>
      <c r="Z25" s="321">
        <f t="shared" si="36"/>
        <v>-0.62</v>
      </c>
      <c r="AA25" s="321">
        <f t="shared" si="36"/>
        <v>-11.36</v>
      </c>
      <c r="AB25" s="321">
        <f t="shared" si="36"/>
        <v>33.35</v>
      </c>
      <c r="AC25" s="321">
        <f t="shared" si="36"/>
        <v>-22.25</v>
      </c>
      <c r="AD25" s="321">
        <f t="shared" si="36"/>
        <v>-16.86</v>
      </c>
      <c r="AE25" s="321">
        <f t="shared" si="36"/>
        <v>3.49</v>
      </c>
      <c r="AF25" s="321">
        <f t="shared" si="36"/>
        <v>7.91</v>
      </c>
      <c r="AG25" s="321">
        <f t="shared" si="36"/>
        <v>10.11</v>
      </c>
      <c r="AH25" s="321">
        <f t="shared" si="36"/>
        <v>1.73</v>
      </c>
      <c r="AI25" s="321">
        <f t="shared" si="36"/>
        <v>8.02</v>
      </c>
      <c r="AJ25" s="321">
        <f t="shared" si="36"/>
        <v>-23.505936346403271</v>
      </c>
      <c r="AK25" s="321">
        <f t="shared" si="36"/>
        <v>-9.8972363563803256</v>
      </c>
      <c r="AL25" s="321">
        <f t="shared" si="36"/>
        <v>-18.059999999999999</v>
      </c>
      <c r="AM25" s="321">
        <f t="shared" si="36"/>
        <v>21.33</v>
      </c>
      <c r="AN25" s="321">
        <f t="shared" si="36"/>
        <v>5.22</v>
      </c>
      <c r="AO25" s="321">
        <f t="shared" si="36"/>
        <v>24.956362445430557</v>
      </c>
      <c r="AP25" s="321">
        <f t="shared" si="36"/>
        <v>-13.88</v>
      </c>
      <c r="AQ25" s="321" t="str">
        <f t="shared" si="36"/>
        <v/>
      </c>
      <c r="AR25" s="321" t="str">
        <f t="shared" si="36"/>
        <v/>
      </c>
      <c r="AS25" s="321" t="str">
        <f t="shared" si="36"/>
        <v/>
      </c>
      <c r="AT25" s="321" t="str">
        <f t="shared" si="36"/>
        <v/>
      </c>
      <c r="AU25" s="321" t="str">
        <f t="shared" si="36"/>
        <v/>
      </c>
      <c r="AV25" s="321" t="str">
        <f t="shared" si="36"/>
        <v/>
      </c>
      <c r="AW25" s="321" t="str">
        <f t="shared" si="36"/>
        <v/>
      </c>
      <c r="AX25" s="321" t="str">
        <f t="shared" si="36"/>
        <v/>
      </c>
      <c r="AY25" s="321" t="str">
        <f t="shared" si="36"/>
        <v/>
      </c>
      <c r="AZ25" s="321">
        <v>2.3769100169779289</v>
      </c>
      <c r="BB25" s="47"/>
      <c r="BC25" s="47"/>
    </row>
    <row r="26" spans="1:55">
      <c r="A26" s="58">
        <f t="shared" si="2"/>
        <v>2003</v>
      </c>
      <c r="B26" s="321">
        <f t="shared" ref="B26:W26" si="37">IF(B$2="-","",(IF(B74="","",(IF(B$4&lt;$A26,B74,(B74-B$3)/(1+B$3%))))))</f>
        <v>31.35</v>
      </c>
      <c r="C26" s="321">
        <f t="shared" si="37"/>
        <v>32.25</v>
      </c>
      <c r="D26" s="321">
        <f t="shared" si="37"/>
        <v>28.5</v>
      </c>
      <c r="E26" s="321">
        <f t="shared" si="37"/>
        <v>25.92</v>
      </c>
      <c r="F26" s="321">
        <f t="shared" si="37"/>
        <v>34.14</v>
      </c>
      <c r="G26" s="321">
        <f t="shared" si="37"/>
        <v>37.19</v>
      </c>
      <c r="H26" s="321">
        <f t="shared" si="37"/>
        <v>45.63</v>
      </c>
      <c r="I26" s="321">
        <f t="shared" si="37"/>
        <v>42.88</v>
      </c>
      <c r="J26" s="321">
        <f t="shared" si="37"/>
        <v>79.430000000000007</v>
      </c>
      <c r="K26" s="321">
        <f t="shared" si="37"/>
        <v>35.65</v>
      </c>
      <c r="L26" s="321">
        <f t="shared" si="37"/>
        <v>38.67</v>
      </c>
      <c r="M26" s="321">
        <f t="shared" si="37"/>
        <v>57.65</v>
      </c>
      <c r="N26" s="321">
        <f t="shared" si="37"/>
        <v>40.340000000000003</v>
      </c>
      <c r="O26" s="321">
        <f t="shared" si="37"/>
        <v>38.42</v>
      </c>
      <c r="P26" s="321">
        <f t="shared" si="37"/>
        <v>38.700000000000003</v>
      </c>
      <c r="Q26" s="321">
        <f t="shared" si="37"/>
        <v>41.9</v>
      </c>
      <c r="R26" s="321">
        <f t="shared" si="37"/>
        <v>29.82</v>
      </c>
      <c r="S26" s="321">
        <f t="shared" si="37"/>
        <v>2.68</v>
      </c>
      <c r="T26" s="321">
        <f t="shared" si="37"/>
        <v>2.37</v>
      </c>
      <c r="U26" s="321">
        <f t="shared" si="37"/>
        <v>3.97</v>
      </c>
      <c r="V26" s="321">
        <f t="shared" si="37"/>
        <v>0.82</v>
      </c>
      <c r="W26" s="321">
        <f t="shared" si="37"/>
        <v>8</v>
      </c>
      <c r="X26" s="321">
        <f t="shared" ref="X26:AY26" si="38">IF(X$2="-",0,(IF(X74="","",(IF(X$4&lt;$A26,X74,(X74-X$3)/(1+X$3%))))))</f>
        <v>20.75</v>
      </c>
      <c r="Y26" s="321">
        <f t="shared" si="38"/>
        <v>9.66</v>
      </c>
      <c r="Z26" s="321">
        <f t="shared" si="38"/>
        <v>33.799999999999997</v>
      </c>
      <c r="AA26" s="321">
        <f t="shared" si="38"/>
        <v>26.58</v>
      </c>
      <c r="AB26" s="321">
        <f t="shared" si="38"/>
        <v>59.45</v>
      </c>
      <c r="AC26" s="321">
        <f t="shared" si="38"/>
        <v>37.01</v>
      </c>
      <c r="AD26" s="321">
        <f t="shared" si="38"/>
        <v>30.08</v>
      </c>
      <c r="AE26" s="321">
        <f t="shared" si="38"/>
        <v>1.64</v>
      </c>
      <c r="AF26" s="321">
        <f t="shared" si="38"/>
        <v>4.46</v>
      </c>
      <c r="AG26" s="321">
        <f t="shared" si="38"/>
        <v>5.21</v>
      </c>
      <c r="AH26" s="321">
        <f t="shared" si="38"/>
        <v>17.2</v>
      </c>
      <c r="AI26" s="321">
        <f t="shared" si="38"/>
        <v>2.38</v>
      </c>
      <c r="AJ26" s="321">
        <f t="shared" si="38"/>
        <v>39.938142272772623</v>
      </c>
      <c r="AK26" s="321">
        <f t="shared" si="38"/>
        <v>37.593534869799463</v>
      </c>
      <c r="AL26" s="321">
        <f t="shared" si="38"/>
        <v>43.43</v>
      </c>
      <c r="AM26" s="321">
        <f t="shared" si="38"/>
        <v>16.59</v>
      </c>
      <c r="AN26" s="321">
        <f t="shared" si="38"/>
        <v>4.2</v>
      </c>
      <c r="AO26" s="321">
        <f t="shared" si="38"/>
        <v>19.123161730956365</v>
      </c>
      <c r="AP26" s="321">
        <f t="shared" si="38"/>
        <v>57.37</v>
      </c>
      <c r="AQ26" s="321" t="str">
        <f t="shared" si="38"/>
        <v/>
      </c>
      <c r="AR26" s="321" t="str">
        <f t="shared" si="38"/>
        <v/>
      </c>
      <c r="AS26" s="321" t="str">
        <f t="shared" si="38"/>
        <v/>
      </c>
      <c r="AT26" s="321" t="str">
        <f t="shared" si="38"/>
        <v/>
      </c>
      <c r="AU26" s="321" t="str">
        <f t="shared" si="38"/>
        <v/>
      </c>
      <c r="AV26" s="321" t="str">
        <f t="shared" si="38"/>
        <v/>
      </c>
      <c r="AW26" s="321" t="str">
        <f t="shared" si="38"/>
        <v/>
      </c>
      <c r="AX26" s="321" t="str">
        <f t="shared" si="38"/>
        <v/>
      </c>
      <c r="AY26" s="321" t="str">
        <f t="shared" si="38"/>
        <v/>
      </c>
      <c r="AZ26" s="321">
        <v>1.8794914317302513</v>
      </c>
      <c r="BB26" s="47"/>
      <c r="BC26" s="47"/>
    </row>
    <row r="27" spans="1:55">
      <c r="A27" s="58">
        <f t="shared" si="2"/>
        <v>2004</v>
      </c>
      <c r="B27" s="321">
        <f t="shared" ref="B27:W27" si="39">IF(B$2="-","",(IF(B75="","",(IF(B$4&lt;$A27,B75,(B75-B$3)/(1+B$3%))))))</f>
        <v>12.52</v>
      </c>
      <c r="C27" s="321">
        <f t="shared" si="39"/>
        <v>15.29</v>
      </c>
      <c r="D27" s="321">
        <f t="shared" si="39"/>
        <v>10.74</v>
      </c>
      <c r="E27" s="321">
        <f t="shared" si="39"/>
        <v>7.2</v>
      </c>
      <c r="F27" s="321">
        <f t="shared" si="39"/>
        <v>20.350000000000001</v>
      </c>
      <c r="G27" s="321">
        <f t="shared" si="39"/>
        <v>23.55</v>
      </c>
      <c r="H27" s="321">
        <f t="shared" si="39"/>
        <v>19.899999999999999</v>
      </c>
      <c r="I27" s="321">
        <f t="shared" si="39"/>
        <v>16.059999999999999</v>
      </c>
      <c r="J27" s="321">
        <f t="shared" si="39"/>
        <v>20.12</v>
      </c>
      <c r="K27" s="321">
        <f t="shared" si="39"/>
        <v>30.76</v>
      </c>
      <c r="L27" s="321">
        <f t="shared" si="39"/>
        <v>20.25</v>
      </c>
      <c r="M27" s="321">
        <f t="shared" si="39"/>
        <v>26.12</v>
      </c>
      <c r="N27" s="321">
        <f t="shared" si="39"/>
        <v>20.84</v>
      </c>
      <c r="O27" s="321">
        <f t="shared" si="39"/>
        <v>18.829999999999998</v>
      </c>
      <c r="P27" s="321">
        <f t="shared" si="39"/>
        <v>20.86</v>
      </c>
      <c r="Q27" s="321">
        <f t="shared" si="39"/>
        <v>19.77</v>
      </c>
      <c r="R27" s="321">
        <f t="shared" si="39"/>
        <v>16.36</v>
      </c>
      <c r="S27" s="321">
        <f t="shared" si="39"/>
        <v>7.12</v>
      </c>
      <c r="T27" s="321">
        <f t="shared" si="39"/>
        <v>3.4</v>
      </c>
      <c r="U27" s="321">
        <f t="shared" si="39"/>
        <v>4.24</v>
      </c>
      <c r="V27" s="321">
        <f t="shared" si="39"/>
        <v>1</v>
      </c>
      <c r="W27" s="321">
        <f t="shared" si="39"/>
        <v>8.27</v>
      </c>
      <c r="X27" s="321">
        <f t="shared" ref="X27:AY27" si="40">IF(X$2="-",0,(IF(X75="","",(IF(X$4&lt;$A27,X75,(X75-X$3)/(1+X$3%))))))</f>
        <v>11.17</v>
      </c>
      <c r="Y27" s="321">
        <f t="shared" si="40"/>
        <v>7.57</v>
      </c>
      <c r="Z27" s="321">
        <f t="shared" si="40"/>
        <v>36.65</v>
      </c>
      <c r="AA27" s="321">
        <f t="shared" si="40"/>
        <v>9.51</v>
      </c>
      <c r="AB27" s="321">
        <f t="shared" si="40"/>
        <v>8.09</v>
      </c>
      <c r="AC27" s="321">
        <f t="shared" si="40"/>
        <v>13.38</v>
      </c>
      <c r="AD27" s="321">
        <f t="shared" si="40"/>
        <v>18.309999999999999</v>
      </c>
      <c r="AE27" s="321">
        <f t="shared" si="40"/>
        <v>1.1200000000000001</v>
      </c>
      <c r="AF27" s="321">
        <f t="shared" si="40"/>
        <v>3.23</v>
      </c>
      <c r="AG27" s="321">
        <f t="shared" si="40"/>
        <v>4.12</v>
      </c>
      <c r="AH27" s="321">
        <f t="shared" si="40"/>
        <v>8.52</v>
      </c>
      <c r="AI27" s="321">
        <f t="shared" si="40"/>
        <v>1.03</v>
      </c>
      <c r="AJ27" s="321">
        <f t="shared" si="40"/>
        <v>13.558814726129901</v>
      </c>
      <c r="AK27" s="321">
        <f t="shared" si="40"/>
        <v>26.878180185573182</v>
      </c>
      <c r="AL27" s="321">
        <f t="shared" si="40"/>
        <v>18.71</v>
      </c>
      <c r="AM27" s="321">
        <f t="shared" si="40"/>
        <v>11.56</v>
      </c>
      <c r="AN27" s="321">
        <f t="shared" si="40"/>
        <v>2.11</v>
      </c>
      <c r="AO27" s="321">
        <f t="shared" si="40"/>
        <v>4.4827313263502333</v>
      </c>
      <c r="AP27" s="321">
        <f t="shared" si="40"/>
        <v>31.77</v>
      </c>
      <c r="AQ27" s="321" t="str">
        <f t="shared" si="40"/>
        <v/>
      </c>
      <c r="AR27" s="321" t="str">
        <f t="shared" si="40"/>
        <v/>
      </c>
      <c r="AS27" s="321" t="str">
        <f t="shared" si="40"/>
        <v/>
      </c>
      <c r="AT27" s="321" t="str">
        <f t="shared" si="40"/>
        <v/>
      </c>
      <c r="AU27" s="321" t="str">
        <f t="shared" si="40"/>
        <v/>
      </c>
      <c r="AV27" s="321" t="str">
        <f t="shared" si="40"/>
        <v/>
      </c>
      <c r="AW27" s="321" t="str">
        <f t="shared" si="40"/>
        <v/>
      </c>
      <c r="AX27" s="321" t="str">
        <f t="shared" si="40"/>
        <v/>
      </c>
      <c r="AY27" s="321" t="str">
        <f t="shared" si="40"/>
        <v/>
      </c>
      <c r="AZ27" s="321">
        <v>3.255561584373301</v>
      </c>
      <c r="BB27" s="47"/>
      <c r="BC27" s="47"/>
    </row>
    <row r="28" spans="1:55">
      <c r="A28" s="58">
        <f t="shared" si="2"/>
        <v>2005</v>
      </c>
      <c r="B28" s="321">
        <f t="shared" ref="B28:W28" si="41">IF(B$2="-","",(IF(B76="","",(IF(B$4&lt;$A28,B76,(B76-B$3)/(1+B$3%))))))</f>
        <v>5.98</v>
      </c>
      <c r="C28" s="321">
        <f t="shared" si="41"/>
        <v>7.09</v>
      </c>
      <c r="D28" s="321">
        <f t="shared" si="41"/>
        <v>4.7699999999999996</v>
      </c>
      <c r="E28" s="321">
        <f t="shared" si="41"/>
        <v>5.09</v>
      </c>
      <c r="F28" s="321">
        <f t="shared" si="41"/>
        <v>13.93</v>
      </c>
      <c r="G28" s="321">
        <f t="shared" si="41"/>
        <v>6.07</v>
      </c>
      <c r="H28" s="321">
        <f t="shared" si="41"/>
        <v>7.36</v>
      </c>
      <c r="I28" s="321">
        <f t="shared" si="41"/>
        <v>8.64</v>
      </c>
      <c r="J28" s="321">
        <f t="shared" si="41"/>
        <v>4.08</v>
      </c>
      <c r="K28" s="321">
        <f t="shared" si="41"/>
        <v>11.89</v>
      </c>
      <c r="L28" s="321">
        <f t="shared" si="41"/>
        <v>13.600000000000001</v>
      </c>
      <c r="M28" s="321">
        <f t="shared" si="41"/>
        <v>32.049999999999997</v>
      </c>
      <c r="N28" s="321">
        <f t="shared" si="41"/>
        <v>15.57</v>
      </c>
      <c r="O28" s="321">
        <f t="shared" si="41"/>
        <v>22.59</v>
      </c>
      <c r="P28" s="321">
        <f t="shared" si="41"/>
        <v>9.26</v>
      </c>
      <c r="Q28" s="321">
        <f t="shared" si="41"/>
        <v>17.96</v>
      </c>
      <c r="R28" s="321">
        <f t="shared" si="41"/>
        <v>20.5</v>
      </c>
      <c r="S28" s="321">
        <f t="shared" si="41"/>
        <v>6.61</v>
      </c>
      <c r="T28" s="321">
        <f t="shared" si="41"/>
        <v>2.3199999999999998</v>
      </c>
      <c r="U28" s="321">
        <f t="shared" si="41"/>
        <v>2.4</v>
      </c>
      <c r="V28" s="321">
        <f t="shared" si="41"/>
        <v>2.77</v>
      </c>
      <c r="W28" s="321">
        <f t="shared" si="41"/>
        <v>2.59</v>
      </c>
      <c r="X28" s="321">
        <f t="shared" ref="X28:AY28" si="42">IF(X$2="-",0,(IF(X76="","",(IF(X$4&lt;$A28,X76,(X76-X$3)/(1+X$3%))))))</f>
        <v>6.82</v>
      </c>
      <c r="Y28" s="321">
        <f t="shared" si="42"/>
        <v>3.48</v>
      </c>
      <c r="Z28" s="321">
        <f t="shared" si="42"/>
        <v>44.6</v>
      </c>
      <c r="AA28" s="321">
        <f t="shared" si="42"/>
        <v>15.41</v>
      </c>
      <c r="AB28" s="321">
        <f t="shared" si="42"/>
        <v>43.79</v>
      </c>
      <c r="AC28" s="321">
        <f t="shared" si="42"/>
        <v>4.99</v>
      </c>
      <c r="AD28" s="321">
        <f t="shared" si="42"/>
        <v>7.01</v>
      </c>
      <c r="AE28" s="321">
        <f t="shared" si="42"/>
        <v>1.65</v>
      </c>
      <c r="AF28" s="321">
        <f t="shared" si="42"/>
        <v>2.2400000000000002</v>
      </c>
      <c r="AG28" s="321">
        <f t="shared" si="42"/>
        <v>3.07</v>
      </c>
      <c r="AH28" s="321">
        <f t="shared" si="42"/>
        <v>2.77</v>
      </c>
      <c r="AI28" s="321">
        <f t="shared" si="42"/>
        <v>1.77</v>
      </c>
      <c r="AJ28" s="321">
        <f t="shared" si="42"/>
        <v>14.756061059563004</v>
      </c>
      <c r="AK28" s="321">
        <f t="shared" si="42"/>
        <v>12.591040606604809</v>
      </c>
      <c r="AL28" s="321">
        <f t="shared" si="42"/>
        <v>10.29</v>
      </c>
      <c r="AM28" s="321">
        <f t="shared" si="42"/>
        <v>-6.36</v>
      </c>
      <c r="AN28" s="321">
        <f t="shared" si="42"/>
        <v>2.2000000000000002</v>
      </c>
      <c r="AO28" s="321">
        <f t="shared" si="42"/>
        <v>18.04</v>
      </c>
      <c r="AP28" s="321">
        <f t="shared" si="42"/>
        <v>20.49</v>
      </c>
      <c r="AQ28" s="321" t="str">
        <f t="shared" si="42"/>
        <v/>
      </c>
      <c r="AR28" s="321" t="str">
        <f t="shared" si="42"/>
        <v/>
      </c>
      <c r="AS28" s="321" t="str">
        <f t="shared" si="42"/>
        <v/>
      </c>
      <c r="AT28" s="321" t="str">
        <f t="shared" si="42"/>
        <v/>
      </c>
      <c r="AU28" s="321" t="str">
        <f t="shared" si="42"/>
        <v/>
      </c>
      <c r="AV28" s="321" t="str">
        <f t="shared" si="42"/>
        <v/>
      </c>
      <c r="AW28" s="321" t="str">
        <f t="shared" si="42"/>
        <v/>
      </c>
      <c r="AX28" s="321" t="str">
        <f t="shared" si="42"/>
        <v/>
      </c>
      <c r="AY28" s="321" t="str">
        <f t="shared" si="42"/>
        <v/>
      </c>
      <c r="AZ28" s="321">
        <v>3.4156594850236477</v>
      </c>
      <c r="BB28" s="47"/>
      <c r="BC28" s="47"/>
    </row>
    <row r="29" spans="1:55">
      <c r="A29" s="58">
        <f t="shared" si="2"/>
        <v>2006</v>
      </c>
      <c r="B29" s="321">
        <f t="shared" ref="B29:W29" si="43">IF(B$2="-","",(IF(B77="","",(IF(B$4&lt;$A29,B77,(B77-B$3)/(1+B$3%))))))</f>
        <v>15.51</v>
      </c>
      <c r="C29" s="321">
        <f t="shared" si="43"/>
        <v>22.15</v>
      </c>
      <c r="D29" s="321">
        <f t="shared" si="43"/>
        <v>15.64</v>
      </c>
      <c r="E29" s="321">
        <f t="shared" si="43"/>
        <v>9.01</v>
      </c>
      <c r="F29" s="321">
        <f t="shared" si="43"/>
        <v>13.6</v>
      </c>
      <c r="G29" s="321">
        <f t="shared" si="43"/>
        <v>19.239999999999998</v>
      </c>
      <c r="H29" s="321">
        <f t="shared" si="43"/>
        <v>15.64</v>
      </c>
      <c r="I29" s="321">
        <f t="shared" si="43"/>
        <v>11.94</v>
      </c>
      <c r="J29" s="321">
        <f t="shared" si="43"/>
        <v>11.48</v>
      </c>
      <c r="K29" s="321">
        <f t="shared" si="43"/>
        <v>35.07</v>
      </c>
      <c r="L29" s="321">
        <f t="shared" si="43"/>
        <v>26.27</v>
      </c>
      <c r="M29" s="321">
        <f t="shared" si="43"/>
        <v>29.39</v>
      </c>
      <c r="N29" s="321">
        <f t="shared" si="43"/>
        <v>26.64</v>
      </c>
      <c r="O29" s="321">
        <f t="shared" si="43"/>
        <v>11.99</v>
      </c>
      <c r="P29" s="321">
        <f t="shared" si="43"/>
        <v>33.42</v>
      </c>
      <c r="Q29" s="321">
        <f t="shared" si="43"/>
        <v>27.37</v>
      </c>
      <c r="R29" s="321">
        <f t="shared" si="43"/>
        <v>-3.04</v>
      </c>
      <c r="S29" s="321">
        <f t="shared" si="43"/>
        <v>1.74</v>
      </c>
      <c r="T29" s="321">
        <f t="shared" si="43"/>
        <v>3.14</v>
      </c>
      <c r="U29" s="321">
        <f t="shared" si="43"/>
        <v>4.2699999999999996</v>
      </c>
      <c r="V29" s="321">
        <f t="shared" si="43"/>
        <v>4.55</v>
      </c>
      <c r="W29" s="321">
        <f t="shared" si="43"/>
        <v>0.43</v>
      </c>
      <c r="X29" s="321">
        <f t="shared" ref="X29:AY29" si="44">IF(X$2="-",0,(IF(X77="","",(IF(X$4&lt;$A29,X77,(X77-X$3)/(1+X$3%))))))</f>
        <v>14.97</v>
      </c>
      <c r="Y29" s="321">
        <f t="shared" si="44"/>
        <v>11.28</v>
      </c>
      <c r="Z29" s="321">
        <f t="shared" si="44"/>
        <v>19.66</v>
      </c>
      <c r="AA29" s="321">
        <f t="shared" si="44"/>
        <v>10.87</v>
      </c>
      <c r="AB29" s="321">
        <f t="shared" si="44"/>
        <v>34.299999999999997</v>
      </c>
      <c r="AC29" s="321">
        <f t="shared" si="44"/>
        <v>19.350000000000001</v>
      </c>
      <c r="AD29" s="321">
        <f t="shared" si="44"/>
        <v>18.25</v>
      </c>
      <c r="AE29" s="321">
        <f t="shared" si="44"/>
        <v>3.26</v>
      </c>
      <c r="AF29" s="321">
        <f t="shared" si="44"/>
        <v>4.43</v>
      </c>
      <c r="AG29" s="321">
        <f t="shared" si="44"/>
        <v>5.16</v>
      </c>
      <c r="AH29" s="321">
        <f t="shared" si="44"/>
        <v>8.24</v>
      </c>
      <c r="AI29" s="321">
        <f t="shared" si="44"/>
        <v>3.77</v>
      </c>
      <c r="AJ29" s="321">
        <f t="shared" si="44"/>
        <v>9.418337823007084</v>
      </c>
      <c r="AK29" s="321">
        <f t="shared" si="44"/>
        <v>17.549635837573582</v>
      </c>
      <c r="AL29" s="321">
        <f t="shared" si="44"/>
        <v>14.27</v>
      </c>
      <c r="AM29" s="321">
        <f t="shared" si="44"/>
        <v>5.85</v>
      </c>
      <c r="AN29" s="321">
        <f t="shared" si="44"/>
        <v>4.99</v>
      </c>
      <c r="AO29" s="321">
        <f t="shared" si="44"/>
        <v>22.17</v>
      </c>
      <c r="AP29" s="321">
        <f t="shared" si="44"/>
        <v>30.34</v>
      </c>
      <c r="AQ29" s="321" t="str">
        <f t="shared" si="44"/>
        <v/>
      </c>
      <c r="AR29" s="321" t="str">
        <f t="shared" si="44"/>
        <v/>
      </c>
      <c r="AS29" s="321" t="str">
        <f t="shared" si="44"/>
        <v/>
      </c>
      <c r="AT29" s="321" t="str">
        <f t="shared" si="44"/>
        <v/>
      </c>
      <c r="AU29" s="321" t="str">
        <f t="shared" si="44"/>
        <v/>
      </c>
      <c r="AV29" s="321" t="str">
        <f t="shared" si="44"/>
        <v/>
      </c>
      <c r="AW29" s="321" t="str">
        <f t="shared" si="44"/>
        <v/>
      </c>
      <c r="AX29" s="321" t="str">
        <f t="shared" si="44"/>
        <v/>
      </c>
      <c r="AY29" s="321" t="str">
        <f t="shared" si="44"/>
        <v/>
      </c>
      <c r="AZ29" s="321">
        <v>2.5406504065040636</v>
      </c>
      <c r="BB29" s="47"/>
      <c r="BC29" s="47"/>
    </row>
    <row r="30" spans="1:55">
      <c r="A30" s="58">
        <f t="shared" si="2"/>
        <v>2007</v>
      </c>
      <c r="B30" s="321">
        <f t="shared" ref="B30:W30" si="45">IF(B$2="-","",(IF(B78="","",(IF(B$4&lt;$A30,B78,(B78-B$3)/(1+B$3%))))))</f>
        <v>5.49</v>
      </c>
      <c r="C30" s="321">
        <f t="shared" si="45"/>
        <v>0.09</v>
      </c>
      <c r="D30" s="321">
        <f t="shared" si="45"/>
        <v>5.39</v>
      </c>
      <c r="E30" s="321">
        <f t="shared" si="45"/>
        <v>12.56</v>
      </c>
      <c r="F30" s="321">
        <f t="shared" si="45"/>
        <v>6.02</v>
      </c>
      <c r="G30" s="321">
        <f t="shared" si="45"/>
        <v>-7.07</v>
      </c>
      <c r="H30" s="321">
        <f t="shared" si="45"/>
        <v>1.1599999999999999</v>
      </c>
      <c r="I30" s="321">
        <f t="shared" si="45"/>
        <v>9.6300000000000008</v>
      </c>
      <c r="J30" s="321">
        <f t="shared" si="45"/>
        <v>-5.4</v>
      </c>
      <c r="K30" s="321">
        <f t="shared" si="45"/>
        <v>-16.46</v>
      </c>
      <c r="L30" s="321">
        <f t="shared" si="45"/>
        <v>11.15</v>
      </c>
      <c r="M30" s="321">
        <f t="shared" si="45"/>
        <v>38.9</v>
      </c>
      <c r="N30" s="321">
        <f t="shared" si="45"/>
        <v>15.52</v>
      </c>
      <c r="O30" s="321">
        <f t="shared" si="45"/>
        <v>4.78</v>
      </c>
      <c r="P30" s="321">
        <f t="shared" si="45"/>
        <v>13.82</v>
      </c>
      <c r="Q30" s="321">
        <f t="shared" si="45"/>
        <v>12.66</v>
      </c>
      <c r="R30" s="321">
        <f t="shared" si="45"/>
        <v>23.8</v>
      </c>
      <c r="S30" s="321">
        <f t="shared" si="45"/>
        <v>9.24</v>
      </c>
      <c r="T30" s="321">
        <f t="shared" si="45"/>
        <v>9.98</v>
      </c>
      <c r="U30" s="321">
        <f t="shared" si="45"/>
        <v>6.92</v>
      </c>
      <c r="V30" s="321">
        <f t="shared" si="45"/>
        <v>4.6500000000000004</v>
      </c>
      <c r="W30" s="321">
        <f t="shared" si="45"/>
        <v>11.59</v>
      </c>
      <c r="X30" s="321">
        <f t="shared" ref="X30:AY30" si="46">IF(X$2="-",0,(IF(X78="","",(IF(X$4&lt;$A30,X78,(X78-X$3)/(1+X$3%))))))</f>
        <v>8.34</v>
      </c>
      <c r="Y30" s="321">
        <f t="shared" si="46"/>
        <v>5.61</v>
      </c>
      <c r="Z30" s="321">
        <f t="shared" si="46"/>
        <v>37</v>
      </c>
      <c r="AA30" s="321">
        <f t="shared" si="46"/>
        <v>4.42</v>
      </c>
      <c r="AB30" s="321">
        <f t="shared" si="46"/>
        <v>36.130000000000003</v>
      </c>
      <c r="AC30" s="321">
        <f t="shared" si="46"/>
        <v>-3.3</v>
      </c>
      <c r="AD30" s="321">
        <f t="shared" si="46"/>
        <v>2.23</v>
      </c>
      <c r="AE30" s="321">
        <f t="shared" si="46"/>
        <v>4.1900000000000004</v>
      </c>
      <c r="AF30" s="321">
        <f t="shared" si="46"/>
        <v>3.43</v>
      </c>
      <c r="AG30" s="321">
        <f t="shared" si="46"/>
        <v>2.54</v>
      </c>
      <c r="AH30" s="321">
        <f t="shared" si="46"/>
        <v>2.04</v>
      </c>
      <c r="AI30" s="321">
        <f t="shared" si="46"/>
        <v>7.89</v>
      </c>
      <c r="AJ30" s="321">
        <f t="shared" si="46"/>
        <v>17.030829093085902</v>
      </c>
      <c r="AK30" s="321">
        <f t="shared" si="46"/>
        <v>-4.589444278160232</v>
      </c>
      <c r="AL30" s="321">
        <f t="shared" si="46"/>
        <v>4.33</v>
      </c>
      <c r="AM30" s="321">
        <f t="shared" si="46"/>
        <v>9.26</v>
      </c>
      <c r="AN30" s="321">
        <f t="shared" si="46"/>
        <v>5.86</v>
      </c>
      <c r="AO30" s="321">
        <f t="shared" si="46"/>
        <v>30.56</v>
      </c>
      <c r="AP30" s="321">
        <f t="shared" si="46"/>
        <v>5.15</v>
      </c>
      <c r="AQ30" s="321" t="str">
        <f t="shared" si="46"/>
        <v/>
      </c>
      <c r="AR30" s="321" t="str">
        <f t="shared" si="46"/>
        <v/>
      </c>
      <c r="AS30" s="321" t="str">
        <f t="shared" si="46"/>
        <v/>
      </c>
      <c r="AT30" s="321" t="str">
        <f t="shared" si="46"/>
        <v/>
      </c>
      <c r="AU30" s="321" t="str">
        <f t="shared" si="46"/>
        <v/>
      </c>
      <c r="AV30" s="321" t="str">
        <f t="shared" si="46"/>
        <v/>
      </c>
      <c r="AW30" s="321" t="str">
        <f t="shared" si="46"/>
        <v/>
      </c>
      <c r="AX30" s="321" t="str">
        <f t="shared" si="46"/>
        <v/>
      </c>
      <c r="AY30" s="321" t="str">
        <f t="shared" si="46"/>
        <v/>
      </c>
      <c r="AZ30" s="321">
        <v>4.0812685827551931</v>
      </c>
      <c r="BB30" s="47"/>
      <c r="BC30" s="47"/>
    </row>
    <row r="31" spans="1:55">
      <c r="A31" s="58">
        <f t="shared" si="2"/>
        <v>2008</v>
      </c>
      <c r="B31" s="321">
        <f t="shared" ref="B31:W31" si="47">IF(B$2="-","",(IF(B79="","",(IF(B$4&lt;$A31,B79,(B79-B$3)/(1+B$3%))))))</f>
        <v>-37.04</v>
      </c>
      <c r="C31" s="321">
        <f t="shared" si="47"/>
        <v>-35.97</v>
      </c>
      <c r="D31" s="321">
        <f t="shared" si="47"/>
        <v>-37.020000000000003</v>
      </c>
      <c r="E31" s="321">
        <f t="shared" si="47"/>
        <v>-38.32</v>
      </c>
      <c r="F31" s="321">
        <f t="shared" si="47"/>
        <v>-41.82</v>
      </c>
      <c r="G31" s="321">
        <f t="shared" si="47"/>
        <v>-32.049999999999997</v>
      </c>
      <c r="H31" s="321">
        <f t="shared" si="47"/>
        <v>-36.07</v>
      </c>
      <c r="I31" s="321">
        <f t="shared" si="47"/>
        <v>-40</v>
      </c>
      <c r="J31" s="321">
        <f t="shared" si="47"/>
        <v>-39.49</v>
      </c>
      <c r="K31" s="321">
        <f t="shared" si="47"/>
        <v>-37.049999999999997</v>
      </c>
      <c r="L31" s="321">
        <f t="shared" si="47"/>
        <v>-41.27</v>
      </c>
      <c r="M31" s="321">
        <f t="shared" si="47"/>
        <v>-52.81</v>
      </c>
      <c r="N31" s="321">
        <f t="shared" si="47"/>
        <v>-44.1</v>
      </c>
      <c r="O31" s="321">
        <f t="shared" si="47"/>
        <v>-34.36</v>
      </c>
      <c r="P31" s="321">
        <f t="shared" si="47"/>
        <v>-44.73</v>
      </c>
      <c r="Q31" s="321">
        <f t="shared" si="47"/>
        <v>-41.74</v>
      </c>
      <c r="R31" s="321">
        <f t="shared" si="47"/>
        <v>-43.33</v>
      </c>
      <c r="S31" s="321">
        <f t="shared" si="47"/>
        <v>22.52</v>
      </c>
      <c r="T31" s="321">
        <f t="shared" si="47"/>
        <v>13.32</v>
      </c>
      <c r="U31" s="321">
        <f t="shared" si="47"/>
        <v>5.05</v>
      </c>
      <c r="V31" s="321">
        <f t="shared" si="47"/>
        <v>1.97</v>
      </c>
      <c r="W31" s="321">
        <f t="shared" si="47"/>
        <v>-2.85</v>
      </c>
      <c r="X31" s="321">
        <f t="shared" ref="X31:AY31" si="48">IF(X$2="-",0,(IF(X79="","",(IF(X$4&lt;$A31,X79,(X79-X$3)/(1+X$3%))))))</f>
        <v>-22.3</v>
      </c>
      <c r="Y31" s="321">
        <f t="shared" si="48"/>
        <v>-9.84</v>
      </c>
      <c r="Z31" s="321">
        <f t="shared" si="48"/>
        <v>-42.87</v>
      </c>
      <c r="AA31" s="321">
        <f t="shared" si="48"/>
        <v>-18.45</v>
      </c>
      <c r="AB31" s="321">
        <f t="shared" si="48"/>
        <v>-56.02</v>
      </c>
      <c r="AC31" s="321">
        <f t="shared" si="48"/>
        <v>-41.1</v>
      </c>
      <c r="AD31" s="321">
        <f t="shared" si="48"/>
        <v>-36.700000000000003</v>
      </c>
      <c r="AE31" s="321">
        <f t="shared" si="48"/>
        <v>3.74</v>
      </c>
      <c r="AF31" s="321">
        <f t="shared" si="48"/>
        <v>-0.14000000000000001</v>
      </c>
      <c r="AG31" s="321">
        <f t="shared" si="48"/>
        <v>-4.87</v>
      </c>
      <c r="AH31" s="321">
        <f t="shared" si="48"/>
        <v>-21.29</v>
      </c>
      <c r="AI31" s="321">
        <f t="shared" si="48"/>
        <v>6.68</v>
      </c>
      <c r="AJ31" s="321">
        <f t="shared" si="48"/>
        <v>-47.07</v>
      </c>
      <c r="AK31" s="321">
        <f t="shared" si="48"/>
        <v>-36.64</v>
      </c>
      <c r="AL31" s="321">
        <f t="shared" si="48"/>
        <v>-38.729999999999997</v>
      </c>
      <c r="AM31" s="321">
        <f t="shared" si="48"/>
        <v>-2.67</v>
      </c>
      <c r="AN31" s="321">
        <f t="shared" si="48"/>
        <v>-4.74</v>
      </c>
      <c r="AO31" s="321">
        <f t="shared" si="48"/>
        <v>4.96</v>
      </c>
      <c r="AP31" s="321">
        <f t="shared" si="48"/>
        <v>-46.62</v>
      </c>
      <c r="AQ31" s="321" t="str">
        <f t="shared" si="48"/>
        <v/>
      </c>
      <c r="AR31" s="321" t="str">
        <f t="shared" si="48"/>
        <v/>
      </c>
      <c r="AS31" s="321" t="str">
        <f t="shared" si="48"/>
        <v/>
      </c>
      <c r="AT31" s="321" t="str">
        <f t="shared" si="48"/>
        <v/>
      </c>
      <c r="AU31" s="321" t="str">
        <f t="shared" si="48"/>
        <v/>
      </c>
      <c r="AV31" s="321" t="str">
        <f t="shared" si="48"/>
        <v/>
      </c>
      <c r="AW31" s="321" t="str">
        <f t="shared" si="48"/>
        <v/>
      </c>
      <c r="AX31" s="321" t="str">
        <f t="shared" si="48"/>
        <v/>
      </c>
      <c r="AY31" s="321" t="str">
        <f t="shared" si="48"/>
        <v/>
      </c>
      <c r="AZ31" s="321">
        <v>9.1412900645604367E-2</v>
      </c>
      <c r="BB31" s="47"/>
      <c r="BC31" s="47"/>
    </row>
    <row r="32" spans="1:55">
      <c r="A32" s="58">
        <f t="shared" si="2"/>
        <v>2009</v>
      </c>
      <c r="B32" s="321">
        <f t="shared" ref="B32:W32" si="49">IF(B$2="-","",(IF(B80="","",(IF(B$4&lt;$A32,B80,(B80-B$3)/(1+B$3%))))))</f>
        <v>28.7</v>
      </c>
      <c r="C32" s="321">
        <f t="shared" si="49"/>
        <v>19.579999999999998</v>
      </c>
      <c r="D32" s="321">
        <f t="shared" si="49"/>
        <v>26.49</v>
      </c>
      <c r="E32" s="321">
        <f t="shared" si="49"/>
        <v>36.29</v>
      </c>
      <c r="F32" s="321">
        <f t="shared" si="49"/>
        <v>40.22</v>
      </c>
      <c r="G32" s="321">
        <f t="shared" si="49"/>
        <v>30.34</v>
      </c>
      <c r="H32" s="321">
        <f t="shared" si="49"/>
        <v>36.119999999999997</v>
      </c>
      <c r="I32" s="321">
        <f t="shared" si="49"/>
        <v>41.85</v>
      </c>
      <c r="J32" s="321">
        <f t="shared" si="49"/>
        <v>25.95</v>
      </c>
      <c r="K32" s="321">
        <f t="shared" si="49"/>
        <v>29.58</v>
      </c>
      <c r="L32" s="321">
        <f t="shared" si="49"/>
        <v>28.27</v>
      </c>
      <c r="M32" s="321">
        <f t="shared" si="49"/>
        <v>75.98</v>
      </c>
      <c r="N32" s="321">
        <f t="shared" si="49"/>
        <v>36.729999999999997</v>
      </c>
      <c r="O32" s="321">
        <f t="shared" si="49"/>
        <v>21.18</v>
      </c>
      <c r="P32" s="321">
        <f t="shared" si="49"/>
        <v>31.91</v>
      </c>
      <c r="Q32" s="321">
        <f t="shared" si="49"/>
        <v>33.770000000000003</v>
      </c>
      <c r="R32" s="321">
        <f t="shared" si="49"/>
        <v>39.92</v>
      </c>
      <c r="S32" s="321">
        <f t="shared" si="49"/>
        <v>-12.05</v>
      </c>
      <c r="T32" s="321">
        <f t="shared" si="49"/>
        <v>-1.69</v>
      </c>
      <c r="U32" s="321">
        <f t="shared" si="49"/>
        <v>5.93</v>
      </c>
      <c r="V32" s="321">
        <f t="shared" si="49"/>
        <v>0.53</v>
      </c>
      <c r="W32" s="321">
        <f t="shared" si="49"/>
        <v>10.8</v>
      </c>
      <c r="X32" s="321">
        <f t="shared" ref="X32:AY32" si="50">IF(X$2="-",0,(IF(X80="","",(IF(X$4&lt;$A32,X80,(X80-X$3)/(1+X$3%))))))</f>
        <v>22.2</v>
      </c>
      <c r="Y32" s="321">
        <f t="shared" si="50"/>
        <v>16.02</v>
      </c>
      <c r="Z32" s="321">
        <f t="shared" si="50"/>
        <v>38.36</v>
      </c>
      <c r="AA32" s="321">
        <f t="shared" si="50"/>
        <v>20.96</v>
      </c>
      <c r="AB32" s="321">
        <f t="shared" si="50"/>
        <v>76.459999999999994</v>
      </c>
      <c r="AC32" s="321">
        <f t="shared" si="50"/>
        <v>34.69</v>
      </c>
      <c r="AD32" s="321">
        <f t="shared" si="50"/>
        <v>27.05</v>
      </c>
      <c r="AE32" s="321">
        <f t="shared" si="50"/>
        <v>3.07</v>
      </c>
      <c r="AF32" s="321">
        <f t="shared" si="50"/>
        <v>10.220000000000001</v>
      </c>
      <c r="AG32" s="321">
        <f t="shared" si="50"/>
        <v>14.08</v>
      </c>
      <c r="AH32" s="321">
        <f t="shared" si="50"/>
        <v>20.13</v>
      </c>
      <c r="AI32" s="321">
        <f t="shared" si="50"/>
        <v>1.44</v>
      </c>
      <c r="AJ32" s="321">
        <f t="shared" si="50"/>
        <v>42.54</v>
      </c>
      <c r="AK32" s="321">
        <f t="shared" si="50"/>
        <v>37.61</v>
      </c>
      <c r="AL32" s="321">
        <f t="shared" si="50"/>
        <v>37.43</v>
      </c>
      <c r="AM32" s="321">
        <f t="shared" si="50"/>
        <v>17.170000000000002</v>
      </c>
      <c r="AN32" s="321">
        <f t="shared" si="50"/>
        <v>14.03</v>
      </c>
      <c r="AO32" s="321">
        <f t="shared" si="50"/>
        <v>23.99</v>
      </c>
      <c r="AP32" s="321">
        <f t="shared" si="50"/>
        <v>47.12</v>
      </c>
      <c r="AQ32" s="321" t="str">
        <f t="shared" si="50"/>
        <v/>
      </c>
      <c r="AR32" s="321" t="str">
        <f t="shared" si="50"/>
        <v/>
      </c>
      <c r="AS32" s="321" t="str">
        <f t="shared" si="50"/>
        <v/>
      </c>
      <c r="AT32" s="321" t="str">
        <f t="shared" si="50"/>
        <v/>
      </c>
      <c r="AU32" s="321" t="str">
        <f t="shared" si="50"/>
        <v/>
      </c>
      <c r="AV32" s="321" t="str">
        <f t="shared" si="50"/>
        <v/>
      </c>
      <c r="AW32" s="321" t="str">
        <f t="shared" si="50"/>
        <v/>
      </c>
      <c r="AX32" s="321" t="str">
        <f t="shared" si="50"/>
        <v/>
      </c>
      <c r="AY32" s="321" t="str">
        <f t="shared" si="50"/>
        <v/>
      </c>
      <c r="AZ32" s="321">
        <v>2.7213311262058282</v>
      </c>
      <c r="BB32" s="47"/>
      <c r="BC32" s="47"/>
    </row>
    <row r="33" spans="1:55">
      <c r="A33" s="58">
        <f t="shared" si="2"/>
        <v>2010</v>
      </c>
      <c r="B33" s="321">
        <f t="shared" ref="B33:W33" si="51">IF(B$2="-","",(IF(B81="","",(IF(B$4&lt;$A33,B81,(B81-B$3)/(1+B$3%))))))</f>
        <v>17.09</v>
      </c>
      <c r="C33" s="321">
        <f t="shared" si="51"/>
        <v>14.28</v>
      </c>
      <c r="D33" s="321">
        <f t="shared" si="51"/>
        <v>14.91</v>
      </c>
      <c r="E33" s="321">
        <f t="shared" si="51"/>
        <v>16.96</v>
      </c>
      <c r="F33" s="321">
        <f t="shared" si="51"/>
        <v>25.46</v>
      </c>
      <c r="G33" s="321">
        <f t="shared" si="51"/>
        <v>24.82</v>
      </c>
      <c r="H33" s="321">
        <f t="shared" si="51"/>
        <v>27.72</v>
      </c>
      <c r="I33" s="321">
        <f t="shared" si="51"/>
        <v>30.69</v>
      </c>
      <c r="J33" s="321">
        <f t="shared" si="51"/>
        <v>24.86</v>
      </c>
      <c r="K33" s="321">
        <f t="shared" si="51"/>
        <v>28.3</v>
      </c>
      <c r="L33" s="321">
        <f t="shared" si="51"/>
        <v>8.36</v>
      </c>
      <c r="M33" s="321">
        <f t="shared" si="51"/>
        <v>18.86</v>
      </c>
      <c r="N33" s="321">
        <f t="shared" si="51"/>
        <v>11.12</v>
      </c>
      <c r="O33" s="321">
        <f t="shared" si="51"/>
        <v>15.77</v>
      </c>
      <c r="P33" s="321">
        <f t="shared" si="51"/>
        <v>4.91</v>
      </c>
      <c r="Q33" s="321">
        <f t="shared" si="51"/>
        <v>7.31</v>
      </c>
      <c r="R33" s="321">
        <f t="shared" si="51"/>
        <v>24.13</v>
      </c>
      <c r="S33" s="321">
        <f t="shared" si="51"/>
        <v>8.93</v>
      </c>
      <c r="T33" s="321">
        <f t="shared" si="51"/>
        <v>7.35</v>
      </c>
      <c r="U33" s="321">
        <f t="shared" si="51"/>
        <v>6.42</v>
      </c>
      <c r="V33" s="321">
        <f t="shared" si="51"/>
        <v>0.01</v>
      </c>
      <c r="W33" s="321">
        <f t="shared" si="51"/>
        <v>6.17</v>
      </c>
      <c r="X33" s="321">
        <f t="shared" ref="X33:AY33" si="52">IF(X$2="-",0,(IF(X81="","",(IF(X$4&lt;$A33,X81,(X81-X$3)/(1+X$3%))))))</f>
        <v>10.94</v>
      </c>
      <c r="Y33" s="321">
        <f t="shared" si="52"/>
        <v>10.65</v>
      </c>
      <c r="Z33" s="321">
        <f t="shared" si="52"/>
        <v>13.43</v>
      </c>
      <c r="AA33" s="321">
        <f t="shared" si="52"/>
        <v>6.16</v>
      </c>
      <c r="AB33" s="321">
        <f t="shared" si="52"/>
        <v>37.450000000000003</v>
      </c>
      <c r="AC33" s="321">
        <f t="shared" si="52"/>
        <v>14.82</v>
      </c>
      <c r="AD33" s="321">
        <f t="shared" si="52"/>
        <v>10.62</v>
      </c>
      <c r="AE33" s="321">
        <f t="shared" si="52"/>
        <v>0.95</v>
      </c>
      <c r="AF33" s="321">
        <f t="shared" si="52"/>
        <v>2.13</v>
      </c>
      <c r="AG33" s="321">
        <f t="shared" si="52"/>
        <v>1.5</v>
      </c>
      <c r="AH33" s="321">
        <f t="shared" si="52"/>
        <v>12.4</v>
      </c>
      <c r="AI33" s="321">
        <f t="shared" si="52"/>
        <v>2.64</v>
      </c>
      <c r="AJ33" s="321">
        <f t="shared" si="52"/>
        <v>28.93</v>
      </c>
      <c r="AK33" s="321">
        <f t="shared" si="52"/>
        <v>21.63</v>
      </c>
      <c r="AL33" s="321">
        <f t="shared" si="52"/>
        <v>27.37</v>
      </c>
      <c r="AM33" s="321">
        <f t="shared" si="52"/>
        <v>11.24</v>
      </c>
      <c r="AN33" s="321">
        <f t="shared" si="52"/>
        <v>5.21</v>
      </c>
      <c r="AO33" s="321">
        <f t="shared" si="52"/>
        <v>29.27</v>
      </c>
      <c r="AP33" s="321">
        <f t="shared" si="52"/>
        <v>24.97</v>
      </c>
      <c r="AQ33" s="321" t="str">
        <f t="shared" si="52"/>
        <v/>
      </c>
      <c r="AR33" s="321" t="str">
        <f t="shared" si="52"/>
        <v/>
      </c>
      <c r="AS33" s="321" t="str">
        <f t="shared" si="52"/>
        <v/>
      </c>
      <c r="AT33" s="321" t="str">
        <f t="shared" si="52"/>
        <v/>
      </c>
      <c r="AU33" s="321" t="str">
        <f t="shared" si="52"/>
        <v/>
      </c>
      <c r="AV33" s="321" t="str">
        <f t="shared" si="52"/>
        <v/>
      </c>
      <c r="AW33" s="321" t="str">
        <f t="shared" si="52"/>
        <v/>
      </c>
      <c r="AX33" s="321" t="str">
        <f t="shared" si="52"/>
        <v/>
      </c>
      <c r="AY33" s="321" t="str">
        <f t="shared" si="52"/>
        <v/>
      </c>
      <c r="AZ33" s="321">
        <v>1.4957235273143077</v>
      </c>
      <c r="BB33" s="47"/>
      <c r="BC33" s="47"/>
    </row>
    <row r="34" spans="1:55">
      <c r="A34" s="58">
        <f t="shared" si="2"/>
        <v>2011</v>
      </c>
      <c r="B34" s="321">
        <f t="shared" ref="B34:W34" si="53">IF(B$2="-","",(IF(B82="","",(IF(B$4&lt;$A34,B82,(B82-B$3)/(1+B$3%))))))</f>
        <v>0.96</v>
      </c>
      <c r="C34" s="321">
        <f t="shared" si="53"/>
        <v>1</v>
      </c>
      <c r="D34" s="321">
        <f t="shared" si="53"/>
        <v>1.97</v>
      </c>
      <c r="E34" s="321">
        <f t="shared" si="53"/>
        <v>1.71</v>
      </c>
      <c r="F34" s="321">
        <f t="shared" si="53"/>
        <v>-2.11</v>
      </c>
      <c r="G34" s="321">
        <f t="shared" si="53"/>
        <v>-4.16</v>
      </c>
      <c r="H34" s="321">
        <f t="shared" si="53"/>
        <v>-2.8</v>
      </c>
      <c r="I34" s="321">
        <f t="shared" si="53"/>
        <v>-1.58</v>
      </c>
      <c r="J34" s="321">
        <f t="shared" si="53"/>
        <v>-7.86</v>
      </c>
      <c r="K34" s="321">
        <f t="shared" si="53"/>
        <v>8.4700000000000006</v>
      </c>
      <c r="L34" s="321">
        <f t="shared" si="53"/>
        <v>-12.509999999999998</v>
      </c>
      <c r="M34" s="321">
        <f t="shared" si="53"/>
        <v>-19.18</v>
      </c>
      <c r="N34" s="321">
        <f t="shared" si="53"/>
        <v>-14.56</v>
      </c>
      <c r="O34" s="321">
        <f t="shared" si="53"/>
        <v>-14</v>
      </c>
      <c r="P34" s="321">
        <f t="shared" si="53"/>
        <v>-11.6</v>
      </c>
      <c r="Q34" s="321">
        <f t="shared" si="53"/>
        <v>-14.58</v>
      </c>
      <c r="R34" s="321">
        <f t="shared" si="53"/>
        <v>-7.56</v>
      </c>
      <c r="S34" s="321">
        <f t="shared" si="53"/>
        <v>29.28</v>
      </c>
      <c r="T34" s="321">
        <f t="shared" si="53"/>
        <v>9.8000000000000007</v>
      </c>
      <c r="U34" s="321">
        <f t="shared" si="53"/>
        <v>7.56</v>
      </c>
      <c r="V34" s="321">
        <f t="shared" si="53"/>
        <v>0.02</v>
      </c>
      <c r="W34" s="321">
        <f t="shared" si="53"/>
        <v>13.24</v>
      </c>
      <c r="X34" s="321">
        <f t="shared" ref="X34:AY34" si="54">IF(X$2="-",0,(IF(X82="","",(IF(X$4&lt;$A34,X82,(X82-X$3)/(1+X$3%))))))</f>
        <v>3.85</v>
      </c>
      <c r="Y34" s="321">
        <f t="shared" si="54"/>
        <v>9.6300000000000008</v>
      </c>
      <c r="Z34" s="321">
        <f t="shared" si="54"/>
        <v>-1.74</v>
      </c>
      <c r="AA34" s="321">
        <f t="shared" si="54"/>
        <v>11.45</v>
      </c>
      <c r="AB34" s="321">
        <f t="shared" si="54"/>
        <v>-21.7</v>
      </c>
      <c r="AC34" s="321">
        <f t="shared" si="54"/>
        <v>-4</v>
      </c>
      <c r="AD34" s="321">
        <f t="shared" si="54"/>
        <v>2.7</v>
      </c>
      <c r="AE34" s="321">
        <f t="shared" si="54"/>
        <v>1.6</v>
      </c>
      <c r="AF34" s="321">
        <f t="shared" si="54"/>
        <v>9.6199999999999992</v>
      </c>
      <c r="AG34" s="321">
        <f t="shared" si="54"/>
        <v>10.69</v>
      </c>
      <c r="AH34" s="321">
        <f t="shared" si="54"/>
        <v>7.13</v>
      </c>
      <c r="AI34" s="321">
        <f t="shared" si="54"/>
        <v>2.2599999999999998</v>
      </c>
      <c r="AJ34" s="321">
        <f t="shared" si="54"/>
        <v>-3.84</v>
      </c>
      <c r="AK34" s="321">
        <f t="shared" si="54"/>
        <v>-0.44</v>
      </c>
      <c r="AL34" s="321">
        <f t="shared" si="54"/>
        <v>-3.73</v>
      </c>
      <c r="AM34" s="321">
        <f t="shared" si="54"/>
        <v>9.1999999999999993</v>
      </c>
      <c r="AN34" s="321">
        <f t="shared" si="54"/>
        <v>1.93</v>
      </c>
      <c r="AO34" s="321">
        <f t="shared" si="54"/>
        <v>9.57</v>
      </c>
      <c r="AP34" s="321">
        <f t="shared" si="54"/>
        <v>-19.09</v>
      </c>
      <c r="AQ34" s="321" t="str">
        <f t="shared" si="54"/>
        <v/>
      </c>
      <c r="AR34" s="321" t="str">
        <f t="shared" si="54"/>
        <v/>
      </c>
      <c r="AS34" s="321" t="str">
        <f t="shared" si="54"/>
        <v/>
      </c>
      <c r="AT34" s="321" t="str">
        <f t="shared" si="54"/>
        <v/>
      </c>
      <c r="AU34" s="321" t="str">
        <f t="shared" si="54"/>
        <v/>
      </c>
      <c r="AV34" s="321" t="str">
        <f t="shared" si="54"/>
        <v/>
      </c>
      <c r="AW34" s="321" t="str">
        <f t="shared" si="54"/>
        <v/>
      </c>
      <c r="AX34" s="321" t="str">
        <f t="shared" si="54"/>
        <v/>
      </c>
      <c r="AY34" s="321" t="str">
        <f t="shared" si="54"/>
        <v/>
      </c>
      <c r="AZ34" s="321">
        <v>2.9624188448710953</v>
      </c>
      <c r="BB34" s="47"/>
      <c r="BC34" s="47"/>
    </row>
    <row r="35" spans="1:55">
      <c r="A35" s="58">
        <f t="shared" si="2"/>
        <v>2012</v>
      </c>
      <c r="B35" s="321">
        <f t="shared" ref="B35:W35" si="55">IF(B$2="-","",(IF(B83="","",(IF(B$4&lt;$A35,B83,(B83-B$3)/(1+B$3%))))))</f>
        <v>16.25</v>
      </c>
      <c r="C35" s="321">
        <f t="shared" si="55"/>
        <v>15</v>
      </c>
      <c r="D35" s="321">
        <f t="shared" si="55"/>
        <v>15.82</v>
      </c>
      <c r="E35" s="321">
        <f t="shared" si="55"/>
        <v>16.89</v>
      </c>
      <c r="F35" s="321">
        <f t="shared" si="55"/>
        <v>15.8</v>
      </c>
      <c r="G35" s="321">
        <f t="shared" si="55"/>
        <v>18.559999999999999</v>
      </c>
      <c r="H35" s="321">
        <f t="shared" si="55"/>
        <v>18.04</v>
      </c>
      <c r="I35" s="321">
        <f t="shared" si="55"/>
        <v>17.52</v>
      </c>
      <c r="J35" s="321">
        <f t="shared" si="55"/>
        <v>19.829999999999998</v>
      </c>
      <c r="K35" s="321">
        <f t="shared" si="55"/>
        <v>17.53</v>
      </c>
      <c r="L35" s="321">
        <f t="shared" si="55"/>
        <v>18.559999999999999</v>
      </c>
      <c r="M35" s="321">
        <f t="shared" si="55"/>
        <v>18.64</v>
      </c>
      <c r="N35" s="321">
        <f t="shared" si="55"/>
        <v>18.14</v>
      </c>
      <c r="O35" s="321">
        <f t="shared" si="55"/>
        <v>15.49</v>
      </c>
      <c r="P35" s="321">
        <f t="shared" si="55"/>
        <v>20.8</v>
      </c>
      <c r="Q35" s="321">
        <f t="shared" si="55"/>
        <v>20.18</v>
      </c>
      <c r="R35" s="321">
        <f t="shared" si="55"/>
        <v>5.31</v>
      </c>
      <c r="S35" s="321">
        <f t="shared" si="55"/>
        <v>3.47</v>
      </c>
      <c r="T35" s="321">
        <f t="shared" si="55"/>
        <v>2.67</v>
      </c>
      <c r="U35" s="321">
        <f t="shared" si="55"/>
        <v>4.05</v>
      </c>
      <c r="V35" s="321">
        <f t="shared" si="55"/>
        <v>0.02</v>
      </c>
      <c r="W35" s="321">
        <f t="shared" si="55"/>
        <v>6.78</v>
      </c>
      <c r="X35" s="321">
        <f t="shared" ref="X35:AY35" si="56">IF(X$2="-",0,(IF(X83="","",(IF(X$4&lt;$A35,X83,(X83-X$3)/(1+X$3%))))))</f>
        <v>12.57</v>
      </c>
      <c r="Y35" s="321">
        <f t="shared" si="56"/>
        <v>10.06</v>
      </c>
      <c r="Z35" s="321">
        <f t="shared" si="56"/>
        <v>2.67</v>
      </c>
      <c r="AA35" s="321">
        <f t="shared" si="56"/>
        <v>15.11</v>
      </c>
      <c r="AB35" s="321">
        <f t="shared" si="56"/>
        <v>-12.98</v>
      </c>
      <c r="AC35" s="321">
        <f t="shared" si="56"/>
        <v>20.78</v>
      </c>
      <c r="AD35" s="321">
        <f t="shared" si="56"/>
        <v>16.72</v>
      </c>
      <c r="AE35" s="321">
        <f t="shared" si="56"/>
        <v>0.99</v>
      </c>
      <c r="AF35" s="321">
        <f t="shared" si="56"/>
        <v>5.7</v>
      </c>
      <c r="AG35" s="321">
        <f t="shared" si="56"/>
        <v>8.08</v>
      </c>
      <c r="AH35" s="321">
        <f t="shared" si="56"/>
        <v>14.36</v>
      </c>
      <c r="AI35" s="321">
        <f t="shared" si="56"/>
        <v>0.69</v>
      </c>
      <c r="AJ35" s="321">
        <f t="shared" si="56"/>
        <v>15.81</v>
      </c>
      <c r="AK35" s="321">
        <f t="shared" si="56"/>
        <v>15.91</v>
      </c>
      <c r="AL35" s="321">
        <f t="shared" si="56"/>
        <v>18.309999999999999</v>
      </c>
      <c r="AM35" s="321">
        <f t="shared" si="56"/>
        <v>7.42</v>
      </c>
      <c r="AN35" s="321">
        <f t="shared" si="56"/>
        <v>4.5199999999999996</v>
      </c>
      <c r="AO35" s="321">
        <f t="shared" si="56"/>
        <v>6.6</v>
      </c>
      <c r="AP35" s="321">
        <f t="shared" si="56"/>
        <v>18.89</v>
      </c>
      <c r="AQ35" s="321" t="str">
        <f t="shared" si="56"/>
        <v/>
      </c>
      <c r="AR35" s="321" t="str">
        <f t="shared" si="56"/>
        <v/>
      </c>
      <c r="AS35" s="321" t="str">
        <f t="shared" si="56"/>
        <v/>
      </c>
      <c r="AT35" s="321" t="str">
        <f t="shared" si="56"/>
        <v/>
      </c>
      <c r="AU35" s="321" t="str">
        <f t="shared" si="56"/>
        <v/>
      </c>
      <c r="AV35" s="321" t="str">
        <f t="shared" si="56"/>
        <v/>
      </c>
      <c r="AW35" s="321" t="str">
        <f t="shared" si="56"/>
        <v/>
      </c>
      <c r="AX35" s="321" t="str">
        <f t="shared" si="56"/>
        <v/>
      </c>
      <c r="AY35" s="321" t="str">
        <f t="shared" si="56"/>
        <v/>
      </c>
      <c r="AZ35" s="321">
        <v>1.7410223687475579</v>
      </c>
      <c r="BB35" s="47"/>
      <c r="BC35" s="47"/>
    </row>
    <row r="36" spans="1:55">
      <c r="A36" s="58">
        <f t="shared" si="2"/>
        <v>2013</v>
      </c>
      <c r="B36" s="321">
        <f t="shared" ref="B36:W36" si="57">IF(B$2="-","",(IF(B84="","",(IF(B$4&lt;$A36,B84,(B84-B$3)/(1+B$3%))))))</f>
        <v>33.35</v>
      </c>
      <c r="C36" s="321">
        <f t="shared" si="57"/>
        <v>32.85</v>
      </c>
      <c r="D36" s="321">
        <f t="shared" si="57"/>
        <v>32.18</v>
      </c>
      <c r="E36" s="321">
        <f t="shared" si="57"/>
        <v>32.159999999999997</v>
      </c>
      <c r="F36" s="321">
        <f t="shared" si="57"/>
        <v>35</v>
      </c>
      <c r="G36" s="321">
        <f t="shared" si="57"/>
        <v>36.409999999999997</v>
      </c>
      <c r="H36" s="321">
        <f t="shared" si="57"/>
        <v>37.619999999999997</v>
      </c>
      <c r="I36" s="321">
        <f t="shared" si="57"/>
        <v>37.979999999999997</v>
      </c>
      <c r="J36" s="321">
        <f t="shared" si="57"/>
        <v>50.91</v>
      </c>
      <c r="K36" s="321">
        <f t="shared" si="57"/>
        <v>2.31</v>
      </c>
      <c r="L36" s="321">
        <f t="shared" si="57"/>
        <v>22.06</v>
      </c>
      <c r="M36" s="321">
        <f t="shared" si="57"/>
        <v>-5.19</v>
      </c>
      <c r="N36" s="321">
        <f t="shared" si="57"/>
        <v>15.04</v>
      </c>
      <c r="O36" s="321">
        <f t="shared" si="57"/>
        <v>17.36</v>
      </c>
      <c r="P36" s="321">
        <f t="shared" si="57"/>
        <v>24.7</v>
      </c>
      <c r="Q36" s="321">
        <f t="shared" si="57"/>
        <v>22.15</v>
      </c>
      <c r="R36" s="321">
        <f t="shared" si="57"/>
        <v>-14.81</v>
      </c>
      <c r="S36" s="321">
        <f t="shared" si="57"/>
        <v>-13.03</v>
      </c>
      <c r="T36" s="321">
        <f t="shared" si="57"/>
        <v>-3.09</v>
      </c>
      <c r="U36" s="321">
        <f t="shared" si="57"/>
        <v>-2.2599999999999998</v>
      </c>
      <c r="V36" s="321">
        <f t="shared" si="57"/>
        <v>0.01</v>
      </c>
      <c r="W36" s="321">
        <f t="shared" si="57"/>
        <v>-8.92</v>
      </c>
      <c r="X36" s="321">
        <f t="shared" ref="X36:AY36" si="58">IF(X$2="-",0,(IF(X84="","",(IF(X$4&lt;$A36,X84,(X84-X$3)/(1+X$3%))))))</f>
        <v>19.66</v>
      </c>
      <c r="Y36" s="321">
        <f t="shared" si="58"/>
        <v>9.19</v>
      </c>
      <c r="Z36" s="321">
        <f t="shared" si="58"/>
        <v>18.14</v>
      </c>
      <c r="AA36" s="321">
        <f t="shared" si="58"/>
        <v>43.19</v>
      </c>
      <c r="AB36" s="321">
        <f t="shared" si="58"/>
        <v>-35.130000000000003</v>
      </c>
      <c r="AC36" s="321">
        <f t="shared" si="58"/>
        <v>36.08</v>
      </c>
      <c r="AD36" s="321">
        <f t="shared" si="58"/>
        <v>30.69</v>
      </c>
      <c r="AE36" s="321">
        <f t="shared" si="58"/>
        <v>0.48</v>
      </c>
      <c r="AF36" s="321">
        <f t="shared" si="58"/>
        <v>-1.56</v>
      </c>
      <c r="AG36" s="321">
        <f t="shared" si="58"/>
        <v>-2.95</v>
      </c>
      <c r="AH36" s="321">
        <f t="shared" si="58"/>
        <v>4.54</v>
      </c>
      <c r="AI36" s="321">
        <f t="shared" si="58"/>
        <v>-0.1</v>
      </c>
      <c r="AJ36" s="321">
        <f t="shared" si="58"/>
        <v>32.020000000000003</v>
      </c>
      <c r="AK36" s="321">
        <f t="shared" si="58"/>
        <v>37.42</v>
      </c>
      <c r="AL36" s="321">
        <f t="shared" si="58"/>
        <v>38.19</v>
      </c>
      <c r="AM36" s="321">
        <f t="shared" si="58"/>
        <v>-5.04</v>
      </c>
      <c r="AN36" s="321">
        <f t="shared" si="58"/>
        <v>0.97</v>
      </c>
      <c r="AO36" s="321">
        <f t="shared" si="58"/>
        <v>-28.33</v>
      </c>
      <c r="AP36" s="321">
        <f t="shared" si="58"/>
        <v>17.440000000000001</v>
      </c>
      <c r="AQ36" s="321" t="str">
        <f t="shared" si="58"/>
        <v/>
      </c>
      <c r="AR36" s="321" t="str">
        <f t="shared" si="58"/>
        <v/>
      </c>
      <c r="AS36" s="321" t="str">
        <f t="shared" si="58"/>
        <v/>
      </c>
      <c r="AT36" s="321" t="str">
        <f t="shared" si="58"/>
        <v/>
      </c>
      <c r="AU36" s="321" t="str">
        <f t="shared" si="58"/>
        <v/>
      </c>
      <c r="AV36" s="321" t="str">
        <f t="shared" si="58"/>
        <v/>
      </c>
      <c r="AW36" s="321" t="str">
        <f t="shared" si="58"/>
        <v/>
      </c>
      <c r="AX36" s="321" t="str">
        <f t="shared" si="58"/>
        <v/>
      </c>
      <c r="AY36" s="321" t="str">
        <f t="shared" si="58"/>
        <v/>
      </c>
      <c r="AZ36" s="321">
        <v>1.501735619618394</v>
      </c>
      <c r="BB36" s="47"/>
      <c r="BC36" s="47"/>
    </row>
    <row r="37" spans="1:55">
      <c r="A37" s="58">
        <f t="shared" si="2"/>
        <v>2014</v>
      </c>
      <c r="B37" s="321">
        <f t="shared" ref="B37:W37" si="59">IF(B$2="-","",(IF(B85="","",(IF(B$4&lt;$A37,B85,(B85-B$3)/(1+B$3%))))))</f>
        <v>12.43</v>
      </c>
      <c r="C37" s="321">
        <f t="shared" si="59"/>
        <v>13.05</v>
      </c>
      <c r="D37" s="321">
        <f t="shared" si="59"/>
        <v>13.51</v>
      </c>
      <c r="E37" s="321">
        <f t="shared" si="59"/>
        <v>13.47</v>
      </c>
      <c r="F37" s="321">
        <f t="shared" si="59"/>
        <v>13.6</v>
      </c>
      <c r="G37" s="321">
        <f t="shared" si="59"/>
        <v>10.39</v>
      </c>
      <c r="H37" s="321">
        <f t="shared" si="59"/>
        <v>7.37</v>
      </c>
      <c r="I37" s="321">
        <f t="shared" si="59"/>
        <v>3.88</v>
      </c>
      <c r="J37" s="321">
        <f t="shared" si="59"/>
        <v>4.6100000000000003</v>
      </c>
      <c r="K37" s="321">
        <f t="shared" si="59"/>
        <v>30.13</v>
      </c>
      <c r="L37" s="321">
        <f t="shared" si="59"/>
        <v>-5.66</v>
      </c>
      <c r="M37" s="321">
        <f t="shared" si="59"/>
        <v>0.42</v>
      </c>
      <c r="N37" s="321">
        <f t="shared" si="59"/>
        <v>-4.24</v>
      </c>
      <c r="O37" s="321">
        <f t="shared" si="59"/>
        <v>-4.6900000000000004</v>
      </c>
      <c r="P37" s="321">
        <f t="shared" si="59"/>
        <v>-6.67</v>
      </c>
      <c r="Q37" s="321">
        <f t="shared" si="59"/>
        <v>-6.69</v>
      </c>
      <c r="R37" s="321">
        <f t="shared" si="59"/>
        <v>-18.059999999999999</v>
      </c>
      <c r="S37" s="321">
        <f t="shared" si="59"/>
        <v>25.27</v>
      </c>
      <c r="T37" s="321">
        <f t="shared" si="59"/>
        <v>4.32</v>
      </c>
      <c r="U37" s="321">
        <f t="shared" si="59"/>
        <v>5.76</v>
      </c>
      <c r="V37" s="321">
        <f t="shared" si="59"/>
        <v>0.01</v>
      </c>
      <c r="W37" s="321">
        <f t="shared" si="59"/>
        <v>3.83</v>
      </c>
      <c r="X37" s="321">
        <f t="shared" ref="X37:AY37" si="60">IF(X$2="-",0,(IF(X85="","",(IF(X$4&lt;$A37,X85,(X85-X$3)/(1+X$3%))))))</f>
        <v>9.82</v>
      </c>
      <c r="Y37" s="321">
        <f t="shared" si="60"/>
        <v>8.07</v>
      </c>
      <c r="Z37" s="321">
        <f t="shared" si="60"/>
        <v>-14.26</v>
      </c>
      <c r="AA37" s="321">
        <f t="shared" si="60"/>
        <v>28.52</v>
      </c>
      <c r="AB37" s="321">
        <f t="shared" si="60"/>
        <v>-11.41</v>
      </c>
      <c r="AC37" s="321">
        <f t="shared" si="60"/>
        <v>11.82</v>
      </c>
      <c r="AD37" s="321">
        <f t="shared" si="60"/>
        <v>11.16</v>
      </c>
      <c r="AE37" s="321">
        <f t="shared" si="60"/>
        <v>0.65</v>
      </c>
      <c r="AF37" s="321">
        <f t="shared" si="60"/>
        <v>7.25</v>
      </c>
      <c r="AG37" s="321">
        <f t="shared" si="60"/>
        <v>11.07</v>
      </c>
      <c r="AH37" s="321">
        <f t="shared" si="60"/>
        <v>4.58</v>
      </c>
      <c r="AI37" s="321">
        <f t="shared" si="60"/>
        <v>0.71</v>
      </c>
      <c r="AJ37" s="321">
        <f t="shared" si="60"/>
        <v>13.35</v>
      </c>
      <c r="AK37" s="321">
        <f t="shared" si="60"/>
        <v>13.84</v>
      </c>
      <c r="AL37" s="321">
        <f t="shared" si="60"/>
        <v>7.42</v>
      </c>
      <c r="AM37" s="321">
        <f t="shared" si="60"/>
        <v>2.37</v>
      </c>
      <c r="AN37" s="321">
        <f t="shared" si="60"/>
        <v>1.76</v>
      </c>
      <c r="AO37" s="321">
        <f t="shared" si="60"/>
        <v>-2.19</v>
      </c>
      <c r="AP37" s="321">
        <f t="shared" si="60"/>
        <v>-4.8099999999999996</v>
      </c>
      <c r="AQ37" s="321" t="str">
        <f t="shared" si="60"/>
        <v/>
      </c>
      <c r="AR37" s="321" t="str">
        <f t="shared" si="60"/>
        <v/>
      </c>
      <c r="AS37" s="321" t="str">
        <f t="shared" si="60"/>
        <v/>
      </c>
      <c r="AT37" s="321" t="str">
        <f t="shared" si="60"/>
        <v/>
      </c>
      <c r="AU37" s="321" t="str">
        <f t="shared" si="60"/>
        <v/>
      </c>
      <c r="AV37" s="321" t="str">
        <f t="shared" si="60"/>
        <v/>
      </c>
      <c r="AW37" s="321" t="str">
        <f t="shared" si="60"/>
        <v/>
      </c>
      <c r="AX37" s="321" t="str">
        <f t="shared" si="60"/>
        <v/>
      </c>
      <c r="AY37" s="321" t="str">
        <f t="shared" si="60"/>
        <v/>
      </c>
      <c r="AZ37" s="321">
        <v>0.7564932696557447</v>
      </c>
      <c r="BB37" s="47"/>
      <c r="BC37" s="47"/>
    </row>
    <row r="38" spans="1:55">
      <c r="A38" s="58">
        <f t="shared" si="2"/>
        <v>2015</v>
      </c>
      <c r="B38" s="321">
        <f t="shared" ref="B38:W38" si="61">IF(B$2="-","",(IF(B86="","",(IF(B$4&lt;$A38,B86,(B86-B$3)/(1+B$3%))))))</f>
        <v>0.28999999999999998</v>
      </c>
      <c r="C38" s="321">
        <f t="shared" si="61"/>
        <v>-1.03</v>
      </c>
      <c r="D38" s="321">
        <f t="shared" si="61"/>
        <v>1.25</v>
      </c>
      <c r="E38" s="321">
        <f t="shared" si="61"/>
        <v>3.17</v>
      </c>
      <c r="F38" s="321">
        <f t="shared" si="61"/>
        <v>-1.46</v>
      </c>
      <c r="G38" s="321">
        <f t="shared" si="61"/>
        <v>-4.78</v>
      </c>
      <c r="H38" s="321">
        <f t="shared" si="61"/>
        <v>-3.78</v>
      </c>
      <c r="I38" s="321">
        <f t="shared" si="61"/>
        <v>-2.64</v>
      </c>
      <c r="J38" s="321">
        <f t="shared" si="61"/>
        <v>-3.94</v>
      </c>
      <c r="K38" s="321">
        <f t="shared" si="61"/>
        <v>2.2200000000000002</v>
      </c>
      <c r="L38" s="321">
        <f t="shared" si="61"/>
        <v>-0.18</v>
      </c>
      <c r="M38" s="321">
        <f t="shared" si="61"/>
        <v>-15.51</v>
      </c>
      <c r="N38" s="321">
        <f t="shared" si="61"/>
        <v>-4.37</v>
      </c>
      <c r="O38" s="321">
        <f t="shared" si="61"/>
        <v>2.25</v>
      </c>
      <c r="P38" s="321">
        <f t="shared" si="61"/>
        <v>-2</v>
      </c>
      <c r="Q38" s="321">
        <f t="shared" si="61"/>
        <v>-6.44</v>
      </c>
      <c r="R38" s="321">
        <f t="shared" si="61"/>
        <v>-25.7</v>
      </c>
      <c r="S38" s="321">
        <f t="shared" si="61"/>
        <v>-1.54</v>
      </c>
      <c r="T38" s="321">
        <f t="shared" si="61"/>
        <v>1.5</v>
      </c>
      <c r="U38" s="321">
        <f t="shared" si="61"/>
        <v>0.3</v>
      </c>
      <c r="V38" s="321">
        <f t="shared" si="61"/>
        <v>0.02</v>
      </c>
      <c r="W38" s="321">
        <f t="shared" si="61"/>
        <v>-1.83</v>
      </c>
      <c r="X38" s="321">
        <f t="shared" ref="X38:AY38" si="62">IF(X$2="-",0,(IF(X86="","",(IF(X$4&lt;$A38,X86,(X86-X$3)/(1+X$3%))))))</f>
        <v>0.06</v>
      </c>
      <c r="Y38" s="321">
        <f t="shared" si="62"/>
        <v>1.28</v>
      </c>
      <c r="Z38" s="321">
        <f t="shared" si="62"/>
        <v>-21.48</v>
      </c>
      <c r="AA38" s="321">
        <f t="shared" si="62"/>
        <v>12.65</v>
      </c>
      <c r="AB38" s="321">
        <f t="shared" si="62"/>
        <v>-29.42</v>
      </c>
      <c r="AC38" s="321">
        <f t="shared" si="62"/>
        <v>-3.32</v>
      </c>
      <c r="AD38" s="321">
        <f t="shared" si="62"/>
        <v>-3.22</v>
      </c>
      <c r="AE38" s="321">
        <f t="shared" si="62"/>
        <v>0.45</v>
      </c>
      <c r="AF38" s="321">
        <f t="shared" si="62"/>
        <v>2.86</v>
      </c>
      <c r="AG38" s="321">
        <f t="shared" si="62"/>
        <v>3.97</v>
      </c>
      <c r="AH38" s="321">
        <f t="shared" si="62"/>
        <v>-1.39</v>
      </c>
      <c r="AI38" s="321">
        <f t="shared" si="62"/>
        <v>0.45</v>
      </c>
      <c r="AJ38" s="321">
        <f t="shared" si="62"/>
        <v>-1.1299999999999999</v>
      </c>
      <c r="AK38" s="321">
        <f t="shared" si="62"/>
        <v>-1.91</v>
      </c>
      <c r="AL38" s="321">
        <f t="shared" si="62"/>
        <v>-3.39</v>
      </c>
      <c r="AM38" s="321">
        <f t="shared" si="62"/>
        <v>-3.59</v>
      </c>
      <c r="AN38" s="321">
        <f t="shared" si="62"/>
        <v>1.03</v>
      </c>
      <c r="AO38" s="321">
        <f t="shared" si="62"/>
        <v>-10.67</v>
      </c>
      <c r="AP38" s="321">
        <f t="shared" si="62"/>
        <v>-0.32</v>
      </c>
      <c r="AQ38" s="321" t="str">
        <f t="shared" si="62"/>
        <v/>
      </c>
      <c r="AR38" s="321" t="str">
        <f t="shared" si="62"/>
        <v/>
      </c>
      <c r="AS38" s="321" t="str">
        <f t="shared" si="62"/>
        <v/>
      </c>
      <c r="AT38" s="321" t="str">
        <f t="shared" si="62"/>
        <v/>
      </c>
      <c r="AU38" s="321" t="str">
        <f t="shared" si="62"/>
        <v/>
      </c>
      <c r="AV38" s="321" t="str">
        <f t="shared" si="62"/>
        <v/>
      </c>
      <c r="AW38" s="321" t="str">
        <f t="shared" si="62"/>
        <v/>
      </c>
      <c r="AX38" s="321" t="str">
        <f t="shared" si="62"/>
        <v/>
      </c>
      <c r="AY38" s="321" t="str">
        <f t="shared" si="62"/>
        <v/>
      </c>
      <c r="AZ38" s="321">
        <v>0.72951978604158807</v>
      </c>
      <c r="BB38" s="47"/>
      <c r="BC38" s="47"/>
    </row>
    <row r="39" spans="1:55">
      <c r="A39" s="58">
        <f t="shared" si="2"/>
        <v>2016</v>
      </c>
      <c r="B39" s="321" t="str">
        <f t="shared" ref="B39:W39" si="63">IF(B$2="-","",(IF(B87="","",(IF(B$4&lt;$A39,B87,(B87-B$3)/(1+B$3%))))))</f>
        <v/>
      </c>
      <c r="C39" s="321" t="str">
        <f t="shared" si="63"/>
        <v/>
      </c>
      <c r="D39" s="321" t="str">
        <f t="shared" si="63"/>
        <v/>
      </c>
      <c r="E39" s="321" t="str">
        <f t="shared" si="63"/>
        <v/>
      </c>
      <c r="F39" s="321" t="str">
        <f t="shared" si="63"/>
        <v/>
      </c>
      <c r="G39" s="321" t="str">
        <f t="shared" si="63"/>
        <v/>
      </c>
      <c r="H39" s="321" t="str">
        <f t="shared" si="63"/>
        <v/>
      </c>
      <c r="I39" s="321" t="str">
        <f t="shared" si="63"/>
        <v/>
      </c>
      <c r="J39" s="321" t="str">
        <f t="shared" si="63"/>
        <v/>
      </c>
      <c r="K39" s="321" t="str">
        <f t="shared" si="63"/>
        <v/>
      </c>
      <c r="L39" s="321" t="str">
        <f t="shared" si="63"/>
        <v/>
      </c>
      <c r="M39" s="321" t="str">
        <f t="shared" si="63"/>
        <v/>
      </c>
      <c r="N39" s="321" t="str">
        <f t="shared" si="63"/>
        <v/>
      </c>
      <c r="O39" s="321" t="str">
        <f t="shared" si="63"/>
        <v/>
      </c>
      <c r="P39" s="321" t="str">
        <f t="shared" si="63"/>
        <v/>
      </c>
      <c r="Q39" s="321" t="str">
        <f t="shared" si="63"/>
        <v/>
      </c>
      <c r="R39" s="321" t="str">
        <f t="shared" si="63"/>
        <v/>
      </c>
      <c r="S39" s="321" t="str">
        <f t="shared" si="63"/>
        <v/>
      </c>
      <c r="T39" s="321" t="str">
        <f t="shared" si="63"/>
        <v/>
      </c>
      <c r="U39" s="321" t="str">
        <f t="shared" si="63"/>
        <v/>
      </c>
      <c r="V39" s="321" t="str">
        <f t="shared" si="63"/>
        <v/>
      </c>
      <c r="W39" s="321" t="str">
        <f t="shared" si="63"/>
        <v/>
      </c>
      <c r="X39" s="321" t="str">
        <f t="shared" ref="X39:AY39" si="64">IF(X$2="-",0,(IF(X87="","",(IF(X$4&lt;$A39,X87,(X87-X$3)/(1+X$3%))))))</f>
        <v/>
      </c>
      <c r="Y39" s="321" t="str">
        <f t="shared" si="64"/>
        <v/>
      </c>
      <c r="Z39" s="321" t="str">
        <f t="shared" si="64"/>
        <v/>
      </c>
      <c r="AA39" s="321" t="str">
        <f t="shared" si="64"/>
        <v/>
      </c>
      <c r="AB39" s="321" t="str">
        <f t="shared" si="64"/>
        <v/>
      </c>
      <c r="AC39" s="321" t="str">
        <f t="shared" si="64"/>
        <v/>
      </c>
      <c r="AD39" s="321" t="str">
        <f t="shared" si="64"/>
        <v/>
      </c>
      <c r="AE39" s="321" t="str">
        <f t="shared" si="64"/>
        <v/>
      </c>
      <c r="AF39" s="321" t="str">
        <f t="shared" si="64"/>
        <v/>
      </c>
      <c r="AG39" s="321" t="str">
        <f t="shared" si="64"/>
        <v/>
      </c>
      <c r="AH39" s="321" t="str">
        <f t="shared" si="64"/>
        <v/>
      </c>
      <c r="AI39" s="321" t="str">
        <f t="shared" si="64"/>
        <v/>
      </c>
      <c r="AJ39" s="321" t="str">
        <f t="shared" si="64"/>
        <v/>
      </c>
      <c r="AK39" s="321" t="str">
        <f t="shared" si="64"/>
        <v/>
      </c>
      <c r="AL39" s="321" t="str">
        <f t="shared" si="64"/>
        <v/>
      </c>
      <c r="AM39" s="321" t="str">
        <f t="shared" si="64"/>
        <v/>
      </c>
      <c r="AN39" s="321" t="str">
        <f t="shared" si="64"/>
        <v/>
      </c>
      <c r="AO39" s="321" t="str">
        <f t="shared" si="64"/>
        <v/>
      </c>
      <c r="AP39" s="321" t="str">
        <f t="shared" si="64"/>
        <v/>
      </c>
      <c r="AQ39" s="321" t="str">
        <f t="shared" si="64"/>
        <v/>
      </c>
      <c r="AR39" s="321" t="str">
        <f t="shared" si="64"/>
        <v/>
      </c>
      <c r="AS39" s="321" t="str">
        <f t="shared" si="64"/>
        <v/>
      </c>
      <c r="AT39" s="321" t="str">
        <f t="shared" si="64"/>
        <v/>
      </c>
      <c r="AU39" s="321" t="str">
        <f t="shared" si="64"/>
        <v/>
      </c>
      <c r="AV39" s="321" t="str">
        <f t="shared" si="64"/>
        <v/>
      </c>
      <c r="AW39" s="321" t="str">
        <f t="shared" si="64"/>
        <v/>
      </c>
      <c r="AX39" s="321" t="str">
        <f t="shared" si="64"/>
        <v/>
      </c>
      <c r="AY39" s="321" t="str">
        <f t="shared" si="64"/>
        <v/>
      </c>
      <c r="AZ39" s="321" t="str">
        <f>IF(AZ$2="-","",(IF(AZ87="","",(IF(AZ$4&lt;$A39,AZ87,(AZ87-AZ$3)/(1+AZ$3%))))))</f>
        <v/>
      </c>
      <c r="BB39" s="47"/>
      <c r="BC39" s="47"/>
    </row>
    <row r="40" spans="1:55" s="57" customFormat="1">
      <c r="A40" s="53"/>
      <c r="B40" s="353"/>
      <c r="C40" s="353"/>
      <c r="D40" s="353"/>
      <c r="E40" s="353"/>
      <c r="F40" s="353"/>
      <c r="G40" s="353"/>
      <c r="H40" s="353"/>
      <c r="I40" s="353"/>
      <c r="J40" s="353"/>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c r="AJ40" s="353"/>
      <c r="AK40" s="353"/>
      <c r="AL40" s="353"/>
      <c r="AM40" s="353"/>
      <c r="AN40" s="353"/>
      <c r="AO40" s="353"/>
      <c r="AP40" s="353"/>
      <c r="AQ40" s="353"/>
      <c r="AR40" s="353"/>
      <c r="AS40" s="353"/>
      <c r="AT40" s="353"/>
      <c r="AU40" s="353"/>
      <c r="AV40" s="353"/>
      <c r="AW40" s="353"/>
      <c r="AX40" s="353"/>
      <c r="AY40" s="353"/>
      <c r="AZ40" s="353"/>
      <c r="BB40" s="47"/>
      <c r="BC40" s="47"/>
    </row>
    <row r="41" spans="1:55" s="36" customFormat="1">
      <c r="A41" s="354"/>
      <c r="B41" s="355" t="str">
        <f>IF(Data_85_15!B2="","",Data_85_15!B2)</f>
        <v>VTSMX</v>
      </c>
      <c r="C41" s="355" t="str">
        <f>IF(Data_85_15!C2="","",Data_85_15!C2)</f>
        <v>VIVAX</v>
      </c>
      <c r="D41" s="355" t="str">
        <f>IF(Data_85_15!D2="","",Data_85_15!D2)</f>
        <v>VFINX</v>
      </c>
      <c r="E41" s="355" t="str">
        <f>IF(Data_85_15!E2="","",Data_85_15!E2)</f>
        <v>VIGRX</v>
      </c>
      <c r="F41" s="355" t="str">
        <f>IF(Data_85_15!F2="","",Data_85_15!F2)</f>
        <v>VIMSX</v>
      </c>
      <c r="G41" s="355" t="str">
        <f>IF(Data_85_15!G2="","",Data_85_15!G2)</f>
        <v>VISVX</v>
      </c>
      <c r="H41" s="355" t="str">
        <f>IF(Data_85_15!H2="","",Data_85_15!H2)</f>
        <v>NAESX</v>
      </c>
      <c r="I41" s="355" t="str">
        <f>IF(Data_85_15!I2="","",Data_85_15!I2)</f>
        <v>VISGX</v>
      </c>
      <c r="J41" s="355" t="str">
        <f>IF(Data_85_15!J2="","",Data_85_15!J2)</f>
        <v>BRSIX</v>
      </c>
      <c r="K41" s="355" t="str">
        <f>IF(Data_85_15!K2="","",Data_85_15!K2)</f>
        <v>VGSIX</v>
      </c>
      <c r="L41" s="355" t="str">
        <f>IF(Data_85_15!L2="","",Data_85_15!L2)</f>
        <v>VTMGX</v>
      </c>
      <c r="M41" s="355" t="str">
        <f>IF(Data_85_15!M2="","",Data_85_15!M2)</f>
        <v>VEIEX</v>
      </c>
      <c r="N41" s="355" t="str">
        <f>IF(Data_85_15!N2="","",Data_85_15!N2)</f>
        <v>VGTSX</v>
      </c>
      <c r="O41" s="355" t="str">
        <f>IF(Data_85_15!O2="","",Data_85_15!O2)</f>
        <v>VPACX</v>
      </c>
      <c r="P41" s="355" t="str">
        <f>IF(Data_85_15!P2="","",Data_85_15!P2)</f>
        <v>VEURX</v>
      </c>
      <c r="Q41" s="355" t="str">
        <f>IF(Data_85_15!Q2="","",Data_85_15!Q2)</f>
        <v>VTRIX</v>
      </c>
      <c r="R41" s="355" t="str">
        <f>IF(Data_85_15!R2="","",Data_85_15!R2)</f>
        <v>PCRIX</v>
      </c>
      <c r="S41" s="355" t="str">
        <f>IF(Data_85_15!S2="","",Data_85_15!S2)</f>
        <v>VUSTX</v>
      </c>
      <c r="T41" s="355" t="str">
        <f>IF(Data_85_15!T2="","",Data_85_15!T2)</f>
        <v>VFITX</v>
      </c>
      <c r="U41" s="355" t="str">
        <f>IF(Data_85_15!U2="","",Data_85_15!U2)</f>
        <v>VBMFX</v>
      </c>
      <c r="V41" s="355" t="str">
        <f>IF(Data_85_15!V2="","",Data_85_15!V2)</f>
        <v>VUSXX</v>
      </c>
      <c r="W41" s="355" t="str">
        <f>IF(Data_85_15!W2="","",Data_85_15!W2)</f>
        <v>VIPSX</v>
      </c>
      <c r="X41" s="355" t="str">
        <f>IF(Data_85_15!X2="","",Data_85_15!X2)</f>
        <v>VWELX</v>
      </c>
      <c r="Y41" s="355" t="str">
        <f>IF(Data_85_15!Y2="","",Data_85_15!Y2)</f>
        <v>VWINX</v>
      </c>
      <c r="Z41" s="355" t="str">
        <f>IF(Data_85_15!Z2="","",Data_85_15!Z2)</f>
        <v>VGENX</v>
      </c>
      <c r="AA41" s="355" t="str">
        <f>IF(Data_85_15!AA2="","",Data_85_15!AA2)</f>
        <v>VGHCX</v>
      </c>
      <c r="AB41" s="355" t="str">
        <f>IF(Data_85_15!AB2="","",Data_85_15!AB2)</f>
        <v>VGPMX</v>
      </c>
      <c r="AC41" s="355" t="str">
        <f>IF(Data_85_15!AC2="","",Data_85_15!AC2)</f>
        <v>VWNDX</v>
      </c>
      <c r="AD41" s="355" t="str">
        <f>IF(Data_85_15!AD2="","",Data_85_15!AD2)</f>
        <v>VWNFX</v>
      </c>
      <c r="AE41" s="355" t="str">
        <f>IF(Data_85_15!AE2="","",Data_85_15!AE2)</f>
        <v>VWSTX</v>
      </c>
      <c r="AF41" s="355" t="str">
        <f>IF(Data_85_15!AF2="","",Data_85_15!AF2)</f>
        <v>VWITX</v>
      </c>
      <c r="AG41" s="355" t="str">
        <f>IF(Data_85_15!AG2="","",Data_85_15!AG2)</f>
        <v>VWLTX</v>
      </c>
      <c r="AH41" s="355" t="str">
        <f>IF(Data_85_15!AH2="","",Data_85_15!AH2)</f>
        <v>VWEHX</v>
      </c>
      <c r="AI41" s="355" t="str">
        <f>IF(Data_85_15!AI2="","",Data_85_15!AI2)</f>
        <v>VFISX</v>
      </c>
      <c r="AJ41" s="355" t="str">
        <f>IF(Data_85_15!AJ2="","",Data_85_15!AJ2)</f>
        <v>VMGIX</v>
      </c>
      <c r="AK41" s="355" t="str">
        <f>IF(Data_85_15!AK2="","",Data_85_15!AK2)</f>
        <v>VMVIX</v>
      </c>
      <c r="AL41" s="355" t="str">
        <f>IF(Data_85_15!AL2="","",Data_85_15!AL2)</f>
        <v>VEXMX</v>
      </c>
      <c r="AM41" s="355" t="str">
        <f>IF(Data_85_15!AM2="","",Data_85_15!AM2)</f>
        <v>PIGLX</v>
      </c>
      <c r="AN41" s="355" t="str">
        <f>IF(Data_85_15!AN2="","",Data_85_15!AN2)</f>
        <v>VFSTX</v>
      </c>
      <c r="AO41" s="355" t="str">
        <f>IF(Data_85_15!AO2="","",Data_85_15!AO2)</f>
        <v>GLD</v>
      </c>
      <c r="AP41" s="355" t="str">
        <f>IF(Data_85_15!AP2="","",Data_85_15!AP2)</f>
        <v>VFSVX</v>
      </c>
      <c r="AQ41" s="355" t="str">
        <f>IF(Data_85_15!AQ2="","",Data_85_15!AQ2)</f>
        <v/>
      </c>
      <c r="AR41" s="355" t="str">
        <f>IF(Data_85_15!AR2="","",Data_85_15!AR2)</f>
        <v/>
      </c>
      <c r="AS41" s="355" t="str">
        <f>IF(Data_85_15!AS2="","",Data_85_15!AS2)</f>
        <v/>
      </c>
      <c r="AT41" s="355" t="str">
        <f>IF(Data_85_15!AT2="","",Data_85_15!AT2)</f>
        <v/>
      </c>
      <c r="AU41" s="355" t="str">
        <f>IF(Data_85_15!AU2="","",Data_85_15!AU2)</f>
        <v/>
      </c>
      <c r="AV41" s="355" t="str">
        <f>IF(Data_85_15!AV2="","",Data_85_15!AV2)</f>
        <v/>
      </c>
      <c r="AW41" s="355" t="str">
        <f>IF(Data_85_15!AW2="","",Data_85_15!AW2)</f>
        <v/>
      </c>
      <c r="AX41" s="355" t="str">
        <f>IF(Data_85_15!AX2="","",Data_85_15!AX2)</f>
        <v/>
      </c>
      <c r="AY41" s="355" t="str">
        <f>IF(Data_85_15!AY2="","",Data_85_15!AY2)</f>
        <v/>
      </c>
      <c r="AZ41" s="58" t="s">
        <v>403</v>
      </c>
      <c r="BB41" s="47"/>
      <c r="BC41" s="47"/>
    </row>
    <row r="42" spans="1:55">
      <c r="A42" s="306" t="s">
        <v>199</v>
      </c>
      <c r="B42" s="307">
        <f t="shared" ref="B42:AG42" si="65">IF(ISERROR(AVERAGE(B8:B39)),"",AVERAGE(B8:B39))</f>
        <v>12.234347866691142</v>
      </c>
      <c r="C42" s="307">
        <f t="shared" si="65"/>
        <v>11.955249088387033</v>
      </c>
      <c r="D42" s="307">
        <f t="shared" si="65"/>
        <v>12.293548387096777</v>
      </c>
      <c r="E42" s="307">
        <f t="shared" si="65"/>
        <v>12.946696340352672</v>
      </c>
      <c r="F42" s="307">
        <f t="shared" si="65"/>
        <v>14.019180272470098</v>
      </c>
      <c r="G42" s="307">
        <f t="shared" si="65"/>
        <v>12.783621766710755</v>
      </c>
      <c r="H42" s="307">
        <f t="shared" si="65"/>
        <v>12.138156562486929</v>
      </c>
      <c r="I42" s="307">
        <f t="shared" si="65"/>
        <v>11.350448001853803</v>
      </c>
      <c r="J42" s="307">
        <f t="shared" si="65"/>
        <v>13.242061468929446</v>
      </c>
      <c r="K42" s="307">
        <f t="shared" si="65"/>
        <v>12.284231128099201</v>
      </c>
      <c r="L42" s="307">
        <f t="shared" si="65"/>
        <v>11.324993151325099</v>
      </c>
      <c r="M42" s="307">
        <f t="shared" si="65"/>
        <v>19.369393999800657</v>
      </c>
      <c r="N42" s="307">
        <f t="shared" si="65"/>
        <v>12.198443102593648</v>
      </c>
      <c r="O42" s="307">
        <f t="shared" si="65"/>
        <v>9.620936404059119</v>
      </c>
      <c r="P42" s="307">
        <f t="shared" si="65"/>
        <v>13.177432675044884</v>
      </c>
      <c r="Q42" s="307">
        <f t="shared" si="65"/>
        <v>12.736809136573269</v>
      </c>
      <c r="R42" s="307">
        <f t="shared" si="65"/>
        <v>8.471276695197167</v>
      </c>
      <c r="S42" s="307">
        <f t="shared" si="65"/>
        <v>9.5937505633893512</v>
      </c>
      <c r="T42" s="307">
        <f t="shared" si="65"/>
        <v>7.261056848034138</v>
      </c>
      <c r="U42" s="307">
        <f t="shared" si="65"/>
        <v>6.8495756873350091</v>
      </c>
      <c r="V42" s="307">
        <f t="shared" si="65"/>
        <v>3.6238709677419352</v>
      </c>
      <c r="W42" s="307">
        <f t="shared" si="65"/>
        <v>7.0977213315304883</v>
      </c>
      <c r="X42" s="307">
        <f t="shared" si="65"/>
        <v>11.099032258064517</v>
      </c>
      <c r="Y42" s="307">
        <f t="shared" si="65"/>
        <v>9.9890322580645137</v>
      </c>
      <c r="Z42" s="307">
        <f t="shared" si="65"/>
        <v>12.885102250704652</v>
      </c>
      <c r="AA42" s="307">
        <f t="shared" si="65"/>
        <v>18.776003073421336</v>
      </c>
      <c r="AB42" s="307">
        <f t="shared" si="65"/>
        <v>9.89243172219917</v>
      </c>
      <c r="AC42" s="307">
        <f t="shared" si="65"/>
        <v>12.046451612903226</v>
      </c>
      <c r="AD42" s="307">
        <f t="shared" si="65"/>
        <v>11.71359364352846</v>
      </c>
      <c r="AE42" s="307">
        <f t="shared" si="65"/>
        <v>3.6273073208421871</v>
      </c>
      <c r="AF42" s="307">
        <f t="shared" si="65"/>
        <v>6.4143809155881799</v>
      </c>
      <c r="AG42" s="307">
        <f t="shared" si="65"/>
        <v>7.2393207134118862</v>
      </c>
      <c r="AH42" s="307">
        <f t="shared" ref="AH42:AZ42" si="66">IF(ISERROR(AVERAGE(AH8:AH39)),"",AVERAGE(AH8:AH39))</f>
        <v>7.8174215111694725</v>
      </c>
      <c r="AI42" s="307">
        <f t="shared" si="66"/>
        <v>5.3064316528233846</v>
      </c>
      <c r="AJ42" s="307">
        <f t="shared" si="66"/>
        <v>13.493011332000917</v>
      </c>
      <c r="AK42" s="307">
        <f t="shared" si="66"/>
        <v>14.3039095885914</v>
      </c>
      <c r="AL42" s="307">
        <f t="shared" si="66"/>
        <v>12.580782072201677</v>
      </c>
      <c r="AM42" s="307">
        <f t="shared" si="66"/>
        <v>6.1725806451612906</v>
      </c>
      <c r="AN42" s="307">
        <f t="shared" si="66"/>
        <v>5.9874193548387105</v>
      </c>
      <c r="AO42" s="307">
        <f t="shared" si="66"/>
        <v>4.6930862668883107</v>
      </c>
      <c r="AP42" s="307">
        <f t="shared" si="66"/>
        <v>15.780373681893124</v>
      </c>
      <c r="AQ42" s="307" t="str">
        <f t="shared" si="66"/>
        <v/>
      </c>
      <c r="AR42" s="307" t="str">
        <f t="shared" si="66"/>
        <v/>
      </c>
      <c r="AS42" s="307" t="str">
        <f t="shared" si="66"/>
        <v/>
      </c>
      <c r="AT42" s="307" t="str">
        <f t="shared" si="66"/>
        <v/>
      </c>
      <c r="AU42" s="307" t="str">
        <f t="shared" si="66"/>
        <v/>
      </c>
      <c r="AV42" s="307" t="str">
        <f t="shared" si="66"/>
        <v/>
      </c>
      <c r="AW42" s="307" t="str">
        <f t="shared" si="66"/>
        <v/>
      </c>
      <c r="AX42" s="307" t="str">
        <f t="shared" si="66"/>
        <v/>
      </c>
      <c r="AY42" s="307" t="str">
        <f t="shared" si="66"/>
        <v/>
      </c>
      <c r="AZ42" s="307">
        <f t="shared" si="66"/>
        <v>2.6528920675631835</v>
      </c>
    </row>
    <row r="43" spans="1:55">
      <c r="A43" s="308" t="s">
        <v>455</v>
      </c>
      <c r="B43" s="309">
        <f t="shared" ref="B43:AG43" si="67">IF(ISERROR(STDEV(B8:B39)),"",STDEV(B8:B39))</f>
        <v>17.445221185963639</v>
      </c>
      <c r="C43" s="309">
        <f t="shared" si="67"/>
        <v>16.469321063468772</v>
      </c>
      <c r="D43" s="309">
        <f t="shared" si="67"/>
        <v>17.285617248334347</v>
      </c>
      <c r="E43" s="309">
        <f t="shared" si="67"/>
        <v>19.960148873476946</v>
      </c>
      <c r="F43" s="309">
        <f t="shared" si="67"/>
        <v>17.761388768006587</v>
      </c>
      <c r="G43" s="309">
        <f t="shared" si="67"/>
        <v>18.574625993816799</v>
      </c>
      <c r="H43" s="309">
        <f t="shared" si="67"/>
        <v>19.315761618423089</v>
      </c>
      <c r="I43" s="309">
        <f t="shared" si="67"/>
        <v>19.433054539139661</v>
      </c>
      <c r="J43" s="309">
        <f t="shared" si="67"/>
        <v>23.584722334878524</v>
      </c>
      <c r="K43" s="309">
        <f t="shared" si="67"/>
        <v>17.806584930587455</v>
      </c>
      <c r="L43" s="309">
        <f t="shared" si="67"/>
        <v>23.350455905189513</v>
      </c>
      <c r="M43" s="309">
        <f t="shared" si="67"/>
        <v>34.2223531453281</v>
      </c>
      <c r="N43" s="309">
        <f t="shared" si="67"/>
        <v>24.064756650900087</v>
      </c>
      <c r="O43" s="309">
        <f t="shared" si="67"/>
        <v>28.151094341957378</v>
      </c>
      <c r="P43" s="309">
        <f t="shared" si="67"/>
        <v>23.11088413143397</v>
      </c>
      <c r="Q43" s="309">
        <f t="shared" si="67"/>
        <v>23.494314199667102</v>
      </c>
      <c r="R43" s="309">
        <f t="shared" si="67"/>
        <v>20.6094017637379</v>
      </c>
      <c r="S43" s="309">
        <f t="shared" si="67"/>
        <v>12.182222818561231</v>
      </c>
      <c r="T43" s="309">
        <f t="shared" si="67"/>
        <v>6.7617001073162299</v>
      </c>
      <c r="U43" s="309">
        <f t="shared" si="67"/>
        <v>5.2348007276848847</v>
      </c>
      <c r="V43" s="309">
        <f t="shared" si="67"/>
        <v>2.6929966919392414</v>
      </c>
      <c r="W43" s="309">
        <f t="shared" si="67"/>
        <v>6.5249022429981842</v>
      </c>
      <c r="X43" s="309">
        <f t="shared" si="67"/>
        <v>11.199534917378996</v>
      </c>
      <c r="Y43" s="309">
        <f t="shared" si="67"/>
        <v>8.8899513890079707</v>
      </c>
      <c r="Z43" s="309">
        <f t="shared" si="67"/>
        <v>21.036854375129597</v>
      </c>
      <c r="AA43" s="309">
        <f t="shared" si="67"/>
        <v>18.427628575714344</v>
      </c>
      <c r="AB43" s="309">
        <f t="shared" si="67"/>
        <v>35.015416267062008</v>
      </c>
      <c r="AC43" s="309">
        <f t="shared" si="67"/>
        <v>17.724205962165058</v>
      </c>
      <c r="AD43" s="309">
        <f t="shared" si="67"/>
        <v>16.499898508562612</v>
      </c>
      <c r="AE43" s="309">
        <f t="shared" si="67"/>
        <v>2.1465816616249906</v>
      </c>
      <c r="AF43" s="309">
        <f t="shared" si="67"/>
        <v>4.9094609542464713</v>
      </c>
      <c r="AG43" s="309">
        <f t="shared" si="67"/>
        <v>6.900314167369257</v>
      </c>
      <c r="AH43" s="309">
        <f t="shared" ref="AH43:AZ43" si="68">IF(ISERROR(STDEV(AH8:AH39)),"",STDEV(AH8:AH39))</f>
        <v>9.798516300758072</v>
      </c>
      <c r="AI43" s="309">
        <f t="shared" si="68"/>
        <v>3.8846479136701562</v>
      </c>
      <c r="AJ43" s="309">
        <f t="shared" si="68"/>
        <v>23.58854309705244</v>
      </c>
      <c r="AK43" s="309">
        <f t="shared" si="68"/>
        <v>18.085348514284433</v>
      </c>
      <c r="AL43" s="309">
        <f t="shared" si="68"/>
        <v>19.839850805883984</v>
      </c>
      <c r="AM43" s="309">
        <f t="shared" si="68"/>
        <v>7.4714005682745253</v>
      </c>
      <c r="AN43" s="309">
        <f t="shared" si="68"/>
        <v>4.5011013228186245</v>
      </c>
      <c r="AO43" s="309">
        <f t="shared" si="68"/>
        <v>15.012824387846681</v>
      </c>
      <c r="AP43" s="309">
        <f t="shared" si="68"/>
        <v>30.050931458452471</v>
      </c>
      <c r="AQ43" s="309" t="str">
        <f t="shared" si="68"/>
        <v/>
      </c>
      <c r="AR43" s="309" t="str">
        <f t="shared" si="68"/>
        <v/>
      </c>
      <c r="AS43" s="309" t="str">
        <f t="shared" si="68"/>
        <v/>
      </c>
      <c r="AT43" s="309" t="str">
        <f t="shared" si="68"/>
        <v/>
      </c>
      <c r="AU43" s="309" t="str">
        <f t="shared" si="68"/>
        <v/>
      </c>
      <c r="AV43" s="309" t="str">
        <f t="shared" si="68"/>
        <v/>
      </c>
      <c r="AW43" s="309" t="str">
        <f t="shared" si="68"/>
        <v/>
      </c>
      <c r="AX43" s="309" t="str">
        <f t="shared" si="68"/>
        <v/>
      </c>
      <c r="AY43" s="309" t="str">
        <f t="shared" si="68"/>
        <v/>
      </c>
      <c r="AZ43" s="309">
        <f t="shared" si="68"/>
        <v>1.3101507077611318</v>
      </c>
    </row>
    <row r="44" spans="1:55">
      <c r="A44" s="308" t="s">
        <v>176</v>
      </c>
      <c r="B44" s="309">
        <f t="array" ref="B44">IF(ISERROR((PRODUCT(1+B8:B38%)^(1/COUNT(B8:B38))-1)*100),"",(PRODUCT(1+B8:B38%)^(1/COUNT(B8:B38))-1)*100)</f>
        <v>10.75133414860845</v>
      </c>
      <c r="C44" s="309">
        <f t="array" ref="C44">IF(ISERROR((PRODUCT(1+C8:C38%)^(1/COUNT(C8:C38))-1)*100),"",(PRODUCT(1+C8:C38%)^(1/COUNT(C8:C38))-1)*100)</f>
        <v>10.621389896948784</v>
      </c>
      <c r="D44" s="309">
        <f t="array" ref="D44">IF(ISERROR((PRODUCT(1+D8:D38%)^(1/COUNT(D8:D38))-1)*100),"",(PRODUCT(1+D8:D38%)^(1/COUNT(D8:D38))-1)*100)</f>
        <v>10.83249312175154</v>
      </c>
      <c r="E44" s="309">
        <f t="array" ref="E44">IF(ISERROR((PRODUCT(1+E8:E38%)^(1/COUNT(E8:E38))-1)*100),"",(PRODUCT(1+E8:E38%)^(1/COUNT(E8:E38))-1)*100)</f>
        <v>11.04066982915748</v>
      </c>
      <c r="F44" s="309">
        <f t="array" ref="F44">IF(ISERROR((PRODUCT(1+F8:F38%)^(1/COUNT(F8:F38))-1)*100),"",(PRODUCT(1+F8:F38%)^(1/COUNT(F8:F38))-1)*100)</f>
        <v>12.455585596445417</v>
      </c>
      <c r="G44" s="309">
        <f t="array" ref="G44">IF(ISERROR((PRODUCT(1+G8:G38%)^(1/COUNT(G8:G38))-1)*100),"",(PRODUCT(1+G8:G38%)^(1/COUNT(G8:G38))-1)*100)</f>
        <v>11.165033625347821</v>
      </c>
      <c r="H44" s="309">
        <f t="array" ref="H44">IF(ISERROR((PRODUCT(1+H8:H38%)^(1/COUNT(H8:H38))-1)*100),"",(PRODUCT(1+H8:H38%)^(1/COUNT(H8:H38))-1)*100)</f>
        <v>10.392104907312483</v>
      </c>
      <c r="I44" s="309">
        <f t="array" ref="I44">IF(ISERROR((PRODUCT(1+I8:I38%)^(1/COUNT(I8:I38))-1)*100),"",(PRODUCT(1+I8:I38%)^(1/COUNT(I8:I38))-1)*100)</f>
        <v>9.5892347023855748</v>
      </c>
      <c r="J44" s="309">
        <f t="array" ref="J44">IF(ISERROR((PRODUCT(1+J8:J38%)^(1/COUNT(J8:J38))-1)*100),"",(PRODUCT(1+J8:J38%)^(1/COUNT(J8:J38))-1)*100)</f>
        <v>10.782540252668049</v>
      </c>
      <c r="K44" s="309">
        <f t="array" ref="K44">IF(ISERROR((PRODUCT(1+K8:K38%)^(1/COUNT(K8:K38))-1)*100),"",(PRODUCT(1+K8:K38%)^(1/COUNT(K8:K38))-1)*100)</f>
        <v>10.744688376874212</v>
      </c>
      <c r="L44" s="309">
        <f t="array" ref="L44">IF(ISERROR((PRODUCT(1+L8:L38%)^(1/COUNT(L8:L38))-1)*100),"",(PRODUCT(1+L8:L38%)^(1/COUNT(L8:L38))-1)*100)</f>
        <v>8.8494634263329033</v>
      </c>
      <c r="M44" s="309">
        <f t="array" ref="M44">IF(ISERROR((PRODUCT(1+M8:M38%)^(1/COUNT(M8:M38))-1)*100),"",(PRODUCT(1+M8:M38%)^(1/COUNT(M8:M38))-1)*100)</f>
        <v>14.259323850867457</v>
      </c>
      <c r="N44" s="309">
        <f t="array" ref="N44">IF(ISERROR((PRODUCT(1+N8:N38%)^(1/COUNT(N8:N38))-1)*100),"",(PRODUCT(1+N8:N38%)^(1/COUNT(N8:N38))-1)*100)</f>
        <v>9.5452805608436506</v>
      </c>
      <c r="O44" s="309">
        <f t="array" ref="O44">IF(ISERROR((PRODUCT(1+O8:O38%)^(1/COUNT(O8:O38))-1)*100),"",(PRODUCT(1+O8:O38%)^(1/COUNT(O8:O38))-1)*100)</f>
        <v>6.2360306701793045</v>
      </c>
      <c r="P44" s="309">
        <f t="array" ref="P44">IF(ISERROR((PRODUCT(1+P8:P38%)^(1/COUNT(P8:P38))-1)*100),"",(PRODUCT(1+P8:P38%)^(1/COUNT(P8:P38))-1)*100)</f>
        <v>10.756380723470338</v>
      </c>
      <c r="Q44" s="309">
        <f t="array" ref="Q44">IF(ISERROR((PRODUCT(1+Q8:Q38%)^(1/COUNT(Q8:Q38))-1)*100),"",(PRODUCT(1+Q8:Q38%)^(1/COUNT(Q8:Q38))-1)*100)</f>
        <v>10.23156873904416</v>
      </c>
      <c r="R44" s="309">
        <f t="array" ref="R44">IF(ISERROR((PRODUCT(1+R8:R38%)^(1/COUNT(R8:R38))-1)*100),"",(PRODUCT(1+R8:R38%)^(1/COUNT(R8:R38))-1)*100)</f>
        <v>6.3374056088895347</v>
      </c>
      <c r="S44" s="309">
        <f t="array" ref="S44">IF(ISERROR((PRODUCT(1+S8:S38%)^(1/COUNT(S8:S38))-1)*100),"",(PRODUCT(1+S8:S38%)^(1/COUNT(S8:S38))-1)*100)</f>
        <v>8.9310401999190816</v>
      </c>
      <c r="T44" s="309">
        <f t="array" ref="T44">IF(ISERROR((PRODUCT(1+T8:T38%)^(1/COUNT(T8:T38))-1)*100),"",(PRODUCT(1+T8:T38%)^(1/COUNT(T8:T38))-1)*100)</f>
        <v>7.0555535026989968</v>
      </c>
      <c r="U44" s="309">
        <f t="array" ref="U44">IF(ISERROR((PRODUCT(1+U8:U38%)^(1/COUNT(U8:U38))-1)*100),"",(PRODUCT(1+U8:U38%)^(1/COUNT(U8:U38))-1)*100)</f>
        <v>6.7263519622791312</v>
      </c>
      <c r="V44" s="309">
        <f t="array" ref="V44">IF(ISERROR((PRODUCT(1+V8:V38%)^(1/COUNT(V8:V38))-1)*100),"",(PRODUCT(1+V8:V38%)^(1/COUNT(V8:V38))-1)*100)</f>
        <v>3.5900142745183494</v>
      </c>
      <c r="W44" s="309">
        <f t="array" ref="W44">IF(ISERROR((PRODUCT(1+W8:W38%)^(1/COUNT(W8:W38))-1)*100),"",(PRODUCT(1+W8:W38%)^(1/COUNT(W8:W38))-1)*100)</f>
        <v>6.9049129330273962</v>
      </c>
      <c r="X44" s="309">
        <f t="array" ref="X44">IF(ISERROR((PRODUCT(1+X8:X38%)^(1/COUNT(X8:X38))-1)*100),"",(PRODUCT(1+X8:X38%)^(1/COUNT(X8:X38))-1)*100)</f>
        <v>10.518310289958311</v>
      </c>
      <c r="Y44" s="309">
        <f t="array" ref="Y44">IF(ISERROR((PRODUCT(1+Y8:Y38%)^(1/COUNT(Y8:Y38))-1)*100),"",(PRODUCT(1+Y8:Y38%)^(1/COUNT(Y8:Y38))-1)*100)</f>
        <v>9.6389508441502514</v>
      </c>
      <c r="Z44" s="309">
        <f t="array" ref="Z44">IF(ISERROR((PRODUCT(1+Z8:Z38%)^(1/COUNT(Z8:Z38))-1)*100),"",(PRODUCT(1+Z8:Z38%)^(1/COUNT(Z8:Z38))-1)*100)</f>
        <v>10.750140437211897</v>
      </c>
      <c r="AA44" s="309">
        <f t="array" ref="AA44">IF(ISERROR((PRODUCT(1+AA8:AA38%)^(1/COUNT(AA8:AA38))-1)*100),"",(PRODUCT(1+AA8:AA38%)^(1/COUNT(AA8:AA38))-1)*100)</f>
        <v>17.389201110757369</v>
      </c>
      <c r="AB44" s="309">
        <f t="array" ref="AB44">IF(ISERROR((PRODUCT(1+AB8:AB38%)^(1/COUNT(AB8:AB38))-1)*100),"",(PRODUCT(1+AB8:AB38%)^(1/COUNT(AB8:AB38))-1)*100)</f>
        <v>4.4022215580817869</v>
      </c>
      <c r="AC44" s="309">
        <f t="array" ref="AC44">IF(ISERROR((PRODUCT(1+AC8:AC38%)^(1/COUNT(AC8:AC38))-1)*100),"",(PRODUCT(1+AC8:AC38%)^(1/COUNT(AC8:AC38))-1)*100)</f>
        <v>10.464953932494536</v>
      </c>
      <c r="AD44" s="309">
        <f t="array" ref="AD44">IF(ISERROR((PRODUCT(1+AD8:AD38%)^(1/COUNT(AD8:AD38))-1)*100),"",(PRODUCT(1+AD8:AD38%)^(1/COUNT(AD8:AD38))-1)*100)</f>
        <v>10.38813455608507</v>
      </c>
      <c r="AE44" s="309">
        <f t="array" ref="AE44">IF(ISERROR((PRODUCT(1+AE8:AE38%)^(1/COUNT(AE8:AE38))-1)*100),"",(PRODUCT(1+AE8:AE38%)^(1/COUNT(AE8:AE38))-1)*100)</f>
        <v>3.6058310468768839</v>
      </c>
      <c r="AF44" s="309">
        <f t="array" ref="AF44">IF(ISERROR((PRODUCT(1+AF8:AF38%)^(1/COUNT(AF8:AF38))-1)*100),"",(PRODUCT(1+AF8:AF38%)^(1/COUNT(AF8:AF38))-1)*100)</f>
        <v>6.3054640818563046</v>
      </c>
      <c r="AG44" s="309">
        <f t="array" ref="AG44">IF(ISERROR((PRODUCT(1+AG8:AG38%)^(1/COUNT(AG8:AG38))-1)*100),"",(PRODUCT(1+AG8:AG38%)^(1/COUNT(AG8:AG38))-1)*100)</f>
        <v>7.023336483803333</v>
      </c>
      <c r="AH44" s="309">
        <f t="array" ref="AH44">IF(ISERROR((PRODUCT(1+AH8:AH38%)^(1/COUNT(AH8:AH38))-1)*100),"",(PRODUCT(1+AH8:AH38%)^(1/COUNT(AH8:AH38))-1)*100)</f>
        <v>7.368599513953944</v>
      </c>
      <c r="AI44" s="309">
        <f t="array" ref="AI44">IF(ISERROR((PRODUCT(1+AI8:AI38%)^(1/COUNT(AI8:AI38))-1)*100),"",(PRODUCT(1+AI8:AI38%)^(1/COUNT(AI8:AI38))-1)*100)</f>
        <v>5.2373902903485758</v>
      </c>
      <c r="AJ44" s="309">
        <f t="array" ref="AJ44">IF(ISERROR((PRODUCT(1+AJ8:AJ38%)^(1/COUNT(AJ8:AJ38))-1)*100),"",(PRODUCT(1+AJ8:AJ38%)^(1/COUNT(AJ8:AJ38))-1)*100)</f>
        <v>10.832401133539559</v>
      </c>
      <c r="AK44" s="309">
        <f t="array" ref="AK44">IF(ISERROR((PRODUCT(1+AK8:AK38%)^(1/COUNT(AK8:AK38))-1)*100),"",(PRODUCT(1+AK8:AK38%)^(1/COUNT(AK8:AK38))-1)*100)</f>
        <v>12.752834235650123</v>
      </c>
      <c r="AL44" s="309">
        <f t="array" ref="AL44">IF(ISERROR((PRODUCT(1+AL8:AL38%)^(1/COUNT(AL8:AL38))-1)*100),"",(PRODUCT(1+AL8:AL38%)^(1/COUNT(AL8:AL38))-1)*100)</f>
        <v>10.718134099003972</v>
      </c>
      <c r="AM44" s="309">
        <f t="array" ref="AM44">IF(ISERROR((PRODUCT(1+AM8:AM38%)^(1/COUNT(AM8:AM38))-1)*100),"",(PRODUCT(1+AM8:AM38%)^(1/COUNT(AM8:AM38))-1)*100)</f>
        <v>5.9196219218519808</v>
      </c>
      <c r="AN44" s="309">
        <f t="array" ref="AN44">IF(ISERROR((PRODUCT(1+AN8:AN38%)^(1/COUNT(AN8:AN38))-1)*100),"",(PRODUCT(1+AN8:AN38%)^(1/COUNT(AN8:AN38))-1)*100)</f>
        <v>5.894998937553253</v>
      </c>
      <c r="AO44" s="309">
        <f t="array" ref="AO44">IF(ISERROR((PRODUCT(1+AO8:AO38%)^(1/COUNT(AO8:AO38))-1)*100),"",(PRODUCT(1+AO8:AO38%)^(1/COUNT(AO8:AO38))-1)*100)</f>
        <v>3.6244865827650186</v>
      </c>
      <c r="AP44" s="309">
        <f t="array" ref="AP44">IF(ISERROR((PRODUCT(1+AP8:AP38%)^(1/COUNT(AP8:AP38))-1)*100),"",(PRODUCT(1+AP8:AP38%)^(1/COUNT(AP8:AP38))-1)*100)</f>
        <v>11.90901054551048</v>
      </c>
      <c r="AQ44" s="309" t="str">
        <f t="array" ref="AQ44">IF(ISERROR((PRODUCT(1+AQ8:AQ38%)^(1/COUNT(AQ8:AQ38))-1)*100),"",(PRODUCT(1+AQ8:AQ38%)^(1/COUNT(AQ8:AQ38))-1)*100)</f>
        <v/>
      </c>
      <c r="AR44" s="309" t="str">
        <f t="array" ref="AR44">IF(ISERROR((PRODUCT(1+AR8:AR38%)^(1/COUNT(AR8:AR38))-1)*100),"",(PRODUCT(1+AR8:AR38%)^(1/COUNT(AR8:AR38))-1)*100)</f>
        <v/>
      </c>
      <c r="AS44" s="309" t="str">
        <f t="array" ref="AS44">IF(ISERROR((PRODUCT(1+AS8:AS38%)^(1/COUNT(AS8:AS38))-1)*100),"",(PRODUCT(1+AS8:AS38%)^(1/COUNT(AS8:AS38))-1)*100)</f>
        <v/>
      </c>
      <c r="AT44" s="309" t="str">
        <f t="array" ref="AT44">IF(ISERROR((PRODUCT(1+AT8:AT38%)^(1/COUNT(AT8:AT38))-1)*100),"",(PRODUCT(1+AT8:AT38%)^(1/COUNT(AT8:AT38))-1)*100)</f>
        <v/>
      </c>
      <c r="AU44" s="309" t="str">
        <f t="array" ref="AU44">IF(ISERROR((PRODUCT(1+AU8:AU38%)^(1/COUNT(AU8:AU38))-1)*100),"",(PRODUCT(1+AU8:AU38%)^(1/COUNT(AU8:AU38))-1)*100)</f>
        <v/>
      </c>
      <c r="AV44" s="309" t="str">
        <f t="array" ref="AV44">IF(ISERROR((PRODUCT(1+AV8:AV38%)^(1/COUNT(AV8:AV38))-1)*100),"",(PRODUCT(1+AV8:AV38%)^(1/COUNT(AV8:AV38))-1)*100)</f>
        <v/>
      </c>
      <c r="AW44" s="309" t="str">
        <f t="array" ref="AW44">IF(ISERROR((PRODUCT(1+AW8:AW38%)^(1/COUNT(AW8:AW38))-1)*100),"",(PRODUCT(1+AW8:AW38%)^(1/COUNT(AW8:AW38))-1)*100)</f>
        <v/>
      </c>
      <c r="AX44" s="309" t="str">
        <f t="array" ref="AX44">IF(ISERROR((PRODUCT(1+AX8:AX38%)^(1/COUNT(AX8:AX38))-1)*100),"",(PRODUCT(1+AX8:AX38%)^(1/COUNT(AX8:AX38))-1)*100)</f>
        <v/>
      </c>
      <c r="AY44" s="309" t="str">
        <f t="array" ref="AY44">IF(ISERROR((PRODUCT(1+AY8:AY38%)^(1/COUNT(AY8:AY38))-1)*100),"",(PRODUCT(1+AY8:AY38%)^(1/COUNT(AY8:AY38))-1)*100)</f>
        <v/>
      </c>
      <c r="AZ44" s="309">
        <f t="array" ref="AZ44">IF(ISERROR((PRODUCT(1+AZ8:AZ38%)^(1/COUNT(AZ8:AZ38))-1)*100),"",(PRODUCT(1+AZ8:AZ38%)^(1/COUNT(AZ8:AZ38))-1)*100)</f>
        <v>2.6448239534853757</v>
      </c>
    </row>
    <row r="45" spans="1:55">
      <c r="A45" s="310" t="s">
        <v>456</v>
      </c>
      <c r="B45" s="309">
        <f t="array" ref="B45">IF(OR(ISERROR(VARA(B8:B39)), COUNT(B8:B39)=0), "", VARA(B8:B39))</f>
        <v>299.19593733621593</v>
      </c>
      <c r="C45" s="309">
        <f t="array" ref="C45">IF(OR(ISERROR(VARA(C8:C39)), COUNT(C8:C39)=0), "", VARA(C8:C39))</f>
        <v>266.9554054875789</v>
      </c>
      <c r="D45" s="309">
        <f t="array" ref="D45">IF(OR(ISERROR(VARA(D8:D39)), COUNT(D8:D39)=0), "", VARA(D8:D39))</f>
        <v>293.87694798387088</v>
      </c>
      <c r="E45" s="309">
        <f t="array" ref="E45">IF(OR(ISERROR(VARA(E8:E39)), COUNT(E8:E39)=0), "", VARA(E8:E39))</f>
        <v>390.79371639044041</v>
      </c>
      <c r="F45" s="309">
        <f t="array" ref="F45">IF(OR(ISERROR(VARA(F8:F39)), COUNT(F8:F39)=0), "", VARA(F8:F39))</f>
        <v>311.43237259114136</v>
      </c>
      <c r="G45" s="309">
        <f t="array" ref="G45">IF(OR(ISERROR(VARA(G8:G39)), COUNT(G8:G39)=0), "", VARA(G8:G39))</f>
        <v>338.99406464462874</v>
      </c>
      <c r="H45" s="309">
        <f t="array" ref="H45">IF(OR(ISERROR(VARA(H8:H39)), COUNT(H8:H39)=0), "", VARA(H8:H39))</f>
        <v>365.66742057515677</v>
      </c>
      <c r="I45" s="309">
        <f t="array" ref="I45">IF(OR(ISERROR(VARA(I8:I39)), COUNT(I8:I39)=0), "", VARA(I8:I39))</f>
        <v>369.4875777595322</v>
      </c>
      <c r="J45" s="309">
        <f t="array" ref="J45">IF(OR(ISERROR(VARA(J8:J39)), COUNT(J8:J39)=0), "", VARA(J8:J39))</f>
        <v>543.77568594671288</v>
      </c>
      <c r="K45" s="309">
        <f t="array" ref="K45">IF(OR(ISERROR(VARA(K8:K39)), COUNT(K8:K39)=0), "", VARA(K8:K39))</f>
        <v>311.56195623112967</v>
      </c>
      <c r="L45" s="309">
        <f t="array" ref="L45">IF(OR(ISERROR(VARA(L8:L39)), COUNT(L8:L39)=0), "", VARA(L8:L39))</f>
        <v>531.66326502741538</v>
      </c>
      <c r="M45" s="309">
        <f t="array" ref="M45">IF(OR(ISERROR(VARA(M8:M39)), COUNT(M8:M39)=0), "", VARA(M8:M39))</f>
        <v>1145.1139644686605</v>
      </c>
      <c r="N45" s="309">
        <f t="array" ref="N45">IF(OR(ISERROR(VARA(N8:N39)), COUNT(N8:N39)=0), "", VARA(N8:N39))</f>
        <v>565.08152681280455</v>
      </c>
      <c r="O45" s="309">
        <f t="array" ref="O45">IF(OR(ISERROR(VARA(O8:O39)), COUNT(O8:O39)=0), "", VARA(O8:O39))</f>
        <v>769.81268455626287</v>
      </c>
      <c r="P45" s="309">
        <f t="array" ref="P45">IF(OR(ISERROR(VARA(P8:P39)), COUNT(P8:P39)=0), "", VARA(P8:P39))</f>
        <v>522.30991271388052</v>
      </c>
      <c r="Q45" s="309">
        <f t="array" ref="Q45">IF(OR(ISERROR(VARA(Q8:Q39)), COUNT(Q8:Q39)=0), "", VARA(Q8:Q39))</f>
        <v>539.24647504092582</v>
      </c>
      <c r="R45" s="309">
        <f t="array" ref="R45">IF(OR(ISERROR(VARA(R8:R39)), COUNT(R8:R39)=0), "", VARA(R8:R39))</f>
        <v>413.28848972887153</v>
      </c>
      <c r="S45" s="309">
        <f t="array" ref="S45">IF(OR(ISERROR(VARA(S8:S39)), COUNT(S8:S39)=0), "", VARA(S8:S39))</f>
        <v>146.49549620471731</v>
      </c>
      <c r="T45" s="309">
        <f t="array" ref="T45">IF(OR(ISERROR(VARA(T8:T39)), COUNT(T8:T39)=0), "", VARA(T8:T39))</f>
        <v>45.893322732551404</v>
      </c>
      <c r="U45" s="309">
        <f t="array" ref="U45">IF(OR(ISERROR(VARA(U8:U39)), COUNT(U8:U39)=0), "", VARA(U8:U39))</f>
        <v>27.985312915544199</v>
      </c>
      <c r="V45" s="309">
        <f t="array" ref="V45">IF(OR(ISERROR(VARA(V8:V39)), COUNT(V8:V39)=0), "", VARA(V8:V39))</f>
        <v>7.428677016129031</v>
      </c>
      <c r="W45" s="309">
        <f t="array" ref="W45">IF(OR(ISERROR(VARA(W8:W39)), COUNT(W8:W39)=0), "", VARA(W8:W39))</f>
        <v>42.775284677981219</v>
      </c>
      <c r="X45" s="309">
        <f t="array" ref="X45">IF(OR(ISERROR(VARA(X8:X39)), COUNT(X8:X39)=0), "", VARA(X8:X39))</f>
        <v>125.23310796370963</v>
      </c>
      <c r="Y45" s="309">
        <f t="array" ref="Y45">IF(OR(ISERROR(VARA(Y8:Y39)), COUNT(Y8:Y39)=0), "", VARA(Y8:Y39))</f>
        <v>79.599989919354869</v>
      </c>
      <c r="Z45" s="309">
        <f t="array" ref="Z45">IF(OR(ISERROR(VARA(Z8:Z39)), COUNT(Z8:Z39)=0), "", VARA(Z8:Z39))</f>
        <v>433.46176812574339</v>
      </c>
      <c r="AA45" s="309">
        <f t="array" ref="AA45">IF(OR(ISERROR(VARA(AA8:AA39)), COUNT(AA8:AA39)=0), "", VARA(AA8:AA39))</f>
        <v>339.64020379164452</v>
      </c>
      <c r="AB45" s="309">
        <f t="array" ref="AB45">IF(OR(ISERROR(VARA(AB8:AB39)), COUNT(AB8:AB39)=0), "", VARA(AB8:AB39))</f>
        <v>1189.5865601493292</v>
      </c>
      <c r="AC45" s="309">
        <f t="array" ref="AC45">IF(OR(ISERROR(VARA(AC8:AC39)), COUNT(AC8:AC39)=0), "", VARA(AC8:AC39))</f>
        <v>308.54859354838715</v>
      </c>
      <c r="AD45" s="309">
        <f t="array" ref="AD45">IF(OR(ISERROR(VARA(AD8:AD39)), COUNT(AD8:AD39)=0), "", VARA(AD8:AD39))</f>
        <v>267.75225939371882</v>
      </c>
      <c r="AE45" s="309">
        <f t="array" ref="AE45">IF(OR(ISERROR(VARA(AE8:AE39)), COUNT(AE8:AE39)=0), "", VARA(AE8:AE39))</f>
        <v>4.870341156470376</v>
      </c>
      <c r="AF45" s="309">
        <f t="array" ref="AF45">IF(OR(ISERROR(VARA(AF8:AF39)), COUNT(AF8:AF39)=0), "", VARA(AF8:AF39))</f>
        <v>24.61105579159069</v>
      </c>
      <c r="AG45" s="309">
        <f t="array" ref="AG45">IF(OR(ISERROR(VARA(AG8:AG39)), COUNT(AG8:AG39)=0), "", VARA(AG8:AG39))</f>
        <v>47.716131935687166</v>
      </c>
      <c r="AH45" s="309">
        <f t="array" ref="AH45">IF(OR(ISERROR(VARA(AH8:AH39)), COUNT(AH8:AH39)=0), "", VARA(AH8:AH39))</f>
        <v>94.823547661244888</v>
      </c>
      <c r="AI45" s="309">
        <f t="array" ref="AI45">IF(OR(ISERROR(VARA(AI8:AI39)), COUNT(AI8:AI39)=0), "", VARA(AI8:AI39))</f>
        <v>15.483643709801695</v>
      </c>
      <c r="AJ45" s="309">
        <f t="array" ref="AJ45">IF(OR(ISERROR(VARA(AJ8:AJ39)), COUNT(AJ8:AJ39)=0), "", VARA(AJ8:AJ39))</f>
        <v>544.15977099073689</v>
      </c>
      <c r="AK45" s="309">
        <f t="array" ref="AK45">IF(OR(ISERROR(VARA(AK8:AK39)), COUNT(AK8:AK39)=0), "", VARA(AK8:AK39))</f>
        <v>322.92267576903373</v>
      </c>
      <c r="AL45" s="309">
        <f t="array" ref="AL45">IF(OR(ISERROR(VARA(AL8:AL39)), COUNT(AL8:AL39)=0), "", VARA(AL8:AL39))</f>
        <v>385.86839839086809</v>
      </c>
      <c r="AM45" s="309">
        <f t="array" ref="AM45">IF(OR(ISERROR(VARA(AM8:AM39)), COUNT(AM8:AM39)=0), "", VARA(AM8:AM39))</f>
        <v>55.211770866935474</v>
      </c>
      <c r="AN45" s="309">
        <f t="array" ref="AN45">IF(OR(ISERROR(VARA(AN8:AN39)), COUNT(AN8:AN39)=0), "", VARA(AN8:AN39))</f>
        <v>20.726654737903228</v>
      </c>
      <c r="AO45" s="309">
        <f t="array" ref="AO45">IF(OR(ISERROR(VARA(AO8:AO39)), COUNT(AO8:AO39)=0), "", VARA(AO8:AO39))</f>
        <v>218.80269866559797</v>
      </c>
      <c r="AP45" s="309">
        <f t="array" ref="AP45">IF(OR(ISERROR(VARA(AP8:AP39)), COUNT(AP8:AP39)=0), "", VARA(AP8:AP39))</f>
        <v>881.70944381000982</v>
      </c>
      <c r="AQ45" s="309" t="str">
        <f t="array" ref="AQ45">IF(OR(ISERROR(VARA(AQ8:AQ39)), COUNT(AQ8:AQ39)=0), "", VARA(AQ8:AQ39))</f>
        <v/>
      </c>
      <c r="AR45" s="309" t="str">
        <f t="array" ref="AR45">IF(OR(ISERROR(VARA(AR8:AR39)), COUNT(AR8:AR39)=0), "", VARA(AR8:AR39))</f>
        <v/>
      </c>
      <c r="AS45" s="309" t="str">
        <f t="array" ref="AS45">IF(OR(ISERROR(VARA(AS8:AS39)), COUNT(AS8:AS39)=0), "", VARA(AS8:AS39))</f>
        <v/>
      </c>
      <c r="AT45" s="309" t="str">
        <f t="array" ref="AT45">IF(OR(ISERROR(VARA(AT8:AT39)), COUNT(AT8:AT39)=0), "", VARA(AT8:AT39))</f>
        <v/>
      </c>
      <c r="AU45" s="309" t="str">
        <f t="array" ref="AU45">IF(OR(ISERROR(VARA(AU8:AU39)), COUNT(AU8:AU39)=0), "", VARA(AU8:AU39))</f>
        <v/>
      </c>
      <c r="AV45" s="309" t="str">
        <f t="array" ref="AV45">IF(OR(ISERROR(VARA(AV8:AV39)), COUNT(AV8:AV39)=0), "", VARA(AV8:AV39))</f>
        <v/>
      </c>
      <c r="AW45" s="309" t="str">
        <f t="array" ref="AW45">IF(OR(ISERROR(VARA(AW8:AW39)), COUNT(AW8:AW39)=0), "", VARA(AW8:AW39))</f>
        <v/>
      </c>
      <c r="AX45" s="309" t="str">
        <f t="array" ref="AX45">IF(OR(ISERROR(VARA(AX8:AX39)), COUNT(AX8:AX39)=0), "", VARA(AX8:AX39))</f>
        <v/>
      </c>
      <c r="AY45" s="309" t="str">
        <f t="array" ref="AY45">IF(OR(ISERROR(VARA(AY8:AY39)), COUNT(AY8:AY39)=0), "", VARA(AY8:AY39))</f>
        <v/>
      </c>
      <c r="AZ45" s="309">
        <f t="array" ref="AZ45">IF(OR(ISERROR(VARA(AZ8:AZ39)), COUNT(AZ8:AZ39)=0), "", VARA(AZ8:AZ39))</f>
        <v>1.8810564596284725</v>
      </c>
    </row>
    <row r="46" spans="1:55" ht="20">
      <c r="A46" s="311" t="s">
        <v>457</v>
      </c>
      <c r="B46" s="312">
        <f t="shared" ref="B46:AG46" si="69">IF(ISERROR(PEARSON($B$8:$B$39,B8:B39)),"",PEARSON($B$8:$B$39,B8:B39))</f>
        <v>1</v>
      </c>
      <c r="C46" s="312">
        <f t="shared" si="69"/>
        <v>0.94955418888687226</v>
      </c>
      <c r="D46" s="312">
        <f t="shared" si="69"/>
        <v>0.99245011147859785</v>
      </c>
      <c r="E46" s="312">
        <f t="shared" si="69"/>
        <v>0.95788513491338523</v>
      </c>
      <c r="F46" s="312">
        <f t="shared" si="69"/>
        <v>0.91012067113269046</v>
      </c>
      <c r="G46" s="312">
        <f t="shared" si="69"/>
        <v>0.74397396206858313</v>
      </c>
      <c r="H46" s="312">
        <f t="shared" si="69"/>
        <v>0.8848171934630672</v>
      </c>
      <c r="I46" s="312">
        <f t="shared" si="69"/>
        <v>0.87299159653076064</v>
      </c>
      <c r="J46" s="312">
        <f t="shared" si="69"/>
        <v>0.69346685696777577</v>
      </c>
      <c r="K46" s="312">
        <f t="shared" si="69"/>
        <v>0.50653144972622111</v>
      </c>
      <c r="L46" s="312">
        <f t="shared" si="69"/>
        <v>0.66842950439138049</v>
      </c>
      <c r="M46" s="312">
        <f t="shared" si="69"/>
        <v>0.56354283162422614</v>
      </c>
      <c r="N46" s="312">
        <f t="shared" si="69"/>
        <v>0.67439889595630576</v>
      </c>
      <c r="O46" s="312">
        <f t="shared" si="69"/>
        <v>0.44812496267316709</v>
      </c>
      <c r="P46" s="312">
        <f t="shared" si="69"/>
        <v>0.79896161081998218</v>
      </c>
      <c r="Q46" s="312">
        <f t="shared" si="69"/>
        <v>0.62653999640856295</v>
      </c>
      <c r="R46" s="312">
        <f t="shared" si="69"/>
        <v>0.2111426665481359</v>
      </c>
      <c r="S46" s="312">
        <f t="shared" si="69"/>
        <v>-9.157804225012188E-2</v>
      </c>
      <c r="T46" s="312">
        <f t="shared" si="69"/>
        <v>-6.4030709264751684E-2</v>
      </c>
      <c r="U46" s="312">
        <f t="shared" si="69"/>
        <v>0.22375036610008575</v>
      </c>
      <c r="V46" s="312">
        <f t="shared" si="69"/>
        <v>0.14461974239518455</v>
      </c>
      <c r="W46" s="312">
        <f t="shared" si="69"/>
        <v>3.6885664748869521E-2</v>
      </c>
      <c r="X46" s="312">
        <f t="shared" si="69"/>
        <v>0.90622240696655065</v>
      </c>
      <c r="Y46" s="312">
        <f t="shared" si="69"/>
        <v>0.66033825917073574</v>
      </c>
      <c r="Z46" s="312">
        <f t="shared" si="69"/>
        <v>0.47100380995001656</v>
      </c>
      <c r="AA46" s="312">
        <f t="shared" si="69"/>
        <v>0.63659690131365854</v>
      </c>
      <c r="AB46" s="312">
        <f t="shared" si="69"/>
        <v>0.18089586036430186</v>
      </c>
      <c r="AC46" s="312">
        <f t="shared" si="69"/>
        <v>0.85920136772816924</v>
      </c>
      <c r="AD46" s="312">
        <f t="shared" si="69"/>
        <v>0.8569966139687385</v>
      </c>
      <c r="AE46" s="312">
        <f t="shared" si="69"/>
        <v>0.10291187836848269</v>
      </c>
      <c r="AF46" s="312">
        <f t="shared" si="69"/>
        <v>0.30194866911087354</v>
      </c>
      <c r="AG46" s="312">
        <f t="shared" si="69"/>
        <v>0.34426725906670352</v>
      </c>
      <c r="AH46" s="312">
        <f t="shared" ref="AH46:AZ46" si="70">IF(ISERROR(PEARSON($B$8:$B$39,AH8:AH39)),"",PEARSON($B$8:$B$39,AH8:AH39))</f>
        <v>0.75569947510181934</v>
      </c>
      <c r="AI46" s="312">
        <f t="shared" si="70"/>
        <v>1.4052474311229642E-2</v>
      </c>
      <c r="AJ46" s="312">
        <f t="shared" si="70"/>
        <v>0.90059894754839109</v>
      </c>
      <c r="AK46" s="312">
        <f t="shared" si="70"/>
        <v>0.82425054841754819</v>
      </c>
      <c r="AL46" s="312">
        <f t="shared" si="70"/>
        <v>0.95366829052923818</v>
      </c>
      <c r="AM46" s="312">
        <f t="shared" si="70"/>
        <v>0.21486278020381169</v>
      </c>
      <c r="AN46" s="312">
        <f t="shared" si="70"/>
        <v>0.50042138517943602</v>
      </c>
      <c r="AO46" s="312">
        <f t="shared" si="70"/>
        <v>-0.21174182369805744</v>
      </c>
      <c r="AP46" s="312">
        <f t="shared" si="70"/>
        <v>0.5784391499795446</v>
      </c>
      <c r="AQ46" s="312" t="str">
        <f t="shared" si="70"/>
        <v/>
      </c>
      <c r="AR46" s="312" t="str">
        <f t="shared" si="70"/>
        <v/>
      </c>
      <c r="AS46" s="312" t="str">
        <f t="shared" si="70"/>
        <v/>
      </c>
      <c r="AT46" s="312" t="str">
        <f t="shared" si="70"/>
        <v/>
      </c>
      <c r="AU46" s="312" t="str">
        <f t="shared" si="70"/>
        <v/>
      </c>
      <c r="AV46" s="312" t="str">
        <f t="shared" si="70"/>
        <v/>
      </c>
      <c r="AW46" s="312" t="str">
        <f t="shared" si="70"/>
        <v/>
      </c>
      <c r="AX46" s="312" t="str">
        <f t="shared" si="70"/>
        <v/>
      </c>
      <c r="AY46" s="312" t="str">
        <f t="shared" si="70"/>
        <v/>
      </c>
      <c r="AZ46" s="312">
        <f t="shared" si="70"/>
        <v>8.8486745407011874E-2</v>
      </c>
    </row>
    <row r="47" spans="1:55" ht="20">
      <c r="A47" s="311" t="s">
        <v>458</v>
      </c>
      <c r="B47" s="312">
        <f>IF(ISERROR(PEARSON($N$8:$N$39,B8:B39)),"",PEARSON($N$8:$N$39,B8:B39))</f>
        <v>0.67439889595630576</v>
      </c>
      <c r="C47" s="312">
        <f t="shared" ref="C47:AZ47" si="71">IF(ISERROR(PEARSON($N$8:$N$39,C8:C39)),"",PEARSON($N$8:$N$39,C8:C39))</f>
        <v>0.67675708928778477</v>
      </c>
      <c r="D47" s="312">
        <f t="shared" si="71"/>
        <v>0.66083840813458694</v>
      </c>
      <c r="E47" s="312">
        <f t="shared" si="71"/>
        <v>0.59526472755854209</v>
      </c>
      <c r="F47" s="312">
        <f t="shared" si="71"/>
        <v>0.63286125860014297</v>
      </c>
      <c r="G47" s="312">
        <f t="shared" si="71"/>
        <v>0.4789902046419105</v>
      </c>
      <c r="H47" s="312">
        <f t="shared" si="71"/>
        <v>0.60888571190302643</v>
      </c>
      <c r="I47" s="312">
        <f t="shared" si="71"/>
        <v>0.61170620405367959</v>
      </c>
      <c r="J47" s="312">
        <f t="shared" si="71"/>
        <v>0.45362575085062379</v>
      </c>
      <c r="K47" s="312">
        <f t="shared" si="71"/>
        <v>0.40531705360700404</v>
      </c>
      <c r="L47" s="312">
        <f t="shared" si="71"/>
        <v>0.9889565427114384</v>
      </c>
      <c r="M47" s="312">
        <f t="shared" si="71"/>
        <v>0.84534099844773358</v>
      </c>
      <c r="N47" s="312">
        <f t="shared" si="71"/>
        <v>0.99999999999999978</v>
      </c>
      <c r="O47" s="312">
        <f t="shared" si="71"/>
        <v>0.90456660987772464</v>
      </c>
      <c r="P47" s="312">
        <f t="shared" si="71"/>
        <v>0.87937314921044218</v>
      </c>
      <c r="Q47" s="312">
        <f t="shared" si="71"/>
        <v>0.98319024211129191</v>
      </c>
      <c r="R47" s="312">
        <f t="shared" si="71"/>
        <v>0.27612971935419284</v>
      </c>
      <c r="S47" s="312">
        <f t="shared" si="71"/>
        <v>-9.1544667898341286E-2</v>
      </c>
      <c r="T47" s="312">
        <f t="shared" si="71"/>
        <v>-2.3704357472193432E-2</v>
      </c>
      <c r="U47" s="312">
        <f t="shared" si="71"/>
        <v>0.1387177683191424</v>
      </c>
      <c r="V47" s="312">
        <f t="shared" si="71"/>
        <v>0.19408548818962981</v>
      </c>
      <c r="W47" s="312">
        <f t="shared" si="71"/>
        <v>0.39593660272946291</v>
      </c>
      <c r="X47" s="312">
        <f t="shared" si="71"/>
        <v>0.65016244175899962</v>
      </c>
      <c r="Y47" s="312">
        <f t="shared" si="71"/>
        <v>0.43453906901240247</v>
      </c>
      <c r="Z47" s="312">
        <f t="shared" si="71"/>
        <v>0.49872140454697811</v>
      </c>
      <c r="AA47" s="312">
        <f t="shared" si="71"/>
        <v>0.32684620328971181</v>
      </c>
      <c r="AB47" s="312">
        <f t="shared" si="71"/>
        <v>0.59323222391550889</v>
      </c>
      <c r="AC47" s="312">
        <f t="shared" si="71"/>
        <v>0.65739525793451126</v>
      </c>
      <c r="AD47" s="312">
        <f t="shared" si="71"/>
        <v>0.53387606763318496</v>
      </c>
      <c r="AE47" s="312">
        <f t="shared" si="71"/>
        <v>0.17272062543788624</v>
      </c>
      <c r="AF47" s="312">
        <f t="shared" si="71"/>
        <v>0.35374059208275882</v>
      </c>
      <c r="AG47" s="312">
        <f t="shared" si="71"/>
        <v>0.34778331818023422</v>
      </c>
      <c r="AH47" s="312">
        <f t="shared" si="71"/>
        <v>0.67098530800407286</v>
      </c>
      <c r="AI47" s="312">
        <f t="shared" si="71"/>
        <v>8.8776509784504548E-2</v>
      </c>
      <c r="AJ47" s="312">
        <f t="shared" si="71"/>
        <v>0.68374306189904455</v>
      </c>
      <c r="AK47" s="312">
        <f t="shared" si="71"/>
        <v>0.54004945770477741</v>
      </c>
      <c r="AL47" s="312">
        <f t="shared" si="71"/>
        <v>0.68313541658006272</v>
      </c>
      <c r="AM47" s="312">
        <f t="shared" si="71"/>
        <v>0.13225222243943704</v>
      </c>
      <c r="AN47" s="312">
        <f t="shared" si="71"/>
        <v>0.45196007914301861</v>
      </c>
      <c r="AO47" s="312">
        <f t="shared" si="71"/>
        <v>0.28057943214922615</v>
      </c>
      <c r="AP47" s="312">
        <f t="shared" si="71"/>
        <v>0.89359917688622437</v>
      </c>
      <c r="AQ47" s="312" t="str">
        <f t="shared" si="71"/>
        <v/>
      </c>
      <c r="AR47" s="312" t="str">
        <f t="shared" si="71"/>
        <v/>
      </c>
      <c r="AS47" s="312" t="str">
        <f t="shared" si="71"/>
        <v/>
      </c>
      <c r="AT47" s="312" t="str">
        <f t="shared" si="71"/>
        <v/>
      </c>
      <c r="AU47" s="312" t="str">
        <f t="shared" si="71"/>
        <v/>
      </c>
      <c r="AV47" s="312" t="str">
        <f t="shared" si="71"/>
        <v/>
      </c>
      <c r="AW47" s="312" t="str">
        <f t="shared" si="71"/>
        <v/>
      </c>
      <c r="AX47" s="312" t="str">
        <f t="shared" si="71"/>
        <v/>
      </c>
      <c r="AY47" s="312" t="str">
        <f t="shared" si="71"/>
        <v/>
      </c>
      <c r="AZ47" s="312">
        <f t="shared" si="71"/>
        <v>0.13704182042911955</v>
      </c>
    </row>
    <row r="48" spans="1:55">
      <c r="A48" s="356" t="s">
        <v>178</v>
      </c>
      <c r="B48" s="357">
        <f t="shared" ref="B48:AG48" si="72">IF(ISERROR(((AVERAGE(B8:B39))-(AVERAGE($V8:$V39)))/STDEV(B8:B39)),"",((AVERAGE(B8:B39))-(AVERAGE($V8:$V39)))/STDEV(B8:B39))</f>
        <v>0.49357224005145689</v>
      </c>
      <c r="C48" s="357">
        <f t="shared" si="72"/>
        <v>0.5058725911370594</v>
      </c>
      <c r="D48" s="357">
        <f t="shared" si="72"/>
        <v>0.50155440183602684</v>
      </c>
      <c r="E48" s="357">
        <f t="shared" si="72"/>
        <v>0.46707193577092559</v>
      </c>
      <c r="F48" s="357">
        <f t="shared" si="72"/>
        <v>0.58527570340969792</v>
      </c>
      <c r="G48" s="357">
        <f t="shared" si="72"/>
        <v>0.49313244864353972</v>
      </c>
      <c r="H48" s="357">
        <f t="shared" si="72"/>
        <v>0.44079471278130672</v>
      </c>
      <c r="I48" s="357">
        <f t="shared" si="72"/>
        <v>0.39759971951655615</v>
      </c>
      <c r="J48" s="357">
        <f t="shared" si="72"/>
        <v>0.40781444719251775</v>
      </c>
      <c r="K48" s="357">
        <f t="shared" si="72"/>
        <v>0.48635716472959606</v>
      </c>
      <c r="L48" s="357">
        <f t="shared" si="72"/>
        <v>0.32980607380225202</v>
      </c>
      <c r="M48" s="357">
        <f t="shared" si="72"/>
        <v>0.46009469206264209</v>
      </c>
      <c r="N48" s="357">
        <f t="shared" si="72"/>
        <v>0.35631243894298853</v>
      </c>
      <c r="O48" s="357">
        <f t="shared" si="72"/>
        <v>0.21303134306146485</v>
      </c>
      <c r="P48" s="357">
        <f t="shared" si="72"/>
        <v>0.41337932607730898</v>
      </c>
      <c r="Q48" s="357">
        <f t="shared" si="72"/>
        <v>0.38787844971275898</v>
      </c>
      <c r="R48" s="357">
        <f t="shared" si="72"/>
        <v>0.23520361158586414</v>
      </c>
      <c r="S48" s="357">
        <f t="shared" si="72"/>
        <v>0.49004846525639917</v>
      </c>
      <c r="T48" s="357">
        <f t="shared" si="72"/>
        <v>0.53790996680801173</v>
      </c>
      <c r="U48" s="357">
        <f t="shared" si="72"/>
        <v>0.61620391823771614</v>
      </c>
      <c r="V48" s="357">
        <f t="shared" si="72"/>
        <v>0</v>
      </c>
      <c r="W48" s="357">
        <f t="shared" si="72"/>
        <v>0.53239883670537924</v>
      </c>
      <c r="X48" s="357">
        <f t="shared" si="72"/>
        <v>0.66745283134239097</v>
      </c>
      <c r="Y48" s="357">
        <f t="shared" si="72"/>
        <v>0.71599506136701918</v>
      </c>
      <c r="Z48" s="357">
        <f t="shared" si="72"/>
        <v>0.44023840816769755</v>
      </c>
      <c r="AA48" s="357">
        <f t="shared" si="72"/>
        <v>0.822250787366547</v>
      </c>
      <c r="AB48" s="357">
        <f t="shared" si="72"/>
        <v>0.17902288256826721</v>
      </c>
      <c r="AC48" s="357">
        <f t="shared" si="72"/>
        <v>0.4752021423775224</v>
      </c>
      <c r="AD48" s="357">
        <f t="shared" si="72"/>
        <v>0.4902892385421867</v>
      </c>
      <c r="AE48" s="357">
        <f t="shared" si="72"/>
        <v>1.6008489971215706E-3</v>
      </c>
      <c r="AF48" s="357">
        <f t="shared" si="72"/>
        <v>0.56839436627611317</v>
      </c>
      <c r="AG48" s="357">
        <f t="shared" si="72"/>
        <v>0.52395436758038805</v>
      </c>
      <c r="AH48" s="357">
        <f t="shared" ref="AH48:AZ48" si="73">IF(ISERROR(((AVERAGE(AH8:AH39))-(AVERAGE($V8:$V39)))/STDEV(AH8:AH39)),"",((AVERAGE(AH8:AH39))-(AVERAGE($V8:$V39)))/STDEV(AH8:AH39))</f>
        <v>0.42797811573810407</v>
      </c>
      <c r="AI48" s="357">
        <f t="shared" si="73"/>
        <v>0.43313080682562854</v>
      </c>
      <c r="AJ48" s="357">
        <f t="shared" si="73"/>
        <v>0.41838702473711498</v>
      </c>
      <c r="AK48" s="357">
        <f t="shared" si="73"/>
        <v>0.59053540563036433</v>
      </c>
      <c r="AL48" s="357">
        <f t="shared" si="73"/>
        <v>0.45146060784909509</v>
      </c>
      <c r="AM48" s="357">
        <f t="shared" si="73"/>
        <v>0.34112876884714594</v>
      </c>
      <c r="AN48" s="357">
        <f t="shared" si="73"/>
        <v>0.52510446168243619</v>
      </c>
      <c r="AO48" s="357">
        <f t="shared" si="73"/>
        <v>7.1220129638759802E-2</v>
      </c>
      <c r="AP48" s="357">
        <f t="shared" si="73"/>
        <v>0.40452998040870747</v>
      </c>
      <c r="AQ48" s="357" t="str">
        <f t="shared" si="73"/>
        <v/>
      </c>
      <c r="AR48" s="357" t="str">
        <f t="shared" si="73"/>
        <v/>
      </c>
      <c r="AS48" s="357" t="str">
        <f t="shared" si="73"/>
        <v/>
      </c>
      <c r="AT48" s="357" t="str">
        <f t="shared" si="73"/>
        <v/>
      </c>
      <c r="AU48" s="357" t="str">
        <f t="shared" si="73"/>
        <v/>
      </c>
      <c r="AV48" s="357" t="str">
        <f t="shared" si="73"/>
        <v/>
      </c>
      <c r="AW48" s="357" t="str">
        <f t="shared" si="73"/>
        <v/>
      </c>
      <c r="AX48" s="357" t="str">
        <f t="shared" si="73"/>
        <v/>
      </c>
      <c r="AY48" s="357" t="str">
        <f t="shared" si="73"/>
        <v/>
      </c>
      <c r="AZ48" s="357">
        <f t="shared" si="73"/>
        <v>-0.74112000583354387</v>
      </c>
    </row>
    <row r="49" spans="1:55" s="316" customFormat="1" thickBot="1">
      <c r="A49" s="358" t="s">
        <v>283</v>
      </c>
      <c r="B49" s="359">
        <f t="array" ref="B49">IF(ISERROR(PRODUCT(1+B8:B38%)),"",PRODUCT(1+B8:B38%))</f>
        <v>23.703799457344104</v>
      </c>
      <c r="C49" s="359">
        <f t="array" ref="C49">IF(ISERROR(PRODUCT(1+C8:C38%)),"",PRODUCT(1+C8:C38%))</f>
        <v>22.856642523361877</v>
      </c>
      <c r="D49" s="359">
        <f t="array" ref="D49">IF(ISERROR(PRODUCT(1+D8:D38%)),"",PRODUCT(1+D8:D38%))</f>
        <v>24.248237666408311</v>
      </c>
      <c r="E49" s="359">
        <f t="array" ref="E49">IF(ISERROR(PRODUCT(1+E8:E38%)),"",PRODUCT(1+E8:E38%))</f>
        <v>25.700659044691534</v>
      </c>
      <c r="F49" s="359">
        <f t="array" ref="F49">IF(ISERROR(PRODUCT(1+F8:F38%)),"",PRODUCT(1+F8:F38%))</f>
        <v>38.055021747377332</v>
      </c>
      <c r="G49" s="359">
        <f t="array" ref="G49">IF(ISERROR(PRODUCT(1+G8:G38%)),"",PRODUCT(1+G8:G38%))</f>
        <v>26.608127587150666</v>
      </c>
      <c r="H49" s="359">
        <f t="array" ref="H49">IF(ISERROR(PRODUCT(1+H8:H38%)),"",PRODUCT(1+H8:H38%))</f>
        <v>21.432776985031037</v>
      </c>
      <c r="I49" s="359">
        <f t="array" ref="I49">IF(ISERROR(PRODUCT(1+I8:I38%)),"",PRODUCT(1+I8:I38%))</f>
        <v>17.092465727406875</v>
      </c>
      <c r="J49" s="359">
        <f t="array" ref="J49">IF(ISERROR(PRODUCT(1+J8:J38%)),"",PRODUCT(1+J8:J38%))</f>
        <v>23.911724554837843</v>
      </c>
      <c r="K49" s="359">
        <f t="array" ref="K49">IF(ISERROR(PRODUCT(1+K8:K38%)),"",PRODUCT(1+K8:K38%))</f>
        <v>23.659745466538826</v>
      </c>
      <c r="L49" s="359">
        <f t="array" ref="L49">IF(ISERROR(PRODUCT(1+L8:L38%)),"",PRODUCT(1+L8:L38%))</f>
        <v>13.855272391431527</v>
      </c>
      <c r="M49" s="359">
        <f t="array" ref="M49">IF(ISERROR(PRODUCT(1+M8:M38%)),"",PRODUCT(1+M8:M38%))</f>
        <v>62.321965461826828</v>
      </c>
      <c r="N49" s="359">
        <f t="array" ref="N49">IF(ISERROR(PRODUCT(1+N8:N38%)),"",PRODUCT(1+N8:N38%))</f>
        <v>16.881220073117159</v>
      </c>
      <c r="O49" s="359">
        <f t="array" ref="O49">IF(ISERROR(PRODUCT(1+O8:O38%)),"",PRODUCT(1+O8:O38%))</f>
        <v>6.5226925008515613</v>
      </c>
      <c r="P49" s="359">
        <f t="array" ref="P49">IF(ISERROR(PRODUCT(1+P8:P38%)),"",PRODUCT(1+P8:P38%))</f>
        <v>23.737305588288443</v>
      </c>
      <c r="Q49" s="359">
        <f t="array" ref="Q49">IF(ISERROR(PRODUCT(1+Q8:Q38%)),"",PRODUCT(1+Q8:Q38%))</f>
        <v>20.487342556557167</v>
      </c>
      <c r="R49" s="359">
        <f t="array" ref="R49">IF(ISERROR(PRODUCT(1+R8:R38%)),"",PRODUCT(1+R8:R38%))</f>
        <v>6.7184311293619459</v>
      </c>
      <c r="S49" s="359">
        <f t="array" ref="S49">IF(ISERROR(PRODUCT(1+S8:S38%)),"",PRODUCT(1+S8:S38%))</f>
        <v>14.180814459629151</v>
      </c>
      <c r="T49" s="359">
        <f t="array" ref="T49">IF(ISERROR(PRODUCT(1+T8:T38%)),"",PRODUCT(1+T8:T38%))</f>
        <v>8.2772340941358618</v>
      </c>
      <c r="U49" s="359">
        <f t="array" ref="U49">IF(ISERROR(PRODUCT(1+U8:U38%)),"",PRODUCT(1+U8:U38%))</f>
        <v>7.5235292507465426</v>
      </c>
      <c r="V49" s="359">
        <f t="array" ref="V49">IF(ISERROR(PRODUCT(1+V8:V38%)),"",PRODUCT(1+V8:V38%))</f>
        <v>2.9843838444987565</v>
      </c>
      <c r="W49" s="359">
        <f t="array" ref="W49">IF(ISERROR(PRODUCT(1+W8:W38%)),"",PRODUCT(1+W8:W38%))</f>
        <v>7.9236920506286257</v>
      </c>
      <c r="X49" s="359">
        <f t="array" ref="X49">IF(ISERROR(PRODUCT(1+X8:X38%)),"",PRODUCT(1+X8:X38%))</f>
        <v>22.205539436954279</v>
      </c>
      <c r="Y49" s="359">
        <f t="array" ref="Y49">IF(ISERROR(PRODUCT(1+Y8:Y38%)),"",PRODUCT(1+Y8:Y38%))</f>
        <v>17.334487346841943</v>
      </c>
      <c r="Z49" s="359">
        <f t="array" ref="Z49">IF(ISERROR(PRODUCT(1+Z8:Z38%)),"",PRODUCT(1+Z8:Z38%))</f>
        <v>23.695880649239612</v>
      </c>
      <c r="AA49" s="359">
        <f t="array" ref="AA49">IF(ISERROR(PRODUCT(1+AA8:AA38%)),"",PRODUCT(1+AA8:AA38%))</f>
        <v>144.03649961023183</v>
      </c>
      <c r="AB49" s="359">
        <f t="array" ref="AB49">IF(ISERROR(PRODUCT(1+AB8:AB38%)),"",PRODUCT(1+AB8:AB38%))</f>
        <v>3.8019109591162561</v>
      </c>
      <c r="AC49" s="359">
        <f t="array" ref="AC49">IF(ISERROR(PRODUCT(1+AC8:AC38%)),"",PRODUCT(1+AC8:AC38%))</f>
        <v>21.875600781174516</v>
      </c>
      <c r="AD49" s="359">
        <f t="array" ref="AD49">IF(ISERROR(PRODUCT(1+AD8:AD38%)),"",PRODUCT(1+AD8:AD38%))</f>
        <v>21.408893550887576</v>
      </c>
      <c r="AE49" s="359">
        <f t="array" ref="AE49">IF(ISERROR(PRODUCT(1+AE8:AE38%)),"",PRODUCT(1+AE8:AE38%))</f>
        <v>2.9985421518687096</v>
      </c>
      <c r="AF49" s="359">
        <f t="array" ref="AF49">IF(ISERROR(PRODUCT(1+AF8:AF38%)),"",PRODUCT(1+AF8:AF38%))</f>
        <v>6.6561518387154921</v>
      </c>
      <c r="AG49" s="359">
        <f t="array" ref="AG49">IF(ISERROR(PRODUCT(1+AG8:AG38%)),"",PRODUCT(1+AG8:AG38%))</f>
        <v>8.2003628465847775</v>
      </c>
      <c r="AH49" s="359">
        <f t="array" ref="AH49">IF(ISERROR(PRODUCT(1+AH8:AH38%)),"",PRODUCT(1+AH8:AH38%))</f>
        <v>9.0614132747995786</v>
      </c>
      <c r="AI49" s="359">
        <f t="array" ref="AI49">IF(ISERROR(PRODUCT(1+AI8:AI38%)),"",PRODUCT(1+AI8:AI38%))</f>
        <v>4.8671212224601552</v>
      </c>
      <c r="AJ49" s="359">
        <f t="array" ref="AJ49">IF(ISERROR(PRODUCT(1+AJ8:AJ38%)),"",PRODUCT(1+AJ8:AJ38%))</f>
        <v>24.247613785721196</v>
      </c>
      <c r="AK49" s="359">
        <f t="array" ref="AK49">IF(ISERROR(PRODUCT(1+AK8:AK38%)),"",PRODUCT(1+AK8:AK38%))</f>
        <v>41.300136792843631</v>
      </c>
      <c r="AL49" s="359">
        <f t="array" ref="AL49">IF(ISERROR(PRODUCT(1+AL8:AL38%)),"",PRODUCT(1+AL8:AL38%))</f>
        <v>23.48450994651207</v>
      </c>
      <c r="AM49" s="359">
        <f t="array" ref="AM49">IF(ISERROR(PRODUCT(1+AM8:AM38%)),"",PRODUCT(1+AM8:AM38%))</f>
        <v>5.94660482166113</v>
      </c>
      <c r="AN49" s="359">
        <f t="array" ref="AN49">IF(ISERROR(PRODUCT(1+AN8:AN38%)),"",PRODUCT(1+AN8:AN38%))</f>
        <v>5.9038995583096101</v>
      </c>
      <c r="AO49" s="359">
        <f t="array" ref="AO49">IF(ISERROR(PRODUCT(1+AO8:AO38%)),"",PRODUCT(1+AO8:AO38%))</f>
        <v>3.0153251228170217</v>
      </c>
      <c r="AP49" s="359">
        <f t="array" ref="AP49">IF(ISERROR(PRODUCT(1+AP8:AP38%)),"",PRODUCT(1+AP8:AP38%))</f>
        <v>32.720259013681968</v>
      </c>
      <c r="AQ49" s="359" t="str">
        <f t="array" ref="AQ49">IF(ISERROR(PRODUCT(1+AQ8:AQ38%)),"",PRODUCT(1+AQ8:AQ38%))</f>
        <v/>
      </c>
      <c r="AR49" s="359" t="str">
        <f t="array" ref="AR49">IF(ISERROR(PRODUCT(1+AR8:AR38%)),"",PRODUCT(1+AR8:AR38%))</f>
        <v/>
      </c>
      <c r="AS49" s="359" t="str">
        <f t="array" ref="AS49">IF(ISERROR(PRODUCT(1+AS8:AS38%)),"",PRODUCT(1+AS8:AS38%))</f>
        <v/>
      </c>
      <c r="AT49" s="359" t="str">
        <f t="array" ref="AT49">IF(ISERROR(PRODUCT(1+AT8:AT38%)),"",PRODUCT(1+AT8:AT38%))</f>
        <v/>
      </c>
      <c r="AU49" s="359" t="str">
        <f t="array" ref="AU49">IF(ISERROR(PRODUCT(1+AU8:AU38%)),"",PRODUCT(1+AU8:AU38%))</f>
        <v/>
      </c>
      <c r="AV49" s="359" t="str">
        <f t="array" ref="AV49">IF(ISERROR(PRODUCT(1+AV8:AV38%)),"",PRODUCT(1+AV8:AV38%))</f>
        <v/>
      </c>
      <c r="AW49" s="359" t="str">
        <f t="array" ref="AW49">IF(ISERROR(PRODUCT(1+AW8:AW38%)),"",PRODUCT(1+AW8:AW38%))</f>
        <v/>
      </c>
      <c r="AX49" s="359" t="str">
        <f t="array" ref="AX49">IF(ISERROR(PRODUCT(1+AX8:AX38%)),"",PRODUCT(1+AX8:AX38%))</f>
        <v/>
      </c>
      <c r="AY49" s="359" t="str">
        <f t="array" ref="AY49">IF(ISERROR(PRODUCT(1+AY8:AY38%)),"",PRODUCT(1+AY8:AY38%))</f>
        <v/>
      </c>
      <c r="AZ49" s="359">
        <f t="array" ref="AZ49">IF(ISERROR(PRODUCT(1+AZ8:AZ38%)),"",PRODUCT(1+AZ8:AZ38%))</f>
        <v>2.2462013295346628</v>
      </c>
    </row>
    <row r="50" spans="1:55" ht="14" thickTop="1" thickBot="1">
      <c r="A50" s="317" t="s">
        <v>459</v>
      </c>
      <c r="B50" s="519" t="str">
        <f>INDEX(B2:AP2,MATCH(MAX(B44:AP44),B44:AP44,0))</f>
        <v>VGHCX</v>
      </c>
    </row>
    <row r="51" spans="1:55" ht="13" thickTop="1"/>
    <row r="54" spans="1:55" s="181" customFormat="1" ht="36">
      <c r="A54" s="65" t="s">
        <v>440</v>
      </c>
      <c r="B54" s="65" t="str">
        <f>IF(Data_85_15!B$1="","",Data_85_15!B$1)</f>
        <v>MKT-TSM</v>
      </c>
      <c r="C54" s="65" t="str">
        <f>IF(Data_85_15!C$1="","",Data_85_15!C$1)</f>
        <v>LCV</v>
      </c>
      <c r="D54" s="65" t="str">
        <f>IF(Data_85_15!D$1="","",Data_85_15!D$1)</f>
        <v>500 Idx</v>
      </c>
      <c r="E54" s="65" t="str">
        <f>IF(Data_85_15!E$1="","",Data_85_15!E$1)</f>
        <v>LCG</v>
      </c>
      <c r="F54" s="65" t="str">
        <f>IF(Data_85_15!F$1="","",Data_85_15!F$1)</f>
        <v>MCB</v>
      </c>
      <c r="G54" s="65" t="str">
        <f>IF(Data_85_15!G$1="","",Data_85_15!G$1)</f>
        <v>SCV</v>
      </c>
      <c r="H54" s="65" t="str">
        <f>IF(Data_85_15!H$1="","",Data_85_15!H$1)</f>
        <v>SCB</v>
      </c>
      <c r="I54" s="65" t="str">
        <f>IF(Data_85_15!I$1="","",Data_85_15!I$1)</f>
        <v>SCG</v>
      </c>
      <c r="J54" s="65" t="str">
        <f>IF(Data_85_15!J$1="","",Data_85_15!J$1)</f>
        <v>D10</v>
      </c>
      <c r="K54" s="65" t="str">
        <f>IF(Data_85_15!K$1="","",Data_85_15!K$1)</f>
        <v>REIT</v>
      </c>
      <c r="L54" s="65" t="str">
        <f>IF(Data_85_15!L$1="","",Data_85_15!L$1)</f>
        <v>EAFED</v>
      </c>
      <c r="M54" s="65" t="str">
        <f>IF(Data_85_15!M$1="","",Data_85_15!M$1)</f>
        <v>EM</v>
      </c>
      <c r="N54" s="65" t="str">
        <f>IF(Data_85_15!N$1="","",Data_85_15!N$1)</f>
        <v>Total Intl</v>
      </c>
      <c r="O54" s="65" t="str">
        <f>IF(Data_85_15!O$1="","",Data_85_15!O$1)</f>
        <v>Pacific</v>
      </c>
      <c r="P54" s="65" t="str">
        <f>IF(Data_85_15!P$1="","",Data_85_15!P$1)</f>
        <v>Europe</v>
      </c>
      <c r="Q54" s="65" t="str">
        <f>IF(Data_85_15!Q$1="","",Data_85_15!Q$1)</f>
        <v>Intl Value</v>
      </c>
      <c r="R54" s="65" t="str">
        <f>IF(Data_85_15!R$1="","",Data_85_15!R$1)</f>
        <v>COMM</v>
      </c>
      <c r="S54" s="65" t="str">
        <f>IF(Data_85_15!S$1="","",Data_85_15!S$1)</f>
        <v>LTGB</v>
      </c>
      <c r="T54" s="65" t="str">
        <f>IF(Data_85_15!T$1="","",Data_85_15!T$1)</f>
        <v>5 Yr T</v>
      </c>
      <c r="U54" s="65" t="str">
        <f>IF(Data_85_15!U$1="","",Data_85_15!U$1)</f>
        <v>ITB</v>
      </c>
      <c r="V54" s="65" t="str">
        <f>IF(Data_85_15!V$1="","",Data_85_15!V$1)</f>
        <v>TBILL</v>
      </c>
      <c r="W54" s="65" t="str">
        <f>IF(Data_85_15!W$1="","",Data_85_15!W$1)</f>
        <v>TIPS</v>
      </c>
      <c r="X54" s="65" t="str">
        <f>IF(Data_85_15!X$1="","",Data_85_15!X$1)</f>
        <v>Wellington</v>
      </c>
      <c r="Y54" s="65" t="str">
        <f>IF(Data_85_15!Y$1="","",Data_85_15!Y$1)</f>
        <v>Wellesley</v>
      </c>
      <c r="Z54" s="65" t="str">
        <f>IF(Data_85_15!Z$1="","",Data_85_15!Z$1)</f>
        <v>Energy</v>
      </c>
      <c r="AA54" s="65" t="str">
        <f>IF(Data_85_15!AA$1="","",Data_85_15!AA$1)</f>
        <v>Health</v>
      </c>
      <c r="AB54" s="65" t="str">
        <f>IF(Data_85_15!AB$1="","",Data_85_15!AB$1)</f>
        <v>P.Metals</v>
      </c>
      <c r="AC54" s="65" t="str">
        <f>IF(Data_85_15!AC$1="","",Data_85_15!AC$1)</f>
        <v>Windsor</v>
      </c>
      <c r="AD54" s="65" t="str">
        <f>IF(Data_85_15!AD$1="","",Data_85_15!AD$1)</f>
        <v>Windsor II</v>
      </c>
      <c r="AE54" s="65" t="str">
        <f>IF(Data_85_15!AE$1="","",Data_85_15!AE$1)</f>
        <v>V ST TE</v>
      </c>
      <c r="AF54" s="65" t="str">
        <f>IF(Data_85_15!AF$1="","",Data_85_15!AF$1)</f>
        <v>V Int TE</v>
      </c>
      <c r="AG54" s="65" t="str">
        <f>IF(Data_85_15!AG$1="","",Data_85_15!AG$1)</f>
        <v>V LT TE</v>
      </c>
      <c r="AH54" s="65" t="str">
        <f>IF(Data_85_15!AH$1="","",Data_85_15!AH$1)</f>
        <v>Hi-Yld C</v>
      </c>
      <c r="AI54" s="65" t="str">
        <f>IF(Data_85_15!AI$1="","",Data_85_15!AI$1)</f>
        <v>ST Treasury</v>
      </c>
      <c r="AJ54" s="65" t="str">
        <f>IF(Data_85_15!AJ$1="","",Data_85_15!AJ$1)</f>
        <v>MidCap Growth</v>
      </c>
      <c r="AK54" s="65" t="str">
        <f>IF(Data_85_15!AK$1="","",Data_85_15!AK$1)</f>
        <v>MidCap Val</v>
      </c>
      <c r="AL54" s="65" t="str">
        <f>IF(Data_85_15!AL$1="","",Data_85_15!AL$1)</f>
        <v>V Ext Mkt</v>
      </c>
      <c r="AM54" s="65" t="str">
        <f>IF(Data_85_15!AM$1="","",Data_85_15!AM$1)</f>
        <v>Global Bond Fund</v>
      </c>
      <c r="AN54" s="65" t="str">
        <f>IF(Data_85_15!AN$1="","",Data_85_15!AN$1)</f>
        <v>ST Investment Grade</v>
      </c>
      <c r="AO54" s="65" t="str">
        <f>IF(Data_85_15!AO$1="","",Data_85_15!AO$1)</f>
        <v>GOLD</v>
      </c>
      <c r="AP54" s="65" t="str">
        <f>IF(Data_85_15!AP$1="","",Data_85_15!AP$1)</f>
        <v>VG Intl Small</v>
      </c>
      <c r="AQ54" s="65" t="str">
        <f>IF(Data_85_15!AQ$1="","",Data_85_15!AQ$1)</f>
        <v/>
      </c>
      <c r="AR54" s="65" t="str">
        <f>IF(Data_85_15!AR$1="","",Data_85_15!AR$1)</f>
        <v/>
      </c>
      <c r="AS54" s="65" t="str">
        <f>IF(Data_85_15!AS$1="","",Data_85_15!AS$1)</f>
        <v/>
      </c>
      <c r="AT54" s="65" t="str">
        <f>IF(Data_85_15!AT$1="","",Data_85_15!AT$1)</f>
        <v/>
      </c>
      <c r="AU54" s="65" t="str">
        <f>IF(Data_85_15!AU$1="","",Data_85_15!AU$1)</f>
        <v/>
      </c>
      <c r="AV54" s="65" t="str">
        <f>IF(Data_85_15!AV$1="","",Data_85_15!AV$1)</f>
        <v/>
      </c>
      <c r="AW54" s="65" t="str">
        <f>IF(Data_85_15!AW$1="","",Data_85_15!AW$1)</f>
        <v/>
      </c>
      <c r="AX54" s="65" t="str">
        <f>IF(Data_85_15!AX$1="","",Data_85_15!AX$1)</f>
        <v/>
      </c>
      <c r="AY54" s="65" t="str">
        <f>IF(Data_85_15!AY$1="","",Data_85_15!AY$1)</f>
        <v/>
      </c>
      <c r="AZ54" s="65" t="s">
        <v>391</v>
      </c>
    </row>
    <row r="55" spans="1:55">
      <c r="A55" s="22">
        <f>A2</f>
        <v>2015</v>
      </c>
      <c r="B55" s="355" t="str">
        <f>IF(Data_85_15!B$2="","",Data_85_15!B$2)</f>
        <v>VTSMX</v>
      </c>
      <c r="C55" s="355" t="str">
        <f>IF(Data_85_15!C$2="","",Data_85_15!C$2)</f>
        <v>VIVAX</v>
      </c>
      <c r="D55" s="355" t="str">
        <f>IF(Data_85_15!D$2="","",Data_85_15!D$2)</f>
        <v>VFINX</v>
      </c>
      <c r="E55" s="355" t="str">
        <f>IF(Data_85_15!E$2="","",Data_85_15!E$2)</f>
        <v>VIGRX</v>
      </c>
      <c r="F55" s="355" t="str">
        <f>IF(Data_85_15!F$2="","",Data_85_15!F$2)</f>
        <v>VIMSX</v>
      </c>
      <c r="G55" s="355" t="str">
        <f>IF(Data_85_15!G$2="","",Data_85_15!G$2)</f>
        <v>VISVX</v>
      </c>
      <c r="H55" s="355" t="str">
        <f>IF(Data_85_15!H$2="","",Data_85_15!H$2)</f>
        <v>NAESX</v>
      </c>
      <c r="I55" s="355" t="str">
        <f>IF(Data_85_15!I$2="","",Data_85_15!I$2)</f>
        <v>VISGX</v>
      </c>
      <c r="J55" s="355" t="str">
        <f>IF(Data_85_15!J$2="","",Data_85_15!J$2)</f>
        <v>BRSIX</v>
      </c>
      <c r="K55" s="355" t="str">
        <f>IF(Data_85_15!K$2="","",Data_85_15!K$2)</f>
        <v>VGSIX</v>
      </c>
      <c r="L55" s="355" t="str">
        <f>IF(Data_85_15!L$2="","",Data_85_15!L$2)</f>
        <v>VTMGX</v>
      </c>
      <c r="M55" s="355" t="str">
        <f>IF(Data_85_15!M$2="","",Data_85_15!M$2)</f>
        <v>VEIEX</v>
      </c>
      <c r="N55" s="355" t="str">
        <f>IF(Data_85_15!N$2="","",Data_85_15!N$2)</f>
        <v>VGTSX</v>
      </c>
      <c r="O55" s="355" t="str">
        <f>IF(Data_85_15!O$2="","",Data_85_15!O$2)</f>
        <v>VPACX</v>
      </c>
      <c r="P55" s="355" t="str">
        <f>IF(Data_85_15!P$2="","",Data_85_15!P$2)</f>
        <v>VEURX</v>
      </c>
      <c r="Q55" s="355" t="str">
        <f>IF(Data_85_15!Q$2="","",Data_85_15!Q$2)</f>
        <v>VTRIX</v>
      </c>
      <c r="R55" s="355" t="str">
        <f>IF(Data_85_15!R$2="","",Data_85_15!R$2)</f>
        <v>PCRIX</v>
      </c>
      <c r="S55" s="355" t="str">
        <f>IF(Data_85_15!S$2="","",Data_85_15!S$2)</f>
        <v>VUSTX</v>
      </c>
      <c r="T55" s="355" t="str">
        <f>IF(Data_85_15!T$2="","",Data_85_15!T$2)</f>
        <v>VFITX</v>
      </c>
      <c r="U55" s="355" t="str">
        <f>IF(Data_85_15!U$2="","",Data_85_15!U$2)</f>
        <v>VBMFX</v>
      </c>
      <c r="V55" s="355" t="str">
        <f>IF(Data_85_15!V$2="","",Data_85_15!V$2)</f>
        <v>VUSXX</v>
      </c>
      <c r="W55" s="355" t="str">
        <f>IF(Data_85_15!W$2="","",Data_85_15!W$2)</f>
        <v>VIPSX</v>
      </c>
      <c r="X55" s="355" t="str">
        <f>IF(Data_85_15!X$2="","",Data_85_15!X$2)</f>
        <v>VWELX</v>
      </c>
      <c r="Y55" s="355" t="str">
        <f>IF(Data_85_15!Y$2="","",Data_85_15!Y$2)</f>
        <v>VWINX</v>
      </c>
      <c r="Z55" s="355" t="str">
        <f>IF(Data_85_15!Z$2="","",Data_85_15!Z$2)</f>
        <v>VGENX</v>
      </c>
      <c r="AA55" s="355" t="str">
        <f>IF(Data_85_15!AA$2="","",Data_85_15!AA$2)</f>
        <v>VGHCX</v>
      </c>
      <c r="AB55" s="355" t="str">
        <f>IF(Data_85_15!AB$2="","",Data_85_15!AB$2)</f>
        <v>VGPMX</v>
      </c>
      <c r="AC55" s="355" t="str">
        <f>IF(Data_85_15!AC$2="","",Data_85_15!AC$2)</f>
        <v>VWNDX</v>
      </c>
      <c r="AD55" s="355" t="str">
        <f>IF(Data_85_15!AD$2="","",Data_85_15!AD$2)</f>
        <v>VWNFX</v>
      </c>
      <c r="AE55" s="355" t="str">
        <f>IF(Data_85_15!AE$2="","",Data_85_15!AE$2)</f>
        <v>VWSTX</v>
      </c>
      <c r="AF55" s="355" t="str">
        <f>IF(Data_85_15!AF$2="","",Data_85_15!AF$2)</f>
        <v>VWITX</v>
      </c>
      <c r="AG55" s="355" t="str">
        <f>IF(Data_85_15!AG$2="","",Data_85_15!AG$2)</f>
        <v>VWLTX</v>
      </c>
      <c r="AH55" s="355" t="str">
        <f>IF(Data_85_15!AH$2="","",Data_85_15!AH$2)</f>
        <v>VWEHX</v>
      </c>
      <c r="AI55" s="355" t="str">
        <f>IF(Data_85_15!AI$2="","",Data_85_15!AI$2)</f>
        <v>VFISX</v>
      </c>
      <c r="AJ55" s="355" t="str">
        <f>IF(Data_85_15!AJ$2="","",Data_85_15!AJ$2)</f>
        <v>VMGIX</v>
      </c>
      <c r="AK55" s="355" t="str">
        <f>IF(Data_85_15!AK$2="","",Data_85_15!AK$2)</f>
        <v>VMVIX</v>
      </c>
      <c r="AL55" s="355" t="str">
        <f>IF(Data_85_15!AL$2="","",Data_85_15!AL$2)</f>
        <v>VEXMX</v>
      </c>
      <c r="AM55" s="355" t="str">
        <f>IF(Data_85_15!AM$2="","",Data_85_15!AM$2)</f>
        <v>PIGLX</v>
      </c>
      <c r="AN55" s="355" t="str">
        <f>IF(Data_85_15!AN$2="","",Data_85_15!AN$2)</f>
        <v>VFSTX</v>
      </c>
      <c r="AO55" s="355" t="str">
        <f>IF(Data_85_15!AO$2="","",Data_85_15!AO$2)</f>
        <v>GLD</v>
      </c>
      <c r="AP55" s="355" t="str">
        <f>IF(Data_85_15!AP$2="","",Data_85_15!AP$2)</f>
        <v>VFSVX</v>
      </c>
      <c r="AQ55" s="355" t="str">
        <f>IF(Data_85_15!AQ$2="","",Data_85_15!AQ$2)</f>
        <v/>
      </c>
      <c r="AR55" s="355" t="str">
        <f>IF(Data_85_15!AR$2="","",Data_85_15!AR$2)</f>
        <v/>
      </c>
      <c r="AS55" s="355" t="str">
        <f>IF(Data_85_15!AS$2="","",Data_85_15!AS$2)</f>
        <v/>
      </c>
      <c r="AT55" s="355" t="str">
        <f>IF(Data_85_15!AT$2="","",Data_85_15!AT$2)</f>
        <v/>
      </c>
      <c r="AU55" s="355" t="str">
        <f>IF(Data_85_15!AU$2="","",Data_85_15!AU$2)</f>
        <v/>
      </c>
      <c r="AV55" s="355" t="str">
        <f>IF(Data_85_15!AV$2="","",Data_85_15!AV$2)</f>
        <v/>
      </c>
      <c r="AW55" s="355" t="str">
        <f>IF(Data_85_15!AW$2="","",Data_85_15!AW$2)</f>
        <v/>
      </c>
      <c r="AX55" s="355" t="str">
        <f>IF(Data_85_15!AX$2="","",Data_85_15!AX$2)</f>
        <v/>
      </c>
      <c r="AY55" s="355" t="str">
        <f>IF(Data_85_15!AY$2="","",Data_85_15!AY$2)</f>
        <v/>
      </c>
      <c r="AZ55" s="363" t="str">
        <f>AZ2</f>
        <v>CPI-U</v>
      </c>
      <c r="BB55" s="181"/>
      <c r="BC55" s="181"/>
    </row>
    <row r="56" spans="1:55">
      <c r="A56" s="58">
        <v>1985</v>
      </c>
      <c r="B56" s="321">
        <v>32.200000000000003</v>
      </c>
      <c r="C56" s="321">
        <v>31.5</v>
      </c>
      <c r="D56" s="366">
        <v>31.23</v>
      </c>
      <c r="E56" s="321">
        <v>32.9</v>
      </c>
      <c r="F56" s="321">
        <v>32</v>
      </c>
      <c r="G56" s="321">
        <v>31</v>
      </c>
      <c r="H56" s="321">
        <v>31.1</v>
      </c>
      <c r="I56" s="321">
        <v>31</v>
      </c>
      <c r="J56" s="321">
        <v>25.7</v>
      </c>
      <c r="K56" s="321">
        <v>19.100000000000001</v>
      </c>
      <c r="L56" s="321">
        <v>56.7</v>
      </c>
      <c r="M56" s="364">
        <v>60.9</v>
      </c>
      <c r="N56" s="364">
        <f t="shared" ref="N56:N67" si="74">(L56*0.85+M56*0.15)</f>
        <v>57.33</v>
      </c>
      <c r="O56" s="364">
        <v>39.39</v>
      </c>
      <c r="P56" s="364">
        <v>79.8</v>
      </c>
      <c r="Q56" s="320">
        <v>55.11</v>
      </c>
      <c r="R56" s="321">
        <v>13.03</v>
      </c>
      <c r="S56" s="321">
        <v>31</v>
      </c>
      <c r="T56" s="321">
        <v>20.586635543886089</v>
      </c>
      <c r="U56" s="321">
        <v>18</v>
      </c>
      <c r="V56" s="366">
        <v>7.37</v>
      </c>
      <c r="W56" s="610">
        <v>8.9</v>
      </c>
      <c r="X56" s="366">
        <v>28.53</v>
      </c>
      <c r="Y56" s="366">
        <v>27.41</v>
      </c>
      <c r="Z56" s="366">
        <v>14.43</v>
      </c>
      <c r="AA56" s="366">
        <v>45.76</v>
      </c>
      <c r="AB56" s="366">
        <v>-5.03</v>
      </c>
      <c r="AC56" s="366">
        <v>28.03</v>
      </c>
      <c r="AD56" s="366">
        <v>11.12</v>
      </c>
      <c r="AE56" s="366">
        <v>6.95</v>
      </c>
      <c r="AF56" s="366">
        <v>17.329999999999998</v>
      </c>
      <c r="AG56" s="366">
        <v>20.77</v>
      </c>
      <c r="AH56" s="366">
        <v>21.99</v>
      </c>
      <c r="AI56" s="321">
        <v>13.2</v>
      </c>
      <c r="AJ56" s="321">
        <v>32</v>
      </c>
      <c r="AK56" s="321">
        <v>32</v>
      </c>
      <c r="AL56" s="365">
        <v>31.6</v>
      </c>
      <c r="AM56" s="611">
        <v>1.65</v>
      </c>
      <c r="AN56" s="321">
        <v>14.9</v>
      </c>
      <c r="AO56" s="320">
        <v>5.679611650485441</v>
      </c>
      <c r="AP56" s="321">
        <v>67.5</v>
      </c>
      <c r="AQ56" s="366"/>
      <c r="AR56" s="366"/>
      <c r="AS56" s="366"/>
      <c r="AT56" s="366"/>
      <c r="AU56" s="366"/>
      <c r="AV56" s="366"/>
      <c r="AW56" s="366"/>
      <c r="AX56" s="366"/>
      <c r="AY56" s="366"/>
      <c r="AZ56" s="321">
        <v>3.7986704653371324</v>
      </c>
      <c r="BB56" s="181"/>
      <c r="BC56" s="181"/>
    </row>
    <row r="57" spans="1:55">
      <c r="A57" s="58">
        <f t="shared" ref="A57:A87" si="75">A56+1</f>
        <v>1986</v>
      </c>
      <c r="B57" s="321">
        <v>16.100000000000001</v>
      </c>
      <c r="C57" s="321">
        <v>20</v>
      </c>
      <c r="D57" s="321">
        <v>18.059999999999999</v>
      </c>
      <c r="E57" s="321">
        <v>15.4</v>
      </c>
      <c r="F57" s="321">
        <v>18.2</v>
      </c>
      <c r="G57" s="321">
        <v>7.4</v>
      </c>
      <c r="H57" s="321">
        <v>5.7</v>
      </c>
      <c r="I57" s="321">
        <v>3.6</v>
      </c>
      <c r="J57" s="321">
        <v>0.3</v>
      </c>
      <c r="K57" s="321">
        <v>19.2</v>
      </c>
      <c r="L57" s="321">
        <v>69.900000000000006</v>
      </c>
      <c r="M57" s="364">
        <v>62.7</v>
      </c>
      <c r="N57" s="364">
        <f t="shared" si="74"/>
        <v>68.820000000000007</v>
      </c>
      <c r="O57" s="364">
        <v>93.82</v>
      </c>
      <c r="P57" s="364">
        <v>44.5</v>
      </c>
      <c r="Q57" s="320">
        <v>65.37</v>
      </c>
      <c r="R57" s="321">
        <v>-6.19</v>
      </c>
      <c r="S57" s="321">
        <v>24.5</v>
      </c>
      <c r="T57" s="321">
        <v>18.257338627116315</v>
      </c>
      <c r="U57" s="321">
        <v>13.1</v>
      </c>
      <c r="V57" s="321">
        <v>6</v>
      </c>
      <c r="W57" s="610">
        <v>22.2</v>
      </c>
      <c r="X57" s="321">
        <v>18.399999999999999</v>
      </c>
      <c r="Y57" s="321">
        <v>18.34</v>
      </c>
      <c r="Z57" s="364">
        <v>12.7</v>
      </c>
      <c r="AA57" s="321">
        <v>21.42</v>
      </c>
      <c r="AB57" s="321">
        <v>49.88</v>
      </c>
      <c r="AC57" s="364">
        <v>20.27</v>
      </c>
      <c r="AD57" s="321">
        <v>21.41</v>
      </c>
      <c r="AE57" s="321">
        <v>7.39</v>
      </c>
      <c r="AF57" s="321">
        <v>16.21</v>
      </c>
      <c r="AG57" s="321">
        <v>19.38</v>
      </c>
      <c r="AH57" s="321">
        <v>16.86</v>
      </c>
      <c r="AI57" s="321">
        <v>11.9</v>
      </c>
      <c r="AJ57" s="364">
        <v>17.600000000000001</v>
      </c>
      <c r="AK57" s="364">
        <v>17.899999999999999</v>
      </c>
      <c r="AL57" s="365">
        <v>12.58</v>
      </c>
      <c r="AM57" s="611">
        <v>1.65</v>
      </c>
      <c r="AN57" s="321">
        <v>11.4</v>
      </c>
      <c r="AO57" s="320">
        <v>21.307609860664517</v>
      </c>
      <c r="AP57" s="321">
        <v>59.54</v>
      </c>
      <c r="AQ57" s="366"/>
      <c r="AR57" s="366"/>
      <c r="AS57" s="366"/>
      <c r="AT57" s="366"/>
      <c r="AU57" s="366"/>
      <c r="AV57" s="366"/>
      <c r="AW57" s="366"/>
      <c r="AX57" s="366"/>
      <c r="AY57" s="366"/>
      <c r="AZ57" s="321">
        <v>1.0978956999085112</v>
      </c>
      <c r="BB57" s="181"/>
      <c r="BC57" s="181"/>
    </row>
    <row r="58" spans="1:55">
      <c r="A58" s="58">
        <f t="shared" si="75"/>
        <v>1987</v>
      </c>
      <c r="B58" s="321">
        <v>1.7</v>
      </c>
      <c r="C58" s="321">
        <v>0.5</v>
      </c>
      <c r="D58" s="321">
        <v>4.71</v>
      </c>
      <c r="E58" s="321">
        <v>5.3</v>
      </c>
      <c r="F58" s="321">
        <v>0.2</v>
      </c>
      <c r="G58" s="321">
        <v>-7.1</v>
      </c>
      <c r="H58" s="321">
        <v>-8.8000000000000007</v>
      </c>
      <c r="I58" s="321">
        <v>-10.5</v>
      </c>
      <c r="J58" s="321">
        <v>-14.9</v>
      </c>
      <c r="K58" s="321">
        <v>-3.6</v>
      </c>
      <c r="L58" s="321">
        <v>24.9</v>
      </c>
      <c r="M58" s="364">
        <v>37.700000000000003</v>
      </c>
      <c r="N58" s="364">
        <f t="shared" si="74"/>
        <v>26.82</v>
      </c>
      <c r="O58" s="364">
        <v>39.85</v>
      </c>
      <c r="P58" s="364">
        <v>4.0999999999999996</v>
      </c>
      <c r="Q58" s="320">
        <v>35.020000000000003</v>
      </c>
      <c r="R58" s="321">
        <v>17.91</v>
      </c>
      <c r="S58" s="366">
        <v>-2.93</v>
      </c>
      <c r="T58" s="321">
        <v>1.0395319970092132</v>
      </c>
      <c r="U58" s="366">
        <v>1.1399999999999999</v>
      </c>
      <c r="V58" s="321">
        <v>6.12</v>
      </c>
      <c r="W58" s="610">
        <v>8.4</v>
      </c>
      <c r="X58" s="321">
        <v>2.2799999999999998</v>
      </c>
      <c r="Y58" s="321">
        <v>-1.92</v>
      </c>
      <c r="Z58" s="364">
        <v>6.13</v>
      </c>
      <c r="AA58" s="321">
        <v>-0.5</v>
      </c>
      <c r="AB58" s="321">
        <v>38.729999999999997</v>
      </c>
      <c r="AC58" s="364">
        <v>1.23</v>
      </c>
      <c r="AD58" s="321">
        <v>-2.14</v>
      </c>
      <c r="AE58" s="321">
        <v>4.1100000000000003</v>
      </c>
      <c r="AF58" s="321">
        <v>1.64</v>
      </c>
      <c r="AG58" s="321">
        <v>-1.1399999999999999</v>
      </c>
      <c r="AH58" s="321">
        <v>2.65</v>
      </c>
      <c r="AI58" s="321">
        <v>6</v>
      </c>
      <c r="AJ58" s="364">
        <v>2.8</v>
      </c>
      <c r="AK58" s="364">
        <v>-2.2000000000000002</v>
      </c>
      <c r="AL58" s="366">
        <v>-3.85</v>
      </c>
      <c r="AM58" s="322">
        <v>1.65</v>
      </c>
      <c r="AN58" s="321">
        <v>4.46</v>
      </c>
      <c r="AO58" s="320">
        <v>22.207356170953986</v>
      </c>
      <c r="AP58" s="321">
        <v>40.67</v>
      </c>
      <c r="AQ58" s="366"/>
      <c r="AR58" s="366"/>
      <c r="AS58" s="366"/>
      <c r="AT58" s="366"/>
      <c r="AU58" s="366"/>
      <c r="AV58" s="366"/>
      <c r="AW58" s="366"/>
      <c r="AX58" s="366"/>
      <c r="AY58" s="366"/>
      <c r="AZ58" s="321">
        <v>4.4343891402714988</v>
      </c>
      <c r="BB58" s="181"/>
      <c r="BC58" s="181"/>
    </row>
    <row r="59" spans="1:55">
      <c r="A59" s="58">
        <f t="shared" si="75"/>
        <v>1988</v>
      </c>
      <c r="B59" s="321">
        <v>18</v>
      </c>
      <c r="C59" s="321">
        <v>23.2</v>
      </c>
      <c r="D59" s="321">
        <v>16.22</v>
      </c>
      <c r="E59" s="321">
        <v>11.3</v>
      </c>
      <c r="F59" s="321">
        <v>19.8</v>
      </c>
      <c r="G59" s="321">
        <v>29.5</v>
      </c>
      <c r="H59" s="321">
        <v>24.9</v>
      </c>
      <c r="I59" s="321">
        <v>20.399999999999999</v>
      </c>
      <c r="J59" s="321">
        <v>20.8</v>
      </c>
      <c r="K59" s="321">
        <v>13.5</v>
      </c>
      <c r="L59" s="321">
        <v>28.6</v>
      </c>
      <c r="M59" s="321">
        <v>40.4</v>
      </c>
      <c r="N59" s="364">
        <f t="shared" si="74"/>
        <v>30.37</v>
      </c>
      <c r="O59" s="364">
        <v>35.19</v>
      </c>
      <c r="P59" s="364">
        <v>16.399999999999999</v>
      </c>
      <c r="Q59" s="320">
        <v>38.6</v>
      </c>
      <c r="R59" s="321">
        <v>18.5</v>
      </c>
      <c r="S59" s="321">
        <v>9.15</v>
      </c>
      <c r="T59" s="321">
        <v>5.630832759741855</v>
      </c>
      <c r="U59" s="364">
        <v>7.35</v>
      </c>
      <c r="V59" s="321">
        <v>7.18</v>
      </c>
      <c r="W59" s="610">
        <v>18.899999999999999</v>
      </c>
      <c r="X59" s="321">
        <v>16.11</v>
      </c>
      <c r="Y59" s="321">
        <v>13.61</v>
      </c>
      <c r="Z59" s="364">
        <v>21.37</v>
      </c>
      <c r="AA59" s="321">
        <v>28.4</v>
      </c>
      <c r="AB59" s="321">
        <v>-14.19</v>
      </c>
      <c r="AC59" s="364">
        <v>28.7</v>
      </c>
      <c r="AD59" s="321">
        <v>24.72</v>
      </c>
      <c r="AE59" s="321">
        <v>5.61</v>
      </c>
      <c r="AF59" s="321">
        <v>10</v>
      </c>
      <c r="AG59" s="321">
        <v>12.24</v>
      </c>
      <c r="AH59" s="321">
        <v>13.55</v>
      </c>
      <c r="AI59" s="321">
        <v>5.9</v>
      </c>
      <c r="AJ59" s="364">
        <v>12.9</v>
      </c>
      <c r="AK59" s="364">
        <v>24.6</v>
      </c>
      <c r="AL59" s="321">
        <v>19.75</v>
      </c>
      <c r="AM59" s="320">
        <v>6.25</v>
      </c>
      <c r="AN59" s="321">
        <v>6.95</v>
      </c>
      <c r="AO59" s="320">
        <v>-15.255112580045449</v>
      </c>
      <c r="AP59" s="321">
        <v>25.94</v>
      </c>
      <c r="AQ59" s="366"/>
      <c r="AR59" s="366"/>
      <c r="AS59" s="366"/>
      <c r="AT59" s="366"/>
      <c r="AU59" s="366"/>
      <c r="AV59" s="366"/>
      <c r="AW59" s="366"/>
      <c r="AX59" s="366"/>
      <c r="AY59" s="366"/>
      <c r="AZ59" s="321">
        <v>4.4194107452339635</v>
      </c>
      <c r="BB59" s="181"/>
      <c r="BC59" s="181"/>
    </row>
    <row r="60" spans="1:55">
      <c r="A60" s="58">
        <f t="shared" si="75"/>
        <v>1989</v>
      </c>
      <c r="B60" s="321">
        <v>28.9</v>
      </c>
      <c r="C60" s="321">
        <v>25.2</v>
      </c>
      <c r="D60" s="321">
        <v>31.36</v>
      </c>
      <c r="E60" s="321">
        <v>35.9</v>
      </c>
      <c r="F60" s="321">
        <v>26.3</v>
      </c>
      <c r="G60" s="321">
        <v>12.4</v>
      </c>
      <c r="H60" s="321">
        <v>16.2</v>
      </c>
      <c r="I60" s="321">
        <v>20.2</v>
      </c>
      <c r="J60" s="321">
        <v>5.5</v>
      </c>
      <c r="K60" s="321">
        <v>8.8000000000000007</v>
      </c>
      <c r="L60" s="321">
        <v>10.8</v>
      </c>
      <c r="M60" s="321">
        <v>65</v>
      </c>
      <c r="N60" s="364">
        <f t="shared" si="74"/>
        <v>18.93</v>
      </c>
      <c r="O60" s="364">
        <v>2.68</v>
      </c>
      <c r="P60" s="364">
        <v>29.1</v>
      </c>
      <c r="Q60" s="320">
        <v>18.16</v>
      </c>
      <c r="R60" s="321">
        <v>27.72</v>
      </c>
      <c r="S60" s="321">
        <v>17.93</v>
      </c>
      <c r="T60" s="321">
        <v>13.115238177479149</v>
      </c>
      <c r="U60" s="321">
        <v>13.64</v>
      </c>
      <c r="V60" s="321">
        <v>8.8699999999999992</v>
      </c>
      <c r="W60" s="610">
        <v>6.1</v>
      </c>
      <c r="X60" s="321">
        <v>21.6</v>
      </c>
      <c r="Y60" s="321">
        <v>20.93</v>
      </c>
      <c r="Z60" s="364">
        <v>43.45</v>
      </c>
      <c r="AA60" s="321">
        <v>32.950000000000003</v>
      </c>
      <c r="AB60" s="321">
        <v>30.4</v>
      </c>
      <c r="AC60" s="364">
        <v>15.02</v>
      </c>
      <c r="AD60" s="321">
        <v>27.83</v>
      </c>
      <c r="AE60" s="321">
        <v>7.08</v>
      </c>
      <c r="AF60" s="321">
        <v>10</v>
      </c>
      <c r="AG60" s="321">
        <v>11.54</v>
      </c>
      <c r="AH60" s="321">
        <v>1.89</v>
      </c>
      <c r="AI60" s="321">
        <v>8.6999999999999993</v>
      </c>
      <c r="AJ60" s="364">
        <v>31.5</v>
      </c>
      <c r="AK60" s="364">
        <v>22.7</v>
      </c>
      <c r="AL60" s="321">
        <v>24.1</v>
      </c>
      <c r="AM60" s="320">
        <v>13.45</v>
      </c>
      <c r="AN60" s="321">
        <v>11.45</v>
      </c>
      <c r="AO60" s="320">
        <v>-2.8397318708104762</v>
      </c>
      <c r="AP60" s="321">
        <v>30.77</v>
      </c>
      <c r="AQ60" s="366"/>
      <c r="AR60" s="366"/>
      <c r="AS60" s="366"/>
      <c r="AT60" s="366"/>
      <c r="AU60" s="366"/>
      <c r="AV60" s="366"/>
      <c r="AW60" s="366"/>
      <c r="AX60" s="366"/>
      <c r="AY60" s="366"/>
      <c r="AZ60" s="321">
        <v>4.6473029045643104</v>
      </c>
      <c r="BB60" s="181"/>
      <c r="BC60" s="181"/>
    </row>
    <row r="61" spans="1:55">
      <c r="A61" s="58">
        <f t="shared" si="75"/>
        <v>1990</v>
      </c>
      <c r="B61" s="321">
        <v>-6</v>
      </c>
      <c r="C61" s="321">
        <v>-8.1</v>
      </c>
      <c r="D61" s="321">
        <v>-3.32</v>
      </c>
      <c r="E61" s="321">
        <v>-0.3</v>
      </c>
      <c r="F61" s="321">
        <v>-11.5</v>
      </c>
      <c r="G61" s="321">
        <v>-21.8</v>
      </c>
      <c r="H61" s="321">
        <v>-19.5</v>
      </c>
      <c r="I61" s="321">
        <v>-17.399999999999999</v>
      </c>
      <c r="J61" s="321">
        <v>-31.3</v>
      </c>
      <c r="K61" s="321">
        <v>-15.4</v>
      </c>
      <c r="L61" s="321">
        <v>-23.2</v>
      </c>
      <c r="M61" s="321">
        <v>-10.6</v>
      </c>
      <c r="N61" s="364">
        <f t="shared" si="74"/>
        <v>-21.31</v>
      </c>
      <c r="O61" s="364">
        <v>-34.29</v>
      </c>
      <c r="P61" s="364">
        <v>-3.4</v>
      </c>
      <c r="Q61" s="320">
        <v>-21.63</v>
      </c>
      <c r="R61" s="321">
        <v>25.13</v>
      </c>
      <c r="S61" s="321">
        <v>5.78</v>
      </c>
      <c r="T61" s="321">
        <v>9.6370943977155399</v>
      </c>
      <c r="U61" s="364">
        <v>8.65</v>
      </c>
      <c r="V61" s="321">
        <v>7.94</v>
      </c>
      <c r="W61" s="610">
        <v>6.2</v>
      </c>
      <c r="X61" s="321">
        <v>-2.81</v>
      </c>
      <c r="Y61" s="321">
        <v>3.76</v>
      </c>
      <c r="Z61" s="364">
        <v>-1.37</v>
      </c>
      <c r="AA61" s="321">
        <v>16.79</v>
      </c>
      <c r="AB61" s="321">
        <v>-19.86</v>
      </c>
      <c r="AC61" s="364">
        <v>-15.5</v>
      </c>
      <c r="AD61" s="321">
        <v>-9.98</v>
      </c>
      <c r="AE61" s="321">
        <v>6.57</v>
      </c>
      <c r="AF61" s="321">
        <v>7.2</v>
      </c>
      <c r="AG61" s="321">
        <v>6.82</v>
      </c>
      <c r="AH61" s="321">
        <v>-5.85</v>
      </c>
      <c r="AI61" s="321">
        <v>8.9</v>
      </c>
      <c r="AJ61" s="364">
        <v>-5.0999999999999996</v>
      </c>
      <c r="AK61" s="364">
        <v>-16.100000000000001</v>
      </c>
      <c r="AL61" s="321">
        <v>-14.05</v>
      </c>
      <c r="AM61" s="320">
        <v>8.0500000000000007</v>
      </c>
      <c r="AN61" s="321">
        <v>9.23</v>
      </c>
      <c r="AO61" s="320">
        <v>-1.4676367285499303</v>
      </c>
      <c r="AP61" s="321">
        <v>-17.940000000000001</v>
      </c>
      <c r="AQ61" s="366"/>
      <c r="AR61" s="366"/>
      <c r="AS61" s="366"/>
      <c r="AT61" s="366"/>
      <c r="AU61" s="366"/>
      <c r="AV61" s="366"/>
      <c r="AW61" s="366"/>
      <c r="AX61" s="366"/>
      <c r="AY61" s="366"/>
      <c r="AZ61" s="321">
        <v>6.1062648691514809</v>
      </c>
      <c r="BB61" s="181"/>
      <c r="BC61" s="181"/>
    </row>
    <row r="62" spans="1:55">
      <c r="A62" s="58">
        <f t="shared" si="75"/>
        <v>1991</v>
      </c>
      <c r="B62" s="321">
        <v>34.700000000000003</v>
      </c>
      <c r="C62" s="321">
        <v>24.6</v>
      </c>
      <c r="D62" s="321">
        <v>30.22</v>
      </c>
      <c r="E62" s="321">
        <v>41.2</v>
      </c>
      <c r="F62" s="321">
        <v>41.5</v>
      </c>
      <c r="G62" s="321">
        <v>41.7</v>
      </c>
      <c r="H62" s="321">
        <v>46.1</v>
      </c>
      <c r="I62" s="321">
        <v>51.2</v>
      </c>
      <c r="J62" s="321">
        <v>48.3</v>
      </c>
      <c r="K62" s="321">
        <v>35.700000000000003</v>
      </c>
      <c r="L62" s="321">
        <v>12.5</v>
      </c>
      <c r="M62" s="321">
        <v>59.9</v>
      </c>
      <c r="N62" s="364">
        <f t="shared" si="74"/>
        <v>19.61</v>
      </c>
      <c r="O62" s="366">
        <v>10.65</v>
      </c>
      <c r="P62" s="366">
        <v>12.4</v>
      </c>
      <c r="Q62" s="366">
        <v>10.8</v>
      </c>
      <c r="R62" s="321">
        <v>3.77</v>
      </c>
      <c r="S62" s="321">
        <v>17.43</v>
      </c>
      <c r="T62" s="321">
        <v>14.193016310688256</v>
      </c>
      <c r="U62" s="321">
        <v>15.25</v>
      </c>
      <c r="V62" s="321">
        <v>5.73</v>
      </c>
      <c r="W62" s="610">
        <v>15.9</v>
      </c>
      <c r="X62" s="321">
        <v>23.65</v>
      </c>
      <c r="Y62" s="321">
        <v>21.57</v>
      </c>
      <c r="Z62" s="364">
        <v>0.28000000000000003</v>
      </c>
      <c r="AA62" s="321">
        <v>46.32</v>
      </c>
      <c r="AB62" s="321">
        <v>4.37</v>
      </c>
      <c r="AC62" s="364">
        <v>28.55</v>
      </c>
      <c r="AD62" s="321">
        <v>28.7</v>
      </c>
      <c r="AE62" s="321">
        <v>7.2</v>
      </c>
      <c r="AF62" s="321">
        <v>12.16</v>
      </c>
      <c r="AG62" s="321">
        <v>13.5</v>
      </c>
      <c r="AH62" s="321">
        <v>29.01</v>
      </c>
      <c r="AI62" s="321">
        <v>10.7</v>
      </c>
      <c r="AJ62" s="364">
        <v>47</v>
      </c>
      <c r="AK62" s="364">
        <v>37.9</v>
      </c>
      <c r="AL62" s="321">
        <v>41.85</v>
      </c>
      <c r="AM62" s="320">
        <v>14.95</v>
      </c>
      <c r="AN62" s="321">
        <v>13.08</v>
      </c>
      <c r="AO62" s="320">
        <v>-10.070019096117127</v>
      </c>
      <c r="AP62" s="321">
        <v>5.83</v>
      </c>
      <c r="AQ62" s="366"/>
      <c r="AR62" s="366"/>
      <c r="AS62" s="366"/>
      <c r="AT62" s="366"/>
      <c r="AU62" s="366"/>
      <c r="AV62" s="366"/>
      <c r="AW62" s="366"/>
      <c r="AX62" s="366"/>
      <c r="AY62" s="366"/>
      <c r="AZ62" s="321">
        <v>3.0642750373692031</v>
      </c>
      <c r="BB62" s="181"/>
      <c r="BC62" s="181"/>
    </row>
    <row r="63" spans="1:55">
      <c r="A63" s="58">
        <f t="shared" si="75"/>
        <v>1992</v>
      </c>
      <c r="B63" s="321">
        <v>9.8000000000000007</v>
      </c>
      <c r="C63" s="321">
        <v>13.8</v>
      </c>
      <c r="D63" s="321">
        <v>7.42</v>
      </c>
      <c r="E63" s="366">
        <v>5</v>
      </c>
      <c r="F63" s="321">
        <v>16.399999999999999</v>
      </c>
      <c r="G63" s="321">
        <v>29.1</v>
      </c>
      <c r="H63" s="366">
        <v>18.2</v>
      </c>
      <c r="I63" s="321">
        <v>7.8</v>
      </c>
      <c r="J63" s="321">
        <v>33.6</v>
      </c>
      <c r="K63" s="321">
        <v>14.6</v>
      </c>
      <c r="L63" s="321">
        <v>-11.8</v>
      </c>
      <c r="M63" s="321">
        <v>11.4</v>
      </c>
      <c r="N63" s="364">
        <f t="shared" si="74"/>
        <v>-8.32</v>
      </c>
      <c r="O63" s="321">
        <v>-18.170000000000002</v>
      </c>
      <c r="P63" s="321">
        <v>-3.32</v>
      </c>
      <c r="Q63" s="321">
        <v>-10.8</v>
      </c>
      <c r="R63" s="321">
        <v>6.5877883645331323</v>
      </c>
      <c r="S63" s="321">
        <v>7.4</v>
      </c>
      <c r="T63" s="366">
        <v>7.78</v>
      </c>
      <c r="U63" s="321">
        <v>7.14</v>
      </c>
      <c r="V63" s="321">
        <v>3.53</v>
      </c>
      <c r="W63" s="610">
        <v>7.5</v>
      </c>
      <c r="X63" s="321">
        <v>7.93</v>
      </c>
      <c r="Y63" s="321">
        <v>8.67</v>
      </c>
      <c r="Z63" s="321">
        <v>6.1</v>
      </c>
      <c r="AA63" s="321">
        <v>-1.57</v>
      </c>
      <c r="AB63" s="321">
        <v>-19.41</v>
      </c>
      <c r="AC63" s="321">
        <v>16.5</v>
      </c>
      <c r="AD63" s="321">
        <v>11.99</v>
      </c>
      <c r="AE63" s="321">
        <v>4.71</v>
      </c>
      <c r="AF63" s="321">
        <v>8.85</v>
      </c>
      <c r="AG63" s="321">
        <v>9.3000000000000007</v>
      </c>
      <c r="AH63" s="321">
        <v>14.24</v>
      </c>
      <c r="AI63" s="366">
        <v>6.75</v>
      </c>
      <c r="AJ63" s="364">
        <v>8.6999999999999993</v>
      </c>
      <c r="AK63" s="364">
        <v>21.7</v>
      </c>
      <c r="AL63" s="321">
        <v>12.47</v>
      </c>
      <c r="AM63" s="320">
        <v>4.05</v>
      </c>
      <c r="AN63" s="321">
        <v>7.2</v>
      </c>
      <c r="AO63" s="320">
        <v>-5.7474518686296747</v>
      </c>
      <c r="AP63" s="321">
        <v>-20.58</v>
      </c>
      <c r="AQ63" s="366"/>
      <c r="AR63" s="366"/>
      <c r="AS63" s="366"/>
      <c r="AT63" s="366"/>
      <c r="AU63" s="366"/>
      <c r="AV63" s="366"/>
      <c r="AW63" s="366"/>
      <c r="AX63" s="366"/>
      <c r="AY63" s="366"/>
      <c r="AZ63" s="321">
        <v>2.9006526468455403</v>
      </c>
      <c r="BB63" s="181"/>
      <c r="BC63" s="181"/>
    </row>
    <row r="64" spans="1:55">
      <c r="A64" s="58">
        <f t="shared" si="75"/>
        <v>1993</v>
      </c>
      <c r="B64" s="366">
        <v>10.62</v>
      </c>
      <c r="C64" s="366">
        <v>18.350000000000001</v>
      </c>
      <c r="D64" s="321">
        <v>9.89</v>
      </c>
      <c r="E64" s="321">
        <v>1.53</v>
      </c>
      <c r="F64" s="321">
        <v>14.3</v>
      </c>
      <c r="G64" s="321">
        <v>23.8</v>
      </c>
      <c r="H64" s="321">
        <v>18.7</v>
      </c>
      <c r="I64" s="321">
        <v>13.4</v>
      </c>
      <c r="J64" s="321">
        <v>25.4</v>
      </c>
      <c r="K64" s="321">
        <v>19.7</v>
      </c>
      <c r="L64" s="321">
        <v>32.9</v>
      </c>
      <c r="M64" s="321">
        <v>74.8</v>
      </c>
      <c r="N64" s="364">
        <f t="shared" si="74"/>
        <v>39.184999999999995</v>
      </c>
      <c r="O64" s="321">
        <v>35.46</v>
      </c>
      <c r="P64" s="321">
        <v>29.13</v>
      </c>
      <c r="Q64" s="321">
        <v>40.4</v>
      </c>
      <c r="R64" s="321">
        <v>6.4207720209574068</v>
      </c>
      <c r="S64" s="321">
        <v>16.79</v>
      </c>
      <c r="T64" s="321">
        <v>11.43</v>
      </c>
      <c r="U64" s="321">
        <v>9.68</v>
      </c>
      <c r="V64" s="321">
        <v>2.86</v>
      </c>
      <c r="W64" s="610">
        <v>15.7</v>
      </c>
      <c r="X64" s="321">
        <v>13.52</v>
      </c>
      <c r="Y64" s="321">
        <v>14.65</v>
      </c>
      <c r="Z64" s="321">
        <v>26.52</v>
      </c>
      <c r="AA64" s="321">
        <v>11.81</v>
      </c>
      <c r="AB64" s="321">
        <v>93.36</v>
      </c>
      <c r="AC64" s="321">
        <v>19.37</v>
      </c>
      <c r="AD64" s="321">
        <v>13.6</v>
      </c>
      <c r="AE64" s="321">
        <v>3.82</v>
      </c>
      <c r="AF64" s="321">
        <v>11.55</v>
      </c>
      <c r="AG64" s="321">
        <v>13.45</v>
      </c>
      <c r="AH64" s="321">
        <v>18.239999999999998</v>
      </c>
      <c r="AI64" s="321">
        <v>6.41</v>
      </c>
      <c r="AJ64" s="364">
        <v>11.2</v>
      </c>
      <c r="AK64" s="364">
        <v>15.6</v>
      </c>
      <c r="AL64" s="321">
        <v>14.49</v>
      </c>
      <c r="AM64" s="320">
        <v>11.75</v>
      </c>
      <c r="AN64" s="321">
        <v>7.07</v>
      </c>
      <c r="AO64" s="320">
        <v>17.677981375788534</v>
      </c>
      <c r="AP64" s="321">
        <v>34.39</v>
      </c>
      <c r="AQ64" s="366"/>
      <c r="AR64" s="366"/>
      <c r="AS64" s="366"/>
      <c r="AT64" s="366"/>
      <c r="AU64" s="366"/>
      <c r="AV64" s="366"/>
      <c r="AW64" s="366"/>
      <c r="AX64" s="366"/>
      <c r="AY64" s="366"/>
      <c r="AZ64" s="321">
        <v>2.7484143763213571</v>
      </c>
      <c r="BB64" s="181"/>
      <c r="BC64" s="181"/>
    </row>
    <row r="65" spans="1:55">
      <c r="A65" s="58">
        <f t="shared" si="75"/>
        <v>1994</v>
      </c>
      <c r="B65" s="321">
        <v>-0.17</v>
      </c>
      <c r="C65" s="321">
        <v>-0.73</v>
      </c>
      <c r="D65" s="321">
        <v>1.18</v>
      </c>
      <c r="E65" s="321">
        <v>2.89</v>
      </c>
      <c r="F65" s="321">
        <v>-2.1</v>
      </c>
      <c r="G65" s="321">
        <v>-1.5</v>
      </c>
      <c r="H65" s="321">
        <v>-0.51</v>
      </c>
      <c r="I65" s="321">
        <v>-2.4</v>
      </c>
      <c r="J65" s="321">
        <v>-2.9</v>
      </c>
      <c r="K65" s="321">
        <v>3.2</v>
      </c>
      <c r="L65" s="321">
        <v>8.1</v>
      </c>
      <c r="M65" s="321">
        <v>-7.3</v>
      </c>
      <c r="N65" s="364">
        <f t="shared" si="74"/>
        <v>5.79</v>
      </c>
      <c r="O65" s="321">
        <v>13.04</v>
      </c>
      <c r="P65" s="321">
        <v>1.88</v>
      </c>
      <c r="Q65" s="321">
        <v>11.4</v>
      </c>
      <c r="R65" s="321">
        <v>5.8917653646927146</v>
      </c>
      <c r="S65" s="321">
        <v>-7.03</v>
      </c>
      <c r="T65" s="321">
        <v>-4.33</v>
      </c>
      <c r="U65" s="321">
        <v>-2.66</v>
      </c>
      <c r="V65" s="321">
        <v>3.81</v>
      </c>
      <c r="W65" s="610">
        <v>3.2</v>
      </c>
      <c r="X65" s="321">
        <v>-0.49</v>
      </c>
      <c r="Y65" s="321">
        <v>-4.4400000000000004</v>
      </c>
      <c r="Z65" s="321">
        <v>-1.63</v>
      </c>
      <c r="AA65" s="321">
        <v>9.5399999999999991</v>
      </c>
      <c r="AB65" s="321">
        <v>-5.42</v>
      </c>
      <c r="AC65" s="321">
        <v>-0.15</v>
      </c>
      <c r="AD65" s="321">
        <v>-1.1599999999999999</v>
      </c>
      <c r="AE65" s="321">
        <v>1.7</v>
      </c>
      <c r="AF65" s="321">
        <v>-2.12</v>
      </c>
      <c r="AG65" s="321">
        <v>-5.75</v>
      </c>
      <c r="AH65" s="321">
        <v>-1.71</v>
      </c>
      <c r="AI65" s="321">
        <v>-0.57999999999999996</v>
      </c>
      <c r="AJ65" s="364">
        <v>-2.2000000000000002</v>
      </c>
      <c r="AK65" s="364">
        <v>-2.1</v>
      </c>
      <c r="AL65" s="321">
        <v>-1.76</v>
      </c>
      <c r="AM65" s="320">
        <v>0.75</v>
      </c>
      <c r="AN65" s="321">
        <v>-0.08</v>
      </c>
      <c r="AO65" s="320">
        <v>-2.1697511167836629</v>
      </c>
      <c r="AP65" s="321">
        <v>15.91</v>
      </c>
      <c r="AQ65" s="366"/>
      <c r="AR65" s="366"/>
      <c r="AS65" s="366"/>
      <c r="AT65" s="366"/>
      <c r="AU65" s="366"/>
      <c r="AV65" s="366"/>
      <c r="AW65" s="366"/>
      <c r="AX65" s="366"/>
      <c r="AY65" s="366"/>
      <c r="AZ65" s="321">
        <v>2.6748971193415478</v>
      </c>
      <c r="BB65" s="181"/>
      <c r="BC65" s="181"/>
    </row>
    <row r="66" spans="1:55">
      <c r="A66" s="58">
        <f t="shared" si="75"/>
        <v>1995</v>
      </c>
      <c r="B66" s="321">
        <v>35.79</v>
      </c>
      <c r="C66" s="321">
        <v>36.94</v>
      </c>
      <c r="D66" s="321">
        <v>37.450000000000003</v>
      </c>
      <c r="E66" s="321">
        <v>38.06</v>
      </c>
      <c r="F66" s="321">
        <v>34.4</v>
      </c>
      <c r="G66" s="321">
        <v>25.8</v>
      </c>
      <c r="H66" s="321">
        <v>28.74</v>
      </c>
      <c r="I66" s="321">
        <v>31</v>
      </c>
      <c r="J66" s="321">
        <v>30.1</v>
      </c>
      <c r="K66" s="321">
        <v>15.3</v>
      </c>
      <c r="L66" s="321">
        <v>11.6</v>
      </c>
      <c r="M66" s="366">
        <v>0.56000000000000005</v>
      </c>
      <c r="N66" s="364">
        <f t="shared" si="74"/>
        <v>9.9439999999999991</v>
      </c>
      <c r="O66" s="321">
        <v>2.75</v>
      </c>
      <c r="P66" s="321">
        <v>22.28</v>
      </c>
      <c r="Q66" s="321">
        <v>11.7</v>
      </c>
      <c r="R66" s="321">
        <v>24.288496846677518</v>
      </c>
      <c r="S66" s="321">
        <v>30.11</v>
      </c>
      <c r="T66" s="321">
        <v>20.440000000000001</v>
      </c>
      <c r="U66" s="321">
        <v>18.18</v>
      </c>
      <c r="V66" s="321">
        <v>5.49</v>
      </c>
      <c r="W66" s="610">
        <v>0.8</v>
      </c>
      <c r="X66" s="321">
        <v>32.92</v>
      </c>
      <c r="Y66" s="321">
        <v>28.91</v>
      </c>
      <c r="Z66" s="321">
        <v>25.32</v>
      </c>
      <c r="AA66" s="321">
        <v>45.17</v>
      </c>
      <c r="AB66" s="321">
        <v>-4.4800000000000004</v>
      </c>
      <c r="AC66" s="321">
        <v>30.15</v>
      </c>
      <c r="AD66" s="321">
        <v>38.83</v>
      </c>
      <c r="AE66" s="321">
        <v>5.92</v>
      </c>
      <c r="AF66" s="321">
        <v>13.65</v>
      </c>
      <c r="AG66" s="321">
        <v>18.72</v>
      </c>
      <c r="AH66" s="321">
        <v>19.149999999999999</v>
      </c>
      <c r="AI66" s="321">
        <v>12.11</v>
      </c>
      <c r="AJ66" s="364">
        <v>34</v>
      </c>
      <c r="AK66" s="364">
        <v>34.9</v>
      </c>
      <c r="AL66" s="321">
        <v>33.799999999999997</v>
      </c>
      <c r="AM66" s="320">
        <v>18.75</v>
      </c>
      <c r="AN66" s="321">
        <v>12.74</v>
      </c>
      <c r="AO66" s="320">
        <v>0.97847358121330719</v>
      </c>
      <c r="AP66" s="321">
        <v>2.66</v>
      </c>
      <c r="AQ66" s="366"/>
      <c r="AR66" s="366"/>
      <c r="AS66" s="366"/>
      <c r="AT66" s="366"/>
      <c r="AU66" s="366"/>
      <c r="AV66" s="366"/>
      <c r="AW66" s="366"/>
      <c r="AX66" s="366"/>
      <c r="AY66" s="366"/>
      <c r="AZ66" s="321">
        <v>2.5384101536406223</v>
      </c>
      <c r="BB66" s="181"/>
      <c r="BC66" s="181"/>
    </row>
    <row r="67" spans="1:55">
      <c r="A67" s="58">
        <f t="shared" si="75"/>
        <v>1996</v>
      </c>
      <c r="B67" s="321">
        <v>20.96</v>
      </c>
      <c r="C67" s="321">
        <v>21.86</v>
      </c>
      <c r="D67" s="321">
        <v>22.88</v>
      </c>
      <c r="E67" s="321">
        <v>23.74</v>
      </c>
      <c r="F67" s="321">
        <v>19</v>
      </c>
      <c r="G67" s="321">
        <v>21.4</v>
      </c>
      <c r="H67" s="321">
        <v>18.12</v>
      </c>
      <c r="I67" s="321">
        <v>11.3</v>
      </c>
      <c r="J67" s="321">
        <v>16.8</v>
      </c>
      <c r="K67" s="321">
        <v>35.299999999999997</v>
      </c>
      <c r="L67" s="321">
        <v>6.4</v>
      </c>
      <c r="M67" s="321">
        <v>15.83</v>
      </c>
      <c r="N67" s="364">
        <f t="shared" si="74"/>
        <v>7.8145000000000007</v>
      </c>
      <c r="O67" s="321">
        <v>-7.82</v>
      </c>
      <c r="P67" s="321">
        <v>21.26</v>
      </c>
      <c r="Q67" s="321">
        <v>9.1999999999999993</v>
      </c>
      <c r="R67" s="321">
        <v>18.346666411050315</v>
      </c>
      <c r="S67" s="321">
        <v>-1.25</v>
      </c>
      <c r="T67" s="321">
        <v>1.92</v>
      </c>
      <c r="U67" s="321">
        <v>3.58</v>
      </c>
      <c r="V67" s="321">
        <v>5.09</v>
      </c>
      <c r="W67" s="610">
        <v>4.0999999999999996</v>
      </c>
      <c r="X67" s="321">
        <v>16.190000000000001</v>
      </c>
      <c r="Y67" s="321">
        <v>9.42</v>
      </c>
      <c r="Z67" s="321">
        <v>34</v>
      </c>
      <c r="AA67" s="321">
        <v>21.36</v>
      </c>
      <c r="AB67" s="321">
        <v>-0.75</v>
      </c>
      <c r="AC67" s="321">
        <v>26.36</v>
      </c>
      <c r="AD67" s="321">
        <v>24.18</v>
      </c>
      <c r="AE67" s="321">
        <v>3.69</v>
      </c>
      <c r="AF67" s="321">
        <v>4.2</v>
      </c>
      <c r="AG67" s="321">
        <v>4.41</v>
      </c>
      <c r="AH67" s="321">
        <v>9.5399999999999991</v>
      </c>
      <c r="AI67" s="321">
        <v>4.3899999999999997</v>
      </c>
      <c r="AJ67" s="321">
        <v>18.93</v>
      </c>
      <c r="AK67" s="321">
        <v>21.46</v>
      </c>
      <c r="AL67" s="321">
        <v>17.649999999999999</v>
      </c>
      <c r="AM67" s="320">
        <v>3.85</v>
      </c>
      <c r="AN67" s="321">
        <v>4.79</v>
      </c>
      <c r="AO67" s="320">
        <v>-4.5865633074935399</v>
      </c>
      <c r="AP67" s="321">
        <v>4.4000000000000004</v>
      </c>
      <c r="AQ67" s="366"/>
      <c r="AR67" s="366"/>
      <c r="AS67" s="366"/>
      <c r="AT67" s="366"/>
      <c r="AU67" s="366"/>
      <c r="AV67" s="366"/>
      <c r="AW67" s="366"/>
      <c r="AX67" s="366"/>
      <c r="AY67" s="366"/>
      <c r="AZ67" s="321">
        <v>3.3224755700325699</v>
      </c>
      <c r="BB67" s="181"/>
      <c r="BC67" s="181"/>
    </row>
    <row r="68" spans="1:55">
      <c r="A68" s="58">
        <f t="shared" si="75"/>
        <v>1997</v>
      </c>
      <c r="B68" s="321">
        <v>30.99</v>
      </c>
      <c r="C68" s="321">
        <v>29.77</v>
      </c>
      <c r="D68" s="321">
        <v>33.19</v>
      </c>
      <c r="E68" s="321">
        <v>36.340000000000003</v>
      </c>
      <c r="F68" s="321">
        <v>29</v>
      </c>
      <c r="G68" s="321">
        <v>31.8</v>
      </c>
      <c r="H68" s="321">
        <v>24.59</v>
      </c>
      <c r="I68" s="321">
        <v>12.9</v>
      </c>
      <c r="J68" s="321">
        <v>21.5</v>
      </c>
      <c r="K68" s="366">
        <v>18.77</v>
      </c>
      <c r="L68" s="321">
        <v>2.1</v>
      </c>
      <c r="M68" s="321">
        <v>-16.82</v>
      </c>
      <c r="N68" s="322">
        <v>-0.77</v>
      </c>
      <c r="O68" s="321">
        <v>-25.67</v>
      </c>
      <c r="P68" s="321">
        <v>24.23</v>
      </c>
      <c r="Q68" s="321">
        <v>-4.58</v>
      </c>
      <c r="R68" s="321">
        <v>-1.0029287797843425</v>
      </c>
      <c r="S68" s="321">
        <v>13.9</v>
      </c>
      <c r="T68" s="321">
        <v>8.9600000000000009</v>
      </c>
      <c r="U68" s="321">
        <v>9.44</v>
      </c>
      <c r="V68" s="321">
        <v>5.12</v>
      </c>
      <c r="W68" s="610">
        <v>8</v>
      </c>
      <c r="X68" s="321">
        <v>23.23</v>
      </c>
      <c r="Y68" s="321">
        <v>20.190000000000001</v>
      </c>
      <c r="Z68" s="321">
        <v>14.89</v>
      </c>
      <c r="AA68" s="321">
        <v>28.57</v>
      </c>
      <c r="AB68" s="321">
        <v>-38.92</v>
      </c>
      <c r="AC68" s="321">
        <v>21.97</v>
      </c>
      <c r="AD68" s="321">
        <v>32.369999999999997</v>
      </c>
      <c r="AE68" s="321">
        <v>4.07</v>
      </c>
      <c r="AF68" s="321">
        <v>7.08</v>
      </c>
      <c r="AG68" s="321">
        <v>9.2899999999999991</v>
      </c>
      <c r="AH68" s="321">
        <v>11.91</v>
      </c>
      <c r="AI68" s="321">
        <v>6.39</v>
      </c>
      <c r="AJ68" s="364">
        <v>20.6</v>
      </c>
      <c r="AK68" s="364">
        <v>37.08</v>
      </c>
      <c r="AL68" s="321">
        <v>26.73</v>
      </c>
      <c r="AM68" s="612">
        <v>-0.9</v>
      </c>
      <c r="AN68" s="321">
        <v>6.95</v>
      </c>
      <c r="AO68" s="320">
        <v>-21.40825998645904</v>
      </c>
      <c r="AP68" s="321">
        <v>-14.13</v>
      </c>
      <c r="AQ68" s="366"/>
      <c r="AR68" s="366"/>
      <c r="AS68" s="366"/>
      <c r="AT68" s="366"/>
      <c r="AU68" s="366"/>
      <c r="AV68" s="366"/>
      <c r="AW68" s="366"/>
      <c r="AX68" s="366"/>
      <c r="AY68" s="366"/>
      <c r="AZ68" s="321">
        <v>1.7023959646910576</v>
      </c>
      <c r="BB68" s="181"/>
      <c r="BC68" s="181"/>
    </row>
    <row r="69" spans="1:55">
      <c r="A69" s="58">
        <f t="shared" si="75"/>
        <v>1998</v>
      </c>
      <c r="B69" s="321">
        <v>23.26</v>
      </c>
      <c r="C69" s="321">
        <v>14.64</v>
      </c>
      <c r="D69" s="321">
        <v>28.62</v>
      </c>
      <c r="E69" s="321">
        <v>42.21</v>
      </c>
      <c r="F69" s="321">
        <v>10.1</v>
      </c>
      <c r="G69" s="321">
        <v>-6.5</v>
      </c>
      <c r="H69" s="321">
        <v>-2.61</v>
      </c>
      <c r="I69" s="321">
        <v>1.2</v>
      </c>
      <c r="J69" s="321">
        <v>-1.81</v>
      </c>
      <c r="K69" s="321">
        <v>-16.32</v>
      </c>
      <c r="L69" s="321">
        <v>20.3</v>
      </c>
      <c r="M69" s="321">
        <v>-18.12</v>
      </c>
      <c r="N69" s="320">
        <v>15.6</v>
      </c>
      <c r="O69" s="321">
        <v>2.41</v>
      </c>
      <c r="P69" s="321">
        <v>28.86</v>
      </c>
      <c r="Q69" s="321">
        <v>19.46</v>
      </c>
      <c r="R69" s="321">
        <v>-25.303110444349187</v>
      </c>
      <c r="S69" s="321">
        <v>13.05</v>
      </c>
      <c r="T69" s="321">
        <v>10.61</v>
      </c>
      <c r="U69" s="321">
        <v>8.58</v>
      </c>
      <c r="V69" s="321">
        <v>5</v>
      </c>
      <c r="W69" s="610">
        <v>2.8</v>
      </c>
      <c r="X69" s="321">
        <v>12.06</v>
      </c>
      <c r="Y69" s="321">
        <v>11.84</v>
      </c>
      <c r="Z69" s="321">
        <v>-20.53</v>
      </c>
      <c r="AA69" s="321">
        <v>40.799999999999997</v>
      </c>
      <c r="AB69" s="321">
        <v>-3.91</v>
      </c>
      <c r="AC69" s="321">
        <v>0.81</v>
      </c>
      <c r="AD69" s="321">
        <v>16.36</v>
      </c>
      <c r="AE69" s="321">
        <v>4.32</v>
      </c>
      <c r="AF69" s="321">
        <v>5.76</v>
      </c>
      <c r="AG69" s="321">
        <v>6.02</v>
      </c>
      <c r="AH69" s="321">
        <v>5.62</v>
      </c>
      <c r="AI69" s="321">
        <v>7.36</v>
      </c>
      <c r="AJ69" s="364">
        <v>17.260000000000002</v>
      </c>
      <c r="AK69" s="364">
        <v>1.52</v>
      </c>
      <c r="AL69" s="321">
        <v>8.32</v>
      </c>
      <c r="AM69" s="320">
        <v>12.5</v>
      </c>
      <c r="AN69" s="321">
        <v>6.57</v>
      </c>
      <c r="AO69" s="320">
        <v>-0.82701585113713894</v>
      </c>
      <c r="AP69" s="321">
        <v>25.98</v>
      </c>
      <c r="AQ69" s="366"/>
      <c r="AR69" s="366"/>
      <c r="AS69" s="366"/>
      <c r="AT69" s="366"/>
      <c r="AU69" s="366"/>
      <c r="AV69" s="366"/>
      <c r="AW69" s="366"/>
      <c r="AX69" s="366"/>
      <c r="AY69" s="366"/>
      <c r="AZ69" s="321">
        <v>1.6119032858028481</v>
      </c>
      <c r="BB69" s="181"/>
      <c r="BC69" s="181"/>
    </row>
    <row r="70" spans="1:55">
      <c r="A70" s="58">
        <f t="shared" si="75"/>
        <v>1999</v>
      </c>
      <c r="B70" s="321">
        <v>23.81</v>
      </c>
      <c r="C70" s="321">
        <v>12.57</v>
      </c>
      <c r="D70" s="321">
        <v>21.07</v>
      </c>
      <c r="E70" s="321">
        <v>28.76</v>
      </c>
      <c r="F70" s="366">
        <v>15.32</v>
      </c>
      <c r="G70" s="366">
        <v>3.35</v>
      </c>
      <c r="H70" s="321">
        <v>23.13</v>
      </c>
      <c r="I70" s="366">
        <v>19.8</v>
      </c>
      <c r="J70" s="366">
        <v>31.49</v>
      </c>
      <c r="K70" s="321">
        <v>-4.04</v>
      </c>
      <c r="L70" s="321">
        <v>27.3</v>
      </c>
      <c r="M70" s="321">
        <v>61.57</v>
      </c>
      <c r="N70" s="320">
        <v>29.92</v>
      </c>
      <c r="O70" s="321">
        <v>57.05</v>
      </c>
      <c r="P70" s="321">
        <v>16.62</v>
      </c>
      <c r="Q70" s="321">
        <v>21.81</v>
      </c>
      <c r="R70" s="321">
        <v>19.658254566019316</v>
      </c>
      <c r="S70" s="321">
        <v>-8.66</v>
      </c>
      <c r="T70" s="321">
        <v>-3.52</v>
      </c>
      <c r="U70" s="321">
        <v>-0.76</v>
      </c>
      <c r="V70" s="321">
        <v>4.55</v>
      </c>
      <c r="W70" s="610">
        <v>7.9</v>
      </c>
      <c r="X70" s="321">
        <v>4.41</v>
      </c>
      <c r="Y70" s="321">
        <v>-4.1399999999999997</v>
      </c>
      <c r="Z70" s="321">
        <v>20.98</v>
      </c>
      <c r="AA70" s="321">
        <v>7.05</v>
      </c>
      <c r="AB70" s="321">
        <v>28.82</v>
      </c>
      <c r="AC70" s="321">
        <v>11.57</v>
      </c>
      <c r="AD70" s="321">
        <v>-5.81</v>
      </c>
      <c r="AE70" s="321">
        <v>2.58</v>
      </c>
      <c r="AF70" s="321">
        <v>-0.5</v>
      </c>
      <c r="AG70" s="321">
        <v>-3.53</v>
      </c>
      <c r="AH70" s="321">
        <v>2.5499999999999998</v>
      </c>
      <c r="AI70" s="321">
        <v>1.85</v>
      </c>
      <c r="AJ70" s="364">
        <v>70.53</v>
      </c>
      <c r="AK70" s="364">
        <v>2.2000000000000002</v>
      </c>
      <c r="AL70" s="321">
        <v>36.22</v>
      </c>
      <c r="AM70" s="320">
        <v>-4.29</v>
      </c>
      <c r="AN70" s="321">
        <v>3.3</v>
      </c>
      <c r="AO70" s="320">
        <v>0.85128561501041988</v>
      </c>
      <c r="AP70" s="321">
        <v>90.29</v>
      </c>
      <c r="AQ70" s="366"/>
      <c r="AR70" s="366"/>
      <c r="AS70" s="366"/>
      <c r="AT70" s="366"/>
      <c r="AU70" s="366"/>
      <c r="AV70" s="366"/>
      <c r="AW70" s="366"/>
      <c r="AX70" s="366"/>
      <c r="AY70" s="366"/>
      <c r="AZ70" s="321">
        <v>2.684563758389265</v>
      </c>
      <c r="BB70" s="181"/>
      <c r="BC70" s="181"/>
    </row>
    <row r="71" spans="1:55">
      <c r="A71" s="58">
        <f t="shared" si="75"/>
        <v>2000</v>
      </c>
      <c r="B71" s="321">
        <v>-10.57</v>
      </c>
      <c r="C71" s="321">
        <v>6.08</v>
      </c>
      <c r="D71" s="321">
        <v>-9.06</v>
      </c>
      <c r="E71" s="321">
        <v>-22.21</v>
      </c>
      <c r="F71" s="321">
        <v>18.100000000000001</v>
      </c>
      <c r="G71" s="321">
        <v>21.88</v>
      </c>
      <c r="H71" s="321">
        <v>-2.67</v>
      </c>
      <c r="I71" s="321">
        <v>1.59</v>
      </c>
      <c r="J71" s="321">
        <v>0.67</v>
      </c>
      <c r="K71" s="321">
        <v>26.35</v>
      </c>
      <c r="L71" s="321">
        <v>-14.29</v>
      </c>
      <c r="M71" s="321">
        <v>-27.56</v>
      </c>
      <c r="N71" s="320">
        <v>-15.61</v>
      </c>
      <c r="O71" s="321">
        <v>-25.74</v>
      </c>
      <c r="P71" s="321">
        <v>-8.18</v>
      </c>
      <c r="Q71" s="321">
        <v>-7.48</v>
      </c>
      <c r="R71" s="321">
        <v>35.83076587950972</v>
      </c>
      <c r="S71" s="321">
        <v>19.72</v>
      </c>
      <c r="T71" s="321">
        <v>14.03</v>
      </c>
      <c r="U71" s="321">
        <v>11.39</v>
      </c>
      <c r="V71" s="321">
        <v>5.8</v>
      </c>
      <c r="W71" s="610">
        <v>4.8</v>
      </c>
      <c r="X71" s="321">
        <v>10.4</v>
      </c>
      <c r="Y71" s="321">
        <v>16.170000000000002</v>
      </c>
      <c r="Z71" s="321">
        <v>36.43</v>
      </c>
      <c r="AA71" s="321">
        <v>60.53</v>
      </c>
      <c r="AB71" s="321">
        <v>-7.34</v>
      </c>
      <c r="AC71" s="321">
        <v>15.89</v>
      </c>
      <c r="AD71" s="321">
        <v>16.86</v>
      </c>
      <c r="AE71" s="321">
        <v>4.91</v>
      </c>
      <c r="AF71" s="321">
        <v>9.24</v>
      </c>
      <c r="AG71" s="321">
        <v>13.32</v>
      </c>
      <c r="AH71" s="321">
        <v>-0.88</v>
      </c>
      <c r="AI71" s="321">
        <v>8.83</v>
      </c>
      <c r="AJ71" s="364">
        <v>-26.29</v>
      </c>
      <c r="AK71" s="364">
        <v>22.47</v>
      </c>
      <c r="AL71" s="321">
        <v>-15.55</v>
      </c>
      <c r="AM71" s="320">
        <v>0.43</v>
      </c>
      <c r="AN71" s="321">
        <v>8.17</v>
      </c>
      <c r="AO71" s="320">
        <v>-5.4435831180017269</v>
      </c>
      <c r="AP71" s="321">
        <v>-2.68</v>
      </c>
      <c r="AQ71" s="366"/>
      <c r="AR71" s="366"/>
      <c r="AS71" s="366"/>
      <c r="AT71" s="366"/>
      <c r="AU71" s="366"/>
      <c r="AV71" s="366"/>
      <c r="AW71" s="366"/>
      <c r="AX71" s="366"/>
      <c r="AY71" s="366"/>
      <c r="AZ71" s="321">
        <v>3.3868092691622036</v>
      </c>
      <c r="BB71" s="181"/>
      <c r="BC71" s="181"/>
    </row>
    <row r="72" spans="1:55">
      <c r="A72" s="58">
        <f t="shared" si="75"/>
        <v>2001</v>
      </c>
      <c r="B72" s="321">
        <v>-10.97</v>
      </c>
      <c r="C72" s="321">
        <v>-11.88</v>
      </c>
      <c r="D72" s="321">
        <v>-12.02</v>
      </c>
      <c r="E72" s="321">
        <v>-12.93</v>
      </c>
      <c r="F72" s="321">
        <v>-0.5</v>
      </c>
      <c r="G72" s="321">
        <v>13.7</v>
      </c>
      <c r="H72" s="321">
        <v>3.1</v>
      </c>
      <c r="I72" s="321">
        <v>-0.78</v>
      </c>
      <c r="J72" s="321">
        <v>23.98</v>
      </c>
      <c r="K72" s="321">
        <v>12.35</v>
      </c>
      <c r="L72" s="366">
        <v>-21.94</v>
      </c>
      <c r="M72" s="321">
        <v>-2.88</v>
      </c>
      <c r="N72" s="320">
        <v>-20.149999999999999</v>
      </c>
      <c r="O72" s="321">
        <v>-26.34</v>
      </c>
      <c r="P72" s="321">
        <v>-20.3</v>
      </c>
      <c r="Q72" s="321">
        <v>-14.02</v>
      </c>
      <c r="R72" s="321">
        <v>-15.248585151771607</v>
      </c>
      <c r="S72" s="321">
        <v>4.3099999999999996</v>
      </c>
      <c r="T72" s="321">
        <v>7.55</v>
      </c>
      <c r="U72" s="321">
        <v>8.43</v>
      </c>
      <c r="V72" s="321">
        <v>3.99</v>
      </c>
      <c r="W72" s="613">
        <v>7.61</v>
      </c>
      <c r="X72" s="321">
        <v>4.1900000000000004</v>
      </c>
      <c r="Y72" s="321">
        <v>7.39</v>
      </c>
      <c r="Z72" s="321">
        <v>-2.5499999999999998</v>
      </c>
      <c r="AA72" s="321">
        <v>-6.87</v>
      </c>
      <c r="AB72" s="321">
        <v>18.329999999999998</v>
      </c>
      <c r="AC72" s="321">
        <v>5.72</v>
      </c>
      <c r="AD72" s="321">
        <v>-3.4</v>
      </c>
      <c r="AE72" s="321">
        <v>4.75</v>
      </c>
      <c r="AF72" s="321">
        <v>5.05</v>
      </c>
      <c r="AG72" s="321">
        <v>4.54</v>
      </c>
      <c r="AH72" s="321">
        <v>2.9</v>
      </c>
      <c r="AI72" s="321">
        <v>7.8</v>
      </c>
      <c r="AJ72" s="364">
        <v>-20.43</v>
      </c>
      <c r="AK72" s="364">
        <v>8.7899999999999991</v>
      </c>
      <c r="AL72" s="321">
        <v>-9.1300000000000008</v>
      </c>
      <c r="AM72" s="320">
        <v>2.48</v>
      </c>
      <c r="AN72" s="321">
        <v>8.14</v>
      </c>
      <c r="AO72" s="320">
        <v>0.83803971579523107</v>
      </c>
      <c r="AP72" s="321">
        <v>-22.52</v>
      </c>
      <c r="AQ72" s="366"/>
      <c r="AR72" s="366"/>
      <c r="AS72" s="366"/>
      <c r="AT72" s="366"/>
      <c r="AU72" s="366"/>
      <c r="AV72" s="366"/>
      <c r="AW72" s="366"/>
      <c r="AX72" s="366"/>
      <c r="AY72" s="366"/>
      <c r="AZ72" s="321">
        <v>1.551724137931028</v>
      </c>
      <c r="BB72" s="181"/>
      <c r="BC72" s="181"/>
    </row>
    <row r="73" spans="1:55">
      <c r="A73" s="58">
        <f t="shared" si="75"/>
        <v>2002</v>
      </c>
      <c r="B73" s="321">
        <v>-20.96</v>
      </c>
      <c r="C73" s="321">
        <v>-20.91</v>
      </c>
      <c r="D73" s="321">
        <v>-22.15</v>
      </c>
      <c r="E73" s="321">
        <v>-23.68</v>
      </c>
      <c r="F73" s="321">
        <v>-14.61</v>
      </c>
      <c r="G73" s="321">
        <v>-14.2</v>
      </c>
      <c r="H73" s="321">
        <v>-20.02</v>
      </c>
      <c r="I73" s="321">
        <v>-15.41</v>
      </c>
      <c r="J73" s="321">
        <v>4.9000000000000004</v>
      </c>
      <c r="K73" s="321">
        <v>3.75</v>
      </c>
      <c r="L73" s="321">
        <v>-15.620000000000001</v>
      </c>
      <c r="M73" s="321">
        <v>-7.43</v>
      </c>
      <c r="N73" s="320">
        <v>-15.08</v>
      </c>
      <c r="O73" s="321">
        <v>-9.32</v>
      </c>
      <c r="P73" s="321">
        <v>-17.95</v>
      </c>
      <c r="Q73" s="321">
        <v>-13.35</v>
      </c>
      <c r="R73" s="321">
        <v>39.929692473577198</v>
      </c>
      <c r="S73" s="321">
        <v>16.670000000000002</v>
      </c>
      <c r="T73" s="321">
        <v>14.15</v>
      </c>
      <c r="U73" s="321">
        <v>8.26</v>
      </c>
      <c r="V73" s="321">
        <v>1.51</v>
      </c>
      <c r="W73" s="610">
        <v>16.61</v>
      </c>
      <c r="X73" s="321">
        <v>-6.9</v>
      </c>
      <c r="Y73" s="321">
        <v>4.6399999999999997</v>
      </c>
      <c r="Z73" s="321">
        <v>-0.62</v>
      </c>
      <c r="AA73" s="321">
        <v>-11.36</v>
      </c>
      <c r="AB73" s="321">
        <v>33.35</v>
      </c>
      <c r="AC73" s="321">
        <v>-22.25</v>
      </c>
      <c r="AD73" s="321">
        <v>-16.86</v>
      </c>
      <c r="AE73" s="321">
        <v>3.49</v>
      </c>
      <c r="AF73" s="321">
        <v>7.91</v>
      </c>
      <c r="AG73" s="321">
        <v>10.11</v>
      </c>
      <c r="AH73" s="321">
        <v>1.73</v>
      </c>
      <c r="AI73" s="321">
        <v>8.02</v>
      </c>
      <c r="AJ73" s="364">
        <v>-23.33</v>
      </c>
      <c r="AK73" s="364">
        <v>-9.69</v>
      </c>
      <c r="AL73" s="321">
        <v>-18.059999999999999</v>
      </c>
      <c r="AM73" s="320">
        <v>21.33</v>
      </c>
      <c r="AN73" s="321">
        <v>5.22</v>
      </c>
      <c r="AO73" s="320">
        <v>25.456187895212278</v>
      </c>
      <c r="AP73" s="321">
        <v>-13.88</v>
      </c>
      <c r="AQ73" s="366"/>
      <c r="AR73" s="366"/>
      <c r="AS73" s="366"/>
      <c r="AT73" s="366"/>
      <c r="AU73" s="366"/>
      <c r="AV73" s="366"/>
      <c r="AW73" s="366"/>
      <c r="AX73" s="366"/>
      <c r="AY73" s="366"/>
      <c r="AZ73" s="321">
        <v>2.3769100169779387</v>
      </c>
      <c r="BB73" s="181"/>
      <c r="BC73" s="181"/>
    </row>
    <row r="74" spans="1:55">
      <c r="A74" s="58">
        <f t="shared" si="75"/>
        <v>2003</v>
      </c>
      <c r="B74" s="321">
        <v>31.35</v>
      </c>
      <c r="C74" s="321">
        <v>32.25</v>
      </c>
      <c r="D74" s="321">
        <v>28.5</v>
      </c>
      <c r="E74" s="321">
        <v>25.92</v>
      </c>
      <c r="F74" s="321">
        <v>34.14</v>
      </c>
      <c r="G74" s="321">
        <v>37.19</v>
      </c>
      <c r="H74" s="321">
        <v>45.63</v>
      </c>
      <c r="I74" s="321">
        <v>42.88</v>
      </c>
      <c r="J74" s="321">
        <v>79.430000000000007</v>
      </c>
      <c r="K74" s="321">
        <v>35.65</v>
      </c>
      <c r="L74" s="321">
        <v>38.67</v>
      </c>
      <c r="M74" s="321">
        <v>57.65</v>
      </c>
      <c r="N74" s="320">
        <v>40.340000000000003</v>
      </c>
      <c r="O74" s="321">
        <v>38.42</v>
      </c>
      <c r="P74" s="321">
        <v>38.700000000000003</v>
      </c>
      <c r="Q74" s="321">
        <v>41.9</v>
      </c>
      <c r="R74" s="366">
        <v>29.82</v>
      </c>
      <c r="S74" s="321">
        <v>2.68</v>
      </c>
      <c r="T74" s="321">
        <v>2.37</v>
      </c>
      <c r="U74" s="321">
        <v>3.97</v>
      </c>
      <c r="V74" s="321">
        <v>0.82</v>
      </c>
      <c r="W74" s="610">
        <v>8</v>
      </c>
      <c r="X74" s="321">
        <v>20.75</v>
      </c>
      <c r="Y74" s="321">
        <v>9.66</v>
      </c>
      <c r="Z74" s="321">
        <v>33.799999999999997</v>
      </c>
      <c r="AA74" s="321">
        <v>26.58</v>
      </c>
      <c r="AB74" s="321">
        <v>59.45</v>
      </c>
      <c r="AC74" s="321">
        <v>37.01</v>
      </c>
      <c r="AD74" s="321">
        <v>30.08</v>
      </c>
      <c r="AE74" s="321">
        <v>1.64</v>
      </c>
      <c r="AF74" s="321">
        <v>4.46</v>
      </c>
      <c r="AG74" s="321">
        <v>5.21</v>
      </c>
      <c r="AH74" s="321">
        <v>17.2</v>
      </c>
      <c r="AI74" s="321">
        <v>2.38</v>
      </c>
      <c r="AJ74" s="364">
        <v>40.26</v>
      </c>
      <c r="AK74" s="364">
        <v>37.909999999999997</v>
      </c>
      <c r="AL74" s="321">
        <v>43.43</v>
      </c>
      <c r="AM74" s="320">
        <v>16.59</v>
      </c>
      <c r="AN74" s="321">
        <v>4.2</v>
      </c>
      <c r="AO74" s="320">
        <v>19.599654377880189</v>
      </c>
      <c r="AP74" s="321">
        <v>57.37</v>
      </c>
      <c r="AQ74" s="366"/>
      <c r="AR74" s="366"/>
      <c r="AS74" s="366"/>
      <c r="AT74" s="366"/>
      <c r="AU74" s="366"/>
      <c r="AV74" s="366"/>
      <c r="AW74" s="366"/>
      <c r="AX74" s="366"/>
      <c r="AY74" s="366"/>
      <c r="AZ74" s="321">
        <v>1.8794914317302407</v>
      </c>
      <c r="BB74" s="181"/>
      <c r="BC74" s="181"/>
    </row>
    <row r="75" spans="1:55">
      <c r="A75" s="58">
        <f t="shared" si="75"/>
        <v>2004</v>
      </c>
      <c r="B75" s="321">
        <v>12.52</v>
      </c>
      <c r="C75" s="321">
        <v>15.29</v>
      </c>
      <c r="D75" s="321">
        <v>10.74</v>
      </c>
      <c r="E75" s="321">
        <v>7.2</v>
      </c>
      <c r="F75" s="321">
        <v>20.350000000000001</v>
      </c>
      <c r="G75" s="321">
        <v>23.55</v>
      </c>
      <c r="H75" s="321">
        <v>19.899999999999999</v>
      </c>
      <c r="I75" s="321">
        <v>16.059999999999999</v>
      </c>
      <c r="J75" s="321">
        <v>20.12</v>
      </c>
      <c r="K75" s="321">
        <v>30.76</v>
      </c>
      <c r="L75" s="321">
        <v>20.25</v>
      </c>
      <c r="M75" s="321">
        <v>26.12</v>
      </c>
      <c r="N75" s="320">
        <v>20.84</v>
      </c>
      <c r="O75" s="321">
        <v>18.829999999999998</v>
      </c>
      <c r="P75" s="321">
        <v>20.86</v>
      </c>
      <c r="Q75" s="321">
        <v>19.77</v>
      </c>
      <c r="R75" s="321">
        <v>16.36</v>
      </c>
      <c r="S75" s="321">
        <v>7.12</v>
      </c>
      <c r="T75" s="321">
        <v>3.4</v>
      </c>
      <c r="U75" s="321">
        <v>4.24</v>
      </c>
      <c r="V75" s="321">
        <v>1</v>
      </c>
      <c r="W75" s="610">
        <v>8.27</v>
      </c>
      <c r="X75" s="321">
        <v>11.17</v>
      </c>
      <c r="Y75" s="321">
        <v>7.57</v>
      </c>
      <c r="Z75" s="321">
        <v>36.65</v>
      </c>
      <c r="AA75" s="321">
        <v>9.51</v>
      </c>
      <c r="AB75" s="321">
        <v>8.09</v>
      </c>
      <c r="AC75" s="321">
        <v>13.38</v>
      </c>
      <c r="AD75" s="321">
        <v>18.309999999999999</v>
      </c>
      <c r="AE75" s="321">
        <v>1.1200000000000001</v>
      </c>
      <c r="AF75" s="321">
        <v>3.23</v>
      </c>
      <c r="AG75" s="321">
        <v>4.12</v>
      </c>
      <c r="AH75" s="321">
        <v>8.52</v>
      </c>
      <c r="AI75" s="321">
        <v>1.03</v>
      </c>
      <c r="AJ75" s="364">
        <v>13.82</v>
      </c>
      <c r="AK75" s="364">
        <v>27.17</v>
      </c>
      <c r="AL75" s="321">
        <v>18.71</v>
      </c>
      <c r="AM75" s="320">
        <v>11.56</v>
      </c>
      <c r="AN75" s="321">
        <v>2.11</v>
      </c>
      <c r="AO75" s="320">
        <v>4.9006622516556346</v>
      </c>
      <c r="AP75" s="321">
        <v>31.77</v>
      </c>
      <c r="AQ75" s="366"/>
      <c r="AR75" s="366"/>
      <c r="AS75" s="366"/>
      <c r="AT75" s="366"/>
      <c r="AU75" s="366"/>
      <c r="AV75" s="366"/>
      <c r="AW75" s="366"/>
      <c r="AX75" s="366"/>
      <c r="AY75" s="366"/>
      <c r="AZ75" s="321">
        <v>3.2555615843733041</v>
      </c>
      <c r="BB75" s="181"/>
      <c r="BC75" s="181"/>
    </row>
    <row r="76" spans="1:55">
      <c r="A76" s="58">
        <f t="shared" si="75"/>
        <v>2005</v>
      </c>
      <c r="B76" s="321">
        <v>5.98</v>
      </c>
      <c r="C76" s="321">
        <v>7.09</v>
      </c>
      <c r="D76" s="321">
        <v>4.7699999999999996</v>
      </c>
      <c r="E76" s="321">
        <v>5.09</v>
      </c>
      <c r="F76" s="321">
        <v>13.93</v>
      </c>
      <c r="G76" s="321">
        <v>6.07</v>
      </c>
      <c r="H76" s="321">
        <v>7.36</v>
      </c>
      <c r="I76" s="321">
        <v>8.64</v>
      </c>
      <c r="J76" s="321">
        <v>4.08</v>
      </c>
      <c r="K76" s="321">
        <v>11.89</v>
      </c>
      <c r="L76" s="321">
        <v>13.600000000000001</v>
      </c>
      <c r="M76" s="321">
        <v>32.049999999999997</v>
      </c>
      <c r="N76" s="320">
        <v>15.57</v>
      </c>
      <c r="O76" s="321">
        <v>22.59</v>
      </c>
      <c r="P76" s="321">
        <v>9.26</v>
      </c>
      <c r="Q76" s="321">
        <v>17.96</v>
      </c>
      <c r="R76" s="321">
        <v>20.5</v>
      </c>
      <c r="S76" s="321">
        <v>6.61</v>
      </c>
      <c r="T76" s="321">
        <v>2.3199999999999998</v>
      </c>
      <c r="U76" s="321">
        <v>2.4</v>
      </c>
      <c r="V76" s="321">
        <v>2.77</v>
      </c>
      <c r="W76" s="610">
        <v>2.59</v>
      </c>
      <c r="X76" s="321">
        <v>6.82</v>
      </c>
      <c r="Y76" s="321">
        <v>3.48</v>
      </c>
      <c r="Z76" s="321">
        <v>44.6</v>
      </c>
      <c r="AA76" s="321">
        <v>15.41</v>
      </c>
      <c r="AB76" s="321">
        <v>43.79</v>
      </c>
      <c r="AC76" s="321">
        <v>4.99</v>
      </c>
      <c r="AD76" s="321">
        <v>7.01</v>
      </c>
      <c r="AE76" s="321">
        <v>1.65</v>
      </c>
      <c r="AF76" s="321">
        <v>2.2400000000000002</v>
      </c>
      <c r="AG76" s="321">
        <v>3.07</v>
      </c>
      <c r="AH76" s="321">
        <v>2.77</v>
      </c>
      <c r="AI76" s="321">
        <v>1.77</v>
      </c>
      <c r="AJ76" s="364">
        <v>15.02</v>
      </c>
      <c r="AK76" s="364">
        <v>12.85</v>
      </c>
      <c r="AL76" s="321">
        <v>10.29</v>
      </c>
      <c r="AM76" s="320">
        <v>-6.36</v>
      </c>
      <c r="AN76" s="321">
        <v>2.2000000000000002</v>
      </c>
      <c r="AO76" s="320">
        <v>18.04</v>
      </c>
      <c r="AP76" s="321">
        <v>20.49</v>
      </c>
      <c r="AQ76" s="366"/>
      <c r="AR76" s="366"/>
      <c r="AS76" s="366"/>
      <c r="AT76" s="366"/>
      <c r="AU76" s="366"/>
      <c r="AV76" s="366"/>
      <c r="AW76" s="366"/>
      <c r="AX76" s="366"/>
      <c r="AY76" s="366"/>
      <c r="AZ76" s="321">
        <v>3.4156594850236468</v>
      </c>
      <c r="BB76" s="181"/>
      <c r="BC76" s="181"/>
    </row>
    <row r="77" spans="1:55">
      <c r="A77" s="58">
        <f t="shared" si="75"/>
        <v>2006</v>
      </c>
      <c r="B77" s="321">
        <v>15.51</v>
      </c>
      <c r="C77" s="321">
        <v>22.15</v>
      </c>
      <c r="D77" s="321">
        <v>15.64</v>
      </c>
      <c r="E77" s="321">
        <v>9.01</v>
      </c>
      <c r="F77" s="321">
        <v>13.6</v>
      </c>
      <c r="G77" s="321">
        <v>19.239999999999998</v>
      </c>
      <c r="H77" s="321">
        <v>15.64</v>
      </c>
      <c r="I77" s="321">
        <v>11.94</v>
      </c>
      <c r="J77" s="321">
        <v>11.48</v>
      </c>
      <c r="K77" s="321">
        <v>35.07</v>
      </c>
      <c r="L77" s="321">
        <v>26.27</v>
      </c>
      <c r="M77" s="321">
        <v>29.39</v>
      </c>
      <c r="N77" s="320">
        <v>26.64</v>
      </c>
      <c r="O77" s="321">
        <v>11.99</v>
      </c>
      <c r="P77" s="321">
        <v>33.42</v>
      </c>
      <c r="Q77" s="321">
        <v>27.37</v>
      </c>
      <c r="R77" s="321">
        <v>-3.04</v>
      </c>
      <c r="S77" s="321">
        <v>1.74</v>
      </c>
      <c r="T77" s="321">
        <v>3.14</v>
      </c>
      <c r="U77" s="321">
        <v>4.2699999999999996</v>
      </c>
      <c r="V77" s="321">
        <v>4.55</v>
      </c>
      <c r="W77" s="610">
        <v>0.43</v>
      </c>
      <c r="X77" s="321">
        <v>14.97</v>
      </c>
      <c r="Y77" s="321">
        <v>11.28</v>
      </c>
      <c r="Z77" s="321">
        <v>19.66</v>
      </c>
      <c r="AA77" s="321">
        <v>10.87</v>
      </c>
      <c r="AB77" s="321">
        <v>34.299999999999997</v>
      </c>
      <c r="AC77" s="321">
        <v>19.350000000000001</v>
      </c>
      <c r="AD77" s="321">
        <v>18.25</v>
      </c>
      <c r="AE77" s="321">
        <v>3.26</v>
      </c>
      <c r="AF77" s="321">
        <v>4.43</v>
      </c>
      <c r="AG77" s="321">
        <v>5.16</v>
      </c>
      <c r="AH77" s="321">
        <v>8.24</v>
      </c>
      <c r="AI77" s="321">
        <v>3.77</v>
      </c>
      <c r="AJ77" s="321">
        <v>9.67</v>
      </c>
      <c r="AK77" s="321">
        <v>17.82</v>
      </c>
      <c r="AL77" s="321">
        <v>14.27</v>
      </c>
      <c r="AM77" s="320">
        <v>5.85</v>
      </c>
      <c r="AN77" s="321">
        <v>4.99</v>
      </c>
      <c r="AO77" s="320">
        <v>22.17</v>
      </c>
      <c r="AP77" s="321">
        <v>30.34</v>
      </c>
      <c r="AQ77" s="366"/>
      <c r="AR77" s="366"/>
      <c r="AS77" s="366"/>
      <c r="AT77" s="366"/>
      <c r="AU77" s="366"/>
      <c r="AV77" s="366"/>
      <c r="AW77" s="366"/>
      <c r="AX77" s="366"/>
      <c r="AY77" s="366"/>
      <c r="AZ77" s="321">
        <v>2.5406504065040649</v>
      </c>
      <c r="BB77" s="181"/>
      <c r="BC77" s="181"/>
    </row>
    <row r="78" spans="1:55">
      <c r="A78" s="58">
        <f t="shared" si="75"/>
        <v>2007</v>
      </c>
      <c r="B78" s="321">
        <v>5.49</v>
      </c>
      <c r="C78" s="321">
        <v>0.09</v>
      </c>
      <c r="D78" s="321">
        <v>5.39</v>
      </c>
      <c r="E78" s="321">
        <v>12.56</v>
      </c>
      <c r="F78" s="321">
        <v>6.02</v>
      </c>
      <c r="G78" s="321">
        <v>-7.07</v>
      </c>
      <c r="H78" s="321">
        <v>1.1599999999999999</v>
      </c>
      <c r="I78" s="321">
        <v>9.6300000000000008</v>
      </c>
      <c r="J78" s="321">
        <v>-5.4</v>
      </c>
      <c r="K78" s="321">
        <v>-16.46</v>
      </c>
      <c r="L78" s="321">
        <v>11.15</v>
      </c>
      <c r="M78" s="321">
        <v>38.9</v>
      </c>
      <c r="N78" s="321">
        <v>15.52</v>
      </c>
      <c r="O78" s="321">
        <v>4.78</v>
      </c>
      <c r="P78" s="321">
        <v>13.82</v>
      </c>
      <c r="Q78" s="321">
        <v>12.66</v>
      </c>
      <c r="R78" s="321">
        <v>23.8</v>
      </c>
      <c r="S78" s="321">
        <v>9.24</v>
      </c>
      <c r="T78" s="321">
        <v>9.98</v>
      </c>
      <c r="U78" s="321">
        <v>6.92</v>
      </c>
      <c r="V78" s="321">
        <v>4.6500000000000004</v>
      </c>
      <c r="W78" s="321">
        <v>11.59</v>
      </c>
      <c r="X78" s="321">
        <v>8.34</v>
      </c>
      <c r="Y78" s="321">
        <v>5.61</v>
      </c>
      <c r="Z78" s="321">
        <v>37</v>
      </c>
      <c r="AA78" s="321">
        <v>4.42</v>
      </c>
      <c r="AB78" s="321">
        <v>36.130000000000003</v>
      </c>
      <c r="AC78" s="321">
        <v>-3.3</v>
      </c>
      <c r="AD78" s="321">
        <v>2.23</v>
      </c>
      <c r="AE78" s="321">
        <v>4.1900000000000004</v>
      </c>
      <c r="AF78" s="321">
        <v>3.43</v>
      </c>
      <c r="AG78" s="321">
        <v>2.54</v>
      </c>
      <c r="AH78" s="321">
        <v>2.04</v>
      </c>
      <c r="AI78" s="321">
        <v>7.89</v>
      </c>
      <c r="AJ78" s="366">
        <v>17.3</v>
      </c>
      <c r="AK78" s="366">
        <v>-4.37</v>
      </c>
      <c r="AL78" s="321">
        <v>4.33</v>
      </c>
      <c r="AM78" s="321">
        <v>9.26</v>
      </c>
      <c r="AN78" s="321">
        <v>5.86</v>
      </c>
      <c r="AO78" s="321">
        <v>30.56</v>
      </c>
      <c r="AP78" s="321">
        <v>5.15</v>
      </c>
      <c r="AQ78" s="321"/>
      <c r="AR78" s="321"/>
      <c r="AS78" s="321"/>
      <c r="AT78" s="321"/>
      <c r="AU78" s="321"/>
      <c r="AV78" s="321"/>
      <c r="AW78" s="321"/>
      <c r="AX78" s="321"/>
      <c r="AY78" s="321"/>
      <c r="AZ78" s="321">
        <v>4.0812685827551975</v>
      </c>
      <c r="BB78" s="181"/>
      <c r="BC78" s="181"/>
    </row>
    <row r="79" spans="1:55">
      <c r="A79" s="58">
        <f t="shared" si="75"/>
        <v>2008</v>
      </c>
      <c r="B79" s="303">
        <v>-37.04</v>
      </c>
      <c r="C79" s="303">
        <v>-35.97</v>
      </c>
      <c r="D79" s="303">
        <v>-37.020000000000003</v>
      </c>
      <c r="E79" s="303">
        <v>-38.32</v>
      </c>
      <c r="F79" s="303">
        <v>-41.82</v>
      </c>
      <c r="G79" s="303">
        <v>-32.049999999999997</v>
      </c>
      <c r="H79" s="303">
        <v>-36.07</v>
      </c>
      <c r="I79" s="303">
        <v>-40</v>
      </c>
      <c r="J79" s="303">
        <v>-39.49</v>
      </c>
      <c r="K79" s="303">
        <v>-37.049999999999997</v>
      </c>
      <c r="L79" s="303">
        <v>-41.27</v>
      </c>
      <c r="M79" s="303">
        <v>-52.81</v>
      </c>
      <c r="N79" s="303">
        <v>-44.1</v>
      </c>
      <c r="O79" s="303">
        <v>-34.36</v>
      </c>
      <c r="P79" s="303">
        <v>-44.73</v>
      </c>
      <c r="Q79" s="303">
        <v>-41.74</v>
      </c>
      <c r="R79" s="303">
        <v>-43.33</v>
      </c>
      <c r="S79" s="303">
        <v>22.52</v>
      </c>
      <c r="T79" s="303">
        <v>13.32</v>
      </c>
      <c r="U79" s="303">
        <v>5.05</v>
      </c>
      <c r="V79" s="303">
        <v>1.97</v>
      </c>
      <c r="W79" s="303">
        <v>-2.85</v>
      </c>
      <c r="X79" s="303">
        <v>-22.3</v>
      </c>
      <c r="Y79" s="303">
        <v>-9.84</v>
      </c>
      <c r="Z79" s="321">
        <v>-42.87</v>
      </c>
      <c r="AA79" s="321">
        <v>-18.45</v>
      </c>
      <c r="AB79" s="321">
        <v>-56.02</v>
      </c>
      <c r="AC79" s="303">
        <v>-41.1</v>
      </c>
      <c r="AD79" s="321">
        <v>-36.700000000000003</v>
      </c>
      <c r="AE79" s="321">
        <v>3.74</v>
      </c>
      <c r="AF79" s="321">
        <v>-0.14000000000000001</v>
      </c>
      <c r="AG79" s="321">
        <v>-4.87</v>
      </c>
      <c r="AH79" s="321">
        <v>-21.29</v>
      </c>
      <c r="AI79" s="303">
        <v>6.68</v>
      </c>
      <c r="AJ79" s="321">
        <v>-47.07</v>
      </c>
      <c r="AK79" s="321">
        <v>-36.64</v>
      </c>
      <c r="AL79" s="321">
        <v>-38.729999999999997</v>
      </c>
      <c r="AM79" s="321">
        <v>-2.67</v>
      </c>
      <c r="AN79" s="321">
        <v>-4.74</v>
      </c>
      <c r="AO79" s="321">
        <v>4.96</v>
      </c>
      <c r="AP79" s="321">
        <v>-46.62</v>
      </c>
      <c r="AQ79" s="321"/>
      <c r="AR79" s="321"/>
      <c r="AS79" s="321"/>
      <c r="AT79" s="321"/>
      <c r="AU79" s="321"/>
      <c r="AV79" s="321"/>
      <c r="AW79" s="321"/>
      <c r="AX79" s="321"/>
      <c r="AY79" s="321"/>
      <c r="AZ79" s="321">
        <v>9.1412900645607059E-2</v>
      </c>
      <c r="BB79" s="181"/>
      <c r="BC79" s="181"/>
    </row>
    <row r="80" spans="1:55">
      <c r="A80" s="58">
        <f t="shared" si="75"/>
        <v>2009</v>
      </c>
      <c r="B80" s="321">
        <v>28.7</v>
      </c>
      <c r="C80" s="321">
        <v>19.579999999999998</v>
      </c>
      <c r="D80" s="321">
        <v>26.49</v>
      </c>
      <c r="E80" s="321">
        <v>36.29</v>
      </c>
      <c r="F80" s="321">
        <v>40.22</v>
      </c>
      <c r="G80" s="321">
        <v>30.34</v>
      </c>
      <c r="H80" s="321">
        <v>36.119999999999997</v>
      </c>
      <c r="I80" s="321">
        <v>41.85</v>
      </c>
      <c r="J80" s="321">
        <v>25.95</v>
      </c>
      <c r="K80" s="321">
        <v>29.58</v>
      </c>
      <c r="L80" s="321">
        <v>28.27</v>
      </c>
      <c r="M80" s="321">
        <v>75.98</v>
      </c>
      <c r="N80" s="321">
        <v>36.729999999999997</v>
      </c>
      <c r="O80" s="321">
        <v>21.18</v>
      </c>
      <c r="P80" s="321">
        <v>31.91</v>
      </c>
      <c r="Q80" s="321">
        <v>33.770000000000003</v>
      </c>
      <c r="R80" s="321">
        <v>39.92</v>
      </c>
      <c r="S80" s="321">
        <v>-12.05</v>
      </c>
      <c r="T80" s="321">
        <v>-1.69</v>
      </c>
      <c r="U80" s="321">
        <v>5.93</v>
      </c>
      <c r="V80" s="321">
        <v>0.53</v>
      </c>
      <c r="W80" s="321">
        <v>10.8</v>
      </c>
      <c r="X80" s="321">
        <v>22.2</v>
      </c>
      <c r="Y80" s="321">
        <v>16.02</v>
      </c>
      <c r="Z80" s="321">
        <v>38.36</v>
      </c>
      <c r="AA80" s="321">
        <v>20.96</v>
      </c>
      <c r="AB80" s="321">
        <v>76.459999999999994</v>
      </c>
      <c r="AC80" s="321">
        <v>34.69</v>
      </c>
      <c r="AD80" s="321">
        <v>27.05</v>
      </c>
      <c r="AE80" s="321">
        <v>3.07</v>
      </c>
      <c r="AF80" s="321">
        <v>10.220000000000001</v>
      </c>
      <c r="AG80" s="321">
        <v>14.08</v>
      </c>
      <c r="AH80" s="321">
        <v>20.13</v>
      </c>
      <c r="AI80" s="321">
        <v>1.44</v>
      </c>
      <c r="AJ80" s="321">
        <v>42.54</v>
      </c>
      <c r="AK80" s="321">
        <v>37.61</v>
      </c>
      <c r="AL80" s="321">
        <v>37.43</v>
      </c>
      <c r="AM80" s="321">
        <v>17.170000000000002</v>
      </c>
      <c r="AN80" s="321">
        <v>14.03</v>
      </c>
      <c r="AO80" s="321">
        <v>23.99</v>
      </c>
      <c r="AP80" s="321">
        <v>47.12</v>
      </c>
      <c r="AQ80" s="321"/>
      <c r="AR80" s="321"/>
      <c r="AS80" s="321"/>
      <c r="AT80" s="321"/>
      <c r="AU80" s="321"/>
      <c r="AV80" s="321"/>
      <c r="AW80" s="321"/>
      <c r="AX80" s="321"/>
      <c r="AY80" s="321"/>
      <c r="AZ80" s="321">
        <v>2.72</v>
      </c>
      <c r="BB80" s="181"/>
      <c r="BC80" s="181"/>
    </row>
    <row r="81" spans="1:55">
      <c r="A81" s="58">
        <f t="shared" si="75"/>
        <v>2010</v>
      </c>
      <c r="B81" s="321">
        <v>17.09</v>
      </c>
      <c r="C81" s="321">
        <v>14.28</v>
      </c>
      <c r="D81" s="321">
        <v>14.91</v>
      </c>
      <c r="E81" s="321">
        <v>16.96</v>
      </c>
      <c r="F81" s="321">
        <v>25.46</v>
      </c>
      <c r="G81" s="321">
        <v>24.82</v>
      </c>
      <c r="H81" s="321">
        <v>27.72</v>
      </c>
      <c r="I81" s="321">
        <v>30.69</v>
      </c>
      <c r="J81" s="321">
        <v>24.86</v>
      </c>
      <c r="K81" s="321">
        <v>28.3</v>
      </c>
      <c r="L81" s="321">
        <v>8.36</v>
      </c>
      <c r="M81" s="321">
        <v>18.86</v>
      </c>
      <c r="N81" s="321">
        <v>11.12</v>
      </c>
      <c r="O81" s="321">
        <v>15.77</v>
      </c>
      <c r="P81" s="321">
        <v>4.91</v>
      </c>
      <c r="Q81" s="321">
        <v>7.31</v>
      </c>
      <c r="R81" s="321">
        <v>24.13</v>
      </c>
      <c r="S81" s="321">
        <v>8.93</v>
      </c>
      <c r="T81" s="321">
        <v>7.35</v>
      </c>
      <c r="U81" s="321">
        <v>6.42</v>
      </c>
      <c r="V81" s="321">
        <v>0.01</v>
      </c>
      <c r="W81" s="321">
        <v>6.17</v>
      </c>
      <c r="X81" s="321">
        <v>10.94</v>
      </c>
      <c r="Y81" s="321">
        <v>10.65</v>
      </c>
      <c r="Z81" s="321">
        <v>13.43</v>
      </c>
      <c r="AA81" s="321">
        <v>6.16</v>
      </c>
      <c r="AB81" s="321">
        <v>37.450000000000003</v>
      </c>
      <c r="AC81" s="321">
        <v>14.82</v>
      </c>
      <c r="AD81" s="321">
        <v>10.62</v>
      </c>
      <c r="AE81" s="321">
        <v>0.95</v>
      </c>
      <c r="AF81" s="321">
        <v>2.13</v>
      </c>
      <c r="AG81" s="321">
        <v>1.5</v>
      </c>
      <c r="AH81" s="321">
        <v>12.4</v>
      </c>
      <c r="AI81" s="321">
        <v>2.64</v>
      </c>
      <c r="AJ81" s="321">
        <v>28.93</v>
      </c>
      <c r="AK81" s="321">
        <v>21.63</v>
      </c>
      <c r="AL81" s="321">
        <v>27.37</v>
      </c>
      <c r="AM81" s="321">
        <v>11.24</v>
      </c>
      <c r="AN81" s="321">
        <v>5.21</v>
      </c>
      <c r="AO81" s="321">
        <v>29.27</v>
      </c>
      <c r="AP81" s="321">
        <v>24.97</v>
      </c>
      <c r="AQ81" s="321"/>
      <c r="AR81" s="321"/>
      <c r="AS81" s="321"/>
      <c r="AT81" s="321"/>
      <c r="AU81" s="321"/>
      <c r="AV81" s="321"/>
      <c r="AW81" s="321"/>
      <c r="AX81" s="321"/>
      <c r="AY81" s="321"/>
      <c r="AZ81" s="321">
        <v>1.5</v>
      </c>
      <c r="BB81" s="181"/>
      <c r="BC81" s="181"/>
    </row>
    <row r="82" spans="1:55">
      <c r="A82" s="58">
        <f t="shared" si="75"/>
        <v>2011</v>
      </c>
      <c r="B82" s="321">
        <v>0.96</v>
      </c>
      <c r="C82" s="321">
        <v>1</v>
      </c>
      <c r="D82" s="321">
        <v>1.97</v>
      </c>
      <c r="E82" s="321">
        <v>1.71</v>
      </c>
      <c r="F82" s="321">
        <v>-2.11</v>
      </c>
      <c r="G82" s="321">
        <v>-4.16</v>
      </c>
      <c r="H82" s="321">
        <v>-2.8</v>
      </c>
      <c r="I82" s="321">
        <v>-1.58</v>
      </c>
      <c r="J82" s="321">
        <v>-7.86</v>
      </c>
      <c r="K82" s="321">
        <v>8.4700000000000006</v>
      </c>
      <c r="L82" s="321">
        <v>-12.509999999999998</v>
      </c>
      <c r="M82" s="321">
        <v>-19.18</v>
      </c>
      <c r="N82" s="320">
        <v>-14.56</v>
      </c>
      <c r="O82" s="321">
        <v>-14</v>
      </c>
      <c r="P82" s="321">
        <v>-11.6</v>
      </c>
      <c r="Q82" s="321">
        <v>-14.58</v>
      </c>
      <c r="R82" s="321">
        <v>-7.56</v>
      </c>
      <c r="S82" s="321">
        <v>29.28</v>
      </c>
      <c r="T82" s="321">
        <v>9.8000000000000007</v>
      </c>
      <c r="U82" s="321">
        <v>7.56</v>
      </c>
      <c r="V82" s="321">
        <v>0.02</v>
      </c>
      <c r="W82" s="610">
        <v>13.24</v>
      </c>
      <c r="X82" s="321">
        <v>3.85</v>
      </c>
      <c r="Y82" s="321">
        <v>9.6300000000000008</v>
      </c>
      <c r="Z82" s="321">
        <v>-1.74</v>
      </c>
      <c r="AA82" s="321">
        <v>11.45</v>
      </c>
      <c r="AB82" s="321">
        <v>-21.7</v>
      </c>
      <c r="AC82" s="321">
        <v>-4</v>
      </c>
      <c r="AD82" s="321">
        <v>2.7</v>
      </c>
      <c r="AE82" s="321">
        <v>1.6</v>
      </c>
      <c r="AF82" s="321">
        <v>9.6199999999999992</v>
      </c>
      <c r="AG82" s="321">
        <v>10.69</v>
      </c>
      <c r="AH82" s="321">
        <v>7.13</v>
      </c>
      <c r="AI82" s="321">
        <v>2.2599999999999998</v>
      </c>
      <c r="AJ82" s="321">
        <v>-3.84</v>
      </c>
      <c r="AK82" s="321">
        <v>-0.44</v>
      </c>
      <c r="AL82" s="321">
        <v>-3.73</v>
      </c>
      <c r="AM82" s="320">
        <v>9.1999999999999993</v>
      </c>
      <c r="AN82" s="321">
        <v>1.93</v>
      </c>
      <c r="AO82" s="320">
        <v>9.57</v>
      </c>
      <c r="AP82" s="321">
        <v>-19.09</v>
      </c>
      <c r="AQ82" s="366"/>
      <c r="AR82" s="366"/>
      <c r="AS82" s="366"/>
      <c r="AT82" s="366"/>
      <c r="AU82" s="366"/>
      <c r="AV82" s="366"/>
      <c r="AW82" s="366"/>
      <c r="AX82" s="366"/>
      <c r="AY82" s="366"/>
      <c r="AZ82" s="321">
        <v>2.96</v>
      </c>
      <c r="BB82" s="181"/>
      <c r="BC82" s="181"/>
    </row>
    <row r="83" spans="1:55">
      <c r="A83" s="58">
        <f t="shared" si="75"/>
        <v>2012</v>
      </c>
      <c r="B83" s="321">
        <v>16.25</v>
      </c>
      <c r="C83" s="321">
        <v>15</v>
      </c>
      <c r="D83" s="321">
        <v>15.82</v>
      </c>
      <c r="E83" s="321">
        <v>16.89</v>
      </c>
      <c r="F83" s="321">
        <v>15.8</v>
      </c>
      <c r="G83" s="321">
        <v>18.559999999999999</v>
      </c>
      <c r="H83" s="321">
        <v>18.04</v>
      </c>
      <c r="I83" s="321">
        <v>17.52</v>
      </c>
      <c r="J83" s="321">
        <v>19.829999999999998</v>
      </c>
      <c r="K83" s="321">
        <v>17.53</v>
      </c>
      <c r="L83" s="321">
        <v>18.559999999999999</v>
      </c>
      <c r="M83" s="321">
        <v>18.64</v>
      </c>
      <c r="N83" s="321">
        <v>18.14</v>
      </c>
      <c r="O83" s="321">
        <v>15.49</v>
      </c>
      <c r="P83" s="321">
        <v>20.8</v>
      </c>
      <c r="Q83" s="321">
        <v>20.18</v>
      </c>
      <c r="R83" s="321">
        <v>5.31</v>
      </c>
      <c r="S83" s="321">
        <v>3.47</v>
      </c>
      <c r="T83" s="321">
        <v>2.67</v>
      </c>
      <c r="U83" s="321">
        <v>4.05</v>
      </c>
      <c r="V83" s="321">
        <v>0.02</v>
      </c>
      <c r="W83" s="321">
        <v>6.78</v>
      </c>
      <c r="X83" s="321">
        <v>12.57</v>
      </c>
      <c r="Y83" s="321">
        <v>10.06</v>
      </c>
      <c r="Z83" s="321">
        <v>2.67</v>
      </c>
      <c r="AA83" s="321">
        <v>15.11</v>
      </c>
      <c r="AB83" s="321">
        <v>-12.98</v>
      </c>
      <c r="AC83" s="321">
        <v>20.78</v>
      </c>
      <c r="AD83" s="321">
        <v>16.72</v>
      </c>
      <c r="AE83" s="321">
        <v>0.99</v>
      </c>
      <c r="AF83" s="321">
        <v>5.7</v>
      </c>
      <c r="AG83" s="321">
        <v>8.08</v>
      </c>
      <c r="AH83" s="321">
        <v>14.36</v>
      </c>
      <c r="AI83" s="321">
        <v>0.69</v>
      </c>
      <c r="AJ83" s="321">
        <v>15.81</v>
      </c>
      <c r="AK83" s="321">
        <v>15.91</v>
      </c>
      <c r="AL83" s="321">
        <v>18.309999999999999</v>
      </c>
      <c r="AM83" s="321">
        <v>7.42</v>
      </c>
      <c r="AN83" s="321">
        <v>4.5199999999999996</v>
      </c>
      <c r="AO83" s="321">
        <v>6.6</v>
      </c>
      <c r="AP83" s="321">
        <v>18.89</v>
      </c>
      <c r="AQ83" s="321"/>
      <c r="AR83" s="321"/>
      <c r="AS83" s="321"/>
      <c r="AT83" s="321"/>
      <c r="AU83" s="321"/>
      <c r="AV83" s="321"/>
      <c r="AW83" s="321"/>
      <c r="AX83" s="321"/>
      <c r="AY83" s="321"/>
      <c r="AZ83" s="321">
        <v>1.74</v>
      </c>
      <c r="BB83" s="181"/>
      <c r="BC83" s="181"/>
    </row>
    <row r="84" spans="1:55">
      <c r="A84" s="58">
        <f t="shared" si="75"/>
        <v>2013</v>
      </c>
      <c r="B84" s="303">
        <v>33.35</v>
      </c>
      <c r="C84" s="303">
        <v>32.85</v>
      </c>
      <c r="D84" s="303">
        <v>32.18</v>
      </c>
      <c r="E84" s="303">
        <v>32.159999999999997</v>
      </c>
      <c r="F84" s="303">
        <v>35</v>
      </c>
      <c r="G84" s="303">
        <v>36.409999999999997</v>
      </c>
      <c r="H84" s="303">
        <v>37.619999999999997</v>
      </c>
      <c r="I84" s="303">
        <v>37.979999999999997</v>
      </c>
      <c r="J84" s="614">
        <v>50.91</v>
      </c>
      <c r="K84" s="303">
        <v>2.31</v>
      </c>
      <c r="L84" s="303">
        <v>22.06</v>
      </c>
      <c r="M84" s="303">
        <v>-5.19</v>
      </c>
      <c r="N84" s="303">
        <v>15.04</v>
      </c>
      <c r="O84" s="303">
        <v>17.36</v>
      </c>
      <c r="P84" s="303">
        <v>24.7</v>
      </c>
      <c r="Q84" s="303">
        <v>22.15</v>
      </c>
      <c r="R84" s="303">
        <v>-14.81</v>
      </c>
      <c r="S84" s="303">
        <v>-13.03</v>
      </c>
      <c r="T84" s="303">
        <v>-3.09</v>
      </c>
      <c r="U84" s="303">
        <v>-2.2599999999999998</v>
      </c>
      <c r="V84" s="303">
        <v>0.01</v>
      </c>
      <c r="W84" s="303">
        <v>-8.92</v>
      </c>
      <c r="X84" s="303">
        <v>19.66</v>
      </c>
      <c r="Y84" s="303">
        <v>9.19</v>
      </c>
      <c r="Z84" s="321">
        <v>18.14</v>
      </c>
      <c r="AA84" s="321">
        <v>43.19</v>
      </c>
      <c r="AB84" s="321">
        <v>-35.130000000000003</v>
      </c>
      <c r="AC84" s="303">
        <v>36.08</v>
      </c>
      <c r="AD84" s="321">
        <v>30.69</v>
      </c>
      <c r="AE84" s="321">
        <v>0.48</v>
      </c>
      <c r="AF84" s="321">
        <v>-1.56</v>
      </c>
      <c r="AG84" s="321">
        <v>-2.95</v>
      </c>
      <c r="AH84" s="321">
        <v>4.54</v>
      </c>
      <c r="AI84" s="303">
        <v>-0.1</v>
      </c>
      <c r="AJ84" s="321">
        <v>32.020000000000003</v>
      </c>
      <c r="AK84" s="321">
        <v>37.42</v>
      </c>
      <c r="AL84" s="321">
        <v>38.19</v>
      </c>
      <c r="AM84" s="398">
        <v>-5.04</v>
      </c>
      <c r="AN84" s="321">
        <v>0.97</v>
      </c>
      <c r="AO84" s="321">
        <v>-28.33</v>
      </c>
      <c r="AP84" s="321">
        <v>17.440000000000001</v>
      </c>
      <c r="AQ84" s="321"/>
      <c r="AR84" s="321"/>
      <c r="AS84" s="321"/>
      <c r="AT84" s="321"/>
      <c r="AU84" s="321"/>
      <c r="AV84" s="321"/>
      <c r="AW84" s="321"/>
      <c r="AX84" s="321"/>
      <c r="AY84" s="321"/>
      <c r="AZ84" s="321">
        <v>1.501735619618394</v>
      </c>
      <c r="BB84" s="181"/>
      <c r="BC84" s="181"/>
    </row>
    <row r="85" spans="1:55">
      <c r="A85" s="58">
        <f t="shared" si="75"/>
        <v>2014</v>
      </c>
      <c r="B85" s="303">
        <v>12.43</v>
      </c>
      <c r="C85" s="303">
        <v>13.05</v>
      </c>
      <c r="D85" s="303">
        <v>13.51</v>
      </c>
      <c r="E85" s="303">
        <v>13.47</v>
      </c>
      <c r="F85" s="303">
        <v>13.6</v>
      </c>
      <c r="G85" s="303">
        <v>10.39</v>
      </c>
      <c r="H85" s="303">
        <v>7.37</v>
      </c>
      <c r="I85" s="303">
        <v>3.88</v>
      </c>
      <c r="J85" s="614">
        <v>4.6100000000000003</v>
      </c>
      <c r="K85" s="303">
        <v>30.13</v>
      </c>
      <c r="L85" s="303">
        <v>-5.66</v>
      </c>
      <c r="M85" s="303">
        <v>0.42</v>
      </c>
      <c r="N85" s="303">
        <v>-4.24</v>
      </c>
      <c r="O85" s="303">
        <v>-4.6900000000000004</v>
      </c>
      <c r="P85" s="303">
        <v>-6.67</v>
      </c>
      <c r="Q85" s="303">
        <v>-6.69</v>
      </c>
      <c r="R85" s="303">
        <v>-18.059999999999999</v>
      </c>
      <c r="S85" s="303">
        <v>25.27</v>
      </c>
      <c r="T85" s="303">
        <v>4.32</v>
      </c>
      <c r="U85" s="303">
        <v>5.76</v>
      </c>
      <c r="V85" s="303">
        <v>0.01</v>
      </c>
      <c r="W85" s="303">
        <v>3.83</v>
      </c>
      <c r="X85" s="303">
        <v>9.82</v>
      </c>
      <c r="Y85" s="303">
        <v>8.07</v>
      </c>
      <c r="Z85" s="321">
        <v>-14.26</v>
      </c>
      <c r="AA85" s="321">
        <v>28.52</v>
      </c>
      <c r="AB85" s="321">
        <v>-11.41</v>
      </c>
      <c r="AC85" s="303">
        <v>11.82</v>
      </c>
      <c r="AD85" s="321">
        <v>11.16</v>
      </c>
      <c r="AE85" s="321">
        <v>0.65</v>
      </c>
      <c r="AF85" s="321">
        <v>7.25</v>
      </c>
      <c r="AG85" s="321">
        <v>11.07</v>
      </c>
      <c r="AH85" s="321">
        <v>4.58</v>
      </c>
      <c r="AI85" s="303">
        <v>0.71</v>
      </c>
      <c r="AJ85" s="321">
        <v>13.35</v>
      </c>
      <c r="AK85" s="321">
        <v>13.84</v>
      </c>
      <c r="AL85" s="321">
        <v>7.42</v>
      </c>
      <c r="AM85" s="398">
        <v>2.37</v>
      </c>
      <c r="AN85" s="321">
        <v>1.76</v>
      </c>
      <c r="AO85" s="321">
        <v>-2.19</v>
      </c>
      <c r="AP85" s="321">
        <v>-4.8099999999999996</v>
      </c>
      <c r="AQ85" s="321"/>
      <c r="AR85" s="321"/>
      <c r="AS85" s="321"/>
      <c r="AT85" s="321"/>
      <c r="AU85" s="321"/>
      <c r="AV85" s="321"/>
      <c r="AW85" s="321"/>
      <c r="AX85" s="321"/>
      <c r="AY85" s="321"/>
      <c r="AZ85" s="321">
        <v>0.7564932696557447</v>
      </c>
      <c r="BB85" s="181"/>
      <c r="BC85" s="181"/>
    </row>
    <row r="86" spans="1:55">
      <c r="A86" s="58">
        <f t="shared" si="75"/>
        <v>2015</v>
      </c>
      <c r="B86" s="303">
        <v>0.28999999999999998</v>
      </c>
      <c r="C86" s="303">
        <v>-1.03</v>
      </c>
      <c r="D86" s="303">
        <v>1.25</v>
      </c>
      <c r="E86" s="303">
        <v>3.17</v>
      </c>
      <c r="F86" s="303">
        <v>-1.46</v>
      </c>
      <c r="G86" s="303">
        <v>-4.78</v>
      </c>
      <c r="H86" s="303">
        <v>-3.78</v>
      </c>
      <c r="I86" s="303">
        <v>-2.64</v>
      </c>
      <c r="J86" s="614">
        <v>-3.94</v>
      </c>
      <c r="K86" s="303">
        <v>2.2200000000000002</v>
      </c>
      <c r="L86" s="303">
        <v>-0.18</v>
      </c>
      <c r="M86" s="303">
        <v>-15.51</v>
      </c>
      <c r="N86" s="303">
        <v>-4.37</v>
      </c>
      <c r="O86" s="303">
        <v>2.25</v>
      </c>
      <c r="P86" s="303">
        <v>-2</v>
      </c>
      <c r="Q86" s="303">
        <v>-6.44</v>
      </c>
      <c r="R86" s="303">
        <v>-25.7</v>
      </c>
      <c r="S86" s="303">
        <v>-1.54</v>
      </c>
      <c r="T86" s="303">
        <v>1.5</v>
      </c>
      <c r="U86" s="303">
        <v>0.3</v>
      </c>
      <c r="V86" s="303">
        <v>0.02</v>
      </c>
      <c r="W86" s="303">
        <v>-1.83</v>
      </c>
      <c r="X86" s="303">
        <v>0.06</v>
      </c>
      <c r="Y86" s="303">
        <v>1.28</v>
      </c>
      <c r="Z86" s="321">
        <v>-21.48</v>
      </c>
      <c r="AA86" s="321">
        <v>12.65</v>
      </c>
      <c r="AB86" s="321">
        <v>-29.42</v>
      </c>
      <c r="AC86" s="303">
        <v>-3.32</v>
      </c>
      <c r="AD86" s="321">
        <v>-3.22</v>
      </c>
      <c r="AE86" s="321">
        <v>0.45</v>
      </c>
      <c r="AF86" s="321">
        <v>2.86</v>
      </c>
      <c r="AG86" s="321">
        <v>3.97</v>
      </c>
      <c r="AH86" s="321">
        <v>-1.39</v>
      </c>
      <c r="AI86" s="303">
        <v>0.45</v>
      </c>
      <c r="AJ86" s="321">
        <v>-1.1299999999999999</v>
      </c>
      <c r="AK86" s="321">
        <v>-1.91</v>
      </c>
      <c r="AL86" s="321">
        <v>-3.39</v>
      </c>
      <c r="AM86" s="398">
        <v>-3.59</v>
      </c>
      <c r="AN86" s="321">
        <v>1.03</v>
      </c>
      <c r="AO86" s="321">
        <v>-10.67</v>
      </c>
      <c r="AP86" s="321">
        <v>-0.32</v>
      </c>
      <c r="AQ86" s="321"/>
      <c r="AR86" s="321"/>
      <c r="AS86" s="321"/>
      <c r="AT86" s="321"/>
      <c r="AU86" s="321"/>
      <c r="AV86" s="321"/>
      <c r="AW86" s="321"/>
      <c r="AX86" s="321"/>
      <c r="AY86" s="321"/>
      <c r="AZ86" s="321">
        <v>0.72951978604158807</v>
      </c>
      <c r="BA86" s="57"/>
      <c r="BB86" s="181"/>
      <c r="BC86" s="181"/>
    </row>
    <row r="87" spans="1:55">
      <c r="A87" s="58">
        <f t="shared" si="75"/>
        <v>2016</v>
      </c>
      <c r="B87" s="303"/>
      <c r="C87" s="303"/>
      <c r="D87" s="303"/>
      <c r="E87" s="303"/>
      <c r="F87" s="303"/>
      <c r="G87" s="303"/>
      <c r="H87" s="303"/>
      <c r="I87" s="303"/>
      <c r="J87" s="614"/>
      <c r="K87" s="303"/>
      <c r="L87" s="303"/>
      <c r="M87" s="303"/>
      <c r="N87" s="303"/>
      <c r="O87" s="303"/>
      <c r="P87" s="303"/>
      <c r="Q87" s="303"/>
      <c r="R87" s="303"/>
      <c r="S87" s="303"/>
      <c r="T87" s="303"/>
      <c r="U87" s="303"/>
      <c r="V87" s="303"/>
      <c r="W87" s="303"/>
      <c r="X87" s="303"/>
      <c r="Y87" s="303"/>
      <c r="Z87" s="321"/>
      <c r="AA87" s="321"/>
      <c r="AB87" s="321"/>
      <c r="AC87" s="303"/>
      <c r="AD87" s="321"/>
      <c r="AE87" s="321"/>
      <c r="AF87" s="321"/>
      <c r="AG87" s="321"/>
      <c r="AH87" s="321"/>
      <c r="AI87" s="303"/>
      <c r="AJ87" s="321"/>
      <c r="AK87" s="321"/>
      <c r="AL87" s="321"/>
      <c r="AM87" s="398"/>
      <c r="AN87" s="321"/>
      <c r="AO87" s="321"/>
      <c r="AP87" s="321"/>
      <c r="AQ87" s="321"/>
      <c r="AR87" s="321"/>
      <c r="AS87" s="321"/>
      <c r="AT87" s="321"/>
      <c r="AU87" s="321"/>
      <c r="AV87" s="321"/>
      <c r="AW87" s="321"/>
      <c r="AX87" s="321"/>
      <c r="AY87" s="321"/>
      <c r="AZ87" s="321"/>
      <c r="BB87" s="181"/>
      <c r="BC87" s="181"/>
    </row>
    <row r="88" spans="1:55">
      <c r="A88" s="58"/>
      <c r="B88" s="318"/>
      <c r="BB88" s="181"/>
      <c r="BC88" s="181"/>
    </row>
    <row r="89" spans="1:55">
      <c r="A89" s="36" t="s">
        <v>467</v>
      </c>
      <c r="B89" s="189">
        <f t="shared" ref="B89:AG89" si="76">IF(ISERROR(VLOOKUP(EYear85,$A8:$AR39,COLUMN(B2),FALSE)),"",VLOOKUP(EYear85,$A8:$AR39,COLUMN(B2),FALSE))</f>
        <v>0.28999999999999998</v>
      </c>
      <c r="C89" s="189">
        <f t="shared" si="76"/>
        <v>-1.03</v>
      </c>
      <c r="D89" s="189">
        <f t="shared" si="76"/>
        <v>1.25</v>
      </c>
      <c r="E89" s="189">
        <f t="shared" si="76"/>
        <v>3.17</v>
      </c>
      <c r="F89" s="189">
        <f t="shared" si="76"/>
        <v>-1.46</v>
      </c>
      <c r="G89" s="189">
        <f t="shared" si="76"/>
        <v>-4.78</v>
      </c>
      <c r="H89" s="189">
        <f t="shared" si="76"/>
        <v>-3.78</v>
      </c>
      <c r="I89" s="189">
        <f t="shared" si="76"/>
        <v>-2.64</v>
      </c>
      <c r="J89" s="189">
        <f t="shared" si="76"/>
        <v>-3.94</v>
      </c>
      <c r="K89" s="189">
        <f t="shared" si="76"/>
        <v>2.2200000000000002</v>
      </c>
      <c r="L89" s="189">
        <f t="shared" si="76"/>
        <v>-0.18</v>
      </c>
      <c r="M89" s="189">
        <f t="shared" si="76"/>
        <v>-15.51</v>
      </c>
      <c r="N89" s="189">
        <f t="shared" si="76"/>
        <v>-4.37</v>
      </c>
      <c r="O89" s="189">
        <f t="shared" si="76"/>
        <v>2.25</v>
      </c>
      <c r="P89" s="189">
        <f t="shared" si="76"/>
        <v>-2</v>
      </c>
      <c r="Q89" s="189">
        <f t="shared" si="76"/>
        <v>-6.44</v>
      </c>
      <c r="R89" s="189">
        <f t="shared" si="76"/>
        <v>-25.7</v>
      </c>
      <c r="S89" s="189">
        <f t="shared" si="76"/>
        <v>-1.54</v>
      </c>
      <c r="T89" s="189">
        <f t="shared" si="76"/>
        <v>1.5</v>
      </c>
      <c r="U89" s="189">
        <f t="shared" si="76"/>
        <v>0.3</v>
      </c>
      <c r="V89" s="189">
        <f t="shared" si="76"/>
        <v>0.02</v>
      </c>
      <c r="W89" s="189">
        <f t="shared" si="76"/>
        <v>-1.83</v>
      </c>
      <c r="X89" s="189">
        <f t="shared" si="76"/>
        <v>0.06</v>
      </c>
      <c r="Y89" s="189">
        <f t="shared" si="76"/>
        <v>1.28</v>
      </c>
      <c r="Z89" s="189">
        <f t="shared" si="76"/>
        <v>-21.48</v>
      </c>
      <c r="AA89" s="189">
        <f t="shared" si="76"/>
        <v>12.65</v>
      </c>
      <c r="AB89" s="189">
        <f t="shared" si="76"/>
        <v>-29.42</v>
      </c>
      <c r="AC89" s="189">
        <f t="shared" si="76"/>
        <v>-3.32</v>
      </c>
      <c r="AD89" s="189">
        <f t="shared" si="76"/>
        <v>-3.22</v>
      </c>
      <c r="AE89" s="189">
        <f t="shared" si="76"/>
        <v>0.45</v>
      </c>
      <c r="AF89" s="189">
        <f t="shared" si="76"/>
        <v>2.86</v>
      </c>
      <c r="AG89" s="189">
        <f t="shared" si="76"/>
        <v>3.97</v>
      </c>
      <c r="AH89" s="189">
        <f t="shared" ref="AH89:AY89" si="77">IF(ISERROR(VLOOKUP(EYear85,$A8:$AR39,COLUMN(AH2),FALSE)),"",VLOOKUP(EYear85,$A8:$AR39,COLUMN(AH2),FALSE))</f>
        <v>-1.39</v>
      </c>
      <c r="AI89" s="189">
        <f t="shared" si="77"/>
        <v>0.45</v>
      </c>
      <c r="AJ89" s="189">
        <f t="shared" si="77"/>
        <v>-1.1299999999999999</v>
      </c>
      <c r="AK89" s="189">
        <f t="shared" si="77"/>
        <v>-1.91</v>
      </c>
      <c r="AL89" s="189">
        <f t="shared" si="77"/>
        <v>-3.39</v>
      </c>
      <c r="AM89" s="189">
        <f t="shared" si="77"/>
        <v>-3.59</v>
      </c>
      <c r="AN89" s="189">
        <f t="shared" si="77"/>
        <v>1.03</v>
      </c>
      <c r="AO89" s="189">
        <f t="shared" si="77"/>
        <v>-10.67</v>
      </c>
      <c r="AP89" s="189">
        <f t="shared" si="77"/>
        <v>-0.32</v>
      </c>
      <c r="AQ89" s="189" t="str">
        <f t="shared" si="77"/>
        <v/>
      </c>
      <c r="AR89" s="189" t="str">
        <f t="shared" si="77"/>
        <v/>
      </c>
      <c r="AS89" s="189" t="str">
        <f t="shared" si="77"/>
        <v/>
      </c>
      <c r="AT89" s="189" t="str">
        <f t="shared" si="77"/>
        <v/>
      </c>
      <c r="AU89" s="189" t="str">
        <f t="shared" si="77"/>
        <v/>
      </c>
      <c r="AV89" s="189" t="str">
        <f t="shared" si="77"/>
        <v/>
      </c>
      <c r="AW89" s="189" t="str">
        <f t="shared" si="77"/>
        <v/>
      </c>
      <c r="AX89" s="189" t="str">
        <f t="shared" si="77"/>
        <v/>
      </c>
      <c r="AY89" s="189" t="str">
        <f t="shared" si="77"/>
        <v/>
      </c>
      <c r="BB89" s="181"/>
      <c r="BC89" s="181"/>
    </row>
    <row r="90" spans="1:55">
      <c r="BB90" s="181"/>
      <c r="BC90" s="181"/>
    </row>
    <row r="91" spans="1:55">
      <c r="B91" s="588"/>
      <c r="C91" s="588"/>
      <c r="D91" s="588"/>
      <c r="E91" s="588"/>
      <c r="F91" s="588"/>
      <c r="G91" s="588"/>
      <c r="H91" s="588"/>
      <c r="I91" s="588"/>
      <c r="J91" s="588"/>
      <c r="K91" s="588"/>
      <c r="L91" s="588"/>
      <c r="Q91" s="189"/>
      <c r="T91" s="189"/>
    </row>
    <row r="92" spans="1:55">
      <c r="A92" s="634" t="s">
        <v>466</v>
      </c>
      <c r="B92" s="634"/>
      <c r="C92" s="634"/>
      <c r="D92" s="634"/>
      <c r="E92" s="634"/>
    </row>
    <row r="93" spans="1:55">
      <c r="A93" s="27"/>
      <c r="B93" s="323" t="str">
        <f>IF(Data_85_15!B$2="","",Data_85_15!B$2)</f>
        <v>VTSMX</v>
      </c>
      <c r="C93" s="323" t="str">
        <f>IF(Data_85_15!C$2="","",Data_85_15!C$2)</f>
        <v>VIVAX</v>
      </c>
      <c r="D93" s="323" t="str">
        <f>IF(Data_85_15!D$2="","",Data_85_15!D$2)</f>
        <v>VFINX</v>
      </c>
      <c r="E93" s="323" t="str">
        <f>IF(Data_85_15!E$2="","",Data_85_15!E$2)</f>
        <v>VIGRX</v>
      </c>
      <c r="F93" s="323" t="str">
        <f>IF(Data_85_15!F$2="","",Data_85_15!F$2)</f>
        <v>VIMSX</v>
      </c>
      <c r="G93" s="323" t="str">
        <f>IF(Data_85_15!G$2="","",Data_85_15!G$2)</f>
        <v>VISVX</v>
      </c>
      <c r="H93" s="323" t="str">
        <f>IF(Data_85_15!H$2="","",Data_85_15!H$2)</f>
        <v>NAESX</v>
      </c>
      <c r="I93" s="323" t="str">
        <f>IF(Data_85_15!I$2="","",Data_85_15!I$2)</f>
        <v>VISGX</v>
      </c>
      <c r="J93" s="323" t="str">
        <f>IF(Data_85_15!J$2="","",Data_85_15!J$2)</f>
        <v>BRSIX</v>
      </c>
      <c r="K93" s="323" t="str">
        <f>IF(Data_85_15!K$2="","",Data_85_15!K$2)</f>
        <v>VGSIX</v>
      </c>
      <c r="L93" s="323" t="str">
        <f>IF(Data_85_15!L$2="","",Data_85_15!L$2)</f>
        <v>VTMGX</v>
      </c>
      <c r="M93" s="323" t="str">
        <f>IF(Data_85_15!M$2="","",Data_85_15!M$2)</f>
        <v>VEIEX</v>
      </c>
      <c r="N93" s="323" t="str">
        <f>IF(Data_85_15!N$2="","",Data_85_15!N$2)</f>
        <v>VGTSX</v>
      </c>
      <c r="O93" s="323" t="str">
        <f>IF(Data_85_15!O$2="","",Data_85_15!O$2)</f>
        <v>VPACX</v>
      </c>
      <c r="P93" s="323" t="str">
        <f>IF(Data_85_15!P$2="","",Data_85_15!P$2)</f>
        <v>VEURX</v>
      </c>
      <c r="Q93" s="323" t="str">
        <f>IF(Data_85_15!Q$2="","",Data_85_15!Q$2)</f>
        <v>VTRIX</v>
      </c>
      <c r="R93" s="323" t="str">
        <f>IF(Data_85_15!R$2="","",Data_85_15!R$2)</f>
        <v>PCRIX</v>
      </c>
      <c r="S93" s="323" t="str">
        <f>IF(Data_85_15!S$2="","",Data_85_15!S$2)</f>
        <v>VUSTX</v>
      </c>
      <c r="T93" s="323" t="str">
        <f>IF(Data_85_15!T$2="","",Data_85_15!T$2)</f>
        <v>VFITX</v>
      </c>
      <c r="U93" s="323" t="str">
        <f>IF(Data_85_15!U$2="","",Data_85_15!U$2)</f>
        <v>VBMFX</v>
      </c>
      <c r="V93" s="323" t="str">
        <f>IF(Data_85_15!V$2="","",Data_85_15!V$2)</f>
        <v>VUSXX</v>
      </c>
      <c r="W93" s="323" t="str">
        <f>IF(Data_85_15!W$2="","",Data_85_15!W$2)</f>
        <v>VIPSX</v>
      </c>
      <c r="X93" s="323" t="str">
        <f>IF(Data_85_15!X$2="","",Data_85_15!X$2)</f>
        <v>VWELX</v>
      </c>
      <c r="Y93" s="323" t="str">
        <f>IF(Data_85_15!Y$2="","",Data_85_15!Y$2)</f>
        <v>VWINX</v>
      </c>
      <c r="Z93" s="323" t="str">
        <f>IF(Data_85_15!Z$2="","",Data_85_15!Z$2)</f>
        <v>VGENX</v>
      </c>
      <c r="AA93" s="323" t="str">
        <f>IF(Data_85_15!AA$2="","",Data_85_15!AA$2)</f>
        <v>VGHCX</v>
      </c>
      <c r="AB93" s="323" t="str">
        <f>IF(Data_85_15!AB$2="","",Data_85_15!AB$2)</f>
        <v>VGPMX</v>
      </c>
      <c r="AC93" s="323" t="str">
        <f>IF(Data_85_15!AC$2="","",Data_85_15!AC$2)</f>
        <v>VWNDX</v>
      </c>
      <c r="AD93" s="323" t="str">
        <f>IF(Data_85_15!AD$2="","",Data_85_15!AD$2)</f>
        <v>VWNFX</v>
      </c>
      <c r="AE93" s="323" t="str">
        <f>IF(Data_85_15!AE$2="","",Data_85_15!AE$2)</f>
        <v>VWSTX</v>
      </c>
      <c r="AF93" s="323" t="str">
        <f>IF(Data_85_15!AF$2="","",Data_85_15!AF$2)</f>
        <v>VWITX</v>
      </c>
      <c r="AG93" s="323" t="str">
        <f>IF(Data_85_15!AG$2="","",Data_85_15!AG$2)</f>
        <v>VWLTX</v>
      </c>
      <c r="AH93" s="323" t="str">
        <f>IF(Data_85_15!AH$2="","",Data_85_15!AH$2)</f>
        <v>VWEHX</v>
      </c>
      <c r="AI93" s="323" t="str">
        <f>IF(Data_85_15!AI$2="","",Data_85_15!AI$2)</f>
        <v>VFISX</v>
      </c>
      <c r="AJ93" s="323" t="str">
        <f>IF(Data_85_15!AJ$2="","",Data_85_15!AJ$2)</f>
        <v>VMGIX</v>
      </c>
      <c r="AK93" s="323" t="str">
        <f>IF(Data_85_15!AK$2="","",Data_85_15!AK$2)</f>
        <v>VMVIX</v>
      </c>
      <c r="AL93" s="323" t="str">
        <f>IF(Data_85_15!AL$2="","",Data_85_15!AL$2)</f>
        <v>VEXMX</v>
      </c>
      <c r="AM93" s="323" t="str">
        <f>IF(Data_85_15!AM$2="","",Data_85_15!AM$2)</f>
        <v>PIGLX</v>
      </c>
      <c r="AN93" s="323" t="str">
        <f>IF(Data_85_15!AN$2="","",Data_85_15!AN$2)</f>
        <v>VFSTX</v>
      </c>
      <c r="AO93" s="323" t="str">
        <f>IF(Data_85_15!AO$2="","",Data_85_15!AO$2)</f>
        <v>GLD</v>
      </c>
      <c r="AP93" s="323" t="str">
        <f>IF(Data_85_15!AP$2="","",Data_85_15!AP$2)</f>
        <v>VFSVX</v>
      </c>
      <c r="AQ93" s="323" t="str">
        <f>IF(Data_85_15!AQ$2="","",Data_85_15!AQ$2)</f>
        <v/>
      </c>
      <c r="AR93" s="323" t="str">
        <f>IF(Data_85_15!AR$2="","",Data_85_15!AR$2)</f>
        <v/>
      </c>
      <c r="AS93" s="323" t="str">
        <f>IF(Data_85_15!AS$2="","",Data_85_15!AS$2)</f>
        <v/>
      </c>
      <c r="AT93" s="323" t="str">
        <f>IF(Data_85_15!AT$2="","",Data_85_15!AT$2)</f>
        <v/>
      </c>
      <c r="AU93" s="323" t="str">
        <f>IF(Data_85_15!AU$2="","",Data_85_15!AU$2)</f>
        <v/>
      </c>
      <c r="AV93" s="323" t="str">
        <f>IF(Data_85_15!AV$2="","",Data_85_15!AV$2)</f>
        <v/>
      </c>
      <c r="AW93" s="323" t="str">
        <f>IF(Data_85_15!AW$2="","",Data_85_15!AW$2)</f>
        <v/>
      </c>
      <c r="AX93" s="286" t="str">
        <f>IF(Data_85_15!AX$2="","",Data_85_15!AX$2)</f>
        <v/>
      </c>
      <c r="AY93" s="484" t="str">
        <f>IF(Data_85_15!AY$2="","",Data_85_15!AY$2)</f>
        <v/>
      </c>
    </row>
    <row r="94" spans="1:55">
      <c r="A94" s="38" t="s">
        <v>97</v>
      </c>
      <c r="B94" s="222">
        <f>PEARSON($B$8:$B$39,B$8:B$39)</f>
        <v>1</v>
      </c>
      <c r="C94" s="222"/>
      <c r="D94" s="222"/>
      <c r="E94" s="222"/>
      <c r="F94" s="222"/>
      <c r="G94" s="222"/>
      <c r="H94" s="222"/>
      <c r="I94" s="222"/>
      <c r="J94" s="222"/>
      <c r="K94" s="222"/>
      <c r="L94" s="222"/>
      <c r="M94" s="222"/>
      <c r="N94" s="222"/>
      <c r="O94" s="222"/>
      <c r="P94" s="222"/>
      <c r="Q94" s="222"/>
      <c r="R94" s="222"/>
      <c r="S94" s="222"/>
      <c r="T94" s="222"/>
      <c r="U94" s="222"/>
      <c r="V94" s="222"/>
      <c r="W94" s="222"/>
      <c r="X94" s="222"/>
      <c r="Y94" s="222"/>
      <c r="Z94" s="222"/>
      <c r="AA94" s="222"/>
      <c r="AB94" s="222"/>
      <c r="AC94" s="222"/>
      <c r="AD94" s="32"/>
      <c r="AE94" s="32"/>
      <c r="AF94" s="32"/>
      <c r="AG94" s="32"/>
      <c r="AH94" s="32"/>
      <c r="AI94" s="32"/>
      <c r="AJ94" s="32"/>
      <c r="AK94" s="32"/>
      <c r="AL94" s="32"/>
      <c r="AM94" s="32"/>
      <c r="AN94" s="32"/>
      <c r="AO94" s="32"/>
      <c r="AP94" s="32"/>
      <c r="AQ94" s="32"/>
      <c r="AR94" s="32"/>
      <c r="AS94" s="32"/>
      <c r="AT94" s="32"/>
      <c r="AU94" s="32"/>
      <c r="AV94" s="32"/>
      <c r="AW94" s="32"/>
      <c r="AX94" s="32"/>
      <c r="AY94" s="483"/>
    </row>
    <row r="95" spans="1:55">
      <c r="A95" s="38" t="s">
        <v>99</v>
      </c>
      <c r="B95" s="222">
        <f>PEARSON($C$8:$C$39,B$8:B$39)</f>
        <v>0.94955418888687226</v>
      </c>
      <c r="C95" s="222">
        <f>PEARSON($C$8:$C$39,C$8:C$39)</f>
        <v>1.0000000000000002</v>
      </c>
      <c r="D95" s="222"/>
      <c r="E95" s="222"/>
      <c r="F95" s="222"/>
      <c r="G95" s="222"/>
      <c r="H95" s="222"/>
      <c r="I95" s="222"/>
      <c r="J95" s="222"/>
      <c r="K95" s="222"/>
      <c r="L95" s="222"/>
      <c r="M95" s="222"/>
      <c r="N95" s="222"/>
      <c r="O95" s="222"/>
      <c r="P95" s="222"/>
      <c r="Q95" s="222"/>
      <c r="R95" s="222"/>
      <c r="S95" s="222"/>
      <c r="T95" s="222"/>
      <c r="U95" s="222"/>
      <c r="V95" s="222"/>
      <c r="W95" s="222"/>
      <c r="X95" s="222"/>
      <c r="Y95" s="222"/>
      <c r="Z95" s="222"/>
      <c r="AA95" s="222"/>
      <c r="AB95" s="222"/>
      <c r="AC95" s="222"/>
      <c r="AD95" s="32"/>
      <c r="AE95" s="32"/>
      <c r="AF95" s="32"/>
      <c r="AG95" s="32"/>
      <c r="AH95" s="32"/>
      <c r="AI95" s="32"/>
      <c r="AJ95" s="32"/>
      <c r="AK95" s="32"/>
      <c r="AL95" s="32"/>
      <c r="AM95" s="32"/>
      <c r="AN95" s="32"/>
      <c r="AO95" s="32"/>
      <c r="AP95" s="32"/>
      <c r="AQ95" s="32"/>
      <c r="AR95" s="32"/>
      <c r="AS95" s="32"/>
      <c r="AT95" s="32"/>
      <c r="AU95" s="32"/>
      <c r="AV95" s="32"/>
      <c r="AW95" s="32"/>
      <c r="AX95" s="32"/>
      <c r="AY95" s="207"/>
    </row>
    <row r="96" spans="1:55">
      <c r="A96" s="38" t="s">
        <v>101</v>
      </c>
      <c r="B96" s="222">
        <f>PEARSON($D$8:$D$39,B$8:B$39)</f>
        <v>0.99245011147859785</v>
      </c>
      <c r="C96" s="222">
        <f>PEARSON($D$8:$D$39,C$8:C$39)</f>
        <v>0.94543021488458212</v>
      </c>
      <c r="D96" s="222">
        <f>PEARSON($D$8:$D$39,D$8:D$39)</f>
        <v>1</v>
      </c>
      <c r="E96" s="222"/>
      <c r="F96" s="222"/>
      <c r="G96" s="222"/>
      <c r="H96" s="222"/>
      <c r="I96" s="222"/>
      <c r="J96" s="222"/>
      <c r="K96" s="222"/>
      <c r="L96" s="222"/>
      <c r="M96" s="222"/>
      <c r="N96" s="222"/>
      <c r="O96" s="222"/>
      <c r="P96" s="222"/>
      <c r="Q96" s="222"/>
      <c r="R96" s="222"/>
      <c r="S96" s="222"/>
      <c r="T96" s="222"/>
      <c r="U96" s="222"/>
      <c r="V96" s="222"/>
      <c r="W96" s="222"/>
      <c r="X96" s="222"/>
      <c r="Y96" s="222"/>
      <c r="Z96" s="222"/>
      <c r="AA96" s="222"/>
      <c r="AB96" s="222"/>
      <c r="AC96" s="222"/>
      <c r="AD96" s="32"/>
      <c r="AE96" s="32"/>
      <c r="AF96" s="32"/>
      <c r="AG96" s="32"/>
      <c r="AH96" s="32"/>
      <c r="AI96" s="32"/>
      <c r="AJ96" s="32"/>
      <c r="AK96" s="32"/>
      <c r="AL96" s="32"/>
      <c r="AM96" s="32"/>
      <c r="AN96" s="32"/>
      <c r="AO96" s="32"/>
      <c r="AP96" s="32"/>
      <c r="AQ96" s="32"/>
      <c r="AR96" s="32"/>
      <c r="AS96" s="32"/>
      <c r="AT96" s="32"/>
      <c r="AU96" s="32"/>
      <c r="AV96" s="32"/>
      <c r="AW96" s="32"/>
      <c r="AX96" s="32"/>
      <c r="AY96" s="207"/>
    </row>
    <row r="97" spans="1:51">
      <c r="A97" s="38" t="s">
        <v>103</v>
      </c>
      <c r="B97" s="222">
        <f>PEARSON($E$8:$E$39,B$8:B$39)</f>
        <v>0.95788513491338523</v>
      </c>
      <c r="C97" s="222">
        <f>PEARSON($E$8:$E$39,C$8:C$39)</f>
        <v>0.83598637614563798</v>
      </c>
      <c r="D97" s="222">
        <f>PEARSON($E$8:$E$39,D$8:D$39)</f>
        <v>0.96710090221580114</v>
      </c>
      <c r="E97" s="222">
        <f>PEARSON($E$8:$E$39,E$8:E$39)</f>
        <v>0.99999999999999989</v>
      </c>
      <c r="F97" s="222"/>
      <c r="G97" s="222"/>
      <c r="H97" s="222"/>
      <c r="I97" s="222"/>
      <c r="J97" s="222"/>
      <c r="K97" s="222"/>
      <c r="L97" s="222"/>
      <c r="M97" s="222"/>
      <c r="N97" s="222"/>
      <c r="O97" s="222"/>
      <c r="P97" s="222"/>
      <c r="Q97" s="222"/>
      <c r="R97" s="222"/>
      <c r="S97" s="222"/>
      <c r="T97" s="222"/>
      <c r="U97" s="222"/>
      <c r="V97" s="222"/>
      <c r="W97" s="222"/>
      <c r="X97" s="222"/>
      <c r="Y97" s="222"/>
      <c r="Z97" s="222"/>
      <c r="AA97" s="222"/>
      <c r="AB97" s="222"/>
      <c r="AC97" s="222"/>
      <c r="AD97" s="32"/>
      <c r="AE97" s="32"/>
      <c r="AF97" s="32"/>
      <c r="AG97" s="32"/>
      <c r="AH97" s="32"/>
      <c r="AI97" s="32"/>
      <c r="AJ97" s="32"/>
      <c r="AK97" s="32"/>
      <c r="AL97" s="32"/>
      <c r="AM97" s="32"/>
      <c r="AN97" s="32"/>
      <c r="AO97" s="32"/>
      <c r="AP97" s="32"/>
      <c r="AQ97" s="32"/>
      <c r="AR97" s="32"/>
      <c r="AS97" s="32"/>
      <c r="AT97" s="32"/>
      <c r="AU97" s="32"/>
      <c r="AV97" s="32"/>
      <c r="AW97" s="32"/>
      <c r="AX97" s="32"/>
      <c r="AY97" s="207"/>
    </row>
    <row r="98" spans="1:51">
      <c r="A98" s="38" t="s">
        <v>105</v>
      </c>
      <c r="B98" s="222">
        <f>PEARSON($F$8:$F$39,B$8:B$39)</f>
        <v>0.91012067113269046</v>
      </c>
      <c r="C98" s="222">
        <f>PEARSON($F$8:$F$39,C$8:C$39)</f>
        <v>0.92579903085678505</v>
      </c>
      <c r="D98" s="222">
        <f>PEARSON($F$8:$F$39,D$8:D$39)</f>
        <v>0.88107380618897424</v>
      </c>
      <c r="E98" s="222">
        <f>PEARSON($F$8:$F$39,E$8:E$39)</f>
        <v>0.80353004993077914</v>
      </c>
      <c r="F98" s="222">
        <f>PEARSON($F$8:$F$39,F$8:F$39)</f>
        <v>1</v>
      </c>
      <c r="G98" s="222"/>
      <c r="H98" s="222"/>
      <c r="I98" s="222"/>
      <c r="J98" s="222"/>
      <c r="K98" s="222"/>
      <c r="L98" s="222"/>
      <c r="M98" s="222"/>
      <c r="N98" s="222"/>
      <c r="O98" s="222"/>
      <c r="P98" s="222"/>
      <c r="Q98" s="222"/>
      <c r="R98" s="222"/>
      <c r="S98" s="222"/>
      <c r="T98" s="222"/>
      <c r="U98" s="222"/>
      <c r="V98" s="222"/>
      <c r="W98" s="222"/>
      <c r="X98" s="222"/>
      <c r="Y98" s="222"/>
      <c r="Z98" s="222"/>
      <c r="AA98" s="222"/>
      <c r="AB98" s="222"/>
      <c r="AC98" s="222"/>
      <c r="AD98" s="32"/>
      <c r="AE98" s="32"/>
      <c r="AF98" s="32"/>
      <c r="AG98" s="32"/>
      <c r="AH98" s="32"/>
      <c r="AI98" s="32"/>
      <c r="AJ98" s="32"/>
      <c r="AK98" s="32"/>
      <c r="AL98" s="32"/>
      <c r="AM98" s="32"/>
      <c r="AN98" s="32"/>
      <c r="AO98" s="32"/>
      <c r="AP98" s="32"/>
      <c r="AQ98" s="32"/>
      <c r="AR98" s="32"/>
      <c r="AS98" s="32"/>
      <c r="AT98" s="32"/>
      <c r="AU98" s="32"/>
      <c r="AV98" s="32"/>
      <c r="AW98" s="32"/>
      <c r="AX98" s="32"/>
      <c r="AY98" s="207"/>
    </row>
    <row r="99" spans="1:51">
      <c r="A99" s="38" t="s">
        <v>107</v>
      </c>
      <c r="B99" s="222">
        <f t="shared" ref="B99:G99" si="78">PEARSON($G$8:$G$39,B$8:B$39)</f>
        <v>0.74397396206858313</v>
      </c>
      <c r="C99" s="222">
        <f t="shared" si="78"/>
        <v>0.83094466589277205</v>
      </c>
      <c r="D99" s="222">
        <f t="shared" si="78"/>
        <v>0.69237802391001113</v>
      </c>
      <c r="E99" s="222">
        <f t="shared" si="78"/>
        <v>0.56320821023897294</v>
      </c>
      <c r="F99" s="222">
        <f t="shared" si="78"/>
        <v>0.90004278059346865</v>
      </c>
      <c r="G99" s="222">
        <f t="shared" si="78"/>
        <v>1.0000000000000002</v>
      </c>
      <c r="H99" s="222"/>
      <c r="I99" s="222"/>
      <c r="J99" s="222"/>
      <c r="K99" s="222"/>
      <c r="L99" s="222"/>
      <c r="M99" s="222"/>
      <c r="N99" s="222"/>
      <c r="O99" s="222"/>
      <c r="P99" s="222"/>
      <c r="Q99" s="222"/>
      <c r="R99" s="222"/>
      <c r="S99" s="222"/>
      <c r="T99" s="222"/>
      <c r="U99" s="222"/>
      <c r="V99" s="222"/>
      <c r="W99" s="222"/>
      <c r="X99" s="222"/>
      <c r="Y99" s="222"/>
      <c r="Z99" s="222"/>
      <c r="AA99" s="222"/>
      <c r="AB99" s="222"/>
      <c r="AC99" s="222"/>
      <c r="AD99" s="32"/>
      <c r="AE99" s="32"/>
      <c r="AF99" s="32"/>
      <c r="AG99" s="32"/>
      <c r="AH99" s="32"/>
      <c r="AI99" s="32"/>
      <c r="AJ99" s="32"/>
      <c r="AK99" s="32"/>
      <c r="AL99" s="32"/>
      <c r="AM99" s="32"/>
      <c r="AN99" s="32"/>
      <c r="AO99" s="32"/>
      <c r="AP99" s="32"/>
      <c r="AQ99" s="32"/>
      <c r="AR99" s="32"/>
      <c r="AS99" s="32"/>
      <c r="AT99" s="32"/>
      <c r="AU99" s="32"/>
      <c r="AV99" s="32"/>
      <c r="AW99" s="32"/>
      <c r="AX99" s="32"/>
      <c r="AY99" s="207"/>
    </row>
    <row r="100" spans="1:51">
      <c r="A100" s="38" t="s">
        <v>109</v>
      </c>
      <c r="B100" s="222">
        <f>PEARSON($H$8:$H$39,B$8:B$39)</f>
        <v>0.8848171934630672</v>
      </c>
      <c r="C100" s="222">
        <f t="shared" ref="C100:H100" si="79">PEARSON($H$8:$H$39,C$8:C$39)</f>
        <v>0.87731742533596402</v>
      </c>
      <c r="D100" s="222">
        <f t="shared" si="79"/>
        <v>0.82840435228267206</v>
      </c>
      <c r="E100" s="222">
        <f t="shared" si="79"/>
        <v>0.75623069996116532</v>
      </c>
      <c r="F100" s="222">
        <f t="shared" si="79"/>
        <v>0.93442150396461754</v>
      </c>
      <c r="G100" s="222">
        <f t="shared" si="79"/>
        <v>0.92328264996113751</v>
      </c>
      <c r="H100" s="222">
        <f t="shared" si="79"/>
        <v>1</v>
      </c>
      <c r="I100" s="222"/>
      <c r="J100" s="222"/>
      <c r="K100" s="222"/>
      <c r="L100" s="222"/>
      <c r="M100" s="222"/>
      <c r="N100" s="222"/>
      <c r="O100" s="222"/>
      <c r="P100" s="222"/>
      <c r="Q100" s="222"/>
      <c r="R100" s="222"/>
      <c r="S100" s="222"/>
      <c r="T100" s="222"/>
      <c r="U100" s="222"/>
      <c r="V100" s="222"/>
      <c r="W100" s="222"/>
      <c r="X100" s="222"/>
      <c r="Y100" s="222"/>
      <c r="Z100" s="222"/>
      <c r="AA100" s="222"/>
      <c r="AB100" s="222"/>
      <c r="AC100" s="22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207"/>
    </row>
    <row r="101" spans="1:51">
      <c r="A101" s="38" t="s">
        <v>111</v>
      </c>
      <c r="B101" s="222">
        <f>PEARSON($I$8:$I$39,B$8:B$39)</f>
        <v>0.87299159653076064</v>
      </c>
      <c r="C101" s="222">
        <f t="shared" ref="C101:I101" si="80">PEARSON($I$8:$I$39,C$8:C$39)</f>
        <v>0.83974010943780986</v>
      </c>
      <c r="D101" s="222">
        <f t="shared" si="80"/>
        <v>0.81735747144653936</v>
      </c>
      <c r="E101" s="222">
        <f t="shared" si="80"/>
        <v>0.77100690432597518</v>
      </c>
      <c r="F101" s="222">
        <f t="shared" si="80"/>
        <v>0.93996499083696994</v>
      </c>
      <c r="G101" s="222">
        <f t="shared" si="80"/>
        <v>0.86600274333242189</v>
      </c>
      <c r="H101" s="222">
        <f t="shared" si="80"/>
        <v>0.97088085199335494</v>
      </c>
      <c r="I101" s="222">
        <f t="shared" si="80"/>
        <v>1</v>
      </c>
      <c r="J101" s="222"/>
      <c r="K101" s="222"/>
      <c r="L101" s="222"/>
      <c r="M101" s="222"/>
      <c r="N101" s="222"/>
      <c r="O101" s="222"/>
      <c r="P101" s="222"/>
      <c r="Q101" s="222"/>
      <c r="R101" s="222"/>
      <c r="S101" s="222"/>
      <c r="T101" s="222"/>
      <c r="U101" s="222"/>
      <c r="V101" s="222"/>
      <c r="W101" s="222"/>
      <c r="X101" s="222"/>
      <c r="Y101" s="222"/>
      <c r="Z101" s="222"/>
      <c r="AA101" s="222"/>
      <c r="AB101" s="222"/>
      <c r="AC101" s="22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207"/>
    </row>
    <row r="102" spans="1:51">
      <c r="A102" s="38" t="s">
        <v>113</v>
      </c>
      <c r="B102" s="222">
        <f>PEARSON($J$8:$J$39,B$8:B$39)</f>
        <v>0.69346685696777577</v>
      </c>
      <c r="C102" s="222">
        <f t="shared" ref="C102:J102" si="81">PEARSON($J$8:$J$39,C$8:C$39)</f>
        <v>0.70277597625690058</v>
      </c>
      <c r="D102" s="222">
        <f t="shared" si="81"/>
        <v>0.62212389929248713</v>
      </c>
      <c r="E102" s="222">
        <f t="shared" si="81"/>
        <v>0.54172175956740476</v>
      </c>
      <c r="F102" s="222">
        <f t="shared" si="81"/>
        <v>0.77888940379401428</v>
      </c>
      <c r="G102" s="222">
        <f t="shared" si="81"/>
        <v>0.85565343579211861</v>
      </c>
      <c r="H102" s="222">
        <f t="shared" si="81"/>
        <v>0.89773291212011186</v>
      </c>
      <c r="I102" s="222">
        <f t="shared" si="81"/>
        <v>0.85379914544070712</v>
      </c>
      <c r="J102" s="222">
        <f t="shared" si="81"/>
        <v>1</v>
      </c>
      <c r="K102" s="222"/>
      <c r="L102" s="222"/>
      <c r="M102" s="222"/>
      <c r="N102" s="222"/>
      <c r="O102" s="222"/>
      <c r="P102" s="222"/>
      <c r="Q102" s="222"/>
      <c r="R102" s="222"/>
      <c r="S102" s="222"/>
      <c r="T102" s="222"/>
      <c r="U102" s="222"/>
      <c r="V102" s="222"/>
      <c r="W102" s="222"/>
      <c r="X102" s="222"/>
      <c r="Y102" s="222"/>
      <c r="Z102" s="222"/>
      <c r="AA102" s="222"/>
      <c r="AB102" s="222"/>
      <c r="AC102" s="22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207"/>
    </row>
    <row r="103" spans="1:51">
      <c r="A103" s="38" t="s">
        <v>115</v>
      </c>
      <c r="B103" s="222">
        <f>PEARSON($K$8:$K$39,B$8:B$39)</f>
        <v>0.50653144972622111</v>
      </c>
      <c r="C103" s="222">
        <f t="shared" ref="C103:K103" si="82">PEARSON($K$8:$K$39,C$8:C$39)</f>
        <v>0.6249516753579053</v>
      </c>
      <c r="D103" s="222">
        <f t="shared" si="82"/>
        <v>0.46578346445736801</v>
      </c>
      <c r="E103" s="222">
        <f t="shared" si="82"/>
        <v>0.32599806633594397</v>
      </c>
      <c r="F103" s="222">
        <f t="shared" si="82"/>
        <v>0.70535732798448691</v>
      </c>
      <c r="G103" s="222">
        <f t="shared" si="82"/>
        <v>0.79608391883663965</v>
      </c>
      <c r="H103" s="222">
        <f t="shared" si="82"/>
        <v>0.68771629127928424</v>
      </c>
      <c r="I103" s="222">
        <f t="shared" si="82"/>
        <v>0.64043284809523648</v>
      </c>
      <c r="J103" s="222">
        <f t="shared" si="82"/>
        <v>0.63019844581211404</v>
      </c>
      <c r="K103" s="222">
        <f t="shared" si="82"/>
        <v>1.0000000000000002</v>
      </c>
      <c r="L103" s="222"/>
      <c r="M103" s="222"/>
      <c r="N103" s="222"/>
      <c r="O103" s="222"/>
      <c r="P103" s="222"/>
      <c r="Q103" s="222"/>
      <c r="R103" s="222"/>
      <c r="S103" s="222"/>
      <c r="T103" s="222"/>
      <c r="U103" s="222"/>
      <c r="V103" s="222"/>
      <c r="W103" s="222"/>
      <c r="X103" s="222"/>
      <c r="Y103" s="222"/>
      <c r="Z103" s="222"/>
      <c r="AA103" s="222"/>
      <c r="AB103" s="222"/>
      <c r="AC103" s="22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207"/>
    </row>
    <row r="104" spans="1:51">
      <c r="A104" s="38" t="s">
        <v>624</v>
      </c>
      <c r="B104" s="222">
        <f>PEARSON($L$8:$L$39,B$8:B$39)</f>
        <v>0.66842950439138049</v>
      </c>
      <c r="C104" s="222">
        <f t="shared" ref="C104:L104" si="83">PEARSON($L$8:$L$39,C$8:C$39)</f>
        <v>0.68134871282798726</v>
      </c>
      <c r="D104" s="222">
        <f t="shared" si="83"/>
        <v>0.66180520610816573</v>
      </c>
      <c r="E104" s="222">
        <f t="shared" si="83"/>
        <v>0.58978623747032111</v>
      </c>
      <c r="F104" s="222">
        <f t="shared" si="83"/>
        <v>0.60921604483291847</v>
      </c>
      <c r="G104" s="222">
        <f t="shared" si="83"/>
        <v>0.45848151658379199</v>
      </c>
      <c r="H104" s="222">
        <f t="shared" si="83"/>
        <v>0.58203600448263704</v>
      </c>
      <c r="I104" s="222">
        <f t="shared" si="83"/>
        <v>0.57840886332908037</v>
      </c>
      <c r="J104" s="222">
        <f t="shared" si="83"/>
        <v>0.43786130652544492</v>
      </c>
      <c r="K104" s="222">
        <f t="shared" si="83"/>
        <v>0.36991827200763766</v>
      </c>
      <c r="L104" s="222">
        <f t="shared" si="83"/>
        <v>1.0000000000000002</v>
      </c>
      <c r="M104" s="222"/>
      <c r="N104" s="222"/>
      <c r="O104" s="222"/>
      <c r="P104" s="222"/>
      <c r="Q104" s="222"/>
      <c r="R104" s="222"/>
      <c r="S104" s="222"/>
      <c r="T104" s="222"/>
      <c r="U104" s="222"/>
      <c r="V104" s="222"/>
      <c r="W104" s="222"/>
      <c r="X104" s="222"/>
      <c r="Y104" s="222"/>
      <c r="Z104" s="222"/>
      <c r="AA104" s="222"/>
      <c r="AB104" s="222"/>
      <c r="AC104" s="22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207"/>
    </row>
    <row r="105" spans="1:51">
      <c r="A105" s="38" t="s">
        <v>118</v>
      </c>
      <c r="B105" s="222">
        <f>PEARSON($M$8:$M$39,B$8:B$39)</f>
        <v>0.56354283162422614</v>
      </c>
      <c r="C105" s="222">
        <f t="shared" ref="C105:M105" si="84">PEARSON($M$8:$M$39,C$8:C$39)</f>
        <v>0.51961306470607527</v>
      </c>
      <c r="D105" s="222">
        <f t="shared" si="84"/>
        <v>0.51951325113486824</v>
      </c>
      <c r="E105" s="222">
        <f t="shared" si="84"/>
        <v>0.48851501581695683</v>
      </c>
      <c r="F105" s="222">
        <f t="shared" si="84"/>
        <v>0.57926052991856047</v>
      </c>
      <c r="G105" s="222">
        <f t="shared" si="84"/>
        <v>0.45533105612168145</v>
      </c>
      <c r="H105" s="222">
        <f t="shared" si="84"/>
        <v>0.60462545243857058</v>
      </c>
      <c r="I105" s="222">
        <f t="shared" si="84"/>
        <v>0.62250532436792227</v>
      </c>
      <c r="J105" s="222">
        <f t="shared" si="84"/>
        <v>0.46900787341090167</v>
      </c>
      <c r="K105" s="222">
        <f t="shared" si="84"/>
        <v>0.42181457549946583</v>
      </c>
      <c r="L105" s="222">
        <f t="shared" si="84"/>
        <v>0.76087219719928145</v>
      </c>
      <c r="M105" s="222">
        <f t="shared" si="84"/>
        <v>1</v>
      </c>
      <c r="N105" s="222"/>
      <c r="O105" s="222"/>
      <c r="P105" s="222"/>
      <c r="Q105" s="222"/>
      <c r="R105" s="222"/>
      <c r="S105" s="222"/>
      <c r="T105" s="222"/>
      <c r="U105" s="222"/>
      <c r="V105" s="222"/>
      <c r="W105" s="222"/>
      <c r="X105" s="222"/>
      <c r="Y105" s="222"/>
      <c r="Z105" s="222"/>
      <c r="AA105" s="222"/>
      <c r="AB105" s="222"/>
      <c r="AC105" s="22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207"/>
    </row>
    <row r="106" spans="1:51">
      <c r="A106" s="38" t="s">
        <v>120</v>
      </c>
      <c r="B106" s="222">
        <f>PEARSON($N$8:$N$39,B$8:B$39)</f>
        <v>0.67439889595630576</v>
      </c>
      <c r="C106" s="222">
        <f t="shared" ref="C106:N106" si="85">PEARSON($N$8:$N$39,C$8:C$39)</f>
        <v>0.67675708928778477</v>
      </c>
      <c r="D106" s="222">
        <f t="shared" si="85"/>
        <v>0.66083840813458694</v>
      </c>
      <c r="E106" s="222">
        <f t="shared" si="85"/>
        <v>0.59526472755854209</v>
      </c>
      <c r="F106" s="222">
        <f t="shared" si="85"/>
        <v>0.63286125860014297</v>
      </c>
      <c r="G106" s="222">
        <f t="shared" si="85"/>
        <v>0.4789902046419105</v>
      </c>
      <c r="H106" s="222">
        <f t="shared" si="85"/>
        <v>0.60888571190302643</v>
      </c>
      <c r="I106" s="222">
        <f t="shared" si="85"/>
        <v>0.61170620405367959</v>
      </c>
      <c r="J106" s="222">
        <f t="shared" si="85"/>
        <v>0.45362575085062379</v>
      </c>
      <c r="K106" s="222">
        <f t="shared" si="85"/>
        <v>0.40531705360700404</v>
      </c>
      <c r="L106" s="222">
        <f t="shared" si="85"/>
        <v>0.9889565427114384</v>
      </c>
      <c r="M106" s="222">
        <f t="shared" si="85"/>
        <v>0.84534099844773358</v>
      </c>
      <c r="N106" s="222">
        <f t="shared" si="85"/>
        <v>0.99999999999999978</v>
      </c>
      <c r="O106" s="222"/>
      <c r="P106" s="222"/>
      <c r="Q106" s="222"/>
      <c r="R106" s="222"/>
      <c r="S106" s="222"/>
      <c r="T106" s="222"/>
      <c r="U106" s="222"/>
      <c r="V106" s="222"/>
      <c r="W106" s="222"/>
      <c r="X106" s="222"/>
      <c r="Y106" s="222"/>
      <c r="Z106" s="222"/>
      <c r="AA106" s="222"/>
      <c r="AB106" s="222"/>
      <c r="AC106" s="22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207"/>
    </row>
    <row r="107" spans="1:51">
      <c r="A107" s="38" t="s">
        <v>122</v>
      </c>
      <c r="B107" s="222">
        <f>PEARSON($O$8:$O$39,B$8:B$39)</f>
        <v>0.44812496267316709</v>
      </c>
      <c r="C107" s="222">
        <f t="shared" ref="C107:O107" si="86">PEARSON($O$8:$O$39,C$8:C$39)</f>
        <v>0.43928312935096042</v>
      </c>
      <c r="D107" s="222">
        <f t="shared" si="86"/>
        <v>0.42639358827239182</v>
      </c>
      <c r="E107" s="222">
        <f t="shared" si="86"/>
        <v>0.37430591765464116</v>
      </c>
      <c r="F107" s="222">
        <f t="shared" si="86"/>
        <v>0.3972082298965609</v>
      </c>
      <c r="G107" s="222">
        <f t="shared" si="86"/>
        <v>0.25570127604538223</v>
      </c>
      <c r="H107" s="222">
        <f t="shared" si="86"/>
        <v>0.41470660554520888</v>
      </c>
      <c r="I107" s="222">
        <f t="shared" si="86"/>
        <v>0.41442437778347635</v>
      </c>
      <c r="J107" s="222">
        <f t="shared" si="86"/>
        <v>0.33135872064226146</v>
      </c>
      <c r="K107" s="222">
        <f t="shared" si="86"/>
        <v>0.23135376186153545</v>
      </c>
      <c r="L107" s="222">
        <f t="shared" si="86"/>
        <v>0.90955942410448698</v>
      </c>
      <c r="M107" s="222">
        <f t="shared" si="86"/>
        <v>0.74299040512639936</v>
      </c>
      <c r="N107" s="222">
        <f t="shared" si="86"/>
        <v>0.90456660987772464</v>
      </c>
      <c r="O107" s="222">
        <f t="shared" si="86"/>
        <v>1</v>
      </c>
      <c r="P107" s="222"/>
      <c r="Q107" s="222"/>
      <c r="R107" s="222"/>
      <c r="S107" s="222"/>
      <c r="T107" s="222"/>
      <c r="U107" s="222"/>
      <c r="V107" s="222"/>
      <c r="W107" s="222"/>
      <c r="X107" s="222"/>
      <c r="Y107" s="222"/>
      <c r="Z107" s="222"/>
      <c r="AA107" s="222"/>
      <c r="AB107" s="222"/>
      <c r="AC107" s="22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207"/>
    </row>
    <row r="108" spans="1:51">
      <c r="A108" s="38" t="s">
        <v>124</v>
      </c>
      <c r="B108" s="222">
        <f>PEARSON($P$8:$P$39,B$8:B$39)</f>
        <v>0.79896161081998218</v>
      </c>
      <c r="C108" s="222">
        <f t="shared" ref="C108:P108" si="87">PEARSON($P$8:$P$39,C$8:C$39)</f>
        <v>0.8114334976546369</v>
      </c>
      <c r="D108" s="222">
        <f t="shared" si="87"/>
        <v>0.80483266859050717</v>
      </c>
      <c r="E108" s="222">
        <f t="shared" si="87"/>
        <v>0.7352932235914138</v>
      </c>
      <c r="F108" s="222">
        <f t="shared" si="87"/>
        <v>0.72003437961672534</v>
      </c>
      <c r="G108" s="222">
        <f t="shared" si="87"/>
        <v>0.56324744279869809</v>
      </c>
      <c r="H108" s="222">
        <f t="shared" si="87"/>
        <v>0.66383206217129109</v>
      </c>
      <c r="I108" s="222">
        <f t="shared" si="87"/>
        <v>0.65871109611557455</v>
      </c>
      <c r="J108" s="222">
        <f t="shared" si="87"/>
        <v>0.48058558745090046</v>
      </c>
      <c r="K108" s="222">
        <f t="shared" si="87"/>
        <v>0.41665469771404656</v>
      </c>
      <c r="L108" s="222">
        <f t="shared" si="87"/>
        <v>0.88591589760253309</v>
      </c>
      <c r="M108" s="222">
        <f t="shared" si="87"/>
        <v>0.672792321437643</v>
      </c>
      <c r="N108" s="222">
        <f t="shared" si="87"/>
        <v>0.87937314921044218</v>
      </c>
      <c r="O108" s="222">
        <f t="shared" si="87"/>
        <v>0.63652546669489096</v>
      </c>
      <c r="P108" s="222">
        <f t="shared" si="87"/>
        <v>1</v>
      </c>
      <c r="Q108" s="222"/>
      <c r="R108" s="222"/>
      <c r="S108" s="222"/>
      <c r="T108" s="222"/>
      <c r="U108" s="222"/>
      <c r="V108" s="222"/>
      <c r="W108" s="222"/>
      <c r="X108" s="222"/>
      <c r="Y108" s="222"/>
      <c r="Z108" s="222"/>
      <c r="AA108" s="222"/>
      <c r="AB108" s="222"/>
      <c r="AC108" s="22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207"/>
    </row>
    <row r="109" spans="1:51">
      <c r="A109" s="38" t="s">
        <v>126</v>
      </c>
      <c r="B109" s="222">
        <f>PEARSON($Q$8:$Q$39,B$8:B$39)</f>
        <v>0.62653999640856295</v>
      </c>
      <c r="C109" s="222">
        <f t="shared" ref="C109:Q109" si="88">PEARSON($Q$8:$Q$39,C$8:C$39)</f>
        <v>0.65714049552122555</v>
      </c>
      <c r="D109" s="222">
        <f t="shared" si="88"/>
        <v>0.61967826425155315</v>
      </c>
      <c r="E109" s="222">
        <f t="shared" si="88"/>
        <v>0.5359853945268187</v>
      </c>
      <c r="F109" s="222">
        <f t="shared" si="88"/>
        <v>0.598128147367472</v>
      </c>
      <c r="G109" s="222">
        <f t="shared" si="88"/>
        <v>0.46770444987170923</v>
      </c>
      <c r="H109" s="222">
        <f t="shared" si="88"/>
        <v>0.56649610609995105</v>
      </c>
      <c r="I109" s="222">
        <f t="shared" si="88"/>
        <v>0.56735993929219208</v>
      </c>
      <c r="J109" s="222">
        <f t="shared" si="88"/>
        <v>0.4318473869204309</v>
      </c>
      <c r="K109" s="222">
        <f t="shared" si="88"/>
        <v>0.37882214742551246</v>
      </c>
      <c r="L109" s="222">
        <f t="shared" si="88"/>
        <v>0.98219501746579885</v>
      </c>
      <c r="M109" s="222">
        <f t="shared" si="88"/>
        <v>0.79391817583476443</v>
      </c>
      <c r="N109" s="222">
        <f t="shared" si="88"/>
        <v>0.98319024211129191</v>
      </c>
      <c r="O109" s="222">
        <f t="shared" si="88"/>
        <v>0.8940733682928873</v>
      </c>
      <c r="P109" s="222">
        <f t="shared" si="88"/>
        <v>0.85802860179967066</v>
      </c>
      <c r="Q109" s="222">
        <f t="shared" si="88"/>
        <v>1</v>
      </c>
      <c r="R109" s="222"/>
      <c r="S109" s="222"/>
      <c r="T109" s="222"/>
      <c r="U109" s="222"/>
      <c r="V109" s="222"/>
      <c r="W109" s="222"/>
      <c r="X109" s="222"/>
      <c r="Y109" s="222"/>
      <c r="Z109" s="222"/>
      <c r="AA109" s="222"/>
      <c r="AB109" s="222"/>
      <c r="AC109" s="22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207"/>
    </row>
    <row r="110" spans="1:51">
      <c r="A110" s="38" t="s">
        <v>128</v>
      </c>
      <c r="B110" s="222">
        <f>PEARSON($R$8:$R$39,B$8:B$39)</f>
        <v>0.2111426665481359</v>
      </c>
      <c r="C110" s="222">
        <f t="shared" ref="C110:R110" si="89">PEARSON($R$8:$R$39,C$8:C$39)</f>
        <v>0.23670744324752993</v>
      </c>
      <c r="D110" s="222">
        <f t="shared" si="89"/>
        <v>0.18456007740668465</v>
      </c>
      <c r="E110" s="222">
        <f t="shared" si="89"/>
        <v>0.14171513719658349</v>
      </c>
      <c r="F110" s="222">
        <f t="shared" si="89"/>
        <v>0.37811362419156824</v>
      </c>
      <c r="G110" s="222">
        <f t="shared" si="89"/>
        <v>0.26210875907462844</v>
      </c>
      <c r="H110" s="222">
        <f t="shared" si="89"/>
        <v>0.28700798006215827</v>
      </c>
      <c r="I110" s="222">
        <f t="shared" si="89"/>
        <v>0.36156689067307818</v>
      </c>
      <c r="J110" s="222">
        <f t="shared" si="89"/>
        <v>0.25396894524398117</v>
      </c>
      <c r="K110" s="222">
        <f t="shared" si="89"/>
        <v>0.33523034898761156</v>
      </c>
      <c r="L110" s="222">
        <f t="shared" si="89"/>
        <v>0.2004660612716623</v>
      </c>
      <c r="M110" s="222">
        <f t="shared" si="89"/>
        <v>0.46468144835494113</v>
      </c>
      <c r="N110" s="222">
        <f t="shared" si="89"/>
        <v>0.27612971935419284</v>
      </c>
      <c r="O110" s="222">
        <f t="shared" si="89"/>
        <v>0.17032636057474523</v>
      </c>
      <c r="P110" s="222">
        <f t="shared" si="89"/>
        <v>0.25503515166694679</v>
      </c>
      <c r="Q110" s="222">
        <f t="shared" si="89"/>
        <v>0.27464013058020825</v>
      </c>
      <c r="R110" s="222">
        <f t="shared" si="89"/>
        <v>1</v>
      </c>
      <c r="S110" s="222"/>
      <c r="T110" s="222"/>
      <c r="U110" s="222"/>
      <c r="V110" s="222"/>
      <c r="W110" s="222"/>
      <c r="X110" s="222"/>
      <c r="Y110" s="222"/>
      <c r="Z110" s="222"/>
      <c r="AA110" s="222"/>
      <c r="AB110" s="222"/>
      <c r="AC110" s="22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207"/>
    </row>
    <row r="111" spans="1:51">
      <c r="A111" s="38" t="s">
        <v>130</v>
      </c>
      <c r="B111" s="222">
        <f>PEARSON($S$8:$S$39,B$8:B$39)</f>
        <v>-9.157804225012188E-2</v>
      </c>
      <c r="C111" s="222">
        <f t="shared" ref="C111:S111" si="90">PEARSON($S$8:$S$39,C$8:C$39)</f>
        <v>-4.8663222307969252E-3</v>
      </c>
      <c r="D111" s="222">
        <f t="shared" si="90"/>
        <v>-6.5845958224981335E-2</v>
      </c>
      <c r="E111" s="222">
        <f t="shared" si="90"/>
        <v>-0.1111623898126286</v>
      </c>
      <c r="F111" s="222">
        <f t="shared" si="90"/>
        <v>-7.5591502532744992E-2</v>
      </c>
      <c r="G111" s="222">
        <f t="shared" si="90"/>
        <v>-7.3068909803884821E-2</v>
      </c>
      <c r="H111" s="222">
        <f t="shared" si="90"/>
        <v>-0.17672582386247465</v>
      </c>
      <c r="I111" s="222">
        <f t="shared" si="90"/>
        <v>-0.15604510999415622</v>
      </c>
      <c r="J111" s="222">
        <f t="shared" si="90"/>
        <v>-0.21529909620381318</v>
      </c>
      <c r="K111" s="222">
        <f t="shared" si="90"/>
        <v>1.9548007315331375E-2</v>
      </c>
      <c r="L111" s="222">
        <f t="shared" si="90"/>
        <v>-8.9110222200330713E-2</v>
      </c>
      <c r="M111" s="222">
        <f t="shared" si="90"/>
        <v>-0.13621093903344911</v>
      </c>
      <c r="N111" s="222">
        <f t="shared" si="90"/>
        <v>-9.1544667898341286E-2</v>
      </c>
      <c r="O111" s="222">
        <f t="shared" si="90"/>
        <v>-0.14128959128783272</v>
      </c>
      <c r="P111" s="222">
        <f t="shared" si="90"/>
        <v>-6.5983285366083078E-3</v>
      </c>
      <c r="Q111" s="222">
        <f t="shared" si="90"/>
        <v>-0.12320203760180386</v>
      </c>
      <c r="R111" s="222">
        <f t="shared" si="90"/>
        <v>-0.12661046520682465</v>
      </c>
      <c r="S111" s="222">
        <f t="shared" si="90"/>
        <v>0.99999999999999978</v>
      </c>
      <c r="T111" s="222"/>
      <c r="U111" s="222"/>
      <c r="V111" s="222"/>
      <c r="W111" s="222"/>
      <c r="X111" s="222"/>
      <c r="Y111" s="222"/>
      <c r="Z111" s="222"/>
      <c r="AA111" s="222"/>
      <c r="AB111" s="222"/>
      <c r="AC111" s="22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207"/>
    </row>
    <row r="112" spans="1:51">
      <c r="A112" s="38" t="s">
        <v>132</v>
      </c>
      <c r="B112" s="222">
        <f>PEARSON($T$8:$T$39,B$8:B$39)</f>
        <v>-6.4030709264751684E-2</v>
      </c>
      <c r="C112" s="222">
        <f t="shared" ref="C112:T112" si="91">PEARSON($T$8:$T$39,C$8:C$39)</f>
        <v>1.2089892178937741E-3</v>
      </c>
      <c r="D112" s="222">
        <f t="shared" si="91"/>
        <v>-3.9453598020464165E-2</v>
      </c>
      <c r="E112" s="222">
        <f t="shared" si="91"/>
        <v>-6.6065819609176707E-2</v>
      </c>
      <c r="F112" s="222">
        <f t="shared" si="91"/>
        <v>-2.416376337360002E-2</v>
      </c>
      <c r="G112" s="222">
        <f t="shared" si="91"/>
        <v>-4.4712921776675088E-2</v>
      </c>
      <c r="H112" s="222">
        <f t="shared" si="91"/>
        <v>-0.15010084276283706</v>
      </c>
      <c r="I112" s="222">
        <f t="shared" si="91"/>
        <v>-9.8699586554309188E-2</v>
      </c>
      <c r="J112" s="222">
        <f t="shared" si="91"/>
        <v>-0.16853008261019828</v>
      </c>
      <c r="K112" s="222">
        <f t="shared" si="91"/>
        <v>-6.1224683556280551E-2</v>
      </c>
      <c r="L112" s="222">
        <f t="shared" si="91"/>
        <v>-3.0716331009653781E-2</v>
      </c>
      <c r="M112" s="222">
        <f t="shared" si="91"/>
        <v>-4.8422531661458379E-2</v>
      </c>
      <c r="N112" s="222">
        <f t="shared" si="91"/>
        <v>-2.3704357472193432E-2</v>
      </c>
      <c r="O112" s="222">
        <f t="shared" si="91"/>
        <v>-0.12473065156019497</v>
      </c>
      <c r="P112" s="222">
        <f t="shared" si="91"/>
        <v>9.0630189359653973E-2</v>
      </c>
      <c r="Q112" s="222">
        <f t="shared" si="91"/>
        <v>-5.3218131944885984E-2</v>
      </c>
      <c r="R112" s="222">
        <f t="shared" si="91"/>
        <v>1.1438189090217144E-2</v>
      </c>
      <c r="S112" s="222">
        <f t="shared" si="91"/>
        <v>0.8828682159508231</v>
      </c>
      <c r="T112" s="222">
        <f t="shared" si="91"/>
        <v>1.0000000000000002</v>
      </c>
      <c r="U112" s="222"/>
      <c r="V112" s="222"/>
      <c r="W112" s="222"/>
      <c r="X112" s="222"/>
      <c r="Y112" s="222"/>
      <c r="Z112" s="222"/>
      <c r="AA112" s="222"/>
      <c r="AB112" s="222"/>
      <c r="AC112" s="22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207"/>
    </row>
    <row r="113" spans="1:51">
      <c r="A113" s="38" t="s">
        <v>134</v>
      </c>
      <c r="B113" s="222">
        <f>PEARSON($U$8:$U$39,B$8:B$39)</f>
        <v>0.22375036610008575</v>
      </c>
      <c r="C113" s="222">
        <f t="shared" ref="C113:U113" si="92">PEARSON($U$8:$U$39,C$8:C$39)</f>
        <v>0.26835751489831594</v>
      </c>
      <c r="D113" s="222">
        <f t="shared" si="92"/>
        <v>0.23894757975617367</v>
      </c>
      <c r="E113" s="222">
        <f t="shared" si="92"/>
        <v>0.20658155114826993</v>
      </c>
      <c r="F113" s="222">
        <f t="shared" si="92"/>
        <v>0.28824746030106013</v>
      </c>
      <c r="G113" s="222">
        <f t="shared" si="92"/>
        <v>0.23718519487479595</v>
      </c>
      <c r="H113" s="222">
        <f t="shared" si="92"/>
        <v>0.14963031673040036</v>
      </c>
      <c r="I113" s="222">
        <f t="shared" si="92"/>
        <v>0.19953014286858908</v>
      </c>
      <c r="J113" s="222">
        <f t="shared" si="92"/>
        <v>5.1465329052578328E-2</v>
      </c>
      <c r="K113" s="222">
        <f t="shared" si="92"/>
        <v>0.19487381629296829</v>
      </c>
      <c r="L113" s="222">
        <f t="shared" si="92"/>
        <v>0.10167631845204962</v>
      </c>
      <c r="M113" s="222">
        <f t="shared" si="92"/>
        <v>0.17727642105378616</v>
      </c>
      <c r="N113" s="222">
        <f t="shared" si="92"/>
        <v>0.1387177683191424</v>
      </c>
      <c r="O113" s="222">
        <f t="shared" si="92"/>
        <v>-6.8549570258445838E-2</v>
      </c>
      <c r="P113" s="222">
        <f t="shared" si="92"/>
        <v>0.284203508793476</v>
      </c>
      <c r="Q113" s="222">
        <f t="shared" si="92"/>
        <v>9.5407326545595542E-2</v>
      </c>
      <c r="R113" s="222">
        <f t="shared" si="92"/>
        <v>0.17764989361487518</v>
      </c>
      <c r="S113" s="222">
        <f t="shared" si="92"/>
        <v>0.78868321936645602</v>
      </c>
      <c r="T113" s="222">
        <f t="shared" si="92"/>
        <v>0.91281376870257835</v>
      </c>
      <c r="U113" s="222">
        <f t="shared" si="92"/>
        <v>0.99999999999999989</v>
      </c>
      <c r="V113" s="222"/>
      <c r="W113" s="222"/>
      <c r="X113" s="222"/>
      <c r="Y113" s="222"/>
      <c r="Z113" s="222"/>
      <c r="AA113" s="222"/>
      <c r="AB113" s="222"/>
      <c r="AC113" s="22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207"/>
    </row>
    <row r="114" spans="1:51">
      <c r="A114" s="38" t="s">
        <v>136</v>
      </c>
      <c r="B114" s="222">
        <f>PEARSON($V$8:$V$39,B$8:B$39)</f>
        <v>0.14461974239518455</v>
      </c>
      <c r="C114" s="222">
        <f t="shared" ref="C114:V114" si="93">PEARSON($V$8:$V$39,C$8:C$39)</f>
        <v>0.16429881584045194</v>
      </c>
      <c r="D114" s="222">
        <f t="shared" si="93"/>
        <v>0.19286862680576508</v>
      </c>
      <c r="E114" s="222">
        <f t="shared" si="93"/>
        <v>0.18174808004134851</v>
      </c>
      <c r="F114" s="222">
        <f t="shared" si="93"/>
        <v>7.8794131351508229E-2</v>
      </c>
      <c r="G114" s="222">
        <f t="shared" si="93"/>
        <v>-2.6971108550484756E-2</v>
      </c>
      <c r="H114" s="222">
        <f t="shared" si="93"/>
        <v>-5.2627906325179365E-2</v>
      </c>
      <c r="I114" s="222">
        <f t="shared" si="93"/>
        <v>-5.2473055579564463E-2</v>
      </c>
      <c r="J114" s="222">
        <f t="shared" si="93"/>
        <v>-0.20312318782300079</v>
      </c>
      <c r="K114" s="222">
        <f t="shared" si="93"/>
        <v>-0.14135122672249242</v>
      </c>
      <c r="L114" s="222">
        <f t="shared" si="93"/>
        <v>0.16606470599405354</v>
      </c>
      <c r="M114" s="222">
        <f t="shared" si="93"/>
        <v>0.22421538914509723</v>
      </c>
      <c r="N114" s="222">
        <f t="shared" si="93"/>
        <v>0.19408548818962981</v>
      </c>
      <c r="O114" s="222">
        <f t="shared" si="93"/>
        <v>5.8604193394513206E-2</v>
      </c>
      <c r="P114" s="222">
        <f t="shared" si="93"/>
        <v>0.28124062189349297</v>
      </c>
      <c r="Q114" s="222">
        <f t="shared" si="93"/>
        <v>0.20624064263978636</v>
      </c>
      <c r="R114" s="222">
        <f t="shared" si="93"/>
        <v>0.24151105298153133</v>
      </c>
      <c r="S114" s="222">
        <f t="shared" si="93"/>
        <v>0.22663875522300642</v>
      </c>
      <c r="T114" s="222">
        <f t="shared" si="93"/>
        <v>0.42904360871307795</v>
      </c>
      <c r="U114" s="222">
        <f t="shared" si="93"/>
        <v>0.50638899999671594</v>
      </c>
      <c r="V114" s="222">
        <f t="shared" si="93"/>
        <v>1.0000000000000002</v>
      </c>
      <c r="W114" s="222"/>
      <c r="X114" s="222"/>
      <c r="Y114" s="222"/>
      <c r="Z114" s="222"/>
      <c r="AA114" s="222"/>
      <c r="AB114" s="222"/>
      <c r="AC114" s="22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207"/>
    </row>
    <row r="115" spans="1:51">
      <c r="A115" s="38" t="s">
        <v>138</v>
      </c>
      <c r="B115" s="222">
        <f>PEARSON($W$8:$W$39,B$8:B$39)</f>
        <v>3.6885664748869521E-2</v>
      </c>
      <c r="C115" s="222">
        <f t="shared" ref="C115:W115" si="94">PEARSON($W$8:$W$39,C$8:C$39)</f>
        <v>3.5013917511094735E-2</v>
      </c>
      <c r="D115" s="222">
        <f t="shared" si="94"/>
        <v>1.1290524891931554E-2</v>
      </c>
      <c r="E115" s="222">
        <f t="shared" si="94"/>
        <v>-7.3289687997121029E-4</v>
      </c>
      <c r="F115" s="222">
        <f t="shared" si="94"/>
        <v>0.1106113194470512</v>
      </c>
      <c r="G115" s="222">
        <f t="shared" si="94"/>
        <v>0.10140422434819059</v>
      </c>
      <c r="H115" s="222">
        <f t="shared" si="94"/>
        <v>9.5040049327196882E-2</v>
      </c>
      <c r="I115" s="222">
        <f t="shared" si="94"/>
        <v>0.10439268560212896</v>
      </c>
      <c r="J115" s="222">
        <f t="shared" si="94"/>
        <v>7.636364900455056E-2</v>
      </c>
      <c r="K115" s="222">
        <f t="shared" si="94"/>
        <v>0.23507921758909217</v>
      </c>
      <c r="L115" s="222">
        <f t="shared" si="94"/>
        <v>0.33186367314791487</v>
      </c>
      <c r="M115" s="222">
        <f t="shared" si="94"/>
        <v>0.51850615727709315</v>
      </c>
      <c r="N115" s="222">
        <f t="shared" si="94"/>
        <v>0.39593660272946291</v>
      </c>
      <c r="O115" s="222">
        <f t="shared" si="94"/>
        <v>0.39321004415064786</v>
      </c>
      <c r="P115" s="222">
        <f t="shared" si="94"/>
        <v>0.17441974929814441</v>
      </c>
      <c r="Q115" s="222">
        <f t="shared" si="94"/>
        <v>0.35333377415663181</v>
      </c>
      <c r="R115" s="222">
        <f t="shared" si="94"/>
        <v>0.36493661147876016</v>
      </c>
      <c r="S115" s="222">
        <f t="shared" si="94"/>
        <v>0.3021805585857042</v>
      </c>
      <c r="T115" s="222">
        <f t="shared" si="94"/>
        <v>0.33729588023194934</v>
      </c>
      <c r="U115" s="222">
        <f t="shared" si="94"/>
        <v>0.40951548069666782</v>
      </c>
      <c r="V115" s="222">
        <f t="shared" si="94"/>
        <v>0.23488714848517642</v>
      </c>
      <c r="W115" s="222">
        <f t="shared" si="94"/>
        <v>1.0000000000000002</v>
      </c>
      <c r="X115" s="222"/>
      <c r="Y115" s="222"/>
      <c r="Z115" s="222"/>
      <c r="AA115" s="222"/>
      <c r="AB115" s="222"/>
      <c r="AC115" s="22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207"/>
    </row>
    <row r="116" spans="1:51">
      <c r="A116" s="38" t="s">
        <v>140</v>
      </c>
      <c r="B116" s="222">
        <f>PEARSON($X$8:$X$39,B$8:B$39)</f>
        <v>0.90622240696655065</v>
      </c>
      <c r="C116" s="222">
        <f t="shared" ref="C116:X116" si="95">PEARSON($X$8:$X$39,C$8:C$39)</f>
        <v>0.94503287603027386</v>
      </c>
      <c r="D116" s="222">
        <f t="shared" si="95"/>
        <v>0.90414523845226313</v>
      </c>
      <c r="E116" s="222">
        <f t="shared" si="95"/>
        <v>0.81337418901117797</v>
      </c>
      <c r="F116" s="222">
        <f t="shared" si="95"/>
        <v>0.93462077486623307</v>
      </c>
      <c r="G116" s="222">
        <f t="shared" si="95"/>
        <v>0.82385827623702412</v>
      </c>
      <c r="H116" s="222">
        <f t="shared" si="95"/>
        <v>0.84142513871128333</v>
      </c>
      <c r="I116" s="222">
        <f t="shared" si="95"/>
        <v>0.8418486834491905</v>
      </c>
      <c r="J116" s="222">
        <f t="shared" si="95"/>
        <v>0.65830800810453272</v>
      </c>
      <c r="K116" s="222">
        <f t="shared" si="95"/>
        <v>0.63713829300414215</v>
      </c>
      <c r="L116" s="222">
        <f t="shared" si="95"/>
        <v>0.63956301445004837</v>
      </c>
      <c r="M116" s="222">
        <f t="shared" si="95"/>
        <v>0.53347003718491437</v>
      </c>
      <c r="N116" s="222">
        <f t="shared" si="95"/>
        <v>0.65016244175899962</v>
      </c>
      <c r="O116" s="222">
        <f t="shared" si="95"/>
        <v>0.36530080140123355</v>
      </c>
      <c r="P116" s="222">
        <f t="shared" si="95"/>
        <v>0.80112198093064213</v>
      </c>
      <c r="Q116" s="222">
        <f t="shared" si="95"/>
        <v>0.62858938907266204</v>
      </c>
      <c r="R116" s="222">
        <f t="shared" si="95"/>
        <v>0.30354663107655405</v>
      </c>
      <c r="S116" s="222">
        <f t="shared" si="95"/>
        <v>0.12599475306767249</v>
      </c>
      <c r="T116" s="222">
        <f t="shared" si="95"/>
        <v>0.19298230022564755</v>
      </c>
      <c r="U116" s="222">
        <f t="shared" si="95"/>
        <v>0.48277396169966058</v>
      </c>
      <c r="V116" s="222">
        <f t="shared" si="95"/>
        <v>0.24824270984652552</v>
      </c>
      <c r="W116" s="222">
        <f t="shared" si="95"/>
        <v>0.1443379266631446</v>
      </c>
      <c r="X116" s="222">
        <f t="shared" si="95"/>
        <v>1</v>
      </c>
      <c r="Y116" s="222"/>
      <c r="Z116" s="222"/>
      <c r="AA116" s="222"/>
      <c r="AB116" s="222"/>
      <c r="AC116" s="22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207"/>
    </row>
    <row r="117" spans="1:51">
      <c r="A117" s="38" t="s">
        <v>142</v>
      </c>
      <c r="B117" s="222">
        <f>PEARSON($Y$8:$Y$39,B$8:B$39)</f>
        <v>0.66033825917073574</v>
      </c>
      <c r="C117" s="222">
        <f t="shared" ref="C117:Y117" si="96">PEARSON($Y$8:$Y$39,C$8:C$39)</f>
        <v>0.73410757701014206</v>
      </c>
      <c r="D117" s="222">
        <f t="shared" si="96"/>
        <v>0.66929055750789457</v>
      </c>
      <c r="E117" s="222">
        <f t="shared" si="96"/>
        <v>0.57861879816137596</v>
      </c>
      <c r="F117" s="222">
        <f t="shared" si="96"/>
        <v>0.73850657714768331</v>
      </c>
      <c r="G117" s="222">
        <f t="shared" si="96"/>
        <v>0.67046880454422142</v>
      </c>
      <c r="H117" s="222">
        <f t="shared" si="96"/>
        <v>0.59361824776033933</v>
      </c>
      <c r="I117" s="222">
        <f t="shared" si="96"/>
        <v>0.61926494140802757</v>
      </c>
      <c r="J117" s="222">
        <f t="shared" si="96"/>
        <v>0.42963095651236227</v>
      </c>
      <c r="K117" s="222">
        <f t="shared" si="96"/>
        <v>0.54800830644579468</v>
      </c>
      <c r="L117" s="222">
        <f t="shared" si="96"/>
        <v>0.41811832010770772</v>
      </c>
      <c r="M117" s="222">
        <f t="shared" si="96"/>
        <v>0.35194461903277591</v>
      </c>
      <c r="N117" s="222">
        <f t="shared" si="96"/>
        <v>0.43453906901240247</v>
      </c>
      <c r="O117" s="222">
        <f t="shared" si="96"/>
        <v>0.13585322543957967</v>
      </c>
      <c r="P117" s="222">
        <f t="shared" si="96"/>
        <v>0.63036112493937513</v>
      </c>
      <c r="Q117" s="222">
        <f t="shared" si="96"/>
        <v>0.40814408695923116</v>
      </c>
      <c r="R117" s="222">
        <f t="shared" si="96"/>
        <v>0.25757974118541638</v>
      </c>
      <c r="S117" s="222">
        <f t="shared" si="96"/>
        <v>0.48413660945959702</v>
      </c>
      <c r="T117" s="222">
        <f t="shared" si="96"/>
        <v>0.58051131941154677</v>
      </c>
      <c r="U117" s="222">
        <f t="shared" si="96"/>
        <v>0.80312406012343374</v>
      </c>
      <c r="V117" s="222">
        <f t="shared" si="96"/>
        <v>0.33912268646350868</v>
      </c>
      <c r="W117" s="222">
        <f t="shared" si="96"/>
        <v>0.27878493022074624</v>
      </c>
      <c r="X117" s="222">
        <f t="shared" si="96"/>
        <v>0.87798620508032532</v>
      </c>
      <c r="Y117" s="222">
        <f t="shared" si="96"/>
        <v>1</v>
      </c>
      <c r="Z117" s="222"/>
      <c r="AA117" s="222"/>
      <c r="AB117" s="222"/>
      <c r="AC117" s="22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207"/>
    </row>
    <row r="118" spans="1:51">
      <c r="A118" s="367" t="s">
        <v>146</v>
      </c>
      <c r="B118" s="222">
        <f>PEARSON($Z$8:$Z$39,B$8:B$39)</f>
        <v>0.47100380995001656</v>
      </c>
      <c r="C118" s="222">
        <f t="shared" ref="C118:Z118" si="97">PEARSON($Z$8:$Z$39,C$8:C$39)</f>
        <v>0.55587940787011669</v>
      </c>
      <c r="D118" s="222">
        <f t="shared" si="97"/>
        <v>0.44781879281566889</v>
      </c>
      <c r="E118" s="222">
        <f t="shared" si="97"/>
        <v>0.34071066429996472</v>
      </c>
      <c r="F118" s="222">
        <f t="shared" si="97"/>
        <v>0.62794439109597211</v>
      </c>
      <c r="G118" s="222">
        <f t="shared" si="97"/>
        <v>0.53085198440263204</v>
      </c>
      <c r="H118" s="222">
        <f t="shared" si="97"/>
        <v>0.54004489175563197</v>
      </c>
      <c r="I118" s="222">
        <f t="shared" si="97"/>
        <v>0.56204010655832526</v>
      </c>
      <c r="J118" s="222">
        <f t="shared" si="97"/>
        <v>0.43071900964178239</v>
      </c>
      <c r="K118" s="222">
        <f t="shared" si="97"/>
        <v>0.49077319495990812</v>
      </c>
      <c r="L118" s="222">
        <f t="shared" si="97"/>
        <v>0.44377123264120327</v>
      </c>
      <c r="M118" s="222">
        <f t="shared" si="97"/>
        <v>0.59849028392830417</v>
      </c>
      <c r="N118" s="222">
        <f t="shared" si="97"/>
        <v>0.49872140454697811</v>
      </c>
      <c r="O118" s="222">
        <f t="shared" si="97"/>
        <v>0.32917372311848603</v>
      </c>
      <c r="P118" s="222">
        <f t="shared" si="97"/>
        <v>0.51252039013874306</v>
      </c>
      <c r="Q118" s="222">
        <f t="shared" si="97"/>
        <v>0.50729620572987522</v>
      </c>
      <c r="R118" s="222">
        <f t="shared" si="97"/>
        <v>0.74548055387096968</v>
      </c>
      <c r="S118" s="222">
        <f t="shared" si="97"/>
        <v>-0.17631455593290318</v>
      </c>
      <c r="T118" s="222">
        <f t="shared" si="97"/>
        <v>-9.5664996360849963E-2</v>
      </c>
      <c r="U118" s="222">
        <f t="shared" si="97"/>
        <v>0.10581734115981889</v>
      </c>
      <c r="V118" s="222">
        <f t="shared" si="97"/>
        <v>0.2097735863242903</v>
      </c>
      <c r="W118" s="222">
        <f t="shared" si="97"/>
        <v>0.19165174269741866</v>
      </c>
      <c r="X118" s="222">
        <f t="shared" si="97"/>
        <v>0.57677320316480163</v>
      </c>
      <c r="Y118" s="222">
        <f t="shared" si="97"/>
        <v>0.4023444471995552</v>
      </c>
      <c r="Z118" s="222">
        <f t="shared" si="97"/>
        <v>1.0000000000000002</v>
      </c>
      <c r="AA118" s="222"/>
      <c r="AB118" s="222"/>
      <c r="AC118" s="22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207"/>
    </row>
    <row r="119" spans="1:51">
      <c r="A119" s="367" t="s">
        <v>150</v>
      </c>
      <c r="B119" s="222">
        <f>PEARSON($AA$8:$AA$39,B$8:B$39)</f>
        <v>0.63659690131365854</v>
      </c>
      <c r="C119" s="222">
        <f t="shared" ref="C119:AA119" si="98">PEARSON($AA$8:$AA$39,C$8:C$39)</f>
        <v>0.70401992281368075</v>
      </c>
      <c r="D119" s="222">
        <f t="shared" si="98"/>
        <v>0.66317683361246804</v>
      </c>
      <c r="E119" s="222">
        <f t="shared" si="98"/>
        <v>0.59111886738291652</v>
      </c>
      <c r="F119" s="222">
        <f t="shared" si="98"/>
        <v>0.69146592727743483</v>
      </c>
      <c r="G119" s="222">
        <f t="shared" si="98"/>
        <v>0.54991825398956429</v>
      </c>
      <c r="H119" s="222">
        <f t="shared" si="98"/>
        <v>0.51058464307648677</v>
      </c>
      <c r="I119" s="222">
        <f t="shared" si="98"/>
        <v>0.56509609493911017</v>
      </c>
      <c r="J119" s="222">
        <f t="shared" si="98"/>
        <v>0.34823394463253665</v>
      </c>
      <c r="K119" s="222">
        <f t="shared" si="98"/>
        <v>0.3713737801624592</v>
      </c>
      <c r="L119" s="222">
        <f t="shared" si="98"/>
        <v>0.35323709637718204</v>
      </c>
      <c r="M119" s="222">
        <f t="shared" si="98"/>
        <v>0.13135967706470264</v>
      </c>
      <c r="N119" s="222">
        <f t="shared" si="98"/>
        <v>0.32684620328971181</v>
      </c>
      <c r="O119" s="222">
        <f t="shared" si="98"/>
        <v>0.11143152545601644</v>
      </c>
      <c r="P119" s="222">
        <f t="shared" si="98"/>
        <v>0.53089677250771017</v>
      </c>
      <c r="Q119" s="222">
        <f t="shared" si="98"/>
        <v>0.33908595395108981</v>
      </c>
      <c r="R119" s="222">
        <f t="shared" si="98"/>
        <v>0.14885806156139136</v>
      </c>
      <c r="S119" s="222">
        <f t="shared" si="98"/>
        <v>0.23656665749506794</v>
      </c>
      <c r="T119" s="222">
        <f t="shared" si="98"/>
        <v>0.25289561613440997</v>
      </c>
      <c r="U119" s="222">
        <f t="shared" si="98"/>
        <v>0.44181352471139707</v>
      </c>
      <c r="V119" s="222">
        <f t="shared" si="98"/>
        <v>0.31916375462954949</v>
      </c>
      <c r="W119" s="222">
        <f t="shared" si="98"/>
        <v>-9.2018008611035929E-2</v>
      </c>
      <c r="X119" s="222">
        <f t="shared" si="98"/>
        <v>0.73545770462381488</v>
      </c>
      <c r="Y119" s="222">
        <f t="shared" si="98"/>
        <v>0.71361996853878118</v>
      </c>
      <c r="Z119" s="222">
        <f t="shared" si="98"/>
        <v>0.31555167786994703</v>
      </c>
      <c r="AA119" s="222">
        <f t="shared" si="98"/>
        <v>1</v>
      </c>
      <c r="AB119" s="222"/>
      <c r="AC119" s="22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207"/>
    </row>
    <row r="120" spans="1:51">
      <c r="A120" s="367" t="s">
        <v>152</v>
      </c>
      <c r="B120" s="222">
        <f>PEARSON($AB$8:$AB$39,B$8:B$39)</f>
        <v>0.18089586036430186</v>
      </c>
      <c r="C120" s="222">
        <f t="shared" ref="C120:AB120" si="99">PEARSON($AB$8:$AB$39,C$8:C$39)</f>
        <v>0.17179029878587793</v>
      </c>
      <c r="D120" s="222">
        <f t="shared" si="99"/>
        <v>0.15294919791227063</v>
      </c>
      <c r="E120" s="222">
        <f t="shared" si="99"/>
        <v>0.12698744062354397</v>
      </c>
      <c r="F120" s="222">
        <f t="shared" si="99"/>
        <v>0.27884668950099567</v>
      </c>
      <c r="G120" s="222">
        <f t="shared" si="99"/>
        <v>0.16881839103810056</v>
      </c>
      <c r="H120" s="222">
        <f t="shared" si="99"/>
        <v>0.26008958259453863</v>
      </c>
      <c r="I120" s="222">
        <f t="shared" si="99"/>
        <v>0.31291389178444295</v>
      </c>
      <c r="J120" s="222">
        <f t="shared" si="99"/>
        <v>0.27041721980358308</v>
      </c>
      <c r="K120" s="222">
        <f t="shared" si="99"/>
        <v>0.33495054300974397</v>
      </c>
      <c r="L120" s="222">
        <f t="shared" si="99"/>
        <v>0.51272199409366015</v>
      </c>
      <c r="M120" s="222">
        <f t="shared" si="99"/>
        <v>0.75203416337966011</v>
      </c>
      <c r="N120" s="222">
        <f t="shared" si="99"/>
        <v>0.59323222391550889</v>
      </c>
      <c r="O120" s="222">
        <f t="shared" si="99"/>
        <v>0.56050649723030543</v>
      </c>
      <c r="P120" s="222">
        <f t="shared" si="99"/>
        <v>0.35953188058296165</v>
      </c>
      <c r="Q120" s="222">
        <f t="shared" si="99"/>
        <v>0.58166361530646882</v>
      </c>
      <c r="R120" s="222">
        <f t="shared" si="99"/>
        <v>0.51482087841562929</v>
      </c>
      <c r="S120" s="222">
        <f t="shared" si="99"/>
        <v>-0.16234144859596975</v>
      </c>
      <c r="T120" s="222">
        <f t="shared" si="99"/>
        <v>-6.223498415015416E-2</v>
      </c>
      <c r="U120" s="222">
        <f t="shared" si="99"/>
        <v>5.0730691618529306E-2</v>
      </c>
      <c r="V120" s="222">
        <f t="shared" si="99"/>
        <v>-1.8827880637288131E-3</v>
      </c>
      <c r="W120" s="222">
        <f t="shared" si="99"/>
        <v>0.45992011680254286</v>
      </c>
      <c r="X120" s="222">
        <f t="shared" si="99"/>
        <v>0.22766157937746451</v>
      </c>
      <c r="Y120" s="222">
        <f t="shared" si="99"/>
        <v>0.12441561600921153</v>
      </c>
      <c r="Z120" s="222">
        <f t="shared" si="99"/>
        <v>0.55014539928769524</v>
      </c>
      <c r="AA120" s="222">
        <f t="shared" si="99"/>
        <v>-0.13244789095802625</v>
      </c>
      <c r="AB120" s="222">
        <f t="shared" si="99"/>
        <v>1</v>
      </c>
      <c r="AC120" s="22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207"/>
    </row>
    <row r="121" spans="1:51">
      <c r="A121" s="367" t="s">
        <v>144</v>
      </c>
      <c r="B121" s="222">
        <f>PEARSON($AC$8:$AC$39,B$8:B$39)</f>
        <v>0.85920136772816924</v>
      </c>
      <c r="C121" s="222">
        <f t="shared" ref="C121:AC121" si="100">PEARSON($AC$8:$AC$39,C$8:C$39)</f>
        <v>0.92672951586496077</v>
      </c>
      <c r="D121" s="222">
        <f t="shared" si="100"/>
        <v>0.8307348285164321</v>
      </c>
      <c r="E121" s="222">
        <f t="shared" si="100"/>
        <v>0.70827906485357617</v>
      </c>
      <c r="F121" s="222">
        <f t="shared" si="100"/>
        <v>0.94367119649448217</v>
      </c>
      <c r="G121" s="222">
        <f t="shared" si="100"/>
        <v>0.93110912994233075</v>
      </c>
      <c r="H121" s="222">
        <f t="shared" si="100"/>
        <v>0.92457902630075517</v>
      </c>
      <c r="I121" s="222">
        <f t="shared" si="100"/>
        <v>0.88382286198596161</v>
      </c>
      <c r="J121" s="222">
        <f t="shared" si="100"/>
        <v>0.80283644296249024</v>
      </c>
      <c r="K121" s="222">
        <f t="shared" si="100"/>
        <v>0.74628069119549367</v>
      </c>
      <c r="L121" s="222">
        <f t="shared" si="100"/>
        <v>0.6459327673752373</v>
      </c>
      <c r="M121" s="222">
        <f t="shared" si="100"/>
        <v>0.56766245706904694</v>
      </c>
      <c r="N121" s="222">
        <f t="shared" si="100"/>
        <v>0.65739525793451126</v>
      </c>
      <c r="O121" s="222">
        <f t="shared" si="100"/>
        <v>0.44357993841560939</v>
      </c>
      <c r="P121" s="222">
        <f t="shared" si="100"/>
        <v>0.71734917337523396</v>
      </c>
      <c r="Q121" s="222">
        <f t="shared" si="100"/>
        <v>0.65502682379915844</v>
      </c>
      <c r="R121" s="222">
        <f t="shared" si="100"/>
        <v>0.29924203041166064</v>
      </c>
      <c r="S121" s="222">
        <f t="shared" si="100"/>
        <v>-0.15117755910248379</v>
      </c>
      <c r="T121" s="222">
        <f t="shared" si="100"/>
        <v>-0.11598014928710149</v>
      </c>
      <c r="U121" s="222">
        <f t="shared" si="100"/>
        <v>0.18920600754132991</v>
      </c>
      <c r="V121" s="222">
        <f t="shared" si="100"/>
        <v>6.5745306029263664E-2</v>
      </c>
      <c r="W121" s="222">
        <f t="shared" si="100"/>
        <v>0.10510635218541295</v>
      </c>
      <c r="X121" s="222">
        <f t="shared" si="100"/>
        <v>0.90604712981448254</v>
      </c>
      <c r="Y121" s="222">
        <f t="shared" si="100"/>
        <v>0.67817307168581331</v>
      </c>
      <c r="Z121" s="222">
        <f t="shared" si="100"/>
        <v>0.59719252342698625</v>
      </c>
      <c r="AA121" s="222">
        <f t="shared" si="100"/>
        <v>0.63159687155672095</v>
      </c>
      <c r="AB121" s="222">
        <f t="shared" si="100"/>
        <v>0.26032599558724345</v>
      </c>
      <c r="AC121" s="222">
        <f t="shared" si="100"/>
        <v>1</v>
      </c>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207"/>
    </row>
    <row r="122" spans="1:51">
      <c r="A122" s="38" t="s">
        <v>154</v>
      </c>
      <c r="B122" s="222">
        <f>PEARSON($AD$8:$AD$39,B$8:B$39)</f>
        <v>0.8569966139687385</v>
      </c>
      <c r="C122" s="222">
        <f t="shared" ref="C122:AD122" si="101">PEARSON($AD$8:$AD$39,C$8:C$39)</f>
        <v>0.92849921637648236</v>
      </c>
      <c r="D122" s="222">
        <f t="shared" si="101"/>
        <v>0.85963321601719067</v>
      </c>
      <c r="E122" s="222">
        <f t="shared" si="101"/>
        <v>0.75100903879806569</v>
      </c>
      <c r="F122" s="222">
        <f t="shared" si="101"/>
        <v>0.90979874411947681</v>
      </c>
      <c r="G122" s="222">
        <f t="shared" si="101"/>
        <v>0.8353574041208166</v>
      </c>
      <c r="H122" s="222">
        <f t="shared" si="101"/>
        <v>0.81162308651320936</v>
      </c>
      <c r="I122" s="222">
        <f t="shared" si="101"/>
        <v>0.79398358595108265</v>
      </c>
      <c r="J122" s="222">
        <f t="shared" si="101"/>
        <v>0.6541343911687767</v>
      </c>
      <c r="K122" s="222">
        <f t="shared" si="101"/>
        <v>0.67373858447352819</v>
      </c>
      <c r="L122" s="222">
        <f t="shared" si="101"/>
        <v>0.53150798163317114</v>
      </c>
      <c r="M122" s="222">
        <f t="shared" si="101"/>
        <v>0.40625893375722733</v>
      </c>
      <c r="N122" s="222">
        <f t="shared" si="101"/>
        <v>0.53387606763318496</v>
      </c>
      <c r="O122" s="222">
        <f t="shared" si="101"/>
        <v>0.27620401266055333</v>
      </c>
      <c r="P122" s="222">
        <f t="shared" si="101"/>
        <v>0.65793367208787912</v>
      </c>
      <c r="Q122" s="222">
        <f t="shared" si="101"/>
        <v>0.5340512525701504</v>
      </c>
      <c r="R122" s="222">
        <f t="shared" si="101"/>
        <v>0.26529507669056857</v>
      </c>
      <c r="S122" s="222">
        <f t="shared" si="101"/>
        <v>5.0478248673937586E-3</v>
      </c>
      <c r="T122" s="222">
        <f t="shared" si="101"/>
        <v>3.1433586164384568E-2</v>
      </c>
      <c r="U122" s="222">
        <f t="shared" si="101"/>
        <v>0.31235520364572572</v>
      </c>
      <c r="V122" s="222">
        <f t="shared" si="101"/>
        <v>0.13475299252048137</v>
      </c>
      <c r="W122" s="222">
        <f t="shared" si="101"/>
        <v>7.6552118774203246E-2</v>
      </c>
      <c r="X122" s="222">
        <f t="shared" si="101"/>
        <v>0.93039878790312114</v>
      </c>
      <c r="Y122" s="222">
        <f t="shared" si="101"/>
        <v>0.77373903455484871</v>
      </c>
      <c r="Z122" s="222">
        <f t="shared" si="101"/>
        <v>0.58482221480070196</v>
      </c>
      <c r="AA122" s="222">
        <f t="shared" si="101"/>
        <v>0.72156364137931728</v>
      </c>
      <c r="AB122" s="222">
        <f t="shared" si="101"/>
        <v>0.16453976408703974</v>
      </c>
      <c r="AC122" s="222">
        <f t="shared" si="101"/>
        <v>0.90490289855307093</v>
      </c>
      <c r="AD122" s="222">
        <f t="shared" si="101"/>
        <v>1</v>
      </c>
      <c r="AE122" s="32"/>
      <c r="AF122" s="32"/>
      <c r="AG122" s="32"/>
      <c r="AH122" s="32"/>
      <c r="AI122" s="32"/>
      <c r="AJ122" s="32"/>
      <c r="AK122" s="32"/>
      <c r="AL122" s="32"/>
      <c r="AM122" s="32"/>
      <c r="AN122" s="32"/>
      <c r="AO122" s="32"/>
      <c r="AP122" s="32"/>
      <c r="AQ122" s="32"/>
      <c r="AR122" s="32"/>
      <c r="AS122" s="32"/>
      <c r="AT122" s="32"/>
      <c r="AU122" s="32"/>
      <c r="AV122" s="32"/>
      <c r="AW122" s="32"/>
      <c r="AX122" s="32"/>
      <c r="AY122" s="207"/>
    </row>
    <row r="123" spans="1:51">
      <c r="A123" s="38" t="s">
        <v>156</v>
      </c>
      <c r="B123" s="222">
        <f>PEARSON($AE$8:$AE$39,B$8:B$39)</f>
        <v>0.10291187836848269</v>
      </c>
      <c r="C123" s="222">
        <f t="shared" ref="C123:AE123" si="102">PEARSON($AE$8:$AE$39,C$8:C$39)</f>
        <v>0.11317059541170123</v>
      </c>
      <c r="D123" s="222">
        <f t="shared" si="102"/>
        <v>0.13074918898645452</v>
      </c>
      <c r="E123" s="222">
        <f t="shared" si="102"/>
        <v>0.13135598011972341</v>
      </c>
      <c r="F123" s="222">
        <f t="shared" si="102"/>
        <v>9.8689903846038249E-2</v>
      </c>
      <c r="G123" s="222">
        <f t="shared" si="102"/>
        <v>3.1984616093437196E-2</v>
      </c>
      <c r="H123" s="222">
        <f t="shared" si="102"/>
        <v>-2.3188331527173683E-2</v>
      </c>
      <c r="I123" s="222">
        <f t="shared" si="102"/>
        <v>2.0415349916898216E-4</v>
      </c>
      <c r="J123" s="222">
        <f t="shared" si="102"/>
        <v>-0.12695084808257481</v>
      </c>
      <c r="K123" s="222">
        <f t="shared" si="102"/>
        <v>-8.3299815639895747E-2</v>
      </c>
      <c r="L123" s="222">
        <f t="shared" si="102"/>
        <v>0.12863692057234535</v>
      </c>
      <c r="M123" s="222">
        <f t="shared" si="102"/>
        <v>0.25625167022827516</v>
      </c>
      <c r="N123" s="222">
        <f t="shared" si="102"/>
        <v>0.17272062543788624</v>
      </c>
      <c r="O123" s="222">
        <f t="shared" si="102"/>
        <v>2.9519965719452017E-2</v>
      </c>
      <c r="P123" s="222">
        <f t="shared" si="102"/>
        <v>0.2289519087847415</v>
      </c>
      <c r="Q123" s="222">
        <f t="shared" si="102"/>
        <v>0.15650529130290783</v>
      </c>
      <c r="R123" s="222">
        <f t="shared" si="102"/>
        <v>0.18809864105995089</v>
      </c>
      <c r="S123" s="222">
        <f t="shared" si="102"/>
        <v>0.44144498995695902</v>
      </c>
      <c r="T123" s="222">
        <f t="shared" si="102"/>
        <v>0.69855642270968787</v>
      </c>
      <c r="U123" s="222">
        <f t="shared" si="102"/>
        <v>0.76639589702167443</v>
      </c>
      <c r="V123" s="222">
        <f t="shared" si="102"/>
        <v>0.86937237118649369</v>
      </c>
      <c r="W123" s="222">
        <f t="shared" si="102"/>
        <v>0.42796782849156201</v>
      </c>
      <c r="X123" s="222">
        <f t="shared" si="102"/>
        <v>0.28209334750433757</v>
      </c>
      <c r="Y123" s="222">
        <f t="shared" si="102"/>
        <v>0.5074840045551603</v>
      </c>
      <c r="Z123" s="222">
        <f t="shared" si="102"/>
        <v>9.3986533661001598E-2</v>
      </c>
      <c r="AA123" s="222">
        <f t="shared" si="102"/>
        <v>0.28244502698654561</v>
      </c>
      <c r="AB123" s="222">
        <f t="shared" si="102"/>
        <v>5.6415503506007353E-2</v>
      </c>
      <c r="AC123" s="222">
        <f t="shared" si="102"/>
        <v>6.6054952594579677E-2</v>
      </c>
      <c r="AD123" s="222">
        <f t="shared" si="102"/>
        <v>0.14077803527067265</v>
      </c>
      <c r="AE123" s="222">
        <f t="shared" si="102"/>
        <v>1</v>
      </c>
      <c r="AF123" s="32"/>
      <c r="AG123" s="32"/>
      <c r="AH123" s="32"/>
      <c r="AI123" s="32"/>
      <c r="AJ123" s="32"/>
      <c r="AK123" s="32"/>
      <c r="AL123" s="32"/>
      <c r="AM123" s="32"/>
      <c r="AN123" s="32"/>
      <c r="AO123" s="32"/>
      <c r="AP123" s="32"/>
      <c r="AQ123" s="32"/>
      <c r="AR123" s="32"/>
      <c r="AS123" s="32"/>
      <c r="AT123" s="32"/>
      <c r="AU123" s="32"/>
      <c r="AV123" s="32"/>
      <c r="AW123" s="32"/>
      <c r="AX123" s="32"/>
      <c r="AY123" s="207"/>
    </row>
    <row r="124" spans="1:51">
      <c r="A124" s="38" t="s">
        <v>158</v>
      </c>
      <c r="B124" s="222">
        <f>PEARSON($AF$8:$AF$39,B$8:B$39)</f>
        <v>0.30194866911087354</v>
      </c>
      <c r="C124" s="222">
        <f t="shared" ref="C124:AF124" si="103">PEARSON($AF$8:$AF$39,C$8:C$39)</f>
        <v>0.37715815514175077</v>
      </c>
      <c r="D124" s="222">
        <f t="shared" si="103"/>
        <v>0.31107626071952832</v>
      </c>
      <c r="E124" s="222">
        <f t="shared" si="103"/>
        <v>0.24221264337637968</v>
      </c>
      <c r="F124" s="222">
        <f t="shared" si="103"/>
        <v>0.37570025066177787</v>
      </c>
      <c r="G124" s="222">
        <f t="shared" si="103"/>
        <v>0.33213629186063975</v>
      </c>
      <c r="H124" s="222">
        <f t="shared" si="103"/>
        <v>0.23962554303670316</v>
      </c>
      <c r="I124" s="222">
        <f t="shared" si="103"/>
        <v>0.26337835470399967</v>
      </c>
      <c r="J124" s="222">
        <f t="shared" si="103"/>
        <v>0.12484013008891187</v>
      </c>
      <c r="K124" s="222">
        <f t="shared" si="103"/>
        <v>0.35744612735018155</v>
      </c>
      <c r="L124" s="222">
        <f t="shared" si="103"/>
        <v>0.31860110986000173</v>
      </c>
      <c r="M124" s="222">
        <f t="shared" si="103"/>
        <v>0.35410378374641371</v>
      </c>
      <c r="N124" s="222">
        <f t="shared" si="103"/>
        <v>0.35374059208275882</v>
      </c>
      <c r="O124" s="222">
        <f t="shared" si="103"/>
        <v>0.16230802134406505</v>
      </c>
      <c r="P124" s="222">
        <f t="shared" si="103"/>
        <v>0.42492948553486382</v>
      </c>
      <c r="Q124" s="222">
        <f t="shared" si="103"/>
        <v>0.31492327681869409</v>
      </c>
      <c r="R124" s="222">
        <f t="shared" si="103"/>
        <v>0.20875950998725279</v>
      </c>
      <c r="S124" s="222">
        <f t="shared" si="103"/>
        <v>0.67240383335470766</v>
      </c>
      <c r="T124" s="222">
        <f t="shared" si="103"/>
        <v>0.74382988007327588</v>
      </c>
      <c r="U124" s="222">
        <f t="shared" si="103"/>
        <v>0.87951673795733476</v>
      </c>
      <c r="V124" s="222">
        <f t="shared" si="103"/>
        <v>0.39280398713037123</v>
      </c>
      <c r="W124" s="222">
        <f t="shared" si="103"/>
        <v>0.58322405696479773</v>
      </c>
      <c r="X124" s="222">
        <f t="shared" si="103"/>
        <v>0.55037833149852489</v>
      </c>
      <c r="Y124" s="222">
        <f t="shared" si="103"/>
        <v>0.81533059311831924</v>
      </c>
      <c r="Z124" s="222">
        <f t="shared" si="103"/>
        <v>0.16063644709589001</v>
      </c>
      <c r="AA124" s="222">
        <f t="shared" si="103"/>
        <v>0.44593282776423254</v>
      </c>
      <c r="AB124" s="222">
        <f t="shared" si="103"/>
        <v>0.16594529008203862</v>
      </c>
      <c r="AC124" s="222">
        <f t="shared" si="103"/>
        <v>0.35213012976810593</v>
      </c>
      <c r="AD124" s="222">
        <f t="shared" si="103"/>
        <v>0.40157370322839786</v>
      </c>
      <c r="AE124" s="222">
        <f t="shared" si="103"/>
        <v>0.67263914779126766</v>
      </c>
      <c r="AF124" s="222">
        <f t="shared" si="103"/>
        <v>1</v>
      </c>
      <c r="AG124" s="32"/>
      <c r="AH124" s="32"/>
      <c r="AI124" s="32"/>
      <c r="AJ124" s="32"/>
      <c r="AK124" s="32"/>
      <c r="AL124" s="32"/>
      <c r="AM124" s="32"/>
      <c r="AN124" s="32"/>
      <c r="AO124" s="32"/>
      <c r="AP124" s="32"/>
      <c r="AQ124" s="32"/>
      <c r="AR124" s="32"/>
      <c r="AS124" s="32"/>
      <c r="AT124" s="32"/>
      <c r="AU124" s="32"/>
      <c r="AV124" s="32"/>
      <c r="AW124" s="32"/>
      <c r="AX124" s="32"/>
      <c r="AY124" s="207"/>
    </row>
    <row r="125" spans="1:51">
      <c r="A125" s="38" t="s">
        <v>160</v>
      </c>
      <c r="B125" s="222">
        <f>PEARSON($AG$8:$AG$39,B$8:B$39)</f>
        <v>0.34426725906670352</v>
      </c>
      <c r="C125" s="222">
        <f t="shared" ref="C125:AG125" si="104">PEARSON($AG$8:$AG$39,C$8:C$39)</f>
        <v>0.43736180583936635</v>
      </c>
      <c r="D125" s="222">
        <f t="shared" si="104"/>
        <v>0.35289148173117324</v>
      </c>
      <c r="E125" s="222">
        <f t="shared" si="104"/>
        <v>0.2687024785523236</v>
      </c>
      <c r="F125" s="222">
        <f t="shared" si="104"/>
        <v>0.44844648335287995</v>
      </c>
      <c r="G125" s="222">
        <f t="shared" si="104"/>
        <v>0.39946405562487874</v>
      </c>
      <c r="H125" s="222">
        <f t="shared" si="104"/>
        <v>0.29072865857347951</v>
      </c>
      <c r="I125" s="222">
        <f t="shared" si="104"/>
        <v>0.31871062315617632</v>
      </c>
      <c r="J125" s="222">
        <f t="shared" si="104"/>
        <v>0.17840923023900152</v>
      </c>
      <c r="K125" s="222">
        <f t="shared" si="104"/>
        <v>0.45295402260717466</v>
      </c>
      <c r="L125" s="222">
        <f t="shared" si="104"/>
        <v>0.31780804248421274</v>
      </c>
      <c r="M125" s="222">
        <f t="shared" si="104"/>
        <v>0.32629235808925111</v>
      </c>
      <c r="N125" s="222">
        <f t="shared" si="104"/>
        <v>0.34778331818023422</v>
      </c>
      <c r="O125" s="222">
        <f t="shared" si="104"/>
        <v>0.14144962329175037</v>
      </c>
      <c r="P125" s="222">
        <f t="shared" si="104"/>
        <v>0.43804775798495188</v>
      </c>
      <c r="Q125" s="222">
        <f t="shared" si="104"/>
        <v>0.31400606113140644</v>
      </c>
      <c r="R125" s="222">
        <f t="shared" si="104"/>
        <v>0.2503815278354663</v>
      </c>
      <c r="S125" s="222">
        <f t="shared" si="104"/>
        <v>0.6386804979301629</v>
      </c>
      <c r="T125" s="222">
        <f t="shared" si="104"/>
        <v>0.68210237385371353</v>
      </c>
      <c r="U125" s="222">
        <f t="shared" si="104"/>
        <v>0.8402535929330468</v>
      </c>
      <c r="V125" s="222">
        <f t="shared" si="104"/>
        <v>0.29873555997122636</v>
      </c>
      <c r="W125" s="222">
        <f t="shared" si="104"/>
        <v>0.52495660725462789</v>
      </c>
      <c r="X125" s="222">
        <f t="shared" si="104"/>
        <v>0.6068240196241752</v>
      </c>
      <c r="Y125" s="222">
        <f t="shared" si="104"/>
        <v>0.85009617140765736</v>
      </c>
      <c r="Z125" s="222">
        <f t="shared" si="104"/>
        <v>0.22551434563774816</v>
      </c>
      <c r="AA125" s="222">
        <f t="shared" si="104"/>
        <v>0.50960745905620386</v>
      </c>
      <c r="AB125" s="222">
        <f t="shared" si="104"/>
        <v>0.16895699671193637</v>
      </c>
      <c r="AC125" s="222">
        <f t="shared" si="104"/>
        <v>0.4213514547624988</v>
      </c>
      <c r="AD125" s="222">
        <f t="shared" si="104"/>
        <v>0.48543577047171904</v>
      </c>
      <c r="AE125" s="222">
        <f t="shared" si="104"/>
        <v>0.5613057447239278</v>
      </c>
      <c r="AF125" s="222">
        <f t="shared" si="104"/>
        <v>0.97878932547383768</v>
      </c>
      <c r="AG125" s="222">
        <f t="shared" si="104"/>
        <v>1</v>
      </c>
      <c r="AH125" s="222"/>
      <c r="AI125" s="32"/>
      <c r="AJ125" s="32"/>
      <c r="AK125" s="32"/>
      <c r="AL125" s="32"/>
      <c r="AM125" s="32"/>
      <c r="AN125" s="32"/>
      <c r="AO125" s="32"/>
      <c r="AP125" s="32"/>
      <c r="AQ125" s="32"/>
      <c r="AR125" s="32"/>
      <c r="AS125" s="32"/>
      <c r="AT125" s="32"/>
      <c r="AU125" s="32"/>
      <c r="AV125" s="32"/>
      <c r="AW125" s="32"/>
      <c r="AX125" s="32"/>
      <c r="AY125" s="207"/>
    </row>
    <row r="126" spans="1:51">
      <c r="A126" s="38" t="s">
        <v>162</v>
      </c>
      <c r="B126" s="222">
        <f>PEARSON($AH$8:$AH$39,B$8:B$39)</f>
        <v>0.75569947510181934</v>
      </c>
      <c r="C126" s="222">
        <f t="shared" ref="C126:AH126" si="105">PEARSON($AH$8:$AH$39,C$8:C$39)</f>
        <v>0.76731991385619513</v>
      </c>
      <c r="D126" s="222">
        <f t="shared" si="105"/>
        <v>0.7170709408086724</v>
      </c>
      <c r="E126" s="222">
        <f t="shared" si="105"/>
        <v>0.64949883950406917</v>
      </c>
      <c r="F126" s="222">
        <f t="shared" si="105"/>
        <v>0.81556087272046451</v>
      </c>
      <c r="G126" s="222">
        <f t="shared" si="105"/>
        <v>0.79651616987572271</v>
      </c>
      <c r="H126" s="222">
        <f t="shared" si="105"/>
        <v>0.81537712037173915</v>
      </c>
      <c r="I126" s="222">
        <f t="shared" si="105"/>
        <v>0.80143476408449899</v>
      </c>
      <c r="J126" s="222">
        <f t="shared" si="105"/>
        <v>0.70871707104702764</v>
      </c>
      <c r="K126" s="222">
        <f t="shared" si="105"/>
        <v>0.71019459193095436</v>
      </c>
      <c r="L126" s="222">
        <f t="shared" si="105"/>
        <v>0.63646460178800146</v>
      </c>
      <c r="M126" s="222">
        <f t="shared" si="105"/>
        <v>0.63548231330195937</v>
      </c>
      <c r="N126" s="222">
        <f t="shared" si="105"/>
        <v>0.67098530800407286</v>
      </c>
      <c r="O126" s="222">
        <f t="shared" si="105"/>
        <v>0.46192166006403673</v>
      </c>
      <c r="P126" s="222">
        <f t="shared" si="105"/>
        <v>0.67377919125562635</v>
      </c>
      <c r="Q126" s="222">
        <f t="shared" si="105"/>
        <v>0.62187266818396192</v>
      </c>
      <c r="R126" s="222">
        <f t="shared" si="105"/>
        <v>0.30285619652127516</v>
      </c>
      <c r="S126" s="222">
        <f t="shared" si="105"/>
        <v>0.13015678893480884</v>
      </c>
      <c r="T126" s="222">
        <f t="shared" si="105"/>
        <v>0.18540709037692851</v>
      </c>
      <c r="U126" s="222">
        <f t="shared" si="105"/>
        <v>0.45136349820824856</v>
      </c>
      <c r="V126" s="222">
        <f t="shared" si="105"/>
        <v>4.9259623272286904E-2</v>
      </c>
      <c r="W126" s="222">
        <f t="shared" si="105"/>
        <v>0.47684467141598758</v>
      </c>
      <c r="X126" s="222">
        <f t="shared" si="105"/>
        <v>0.8232526870625454</v>
      </c>
      <c r="Y126" s="222">
        <f t="shared" si="105"/>
        <v>0.749395802603536</v>
      </c>
      <c r="Z126" s="222">
        <f t="shared" si="105"/>
        <v>0.39395445076494495</v>
      </c>
      <c r="AA126" s="222">
        <f t="shared" si="105"/>
        <v>0.44370933084994729</v>
      </c>
      <c r="AB126" s="222">
        <f t="shared" si="105"/>
        <v>0.37313528859965711</v>
      </c>
      <c r="AC126" s="222">
        <f t="shared" si="105"/>
        <v>0.80885315733441543</v>
      </c>
      <c r="AD126" s="222">
        <f t="shared" si="105"/>
        <v>0.7404393321102587</v>
      </c>
      <c r="AE126" s="222">
        <f t="shared" si="105"/>
        <v>0.22441215915177565</v>
      </c>
      <c r="AF126" s="222">
        <f t="shared" si="105"/>
        <v>0.6225419066604565</v>
      </c>
      <c r="AG126" s="222">
        <f t="shared" si="105"/>
        <v>0.64468219526560566</v>
      </c>
      <c r="AH126" s="222">
        <f t="shared" si="105"/>
        <v>1.0000000000000002</v>
      </c>
      <c r="AI126" s="32"/>
      <c r="AJ126" s="32"/>
      <c r="AK126" s="32"/>
      <c r="AL126" s="32"/>
      <c r="AM126" s="32"/>
      <c r="AN126" s="32"/>
      <c r="AO126" s="32"/>
      <c r="AP126" s="32"/>
      <c r="AQ126" s="32"/>
      <c r="AR126" s="32"/>
      <c r="AS126" s="32"/>
      <c r="AT126" s="32"/>
      <c r="AU126" s="32"/>
      <c r="AV126" s="32"/>
      <c r="AW126" s="32"/>
      <c r="AX126" s="32"/>
      <c r="AY126" s="207"/>
    </row>
    <row r="127" spans="1:51">
      <c r="A127" s="38" t="s">
        <v>148</v>
      </c>
      <c r="B127" s="222">
        <f>PEARSON($AI$8:$AI$39,B$8:B$39)</f>
        <v>1.4052474311229642E-2</v>
      </c>
      <c r="C127" s="222">
        <f t="shared" ref="C127:AH127" si="106">PEARSON($AI$8:$AI$39,C$8:C$39)</f>
        <v>4.6907933779702024E-2</v>
      </c>
      <c r="D127" s="222">
        <f t="shared" si="106"/>
        <v>4.170810503979077E-2</v>
      </c>
      <c r="E127" s="222">
        <f t="shared" si="106"/>
        <v>3.2992245055303314E-2</v>
      </c>
      <c r="F127" s="222">
        <f t="shared" si="106"/>
        <v>3.5384167482619619E-2</v>
      </c>
      <c r="G127" s="222">
        <f t="shared" si="106"/>
        <v>-1.1871600964025864E-2</v>
      </c>
      <c r="H127" s="222">
        <f t="shared" si="106"/>
        <v>-9.5795698782101243E-2</v>
      </c>
      <c r="I127" s="222">
        <f t="shared" si="106"/>
        <v>-5.6905471069670109E-2</v>
      </c>
      <c r="J127" s="222">
        <f t="shared" si="106"/>
        <v>-0.12253568030064341</v>
      </c>
      <c r="K127" s="222">
        <f t="shared" si="106"/>
        <v>-0.11214371330309569</v>
      </c>
      <c r="L127" s="222">
        <f t="shared" si="106"/>
        <v>6.6671186706976651E-2</v>
      </c>
      <c r="M127" s="222">
        <f t="shared" si="106"/>
        <v>0.10547149636163138</v>
      </c>
      <c r="N127" s="222">
        <f t="shared" si="106"/>
        <v>8.8776509784504548E-2</v>
      </c>
      <c r="O127" s="222">
        <f t="shared" si="106"/>
        <v>-3.8707805345533516E-2</v>
      </c>
      <c r="P127" s="222">
        <f t="shared" si="106"/>
        <v>0.18025275383799169</v>
      </c>
      <c r="Q127" s="222">
        <f t="shared" si="106"/>
        <v>7.2691988508723035E-2</v>
      </c>
      <c r="R127" s="222">
        <f t="shared" si="106"/>
        <v>0.13229551006879264</v>
      </c>
      <c r="S127" s="222">
        <f t="shared" si="106"/>
        <v>0.63454929961186568</v>
      </c>
      <c r="T127" s="222">
        <f t="shared" si="106"/>
        <v>0.8847567143259456</v>
      </c>
      <c r="U127" s="222">
        <f t="shared" si="106"/>
        <v>0.86058062055828932</v>
      </c>
      <c r="V127" s="222">
        <f t="shared" si="106"/>
        <v>0.72078234736575031</v>
      </c>
      <c r="W127" s="222">
        <f t="shared" si="106"/>
        <v>0.36873940188596038</v>
      </c>
      <c r="X127" s="222">
        <f t="shared" si="106"/>
        <v>0.24768278423854759</v>
      </c>
      <c r="Y127" s="222">
        <f t="shared" si="106"/>
        <v>0.54355805089749942</v>
      </c>
      <c r="Z127" s="222">
        <f t="shared" si="106"/>
        <v>7.0582974292793628E-3</v>
      </c>
      <c r="AA127" s="222">
        <f t="shared" si="106"/>
        <v>0.26159207801992684</v>
      </c>
      <c r="AB127" s="222">
        <f t="shared" si="106"/>
        <v>2.4573918915911024E-2</v>
      </c>
      <c r="AC127" s="222">
        <f t="shared" si="106"/>
        <v>-2.4682564579615596E-2</v>
      </c>
      <c r="AD127" s="222">
        <f t="shared" si="106"/>
        <v>6.1893411856527823E-2</v>
      </c>
      <c r="AE127" s="222">
        <f t="shared" si="106"/>
        <v>0.91365753935910798</v>
      </c>
      <c r="AF127" s="222">
        <f t="shared" si="106"/>
        <v>0.69631157198737503</v>
      </c>
      <c r="AG127" s="222">
        <f t="shared" si="106"/>
        <v>0.60184895910988179</v>
      </c>
      <c r="AH127" s="222">
        <f t="shared" si="106"/>
        <v>0.20964792407056346</v>
      </c>
      <c r="AI127" s="222">
        <f>PEARSON($AI$8:$AI$39,AI$8:AI$39)</f>
        <v>1</v>
      </c>
      <c r="AJ127" s="222"/>
      <c r="AK127" s="222"/>
      <c r="AL127" s="222"/>
      <c r="AM127" s="222"/>
      <c r="AN127" s="222"/>
      <c r="AO127" s="222"/>
      <c r="AP127" s="222"/>
      <c r="AQ127" s="222"/>
      <c r="AR127" s="222"/>
      <c r="AS127" s="222"/>
      <c r="AT127" s="222"/>
      <c r="AU127" s="222"/>
      <c r="AV127" s="222"/>
      <c r="AW127" s="222"/>
      <c r="AX127" s="222"/>
      <c r="AY127" s="368"/>
    </row>
    <row r="128" spans="1:51">
      <c r="A128" s="38" t="s">
        <v>164</v>
      </c>
      <c r="B128" s="222">
        <f>PEARSON($AJ$8:$AJ$39,B$8:B$39)</f>
        <v>0.90059894754839109</v>
      </c>
      <c r="C128" s="222">
        <f t="shared" ref="C128:AJ128" si="107">PEARSON($AJ$8:$AJ$39,C$8:C$39)</f>
        <v>0.7776861647902451</v>
      </c>
      <c r="D128" s="222">
        <f t="shared" si="107"/>
        <v>0.86929925047854306</v>
      </c>
      <c r="E128" s="222">
        <f t="shared" si="107"/>
        <v>0.88661652182390771</v>
      </c>
      <c r="F128" s="222">
        <f t="shared" si="107"/>
        <v>0.79733530650345552</v>
      </c>
      <c r="G128" s="222">
        <f t="shared" si="107"/>
        <v>0.5777107934409802</v>
      </c>
      <c r="H128" s="222">
        <f t="shared" si="107"/>
        <v>0.82268177672248211</v>
      </c>
      <c r="I128" s="222">
        <f t="shared" si="107"/>
        <v>0.83415787548271325</v>
      </c>
      <c r="J128" s="222">
        <f t="shared" si="107"/>
        <v>0.65851284818493683</v>
      </c>
      <c r="K128" s="222">
        <f t="shared" si="107"/>
        <v>0.3812179045290271</v>
      </c>
      <c r="L128" s="222">
        <f t="shared" si="107"/>
        <v>0.65216139225222547</v>
      </c>
      <c r="M128" s="222">
        <f t="shared" si="107"/>
        <v>0.69146170771669879</v>
      </c>
      <c r="N128" s="222">
        <f t="shared" si="107"/>
        <v>0.68374306189904455</v>
      </c>
      <c r="O128" s="222">
        <f t="shared" si="107"/>
        <v>0.56766126160368047</v>
      </c>
      <c r="P128" s="222">
        <f t="shared" si="107"/>
        <v>0.6908831331739671</v>
      </c>
      <c r="Q128" s="222">
        <f t="shared" si="107"/>
        <v>0.60069545590627615</v>
      </c>
      <c r="R128" s="222">
        <f t="shared" si="107"/>
        <v>0.31075727429284161</v>
      </c>
      <c r="S128" s="222">
        <f t="shared" si="107"/>
        <v>-0.23140681414815181</v>
      </c>
      <c r="T128" s="222">
        <f t="shared" si="107"/>
        <v>-0.20389793509895796</v>
      </c>
      <c r="U128" s="222">
        <f t="shared" si="107"/>
        <v>6.0386286451445254E-2</v>
      </c>
      <c r="V128" s="222">
        <f t="shared" si="107"/>
        <v>7.2885452827366984E-2</v>
      </c>
      <c r="W128" s="222">
        <f t="shared" si="107"/>
        <v>0.1055595849864271</v>
      </c>
      <c r="X128" s="222">
        <f t="shared" si="107"/>
        <v>0.70857807737343959</v>
      </c>
      <c r="Y128" s="222">
        <f t="shared" si="107"/>
        <v>0.4066177100002496</v>
      </c>
      <c r="Z128" s="222">
        <f t="shared" si="107"/>
        <v>0.47828320216582076</v>
      </c>
      <c r="AA128" s="222">
        <f t="shared" si="107"/>
        <v>0.41999992539576797</v>
      </c>
      <c r="AB128" s="222">
        <f t="shared" si="107"/>
        <v>0.33554328487734758</v>
      </c>
      <c r="AC128" s="222">
        <f t="shared" si="107"/>
        <v>0.71156720861899769</v>
      </c>
      <c r="AD128" s="222">
        <f t="shared" si="107"/>
        <v>0.6232676280509426</v>
      </c>
      <c r="AE128" s="222">
        <f t="shared" si="107"/>
        <v>1.5086042035132495E-2</v>
      </c>
      <c r="AF128" s="222">
        <f t="shared" si="107"/>
        <v>0.13906775026282275</v>
      </c>
      <c r="AG128" s="222">
        <f t="shared" si="107"/>
        <v>0.16071631837079992</v>
      </c>
      <c r="AH128" s="222">
        <f t="shared" si="107"/>
        <v>0.64889463415016502</v>
      </c>
      <c r="AI128" s="222">
        <f t="shared" si="107"/>
        <v>-9.3521083205528738E-2</v>
      </c>
      <c r="AJ128" s="222">
        <f t="shared" si="107"/>
        <v>1</v>
      </c>
      <c r="AK128" s="222"/>
      <c r="AL128" s="222"/>
      <c r="AM128" s="222"/>
      <c r="AN128" s="222"/>
      <c r="AO128" s="222"/>
      <c r="AP128" s="222"/>
      <c r="AQ128" s="222"/>
      <c r="AR128" s="222"/>
      <c r="AS128" s="222"/>
      <c r="AT128" s="222"/>
      <c r="AU128" s="222"/>
      <c r="AV128" s="222"/>
      <c r="AW128" s="222"/>
      <c r="AX128" s="222"/>
      <c r="AY128" s="368"/>
    </row>
    <row r="129" spans="1:55">
      <c r="A129" s="38" t="s">
        <v>166</v>
      </c>
      <c r="B129" s="222">
        <f>PEARSON($AK$8:$AK$39,B$8:B$39)</f>
        <v>0.82425054841754819</v>
      </c>
      <c r="C129" s="222">
        <f t="shared" ref="C129:AK129" si="108">PEARSON($AK$8:$AK$39,C$8:C$39)</f>
        <v>0.89552784443031219</v>
      </c>
      <c r="D129" s="222">
        <f t="shared" si="108"/>
        <v>0.79112366287757063</v>
      </c>
      <c r="E129" s="222">
        <f t="shared" si="108"/>
        <v>0.67354826224903785</v>
      </c>
      <c r="F129" s="222">
        <f t="shared" si="108"/>
        <v>0.95963976300342324</v>
      </c>
      <c r="G129" s="222">
        <f t="shared" si="108"/>
        <v>0.96212114214753608</v>
      </c>
      <c r="H129" s="222">
        <f t="shared" si="108"/>
        <v>0.91286317635958114</v>
      </c>
      <c r="I129" s="222">
        <f t="shared" si="108"/>
        <v>0.88113930892946657</v>
      </c>
      <c r="J129" s="222">
        <f t="shared" si="108"/>
        <v>0.80413666828762909</v>
      </c>
      <c r="K129" s="222">
        <f t="shared" si="108"/>
        <v>0.7875936641156811</v>
      </c>
      <c r="L129" s="222">
        <f t="shared" si="108"/>
        <v>0.5259830317203823</v>
      </c>
      <c r="M129" s="222">
        <f t="shared" si="108"/>
        <v>0.47203100364262729</v>
      </c>
      <c r="N129" s="222">
        <f t="shared" si="108"/>
        <v>0.54004945770477741</v>
      </c>
      <c r="O129" s="222">
        <f t="shared" si="108"/>
        <v>0.29769185056516401</v>
      </c>
      <c r="P129" s="222">
        <f t="shared" si="108"/>
        <v>0.64908078910574707</v>
      </c>
      <c r="Q129" s="222">
        <f t="shared" si="108"/>
        <v>0.52516856820796587</v>
      </c>
      <c r="R129" s="222">
        <f t="shared" si="108"/>
        <v>0.32204717551982265</v>
      </c>
      <c r="S129" s="222">
        <f t="shared" si="108"/>
        <v>-3.1166299061879781E-2</v>
      </c>
      <c r="T129" s="222">
        <f t="shared" si="108"/>
        <v>1.5941513479725141E-3</v>
      </c>
      <c r="U129" s="222">
        <f t="shared" si="108"/>
        <v>0.29865377647168223</v>
      </c>
      <c r="V129" s="222">
        <f t="shared" si="108"/>
        <v>2.5105637385551771E-2</v>
      </c>
      <c r="W129" s="222">
        <f t="shared" si="108"/>
        <v>9.7687135742631243E-2</v>
      </c>
      <c r="X129" s="222">
        <f t="shared" si="108"/>
        <v>0.91077932911014869</v>
      </c>
      <c r="Y129" s="222">
        <f t="shared" si="108"/>
        <v>0.75624447456032873</v>
      </c>
      <c r="Z129" s="222">
        <f t="shared" si="108"/>
        <v>0.59755237835881869</v>
      </c>
      <c r="AA129" s="222">
        <f t="shared" si="108"/>
        <v>0.64785057280039571</v>
      </c>
      <c r="AB129" s="222">
        <f t="shared" si="108"/>
        <v>0.1980184716739693</v>
      </c>
      <c r="AC129" s="222">
        <f t="shared" si="108"/>
        <v>0.94822814572082292</v>
      </c>
      <c r="AD129" s="222">
        <f t="shared" si="108"/>
        <v>0.91782434435105442</v>
      </c>
      <c r="AE129" s="222">
        <f t="shared" si="108"/>
        <v>7.5931728911024343E-2</v>
      </c>
      <c r="AF129" s="222">
        <f t="shared" si="108"/>
        <v>0.3975728687359677</v>
      </c>
      <c r="AG129" s="222">
        <f t="shared" si="108"/>
        <v>0.48017927535332289</v>
      </c>
      <c r="AH129" s="222">
        <f t="shared" si="108"/>
        <v>0.8039011379685117</v>
      </c>
      <c r="AI129" s="222">
        <f t="shared" si="108"/>
        <v>3.0747449522305136E-2</v>
      </c>
      <c r="AJ129" s="222">
        <f t="shared" si="108"/>
        <v>0.63970281460402101</v>
      </c>
      <c r="AK129" s="222">
        <f t="shared" si="108"/>
        <v>0.99999999999999978</v>
      </c>
      <c r="AL129" s="32"/>
      <c r="AM129" s="32"/>
      <c r="AN129" s="32"/>
      <c r="AO129" s="32"/>
      <c r="AP129" s="32"/>
      <c r="AQ129" s="32"/>
      <c r="AR129" s="32"/>
      <c r="AS129" s="32"/>
      <c r="AT129" s="32"/>
      <c r="AU129" s="32"/>
      <c r="AV129" s="32"/>
      <c r="AW129" s="32"/>
      <c r="AX129" s="32"/>
      <c r="AY129" s="207"/>
    </row>
    <row r="130" spans="1:55">
      <c r="A130" s="38" t="s">
        <v>168</v>
      </c>
      <c r="B130" s="222">
        <f>PEARSON($AL$8:$AL$39,B$8:B$39)</f>
        <v>0.95366829052923818</v>
      </c>
      <c r="C130" s="222">
        <f t="shared" ref="C130:AL130" si="109">PEARSON($AL$8:$AL$39,C$8:C$39)</f>
        <v>0.89634892498609864</v>
      </c>
      <c r="D130" s="222">
        <f t="shared" si="109"/>
        <v>0.91236882632871086</v>
      </c>
      <c r="E130" s="222">
        <f t="shared" si="109"/>
        <v>0.87435662968524841</v>
      </c>
      <c r="F130" s="222">
        <f t="shared" si="109"/>
        <v>0.9177313398956094</v>
      </c>
      <c r="G130" s="222">
        <f t="shared" si="109"/>
        <v>0.80324899315063625</v>
      </c>
      <c r="H130" s="222">
        <f t="shared" si="109"/>
        <v>0.95980038139150237</v>
      </c>
      <c r="I130" s="222">
        <f t="shared" si="109"/>
        <v>0.94552701415764218</v>
      </c>
      <c r="J130" s="222">
        <f t="shared" si="109"/>
        <v>0.82225606075607005</v>
      </c>
      <c r="K130" s="222">
        <f t="shared" si="109"/>
        <v>0.56534449722581415</v>
      </c>
      <c r="L130" s="222">
        <f t="shared" si="109"/>
        <v>0.66125593756220724</v>
      </c>
      <c r="M130" s="222">
        <f t="shared" si="109"/>
        <v>0.6498621454161011</v>
      </c>
      <c r="N130" s="222">
        <f t="shared" si="109"/>
        <v>0.68313541658006272</v>
      </c>
      <c r="O130" s="222">
        <f t="shared" si="109"/>
        <v>0.50718756747540383</v>
      </c>
      <c r="P130" s="222">
        <f t="shared" si="109"/>
        <v>0.73844806065972635</v>
      </c>
      <c r="Q130" s="222">
        <f t="shared" si="109"/>
        <v>0.62528924609579339</v>
      </c>
      <c r="R130" s="222">
        <f t="shared" si="109"/>
        <v>0.2976046295567451</v>
      </c>
      <c r="S130" s="222">
        <f t="shared" si="109"/>
        <v>-0.19217121162712739</v>
      </c>
      <c r="T130" s="222">
        <f t="shared" si="109"/>
        <v>-0.15812454674734366</v>
      </c>
      <c r="U130" s="222">
        <f t="shared" si="109"/>
        <v>0.12946332041929212</v>
      </c>
      <c r="V130" s="222">
        <f t="shared" si="109"/>
        <v>2.5632034370470431E-3</v>
      </c>
      <c r="W130" s="222">
        <f t="shared" si="109"/>
        <v>8.3157215384135938E-2</v>
      </c>
      <c r="X130" s="222">
        <f t="shared" si="109"/>
        <v>0.84135355502981257</v>
      </c>
      <c r="Y130" s="222">
        <f t="shared" si="109"/>
        <v>0.56350486456123672</v>
      </c>
      <c r="Z130" s="222">
        <f t="shared" si="109"/>
        <v>0.53074464701717283</v>
      </c>
      <c r="AA130" s="222">
        <f t="shared" si="109"/>
        <v>0.50312923266580833</v>
      </c>
      <c r="AB130" s="222">
        <f t="shared" si="109"/>
        <v>0.28910362269988404</v>
      </c>
      <c r="AC130" s="222">
        <f t="shared" si="109"/>
        <v>0.87047651099455337</v>
      </c>
      <c r="AD130" s="222">
        <f t="shared" si="109"/>
        <v>0.79046250224469572</v>
      </c>
      <c r="AE130" s="222">
        <f t="shared" si="109"/>
        <v>-4.0548894503571612E-3</v>
      </c>
      <c r="AF130" s="222">
        <f t="shared" si="109"/>
        <v>0.21486521280061341</v>
      </c>
      <c r="AG130" s="222">
        <f t="shared" si="109"/>
        <v>0.25797782951090181</v>
      </c>
      <c r="AH130" s="222">
        <f t="shared" si="109"/>
        <v>0.77750493538237597</v>
      </c>
      <c r="AI130" s="222">
        <f t="shared" si="109"/>
        <v>-8.783682435922581E-2</v>
      </c>
      <c r="AJ130" s="222">
        <f t="shared" si="109"/>
        <v>0.9351116866277247</v>
      </c>
      <c r="AK130" s="222">
        <f t="shared" si="109"/>
        <v>0.84154430680395564</v>
      </c>
      <c r="AL130" s="222">
        <f t="shared" si="109"/>
        <v>1</v>
      </c>
      <c r="AM130" s="32"/>
      <c r="AN130" s="32"/>
      <c r="AO130" s="32"/>
      <c r="AP130" s="32"/>
      <c r="AQ130" s="32"/>
      <c r="AR130" s="32"/>
      <c r="AS130" s="32"/>
      <c r="AT130" s="32"/>
      <c r="AU130" s="32"/>
      <c r="AV130" s="32"/>
      <c r="AW130" s="32"/>
      <c r="AX130" s="32"/>
      <c r="AY130" s="207"/>
    </row>
    <row r="131" spans="1:55">
      <c r="A131" s="369" t="s">
        <v>278</v>
      </c>
      <c r="B131" s="222">
        <f>IF(ISERROR(PEARSON($AM$8:$AM$39,B$8:B$39)),"",(PEARSON($AM$8:$AM$39,B$8:B$39)))</f>
        <v>0.21486278020381169</v>
      </c>
      <c r="C131" s="222">
        <f t="shared" ref="C131:AM131" si="110">IF(ISERROR(PEARSON($AM$8:$AM$39,C$8:C$39)),"",(PEARSON($AM$8:$AM$39,C$8:C$39)))</f>
        <v>0.16905042932345077</v>
      </c>
      <c r="D131" s="222">
        <f t="shared" si="110"/>
        <v>0.20231538206169541</v>
      </c>
      <c r="E131" s="222">
        <f t="shared" si="110"/>
        <v>0.22329329743949874</v>
      </c>
      <c r="F131" s="222">
        <f t="shared" si="110"/>
        <v>0.24002887732693337</v>
      </c>
      <c r="G131" s="222">
        <f t="shared" si="110"/>
        <v>0.16784412959098102</v>
      </c>
      <c r="H131" s="222">
        <f t="shared" si="110"/>
        <v>0.22228139241643355</v>
      </c>
      <c r="I131" s="222">
        <f t="shared" si="110"/>
        <v>0.31712951796073752</v>
      </c>
      <c r="J131" s="222">
        <f t="shared" si="110"/>
        <v>0.25216481353150361</v>
      </c>
      <c r="K131" s="222">
        <f t="shared" si="110"/>
        <v>0.25965270748595948</v>
      </c>
      <c r="L131" s="222">
        <f t="shared" si="110"/>
        <v>6.8692517340653375E-2</v>
      </c>
      <c r="M131" s="222">
        <f t="shared" si="110"/>
        <v>0.2719628144100128</v>
      </c>
      <c r="N131" s="222">
        <f t="shared" si="110"/>
        <v>0.13225222243943704</v>
      </c>
      <c r="O131" s="222">
        <f t="shared" si="110"/>
        <v>-2.9194188783289405E-2</v>
      </c>
      <c r="P131" s="222">
        <f t="shared" si="110"/>
        <v>0.14926115472140952</v>
      </c>
      <c r="Q131" s="222">
        <f t="shared" si="110"/>
        <v>0.10728695274198975</v>
      </c>
      <c r="R131" s="222">
        <f t="shared" si="110"/>
        <v>0.46574625092511901</v>
      </c>
      <c r="S131" s="222">
        <f t="shared" si="110"/>
        <v>0.23421458705653511</v>
      </c>
      <c r="T131" s="222">
        <f t="shared" si="110"/>
        <v>0.33569493601233036</v>
      </c>
      <c r="U131" s="222">
        <f t="shared" si="110"/>
        <v>0.46065952257195081</v>
      </c>
      <c r="V131" s="222">
        <f t="shared" si="110"/>
        <v>-1.630116994910602E-2</v>
      </c>
      <c r="W131" s="222">
        <f t="shared" si="110"/>
        <v>0.4155833538920794</v>
      </c>
      <c r="X131" s="222">
        <f t="shared" si="110"/>
        <v>0.29458351573505687</v>
      </c>
      <c r="Y131" s="222">
        <f t="shared" si="110"/>
        <v>0.41673408029100451</v>
      </c>
      <c r="Z131" s="222">
        <f t="shared" si="110"/>
        <v>0.19399061085178099</v>
      </c>
      <c r="AA131" s="222">
        <f t="shared" si="110"/>
        <v>7.5525476505949901E-2</v>
      </c>
      <c r="AB131" s="222">
        <f t="shared" si="110"/>
        <v>0.40687107967752961</v>
      </c>
      <c r="AC131" s="222">
        <f t="shared" si="110"/>
        <v>0.14481644629949703</v>
      </c>
      <c r="AD131" s="222">
        <f t="shared" si="110"/>
        <v>0.28697341449029812</v>
      </c>
      <c r="AE131" s="222">
        <f t="shared" si="110"/>
        <v>0.21900673654260286</v>
      </c>
      <c r="AF131" s="222">
        <f t="shared" si="110"/>
        <v>0.42003441756404319</v>
      </c>
      <c r="AG131" s="222">
        <f t="shared" si="110"/>
        <v>0.4307437955332144</v>
      </c>
      <c r="AH131" s="222">
        <f t="shared" si="110"/>
        <v>0.44072694185020128</v>
      </c>
      <c r="AI131" s="222">
        <f t="shared" si="110"/>
        <v>0.26091609647831038</v>
      </c>
      <c r="AJ131" s="222">
        <f t="shared" si="110"/>
        <v>0.17521263012951219</v>
      </c>
      <c r="AK131" s="222">
        <f t="shared" si="110"/>
        <v>0.21715884897906143</v>
      </c>
      <c r="AL131" s="222">
        <f t="shared" si="110"/>
        <v>0.23273568645363149</v>
      </c>
      <c r="AM131" s="222">
        <f t="shared" si="110"/>
        <v>1</v>
      </c>
      <c r="AN131" s="32"/>
      <c r="AO131" s="32"/>
      <c r="AP131" s="32"/>
      <c r="AQ131" s="32"/>
      <c r="AR131" s="32"/>
      <c r="AS131" s="32"/>
      <c r="AT131" s="32"/>
      <c r="AU131" s="32"/>
      <c r="AV131" s="32"/>
      <c r="AW131" s="32"/>
      <c r="AX131" s="32"/>
      <c r="AY131" s="207"/>
    </row>
    <row r="132" spans="1:55">
      <c r="A132" s="51" t="str">
        <f>AN93</f>
        <v>VFSTX</v>
      </c>
      <c r="B132" s="222">
        <f>IF(ISERROR(PEARSON($AN$8:$AN$39,B$8:B$39)),"",(PEARSON($AN$8:$AN$39,B$8:B$39)))</f>
        <v>0.50042138517943602</v>
      </c>
      <c r="C132" s="222">
        <f>IF(ISERROR(PEARSON($AN$8:$AN39,C$8:C39)),"",(PEARSON($AN$8:$AN39,C$8:C39)))</f>
        <v>0.48755873902870428</v>
      </c>
      <c r="D132" s="222">
        <f>IF(ISERROR(PEARSON($AN$8:$AN39,D$8:D39)),"",(PEARSON($AN$8:$AN39,D$8:D39)))</f>
        <v>0.50401629994362762</v>
      </c>
      <c r="E132" s="222">
        <f>IF(ISERROR(PEARSON($AN$8:$AN39,E$8:E39)),"",(PEARSON($AN$8:$AN39,E$8:E39)))</f>
        <v>0.48991246777123604</v>
      </c>
      <c r="F132" s="222">
        <f>IF(ISERROR(PEARSON($AN$8:$AN39,F$8:F39)),"",(PEARSON($AN$8:$AN39,F$8:F39)))</f>
        <v>0.58312149539673219</v>
      </c>
      <c r="G132" s="222">
        <f>IF(ISERROR(PEARSON($AN$8:$AN39,G$8:G39)),"",(PEARSON($AN$8:$AN39,G$8:G39)))</f>
        <v>0.44667133746269788</v>
      </c>
      <c r="H132" s="222">
        <f>IF(ISERROR(PEARSON($AN$8:$AN39,H$8:H39)),"",(PEARSON($AN$8:$AN39,H$8:H39)))</f>
        <v>0.42948002396374818</v>
      </c>
      <c r="I132" s="222">
        <f>IF(ISERROR(PEARSON($AN$8:$AN39,I$8:I39)),"",(PEARSON($AN$8:$AN39,I$8:I39)))</f>
        <v>0.49202994790004906</v>
      </c>
      <c r="J132" s="222">
        <f>IF(ISERROR(PEARSON($AN$8:$AN39,J$8:J39)),"",(PEARSON($AN$8:$AN39,J$8:J39)))</f>
        <v>0.27637814493309665</v>
      </c>
      <c r="K132" s="222">
        <f>IF(ISERROR(PEARSON($AN$8:$AN39,K$8:K39)),"",(PEARSON($AN$8:$AN39,K$8:K39)))</f>
        <v>0.35667731656615148</v>
      </c>
      <c r="L132" s="222">
        <f>IF(ISERROR(PEARSON($AN$8:$AN39,L$8:L39)),"",(PEARSON($AN$8:$AN39,L$8:L39)))</f>
        <v>0.39107431490996097</v>
      </c>
      <c r="M132" s="222">
        <f>IF(ISERROR(PEARSON($AN$8:$AN39,M$8:M39)),"",(PEARSON($AN$8:$AN39,M$8:M39)))</f>
        <v>0.52328028882510425</v>
      </c>
      <c r="N132" s="222">
        <f>IF(ISERROR(PEARSON($AN$8:$AN39,N$8:N39)),"",(PEARSON($AN$8:$AN39,N$8:N39)))</f>
        <v>0.45196007914301861</v>
      </c>
      <c r="O132" s="222">
        <f>IF(ISERROR(PEARSON($AN$8:$AN39,O$8:O39)),"",(PEARSON($AN$8:$AN39,O$8:O39)))</f>
        <v>0.19109910710790415</v>
      </c>
      <c r="P132" s="222">
        <f>IF(ISERROR(PEARSON($AN$8:$AN39,P$8:P39)),"",(PEARSON($AN$8:$AN39,P$8:P39)))</f>
        <v>0.55072730254468805</v>
      </c>
      <c r="Q132" s="222">
        <f>IF(ISERROR(PEARSON($AN$8:$AN39,Q$8:Q39)),"",(PEARSON($AN$8:$AN39,Q$8:Q39)))</f>
        <v>0.41059180437676351</v>
      </c>
      <c r="R132" s="222">
        <f>IF(ISERROR(PEARSON($AN$8:$AN39,R$8:R39)),"",(PEARSON($AN$8:$AN39,R$8:R39)))</f>
        <v>0.45773170551845904</v>
      </c>
      <c r="S132" s="222">
        <f>IF(ISERROR(PEARSON($AN$8:$AN39,S$8:S39)),"",(PEARSON($AN$8:$AN39,S$8:S39)))</f>
        <v>0.27600083182218194</v>
      </c>
      <c r="T132" s="222">
        <f>IF(ISERROR(PEARSON($AN$8:$AN39,T$8:T39)),"",(PEARSON($AN$8:$AN39,T$8:T39)))</f>
        <v>0.52565845188545146</v>
      </c>
      <c r="U132" s="222">
        <f>IF(ISERROR(PEARSON($AN$8:$AN39,U$8:U39)),"",(PEARSON($AN$8:$AN39,U$8:U39)))</f>
        <v>0.77887568179433875</v>
      </c>
      <c r="V132" s="222">
        <f>IF(ISERROR(PEARSON($AN$8:$AN39,V$8:V39)),"",(PEARSON($AN$8:$AN39,V$8:V39)))</f>
        <v>0.55922378198200839</v>
      </c>
      <c r="W132" s="222">
        <f>IF(ISERROR(PEARSON($AN$8:$AN39,W$8:W39)),"",(PEARSON($AN$8:$AN39,W$8:W39)))</f>
        <v>0.45542672491039166</v>
      </c>
      <c r="X132" s="222">
        <f>IF(ISERROR(PEARSON($AN$8:$AN39,X$8:X39)),"",(PEARSON($AN$8:$AN39,X$8:X39)))</f>
        <v>0.68750072277280994</v>
      </c>
      <c r="Y132" s="222">
        <f>IF(ISERROR(PEARSON($AN$8:$AN39,Y$8:Y39)),"",(PEARSON($AN$8:$AN39,Y$8:Y39)))</f>
        <v>0.81253867851966921</v>
      </c>
      <c r="Z132" s="222">
        <f>IF(ISERROR(PEARSON($AN$8:$AN39,Z$8:Z39)),"",(PEARSON($AN$8:$AN39,Z$8:Z39)))</f>
        <v>0.37932014358475674</v>
      </c>
      <c r="AA132" s="222">
        <f>IF(ISERROR(PEARSON($AN$8:$AN39,AA$8:AA39)),"",(PEARSON($AN$8:$AN39,AA$8:AA39)))</f>
        <v>0.49839746043351002</v>
      </c>
      <c r="AB132" s="222">
        <f>IF(ISERROR(PEARSON($AN$8:$AN39,AB$8:AB39)),"",(PEARSON($AN$8:$AN39,AB$8:AB39)))</f>
        <v>0.33123813337447755</v>
      </c>
      <c r="AC132" s="222">
        <f>IF(ISERROR(PEARSON($AN$8:$AN39,AC$8:AC39)),"",(PEARSON($AN$8:$AN39,AC$8:AC39)))</f>
        <v>0.50633162346652527</v>
      </c>
      <c r="AD132" s="222">
        <f>IF(ISERROR(PEARSON($AN$8:$AN39,AD$8:AD39)),"",(PEARSON($AN$8:$AN39,AD$8:AD39)))</f>
        <v>0.51278324088300575</v>
      </c>
      <c r="AE132" s="222">
        <f>IF(ISERROR(PEARSON($AN$8:$AN39,AE$8:AE39)),"",(PEARSON($AN$8:$AN39,AE$8:AE39)))</f>
        <v>0.73915320723347833</v>
      </c>
      <c r="AF132" s="222">
        <f>IF(ISERROR(PEARSON($AN$8:$AN39,AF$8:AF39)),"",(PEARSON($AN$8:$AN39,AF$8:AF39)))</f>
        <v>0.80697764264118754</v>
      </c>
      <c r="AG132" s="222">
        <f>IF(ISERROR(PEARSON($AN$8:$AN39,AG$8:AG39)),"",(PEARSON($AN$8:$AN39,AG$8:AG39)))</f>
        <v>0.78580058180048518</v>
      </c>
      <c r="AH132" s="222">
        <f>IF(ISERROR(PEARSON($AN$8:$AN39,AH$8:AH39)),"",(PEARSON($AN$8:$AN39,AH$8:AH39)))</f>
        <v>0.6648325185707582</v>
      </c>
      <c r="AI132" s="222">
        <f>IF(ISERROR(PEARSON($AN$8:$AN39,AI$8:AI39)),"",(PEARSON($AN$8:$AN39,AI$8:AI39)))</f>
        <v>0.68210235176757372</v>
      </c>
      <c r="AJ132" s="222">
        <f>IF(ISERROR(PEARSON($AN$8:$AN39,AJ$8:AJ39)),"",(PEARSON($AN$8:$AN39,AJ$8:AJ39)))</f>
        <v>0.4023621301471707</v>
      </c>
      <c r="AK132" s="222">
        <f>IF(ISERROR(PEARSON($AN$8:$AN39,AK$8:AK39)),"",(PEARSON($AN$8:$AN39,AK$8:AK39)))</f>
        <v>0.53057679643190891</v>
      </c>
      <c r="AL132" s="222">
        <f>IF(ISERROR(PEARSON($AN$8:$AN39,AL$8:AL39)),"",(PEARSON($AN$8:$AN39,AL$8:AL39)))</f>
        <v>0.43635005533428678</v>
      </c>
      <c r="AM132" s="222">
        <f>IF(ISERROR(PEARSON($AN$8:$AN39,AM$8:AM39)),"",(PEARSON($AN$8:$AN39,AM$8:AM39)))</f>
        <v>0.45705544402807458</v>
      </c>
      <c r="AN132" s="222">
        <f>IF(ISERROR(PEARSON($AN$8:$AN39,AN$8:AN39)),"",(PEARSON($AN$8:$AN39,AN$8:AN39)))</f>
        <v>1</v>
      </c>
      <c r="AO132" s="32"/>
      <c r="AP132" s="32"/>
      <c r="AQ132" s="32"/>
      <c r="AR132" s="32"/>
      <c r="AS132" s="32"/>
      <c r="AT132" s="32"/>
      <c r="AU132" s="32"/>
      <c r="AV132" s="32"/>
      <c r="AW132" s="32"/>
      <c r="AX132" s="32"/>
      <c r="AY132" s="207"/>
    </row>
    <row r="133" spans="1:55">
      <c r="A133" s="51" t="str">
        <f>AO93</f>
        <v>GLD</v>
      </c>
      <c r="B133" s="222">
        <f>IF(ISERROR(PEARSON($AO$8:$AO$39,B$8:B$39)),"",(PEARSON($AO$8:$AO$39,B$8:B$39)))</f>
        <v>-0.21174182369805744</v>
      </c>
      <c r="C133" s="222">
        <f t="shared" ref="C133:AO133" si="111">IF(ISERROR(PEARSON($AO$8:$AO$39,C$8:C$39)),"",(PEARSON($AO$8:$AO$39,C$8:C$39)))</f>
        <v>-0.23409016680936992</v>
      </c>
      <c r="D133" s="222">
        <f t="shared" si="111"/>
        <v>-0.22907740235324589</v>
      </c>
      <c r="E133" s="222">
        <f t="shared" si="111"/>
        <v>-0.20770907997599219</v>
      </c>
      <c r="F133" s="222">
        <f t="shared" si="111"/>
        <v>-0.15724761349106281</v>
      </c>
      <c r="G133" s="222">
        <f t="shared" si="111"/>
        <v>-0.24978225732175105</v>
      </c>
      <c r="H133" s="222">
        <f t="shared" si="111"/>
        <v>-0.16078986070381801</v>
      </c>
      <c r="I133" s="222">
        <f t="shared" si="111"/>
        <v>-7.8247178417567051E-2</v>
      </c>
      <c r="J133" s="222">
        <f t="shared" si="111"/>
        <v>-0.13764757567239247</v>
      </c>
      <c r="K133" s="222">
        <f t="shared" si="111"/>
        <v>4.8537643858599863E-2</v>
      </c>
      <c r="L133" s="222">
        <f t="shared" si="111"/>
        <v>0.22866938232033771</v>
      </c>
      <c r="M133" s="222">
        <f t="shared" si="111"/>
        <v>0.37079144481822734</v>
      </c>
      <c r="N133" s="222">
        <f t="shared" si="111"/>
        <v>0.28057943214922615</v>
      </c>
      <c r="O133" s="222">
        <f t="shared" si="111"/>
        <v>0.32546839661851767</v>
      </c>
      <c r="P133" s="222">
        <f t="shared" si="111"/>
        <v>6.8526429093907604E-2</v>
      </c>
      <c r="Q133" s="222">
        <f t="shared" si="111"/>
        <v>0.26162060737517989</v>
      </c>
      <c r="R133" s="222">
        <f t="shared" si="111"/>
        <v>0.35244257294379389</v>
      </c>
      <c r="S133" s="222">
        <f t="shared" si="111"/>
        <v>5.78228163540273E-2</v>
      </c>
      <c r="T133" s="222">
        <f t="shared" si="111"/>
        <v>9.0397365029506044E-2</v>
      </c>
      <c r="U133" s="222">
        <f t="shared" si="111"/>
        <v>2.0580527915569597E-2</v>
      </c>
      <c r="V133" s="222">
        <f t="shared" si="111"/>
        <v>-0.18457951730479469</v>
      </c>
      <c r="W133" s="222">
        <f t="shared" si="111"/>
        <v>0.35457863026490449</v>
      </c>
      <c r="X133" s="222">
        <f t="shared" si="111"/>
        <v>-0.15446049599357287</v>
      </c>
      <c r="Y133" s="222">
        <f t="shared" si="111"/>
        <v>-0.12818474381065709</v>
      </c>
      <c r="Z133" s="222">
        <f t="shared" si="111"/>
        <v>0.20098938208555397</v>
      </c>
      <c r="AA133" s="222">
        <f t="shared" si="111"/>
        <v>-0.44998276056951825</v>
      </c>
      <c r="AB133" s="222">
        <f t="shared" si="111"/>
        <v>0.73143836856088185</v>
      </c>
      <c r="AC133" s="222">
        <f t="shared" si="111"/>
        <v>-0.1986894177425676</v>
      </c>
      <c r="AD133" s="222">
        <f t="shared" si="111"/>
        <v>-0.25213665015398673</v>
      </c>
      <c r="AE133" s="222">
        <f t="shared" si="111"/>
        <v>-7.5056178673715251E-2</v>
      </c>
      <c r="AF133" s="222">
        <f t="shared" si="111"/>
        <v>4.5585272578191373E-2</v>
      </c>
      <c r="AG133" s="222">
        <f t="shared" si="111"/>
        <v>2.9528542997848999E-2</v>
      </c>
      <c r="AH133" s="222">
        <f t="shared" si="111"/>
        <v>6.7506131636586225E-2</v>
      </c>
      <c r="AI133" s="222">
        <f t="shared" si="111"/>
        <v>3.4354969187948649E-2</v>
      </c>
      <c r="AJ133" s="222">
        <f t="shared" si="111"/>
        <v>-3.3875063369238512E-2</v>
      </c>
      <c r="AK133" s="222">
        <f t="shared" si="111"/>
        <v>-0.22485066149643879</v>
      </c>
      <c r="AL133" s="222">
        <f t="shared" si="111"/>
        <v>-0.1163700784120434</v>
      </c>
      <c r="AM133" s="222">
        <f t="shared" si="111"/>
        <v>0.37953224219190912</v>
      </c>
      <c r="AN133" s="222">
        <f t="shared" si="111"/>
        <v>6.0905068245010588E-2</v>
      </c>
      <c r="AO133" s="222">
        <f t="shared" si="111"/>
        <v>1.0000000000000002</v>
      </c>
      <c r="AP133" s="32"/>
      <c r="AQ133" s="32"/>
      <c r="AR133" s="32"/>
      <c r="AS133" s="32"/>
      <c r="AT133" s="32"/>
      <c r="AU133" s="32"/>
      <c r="AV133" s="32"/>
      <c r="AW133" s="32"/>
      <c r="AX133" s="32"/>
      <c r="AY133" s="207"/>
    </row>
    <row r="134" spans="1:55">
      <c r="A134" s="369" t="str">
        <f>AP93</f>
        <v>VFSVX</v>
      </c>
      <c r="B134" s="222">
        <f>IF(ISERROR(PEARSON($AP$8:$AP$39,B$8:B$39)),"",(PEARSON($AP$8:$AP$39,B$8:B$39)))</f>
        <v>0.5784391499795446</v>
      </c>
      <c r="C134" s="222">
        <f t="shared" ref="C134:AP134" si="112">IF(ISERROR(PEARSON($AP$8:$AP$39,C$8:C$39)),"",(PEARSON($AP$8:$AP$39,C$8:C$39)))</f>
        <v>0.54125052736046486</v>
      </c>
      <c r="D134" s="222">
        <f t="shared" si="112"/>
        <v>0.56092539686207732</v>
      </c>
      <c r="E134" s="222">
        <f t="shared" si="112"/>
        <v>0.52348729226190571</v>
      </c>
      <c r="F134" s="222">
        <f t="shared" si="112"/>
        <v>0.52218101418771934</v>
      </c>
      <c r="G134" s="222">
        <f t="shared" si="112"/>
        <v>0.33278614166337017</v>
      </c>
      <c r="H134" s="222">
        <f t="shared" si="112"/>
        <v>0.51932999232414478</v>
      </c>
      <c r="I134" s="222">
        <f t="shared" si="112"/>
        <v>0.53339370923413465</v>
      </c>
      <c r="J134" s="222">
        <f t="shared" si="112"/>
        <v>0.41275671608013287</v>
      </c>
      <c r="K134" s="222">
        <f t="shared" si="112"/>
        <v>0.28266827693960433</v>
      </c>
      <c r="L134" s="222">
        <f t="shared" si="112"/>
        <v>0.88300641710442407</v>
      </c>
      <c r="M134" s="222">
        <f t="shared" si="112"/>
        <v>0.77948421687131153</v>
      </c>
      <c r="N134" s="222">
        <f t="shared" si="112"/>
        <v>0.89359917688622437</v>
      </c>
      <c r="O134" s="222">
        <f t="shared" si="112"/>
        <v>0.87875579242115509</v>
      </c>
      <c r="P134" s="222">
        <f t="shared" si="112"/>
        <v>0.75959903998204592</v>
      </c>
      <c r="Q134" s="222">
        <f t="shared" si="112"/>
        <v>0.87600394926212666</v>
      </c>
      <c r="R134" s="222">
        <f t="shared" si="112"/>
        <v>0.34155820792681502</v>
      </c>
      <c r="S134" s="222">
        <f t="shared" si="112"/>
        <v>-0.25892352631275178</v>
      </c>
      <c r="T134" s="222">
        <f t="shared" si="112"/>
        <v>-0.21524654596597381</v>
      </c>
      <c r="U134" s="222">
        <f t="shared" si="112"/>
        <v>-6.7325712342644964E-2</v>
      </c>
      <c r="V134" s="222">
        <f t="shared" si="112"/>
        <v>0.14175652871400177</v>
      </c>
      <c r="W134" s="222">
        <f t="shared" si="112"/>
        <v>0.23486327838229082</v>
      </c>
      <c r="X134" s="222">
        <f t="shared" si="112"/>
        <v>0.46299620700039001</v>
      </c>
      <c r="Y134" s="222">
        <f t="shared" si="112"/>
        <v>0.19248516102719593</v>
      </c>
      <c r="Z134" s="222">
        <f t="shared" si="112"/>
        <v>0.47410262109916035</v>
      </c>
      <c r="AA134" s="222">
        <f t="shared" si="112"/>
        <v>0.24869847571968637</v>
      </c>
      <c r="AB134" s="222">
        <f t="shared" si="112"/>
        <v>0.5856663937314921</v>
      </c>
      <c r="AC134" s="222">
        <f t="shared" si="112"/>
        <v>0.52595134099789353</v>
      </c>
      <c r="AD134" s="222">
        <f t="shared" si="112"/>
        <v>0.34046430970466096</v>
      </c>
      <c r="AE134" s="222">
        <f t="shared" si="112"/>
        <v>1.4636006158164168E-2</v>
      </c>
      <c r="AF134" s="222">
        <f t="shared" si="112"/>
        <v>0.10259699566297492</v>
      </c>
      <c r="AG134" s="222">
        <f t="shared" si="112"/>
        <v>0.10126073031332451</v>
      </c>
      <c r="AH134" s="222">
        <f t="shared" si="112"/>
        <v>0.44228761734352695</v>
      </c>
      <c r="AI134" s="222">
        <f t="shared" si="112"/>
        <v>-8.1951204831828314E-2</v>
      </c>
      <c r="AJ134" s="222">
        <f t="shared" si="112"/>
        <v>0.70997799806111384</v>
      </c>
      <c r="AK134" s="222">
        <f t="shared" si="112"/>
        <v>0.38787822999561794</v>
      </c>
      <c r="AL134" s="222">
        <f t="shared" si="112"/>
        <v>0.62702223282462222</v>
      </c>
      <c r="AM134" s="222">
        <f t="shared" si="112"/>
        <v>3.4259492379108795E-2</v>
      </c>
      <c r="AN134" s="222">
        <f t="shared" si="112"/>
        <v>0.28975084991519989</v>
      </c>
      <c r="AO134" s="222">
        <f t="shared" si="112"/>
        <v>0.28104477463966154</v>
      </c>
      <c r="AP134" s="222">
        <f t="shared" si="112"/>
        <v>1</v>
      </c>
      <c r="AQ134" s="32"/>
      <c r="AR134" s="32" t="str">
        <f>IF(ISERROR(PEARSON($AP$8:$AP$34,AR$8:AR$34)),"",(PEARSON($AP$8:$AP$34,AR$8:AR$34)))</f>
        <v/>
      </c>
      <c r="AS134" s="32"/>
      <c r="AT134" s="32" t="str">
        <f>IF(ISERROR(PEARSON($AP$8:$AP$34,AT$8:AT$34)),"",(PEARSON($AP$8:$AP$34,AT$8:AT$34)))</f>
        <v/>
      </c>
      <c r="AU134" s="32"/>
      <c r="AV134" s="32"/>
      <c r="AW134" s="32"/>
      <c r="AX134" s="32"/>
      <c r="AY134" s="207"/>
      <c r="BA134" s="47"/>
      <c r="BB134" s="47"/>
      <c r="BC134" s="47"/>
    </row>
    <row r="135" spans="1:55">
      <c r="A135" s="370" t="str">
        <f>AQ93</f>
        <v/>
      </c>
      <c r="B135" s="222" t="str">
        <f>IF(ISERROR(PEARSON($AQ$8:$AQ$39,B$8:B$39)),"",(PEARSON($AQ$8:$AQ$39,B$8:B$39)))</f>
        <v/>
      </c>
      <c r="C135" s="222" t="str">
        <f t="shared" ref="C135:AQ135" si="113">IF(ISERROR(PEARSON($AQ$8:$AQ$39,C$8:C$39)),"",(PEARSON($AQ$8:$AQ$39,C$8:C$39)))</f>
        <v/>
      </c>
      <c r="D135" s="222" t="str">
        <f t="shared" si="113"/>
        <v/>
      </c>
      <c r="E135" s="222" t="str">
        <f t="shared" si="113"/>
        <v/>
      </c>
      <c r="F135" s="222" t="str">
        <f t="shared" si="113"/>
        <v/>
      </c>
      <c r="G135" s="222" t="str">
        <f t="shared" si="113"/>
        <v/>
      </c>
      <c r="H135" s="222" t="str">
        <f t="shared" si="113"/>
        <v/>
      </c>
      <c r="I135" s="222" t="str">
        <f t="shared" si="113"/>
        <v/>
      </c>
      <c r="J135" s="222" t="str">
        <f t="shared" si="113"/>
        <v/>
      </c>
      <c r="K135" s="222" t="str">
        <f t="shared" si="113"/>
        <v/>
      </c>
      <c r="L135" s="222" t="str">
        <f t="shared" si="113"/>
        <v/>
      </c>
      <c r="M135" s="222" t="str">
        <f t="shared" si="113"/>
        <v/>
      </c>
      <c r="N135" s="222" t="str">
        <f t="shared" si="113"/>
        <v/>
      </c>
      <c r="O135" s="222" t="str">
        <f t="shared" si="113"/>
        <v/>
      </c>
      <c r="P135" s="222" t="str">
        <f t="shared" si="113"/>
        <v/>
      </c>
      <c r="Q135" s="222" t="str">
        <f t="shared" si="113"/>
        <v/>
      </c>
      <c r="R135" s="222" t="str">
        <f t="shared" si="113"/>
        <v/>
      </c>
      <c r="S135" s="222" t="str">
        <f t="shared" si="113"/>
        <v/>
      </c>
      <c r="T135" s="222" t="str">
        <f t="shared" si="113"/>
        <v/>
      </c>
      <c r="U135" s="222" t="str">
        <f t="shared" si="113"/>
        <v/>
      </c>
      <c r="V135" s="222" t="str">
        <f t="shared" si="113"/>
        <v/>
      </c>
      <c r="W135" s="222" t="str">
        <f t="shared" si="113"/>
        <v/>
      </c>
      <c r="X135" s="222" t="str">
        <f t="shared" si="113"/>
        <v/>
      </c>
      <c r="Y135" s="222" t="str">
        <f t="shared" si="113"/>
        <v/>
      </c>
      <c r="Z135" s="222" t="str">
        <f t="shared" si="113"/>
        <v/>
      </c>
      <c r="AA135" s="222" t="str">
        <f t="shared" si="113"/>
        <v/>
      </c>
      <c r="AB135" s="222" t="str">
        <f t="shared" si="113"/>
        <v/>
      </c>
      <c r="AC135" s="222" t="str">
        <f t="shared" si="113"/>
        <v/>
      </c>
      <c r="AD135" s="222" t="str">
        <f t="shared" si="113"/>
        <v/>
      </c>
      <c r="AE135" s="222" t="str">
        <f t="shared" si="113"/>
        <v/>
      </c>
      <c r="AF135" s="222" t="str">
        <f t="shared" si="113"/>
        <v/>
      </c>
      <c r="AG135" s="222" t="str">
        <f t="shared" si="113"/>
        <v/>
      </c>
      <c r="AH135" s="222" t="str">
        <f t="shared" si="113"/>
        <v/>
      </c>
      <c r="AI135" s="222" t="str">
        <f t="shared" si="113"/>
        <v/>
      </c>
      <c r="AJ135" s="222" t="str">
        <f t="shared" si="113"/>
        <v/>
      </c>
      <c r="AK135" s="222" t="str">
        <f t="shared" si="113"/>
        <v/>
      </c>
      <c r="AL135" s="222" t="str">
        <f t="shared" si="113"/>
        <v/>
      </c>
      <c r="AM135" s="222" t="str">
        <f t="shared" si="113"/>
        <v/>
      </c>
      <c r="AN135" s="222" t="str">
        <f t="shared" si="113"/>
        <v/>
      </c>
      <c r="AO135" s="222" t="str">
        <f t="shared" si="113"/>
        <v/>
      </c>
      <c r="AP135" s="222" t="str">
        <f t="shared" si="113"/>
        <v/>
      </c>
      <c r="AQ135" s="222" t="str">
        <f t="shared" si="113"/>
        <v/>
      </c>
      <c r="AR135" s="32"/>
      <c r="AS135" s="32"/>
      <c r="AT135" s="32"/>
      <c r="AU135" s="32"/>
      <c r="AV135" s="32"/>
      <c r="AW135" s="32"/>
      <c r="AX135" s="32"/>
      <c r="AY135" s="207"/>
      <c r="BA135" s="47"/>
      <c r="BB135" s="47"/>
      <c r="BC135" s="47"/>
    </row>
    <row r="136" spans="1:55">
      <c r="A136" s="370" t="str">
        <f>AR93</f>
        <v/>
      </c>
      <c r="B136" s="222" t="str">
        <f>IF(ISERROR(PEARSON($AR$8:$AR$39,B$8:B$39)),"",(PEARSON($AR$8:$AR$39,B$8:B$39)))</f>
        <v/>
      </c>
      <c r="C136" s="222" t="str">
        <f t="shared" ref="C136:AR136" si="114">IF(ISERROR(PEARSON($AR$8:$AR$39,C$8:C$39)),"",(PEARSON($AR$8:$AR$39,C$8:C$39)))</f>
        <v/>
      </c>
      <c r="D136" s="222" t="str">
        <f t="shared" si="114"/>
        <v/>
      </c>
      <c r="E136" s="222" t="str">
        <f t="shared" si="114"/>
        <v/>
      </c>
      <c r="F136" s="222" t="str">
        <f t="shared" si="114"/>
        <v/>
      </c>
      <c r="G136" s="222" t="str">
        <f t="shared" si="114"/>
        <v/>
      </c>
      <c r="H136" s="222" t="str">
        <f t="shared" si="114"/>
        <v/>
      </c>
      <c r="I136" s="222" t="str">
        <f t="shared" si="114"/>
        <v/>
      </c>
      <c r="J136" s="222" t="str">
        <f t="shared" si="114"/>
        <v/>
      </c>
      <c r="K136" s="222" t="str">
        <f t="shared" si="114"/>
        <v/>
      </c>
      <c r="L136" s="222" t="str">
        <f t="shared" si="114"/>
        <v/>
      </c>
      <c r="M136" s="222" t="str">
        <f t="shared" si="114"/>
        <v/>
      </c>
      <c r="N136" s="222" t="str">
        <f t="shared" si="114"/>
        <v/>
      </c>
      <c r="O136" s="222" t="str">
        <f t="shared" si="114"/>
        <v/>
      </c>
      <c r="P136" s="222" t="str">
        <f t="shared" si="114"/>
        <v/>
      </c>
      <c r="Q136" s="222" t="str">
        <f t="shared" si="114"/>
        <v/>
      </c>
      <c r="R136" s="222" t="str">
        <f t="shared" si="114"/>
        <v/>
      </c>
      <c r="S136" s="222" t="str">
        <f t="shared" si="114"/>
        <v/>
      </c>
      <c r="T136" s="222" t="str">
        <f t="shared" si="114"/>
        <v/>
      </c>
      <c r="U136" s="222" t="str">
        <f t="shared" si="114"/>
        <v/>
      </c>
      <c r="V136" s="222" t="str">
        <f t="shared" si="114"/>
        <v/>
      </c>
      <c r="W136" s="222" t="str">
        <f t="shared" si="114"/>
        <v/>
      </c>
      <c r="X136" s="222" t="str">
        <f t="shared" si="114"/>
        <v/>
      </c>
      <c r="Y136" s="222" t="str">
        <f t="shared" si="114"/>
        <v/>
      </c>
      <c r="Z136" s="222" t="str">
        <f t="shared" si="114"/>
        <v/>
      </c>
      <c r="AA136" s="222" t="str">
        <f t="shared" si="114"/>
        <v/>
      </c>
      <c r="AB136" s="222" t="str">
        <f t="shared" si="114"/>
        <v/>
      </c>
      <c r="AC136" s="222" t="str">
        <f t="shared" si="114"/>
        <v/>
      </c>
      <c r="AD136" s="222" t="str">
        <f t="shared" si="114"/>
        <v/>
      </c>
      <c r="AE136" s="222" t="str">
        <f t="shared" si="114"/>
        <v/>
      </c>
      <c r="AF136" s="222" t="str">
        <f t="shared" si="114"/>
        <v/>
      </c>
      <c r="AG136" s="222" t="str">
        <f t="shared" si="114"/>
        <v/>
      </c>
      <c r="AH136" s="222" t="str">
        <f t="shared" si="114"/>
        <v/>
      </c>
      <c r="AI136" s="222" t="str">
        <f t="shared" si="114"/>
        <v/>
      </c>
      <c r="AJ136" s="222" t="str">
        <f t="shared" si="114"/>
        <v/>
      </c>
      <c r="AK136" s="222" t="str">
        <f t="shared" si="114"/>
        <v/>
      </c>
      <c r="AL136" s="222" t="str">
        <f t="shared" si="114"/>
        <v/>
      </c>
      <c r="AM136" s="222" t="str">
        <f t="shared" si="114"/>
        <v/>
      </c>
      <c r="AN136" s="222" t="str">
        <f t="shared" si="114"/>
        <v/>
      </c>
      <c r="AO136" s="222" t="str">
        <f t="shared" si="114"/>
        <v/>
      </c>
      <c r="AP136" s="222" t="str">
        <f t="shared" si="114"/>
        <v/>
      </c>
      <c r="AQ136" s="222" t="str">
        <f t="shared" si="114"/>
        <v/>
      </c>
      <c r="AR136" s="222" t="str">
        <f t="shared" si="114"/>
        <v/>
      </c>
      <c r="AS136" s="32"/>
      <c r="AT136" s="32"/>
      <c r="AU136" s="32"/>
      <c r="AV136" s="32"/>
      <c r="AW136" s="32"/>
      <c r="AX136" s="32"/>
      <c r="AY136" s="207"/>
      <c r="BA136" s="47"/>
      <c r="BB136" s="47"/>
      <c r="BC136" s="47"/>
    </row>
    <row r="137" spans="1:55">
      <c r="A137" s="370" t="str">
        <f>AS93</f>
        <v/>
      </c>
      <c r="B137" s="222" t="str">
        <f>IF(ISERROR(PEARSON($AS$8:$AS$39,B$8:B$39)),"",(PEARSON($AS$8:$AS$39,B$8:B$39)))</f>
        <v/>
      </c>
      <c r="C137" s="222" t="str">
        <f t="shared" ref="C137:AS137" si="115">IF(ISERROR(PEARSON($AS$8:$AS$39,C$8:C$39)),"",(PEARSON($AS$8:$AS$39,C$8:C$39)))</f>
        <v/>
      </c>
      <c r="D137" s="222" t="str">
        <f t="shared" si="115"/>
        <v/>
      </c>
      <c r="E137" s="222" t="str">
        <f t="shared" si="115"/>
        <v/>
      </c>
      <c r="F137" s="222" t="str">
        <f t="shared" si="115"/>
        <v/>
      </c>
      <c r="G137" s="222" t="str">
        <f t="shared" si="115"/>
        <v/>
      </c>
      <c r="H137" s="222" t="str">
        <f t="shared" si="115"/>
        <v/>
      </c>
      <c r="I137" s="222" t="str">
        <f t="shared" si="115"/>
        <v/>
      </c>
      <c r="J137" s="222" t="str">
        <f t="shared" si="115"/>
        <v/>
      </c>
      <c r="K137" s="222" t="str">
        <f t="shared" si="115"/>
        <v/>
      </c>
      <c r="L137" s="222" t="str">
        <f t="shared" si="115"/>
        <v/>
      </c>
      <c r="M137" s="222" t="str">
        <f t="shared" si="115"/>
        <v/>
      </c>
      <c r="N137" s="222" t="str">
        <f t="shared" si="115"/>
        <v/>
      </c>
      <c r="O137" s="222" t="str">
        <f t="shared" si="115"/>
        <v/>
      </c>
      <c r="P137" s="222" t="str">
        <f t="shared" si="115"/>
        <v/>
      </c>
      <c r="Q137" s="222" t="str">
        <f t="shared" si="115"/>
        <v/>
      </c>
      <c r="R137" s="222" t="str">
        <f t="shared" si="115"/>
        <v/>
      </c>
      <c r="S137" s="222" t="str">
        <f t="shared" si="115"/>
        <v/>
      </c>
      <c r="T137" s="222" t="str">
        <f t="shared" si="115"/>
        <v/>
      </c>
      <c r="U137" s="222" t="str">
        <f t="shared" si="115"/>
        <v/>
      </c>
      <c r="V137" s="222" t="str">
        <f t="shared" si="115"/>
        <v/>
      </c>
      <c r="W137" s="222" t="str">
        <f t="shared" si="115"/>
        <v/>
      </c>
      <c r="X137" s="222" t="str">
        <f t="shared" si="115"/>
        <v/>
      </c>
      <c r="Y137" s="222" t="str">
        <f t="shared" si="115"/>
        <v/>
      </c>
      <c r="Z137" s="222" t="str">
        <f t="shared" si="115"/>
        <v/>
      </c>
      <c r="AA137" s="222" t="str">
        <f t="shared" si="115"/>
        <v/>
      </c>
      <c r="AB137" s="222" t="str">
        <f t="shared" si="115"/>
        <v/>
      </c>
      <c r="AC137" s="222" t="str">
        <f t="shared" si="115"/>
        <v/>
      </c>
      <c r="AD137" s="222" t="str">
        <f t="shared" si="115"/>
        <v/>
      </c>
      <c r="AE137" s="222" t="str">
        <f t="shared" si="115"/>
        <v/>
      </c>
      <c r="AF137" s="222" t="str">
        <f t="shared" si="115"/>
        <v/>
      </c>
      <c r="AG137" s="222" t="str">
        <f t="shared" si="115"/>
        <v/>
      </c>
      <c r="AH137" s="222" t="str">
        <f t="shared" si="115"/>
        <v/>
      </c>
      <c r="AI137" s="222" t="str">
        <f t="shared" si="115"/>
        <v/>
      </c>
      <c r="AJ137" s="222" t="str">
        <f t="shared" si="115"/>
        <v/>
      </c>
      <c r="AK137" s="222" t="str">
        <f t="shared" si="115"/>
        <v/>
      </c>
      <c r="AL137" s="222" t="str">
        <f t="shared" si="115"/>
        <v/>
      </c>
      <c r="AM137" s="222" t="str">
        <f t="shared" si="115"/>
        <v/>
      </c>
      <c r="AN137" s="222" t="str">
        <f t="shared" si="115"/>
        <v/>
      </c>
      <c r="AO137" s="222" t="str">
        <f t="shared" si="115"/>
        <v/>
      </c>
      <c r="AP137" s="222" t="str">
        <f t="shared" si="115"/>
        <v/>
      </c>
      <c r="AQ137" s="222" t="str">
        <f t="shared" si="115"/>
        <v/>
      </c>
      <c r="AR137" s="222" t="str">
        <f t="shared" si="115"/>
        <v/>
      </c>
      <c r="AS137" s="222" t="str">
        <f t="shared" si="115"/>
        <v/>
      </c>
      <c r="AT137" s="32"/>
      <c r="AU137" s="32"/>
      <c r="AV137" s="32"/>
      <c r="AW137" s="32"/>
      <c r="AX137" s="32"/>
      <c r="AY137" s="207"/>
      <c r="BA137" s="47"/>
      <c r="BB137" s="47"/>
      <c r="BC137" s="47"/>
    </row>
    <row r="138" spans="1:55">
      <c r="A138" s="370" t="str">
        <f>AT93</f>
        <v/>
      </c>
      <c r="B138" s="222" t="str">
        <f>IF(ISERROR(PEARSON($AT$8:$AT$39,B$8:B$39)),"",(PEARSON($AT$8:$AT$39,B$8:B$39)))</f>
        <v/>
      </c>
      <c r="C138" s="222" t="str">
        <f t="shared" ref="C138:AT138" si="116">IF(ISERROR(PEARSON($AT$8:$AT$39,C$8:C$39)),"",(PEARSON($AT$8:$AT$39,C$8:C$39)))</f>
        <v/>
      </c>
      <c r="D138" s="222" t="str">
        <f t="shared" si="116"/>
        <v/>
      </c>
      <c r="E138" s="222" t="str">
        <f t="shared" si="116"/>
        <v/>
      </c>
      <c r="F138" s="222" t="str">
        <f t="shared" si="116"/>
        <v/>
      </c>
      <c r="G138" s="222" t="str">
        <f t="shared" si="116"/>
        <v/>
      </c>
      <c r="H138" s="222" t="str">
        <f t="shared" si="116"/>
        <v/>
      </c>
      <c r="I138" s="222" t="str">
        <f t="shared" si="116"/>
        <v/>
      </c>
      <c r="J138" s="222" t="str">
        <f t="shared" si="116"/>
        <v/>
      </c>
      <c r="K138" s="222" t="str">
        <f t="shared" si="116"/>
        <v/>
      </c>
      <c r="L138" s="222" t="str">
        <f t="shared" si="116"/>
        <v/>
      </c>
      <c r="M138" s="222" t="str">
        <f t="shared" si="116"/>
        <v/>
      </c>
      <c r="N138" s="222" t="str">
        <f t="shared" si="116"/>
        <v/>
      </c>
      <c r="O138" s="222" t="str">
        <f t="shared" si="116"/>
        <v/>
      </c>
      <c r="P138" s="222" t="str">
        <f t="shared" si="116"/>
        <v/>
      </c>
      <c r="Q138" s="222" t="str">
        <f t="shared" si="116"/>
        <v/>
      </c>
      <c r="R138" s="222" t="str">
        <f t="shared" si="116"/>
        <v/>
      </c>
      <c r="S138" s="222" t="str">
        <f t="shared" si="116"/>
        <v/>
      </c>
      <c r="T138" s="222" t="str">
        <f t="shared" si="116"/>
        <v/>
      </c>
      <c r="U138" s="222" t="str">
        <f t="shared" si="116"/>
        <v/>
      </c>
      <c r="V138" s="222" t="str">
        <f t="shared" si="116"/>
        <v/>
      </c>
      <c r="W138" s="222" t="str">
        <f t="shared" si="116"/>
        <v/>
      </c>
      <c r="X138" s="222" t="str">
        <f t="shared" si="116"/>
        <v/>
      </c>
      <c r="Y138" s="222" t="str">
        <f t="shared" si="116"/>
        <v/>
      </c>
      <c r="Z138" s="222" t="str">
        <f t="shared" si="116"/>
        <v/>
      </c>
      <c r="AA138" s="222" t="str">
        <f t="shared" si="116"/>
        <v/>
      </c>
      <c r="AB138" s="222" t="str">
        <f t="shared" si="116"/>
        <v/>
      </c>
      <c r="AC138" s="222" t="str">
        <f t="shared" si="116"/>
        <v/>
      </c>
      <c r="AD138" s="222" t="str">
        <f t="shared" si="116"/>
        <v/>
      </c>
      <c r="AE138" s="222" t="str">
        <f t="shared" si="116"/>
        <v/>
      </c>
      <c r="AF138" s="222" t="str">
        <f t="shared" si="116"/>
        <v/>
      </c>
      <c r="AG138" s="222" t="str">
        <f t="shared" si="116"/>
        <v/>
      </c>
      <c r="AH138" s="222" t="str">
        <f t="shared" si="116"/>
        <v/>
      </c>
      <c r="AI138" s="222" t="str">
        <f t="shared" si="116"/>
        <v/>
      </c>
      <c r="AJ138" s="222" t="str">
        <f t="shared" si="116"/>
        <v/>
      </c>
      <c r="AK138" s="222" t="str">
        <f t="shared" si="116"/>
        <v/>
      </c>
      <c r="AL138" s="222" t="str">
        <f t="shared" si="116"/>
        <v/>
      </c>
      <c r="AM138" s="222" t="str">
        <f t="shared" si="116"/>
        <v/>
      </c>
      <c r="AN138" s="222" t="str">
        <f t="shared" si="116"/>
        <v/>
      </c>
      <c r="AO138" s="222" t="str">
        <f t="shared" si="116"/>
        <v/>
      </c>
      <c r="AP138" s="222" t="str">
        <f t="shared" si="116"/>
        <v/>
      </c>
      <c r="AQ138" s="222" t="str">
        <f t="shared" si="116"/>
        <v/>
      </c>
      <c r="AR138" s="222" t="str">
        <f t="shared" si="116"/>
        <v/>
      </c>
      <c r="AS138" s="222" t="str">
        <f t="shared" si="116"/>
        <v/>
      </c>
      <c r="AT138" s="222" t="str">
        <f t="shared" si="116"/>
        <v/>
      </c>
      <c r="AU138" s="32"/>
      <c r="AV138" s="32"/>
      <c r="AW138" s="32"/>
      <c r="AX138" s="32"/>
      <c r="AY138" s="207"/>
      <c r="BA138" s="47"/>
      <c r="BB138" s="47"/>
      <c r="BC138" s="47"/>
    </row>
    <row r="139" spans="1:55">
      <c r="A139" s="370" t="str">
        <f>AU93</f>
        <v/>
      </c>
      <c r="B139" s="222" t="str">
        <f>IF(ISERROR(PEARSON($AU$8:$AU$39,B$8:$B39)),"",(PEARSON($AU$8:$AU$39,B$8:B$39)))</f>
        <v/>
      </c>
      <c r="C139" s="222" t="str">
        <f>IF(ISERROR(PEARSON($AU$8:$AU$39,$B$8:C39)),"",(PEARSON($AU$8:$AU$39,C$8:C$39)))</f>
        <v/>
      </c>
      <c r="D139" s="222" t="str">
        <f>IF(ISERROR(PEARSON($AU$8:$AU$39,$B$8:D39)),"",(PEARSON($AU$8:$AU$39,D$8:D$39)))</f>
        <v/>
      </c>
      <c r="E139" s="222" t="str">
        <f>IF(ISERROR(PEARSON($AU$8:$AU$39,$B$8:E39)),"",(PEARSON($AU$8:$AU$39,E$8:E$39)))</f>
        <v/>
      </c>
      <c r="F139" s="222" t="str">
        <f>IF(ISERROR(PEARSON($AU$8:$AU$39,$B$8:F39)),"",(PEARSON($AU$8:$AU$39,F$8:F$39)))</f>
        <v/>
      </c>
      <c r="G139" s="222" t="str">
        <f>IF(ISERROR(PEARSON($AU$8:$AU$39,$B$8:G39)),"",(PEARSON($AU$8:$AU$39,G$8:G$39)))</f>
        <v/>
      </c>
      <c r="H139" s="222" t="str">
        <f>IF(ISERROR(PEARSON($AU$8:$AU$39,$B$8:H39)),"",(PEARSON($AU$8:$AU$39,H$8:H$39)))</f>
        <v/>
      </c>
      <c r="I139" s="222" t="str">
        <f>IF(ISERROR(PEARSON($AU$8:$AU$39,$B$8:I39)),"",(PEARSON($AU$8:$AU$39,I$8:I$39)))</f>
        <v/>
      </c>
      <c r="J139" s="222" t="str">
        <f>IF(ISERROR(PEARSON($AU$8:$AU$39,$B$8:J39)),"",(PEARSON($AU$8:$AU$39,J$8:J$39)))</f>
        <v/>
      </c>
      <c r="K139" s="222" t="str">
        <f>IF(ISERROR(PEARSON($AU$8:$AU$39,$B$8:K39)),"",(PEARSON($AU$8:$AU$39,K$8:K$39)))</f>
        <v/>
      </c>
      <c r="L139" s="222" t="str">
        <f>IF(ISERROR(PEARSON($AU$8:$AU$39,$B$8:L39)),"",(PEARSON($AU$8:$AU$39,L$8:L$39)))</f>
        <v/>
      </c>
      <c r="M139" s="222" t="str">
        <f>IF(ISERROR(PEARSON($AU$8:$AU$39,$B$8:M39)),"",(PEARSON($AU$8:$AU$39,M$8:M$39)))</f>
        <v/>
      </c>
      <c r="N139" s="222" t="str">
        <f>IF(ISERROR(PEARSON($AU$8:$AU$39,$B$8:N39)),"",(PEARSON($AU$8:$AU$39,N$8:N$39)))</f>
        <v/>
      </c>
      <c r="O139" s="222" t="str">
        <f>IF(ISERROR(PEARSON($AU$8:$AU$39,$B$8:O39)),"",(PEARSON($AU$8:$AU$39,O$8:O$39)))</f>
        <v/>
      </c>
      <c r="P139" s="222" t="str">
        <f>IF(ISERROR(PEARSON($AU$8:$AU$39,$B$8:P39)),"",(PEARSON($AU$8:$AU$39,P$8:P$39)))</f>
        <v/>
      </c>
      <c r="Q139" s="222" t="str">
        <f>IF(ISERROR(PEARSON($AU$8:$AU$39,$B$8:Q39)),"",(PEARSON($AU$8:$AU$39,Q$8:Q$39)))</f>
        <v/>
      </c>
      <c r="R139" s="222" t="str">
        <f>IF(ISERROR(PEARSON($AU$8:$AU$39,$B$8:R39)),"",(PEARSON($AU$8:$AU$39,R$8:R$39)))</f>
        <v/>
      </c>
      <c r="S139" s="222" t="str">
        <f>IF(ISERROR(PEARSON($AU$8:$AU$39,$B$8:S39)),"",(PEARSON($AU$8:$AU$39,S$8:S$39)))</f>
        <v/>
      </c>
      <c r="T139" s="222" t="str">
        <f>IF(ISERROR(PEARSON($AU$8:$AU$39,$B$8:T39)),"",(PEARSON($AU$8:$AU$39,T$8:T$39)))</f>
        <v/>
      </c>
      <c r="U139" s="222" t="str">
        <f>IF(ISERROR(PEARSON($AU$8:$AU$39,$B$8:U39)),"",(PEARSON($AU$8:$AU$39,U$8:U$39)))</f>
        <v/>
      </c>
      <c r="V139" s="222" t="str">
        <f>IF(ISERROR(PEARSON($AU$8:$AU$39,$B$8:V39)),"",(PEARSON($AU$8:$AU$39,V$8:V$39)))</f>
        <v/>
      </c>
      <c r="W139" s="222" t="str">
        <f>IF(ISERROR(PEARSON($AU$8:$AU$39,$B$8:W39)),"",(PEARSON($AU$8:$AU$39,W$8:W$39)))</f>
        <v/>
      </c>
      <c r="X139" s="222" t="str">
        <f>IF(ISERROR(PEARSON($AU$8:$AU$39,$B$8:X39)),"",(PEARSON($AU$8:$AU$39,X$8:X$39)))</f>
        <v/>
      </c>
      <c r="Y139" s="222" t="str">
        <f>IF(ISERROR(PEARSON($AU$8:$AU$39,$B$8:Y39)),"",(PEARSON($AU$8:$AU$39,Y$8:Y$39)))</f>
        <v/>
      </c>
      <c r="Z139" s="222" t="str">
        <f>IF(ISERROR(PEARSON($AU$8:$AU$39,$B$8:Z39)),"",(PEARSON($AU$8:$AU$39,Z$8:Z$39)))</f>
        <v/>
      </c>
      <c r="AA139" s="222" t="str">
        <f>IF(ISERROR(PEARSON($AU$8:$AU$39,$B$8:AA39)),"",(PEARSON($AU$8:$AU$39,AA$8:AA$39)))</f>
        <v/>
      </c>
      <c r="AB139" s="222" t="str">
        <f>IF(ISERROR(PEARSON($AU$8:$AU$39,$B$8:AB39)),"",(PEARSON($AU$8:$AU$39,AB$8:AB$39)))</f>
        <v/>
      </c>
      <c r="AC139" s="222" t="str">
        <f>IF(ISERROR(PEARSON($AU$8:$AU$39,$B$8:AC39)),"",(PEARSON($AU$8:$AU$39,AC$8:AC$39)))</f>
        <v/>
      </c>
      <c r="AD139" s="222" t="str">
        <f>IF(ISERROR(PEARSON($AU$8:$AU$39,$B$8:AD39)),"",(PEARSON($AU$8:$AU$39,AD$8:AD$39)))</f>
        <v/>
      </c>
      <c r="AE139" s="222" t="str">
        <f>IF(ISERROR(PEARSON($AU$8:$AU$39,$B$8:AE39)),"",(PEARSON($AU$8:$AU$39,AE$8:AE$39)))</f>
        <v/>
      </c>
      <c r="AF139" s="222" t="str">
        <f>IF(ISERROR(PEARSON($AU$8:$AU$39,$B$8:AF39)),"",(PEARSON($AU$8:$AU$39,AF$8:AF$39)))</f>
        <v/>
      </c>
      <c r="AG139" s="222" t="str">
        <f>IF(ISERROR(PEARSON($AU$8:$AU$39,$B$8:AG39)),"",(PEARSON($AU$8:$AU$39,AG$8:AG$39)))</f>
        <v/>
      </c>
      <c r="AH139" s="222" t="str">
        <f>IF(ISERROR(PEARSON($AU$8:$AU$39,$B$8:AH39)),"",(PEARSON($AU$8:$AU$39,AH$8:AH$39)))</f>
        <v/>
      </c>
      <c r="AI139" s="222" t="str">
        <f>IF(ISERROR(PEARSON($AU$8:$AU$39,$B$8:AI39)),"",(PEARSON($AU$8:$AU$39,AI$8:AI$39)))</f>
        <v/>
      </c>
      <c r="AJ139" s="222" t="str">
        <f>IF(ISERROR(PEARSON($AU$8:$AU$39,$B$8:AJ39)),"",(PEARSON($AU$8:$AU$39,AJ$8:AJ$39)))</f>
        <v/>
      </c>
      <c r="AK139" s="222" t="str">
        <f>IF(ISERROR(PEARSON($AU$8:$AU$39,$B$8:AK39)),"",(PEARSON($AU$8:$AU$39,AK$8:AK$39)))</f>
        <v/>
      </c>
      <c r="AL139" s="222" t="str">
        <f>IF(ISERROR(PEARSON($AU$8:$AU$39,$B$8:AL39)),"",(PEARSON($AU$8:$AU$39,AL$8:AL$39)))</f>
        <v/>
      </c>
      <c r="AM139" s="222" t="str">
        <f>IF(ISERROR(PEARSON($AU$8:$AU$39,$B$8:AM39)),"",(PEARSON($AU$8:$AU$39,AM$8:AM$39)))</f>
        <v/>
      </c>
      <c r="AN139" s="222" t="str">
        <f>IF(ISERROR(PEARSON($AU$8:$AU$39,$B$8:AN39)),"",(PEARSON($AU$8:$AU$39,AN$8:AN$39)))</f>
        <v/>
      </c>
      <c r="AO139" s="222" t="str">
        <f>IF(ISERROR(PEARSON($AU$8:$AU$39,$B$8:AO39)),"",(PEARSON($AU$8:$AU$39,AO$8:AO$39)))</f>
        <v/>
      </c>
      <c r="AP139" s="222" t="str">
        <f>IF(ISERROR(PEARSON($AU$8:$AU$39,$B$8:AP39)),"",(PEARSON($AU$8:$AU$39,AP$8:AP$39)))</f>
        <v/>
      </c>
      <c r="AQ139" s="222" t="str">
        <f>IF(ISERROR(PEARSON($AU$8:$AU$39,$B$8:AQ39)),"",(PEARSON($AU$8:$AU$39,AQ$8:AQ$39)))</f>
        <v/>
      </c>
      <c r="AR139" s="222" t="str">
        <f>IF(ISERROR(PEARSON($AU$8:$AU$39,$B$8:AR39)),"",(PEARSON($AU$8:$AU$39,AR$8:AR$39)))</f>
        <v/>
      </c>
      <c r="AS139" s="222" t="str">
        <f>IF(ISERROR(PEARSON($AU$8:$AU$39,$B$8:AS39)),"",(PEARSON($AU$8:$AU$39,AS$8:AS$39)))</f>
        <v/>
      </c>
      <c r="AT139" s="222" t="str">
        <f>IF(ISERROR(PEARSON($AU$8:$AU$39,$B$8:AT39)),"",(PEARSON($AU$8:$AU$39,AT$8:AT$39)))</f>
        <v/>
      </c>
      <c r="AU139" s="222" t="str">
        <f>IF(ISERROR(PEARSON($AU$8:$AU$39,$B$8:AU39)),"",(PEARSON($AU$8:$AU$39,AU$8:AU$39)))</f>
        <v/>
      </c>
      <c r="AV139" s="32"/>
      <c r="AW139" s="32"/>
      <c r="AX139" s="32"/>
      <c r="AY139" s="207"/>
      <c r="BA139" s="47"/>
      <c r="BB139" s="47"/>
      <c r="BC139" s="47"/>
    </row>
    <row r="140" spans="1:55">
      <c r="A140" s="370" t="str">
        <f>AV93</f>
        <v/>
      </c>
      <c r="B140" s="222" t="str">
        <f>IF(ISERROR(PEARSON($AV$8:$AV$39,B$8:B$39)),"",(PEARSON($AV$8:$AV$39,B$8:B39)))</f>
        <v/>
      </c>
      <c r="C140" s="222" t="str">
        <f>IF(ISERROR(PEARSON($AV$8:$AV$39,C$8:C$39)),"",(PEARSON($AV$8:$AV$39,C$8:C39)))</f>
        <v/>
      </c>
      <c r="D140" s="222" t="str">
        <f>IF(ISERROR(PEARSON($AV$8:$AV$39,D$8:D$39)),"",(PEARSON($AV$8:$AV$39,D$8:D39)))</f>
        <v/>
      </c>
      <c r="E140" s="222" t="str">
        <f>IF(ISERROR(PEARSON($AV$8:$AV$39,E$8:E$39)),"",(PEARSON($AV$8:$AV$39,E$8:E39)))</f>
        <v/>
      </c>
      <c r="F140" s="222" t="str">
        <f>IF(ISERROR(PEARSON($AV$8:$AV$39,F$8:F$39)),"",(PEARSON($AV$8:$AV$39,F$8:F39)))</f>
        <v/>
      </c>
      <c r="G140" s="222" t="str">
        <f>IF(ISERROR(PEARSON($AV$8:$AV$39,G$8:G$39)),"",(PEARSON($AV$8:$AV$39,G$8:G39)))</f>
        <v/>
      </c>
      <c r="H140" s="222" t="str">
        <f>IF(ISERROR(PEARSON($AV$8:$AV$39,H$8:H$39)),"",(PEARSON($AV$8:$AV$39,H$8:H39)))</f>
        <v/>
      </c>
      <c r="I140" s="222" t="str">
        <f>IF(ISERROR(PEARSON($AV$8:$AV$39,I$8:I$39)),"",(PEARSON($AV$8:$AV$39,I$8:I39)))</f>
        <v/>
      </c>
      <c r="J140" s="222" t="str">
        <f>IF(ISERROR(PEARSON($AV$8:$AV$39,J$8:J$39)),"",(PEARSON($AV$8:$AV$39,J$8:J39)))</f>
        <v/>
      </c>
      <c r="K140" s="222" t="str">
        <f>IF(ISERROR(PEARSON($AV$8:$AV$39,K$8:K$39)),"",(PEARSON($AV$8:$AV$39,K$8:K39)))</f>
        <v/>
      </c>
      <c r="L140" s="222" t="str">
        <f>IF(ISERROR(PEARSON($AV$8:$AV$39,L$8:L$39)),"",(PEARSON($AV$8:$AV$39,L$8:L39)))</f>
        <v/>
      </c>
      <c r="M140" s="222" t="str">
        <f>IF(ISERROR(PEARSON($AV$8:$AV$39,M$8:M$39)),"",(PEARSON($AV$8:$AV$39,M$8:M39)))</f>
        <v/>
      </c>
      <c r="N140" s="222" t="str">
        <f>IF(ISERROR(PEARSON($AV$8:$AV$39,N$8:N$39)),"",(PEARSON($AV$8:$AV$39,N$8:N39)))</f>
        <v/>
      </c>
      <c r="O140" s="222" t="str">
        <f>IF(ISERROR(PEARSON($AV$8:$AV$39,O$8:O$39)),"",(PEARSON($AV$8:$AV$39,O$8:O39)))</f>
        <v/>
      </c>
      <c r="P140" s="222" t="str">
        <f>IF(ISERROR(PEARSON($AV$8:$AV$39,P$8:P$39)),"",(PEARSON($AV$8:$AV$39,P$8:P39)))</f>
        <v/>
      </c>
      <c r="Q140" s="222" t="str">
        <f>IF(ISERROR(PEARSON($AV$8:$AV$39,Q$8:Q$39)),"",(PEARSON($AV$8:$AV$39,Q$8:Q39)))</f>
        <v/>
      </c>
      <c r="R140" s="222" t="str">
        <f>IF(ISERROR(PEARSON($AV$8:$AV$39,R$8:R$39)),"",(PEARSON($AV$8:$AV$39,R$8:R39)))</f>
        <v/>
      </c>
      <c r="S140" s="222" t="str">
        <f>IF(ISERROR(PEARSON($AV$8:$AV$39,S$8:S$39)),"",(PEARSON($AV$8:$AV$39,S$8:S39)))</f>
        <v/>
      </c>
      <c r="T140" s="222" t="str">
        <f>IF(ISERROR(PEARSON($AV$8:$AV$39,T$8:T$39)),"",(PEARSON($AV$8:$AV$39,T$8:T39)))</f>
        <v/>
      </c>
      <c r="U140" s="222" t="str">
        <f>IF(ISERROR(PEARSON($AV$8:$AV$39,U$8:U$39)),"",(PEARSON($AV$8:$AV$39,U$8:U39)))</f>
        <v/>
      </c>
      <c r="V140" s="222" t="str">
        <f>IF(ISERROR(PEARSON($AV$8:$AV$39,V$8:V$39)),"",(PEARSON($AV$8:$AV$39,V$8:V39)))</f>
        <v/>
      </c>
      <c r="W140" s="222" t="str">
        <f>IF(ISERROR(PEARSON($AV$8:$AV$39,W$8:W$39)),"",(PEARSON($AV$8:$AV$39,W$8:W39)))</f>
        <v/>
      </c>
      <c r="X140" s="222" t="str">
        <f>IF(ISERROR(PEARSON($AV$8:$AV$39,X$8:X$39)),"",(PEARSON($AV$8:$AV$39,X$8:X39)))</f>
        <v/>
      </c>
      <c r="Y140" s="222" t="str">
        <f>IF(ISERROR(PEARSON($AV$8:$AV$39,Y$8:Y$39)),"",(PEARSON($AV$8:$AV$39,Y$8:Y39)))</f>
        <v/>
      </c>
      <c r="Z140" s="222" t="str">
        <f>IF(ISERROR(PEARSON($AV$8:$AV$39,Z$8:Z$39)),"",(PEARSON($AV$8:$AV$39,Z$8:Z39)))</f>
        <v/>
      </c>
      <c r="AA140" s="222" t="str">
        <f>IF(ISERROR(PEARSON($AV$8:$AV$39,AA$8:AA$39)),"",(PEARSON($AV$8:$AV$39,AA$8:AA39)))</f>
        <v/>
      </c>
      <c r="AB140" s="222" t="str">
        <f>IF(ISERROR(PEARSON($AV$8:$AV$39,AB$8:AB$39)),"",(PEARSON($AV$8:$AV$39,AB$8:AB39)))</f>
        <v/>
      </c>
      <c r="AC140" s="222" t="str">
        <f>IF(ISERROR(PEARSON($AV$8:$AV$39,AC$8:AC$39)),"",(PEARSON($AV$8:$AV$39,AC$8:AC39)))</f>
        <v/>
      </c>
      <c r="AD140" s="222" t="str">
        <f>IF(ISERROR(PEARSON($AV$8:$AV$39,AD$8:AD$39)),"",(PEARSON($AV$8:$AV$39,AD$8:AD39)))</f>
        <v/>
      </c>
      <c r="AE140" s="222" t="str">
        <f>IF(ISERROR(PEARSON($AV$8:$AV$39,AE$8:AE$39)),"",(PEARSON($AV$8:$AV$39,AE$8:AE39)))</f>
        <v/>
      </c>
      <c r="AF140" s="222" t="str">
        <f>IF(ISERROR(PEARSON($AV$8:$AV$39,AF$8:AF$39)),"",(PEARSON($AV$8:$AV$39,AF$8:AF39)))</f>
        <v/>
      </c>
      <c r="AG140" s="222" t="str">
        <f>IF(ISERROR(PEARSON($AV$8:$AV$39,AG$8:AG$39)),"",(PEARSON($AV$8:$AV$39,AG$8:AG39)))</f>
        <v/>
      </c>
      <c r="AH140" s="222" t="str">
        <f>IF(ISERROR(PEARSON($AV$8:$AV$39,AH$8:AH$39)),"",(PEARSON($AV$8:$AV$39,AH$8:AH39)))</f>
        <v/>
      </c>
      <c r="AI140" s="222" t="str">
        <f>IF(ISERROR(PEARSON($AV$8:$AV$39,AI$8:AI$39)),"",(PEARSON($AV$8:$AV$39,AI$8:AI39)))</f>
        <v/>
      </c>
      <c r="AJ140" s="222" t="str">
        <f>IF(ISERROR(PEARSON($AV$8:$AV$39,AJ$8:AJ$39)),"",(PEARSON($AV$8:$AV$39,AJ$8:AJ39)))</f>
        <v/>
      </c>
      <c r="AK140" s="222" t="str">
        <f>IF(ISERROR(PEARSON($AV$8:$AV$39,AK$8:AK$39)),"",(PEARSON($AV$8:$AV$39,AK$8:AK39)))</f>
        <v/>
      </c>
      <c r="AL140" s="222" t="str">
        <f>IF(ISERROR(PEARSON($AV$8:$AV$39,AL$8:AL$39)),"",(PEARSON($AV$8:$AV$39,AL$8:AL39)))</f>
        <v/>
      </c>
      <c r="AM140" s="222" t="str">
        <f>IF(ISERROR(PEARSON($AV$8:$AV$39,AM$8:AM$39)),"",(PEARSON($AV$8:$AV$39,AM$8:AM39)))</f>
        <v/>
      </c>
      <c r="AN140" s="222" t="str">
        <f>IF(ISERROR(PEARSON($AV$8:$AV$39,AN$8:AN$39)),"",(PEARSON($AV$8:$AV$39,AN$8:AN39)))</f>
        <v/>
      </c>
      <c r="AO140" s="222" t="str">
        <f>IF(ISERROR(PEARSON($AV$8:$AV$39,AO$8:AO$39)),"",(PEARSON($AV$8:$AV$39,AO$8:AO39)))</f>
        <v/>
      </c>
      <c r="AP140" s="222" t="str">
        <f>IF(ISERROR(PEARSON($AV$8:$AV$39,AP$8:AP$39)),"",(PEARSON($AV$8:$AV$39,AP$8:AP39)))</f>
        <v/>
      </c>
      <c r="AQ140" s="222" t="str">
        <f>IF(ISERROR(PEARSON($AV$8:$AV$39,AQ$8:AQ$39)),"",(PEARSON($AV$8:$AV$39,AQ$8:AQ39)))</f>
        <v/>
      </c>
      <c r="AR140" s="222" t="str">
        <f>IF(ISERROR(PEARSON($AV$8:$AV$39,AR$8:AR$39)),"",(PEARSON($AV$8:$AV$39,AR$8:AR39)))</f>
        <v/>
      </c>
      <c r="AS140" s="222" t="str">
        <f>IF(ISERROR(PEARSON($AV$8:$AV$39,AS$8:AS$39)),"",(PEARSON($AV$8:$AV$39,AS$8:AS39)))</f>
        <v/>
      </c>
      <c r="AT140" s="222" t="str">
        <f>IF(ISERROR(PEARSON($AV$8:$AV$39,AT$8:AT$39)),"",(PEARSON($AV$8:$AV$39,AT$8:AT39)))</f>
        <v/>
      </c>
      <c r="AU140" s="222" t="str">
        <f>IF(ISERROR(PEARSON($AV$8:$AV$39,AU$8:AU$39)),"",(PEARSON($AV$8:$AV$39,AU$8:AU39)))</f>
        <v/>
      </c>
      <c r="AV140" s="222" t="str">
        <f>IF(ISERROR(PEARSON($AV$8:$AV$39,AV$8:AV$39)),"",(PEARSON($AV$8:$AV$39,AV$8:AV39)))</f>
        <v/>
      </c>
      <c r="AW140" s="32"/>
      <c r="AX140" s="32"/>
      <c r="AY140" s="207"/>
      <c r="BA140" s="47"/>
      <c r="BB140" s="47"/>
      <c r="BC140" s="47"/>
    </row>
    <row r="141" spans="1:55">
      <c r="A141" s="370" t="str">
        <f>AW93</f>
        <v/>
      </c>
      <c r="B141" s="222" t="str">
        <f>IF(ISERROR(PEARSON($AW$8:$AW$39,B$8:B$39)),"",(PEARSON($AW$8:$AW$39,B$8:B$39)))</f>
        <v/>
      </c>
      <c r="C141" s="222" t="str">
        <f t="shared" ref="C141:AW141" si="117">IF(ISERROR(PEARSON($AW$8:$AW$39,C$8:C$39)),"",(PEARSON($AW$8:$AW$39,C$8:C$39)))</f>
        <v/>
      </c>
      <c r="D141" s="222" t="str">
        <f t="shared" si="117"/>
        <v/>
      </c>
      <c r="E141" s="222" t="str">
        <f t="shared" si="117"/>
        <v/>
      </c>
      <c r="F141" s="222" t="str">
        <f t="shared" si="117"/>
        <v/>
      </c>
      <c r="G141" s="222" t="str">
        <f t="shared" si="117"/>
        <v/>
      </c>
      <c r="H141" s="222" t="str">
        <f t="shared" si="117"/>
        <v/>
      </c>
      <c r="I141" s="222" t="str">
        <f t="shared" si="117"/>
        <v/>
      </c>
      <c r="J141" s="222" t="str">
        <f t="shared" si="117"/>
        <v/>
      </c>
      <c r="K141" s="222" t="str">
        <f t="shared" si="117"/>
        <v/>
      </c>
      <c r="L141" s="222" t="str">
        <f t="shared" si="117"/>
        <v/>
      </c>
      <c r="M141" s="222" t="str">
        <f t="shared" si="117"/>
        <v/>
      </c>
      <c r="N141" s="222" t="str">
        <f t="shared" si="117"/>
        <v/>
      </c>
      <c r="O141" s="222" t="str">
        <f t="shared" si="117"/>
        <v/>
      </c>
      <c r="P141" s="222" t="str">
        <f t="shared" si="117"/>
        <v/>
      </c>
      <c r="Q141" s="222" t="str">
        <f t="shared" si="117"/>
        <v/>
      </c>
      <c r="R141" s="222" t="str">
        <f t="shared" si="117"/>
        <v/>
      </c>
      <c r="S141" s="222" t="str">
        <f t="shared" si="117"/>
        <v/>
      </c>
      <c r="T141" s="222" t="str">
        <f t="shared" si="117"/>
        <v/>
      </c>
      <c r="U141" s="222" t="str">
        <f t="shared" si="117"/>
        <v/>
      </c>
      <c r="V141" s="222" t="str">
        <f t="shared" si="117"/>
        <v/>
      </c>
      <c r="W141" s="222" t="str">
        <f t="shared" si="117"/>
        <v/>
      </c>
      <c r="X141" s="222" t="str">
        <f t="shared" si="117"/>
        <v/>
      </c>
      <c r="Y141" s="222" t="str">
        <f t="shared" si="117"/>
        <v/>
      </c>
      <c r="Z141" s="222" t="str">
        <f t="shared" si="117"/>
        <v/>
      </c>
      <c r="AA141" s="222" t="str">
        <f t="shared" si="117"/>
        <v/>
      </c>
      <c r="AB141" s="222" t="str">
        <f t="shared" si="117"/>
        <v/>
      </c>
      <c r="AC141" s="222" t="str">
        <f t="shared" si="117"/>
        <v/>
      </c>
      <c r="AD141" s="222" t="str">
        <f t="shared" si="117"/>
        <v/>
      </c>
      <c r="AE141" s="222" t="str">
        <f t="shared" si="117"/>
        <v/>
      </c>
      <c r="AF141" s="222" t="str">
        <f t="shared" si="117"/>
        <v/>
      </c>
      <c r="AG141" s="222" t="str">
        <f t="shared" si="117"/>
        <v/>
      </c>
      <c r="AH141" s="222" t="str">
        <f t="shared" si="117"/>
        <v/>
      </c>
      <c r="AI141" s="222" t="str">
        <f t="shared" si="117"/>
        <v/>
      </c>
      <c r="AJ141" s="222" t="str">
        <f t="shared" si="117"/>
        <v/>
      </c>
      <c r="AK141" s="222" t="str">
        <f t="shared" si="117"/>
        <v/>
      </c>
      <c r="AL141" s="222" t="str">
        <f t="shared" si="117"/>
        <v/>
      </c>
      <c r="AM141" s="222" t="str">
        <f t="shared" si="117"/>
        <v/>
      </c>
      <c r="AN141" s="222" t="str">
        <f t="shared" si="117"/>
        <v/>
      </c>
      <c r="AO141" s="222" t="str">
        <f t="shared" si="117"/>
        <v/>
      </c>
      <c r="AP141" s="222" t="str">
        <f t="shared" si="117"/>
        <v/>
      </c>
      <c r="AQ141" s="222" t="str">
        <f t="shared" si="117"/>
        <v/>
      </c>
      <c r="AR141" s="222" t="str">
        <f t="shared" si="117"/>
        <v/>
      </c>
      <c r="AS141" s="222" t="str">
        <f t="shared" si="117"/>
        <v/>
      </c>
      <c r="AT141" s="222" t="str">
        <f t="shared" si="117"/>
        <v/>
      </c>
      <c r="AU141" s="222" t="str">
        <f t="shared" si="117"/>
        <v/>
      </c>
      <c r="AV141" s="222" t="str">
        <f t="shared" si="117"/>
        <v/>
      </c>
      <c r="AW141" s="222" t="str">
        <f t="shared" si="117"/>
        <v/>
      </c>
      <c r="AX141" s="32"/>
      <c r="AY141" s="207"/>
      <c r="BA141" s="47"/>
      <c r="BB141" s="47"/>
      <c r="BC141" s="47"/>
    </row>
    <row r="142" spans="1:55">
      <c r="A142" s="370" t="str">
        <f>AX93</f>
        <v/>
      </c>
      <c r="B142" s="222" t="str">
        <f>IF(ISERROR(PEARSON($AX$8:$AX$39,B$8:B$39)),"",(PEARSON($AX$8:$AX$39,B$8:B$39)))</f>
        <v/>
      </c>
      <c r="C142" s="222" t="str">
        <f t="shared" ref="C142:AX142" si="118">IF(ISERROR(PEARSON($AX$8:$AX$39,C$8:C$39)),"",(PEARSON($AX$8:$AX$39,C$8:C$39)))</f>
        <v/>
      </c>
      <c r="D142" s="222" t="str">
        <f t="shared" si="118"/>
        <v/>
      </c>
      <c r="E142" s="222" t="str">
        <f t="shared" si="118"/>
        <v/>
      </c>
      <c r="F142" s="222" t="str">
        <f t="shared" si="118"/>
        <v/>
      </c>
      <c r="G142" s="222" t="str">
        <f t="shared" si="118"/>
        <v/>
      </c>
      <c r="H142" s="222" t="str">
        <f t="shared" si="118"/>
        <v/>
      </c>
      <c r="I142" s="222" t="str">
        <f t="shared" si="118"/>
        <v/>
      </c>
      <c r="J142" s="222" t="str">
        <f t="shared" si="118"/>
        <v/>
      </c>
      <c r="K142" s="222" t="str">
        <f t="shared" si="118"/>
        <v/>
      </c>
      <c r="L142" s="222" t="str">
        <f t="shared" si="118"/>
        <v/>
      </c>
      <c r="M142" s="222" t="str">
        <f t="shared" si="118"/>
        <v/>
      </c>
      <c r="N142" s="222" t="str">
        <f t="shared" si="118"/>
        <v/>
      </c>
      <c r="O142" s="222" t="str">
        <f t="shared" si="118"/>
        <v/>
      </c>
      <c r="P142" s="222" t="str">
        <f t="shared" si="118"/>
        <v/>
      </c>
      <c r="Q142" s="222" t="str">
        <f t="shared" si="118"/>
        <v/>
      </c>
      <c r="R142" s="222" t="str">
        <f t="shared" si="118"/>
        <v/>
      </c>
      <c r="S142" s="222" t="str">
        <f t="shared" si="118"/>
        <v/>
      </c>
      <c r="T142" s="222" t="str">
        <f t="shared" si="118"/>
        <v/>
      </c>
      <c r="U142" s="222" t="str">
        <f t="shared" si="118"/>
        <v/>
      </c>
      <c r="V142" s="222" t="str">
        <f t="shared" si="118"/>
        <v/>
      </c>
      <c r="W142" s="222" t="str">
        <f t="shared" si="118"/>
        <v/>
      </c>
      <c r="X142" s="222" t="str">
        <f t="shared" si="118"/>
        <v/>
      </c>
      <c r="Y142" s="222" t="str">
        <f t="shared" si="118"/>
        <v/>
      </c>
      <c r="Z142" s="222" t="str">
        <f t="shared" si="118"/>
        <v/>
      </c>
      <c r="AA142" s="222" t="str">
        <f t="shared" si="118"/>
        <v/>
      </c>
      <c r="AB142" s="222" t="str">
        <f t="shared" si="118"/>
        <v/>
      </c>
      <c r="AC142" s="222" t="str">
        <f t="shared" si="118"/>
        <v/>
      </c>
      <c r="AD142" s="222" t="str">
        <f t="shared" si="118"/>
        <v/>
      </c>
      <c r="AE142" s="222" t="str">
        <f t="shared" si="118"/>
        <v/>
      </c>
      <c r="AF142" s="222" t="str">
        <f t="shared" si="118"/>
        <v/>
      </c>
      <c r="AG142" s="222" t="str">
        <f t="shared" si="118"/>
        <v/>
      </c>
      <c r="AH142" s="222" t="str">
        <f t="shared" si="118"/>
        <v/>
      </c>
      <c r="AI142" s="222" t="str">
        <f t="shared" si="118"/>
        <v/>
      </c>
      <c r="AJ142" s="222" t="str">
        <f t="shared" si="118"/>
        <v/>
      </c>
      <c r="AK142" s="222" t="str">
        <f t="shared" si="118"/>
        <v/>
      </c>
      <c r="AL142" s="222" t="str">
        <f t="shared" si="118"/>
        <v/>
      </c>
      <c r="AM142" s="222" t="str">
        <f t="shared" si="118"/>
        <v/>
      </c>
      <c r="AN142" s="222" t="str">
        <f t="shared" si="118"/>
        <v/>
      </c>
      <c r="AO142" s="222" t="str">
        <f t="shared" si="118"/>
        <v/>
      </c>
      <c r="AP142" s="222" t="str">
        <f t="shared" si="118"/>
        <v/>
      </c>
      <c r="AQ142" s="222" t="str">
        <f t="shared" si="118"/>
        <v/>
      </c>
      <c r="AR142" s="222" t="str">
        <f t="shared" si="118"/>
        <v/>
      </c>
      <c r="AS142" s="222" t="str">
        <f t="shared" si="118"/>
        <v/>
      </c>
      <c r="AT142" s="222" t="str">
        <f t="shared" si="118"/>
        <v/>
      </c>
      <c r="AU142" s="222" t="str">
        <f t="shared" si="118"/>
        <v/>
      </c>
      <c r="AV142" s="222" t="str">
        <f t="shared" si="118"/>
        <v/>
      </c>
      <c r="AW142" s="222" t="str">
        <f t="shared" si="118"/>
        <v/>
      </c>
      <c r="AX142" s="222" t="str">
        <f t="shared" si="118"/>
        <v/>
      </c>
      <c r="AY142" s="207"/>
      <c r="BA142" s="47"/>
      <c r="BB142" s="47"/>
      <c r="BC142" s="47"/>
    </row>
    <row r="143" spans="1:55">
      <c r="A143" s="371" t="str">
        <f>AY93</f>
        <v/>
      </c>
      <c r="B143" s="225" t="str">
        <f>IF(ISERROR(PEARSON($AY$8:$AY$39,B$8:B$39)),"",(PEARSON($AY$8:$AY$39,B$8:B$39)))</f>
        <v/>
      </c>
      <c r="C143" s="225" t="str">
        <f t="shared" ref="C143:AY143" si="119">IF(ISERROR(PEARSON($AY$8:$AY$39,C$8:C$39)),"",(PEARSON($AY$8:$AY$39,C$8:C$39)))</f>
        <v/>
      </c>
      <c r="D143" s="225" t="str">
        <f t="shared" si="119"/>
        <v/>
      </c>
      <c r="E143" s="225" t="str">
        <f t="shared" si="119"/>
        <v/>
      </c>
      <c r="F143" s="225" t="str">
        <f t="shared" si="119"/>
        <v/>
      </c>
      <c r="G143" s="225" t="str">
        <f t="shared" si="119"/>
        <v/>
      </c>
      <c r="H143" s="225" t="str">
        <f t="shared" si="119"/>
        <v/>
      </c>
      <c r="I143" s="225" t="str">
        <f t="shared" si="119"/>
        <v/>
      </c>
      <c r="J143" s="225" t="str">
        <f t="shared" si="119"/>
        <v/>
      </c>
      <c r="K143" s="225" t="str">
        <f t="shared" si="119"/>
        <v/>
      </c>
      <c r="L143" s="225" t="str">
        <f t="shared" si="119"/>
        <v/>
      </c>
      <c r="M143" s="225" t="str">
        <f t="shared" si="119"/>
        <v/>
      </c>
      <c r="N143" s="225" t="str">
        <f t="shared" si="119"/>
        <v/>
      </c>
      <c r="O143" s="225" t="str">
        <f t="shared" si="119"/>
        <v/>
      </c>
      <c r="P143" s="225" t="str">
        <f t="shared" si="119"/>
        <v/>
      </c>
      <c r="Q143" s="225" t="str">
        <f t="shared" si="119"/>
        <v/>
      </c>
      <c r="R143" s="225" t="str">
        <f t="shared" si="119"/>
        <v/>
      </c>
      <c r="S143" s="225" t="str">
        <f t="shared" si="119"/>
        <v/>
      </c>
      <c r="T143" s="225" t="str">
        <f t="shared" si="119"/>
        <v/>
      </c>
      <c r="U143" s="225" t="str">
        <f t="shared" si="119"/>
        <v/>
      </c>
      <c r="V143" s="225" t="str">
        <f t="shared" si="119"/>
        <v/>
      </c>
      <c r="W143" s="225" t="str">
        <f t="shared" si="119"/>
        <v/>
      </c>
      <c r="X143" s="225" t="str">
        <f t="shared" si="119"/>
        <v/>
      </c>
      <c r="Y143" s="225" t="str">
        <f t="shared" si="119"/>
        <v/>
      </c>
      <c r="Z143" s="225" t="str">
        <f t="shared" si="119"/>
        <v/>
      </c>
      <c r="AA143" s="225" t="str">
        <f t="shared" si="119"/>
        <v/>
      </c>
      <c r="AB143" s="225" t="str">
        <f t="shared" si="119"/>
        <v/>
      </c>
      <c r="AC143" s="225" t="str">
        <f t="shared" si="119"/>
        <v/>
      </c>
      <c r="AD143" s="225" t="str">
        <f t="shared" si="119"/>
        <v/>
      </c>
      <c r="AE143" s="225" t="str">
        <f t="shared" si="119"/>
        <v/>
      </c>
      <c r="AF143" s="225" t="str">
        <f t="shared" si="119"/>
        <v/>
      </c>
      <c r="AG143" s="225" t="str">
        <f t="shared" si="119"/>
        <v/>
      </c>
      <c r="AH143" s="225" t="str">
        <f t="shared" si="119"/>
        <v/>
      </c>
      <c r="AI143" s="225" t="str">
        <f t="shared" si="119"/>
        <v/>
      </c>
      <c r="AJ143" s="225" t="str">
        <f t="shared" si="119"/>
        <v/>
      </c>
      <c r="AK143" s="225" t="str">
        <f t="shared" si="119"/>
        <v/>
      </c>
      <c r="AL143" s="225" t="str">
        <f t="shared" si="119"/>
        <v/>
      </c>
      <c r="AM143" s="225" t="str">
        <f t="shared" si="119"/>
        <v/>
      </c>
      <c r="AN143" s="225" t="str">
        <f t="shared" si="119"/>
        <v/>
      </c>
      <c r="AO143" s="225" t="str">
        <f t="shared" si="119"/>
        <v/>
      </c>
      <c r="AP143" s="225" t="str">
        <f t="shared" si="119"/>
        <v/>
      </c>
      <c r="AQ143" s="225" t="str">
        <f t="shared" si="119"/>
        <v/>
      </c>
      <c r="AR143" s="225" t="str">
        <f t="shared" si="119"/>
        <v/>
      </c>
      <c r="AS143" s="225" t="str">
        <f t="shared" si="119"/>
        <v/>
      </c>
      <c r="AT143" s="225" t="str">
        <f t="shared" si="119"/>
        <v/>
      </c>
      <c r="AU143" s="225" t="str">
        <f t="shared" si="119"/>
        <v/>
      </c>
      <c r="AV143" s="225" t="str">
        <f t="shared" si="119"/>
        <v/>
      </c>
      <c r="AW143" s="225" t="str">
        <f t="shared" si="119"/>
        <v/>
      </c>
      <c r="AX143" s="225" t="str">
        <f t="shared" si="119"/>
        <v/>
      </c>
      <c r="AY143" s="225" t="str">
        <f t="shared" si="119"/>
        <v/>
      </c>
      <c r="BA143" s="47"/>
      <c r="BB143" s="47"/>
      <c r="BC143" s="47"/>
    </row>
    <row r="151" spans="1:52">
      <c r="A151" s="634" t="s">
        <v>745</v>
      </c>
      <c r="B151" s="634"/>
      <c r="C151" s="634"/>
    </row>
    <row r="152" spans="1:52" ht="13" thickBot="1"/>
    <row r="153" spans="1:52" ht="36">
      <c r="A153" s="330"/>
      <c r="B153" s="331" t="str">
        <f>IF(B$1="", "", B$1)</f>
        <v>MKT-TSM</v>
      </c>
      <c r="C153" s="332" t="str">
        <f t="shared" ref="C153:AY153" si="120">IF(C$1="", "", C$1)</f>
        <v>LCV</v>
      </c>
      <c r="D153" s="332" t="str">
        <f t="shared" si="120"/>
        <v>500 Idx</v>
      </c>
      <c r="E153" s="332" t="str">
        <f t="shared" si="120"/>
        <v>LCG</v>
      </c>
      <c r="F153" s="332" t="str">
        <f t="shared" si="120"/>
        <v>MCB</v>
      </c>
      <c r="G153" s="332" t="str">
        <f t="shared" si="120"/>
        <v>SCV</v>
      </c>
      <c r="H153" s="332" t="str">
        <f t="shared" si="120"/>
        <v>SCB</v>
      </c>
      <c r="I153" s="332" t="str">
        <f t="shared" si="120"/>
        <v>SCG</v>
      </c>
      <c r="J153" s="332" t="str">
        <f t="shared" si="120"/>
        <v>D10</v>
      </c>
      <c r="K153" s="332" t="str">
        <f t="shared" si="120"/>
        <v>REIT</v>
      </c>
      <c r="L153" s="332" t="str">
        <f t="shared" si="120"/>
        <v>EAFED</v>
      </c>
      <c r="M153" s="332" t="str">
        <f t="shared" si="120"/>
        <v>EM</v>
      </c>
      <c r="N153" s="332" t="str">
        <f t="shared" si="120"/>
        <v>Total Intl</v>
      </c>
      <c r="O153" s="332" t="str">
        <f t="shared" si="120"/>
        <v>Pacific</v>
      </c>
      <c r="P153" s="332" t="str">
        <f t="shared" si="120"/>
        <v>Europe</v>
      </c>
      <c r="Q153" s="332" t="str">
        <f t="shared" si="120"/>
        <v>Intl Value</v>
      </c>
      <c r="R153" s="332" t="str">
        <f t="shared" si="120"/>
        <v>COMM</v>
      </c>
      <c r="S153" s="332" t="str">
        <f t="shared" si="120"/>
        <v>LTGB</v>
      </c>
      <c r="T153" s="332" t="str">
        <f t="shared" si="120"/>
        <v>5 Yr T</v>
      </c>
      <c r="U153" s="332" t="str">
        <f t="shared" si="120"/>
        <v>ITB</v>
      </c>
      <c r="V153" s="332" t="str">
        <f t="shared" si="120"/>
        <v>TBILL</v>
      </c>
      <c r="W153" s="332" t="str">
        <f t="shared" si="120"/>
        <v>TIPS</v>
      </c>
      <c r="X153" s="372" t="str">
        <f t="shared" si="120"/>
        <v>Wellington</v>
      </c>
      <c r="Y153" s="372" t="str">
        <f t="shared" si="120"/>
        <v>Wellesley</v>
      </c>
      <c r="Z153" s="332" t="str">
        <f t="shared" si="120"/>
        <v>Energy</v>
      </c>
      <c r="AA153" s="332" t="str">
        <f t="shared" si="120"/>
        <v>Health</v>
      </c>
      <c r="AB153" s="332" t="str">
        <f t="shared" si="120"/>
        <v>P.Metals</v>
      </c>
      <c r="AC153" s="372" t="str">
        <f t="shared" si="120"/>
        <v>Windsor</v>
      </c>
      <c r="AD153" s="372" t="str">
        <f t="shared" si="120"/>
        <v>Windsor II</v>
      </c>
      <c r="AE153" s="332" t="str">
        <f t="shared" si="120"/>
        <v>V ST TE</v>
      </c>
      <c r="AF153" s="332" t="str">
        <f t="shared" si="120"/>
        <v>V Int TE</v>
      </c>
      <c r="AG153" s="332" t="str">
        <f t="shared" si="120"/>
        <v>V LT TE</v>
      </c>
      <c r="AH153" s="332" t="str">
        <f t="shared" si="120"/>
        <v>Hi-Yld C</v>
      </c>
      <c r="AI153" s="332" t="str">
        <f t="shared" si="120"/>
        <v>ST Treasury</v>
      </c>
      <c r="AJ153" s="332" t="str">
        <f t="shared" si="120"/>
        <v>MidCap Growth</v>
      </c>
      <c r="AK153" s="332" t="str">
        <f t="shared" si="120"/>
        <v>MidCap Val</v>
      </c>
      <c r="AL153" s="332" t="str">
        <f t="shared" si="120"/>
        <v>V Ext Mkt</v>
      </c>
      <c r="AM153" s="332" t="str">
        <f t="shared" si="120"/>
        <v>Global Bond Fund</v>
      </c>
      <c r="AN153" s="332" t="str">
        <f t="shared" si="120"/>
        <v>ST Investment Grade</v>
      </c>
      <c r="AO153" s="332" t="str">
        <f t="shared" si="120"/>
        <v>GOLD</v>
      </c>
      <c r="AP153" s="332" t="str">
        <f t="shared" si="120"/>
        <v>VG Intl Small</v>
      </c>
      <c r="AQ153" s="332" t="str">
        <f t="shared" si="120"/>
        <v/>
      </c>
      <c r="AR153" s="332" t="str">
        <f t="shared" si="120"/>
        <v/>
      </c>
      <c r="AS153" s="332" t="str">
        <f t="shared" si="120"/>
        <v/>
      </c>
      <c r="AT153" s="332" t="str">
        <f t="shared" si="120"/>
        <v/>
      </c>
      <c r="AU153" s="332" t="str">
        <f t="shared" si="120"/>
        <v/>
      </c>
      <c r="AV153" s="332" t="str">
        <f t="shared" si="120"/>
        <v/>
      </c>
      <c r="AW153" s="332" t="str">
        <f t="shared" si="120"/>
        <v/>
      </c>
      <c r="AX153" s="332" t="str">
        <f t="shared" si="120"/>
        <v/>
      </c>
      <c r="AY153" s="334" t="str">
        <f t="shared" si="120"/>
        <v/>
      </c>
      <c r="AZ153" s="330" t="str">
        <f>AZ1</f>
        <v>Inflation</v>
      </c>
    </row>
    <row r="154" spans="1:52">
      <c r="A154" s="335"/>
      <c r="B154" s="336" t="str">
        <f>IF(B$2="", "", B$2)</f>
        <v>VTSMX</v>
      </c>
      <c r="C154" s="335" t="str">
        <f t="shared" ref="C154:AY154" si="121">IF(C$2="", "", C$2)</f>
        <v>VIVAX</v>
      </c>
      <c r="D154" s="335" t="str">
        <f t="shared" si="121"/>
        <v>VFINX</v>
      </c>
      <c r="E154" s="335" t="str">
        <f t="shared" si="121"/>
        <v>VIGRX</v>
      </c>
      <c r="F154" s="335" t="str">
        <f t="shared" si="121"/>
        <v>VIMSX</v>
      </c>
      <c r="G154" s="335" t="str">
        <f t="shared" si="121"/>
        <v>VISVX</v>
      </c>
      <c r="H154" s="335" t="str">
        <f t="shared" si="121"/>
        <v>NAESX</v>
      </c>
      <c r="I154" s="335" t="str">
        <f t="shared" si="121"/>
        <v>VISGX</v>
      </c>
      <c r="J154" s="335" t="str">
        <f t="shared" si="121"/>
        <v>BRSIX</v>
      </c>
      <c r="K154" s="335" t="str">
        <f t="shared" si="121"/>
        <v>VGSIX</v>
      </c>
      <c r="L154" s="335" t="str">
        <f t="shared" si="121"/>
        <v>VTMGX</v>
      </c>
      <c r="M154" s="335" t="str">
        <f t="shared" si="121"/>
        <v>VEIEX</v>
      </c>
      <c r="N154" s="335" t="str">
        <f t="shared" si="121"/>
        <v>VGTSX</v>
      </c>
      <c r="O154" s="335" t="str">
        <f t="shared" si="121"/>
        <v>VPACX</v>
      </c>
      <c r="P154" s="335" t="str">
        <f t="shared" si="121"/>
        <v>VEURX</v>
      </c>
      <c r="Q154" s="335" t="str">
        <f t="shared" si="121"/>
        <v>VTRIX</v>
      </c>
      <c r="R154" s="335" t="str">
        <f t="shared" si="121"/>
        <v>PCRIX</v>
      </c>
      <c r="S154" s="335" t="str">
        <f t="shared" si="121"/>
        <v>VUSTX</v>
      </c>
      <c r="T154" s="335" t="str">
        <f t="shared" si="121"/>
        <v>VFITX</v>
      </c>
      <c r="U154" s="335" t="str">
        <f t="shared" si="121"/>
        <v>VBMFX</v>
      </c>
      <c r="V154" s="335" t="str">
        <f t="shared" si="121"/>
        <v>VUSXX</v>
      </c>
      <c r="W154" s="335" t="str">
        <f t="shared" si="121"/>
        <v>VIPSX</v>
      </c>
      <c r="X154" s="335" t="str">
        <f t="shared" si="121"/>
        <v>VWELX</v>
      </c>
      <c r="Y154" s="335" t="str">
        <f t="shared" si="121"/>
        <v>VWINX</v>
      </c>
      <c r="Z154" s="335" t="str">
        <f t="shared" si="121"/>
        <v>VGENX</v>
      </c>
      <c r="AA154" s="335" t="str">
        <f t="shared" si="121"/>
        <v>VGHCX</v>
      </c>
      <c r="AB154" s="335" t="str">
        <f t="shared" si="121"/>
        <v>VGPMX</v>
      </c>
      <c r="AC154" s="335" t="str">
        <f t="shared" si="121"/>
        <v>VWNDX</v>
      </c>
      <c r="AD154" s="335" t="str">
        <f t="shared" si="121"/>
        <v>VWNFX</v>
      </c>
      <c r="AE154" s="335" t="str">
        <f t="shared" si="121"/>
        <v>VWSTX</v>
      </c>
      <c r="AF154" s="335" t="str">
        <f t="shared" si="121"/>
        <v>VWITX</v>
      </c>
      <c r="AG154" s="335" t="str">
        <f t="shared" si="121"/>
        <v>VWLTX</v>
      </c>
      <c r="AH154" s="335" t="str">
        <f t="shared" si="121"/>
        <v>VWEHX</v>
      </c>
      <c r="AI154" s="335" t="str">
        <f t="shared" si="121"/>
        <v>VFISX</v>
      </c>
      <c r="AJ154" s="335" t="str">
        <f t="shared" si="121"/>
        <v>VMGIX</v>
      </c>
      <c r="AK154" s="335" t="str">
        <f t="shared" si="121"/>
        <v>VMVIX</v>
      </c>
      <c r="AL154" s="335" t="str">
        <f t="shared" si="121"/>
        <v>VEXMX</v>
      </c>
      <c r="AM154" s="335" t="str">
        <f t="shared" si="121"/>
        <v>PIGLX</v>
      </c>
      <c r="AN154" s="335" t="str">
        <f t="shared" si="121"/>
        <v>VFSTX</v>
      </c>
      <c r="AO154" s="335" t="str">
        <f t="shared" si="121"/>
        <v>GLD</v>
      </c>
      <c r="AP154" s="335" t="str">
        <f t="shared" si="121"/>
        <v>VFSVX</v>
      </c>
      <c r="AQ154" s="335" t="str">
        <f t="shared" si="121"/>
        <v/>
      </c>
      <c r="AR154" s="335" t="str">
        <f t="shared" si="121"/>
        <v/>
      </c>
      <c r="AS154" s="335" t="str">
        <f t="shared" si="121"/>
        <v/>
      </c>
      <c r="AT154" s="335" t="str">
        <f t="shared" si="121"/>
        <v/>
      </c>
      <c r="AU154" s="335" t="str">
        <f t="shared" si="121"/>
        <v/>
      </c>
      <c r="AV154" s="335" t="str">
        <f t="shared" si="121"/>
        <v/>
      </c>
      <c r="AW154" s="335" t="str">
        <f t="shared" si="121"/>
        <v/>
      </c>
      <c r="AX154" s="335" t="str">
        <f t="shared" si="121"/>
        <v/>
      </c>
      <c r="AY154" s="337" t="str">
        <f t="shared" si="121"/>
        <v/>
      </c>
      <c r="AZ154" s="335" t="str">
        <f>AZ2</f>
        <v>CPI-U</v>
      </c>
    </row>
    <row r="155" spans="1:52" ht="14">
      <c r="A155" s="338" t="s">
        <v>494</v>
      </c>
      <c r="B155" s="339">
        <f t="array" ref="B155">(PRODUCT(1+B$8:B$13%)^(1/COUNT(B$8:B$13))-1)</f>
        <v>0.14122224181891596</v>
      </c>
      <c r="C155" s="340">
        <f t="array" ref="C155">(PRODUCT(1+C$8:C$13%)^(1/COUNT(C$8:C$13))-1)</f>
        <v>0.14192138046063008</v>
      </c>
      <c r="D155" s="340">
        <f t="array" ref="D155">(PRODUCT(1+D$8:D$13%)^(1/COUNT(D$8:D$13))-1)</f>
        <v>0.15664686923958793</v>
      </c>
      <c r="E155" s="340">
        <f t="array" ref="E155">(PRODUCT(1+E$8:E$13%)^(1/COUNT(E$8:E$13))-1)</f>
        <v>0.15725862531407908</v>
      </c>
      <c r="F155" s="340">
        <f t="array" ref="F155">(PRODUCT(1+F$8:F$13%)^(1/COUNT(F$8:F$13))-1)</f>
        <v>0.1284423180815093</v>
      </c>
      <c r="G155" s="340">
        <f t="array" ref="G155">(PRODUCT(1+G$8:G$13%)^(1/COUNT(G$8:G$13))-1)</f>
        <v>6.6001846413730414E-2</v>
      </c>
      <c r="H155" s="340">
        <f t="array" ref="H155">(PRODUCT(1+H$8:H$13%)^(1/COUNT(H$8:H$13))-1)</f>
        <v>6.4653853432718567E-2</v>
      </c>
      <c r="I155" s="340">
        <f t="array" ref="I155">(PRODUCT(1+I$8:I$13%)^(1/COUNT(I$8:I$13))-1)</f>
        <v>6.1686881249607417E-2</v>
      </c>
      <c r="J155" s="340">
        <f t="array" ref="J155">(PRODUCT(1+J$8:J$13%)^(1/COUNT(J$8:J$13))-1)</f>
        <v>-1.8027566310551468E-2</v>
      </c>
      <c r="K155" s="340">
        <f t="array" ref="K155">(PRODUCT(1+K$8:K$13%)^(1/COUNT(K$8:K$13))-1)</f>
        <v>5.8641694999811422E-2</v>
      </c>
      <c r="L155" s="340">
        <f t="array" ref="L155">(PRODUCT(1+L$8:L$13%)^(1/COUNT(L$8:L$13))-1)</f>
        <v>0.23909262246481866</v>
      </c>
      <c r="M155" s="340">
        <f t="array" ref="M155">(PRODUCT(1+M$8:M$13%)^(1/COUNT(M$8:M$13))-1)</f>
        <v>0.39341411575257768</v>
      </c>
      <c r="N155" s="340">
        <f t="array" ref="N155">(PRODUCT(1+N$8:N$13%)^(1/COUNT(N$8:N$13))-1)</f>
        <v>0.2628377946207161</v>
      </c>
      <c r="O155" s="340">
        <f t="array" ref="O155">(PRODUCT(1+O$8:O$13%)^(1/COUNT(O$8:O$13))-1)</f>
        <v>0.22583324466901145</v>
      </c>
      <c r="P155" s="340">
        <f t="array" ref="P155">(PRODUCT(1+P$8:P$13%)^(1/COUNT(P$8:P$13))-1)</f>
        <v>0.25275574166310277</v>
      </c>
      <c r="Q155" s="340">
        <f t="array" ref="Q155">(PRODUCT(1+Q$8:Q$13%)^(1/COUNT(Q$8:Q$13))-1)</f>
        <v>0.27665336367211046</v>
      </c>
      <c r="R155" s="340">
        <f t="array" ref="R155">(PRODUCT(1+R$8:R$13%)^(1/COUNT(R$8:R$13))-1)</f>
        <v>0.15448608112880757</v>
      </c>
      <c r="S155" s="340">
        <f t="array" ref="S155">(PRODUCT(1+S$8:S$13%)^(1/COUNT(S$8:S$13))-1)</f>
        <v>0.13543519588706188</v>
      </c>
      <c r="T155" s="340">
        <f t="array" ref="T155">(PRODUCT(1+T$8:T$13%)^(1/COUNT(T$8:T$13))-1)</f>
        <v>0.10946498892731138</v>
      </c>
      <c r="U155" s="340">
        <f t="array" ref="U155">(PRODUCT(1+U$8:U$13%)^(1/COUNT(U$8:U$13))-1)</f>
        <v>0.10070574586216474</v>
      </c>
      <c r="V155" s="340">
        <f t="array" ref="V155">(PRODUCT(1+V$8:V$13%)^(1/COUNT(V$8:V$13))-1)</f>
        <v>7.2420420079417847E-2</v>
      </c>
      <c r="W155" s="340">
        <f t="array" ref="W155">(PRODUCT(1+W$8:W$13%)^(1/COUNT(W$8:W$13))-1)</f>
        <v>0.11384296359589996</v>
      </c>
      <c r="X155" s="340">
        <f t="array" ref="X155">(PRODUCT(1+X$8:X$13%)^(1/COUNT(X$8:X$13))-1)</f>
        <v>0.13482427855624901</v>
      </c>
      <c r="Y155" s="340">
        <f t="array" ref="Y155">(PRODUCT(1+Y$8:Y$13%)^(1/COUNT(Y$8:Y$13))-1)</f>
        <v>0.13235521774092662</v>
      </c>
      <c r="Z155" s="340">
        <f t="array" ref="Z155">(PRODUCT(1+Z$8:Z$13%)^(1/COUNT(Z$8:Z$13))-1)</f>
        <v>0.15235555212177321</v>
      </c>
      <c r="AA155" s="340">
        <f t="array" ref="AA155">(PRODUCT(1+AA$8:AA$13%)^(1/COUNT(AA$8:AA$13))-1)</f>
        <v>0.23212877268966281</v>
      </c>
      <c r="AB155" s="340">
        <f t="array" ref="AB155">(PRODUCT(1+AB$8:AB$13%)^(1/COUNT(AB$8:AB$13))-1)</f>
        <v>9.938874056821434E-2</v>
      </c>
      <c r="AC155" s="340">
        <f t="array" ref="AC155">(PRODUCT(1+AC$8:AC$13%)^(1/COUNT(AC$8:AC$13))-1)</f>
        <v>0.11771518727236696</v>
      </c>
      <c r="AD155" s="340">
        <f t="array" ref="AD155">(PRODUCT(1+AD$8:AD$13%)^(1/COUNT(AD$8:AD$13))-1)</f>
        <v>0.11173136477412626</v>
      </c>
      <c r="AE155" s="340">
        <f t="array" ref="AE155">(PRODUCT(1+AE$8:AE$13%)^(1/COUNT(AE$8:AE$13))-1)</f>
        <v>6.2436431648141388E-2</v>
      </c>
      <c r="AF155" s="340">
        <f t="array" ref="AF155">(PRODUCT(1+AF$8:AF$13%)^(1/COUNT(AF$8:AF$13))-1)</f>
        <v>0.10231303676420533</v>
      </c>
      <c r="AG155" s="340">
        <f t="array" ref="AG155">(PRODUCT(1+AG$8:AG$13%)^(1/COUNT(AG$8:AG$13))-1)</f>
        <v>0.11312960345147349</v>
      </c>
      <c r="AH155" s="340">
        <f t="array" ref="AH155">(PRODUCT(1+AH$8:AH$13%)^(1/COUNT(AH$8:AH$13))-1)</f>
        <v>8.0392913643199782E-2</v>
      </c>
      <c r="AI155" s="340">
        <f t="array" ref="AI155">(PRODUCT(1+AI$8:AI$13%)^(1/COUNT(AI$8:AI$13))-1)</f>
        <v>8.8482803616096062E-2</v>
      </c>
      <c r="AJ155" s="340">
        <f t="array" ref="AJ155">(PRODUCT(1+AJ$8:AJ$13%)^(1/COUNT(AJ$8:AJ$13))-1)</f>
        <v>0.14194621341645508</v>
      </c>
      <c r="AK155" s="340">
        <f t="array" ref="AK155">(PRODUCT(1+AK$8:AK$13%)^(1/COUNT(AK$8:AK$13))-1)</f>
        <v>0.11539183876950587</v>
      </c>
      <c r="AL155" s="340">
        <f t="array" ref="AL155">(PRODUCT(1+AL$8:AL$13%)^(1/COUNT(AL$8:AL$13))-1)</f>
        <v>0.10321827542928053</v>
      </c>
      <c r="AM155" s="340">
        <f t="array" ref="AM155">(PRODUCT(1+AM$8:AM$13%)^(1/COUNT(AM$8:AM$13))-1)</f>
        <v>5.3610426757483065E-2</v>
      </c>
      <c r="AN155" s="340">
        <f t="array" ref="AN155">(PRODUCT(1+AN$8:AN$13%)^(1/COUNT(AN$8:AN$13))-1)</f>
        <v>9.6797215968204897E-2</v>
      </c>
      <c r="AO155" s="340">
        <f t="array" ref="AO155">(PRODUCT(1+AO$8:AO$13%)^(1/COUNT(AO$8:AO$13))-1)</f>
        <v>3.6635091573691936E-2</v>
      </c>
      <c r="AP155" s="340">
        <f t="array" ref="AP155">(PRODUCT(1+AP$8:AP$13%)^(1/COUNT(AP$8:AP$13))-1)</f>
        <v>0.30630406357778694</v>
      </c>
      <c r="AQ155" s="340"/>
      <c r="AR155" s="340"/>
      <c r="AS155" s="340"/>
      <c r="AT155" s="340"/>
      <c r="AU155" s="340"/>
      <c r="AV155" s="340"/>
      <c r="AW155" s="340"/>
      <c r="AX155" s="340"/>
      <c r="AY155" s="341"/>
      <c r="AZ155" s="340">
        <f t="array" ref="AZ155">(PRODUCT(1+AZ$8:AZ$13%)^(1/COUNT(AZ$8:AZ$13))-1)</f>
        <v>4.0729720489392163E-2</v>
      </c>
    </row>
    <row r="156" spans="1:52" ht="14">
      <c r="A156" s="338" t="s">
        <v>472</v>
      </c>
      <c r="B156" s="339">
        <f t="array" ref="B156">PRODUCT(1+B$14:B$18%)^(1/COUNT(B$14:B$18))-1</f>
        <v>0.17150429623613284</v>
      </c>
      <c r="C156" s="340">
        <f t="array" ref="C156">PRODUCT(1+C$14:C$18%)^(1/COUNT(C$14:C$18))-1</f>
        <v>0.17770561102058036</v>
      </c>
      <c r="D156" s="340">
        <f t="array" ref="D156">PRODUCT(1+D$14:D$18%)^(1/COUNT(D$14:D$18))-1</f>
        <v>0.16410481703694502</v>
      </c>
      <c r="E156" s="340">
        <f t="array" ref="E156">PRODUCT(1+E$14:E$18%)^(1/COUNT(E$14:E$18))-1</f>
        <v>0.16308857988904868</v>
      </c>
      <c r="F156" s="340">
        <f t="array" ref="F156">PRODUCT(1+F$14:F$18%)^(1/COUNT(F$14:F$18))-1</f>
        <v>0.19616142256953295</v>
      </c>
      <c r="G156" s="340">
        <f t="array" ref="G156">PRODUCT(1+G$14:G$18%)^(1/COUNT(G$14:G$18))-1</f>
        <v>0.22639110352625003</v>
      </c>
      <c r="H156" s="340">
        <f t="array" ref="H156">PRODUCT(1+H$14:H$18%)^(1/COUNT(H$14:H$18))-1</f>
        <v>0.21183412304486593</v>
      </c>
      <c r="I156" s="340">
        <f t="array" ref="I156">PRODUCT(1+I$14:I$18%)^(1/COUNT(I$14:I$18))-1</f>
        <v>0.18495869920726005</v>
      </c>
      <c r="J156" s="340">
        <f t="array" ref="J156">PRODUCT(1+J$14:J$18%)^(1/COUNT(J$14:J$18))-1</f>
        <v>0.24730878283178104</v>
      </c>
      <c r="K156" s="340">
        <f t="array" ref="K156">PRODUCT(1+K$14:K$18%)^(1/COUNT(K$14:K$18))-1</f>
        <v>0.1693535104995314</v>
      </c>
      <c r="L156" s="340">
        <f t="array" ref="L156">PRODUCT(1+L$14:L$18%)^(1/COUNT(L$14:L$18))-1</f>
        <v>9.6317902795859167E-2</v>
      </c>
      <c r="M156" s="340">
        <f t="array" ref="M156">PRODUCT(1+M$14:M$18%)^(1/COUNT(M$14:M$18))-1</f>
        <v>0.23346038006970748</v>
      </c>
      <c r="N156" s="340">
        <f t="array" ref="N156">PRODUCT(1+N$14:N$18%)^(1/COUNT(N$14:N$18))-1</f>
        <v>0.11916916853491122</v>
      </c>
      <c r="O156" s="340">
        <f t="array" ref="O156">PRODUCT(1+O$14:O$18%)^(1/COUNT(O$14:O$18))-1</f>
        <v>7.2783941561797683E-2</v>
      </c>
      <c r="P156" s="340">
        <f t="array" ref="P156">PRODUCT(1+P$14:P$18%)^(1/COUNT(P$14:P$18))-1</f>
        <v>0.11760761953142129</v>
      </c>
      <c r="Q156" s="340">
        <f t="array" ref="Q156">PRODUCT(1+Q$14:Q$18%)^(1/COUNT(Q$14:Q$18))-1</f>
        <v>0.11445022566881979</v>
      </c>
      <c r="R156" s="340">
        <f t="array" ref="R156">PRODUCT(1+R$14:R$18%)^(1/COUNT(R$14:R$18))-1</f>
        <v>9.148999568299887E-2</v>
      </c>
      <c r="S156" s="340">
        <f t="array" ref="S156">PRODUCT(1+S$14:S$18%)^(1/COUNT(S$14:S$18))-1</f>
        <v>0.12245387015213804</v>
      </c>
      <c r="T156" s="340">
        <f t="array" ref="T156">PRODUCT(1+T$14:T$18%)^(1/COUNT(T$14:T$18))-1</f>
        <v>9.4959829011802777E-2</v>
      </c>
      <c r="U156" s="340">
        <f t="array" ref="U156">PRODUCT(1+U$14:U$18%)^(1/COUNT(U$14:U$18))-1</f>
        <v>9.2725477688731184E-2</v>
      </c>
      <c r="V156" s="340">
        <f t="array" ref="V156">PRODUCT(1+V$14:V$18%)^(1/COUNT(V$14:V$18))-1</f>
        <v>4.2779032097625569E-2</v>
      </c>
      <c r="W156" s="340">
        <f t="array" ref="W156">PRODUCT(1+W$14:W$18%)^(1/COUNT(W$14:W$18))-1</f>
        <v>8.2244472063844665E-2</v>
      </c>
      <c r="X156" s="340">
        <f t="array" ref="X156">PRODUCT(1+X$14:X$18%)^(1/COUNT(X$14:X$18))-1</f>
        <v>0.14914054427776979</v>
      </c>
      <c r="Y156" s="340">
        <f t="array" ref="Y156">PRODUCT(1+Y$14:Y$18%)^(1/COUNT(Y$14:Y$18))-1</f>
        <v>0.13285565903306629</v>
      </c>
      <c r="Z156" s="340">
        <f t="array" ref="Z156">PRODUCT(1+Z$14:Z$18%)^(1/COUNT(Z$14:Z$18))-1</f>
        <v>0.1066094892698759</v>
      </c>
      <c r="AA156" s="340">
        <f t="array" ref="AA156">PRODUCT(1+AA$14:AA$18%)^(1/COUNT(AA$14:AA$18))-1</f>
        <v>0.2069027801125316</v>
      </c>
      <c r="AB156" s="340">
        <f t="array" ref="AB156">PRODUCT(1+AB$14:AB$18%)^(1/COUNT(AB$14:AB$18))-1</f>
        <v>7.99991657656689E-2</v>
      </c>
      <c r="AC156" s="340">
        <f t="array" ref="AC156">PRODUCT(1+AC$14:AC$18%)^(1/COUNT(AC$14:AC$18))-1</f>
        <v>0.1836330639649113</v>
      </c>
      <c r="AD156" s="340">
        <f t="array" ref="AD156">PRODUCT(1+AD$14:AD$18%)^(1/COUNT(AD$14:AD$18))-1</f>
        <v>0.17573767996706668</v>
      </c>
      <c r="AE156" s="340">
        <f t="array" ref="AE156">PRODUCT(1+AE$14:AE$18%)^(1/COUNT(AE$14:AE$18))-1</f>
        <v>4.6532160301118841E-2</v>
      </c>
      <c r="AF156" s="340">
        <f t="array" ref="AF156">PRODUCT(1+AF$14:AF$18%)^(1/COUNT(AF$14:AF$18))-1</f>
        <v>8.6625473484448046E-2</v>
      </c>
      <c r="AG156" s="340">
        <f t="array" ref="AG156">PRODUCT(1+AG$14:AG$18%)^(1/COUNT(AG$14:AG$18))-1</f>
        <v>9.5078252107869243E-2</v>
      </c>
      <c r="AH156" s="340">
        <f t="array" ref="AH156">PRODUCT(1+AH$14:AH$18%)^(1/COUNT(AH$14:AH$18))-1</f>
        <v>0.15335200380671021</v>
      </c>
      <c r="AI156" s="340">
        <f t="array" ref="AI156">PRODUCT(1+AI$14:AI$18%)^(1/COUNT(AI$14:AI$18))-1</f>
        <v>6.8996105988297751E-2</v>
      </c>
      <c r="AJ156" s="340">
        <f t="array" ref="AJ156">PRODUCT(1+AJ$14:AJ$18%)^(1/COUNT(AJ$14:AJ$18))-1</f>
        <v>0.18146628668712528</v>
      </c>
      <c r="AK156" s="340">
        <f t="array" ref="AK156">PRODUCT(1+AK$14:AK$18%)^(1/COUNT(AK$14:AK$18))-1</f>
        <v>0.20426962846105035</v>
      </c>
      <c r="AL156" s="340">
        <f t="array" ref="AL156">PRODUCT(1+AL$14:AL$18%)^(1/COUNT(AL$14:AL$18))-1</f>
        <v>0.19144942379906049</v>
      </c>
      <c r="AM156" s="340">
        <f t="array" ref="AM156">PRODUCT(1+AM$14:AM$18%)^(1/COUNT(AM$14:AM$18))-1</f>
        <v>9.8437757926086444E-2</v>
      </c>
      <c r="AN156" s="340">
        <f t="array" ref="AN156">PRODUCT(1+AN$14:AN$18%)^(1/COUNT(AN$14:AN$18))-1</f>
        <v>7.8936210279755947E-2</v>
      </c>
      <c r="AO156" s="340">
        <f t="array" ref="AO156">PRODUCT(1+AO$14:AO$18%)^(1/COUNT(AO$14:AO$18))-1</f>
        <v>-6.9176998813463841E-3</v>
      </c>
      <c r="AP156" s="340">
        <f t="array" ref="AP156">PRODUCT(1+AP$14:AP$18%)^(1/COUNT(AP$14:AP$18))-1</f>
        <v>5.7016180855622878E-2</v>
      </c>
      <c r="AQ156" s="340"/>
      <c r="AR156" s="340"/>
      <c r="AS156" s="340"/>
      <c r="AT156" s="340"/>
      <c r="AU156" s="340"/>
      <c r="AV156" s="340"/>
      <c r="AW156" s="340"/>
      <c r="AX156" s="340"/>
      <c r="AY156" s="341"/>
      <c r="AZ156" s="340">
        <f t="array" ref="AZ156">PRODUCT(1+AZ$14:AZ$18%)^(1/COUNT(AZ$14:AZ$18))-1</f>
        <v>2.7851687604741882E-2</v>
      </c>
    </row>
    <row r="157" spans="1:52" ht="14">
      <c r="A157" s="338" t="s">
        <v>473</v>
      </c>
      <c r="B157" s="339">
        <f t="array" ref="B157">PRODUCT(1+B$19:B$23%)^(1/COUNT(B$19:B$23))-1</f>
        <v>0.16677793512638872</v>
      </c>
      <c r="C157" s="340">
        <f t="array" ref="C157">PRODUCT(1+C$19:C$23%)^(1/COUNT(C$19:C$23))-1</f>
        <v>0.16703952962749846</v>
      </c>
      <c r="D157" s="340">
        <f t="array" ref="D157">PRODUCT(1+D$19:D$23%)^(1/COUNT(D$19:D$23))-1</f>
        <v>0.18307033250861626</v>
      </c>
      <c r="E157" s="340">
        <f t="array" ref="E157">PRODUCT(1+E$19:E$23%)^(1/COUNT(E$19:E$23))-1</f>
        <v>0.19166354968582766</v>
      </c>
      <c r="F157" s="340">
        <f t="array" ref="F157">PRODUCT(1+F$19:F$23%)^(1/COUNT(F$19:F$23))-1</f>
        <v>0.17928159374038555</v>
      </c>
      <c r="G157" s="340">
        <f t="array" ref="G157">PRODUCT(1+G$19:G$23%)^(1/COUNT(G$19:G$23))-1</f>
        <v>0.13302513041565689</v>
      </c>
      <c r="H157" s="340">
        <f t="array" ref="H157">PRODUCT(1+H$19:H$23%)^(1/COUNT(H$19:H$23))-1</f>
        <v>0.11425943088247492</v>
      </c>
      <c r="I157" s="340">
        <f t="array" ref="I157">PRODUCT(1+I$19:I$23%)^(1/COUNT(I$19:I$23))-1</f>
        <v>8.927439530418857E-2</v>
      </c>
      <c r="J157" s="340">
        <f t="array" ref="J157">PRODUCT(1+J$19:J$23%)^(1/COUNT(J$19:J$23))-1</f>
        <v>0.12499663269568151</v>
      </c>
      <c r="K157" s="340">
        <f t="array" ref="K157">PRODUCT(1+K$19:K$23%)^(1/COUNT(K$19:K$23))-1</f>
        <v>0.10155772873721025</v>
      </c>
      <c r="L157" s="340">
        <f t="array" ref="L157">PRODUCT(1+L$19:L$23%)^(1/COUNT(L$19:L$23))-1</f>
        <v>7.2575543185035674E-2</v>
      </c>
      <c r="M157" s="340">
        <f t="array" ref="M157">PRODUCT(1+M$19:M$23%)^(1/COUNT(M$19:M$23))-1</f>
        <v>-1.5827117256165257E-2</v>
      </c>
      <c r="N157" s="340">
        <f t="array" ref="N157">PRODUCT(1+N$19:N$23%)^(1/COUNT(N$19:N$23))-1</f>
        <v>6.1859948087637173E-2</v>
      </c>
      <c r="O157" s="340">
        <f t="array" ref="O157">PRODUCT(1+O$19:O$23%)^(1/COUNT(O$19:O$23))-1</f>
        <v>-3.9301267596265066E-2</v>
      </c>
      <c r="P157" s="340">
        <f t="array" ref="P157">PRODUCT(1+P$19:P$23%)^(1/COUNT(P$19:P$23))-1</f>
        <v>0.1575892907628571</v>
      </c>
      <c r="Q157" s="340">
        <f t="array" ref="Q157">PRODUCT(1+Q$19:Q$23%)^(1/COUNT(Q$19:Q$23))-1</f>
        <v>7.0041510271426466E-2</v>
      </c>
      <c r="R157" s="340">
        <f t="array" ref="R157">PRODUCT(1+R$19:R$23%)^(1/COUNT(R$19:R$23))-1</f>
        <v>7.3011412904368411E-2</v>
      </c>
      <c r="S157" s="340">
        <f t="array" ref="S157">PRODUCT(1+S$19:S$23%)^(1/COUNT(S$19:S$23))-1</f>
        <v>6.814896030360984E-2</v>
      </c>
      <c r="T157" s="340">
        <f t="array" ref="T157">PRODUCT(1+T$19:T$23%)^(1/COUNT(T$19:T$23))-1</f>
        <v>6.207567991332219E-2</v>
      </c>
      <c r="U157" s="340">
        <f t="array" ref="U157">PRODUCT(1+U$19:U$23%)^(1/COUNT(U$19:U$23))-1</f>
        <v>6.3523174086953071E-2</v>
      </c>
      <c r="V157" s="340">
        <f t="array" ref="V157">PRODUCT(1+V$19:V$23%)^(1/COUNT(V$19:V$23))-1</f>
        <v>5.1112376122386616E-2</v>
      </c>
      <c r="W157" s="340">
        <f t="array" ref="W157">PRODUCT(1+W$19:W$23%)^(1/COUNT(W$19:W$23))-1</f>
        <v>5.2888407057945619E-2</v>
      </c>
      <c r="X157" s="340">
        <f t="array" ref="X157">PRODUCT(1+X$19:X$23%)^(1/COUNT(X$19:X$23))-1</f>
        <v>0.13086144443362624</v>
      </c>
      <c r="Y157" s="340">
        <f t="array" ref="Y157">PRODUCT(1+Y$19:Y$23%)^(1/COUNT(Y$19:Y$23))-1</f>
        <v>0.10371952052400446</v>
      </c>
      <c r="Z157" s="340">
        <f t="array" ref="Z157">PRODUCT(1+Z$19:Z$23%)^(1/COUNT(Z$19:Z$23))-1</f>
        <v>0.15091364771088012</v>
      </c>
      <c r="AA157" s="340">
        <f t="array" ref="AA157">PRODUCT(1+AA$19:AA$23%)^(1/COUNT(AA$19:AA$23))-1</f>
        <v>0.30434401199216077</v>
      </c>
      <c r="AB157" s="340">
        <f t="array" ref="AB157">PRODUCT(1+AB$19:AB$23%)^(1/COUNT(AB$19:AB$23))-1</f>
        <v>-7.0099105275152507E-2</v>
      </c>
      <c r="AC157" s="340">
        <f t="array" ref="AC157">PRODUCT(1+AC$19:AC$23%)^(1/COUNT(AC$19:AC$23))-1</f>
        <v>0.14971958737075974</v>
      </c>
      <c r="AD157" s="340">
        <f t="array" ref="AD157">PRODUCT(1+AD$19:AD$23%)^(1/COUNT(AD$19:AD$23))-1</f>
        <v>0.1605480418991323</v>
      </c>
      <c r="AE157" s="340">
        <f t="array" ref="AE157">PRODUCT(1+AE$19:AE$23%)^(1/COUNT(AE$19:AE$23))-1</f>
        <v>3.9110941527072951E-2</v>
      </c>
      <c r="AF157" s="340">
        <f t="array" ref="AF157">PRODUCT(1+AF$19:AF$23%)^(1/COUNT(AF$19:AF$23))-1</f>
        <v>5.104293957259709E-2</v>
      </c>
      <c r="AG157" s="340">
        <f t="array" ref="AG157">PRODUCT(1+AG$19:AG$23%)^(1/COUNT(AG$19:AG$23))-1</f>
        <v>5.7503548143298611E-2</v>
      </c>
      <c r="AH157" s="340">
        <f t="array" ref="AH157">PRODUCT(1+AH$19:AH$23%)^(1/COUNT(AH$19:AH$23))-1</f>
        <v>5.6469468646237919E-2</v>
      </c>
      <c r="AI157" s="340">
        <f t="array" ref="AI157">PRODUCT(1+AI$19:AI$23%)^(1/COUNT(AI$19:AI$23))-1</f>
        <v>5.7358776270422407E-2</v>
      </c>
      <c r="AJ157" s="340">
        <f t="array" ref="AJ157">PRODUCT(1+AJ$19:AJ$23%)^(1/COUNT(AJ$19:AJ$23))-1</f>
        <v>0.15884521965587139</v>
      </c>
      <c r="AK157" s="340">
        <f t="array" ref="AK157">PRODUCT(1+AK$19:AK$23%)^(1/COUNT(AK$19:AK$23))-1</f>
        <v>0.15901802113273478</v>
      </c>
      <c r="AL157" s="340">
        <f t="array" ref="AL157">PRODUCT(1+AL$19:AL$23%)^(1/COUNT(AL$19:AL$23))-1</f>
        <v>0.13188970412067369</v>
      </c>
      <c r="AM157" s="340">
        <f t="array" ref="AM157">PRODUCT(1+AM$19:AM$23%)^(1/COUNT(AM$19:AM$23))-1</f>
        <v>2.1623069683142093E-2</v>
      </c>
      <c r="AN157" s="340">
        <f t="array" ref="AN157">PRODUCT(1+AN$19:AN$23%)^(1/COUNT(AN$19:AN$23))-1</f>
        <v>5.9420931500178131E-2</v>
      </c>
      <c r="AO157" s="340">
        <f t="array" ref="AO157">PRODUCT(1+AO$19:AO$23%)^(1/COUNT(AO$19:AO$23))-1</f>
        <v>-7.0141765872335893E-2</v>
      </c>
      <c r="AP157" s="340">
        <f t="array" ref="AP157">PRODUCT(1+AP$19:AP$23%)^(1/COUNT(AP$19:AP$23))-1</f>
        <v>0.15731280063760056</v>
      </c>
      <c r="AQ157" s="340"/>
      <c r="AR157" s="340"/>
      <c r="AS157" s="340"/>
      <c r="AT157" s="340"/>
      <c r="AU157" s="340"/>
      <c r="AV157" s="340"/>
      <c r="AW157" s="340"/>
      <c r="AX157" s="340"/>
      <c r="AY157" s="341"/>
      <c r="AZ157" s="340">
        <f t="array" ref="AZ157">PRODUCT(1+AZ$19:AZ$23%)^(1/COUNT(AZ$19:AZ$23))-1</f>
        <v>2.5387865559969303E-2</v>
      </c>
    </row>
    <row r="158" spans="1:52" ht="14">
      <c r="A158" s="338" t="s">
        <v>495</v>
      </c>
      <c r="B158" s="339">
        <f t="array" ref="B158">PRODUCT(1+B$24:B$28%)^(1/COUNT(B$24:B$28))-1</f>
        <v>1.9655354424908067E-2</v>
      </c>
      <c r="C158" s="340">
        <f t="array" ref="C158">PRODUCT(1+C$24:C$28%)^(1/COUNT(C$24:C$28))-1</f>
        <v>2.6186886334007786E-2</v>
      </c>
      <c r="D158" s="340">
        <f t="array" ref="D158">PRODUCT(1+D$24:D$28%)^(1/COUNT(D$24:D$28))-1</f>
        <v>4.1935627497238226E-3</v>
      </c>
      <c r="E158" s="340">
        <f t="array" ref="E158">PRODUCT(1+E$24:E$28%)^(1/COUNT(E$24:E$28))-1</f>
        <v>-1.1739221444337034E-2</v>
      </c>
      <c r="F158" s="340">
        <f t="array" ref="F158">PRODUCT(1+F$24:F$28%)^(1/COUNT(F$24:F$28))-1</f>
        <v>9.3388539994809339E-2</v>
      </c>
      <c r="G158" s="340">
        <f t="array" ref="G158">PRODUCT(1+G$24:G$28%)^(1/COUNT(G$24:G$28))-1</f>
        <v>0.11892533004389527</v>
      </c>
      <c r="H158" s="340">
        <f t="array" ref="H158">PRODUCT(1+H$24:H$28%)^(1/COUNT(H$24:H$28))-1</f>
        <v>9.1014493812591413E-2</v>
      </c>
      <c r="I158" s="340">
        <f t="array" ref="I158">PRODUCT(1+I$24:I$28%)^(1/COUNT(I$24:I$28))-1</f>
        <v>8.6206512843522543E-2</v>
      </c>
      <c r="J158" s="340">
        <f t="array" ref="J158">PRODUCT(1+J$24:J$28%)^(1/COUNT(J$24:J$28))-1</f>
        <v>0.23879931598313453</v>
      </c>
      <c r="K158" s="340">
        <f t="array" ref="K158">PRODUCT(1+K$24:K$28%)^(1/COUNT(K$24:K$28))-1</f>
        <v>0.18263147474056796</v>
      </c>
      <c r="L158" s="340">
        <f t="array" ref="L158">PRODUCT(1+L$24:L$28%)^(1/COUNT(L$24:L$28))-1</f>
        <v>4.5068270244983388E-2</v>
      </c>
      <c r="M158" s="340">
        <f t="array" ref="M158">PRODUCT(1+M$24:M$28%)^(1/COUNT(M$24:M$28))-1</f>
        <v>0.18740549947690766</v>
      </c>
      <c r="N158" s="340">
        <f t="array" ref="N158">PRODUCT(1+N$24:N$28%)^(1/COUNT(N$24:N$28))-1</f>
        <v>5.8533097043743876E-2</v>
      </c>
      <c r="O158" s="340">
        <f t="array" ref="O158">PRODUCT(1+O$24:O$28%)^(1/COUNT(O$24:O$28))-1</f>
        <v>6.1364708077254138E-2</v>
      </c>
      <c r="P158" s="340">
        <f t="array" ref="P158">PRODUCT(1+P$24:P$28%)^(1/COUNT(P$24:P$28))-1</f>
        <v>3.6743761664236541E-2</v>
      </c>
      <c r="Q158" s="340">
        <f t="array" ref="Q158">PRODUCT(1+Q$24:Q$28%)^(1/COUNT(Q$24:Q$28))-1</f>
        <v>8.3543230863416307E-2</v>
      </c>
      <c r="R158" s="340">
        <f t="array" ref="R158">PRODUCT(1+R$24:R$28%)^(1/COUNT(R$24:R$28))-1</f>
        <v>0.16637402717529715</v>
      </c>
      <c r="S158" s="340">
        <f t="array" ref="S158">PRODUCT(1+S$24:S$28%)^(1/COUNT(S$24:S$28))-1</f>
        <v>7.3712235448485597E-2</v>
      </c>
      <c r="T158" s="340">
        <f t="array" ref="T158">PRODUCT(1+T$24:T$28%)^(1/COUNT(T$24:T$28))-1</f>
        <v>5.863932069472777E-2</v>
      </c>
      <c r="U158" s="340">
        <f t="array" ref="U158">PRODUCT(1+U$24:U$28%)^(1/COUNT(U$24:U$28))-1</f>
        <v>5.4318863350210078E-2</v>
      </c>
      <c r="V158" s="340">
        <f t="array" ref="V158">PRODUCT(1+V$24:V$28%)^(1/COUNT(V$24:V$28))-1</f>
        <v>2.0109908305752544E-2</v>
      </c>
      <c r="W158" s="340">
        <f t="array" ref="W158">PRODUCT(1+W$24:W$28%)^(1/COUNT(W$24:W$28))-1</f>
        <v>8.4804618365339701E-2</v>
      </c>
      <c r="X158" s="340">
        <f t="array" ref="X158">PRODUCT(1+X$24:X$28%)^(1/COUNT(X$24:X$28))-1</f>
        <v>6.8219760566498477E-2</v>
      </c>
      <c r="Y158" s="340">
        <f t="array" ref="Y158">PRODUCT(1+Y$24:Y$28%)^(1/COUNT(Y$24:Y$28))-1</f>
        <v>6.5249847538614292E-2</v>
      </c>
      <c r="Z158" s="340">
        <f t="array" ref="Z158">PRODUCT(1+Z$24:Z$28%)^(1/COUNT(Z$24:Z$28))-1</f>
        <v>0.20687690227231004</v>
      </c>
      <c r="AA158" s="340">
        <f t="array" ref="AA158">PRODUCT(1+AA$24:AA$28%)^(1/COUNT(AA$24:AA$28))-1</f>
        <v>5.7197998705218023E-2</v>
      </c>
      <c r="AB158" s="340">
        <f t="array" ref="AB158">PRODUCT(1+AB$24:AB$28%)^(1/COUNT(AB$24:AB$28))-1</f>
        <v>0.31354610731001897</v>
      </c>
      <c r="AC158" s="340">
        <f t="array" ref="AC158">PRODUCT(1+AC$24:AC$28%)^(1/COUNT(AC$24:AC$28))-1</f>
        <v>6.0373440701511072E-2</v>
      </c>
      <c r="AD158" s="340">
        <f t="array" ref="AD158">PRODUCT(1+AD$24:AD$28%)^(1/COUNT(AD$24:AD$28))-1</f>
        <v>5.752026559860357E-2</v>
      </c>
      <c r="AE158" s="340">
        <f t="array" ref="AE158">PRODUCT(1+AE$24:AE$28%)^(1/COUNT(AE$24:AE$28))-1</f>
        <v>2.5208749079337123E-2</v>
      </c>
      <c r="AF158" s="340">
        <f t="array" ref="AF158">PRODUCT(1+AF$24:AF$28%)^(1/COUNT(AF$24:AF$28))-1</f>
        <v>4.5603209829985225E-2</v>
      </c>
      <c r="AG158" s="340">
        <f t="array" ref="AG158">PRODUCT(1+AG$24:AG$28%)^(1/COUNT(AG$24:AG$28))-1</f>
        <v>5.3820257918979486E-2</v>
      </c>
      <c r="AH158" s="340">
        <f t="array" ref="AH158">PRODUCT(1+AH$24:AH$28%)^(1/COUNT(AH$24:AH$28))-1</f>
        <v>6.4715642172779031E-2</v>
      </c>
      <c r="AI158" s="340">
        <f t="array" ref="AI158">PRODUCT(1+AI$24:AI$28%)^(1/COUNT(AI$24:AI$28))-1</f>
        <v>4.1553631085679887E-2</v>
      </c>
      <c r="AJ158" s="340">
        <f t="array" ref="AJ158">PRODUCT(1+AJ$24:AJ$28%)^(1/COUNT(AJ$24:AJ$28))-1</f>
        <v>2.0616040713985706E-2</v>
      </c>
      <c r="AK158" s="340">
        <f t="array" ref="AK158">PRODUCT(1+AK$24:AK$28%)^(1/COUNT(AK$24:AK$28))-1</f>
        <v>0.13962936720627073</v>
      </c>
      <c r="AL158" s="340">
        <f t="array" ref="AL158">PRODUCT(1+AL$24:AL$28%)^(1/COUNT(AL$24:AL$28))-1</f>
        <v>6.9340426222262108E-2</v>
      </c>
      <c r="AM158" s="340">
        <f t="array" ref="AM158">PRODUCT(1+AM$24:AM$28%)^(1/COUNT(AM$24:AM$28))-1</f>
        <v>8.6544969528740801E-2</v>
      </c>
      <c r="AN158" s="340">
        <f t="array" ref="AN158">PRODUCT(1+AN$24:AN$28%)^(1/COUNT(AN$24:AN$28))-1</f>
        <v>4.3504462703582325E-2</v>
      </c>
      <c r="AO158" s="340">
        <f t="array" ref="AO158">PRODUCT(1+AO$24:AO$28%)^(1/COUNT(AO$24:AO$28))-1</f>
        <v>0.13017005778275736</v>
      </c>
      <c r="AP158" s="340">
        <f t="array" ref="AP158">PRODUCT(1+AP$24:AP$28%)^(1/COUNT(AP$24:AP$28))-1</f>
        <v>0.10763488565771029</v>
      </c>
      <c r="AQ158" s="340"/>
      <c r="AR158" s="340"/>
      <c r="AS158" s="340"/>
      <c r="AT158" s="340"/>
      <c r="AU158" s="340"/>
      <c r="AV158" s="340"/>
      <c r="AW158" s="340"/>
      <c r="AX158" s="340"/>
      <c r="AY158" s="341"/>
      <c r="AZ158" s="340">
        <f t="array" ref="AZ158">PRODUCT(1+AZ$24:AZ$28%)^(1/COUNT(AZ$24:AZ$28))-1</f>
        <v>2.4932274840123947E-2</v>
      </c>
    </row>
    <row r="159" spans="1:52" ht="14">
      <c r="A159" s="338" t="s">
        <v>475</v>
      </c>
      <c r="B159" s="339">
        <f t="array" ref="B159">PRODUCT(1+B$29:B$33%)^(1/COUNT(B$29:B$33))-1</f>
        <v>2.9434667778782453E-2</v>
      </c>
      <c r="C159" s="340">
        <f t="array" ref="C159">PRODUCT(1+C$29:C$33%)^(1/COUNT(C$29:C$33))-1</f>
        <v>1.3582931771717766E-2</v>
      </c>
      <c r="D159" s="340">
        <f t="array" ref="D159">PRODUCT(1+D$29:D$33%)^(1/COUNT(D$29:D$33))-1</f>
        <v>2.2126933301260143E-2</v>
      </c>
      <c r="E159" s="340">
        <f t="array" ref="E159">PRODUCT(1+E$29:E$33%)^(1/COUNT(E$29:E$33))-1</f>
        <v>3.8243517199340937E-2</v>
      </c>
      <c r="F159" s="340">
        <f t="array" ref="F159">PRODUCT(1+F$29:F$33%)^(1/COUNT(F$29:F$33))-1</f>
        <v>4.2727959614952349E-2</v>
      </c>
      <c r="G159" s="340">
        <f t="array" ref="G159">PRODUCT(1+G$29:G$33%)^(1/COUNT(G$29:G$33))-1</f>
        <v>4.1419851921001616E-2</v>
      </c>
      <c r="H159" s="340">
        <f t="array" ref="H159">PRODUCT(1+H$29:H$33%)^(1/COUNT(H$29:H$33))-1</f>
        <v>5.3902638226662525E-2</v>
      </c>
      <c r="I159" s="340">
        <f t="array" ref="I159">PRODUCT(1+I$29:I$33%)^(1/COUNT(I$29:I$33))-1</f>
        <v>6.4210483995476464E-2</v>
      </c>
      <c r="J159" s="340">
        <f t="array" ref="J159">PRODUCT(1+J$29:J$33%)^(1/COUNT(J$29:J$33))-1</f>
        <v>7.0795083849817253E-4</v>
      </c>
      <c r="K159" s="340">
        <f t="array" ref="K159">PRODUCT(1+K$29:K$33%)^(1/COUNT(K$29:K$33))-1</f>
        <v>3.3814805349341004E-2</v>
      </c>
      <c r="L159" s="340">
        <f t="array" ref="L159">PRODUCT(1+L$29:L$33%)^(1/COUNT(L$29:L$33))-1</f>
        <v>2.7573150131904089E-2</v>
      </c>
      <c r="M159" s="340">
        <f t="array" ref="M159">PRODUCT(1+M$29:M$33%)^(1/COUNT(M$29:M$33))-1</f>
        <v>0.12147706155612359</v>
      </c>
      <c r="N159" s="340">
        <f t="array" ref="N159">PRODUCT(1+N$29:N$33%)^(1/COUNT(N$29:N$33))-1</f>
        <v>4.4381541122275214E-2</v>
      </c>
      <c r="O159" s="340">
        <f t="array" ref="O159">PRODUCT(1+O$29:O$33%)^(1/COUNT(O$29:O$33))-1</f>
        <v>1.5618582674022941E-2</v>
      </c>
      <c r="P159" s="340">
        <f t="array" ref="P159">PRODUCT(1+P$29:P$33%)^(1/COUNT(P$29:P$33))-1</f>
        <v>3.0397313982648777E-2</v>
      </c>
      <c r="Q159" s="340">
        <f t="array" ref="Q159">PRODUCT(1+Q$29:Q$33%)^(1/COUNT(Q$29:Q$33))-1</f>
        <v>3.7149254674306631E-2</v>
      </c>
      <c r="R159" s="340">
        <f t="array" ref="R159">PRODUCT(1+R$29:R$33%)^(1/COUNT(R$29:R$33))-1</f>
        <v>3.391444554456724E-2</v>
      </c>
      <c r="S159" s="340">
        <f t="array" ref="S159">PRODUCT(1+S$29:S$33%)^(1/COUNT(S$29:S$33))-1</f>
        <v>5.4612105344298278E-2</v>
      </c>
      <c r="T159" s="340">
        <f t="array" ref="T159">PRODUCT(1+T$29:T$33%)^(1/COUNT(T$29:T$33))-1</f>
        <v>6.289271546977937E-2</v>
      </c>
      <c r="U159" s="340">
        <f t="array" ref="U159">PRODUCT(1+U$29:U$33%)^(1/COUNT(U$29:U$33))-1</f>
        <v>5.7137116751230232E-2</v>
      </c>
      <c r="V159" s="340">
        <f t="array" ref="V159">PRODUCT(1+V$29:V$33%)^(1/COUNT(V$29:V$33))-1</f>
        <v>2.3233993764382843E-2</v>
      </c>
      <c r="W159" s="340">
        <f t="array" ref="W159">PRODUCT(1+W$29:W$33%)^(1/COUNT(W$29:W$33))-1</f>
        <v>5.0738449443837208E-2</v>
      </c>
      <c r="X159" s="340">
        <f t="array" ref="X159">PRODUCT(1+X$29:X$33%)^(1/COUNT(X$29:X$33))-1</f>
        <v>5.5822103775221121E-2</v>
      </c>
      <c r="Y159" s="340">
        <f t="array" ref="Y159">PRODUCT(1+Y$29:Y$33%)^(1/COUNT(Y$29:Y$33))-1</f>
        <v>6.3467123343438736E-2</v>
      </c>
      <c r="Z159" s="340">
        <f t="array" ref="Z159">PRODUCT(1+Z$29:Z$33%)^(1/COUNT(Z$29:Z$33))-1</f>
        <v>8.0076346072119442E-2</v>
      </c>
      <c r="AA159" s="340">
        <f t="array" ref="AA159">PRODUCT(1+AA$29:AA$33%)^(1/COUNT(AA$29:AA$33))-1</f>
        <v>3.926159343786062E-2</v>
      </c>
      <c r="AB159" s="340">
        <f t="array" ref="AB159">PRODUCT(1+AB$29:AB$33%)^(1/COUNT(AB$29:AB$33))-1</f>
        <v>0.1429183887318477</v>
      </c>
      <c r="AC159" s="340">
        <f t="array" ref="AC159">PRODUCT(1+AC$29:AC$33%)^(1/COUNT(AC$29:AC$33))-1</f>
        <v>1.0051266486271304E-2</v>
      </c>
      <c r="AD159" s="340">
        <f t="array" ref="AD159">PRODUCT(1+AD$29:AD$33%)^(1/COUNT(AD$29:AD$33))-1</f>
        <v>1.465478722722513E-2</v>
      </c>
      <c r="AE159" s="340">
        <f t="array" ref="AE159">PRODUCT(1+AE$29:AE$33%)^(1/COUNT(AE$29:AE$33))-1</f>
        <v>3.0359074525420526E-2</v>
      </c>
      <c r="AF159" s="340">
        <f t="array" ref="AF159">PRODUCT(1+AF$29:AF$33%)^(1/COUNT(AF$29:AF$33))-1</f>
        <v>3.95740274013896E-2</v>
      </c>
      <c r="AG159" s="340">
        <f t="array" ref="AG159">PRODUCT(1+AG$29:AG$33%)^(1/COUNT(AG$29:AG$33))-1</f>
        <v>3.5016774392587102E-2</v>
      </c>
      <c r="AH159" s="340">
        <f t="array" ref="AH159">PRODUCT(1+AH$29:AH$33%)^(1/COUNT(AH$29:AH$33))-1</f>
        <v>3.2574003429773013E-2</v>
      </c>
      <c r="AI159" s="340">
        <f t="array" ref="AI159">PRODUCT(1+AI$29:AI$33%)^(1/COUNT(AI$29:AI$33))-1</f>
        <v>4.4557568468093889E-2</v>
      </c>
      <c r="AJ159" s="340">
        <f t="array" ref="AJ159">PRODUCT(1+AJ$29:AJ$33%)^(1/COUNT(AJ$29:AJ$33))-1</f>
        <v>4.490451365810344E-2</v>
      </c>
      <c r="AK159" s="340">
        <f t="array" ref="AK159">PRODUCT(1+AK$29:AK$33%)^(1/COUNT(AK$29:AK$33))-1</f>
        <v>3.5296430681278856E-2</v>
      </c>
      <c r="AL159" s="340">
        <f t="array" ref="AL159">PRODUCT(1+AL$29:AL$33%)^(1/COUNT(AL$29:AL$33))-1</f>
        <v>5.0382801221405371E-2</v>
      </c>
      <c r="AM159" s="340">
        <f t="array" ref="AM159">PRODUCT(1+AM$29:AM$33%)^(1/COUNT(AM$29:AM$33))-1</f>
        <v>7.9680452043790817E-2</v>
      </c>
      <c r="AN159" s="340">
        <f t="array" ref="AN159">PRODUCT(1+AN$29:AN$33%)^(1/COUNT(AN$29:AN$33))-1</f>
        <v>4.8994737559436841E-2</v>
      </c>
      <c r="AO159" s="340">
        <f t="array" ref="AO159">PRODUCT(1+AO$29:AO$33%)^(1/COUNT(AO$29:AO$33))-1</f>
        <v>0.21825047454923063</v>
      </c>
      <c r="AP159" s="340">
        <f t="array" ref="AP159">PRODUCT(1+AP$29:AP$33%)^(1/COUNT(AP$29:AP$33))-1</f>
        <v>6.1081175488051587E-2</v>
      </c>
      <c r="AQ159" s="340"/>
      <c r="AR159" s="340"/>
      <c r="AS159" s="340"/>
      <c r="AT159" s="340"/>
      <c r="AU159" s="340"/>
      <c r="AV159" s="340"/>
      <c r="AW159" s="340"/>
      <c r="AX159" s="340"/>
      <c r="AY159" s="341"/>
      <c r="AZ159" s="340">
        <f t="array" ref="AZ159">PRODUCT(1+AZ$29:AZ$33%)^(1/COUNT(AZ$29:AZ$33))-1</f>
        <v>2.1773816378153787E-2</v>
      </c>
    </row>
    <row r="160" spans="1:52" ht="14">
      <c r="A160" s="338" t="s">
        <v>839</v>
      </c>
      <c r="B160" s="339">
        <f t="array" ref="B160">PRODUCT(1+B$34:B$38%)^(1/COUNT(B$34:B$38))-1</f>
        <v>0.12030179828392895</v>
      </c>
      <c r="C160" s="340">
        <f t="array" ref="C160">PRODUCT(1+C$34:C$38%)^(1/COUNT(C$34:C$38))-1</f>
        <v>0.11540087787276399</v>
      </c>
      <c r="D160" s="340">
        <f t="array" ref="D160">PRODUCT(1+D$34:D$38%)^(1/COUNT(D$34:D$38))-1</f>
        <v>0.12401000402039131</v>
      </c>
      <c r="E160" s="340">
        <f t="array" ref="E160">PRODUCT(1+E$34:E$38%)^(1/COUNT(E$34:E$38))-1</f>
        <v>0.12962710783808506</v>
      </c>
      <c r="F160" s="340">
        <f t="array" ref="F160">PRODUCT(1+F$34:F$38%)^(1/COUNT(F$34:F$38))-1</f>
        <v>0.11366432858843667</v>
      </c>
      <c r="G160" s="340">
        <f t="array" ref="G160">PRODUCT(1+G$34:G$38%)^(1/COUNT(G$34:G$38))-1</f>
        <v>0.10254880535551059</v>
      </c>
      <c r="H160" s="340">
        <f t="array" ref="H160">PRODUCT(1+H$34:H$38%)^(1/COUNT(H$34:H$38))-1</f>
        <v>0.10282109549861262</v>
      </c>
      <c r="I160" s="340">
        <f t="array" ref="I160">PRODUCT(1+I$34:I$38%)^(1/COUNT(I$34:I$38))-1</f>
        <v>0.10048659819984107</v>
      </c>
      <c r="J160" s="340">
        <f t="array" ref="J160">PRODUCT(1+J$34:J$38%)^(1/COUNT(J$34:J$38))-1</f>
        <v>0.10858631762499371</v>
      </c>
      <c r="K160" s="340">
        <f t="array" ref="K160">PRODUCT(1+K$34:K$38%)^(1/COUNT(K$34:K$38))-1</f>
        <v>0.11649801035092011</v>
      </c>
      <c r="L160" s="340">
        <f t="array" ref="L160">PRODUCT(1+L$34:L$38%)^(1/COUNT(L$34:L$38))-1</f>
        <v>3.5801849257061091E-2</v>
      </c>
      <c r="M160" s="340">
        <f t="array" ref="M160">PRODUCT(1+M$34:M$38%)^(1/COUNT(M$34:M$38))-1</f>
        <v>-5.060720486191761E-2</v>
      </c>
      <c r="N160" s="340">
        <f t="array" ref="N160">PRODUCT(1+N$34:N$38%)^(1/COUNT(N$34:N$38))-1</f>
        <v>1.2364889015787472E-2</v>
      </c>
      <c r="O160" s="340">
        <f t="array" ref="O160">PRODUCT(1+O$34:O$38%)^(1/COUNT(O$34:O$38))-1</f>
        <v>2.5824208813206795E-2</v>
      </c>
      <c r="P160" s="340">
        <f t="array" ref="P160">PRODUCT(1+P$34:P$38%)^(1/COUNT(P$34:P$38))-1</f>
        <v>4.022335157749235E-2</v>
      </c>
      <c r="Q160" s="340">
        <f t="array" ref="Q160">PRODUCT(1+Q$34:Q$38%)^(1/COUNT(Q$34:Q$38))-1</f>
        <v>1.8264793103421884E-2</v>
      </c>
      <c r="R160" s="340">
        <f t="array" ref="R160">PRODUCT(1+R$34:R$38%)^(1/COUNT(R$34:R$38))-1</f>
        <v>-0.12775078304783616</v>
      </c>
      <c r="S160" s="340">
        <f t="array" ref="S160">PRODUCT(1+S$34:S$38%)^(1/COUNT(S$34:S$38))-1</f>
        <v>7.4891019087345079E-2</v>
      </c>
      <c r="T160" s="340">
        <f t="array" ref="T160">PRODUCT(1+T$34:T$38%)^(1/COUNT(T$34:T$38))-1</f>
        <v>2.9555168764229256E-2</v>
      </c>
      <c r="U160" s="340">
        <f t="array" ref="U160">PRODUCT(1+U$34:U$38%)^(1/COUNT(U$34:U$38))-1</f>
        <v>3.0190445241443209E-2</v>
      </c>
      <c r="V160" s="340">
        <f t="array" ref="V160">PRODUCT(1+V$34:V$38%)^(1/COUNT(V$34:V$38))-1</f>
        <v>1.5999880017592005E-4</v>
      </c>
      <c r="W160" s="340">
        <f t="array" ref="W160">PRODUCT(1+W$34:W$38%)^(1/COUNT(W$34:W$38))-1</f>
        <v>2.3394052762813811E-2</v>
      </c>
      <c r="X160" s="340">
        <f t="array" ref="X160">PRODUCT(1+X$34:X$38%)^(1/COUNT(X$34:X$38))-1</f>
        <v>8.9793016755452371E-2</v>
      </c>
      <c r="Y160" s="340">
        <f t="array" ref="Y160">PRODUCT(1+Y$34:Y$38%)^(1/COUNT(Y$34:Y$38))-1</f>
        <v>7.5955045748741901E-2</v>
      </c>
      <c r="Z160" s="340">
        <f t="array" ref="Z160">PRODUCT(1+Z$34:Z$38%)^(1/COUNT(Z$34:Z$38))-1</f>
        <v>-4.3078721837871536E-2</v>
      </c>
      <c r="AA160" s="340">
        <f t="array" ref="AA160">PRODUCT(1+AA$34:AA$38%)^(1/COUNT(AA$34:AA$38))-1</f>
        <v>0.21607831922344989</v>
      </c>
      <c r="AB160" s="340">
        <f t="array" ref="AB160">PRODUCT(1+AB$34:AB$38%)^(1/COUNT(AB$34:AB$38))-1</f>
        <v>-0.22678865266786585</v>
      </c>
      <c r="AC160" s="340">
        <f t="array" ref="AC160">PRODUCT(1+AC$34:AC$38%)^(1/COUNT(AC$34:AC$38))-1</f>
        <v>0.11271345018100987</v>
      </c>
      <c r="AD160" s="340">
        <f t="array" ref="AD160">PRODUCT(1+AD$34:AD$38%)^(1/COUNT(AD$34:AD$38))-1</f>
        <v>0.11003953611483008</v>
      </c>
      <c r="AE160" s="340">
        <f t="array" ref="AE160">PRODUCT(1+AE$34:AE$38%)^(1/COUNT(AE$34:AE$38))-1</f>
        <v>8.3309212487203688E-3</v>
      </c>
      <c r="AF160" s="340">
        <f t="array" ref="AF160">PRODUCT(1+AF$34:AF$38%)^(1/COUNT(AF$34:AF$38))-1</f>
        <v>4.7022566608904803E-2</v>
      </c>
      <c r="AG160" s="340">
        <f t="array" ref="AG160">PRODUCT(1+AG$34:AG$38%)^(1/COUNT(AG$34:AG$38))-1</f>
        <v>6.0402677880126765E-2</v>
      </c>
      <c r="AH160" s="340">
        <f t="array" ref="AH160">PRODUCT(1+AH$34:AH$38%)^(1/COUNT(AH$34:AH$38))-1</f>
        <v>5.7225108256260482E-2</v>
      </c>
      <c r="AI160" s="340">
        <f t="array" ref="AI160">PRODUCT(1+AI$34:AI$38%)^(1/COUNT(AI$34:AI$38))-1</f>
        <v>7.9895527325974935E-3</v>
      </c>
      <c r="AJ160" s="340">
        <f t="array" ref="AJ160">PRODUCT(1+AJ$34:AJ$38%)^(1/COUNT(AJ$34:AJ$38))-1</f>
        <v>0.10502794410546468</v>
      </c>
      <c r="AK160" s="340">
        <f t="array" ref="AK160">PRODUCT(1+AK$34:AK$38%)^(1/COUNT(AK$34:AK$38))-1</f>
        <v>0.12107604291698948</v>
      </c>
      <c r="AL160" s="340">
        <f t="array" ref="AL160">PRODUCT(1+AL$34:AL$38%)^(1/COUNT(AL$34:AL$38))-1</f>
        <v>0.10311109988291411</v>
      </c>
      <c r="AM160" s="340">
        <f t="array" ref="AM160">PRODUCT(1+AM$34:AM$38%)^(1/COUNT(AM$34:AM$38))-1</f>
        <v>1.9127816814916265E-2</v>
      </c>
      <c r="AN160" s="340">
        <f t="array" ref="AN160">PRODUCT(1+AN$34:AN$38%)^(1/COUNT(AN$34:AN$38))-1</f>
        <v>2.0338435515603548E-2</v>
      </c>
      <c r="AO160" s="340">
        <f t="array" ref="AO160">PRODUCT(1+AO$34:AO$38%)^(1/COUNT(AO$34:AO$38))-1</f>
        <v>-6.0637167156152305E-2</v>
      </c>
      <c r="AP160" s="340">
        <f t="array" ref="AP160">PRODUCT(1+AP$34:AP$38%)^(1/COUNT(AP$34:AP$38))-1</f>
        <v>1.3987462996379207E-2</v>
      </c>
      <c r="AQ160" s="340"/>
      <c r="AR160" s="340"/>
      <c r="AS160" s="340"/>
      <c r="AT160" s="340"/>
      <c r="AU160" s="340"/>
      <c r="AV160" s="340"/>
      <c r="AW160" s="340"/>
      <c r="AX160" s="340"/>
      <c r="AY160" s="341"/>
      <c r="AZ160" s="340">
        <v>1.3987462996379207E-2</v>
      </c>
    </row>
    <row r="161" spans="1:52" ht="14">
      <c r="A161" s="338"/>
      <c r="B161" s="339"/>
      <c r="C161" s="340"/>
      <c r="D161" s="340"/>
      <c r="E161" s="340"/>
      <c r="F161" s="340"/>
      <c r="G161" s="340"/>
      <c r="H161" s="340"/>
      <c r="I161" s="340"/>
      <c r="J161" s="340"/>
      <c r="K161" s="340"/>
      <c r="L161" s="340"/>
      <c r="M161" s="340"/>
      <c r="N161" s="340"/>
      <c r="O161" s="340"/>
      <c r="P161" s="340"/>
      <c r="Q161" s="340"/>
      <c r="R161" s="340"/>
      <c r="S161" s="340"/>
      <c r="T161" s="340"/>
      <c r="U161" s="340"/>
      <c r="V161" s="340"/>
      <c r="W161" s="340"/>
      <c r="X161" s="340"/>
      <c r="Y161" s="340"/>
      <c r="Z161" s="340"/>
      <c r="AA161" s="340"/>
      <c r="AB161" s="340"/>
      <c r="AC161" s="340"/>
      <c r="AD161" s="340"/>
      <c r="AE161" s="340"/>
      <c r="AF161" s="340"/>
      <c r="AG161" s="340"/>
      <c r="AH161" s="340"/>
      <c r="AI161" s="340"/>
      <c r="AJ161" s="340"/>
      <c r="AK161" s="340"/>
      <c r="AL161" s="340"/>
      <c r="AM161" s="340"/>
      <c r="AN161" s="340"/>
      <c r="AO161" s="340"/>
      <c r="AP161" s="340"/>
      <c r="AQ161" s="340"/>
      <c r="AR161" s="340"/>
      <c r="AS161" s="340"/>
      <c r="AT161" s="340"/>
      <c r="AU161" s="340"/>
      <c r="AV161" s="340"/>
      <c r="AW161" s="340"/>
      <c r="AX161" s="340"/>
      <c r="AY161" s="341"/>
      <c r="AZ161" s="340"/>
    </row>
    <row r="162" spans="1:52" ht="14">
      <c r="A162" s="338" t="s">
        <v>496</v>
      </c>
      <c r="B162" s="339">
        <f t="array" ref="B162">PRODUCT(1+B$8:B$12%)^(1/COUNT(B$8:B$12))-1</f>
        <v>0.1867691182744704</v>
      </c>
      <c r="C162" s="340">
        <f t="array" ref="C162">PRODUCT(1+C$8:C$12%)^(1/COUNT(C$8:C$12))-1</f>
        <v>0.19316330684544902</v>
      </c>
      <c r="D162" s="340">
        <f t="array" ref="D162">PRODUCT(1+D$8:D$12%)^(1/COUNT(D$8:D$12))-1</f>
        <v>0.19887420397144306</v>
      </c>
      <c r="E162" s="340">
        <f t="array" ref="E162">PRODUCT(1+E$8:E$12%)^(1/COUNT(E$8:E$12))-1</f>
        <v>0.19282580551613582</v>
      </c>
      <c r="F162" s="340">
        <f t="array" ref="F162">PRODUCT(1+F$8:F$12%)^(1/COUNT(F$8:F$12))-1</f>
        <v>0.18518495338338647</v>
      </c>
      <c r="G162" s="340">
        <f t="array" ref="G162">PRODUCT(1+G$8:G$12%)^(1/COUNT(G$8:G$12))-1</f>
        <v>0.13466522207714204</v>
      </c>
      <c r="H162" s="340">
        <f t="array" ref="H162">PRODUCT(1+H$8:H$12%)^(1/COUNT(H$8:H$12))-1</f>
        <v>0.12639440968693183</v>
      </c>
      <c r="I162" s="340">
        <f t="array" ref="I162">PRODUCT(1+I$8:I$12%)^(1/COUNT(I$8:I$12))-1</f>
        <v>0.116861390612917</v>
      </c>
      <c r="J162" s="340">
        <f t="array" ref="J162">PRODUCT(1+J$8:J$12%)^(1/COUNT(J$8:J$12))-1</f>
        <v>5.6337454751498095E-2</v>
      </c>
      <c r="K162" s="340">
        <f t="array" ref="K162">PRODUCT(1+K$8:K$12%)^(1/COUNT(K$8:K$12))-1</f>
        <v>0.10777168758409994</v>
      </c>
      <c r="L162" s="340">
        <f t="array" ref="L162">PRODUCT(1+L$8:L$12%)^(1/COUNT(L$8:L$12))-1</f>
        <v>0.36373635828816653</v>
      </c>
      <c r="M162" s="340">
        <f t="array" ref="M162">PRODUCT(1+M$8:M$12%)^(1/COUNT(M$8:M$12))-1</f>
        <v>0.52375416462651736</v>
      </c>
      <c r="N162" s="340">
        <f t="array" ref="N162">PRODUCT(1+N$8:N$12%)^(1/COUNT(N$8:N$12))-1</f>
        <v>0.38874994888767556</v>
      </c>
      <c r="O162" s="340">
        <f t="array" ref="O162">PRODUCT(1+O$8:O$12%)^(1/COUNT(O$8:O$12))-1</f>
        <v>0.38936681305329901</v>
      </c>
      <c r="P162" s="340">
        <f t="array" ref="P162">PRODUCT(1+P$8:P$12%)^(1/COUNT(P$8:P$12))-1</f>
        <v>0.32029140795626954</v>
      </c>
      <c r="Q162" s="340">
        <f t="array" ref="Q162">PRODUCT(1+Q$8:Q$12%)^(1/COUNT(Q$8:Q$12))-1</f>
        <v>0.40876633246181937</v>
      </c>
      <c r="R162" s="340">
        <f t="array" ref="R162">PRODUCT(1+R$8:R$12%)^(1/COUNT(R$8:R$12))-1</f>
        <v>0.13604138498744134</v>
      </c>
      <c r="S162" s="340">
        <f t="array" ref="S162">PRODUCT(1+S$8:S$12%)^(1/COUNT(S$8:S$12))-1</f>
        <v>0.15163302403608747</v>
      </c>
      <c r="T162" s="340">
        <f t="array" ref="T162">PRODUCT(1+T$8:T$12%)^(1/COUNT(T$8:T$12))-1</f>
        <v>0.11254699001135293</v>
      </c>
      <c r="U162" s="340">
        <f t="array" ref="U162">PRODUCT(1+U$8:U$12%)^(1/COUNT(U$8:U$12))-1</f>
        <v>0.10356910621361082</v>
      </c>
      <c r="V162" s="340">
        <f t="array" ref="V162">PRODUCT(1+V$8:V$12%)^(1/COUNT(V$8:V$12))-1</f>
        <v>7.1029929195933539E-2</v>
      </c>
      <c r="W162" s="340">
        <f t="array" ref="W162">PRODUCT(1+W$8:W$12%)^(1/COUNT(W$8:W$12))-1</f>
        <v>0.12496082671118658</v>
      </c>
      <c r="X162" s="340">
        <f t="array" ref="X162">PRODUCT(1+X$8:X$12%)^(1/COUNT(X$8:X$12))-1</f>
        <v>0.17055015243008587</v>
      </c>
      <c r="Y162" s="340">
        <f t="array" ref="Y162">PRODUCT(1+Y$8:Y$12%)^(1/COUNT(Y$8:Y$12))-1</f>
        <v>0.15232034603631184</v>
      </c>
      <c r="Z162" s="340">
        <f t="array" ref="Z162">PRODUCT(1+Z$8:Z$12%)^(1/COUNT(Z$8:Z$12))-1</f>
        <v>0.18878137355434954</v>
      </c>
      <c r="AA162" s="340">
        <f t="array" ref="AA162">PRODUCT(1+AA$8:AA$12%)^(1/COUNT(AA$8:AA$12))-1</f>
        <v>0.24539233235330982</v>
      </c>
      <c r="AB162" s="340">
        <f t="array" ref="AB162">PRODUCT(1+AB$8:AB$12%)^(1/COUNT(AB$8:AB$12))-1</f>
        <v>0.17114771163326514</v>
      </c>
      <c r="AC162" s="340">
        <f t="array" ref="AC162">PRODUCT(1+AC$8:AC$12%)^(1/COUNT(AC$8:AC$12))-1</f>
        <v>0.18202330889606655</v>
      </c>
      <c r="AD162" s="340">
        <f t="array" ref="AD162">PRODUCT(1+AD$8:AD$12%)^(1/COUNT(AD$8:AD$12))-1</f>
        <v>0.15966360743138064</v>
      </c>
      <c r="AE162" s="340">
        <f t="array" ref="AE162">PRODUCT(1+AE$8:AE$12%)^(1/COUNT(AE$8:AE$12))-1</f>
        <v>6.1784918269211175E-2</v>
      </c>
      <c r="AF162" s="340">
        <f t="array" ref="AF162">PRODUCT(1+AF$8:AF$12%)^(1/COUNT(AF$8:AF$12))-1</f>
        <v>0.10847773793711779</v>
      </c>
      <c r="AG162" s="340">
        <f t="array" ref="AG162">PRODUCT(1+AG$8:AG$12%)^(1/COUNT(AG$8:AG$12))-1</f>
        <v>0.12233980192125093</v>
      </c>
      <c r="AH162" s="340">
        <f t="array" ref="AH162">PRODUCT(1+AH$8:AH$12%)^(1/COUNT(AH$8:AH$12))-1</f>
        <v>0.11053949286709042</v>
      </c>
      <c r="AI162" s="340">
        <f t="array" ref="AI162">PRODUCT(1+AI$8:AI$12%)^(1/COUNT(AI$8:AI$12))-1</f>
        <v>8.8814397712237536E-2</v>
      </c>
      <c r="AJ162" s="340">
        <f t="array" ref="AJ162">PRODUCT(1+AJ$8:AJ$12%)^(1/COUNT(AJ$8:AJ$12))-1</f>
        <v>0.185553295598196</v>
      </c>
      <c r="AK162" s="340">
        <f t="array" ref="AK162">PRODUCT(1+AK$8:AK$12%)^(1/COUNT(AK$8:AK$12))-1</f>
        <v>0.18129974134142879</v>
      </c>
      <c r="AL162" s="340">
        <f t="array" ref="AL162">PRODUCT(1+AL$8:AL$12%)^(1/COUNT(AL$8:AL$12))-1</f>
        <v>0.15969707255574694</v>
      </c>
      <c r="AM162" s="340">
        <f t="array" ref="AM162">PRODUCT(1+AM$8:AM$12%)^(1/COUNT(AM$8:AM$12))-1</f>
        <v>4.8313352687000322E-2</v>
      </c>
      <c r="AN162" s="340">
        <f t="array" ref="AN162">PRODUCT(1+AN$8:AN$12%)^(1/COUNT(AN$8:AN$12))-1</f>
        <v>9.7698878638598385E-2</v>
      </c>
      <c r="AO162" s="340">
        <f t="array" ref="AO162">PRODUCT(1+AO$8:AO$12%)^(1/COUNT(AO$8:AO$12))-1</f>
        <v>4.8050115518404102E-2</v>
      </c>
      <c r="AP162" s="340">
        <f t="array" ref="AP162">PRODUCT(1+AP$8:AP$12%)^(1/COUNT(AP$8:AP$12))-1</f>
        <v>0.43465546064711491</v>
      </c>
      <c r="AQ162" s="340"/>
      <c r="AR162" s="340"/>
      <c r="AS162" s="340"/>
      <c r="AT162" s="340"/>
      <c r="AU162" s="340"/>
      <c r="AV162" s="340"/>
      <c r="AW162" s="340"/>
      <c r="AX162" s="340"/>
      <c r="AY162" s="341"/>
      <c r="AZ162" s="340">
        <f t="array" ref="AZ162">PRODUCT(1+AZ$8:AZ$12%)^(1/COUNT(AZ$8:AZ$12))-1</f>
        <v>3.6710132153259023E-2</v>
      </c>
    </row>
    <row r="163" spans="1:52" ht="14">
      <c r="A163" s="338" t="s">
        <v>478</v>
      </c>
      <c r="B163" s="339">
        <f t="array" ref="B163">PRODUCT(1+B$13:B$22%)^(1/COUNT(B$13:B$22))-1</f>
        <v>0.17478053353123779</v>
      </c>
      <c r="C163" s="340">
        <f t="array" ref="C163">PRODUCT(1+C$13:C$22%)^(1/COUNT(C$13:C$22))-1</f>
        <v>0.15539260192723137</v>
      </c>
      <c r="D163" s="340">
        <f t="array" ref="D163">PRODUCT(1+D$13:D$22%)^(1/COUNT(D$13:D$22))-1</f>
        <v>0.18075418697904566</v>
      </c>
      <c r="E163" s="340">
        <f t="array" ref="E163">PRODUCT(1+E$13:E$22%)^(1/COUNT(E$13:E$22))-1</f>
        <v>0.20659241011665563</v>
      </c>
      <c r="F163" s="340">
        <f t="array" ref="F163">PRODUCT(1+F$13:F$22%)^(1/COUNT(F$13:F$22))-1</f>
        <v>0.15364774167865902</v>
      </c>
      <c r="G163" s="340">
        <f t="array" ref="G163">PRODUCT(1+G$13:G$22%)^(1/COUNT(G$13:G$22))-1</f>
        <v>0.12735819124663394</v>
      </c>
      <c r="H163" s="340">
        <f t="array" ref="H163">PRODUCT(1+H$13:H$22%)^(1/COUNT(H$13:H$22))-1</f>
        <v>0.13990823356459514</v>
      </c>
      <c r="I163" s="340">
        <f t="array" ref="I163">PRODUCT(1+I$13:I$22%)^(1/COUNT(I$13:I$22))-1</f>
        <v>0.11258548574643257</v>
      </c>
      <c r="J163" s="340">
        <f t="array" ref="J163">PRODUCT(1+J$13:J$22%)^(1/COUNT(J$13:J$22))-1</f>
        <v>0.13928094302728145</v>
      </c>
      <c r="K163" s="340">
        <f t="array" ref="K163">PRODUCT(1+K$13:K$22%)^(1/COUNT(K$13:K$22))-1</f>
        <v>9.0042132017609244E-2</v>
      </c>
      <c r="L163" s="340">
        <f t="array" ref="L163">PRODUCT(1+L$13:L$22%)^(1/COUNT(L$13:L$22))-1</f>
        <v>7.2544130554351938E-2</v>
      </c>
      <c r="M163" s="340">
        <f t="array" ref="M163">PRODUCT(1+M$13:M$22%)^(1/COUNT(M$13:M$22))-1</f>
        <v>0.12484096895502073</v>
      </c>
      <c r="N163" s="340">
        <f t="array" ref="N163">PRODUCT(1+N$13:N$22%)^(1/COUNT(N$13:N$22))-1</f>
        <v>8.2303106014623761E-2</v>
      </c>
      <c r="O163" s="340">
        <f t="array" ref="O163">PRODUCT(1+O$13:O$22%)^(1/COUNT(O$13:O$22))-1</f>
        <v>2.5928959563845666E-3</v>
      </c>
      <c r="P163" s="340">
        <f t="array" ref="P163">PRODUCT(1+P$13:P$22%)^(1/COUNT(P$13:P$22))-1</f>
        <v>0.1429129166819012</v>
      </c>
      <c r="Q163" s="340">
        <f t="array" ref="Q163">PRODUCT(1+Q$13:Q$22%)^(1/COUNT(Q$13:Q$22))-1</f>
        <v>7.3572560820468924E-2</v>
      </c>
      <c r="R163" s="340">
        <f t="array" ref="R163">PRODUCT(1+R$13:R$22%)^(1/COUNT(R$13:R$22))-1</f>
        <v>7.3367348060482174E-2</v>
      </c>
      <c r="S163" s="340">
        <f t="array" ref="S163">PRODUCT(1+S$13:S$22%)^(1/COUNT(S$13:S$22))-1</f>
        <v>8.1493335069975581E-2</v>
      </c>
      <c r="T163" s="340">
        <f t="array" ref="T163">PRODUCT(1+T$13:T$22%)^(1/COUNT(T$13:T$22))-1</f>
        <v>7.3949579916705144E-2</v>
      </c>
      <c r="U163" s="340">
        <f t="array" ref="U163">PRODUCT(1+U$13:U$22%)^(1/COUNT(U$13:U$22))-1</f>
        <v>7.5343875581999065E-2</v>
      </c>
      <c r="V163" s="340">
        <f t="array" ref="V163">PRODUCT(1+V$13:V$22%)^(1/COUNT(V$13:V$22))-1</f>
        <v>4.9036005191252396E-2</v>
      </c>
      <c r="W163" s="340">
        <f t="array" ref="W163">PRODUCT(1+W$13:W$22%)^(1/COUNT(W$13:W$22))-1</f>
        <v>6.8883033287280737E-2</v>
      </c>
      <c r="X163" s="340">
        <f t="array" ref="X163">PRODUCT(1+X$13:X$22%)^(1/COUNT(X$13:X$22))-1</f>
        <v>0.12552857020563946</v>
      </c>
      <c r="Y163" s="340">
        <f t="array" ref="Y163">PRODUCT(1+Y$13:Y$22%)^(1/COUNT(Y$13:Y$22))-1</f>
        <v>0.10563110522111252</v>
      </c>
      <c r="Z163" s="340">
        <f t="array" ref="Z163">PRODUCT(1+Z$13:Z$22%)^(1/COUNT(Z$13:Z$22))-1</f>
        <v>9.2517696634446311E-2</v>
      </c>
      <c r="AA163" s="340">
        <f t="array" ref="AA163">PRODUCT(1+AA$13:AA$22%)^(1/COUNT(AA$13:AA$22))-1</f>
        <v>0.2153942111640228</v>
      </c>
      <c r="AB163" s="340">
        <f t="array" ref="AB163">PRODUCT(1+AB$13:AB$22%)^(1/COUNT(AB$13:AB$22))-1</f>
        <v>-1.2298423357240518E-2</v>
      </c>
      <c r="AC163" s="340">
        <f t="array" ref="AC163">PRODUCT(1+AC$13:AC$22%)^(1/COUNT(AC$13:AC$22))-1</f>
        <v>0.13027880548267001</v>
      </c>
      <c r="AD163" s="340">
        <f t="array" ref="AD163">PRODUCT(1+AD$13:AD$22%)^(1/COUNT(AD$13:AD$22))-1</f>
        <v>0.13803100042048588</v>
      </c>
      <c r="AE163" s="340">
        <f t="array" ref="AE163">PRODUCT(1+AE$13:AE$22%)^(1/COUNT(AE$13:AE$22))-1</f>
        <v>4.4453371755797999E-2</v>
      </c>
      <c r="AF163" s="340">
        <f t="array" ref="AF163">PRODUCT(1+AF$13:AF$22%)^(1/COUNT(AF$13:AF$22))-1</f>
        <v>6.6673436430849886E-2</v>
      </c>
      <c r="AG163" s="340">
        <f t="array" ref="AG163">PRODUCT(1+AG$13:AG$22%)^(1/COUNT(AG$13:AG$22))-1</f>
        <v>6.9788917324194344E-2</v>
      </c>
      <c r="AH163" s="340">
        <f t="array" ref="AH163">PRODUCT(1+AH$13:AH$22%)^(1/COUNT(AH$13:AH$22))-1</f>
        <v>9.8184515184978061E-2</v>
      </c>
      <c r="AI163" s="340">
        <f t="array" ref="AI163">PRODUCT(1+AI$13:AI$22%)^(1/COUNT(AI$13:AI$22))-1</f>
        <v>6.3017469424479833E-2</v>
      </c>
      <c r="AJ163" s="340">
        <f t="array" ref="AJ163">PRODUCT(1+AJ$13:AJ$22%)^(1/COUNT(AJ$13:AJ$22))-1</f>
        <v>0.20004453545629319</v>
      </c>
      <c r="AK163" s="340">
        <f t="array" ref="AK163">PRODUCT(1+AK$13:AK$22%)^(1/COUNT(AK$13:AK$22))-1</f>
        <v>0.13757538315633555</v>
      </c>
      <c r="AL163" s="340">
        <f t="array" ref="AL163">PRODUCT(1+AL$13:AL$22%)^(1/COUNT(AL$13:AL$22))-1</f>
        <v>0.16333416644661281</v>
      </c>
      <c r="AM163" s="340">
        <f t="array" ref="AM163">PRODUCT(1+AM$13:AM$22%)^(1/COUNT(AM$13:AM$22))-1</f>
        <v>6.7110032650592899E-2</v>
      </c>
      <c r="AN163" s="340">
        <f t="array" ref="AN163">PRODUCT(1+AN$13:AN$22%)^(1/COUNT(AN$13:AN$22))-1</f>
        <v>7.0177139006410538E-2</v>
      </c>
      <c r="AO163" s="340">
        <f t="array" ref="AO163">PRODUCT(1+AO$13:AO$22%)^(1/COUNT(AO$13:AO$22))-1</f>
        <v>-3.5083393960727016E-2</v>
      </c>
      <c r="AP163" s="340">
        <f t="array" ref="AP163">PRODUCT(1+AP$13:AP$22%)^(1/COUNT(AP$13:AP$22))-1</f>
        <v>8.6922915311142601E-2</v>
      </c>
      <c r="AQ163" s="340"/>
      <c r="AR163" s="340"/>
      <c r="AS163" s="340"/>
      <c r="AT163" s="340"/>
      <c r="AU163" s="340"/>
      <c r="AV163" s="340"/>
      <c r="AW163" s="340"/>
      <c r="AX163" s="340"/>
      <c r="AY163" s="341"/>
      <c r="AZ163" s="340">
        <f t="array" ref="AZ163">PRODUCT(1+AZ$13:AZ$22%)^(1/COUNT(AZ$13:AZ$22))-1</f>
        <v>2.9287984302121872E-2</v>
      </c>
    </row>
    <row r="164" spans="1:52" ht="14">
      <c r="A164" s="338" t="s">
        <v>479</v>
      </c>
      <c r="B164" s="339">
        <f t="array" ref="B164">PRODUCT(1+B$23:B$32%)^(1/COUNT(B$23:B$32))-1</f>
        <v>-2.7077608817230869E-3</v>
      </c>
      <c r="C164" s="340">
        <f t="array" ref="C164">PRODUCT(1+C$23:C$32%)^(1/COUNT(C$23:C$32))-1</f>
        <v>1.2299919938270953E-2</v>
      </c>
      <c r="D164" s="340">
        <f t="array" ref="D164">PRODUCT(1+D$23:D$32%)^(1/COUNT(D$23:D$32))-1</f>
        <v>-1.0306210146836303E-2</v>
      </c>
      <c r="E164" s="340">
        <f t="array" ref="E164">PRODUCT(1+E$23:E$32%)^(1/COUNT(E$23:E$32))-1</f>
        <v>-2.7534875749445242E-2</v>
      </c>
      <c r="F164" s="340">
        <f t="array" ref="F164">PRODUCT(1+F$23:F$32%)^(1/COUNT(F$23:F$32))-1</f>
        <v>6.1322153791854461E-2</v>
      </c>
      <c r="G164" s="340">
        <f t="array" ref="G164">PRODUCT(1+G$23:G$32%)^(1/COUNT(G$23:G$32))-1</f>
        <v>7.6907261790627901E-2</v>
      </c>
      <c r="H164" s="340">
        <f t="array" ref="H164">PRODUCT(1+H$23:H$32%)^(1/COUNT(H$23:H$32))-1</f>
        <v>4.3552462525801916E-2</v>
      </c>
      <c r="I164" s="340">
        <f t="array" ref="I164">PRODUCT(1+I$23:I$32%)^(1/COUNT(I$23:I$32))-1</f>
        <v>4.8409211289982101E-2</v>
      </c>
      <c r="J164" s="340">
        <f t="array" ref="J164">PRODUCT(1+J$23:J$32%)^(1/COUNT(J$23:J$32))-1</f>
        <v>8.9687144631878102E-2</v>
      </c>
      <c r="K164" s="340">
        <f t="array" ref="K164">PRODUCT(1+K$23:K$32%)^(1/COUNT(K$23:K$32))-1</f>
        <v>0.10403018963289634</v>
      </c>
      <c r="L164" s="340">
        <f t="array" ref="L164">PRODUCT(1+L$23:L$32%)^(1/COUNT(L$23:L$32))-1</f>
        <v>1.2175651696353151E-2</v>
      </c>
      <c r="M164" s="340">
        <f t="array" ref="M164">PRODUCT(1+M$23:M$32%)^(1/COUNT(M$23:M$32))-1</f>
        <v>9.8219111410939197E-2</v>
      </c>
      <c r="N164" s="340">
        <f t="array" ref="N164">PRODUCT(1+N$23:N$32%)^(1/COUNT(N$23:N$32))-1</f>
        <v>2.2896493556576081E-2</v>
      </c>
      <c r="O164" s="340">
        <f t="array" ref="O164">PRODUCT(1+O$23:O$32%)^(1/COUNT(O$23:O$32))-1</f>
        <v>-6.8530076417734342E-3</v>
      </c>
      <c r="P164" s="340">
        <f t="array" ref="P164">PRODUCT(1+P$23:P$32%)^(1/COUNT(P$23:P$32))-1</f>
        <v>1.9882440422019698E-2</v>
      </c>
      <c r="Q164" s="340">
        <f t="array" ref="Q164">PRODUCT(1+Q$23:Q$32%)^(1/COUNT(Q$23:Q$32))-1</f>
        <v>4.4487614240644069E-2</v>
      </c>
      <c r="R164" s="340">
        <f t="array" ref="R164">PRODUCT(1+R$23:R$32%)^(1/COUNT(R$23:R$32))-1</f>
        <v>0.10808572763341706</v>
      </c>
      <c r="S164" s="340">
        <f t="array" ref="S164">PRODUCT(1+S$23:S$32%)^(1/COUNT(S$23:S$32))-1</f>
        <v>7.4217560330640309E-2</v>
      </c>
      <c r="T164" s="340">
        <f t="array" ref="T164">PRODUCT(1+T$23:T$32%)^(1/COUNT(T$23:T$32))-1</f>
        <v>6.7186771605016071E-2</v>
      </c>
      <c r="U164" s="340">
        <f t="array" ref="U164">PRODUCT(1+U$23:U$32%)^(1/COUNT(U$23:U$32))-1</f>
        <v>6.0556827247029821E-2</v>
      </c>
      <c r="V164" s="340">
        <f t="array" ref="V164">PRODUCT(1+V$23:V$32%)^(1/COUNT(V$23:V$32))-1</f>
        <v>2.7436965509550104E-2</v>
      </c>
      <c r="W164" s="340">
        <f t="array" ref="W164">PRODUCT(1+W$23:W$32%)^(1/COUNT(W$23:W$32))-1</f>
        <v>6.6036928721131094E-2</v>
      </c>
      <c r="X164" s="340">
        <f t="array" ref="X164">PRODUCT(1+X$23:X$32%)^(1/COUNT(X$23:X$32))-1</f>
        <v>6.1484776060650725E-2</v>
      </c>
      <c r="Y164" s="340">
        <f t="array" ref="Y164">PRODUCT(1+Y$23:Y$32%)^(1/COUNT(Y$23:Y$32))-1</f>
        <v>6.9552314021776418E-2</v>
      </c>
      <c r="Z164" s="340">
        <f t="array" ref="Z164">PRODUCT(1+Z$23:Z$32%)^(1/COUNT(Z$23:Z$32))-1</f>
        <v>0.16299248935217414</v>
      </c>
      <c r="AA164" s="340">
        <f t="array" ref="AA164">PRODUCT(1+AA$23:AA$32%)^(1/COUNT(AA$23:AA$32))-1</f>
        <v>9.2446392132591981E-2</v>
      </c>
      <c r="AB164" s="340">
        <f t="array" ref="AB164">PRODUCT(1+AB$23:AB$32%)^(1/COUNT(AB$23:AB$32))-1</f>
        <v>0.17789079038974909</v>
      </c>
      <c r="AC164" s="340">
        <f t="array" ref="AC164">PRODUCT(1+AC$23:AC$32%)^(1/COUNT(AC$23:AC$32))-1</f>
        <v>3.5866937214462213E-2</v>
      </c>
      <c r="AD164" s="340">
        <f t="array" ref="AD164">PRODUCT(1+AD$23:AD$32%)^(1/COUNT(AD$23:AD$32))-1</f>
        <v>4.1565836364421571E-2</v>
      </c>
      <c r="AE164" s="340">
        <f t="array" ref="AE164">PRODUCT(1+AE$23:AE$32%)^(1/COUNT(AE$23:AE$32))-1</f>
        <v>3.1742946321997367E-2</v>
      </c>
      <c r="AF164" s="340">
        <f t="array" ref="AF164">PRODUCT(1+AF$23:AF$32%)^(1/COUNT(AF$23:AF$32))-1</f>
        <v>4.9624598696839106E-2</v>
      </c>
      <c r="AG164" s="340">
        <f t="array" ref="AG164">PRODUCT(1+AG$23:AG$32%)^(1/COUNT(AG$23:AG$32))-1</f>
        <v>5.5944318983803143E-2</v>
      </c>
      <c r="AH164" s="340">
        <f t="array" ref="AH164">PRODUCT(1+AH$23:AH$32%)^(1/COUNT(AH$23:AH$32))-1</f>
        <v>3.5420856875220785E-2</v>
      </c>
      <c r="AI164" s="340">
        <f t="array" ref="AI164">PRODUCT(1+AI$23:AI$32%)^(1/COUNT(AI$23:AI$32))-1</f>
        <v>4.918049295310678E-2</v>
      </c>
      <c r="AJ164" s="340">
        <f t="array" ref="AJ164">PRODUCT(1+AJ$23:AJ$32%)^(1/COUNT(AJ$23:AJ$32))-1</f>
        <v>-2.3691731842287345E-2</v>
      </c>
      <c r="AK164" s="340">
        <f t="array" ref="AK164">PRODUCT(1+AK$23:AK$32%)^(1/COUNT(AK$23:AK$32))-1</f>
        <v>8.67090966530073E-2</v>
      </c>
      <c r="AL164" s="340">
        <f t="array" ref="AL164">PRODUCT(1+AL$23:AL$32%)^(1/COUNT(AL$23:AL$32))-1</f>
        <v>1.7150095782282104E-2</v>
      </c>
      <c r="AM164" s="340">
        <f t="array" ref="AM164">PRODUCT(1+AM$23:AM$32%)^(1/COUNT(AM$23:AM$32))-1</f>
        <v>7.2091172726252539E-2</v>
      </c>
      <c r="AN164" s="340">
        <f t="array" ref="AN164">PRODUCT(1+AN$23:AN$32%)^(1/COUNT(AN$23:AN$32))-1</f>
        <v>4.9152913544702193E-2</v>
      </c>
      <c r="AO164" s="340">
        <f t="array" ref="AO164">PRODUCT(1+AO$23:AO$32%)^(1/COUNT(AO$23:AO$32))-1</f>
        <v>0.13680545179656711</v>
      </c>
      <c r="AP164" s="340">
        <f t="array" ref="AP164">PRODUCT(1+AP$23:AP$32%)^(1/COUNT(AP$23:AP$32))-1</f>
        <v>5.7334129130803158E-2</v>
      </c>
      <c r="AQ164" s="340"/>
      <c r="AR164" s="340"/>
      <c r="AS164" s="340"/>
      <c r="AT164" s="340"/>
      <c r="AU164" s="340"/>
      <c r="AV164" s="340"/>
      <c r="AW164" s="340"/>
      <c r="AX164" s="340"/>
      <c r="AY164" s="341"/>
      <c r="AZ164" s="340">
        <f t="array" ref="AZ164">PRODUCT(1+AZ$23:AZ$32%)^(1/COUNT(AZ$23:AZ$32))-1</f>
        <v>2.5242753004707241E-2</v>
      </c>
    </row>
    <row r="165" spans="1:52">
      <c r="B165" s="373"/>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270"/>
      <c r="AZ165" s="47"/>
    </row>
    <row r="166" spans="1:52" ht="14">
      <c r="A166" s="338" t="s">
        <v>837</v>
      </c>
      <c r="B166" s="339">
        <f t="array" ref="B166">PRODUCT(1+B$8:B$38%)^(1/COUNT(B$8:B$38))-1</f>
        <v>0.10751334148608449</v>
      </c>
      <c r="C166" s="340">
        <f t="array" ref="C166">PRODUCT(1+C$8:C$38%)^(1/COUNT(C$8:C$38))-1</f>
        <v>0.10621389896948785</v>
      </c>
      <c r="D166" s="340">
        <f t="array" ref="D166">PRODUCT(1+D$8:D$38%)^(1/COUNT(D$8:D$38))-1</f>
        <v>0.10832493121751541</v>
      </c>
      <c r="E166" s="340">
        <f t="array" ref="E166">PRODUCT(1+E$8:E$38%)^(1/COUNT(E$8:E$38))-1</f>
        <v>0.11040669829157479</v>
      </c>
      <c r="F166" s="340">
        <f t="array" ref="F166">PRODUCT(1+F$8:F$38%)^(1/COUNT(F$8:F$38))-1</f>
        <v>0.12455585596445418</v>
      </c>
      <c r="G166" s="340">
        <f t="array" ref="G166">PRODUCT(1+G$8:G$38%)^(1/COUNT(G$8:G$38))-1</f>
        <v>0.1116503362534782</v>
      </c>
      <c r="H166" s="340">
        <f t="array" ref="H166">PRODUCT(1+H$8:H$38%)^(1/COUNT(H$8:H$38))-1</f>
        <v>0.10392104907312483</v>
      </c>
      <c r="I166" s="340">
        <f t="array" ref="I166">PRODUCT(1+I$8:I$38%)^(1/COUNT(I$8:I$38))-1</f>
        <v>9.589234702385574E-2</v>
      </c>
      <c r="J166" s="340">
        <f t="array" ref="J166">PRODUCT(1+J$8:J$38%)^(1/COUNT(J$8:J$38))-1</f>
        <v>0.10782540252668049</v>
      </c>
      <c r="K166" s="340">
        <f t="array" ref="K166">PRODUCT(1+K$8:K$38%)^(1/COUNT(K$8:K$38))-1</f>
        <v>0.10744688376874212</v>
      </c>
      <c r="L166" s="340">
        <f t="array" ref="L166">PRODUCT(1+L$8:L$38%)^(1/COUNT(L$8:L$38))-1</f>
        <v>8.8494634263329042E-2</v>
      </c>
      <c r="M166" s="340">
        <f t="array" ref="M166">PRODUCT(1+M$8:M$38%)^(1/COUNT(M$8:M$38))-1</f>
        <v>0.14259323850867456</v>
      </c>
      <c r="N166" s="340">
        <f t="array" ref="N166">PRODUCT(1+N$8:N$38%)^(1/COUNT(N$8:N$38))-1</f>
        <v>9.5452805608436497E-2</v>
      </c>
      <c r="O166" s="340">
        <f t="array" ref="O166">PRODUCT(1+O$8:O$38%)^(1/COUNT(O$8:O$38))-1</f>
        <v>6.2360306701793045E-2</v>
      </c>
      <c r="P166" s="340">
        <f t="array" ref="P166">PRODUCT(1+P$8:P$38%)^(1/COUNT(P$8:P$38))-1</f>
        <v>0.10756380723470338</v>
      </c>
      <c r="Q166" s="340">
        <f t="array" ref="Q166">PRODUCT(1+Q$8:Q$38%)^(1/COUNT(Q$8:Q$38))-1</f>
        <v>0.10231568739044161</v>
      </c>
      <c r="R166" s="340">
        <f t="array" ref="R166">PRODUCT(1+R$8:R$38%)^(1/COUNT(R$8:R$38))-1</f>
        <v>6.3374056088895347E-2</v>
      </c>
      <c r="S166" s="340">
        <f t="array" ref="S166">PRODUCT(1+S$8:S$38%)^(1/COUNT(S$8:S$38))-1</f>
        <v>8.9310401999190825E-2</v>
      </c>
      <c r="T166" s="340">
        <f t="array" ref="T166">PRODUCT(1+T$8:T$38%)^(1/COUNT(T$8:T$38))-1</f>
        <v>7.0555535026989968E-2</v>
      </c>
      <c r="U166" s="340">
        <f t="array" ref="U166">PRODUCT(1+U$8:U$38%)^(1/COUNT(U$8:U$38))-1</f>
        <v>6.7263519622791312E-2</v>
      </c>
      <c r="V166" s="340">
        <f t="array" ref="V166">PRODUCT(1+V$8:V$38%)^(1/COUNT(V$8:V$38))-1</f>
        <v>3.5900142745183494E-2</v>
      </c>
      <c r="W166" s="340">
        <f t="array" ref="W166">PRODUCT(1+W$8:W$38%)^(1/COUNT(W$8:W$38))-1</f>
        <v>6.9049129330273962E-2</v>
      </c>
      <c r="X166" s="340">
        <f t="array" ref="X166">PRODUCT(1+X$8:X$38%)^(1/COUNT(X$8:X$38))-1</f>
        <v>0.1051831028995831</v>
      </c>
      <c r="Y166" s="340">
        <f t="array" ref="Y166">PRODUCT(1+Y$8:Y$38%)^(1/COUNT(Y$8:Y$38))-1</f>
        <v>9.6389508441502514E-2</v>
      </c>
      <c r="Z166" s="340">
        <f t="array" ref="Z166">PRODUCT(1+Z$8:Z$38%)^(1/COUNT(Z$8:Z$38))-1</f>
        <v>0.10750140437211897</v>
      </c>
      <c r="AA166" s="340">
        <f t="array" ref="AA166">PRODUCT(1+AA$8:AA$38%)^(1/COUNT(AA$8:AA$38))-1</f>
        <v>0.17389201110757369</v>
      </c>
      <c r="AB166" s="340">
        <f t="array" ref="AB166">PRODUCT(1+AB$8:AB$38%)^(1/COUNT(AB$8:AB$38))-1</f>
        <v>4.4022215580817869E-2</v>
      </c>
      <c r="AC166" s="340">
        <f t="array" ref="AC166">PRODUCT(1+AC$8:AC$38%)^(1/COUNT(AC$8:AC$38))-1</f>
        <v>0.10464953932494536</v>
      </c>
      <c r="AD166" s="340">
        <f t="array" ref="AD166">PRODUCT(1+AD$8:AD$38%)^(1/COUNT(AD$8:AD$38))-1</f>
        <v>0.10388134556085071</v>
      </c>
      <c r="AE166" s="340">
        <f t="array" ref="AE166">PRODUCT(1+AE$8:AE$38%)^(1/COUNT(AE$8:AE$38))-1</f>
        <v>3.6058310468768839E-2</v>
      </c>
      <c r="AF166" s="340">
        <f t="array" ref="AF166">PRODUCT(1+AF$8:AF$38%)^(1/COUNT(AF$8:AF$38))-1</f>
        <v>6.3054640818563046E-2</v>
      </c>
      <c r="AG166" s="340">
        <f t="array" ref="AG166">PRODUCT(1+AG$8:AG$38%)^(1/COUNT(AG$8:AG$38))-1</f>
        <v>7.023336483803333E-2</v>
      </c>
      <c r="AH166" s="340">
        <f t="array" ref="AH166">PRODUCT(1+AH$8:AH$38%)^(1/COUNT(AH$8:AH$38))-1</f>
        <v>7.368599513953944E-2</v>
      </c>
      <c r="AI166" s="340">
        <f t="array" ref="AI166">PRODUCT(1+AI$8:AI$38%)^(1/COUNT(AI$8:AI$38))-1</f>
        <v>5.2373902903485758E-2</v>
      </c>
      <c r="AJ166" s="340">
        <f t="array" ref="AJ166">PRODUCT(1+AJ$8:AJ$38%)^(1/COUNT(AJ$8:AJ$38))-1</f>
        <v>0.1083240113353956</v>
      </c>
      <c r="AK166" s="340">
        <f t="array" ref="AK166">PRODUCT(1+AK$8:AK$38%)^(1/COUNT(AK$8:AK$38))-1</f>
        <v>0.12752834235650123</v>
      </c>
      <c r="AL166" s="340">
        <f t="array" ref="AL166">PRODUCT(1+AL$8:AL$38%)^(1/COUNT(AL$8:AL$38))-1</f>
        <v>0.10718134099003973</v>
      </c>
      <c r="AM166" s="340">
        <f t="array" ref="AM166">PRODUCT(1+AM$8:AM$38%)^(1/COUNT(AM$8:AM$38))-1</f>
        <v>5.9196219218519808E-2</v>
      </c>
      <c r="AN166" s="340">
        <f t="array" ref="AN166">PRODUCT(1+AN$8:AN$38%)^(1/COUNT(AN$8:AN$38))-1</f>
        <v>5.894998937553253E-2</v>
      </c>
      <c r="AO166" s="340">
        <f t="array" ref="AO166">PRODUCT(1+AO$8:AO$38%)^(1/COUNT(AO$8:AO$38))-1</f>
        <v>3.6244865827650186E-2</v>
      </c>
      <c r="AP166" s="340">
        <f t="array" ref="AP166">PRODUCT(1+AP$8:AP$38%)^(1/COUNT(AP$8:AP$38))-1</f>
        <v>0.11909010545510479</v>
      </c>
      <c r="AQ166" s="340"/>
      <c r="AR166" s="340"/>
      <c r="AS166" s="340"/>
      <c r="AT166" s="340"/>
      <c r="AU166" s="340"/>
      <c r="AV166" s="340"/>
      <c r="AW166" s="340"/>
      <c r="AX166" s="340"/>
      <c r="AY166" s="341"/>
      <c r="AZ166" s="340">
        <f t="array" ref="AZ166">PRODUCT(1+AZ$8:AZ$38%)^(1/COUNT(AZ$8:AZ$38))-1</f>
        <v>2.6448239534853757E-2</v>
      </c>
    </row>
    <row r="167" spans="1:52">
      <c r="B167" s="374"/>
      <c r="C167" s="253"/>
      <c r="D167" s="253"/>
      <c r="E167" s="253"/>
      <c r="F167" s="253"/>
      <c r="G167" s="253"/>
      <c r="H167" s="25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253"/>
      <c r="AT167" s="253"/>
      <c r="AU167" s="253"/>
      <c r="AV167" s="253"/>
      <c r="AW167" s="253"/>
      <c r="AX167" s="253"/>
      <c r="AY167" s="375"/>
    </row>
  </sheetData>
  <sheetProtection selectLockedCells="1" selectUnlockedCells="1"/>
  <mergeCells count="2">
    <mergeCell ref="A92:E92"/>
    <mergeCell ref="A151:C151"/>
  </mergeCells>
  <conditionalFormatting sqref="B40:AY40">
    <cfRule type="cellIs" dxfId="5" priority="41" stopIfTrue="1" operator="equal">
      <formula>LARGE($B40:$AO40,1)</formula>
    </cfRule>
    <cfRule type="cellIs" dxfId="4" priority="42" stopIfTrue="1" operator="equal">
      <formula>MIN($B40:$AO40,1)</formula>
    </cfRule>
  </conditionalFormatting>
  <conditionalFormatting sqref="B8:AY39">
    <cfRule type="cellIs" dxfId="3" priority="169" stopIfTrue="1" operator="equal">
      <formula>MAX($B8:$AY8,-99)</formula>
    </cfRule>
    <cfRule type="cellIs" dxfId="2" priority="170" stopIfTrue="1" operator="equal">
      <formula>MIN($B8:$AY8,99)</formula>
    </cfRule>
  </conditionalFormatting>
  <conditionalFormatting sqref="B56:AY87">
    <cfRule type="cellIs" dxfId="1" priority="1" stopIfTrue="1" operator="equal">
      <formula>MAX($B56:$AY56,-99)</formula>
    </cfRule>
    <cfRule type="cellIs" dxfId="0" priority="2" stopIfTrue="1" operator="equal">
      <formula>MIN($B56:$AY56,99)</formula>
    </cfRule>
  </conditionalFormatting>
  <pageMargins left="0.74791666666666667" right="0.74791666666666667" top="0.98402777777777772" bottom="0.98402777777777772" header="0.51180555555555551" footer="0.51180555555555551"/>
  <pageSetup firstPageNumber="0" orientation="portrait" horizontalDpi="300" verticalDpi="300"/>
  <ignoredErrors>
    <ignoredError sqref="AQ93:AY93 AQ153:AY155 AB41:AY41 AB8:AY29 B54:AY55 B39:AZ39 AB33:AY37 AB30:AI30 AK30:AY30 AB31:AI32 AK31:AY32 B38:AY38 AE89:AY89" emptyCellReference="1"/>
  </ignoredError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Portfolio</vt:lpstr>
      <vt:lpstr>Compare_Portfolios</vt:lpstr>
      <vt:lpstr>Lazy_Portfolios_85</vt:lpstr>
      <vt:lpstr>Data_Sources</vt:lpstr>
      <vt:lpstr>Returns_All</vt:lpstr>
      <vt:lpstr>Returns_72_15</vt:lpstr>
      <vt:lpstr>Returns_85_15</vt:lpstr>
      <vt:lpstr>Data_All</vt:lpstr>
      <vt:lpstr>Data_72_15</vt:lpstr>
      <vt:lpstr>Data_85_15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2015-01-21T23:44:41Z</dcterms:created>
  <dcterms:modified xsi:type="dcterms:W3CDTF">2016-02-23T04:26:07Z</dcterms:modified>
</cp:coreProperties>
</file>